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tiff" ContentType="image/tiff"/>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always" codeName="ThisWorkbook" defaultThemeVersion="124226"/>
  <mc:AlternateContent xmlns:mc="http://schemas.openxmlformats.org/markup-compatibility/2006">
    <mc:Choice Requires="x15">
      <x15ac:absPath xmlns:x15ac="http://schemas.microsoft.com/office/spreadsheetml/2010/11/ac" url="https://tigre-my.sharepoint.com/personal/nicole_kreuziger_tigre_com/Documents/Documents/"/>
    </mc:Choice>
  </mc:AlternateContent>
  <xr:revisionPtr revIDLastSave="1033" documentId="8_{7DA5691E-3E2B-47D3-9E0F-A1E1D017B62B}" xr6:coauthVersionLast="47" xr6:coauthVersionMax="47" xr10:uidLastSave="{50D48110-6BA8-45CD-AEE9-3987A570A047}"/>
  <workbookProtection workbookAlgorithmName="SHA-512" workbookHashValue="gEI1aSVsmsLpSG0xy2ktePfCOtHfJPEn4X122or5MB+03JLw1yTIi9+QH8cstNoX8USyZ+f1LWHuV/Hb+FuY7Q==" workbookSaltValue="Hve78JKjJM6YNKR+mXBgsA==" workbookSpinCount="100000" lockStructure="1"/>
  <bookViews>
    <workbookView minimized="1" xWindow="2268" yWindow="828" windowWidth="17280" windowHeight="8880" firstSheet="9" activeTab="14" xr2:uid="{91699F94-2C68-4DB5-A38E-D5F3ABDDAC99}"/>
  </bookViews>
  <sheets>
    <sheet name="Instructions" sheetId="15" r:id="rId1"/>
    <sheet name="Order_Quote" sheetId="18" r:id="rId2"/>
    <sheet name="DWV ABS" sheetId="42" state="hidden" r:id="rId3"/>
    <sheet name="DWV PVC" sheetId="8" r:id="rId4"/>
    <sheet name="PVC SCH40" sheetId="9" r:id="rId5"/>
    <sheet name="PVC SCH40 LD" sheetId="47" r:id="rId6"/>
    <sheet name="Pool &amp; SPA Sweep Elbows" sheetId="52" r:id="rId7"/>
    <sheet name="Pool &amp; SPA Pipe Extender" sheetId="51" r:id="rId8"/>
    <sheet name="PVC SCH80" sheetId="24" r:id="rId9"/>
    <sheet name="PVC SCH80 Flange" sheetId="53" r:id="rId10"/>
    <sheet name="PVC SCH80 LD Flange" sheetId="25" r:id="rId11"/>
    <sheet name="CPVC" sheetId="21" r:id="rId12"/>
    <sheet name="InsertFittings" sheetId="32" r:id="rId13"/>
    <sheet name="Valves" sheetId="28" r:id="rId14"/>
    <sheet name="SDR35SW" sheetId="12" r:id="rId15"/>
    <sheet name="SDR35G" sheetId="11" r:id="rId16"/>
    <sheet name="SDR26G" sheetId="10" r:id="rId17"/>
    <sheet name="Cements" sheetId="22" r:id="rId18"/>
    <sheet name="ValveBox" sheetId="29" r:id="rId19"/>
    <sheet name="ValveBox Components" sheetId="55" r:id="rId20"/>
    <sheet name="Drainage" sheetId="34" r:id="rId21"/>
    <sheet name="Nipples" sheetId="38" r:id="rId22"/>
    <sheet name="Manifold" sheetId="39" r:id="rId23"/>
    <sheet name="FlexibleRepairCouplings" sheetId="33" r:id="rId24"/>
    <sheet name="DuraFix" sheetId="40" r:id="rId25"/>
    <sheet name="Compression Fittings" sheetId="45" r:id="rId26"/>
    <sheet name="Hose Fittings" sheetId="46" r:id="rId27"/>
    <sheet name="Swing Joints" sheetId="37" r:id="rId28"/>
    <sheet name="Swing Joints Components" sheetId="54" r:id="rId29"/>
    <sheet name="Nonstandard" sheetId="19" r:id="rId30"/>
    <sheet name="Purchase Order Requirements" sheetId="16" r:id="rId31"/>
    <sheet name="All Products" sheetId="50" r:id="rId32"/>
  </sheets>
  <definedNames>
    <definedName name="_xlnm._FilterDatabase" localSheetId="31" hidden="1">'All Products'!$B$7:$Q$2761</definedName>
    <definedName name="_xlnm._FilterDatabase" localSheetId="17" hidden="1">Cements!$D$7:$Y$94</definedName>
    <definedName name="_xlnm._FilterDatabase" localSheetId="25" hidden="1">'Compression Fittings'!$B$7:$X$16</definedName>
    <definedName name="_xlnm._FilterDatabase" localSheetId="11" hidden="1">CPVC!$D$7:$T$104</definedName>
    <definedName name="_xlnm._FilterDatabase" localSheetId="20" hidden="1">Drainage!$B$7:$V$69</definedName>
    <definedName name="_xlnm._FilterDatabase" localSheetId="24" hidden="1">DuraFix!$B$7:$M$15</definedName>
    <definedName name="_xlnm._FilterDatabase" localSheetId="2" hidden="1">'DWV ABS'!$B$7:$S$117</definedName>
    <definedName name="_xlnm._FilterDatabase" localSheetId="3" hidden="1">'DWV PVC'!$B$7:$S$317</definedName>
    <definedName name="_xlnm._FilterDatabase" localSheetId="23" hidden="1">FlexibleRepairCouplings!$D$7:$K$11</definedName>
    <definedName name="_xlnm._FilterDatabase" localSheetId="26" hidden="1">'Hose Fittings'!$B$7:$X$30</definedName>
    <definedName name="_xlnm._FilterDatabase" localSheetId="12" hidden="1">InsertFittings!$D$7:$W$184</definedName>
    <definedName name="_xlnm._FilterDatabase" localSheetId="22" hidden="1">Manifold!$D$7:$W$32</definedName>
    <definedName name="_xlnm._FilterDatabase" localSheetId="21" hidden="1">Nipples!$D$7:$AA$81</definedName>
    <definedName name="_xlnm._FilterDatabase" localSheetId="7" hidden="1">'Pool &amp; SPA Pipe Extender'!$D$7:$X$10</definedName>
    <definedName name="_xlnm._FilterDatabase" localSheetId="6" hidden="1">'Pool &amp; SPA Sweep Elbows'!$D$7:$X$11</definedName>
    <definedName name="_xlnm._FilterDatabase" localSheetId="4" hidden="1">'PVC SCH40'!$D$7:$X$424</definedName>
    <definedName name="_xlnm._FilterDatabase" localSheetId="5" hidden="1">'PVC SCH40 LD'!$D$7:$X$21</definedName>
    <definedName name="_xlnm._FilterDatabase" localSheetId="8" hidden="1">'PVC SCH80'!$B$7:$W$250</definedName>
    <definedName name="_xlnm._FilterDatabase" localSheetId="9" hidden="1">'PVC SCH80 Flange'!$B$7:$W$49</definedName>
    <definedName name="_xlnm._FilterDatabase" localSheetId="10" hidden="1">'PVC SCH80 LD Flange'!$D$7:$W$16</definedName>
    <definedName name="_xlnm._FilterDatabase" localSheetId="16" hidden="1">SDR26G!$E$7:$T$63</definedName>
    <definedName name="_xlnm._FilterDatabase" localSheetId="15" hidden="1">SDR35G!$D$7:$S$150</definedName>
    <definedName name="_xlnm._FilterDatabase" localSheetId="14" hidden="1">SDR35SW!$A$7:$W$133</definedName>
    <definedName name="_xlnm._FilterDatabase" localSheetId="27" hidden="1">'Swing Joints'!$D$7:$V$494</definedName>
    <definedName name="_xlnm._FilterDatabase" localSheetId="28" hidden="1">'Swing Joints Components'!$D$7:$V$134</definedName>
    <definedName name="_xlnm._FilterDatabase" localSheetId="18" hidden="1">ValveBox!$D$7:$V$123</definedName>
    <definedName name="_xlnm._FilterDatabase" localSheetId="19" hidden="1">'ValveBox Components'!$D$7:$U$142</definedName>
    <definedName name="_xlnm._FilterDatabase" localSheetId="13" hidden="1">Valves!$D$7:$AA$91</definedName>
    <definedName name="_xlnm.Print_Area" localSheetId="31">'All Products'!$A$1:$H$2761</definedName>
    <definedName name="_xlnm.Print_Area" localSheetId="17">Cements!$A$1:$M$94</definedName>
    <definedName name="_xlnm.Print_Area" localSheetId="25">'Compression Fittings'!$A$1:$I$16</definedName>
    <definedName name="_xlnm.Print_Area" localSheetId="11">CPVC!$A$1:$I$105</definedName>
    <definedName name="_xlnm.Print_Area" localSheetId="20">Drainage!$A$1:$I$69</definedName>
    <definedName name="_xlnm.Print_Area" localSheetId="24">DuraFix!$A$1:$I$15</definedName>
    <definedName name="_xlnm.Print_Area" localSheetId="2">'DWV ABS'!$A$1:$I$120</definedName>
    <definedName name="_xlnm.Print_Area" localSheetId="3">'DWV PVC'!$A$1:$I$317</definedName>
    <definedName name="_xlnm.Print_Area" localSheetId="23">FlexibleRepairCouplings!$A$1:$I$12</definedName>
    <definedName name="_xlnm.Print_Area" localSheetId="26">'Hose Fittings'!$A$1:$I$30</definedName>
    <definedName name="_xlnm.Print_Area" localSheetId="12">InsertFittings!$A$1:$I$185</definedName>
    <definedName name="_xlnm.Print_Area" localSheetId="22">Manifold!$A$1:$I$33</definedName>
    <definedName name="_xlnm.Print_Area" localSheetId="21">Nipples!$A$1:$M$82</definedName>
    <definedName name="_xlnm.Print_Area" localSheetId="7">'Pool &amp; SPA Pipe Extender'!$A$1:$I$11</definedName>
    <definedName name="_xlnm.Print_Area" localSheetId="6">'Pool &amp; SPA Sweep Elbows'!$A$1:$I$12</definedName>
    <definedName name="_xlnm.Print_Area" localSheetId="4">'PVC SCH40'!$A$1:$I$425</definedName>
    <definedName name="_xlnm.Print_Area" localSheetId="5">'PVC SCH40 LD'!$A$1:$I$22</definedName>
    <definedName name="_xlnm.Print_Area" localSheetId="8">'PVC SCH80'!$A$1:$I$250</definedName>
    <definedName name="_xlnm.Print_Area" localSheetId="9">'PVC SCH80 Flange'!$A$1:$I$49</definedName>
    <definedName name="_xlnm.Print_Area" localSheetId="10">'PVC SCH80 LD Flange'!$A$1:$I$17</definedName>
    <definedName name="_xlnm.Print_Area" localSheetId="16">SDR26G!$A$1:$J$64</definedName>
    <definedName name="_xlnm.Print_Area" localSheetId="15">SDR35G!$A$1:$I$151</definedName>
    <definedName name="_xlnm.Print_Area" localSheetId="14">SDR35SW!$A$1:$I$133</definedName>
    <definedName name="_xlnm.Print_Area" localSheetId="27">'Swing Joints'!$A$1:$I$495</definedName>
    <definedName name="_xlnm.Print_Area" localSheetId="28">'Swing Joints Components'!$A$1:$I$135</definedName>
    <definedName name="_xlnm.Print_Area" localSheetId="18">ValveBox!$A$1:$K$124</definedName>
    <definedName name="_xlnm.Print_Area" localSheetId="19">'ValveBox Components'!$A$1:$J$142</definedName>
    <definedName name="_xlnm.Print_Area" localSheetId="13">Valves!$A$1:$M$92</definedName>
    <definedName name="_xlnm.Print_Titles" localSheetId="31">'All Products'!$1:$7</definedName>
    <definedName name="_xlnm.Print_Titles" localSheetId="17">Cements!$1:$7</definedName>
    <definedName name="_xlnm.Print_Titles" localSheetId="25">'Compression Fittings'!$1:$7</definedName>
    <definedName name="_xlnm.Print_Titles" localSheetId="11">CPVC!$1:$7</definedName>
    <definedName name="_xlnm.Print_Titles" localSheetId="20">Drainage!$1:$7</definedName>
    <definedName name="_xlnm.Print_Titles" localSheetId="24">DuraFix!$1:$7</definedName>
    <definedName name="_xlnm.Print_Titles" localSheetId="2">'DWV ABS'!$1:$7</definedName>
    <definedName name="_xlnm.Print_Titles" localSheetId="3">'DWV PVC'!$1:$7</definedName>
    <definedName name="_xlnm.Print_Titles" localSheetId="23">FlexibleRepairCouplings!$1:$7</definedName>
    <definedName name="_xlnm.Print_Titles" localSheetId="26">'Hose Fittings'!$1:$7</definedName>
    <definedName name="_xlnm.Print_Titles" localSheetId="12">InsertFittings!$1:$7</definedName>
    <definedName name="_xlnm.Print_Titles" localSheetId="22">Manifold!$1:$7</definedName>
    <definedName name="_xlnm.Print_Titles" localSheetId="21">Nipples!$1:$7</definedName>
    <definedName name="_xlnm.Print_Titles" localSheetId="1">Order_Quote!$1:$31</definedName>
    <definedName name="_xlnm.Print_Titles" localSheetId="7">'Pool &amp; SPA Pipe Extender'!$1:$7</definedName>
    <definedName name="_xlnm.Print_Titles" localSheetId="6">'Pool &amp; SPA Sweep Elbows'!$1:$7</definedName>
    <definedName name="_xlnm.Print_Titles" localSheetId="4">'PVC SCH40'!$1:$7</definedName>
    <definedName name="_xlnm.Print_Titles" localSheetId="5">'PVC SCH40 LD'!$1:$7</definedName>
    <definedName name="_xlnm.Print_Titles" localSheetId="8">'PVC SCH80'!$1:$7</definedName>
    <definedName name="_xlnm.Print_Titles" localSheetId="9">'PVC SCH80 Flange'!$1:$7</definedName>
    <definedName name="_xlnm.Print_Titles" localSheetId="10">'PVC SCH80 LD Flange'!$1:$7</definedName>
    <definedName name="_xlnm.Print_Titles" localSheetId="16">SDR26G!$1:$7</definedName>
    <definedName name="_xlnm.Print_Titles" localSheetId="15">SDR35G!$1:$7</definedName>
    <definedName name="_xlnm.Print_Titles" localSheetId="14">SDR35SW!$1:$7</definedName>
    <definedName name="_xlnm.Print_Titles" localSheetId="27">'Swing Joints'!$1:$7</definedName>
    <definedName name="_xlnm.Print_Titles" localSheetId="28">'Swing Joints Components'!$1:$7</definedName>
    <definedName name="_xlnm.Print_Titles" localSheetId="18">ValveBox!$1:$7</definedName>
    <definedName name="_xlnm.Print_Titles" localSheetId="19">'ValveBox Components'!$1:$7</definedName>
    <definedName name="_xlnm.Print_Titles" localSheetId="13">Valves!$1:$7</definedName>
    <definedName name="Product_Line" comment="List of product lines for non-standard order items" localSheetId="17">#REF!</definedName>
    <definedName name="Product_Line" comment="List of product lines for non-standard order items" localSheetId="11">#REF!</definedName>
    <definedName name="Product_Line" comment="List of product lines for non-standard order items" localSheetId="20">#REF!</definedName>
    <definedName name="Product_Line" comment="List of product lines for non-standard order items" localSheetId="24">#REF!</definedName>
    <definedName name="Product_Line" comment="List of product lines for non-standard order items" localSheetId="23">#REF!</definedName>
    <definedName name="Product_Line" comment="List of product lines for non-standard order items" localSheetId="12">#REF!</definedName>
    <definedName name="Product_Line" comment="List of product lines for non-standard order items" localSheetId="22">#REF!</definedName>
    <definedName name="Product_Line" comment="List of product lines for non-standard order items" localSheetId="21">#REF!</definedName>
    <definedName name="Product_Line" comment="List of product lines for non-standard order items" localSheetId="8">#REF!</definedName>
    <definedName name="Product_Line" comment="List of product lines for non-standard order items" localSheetId="9">#REF!</definedName>
    <definedName name="Product_Line" comment="List of product lines for non-standard order items" localSheetId="10">#REF!</definedName>
    <definedName name="Product_Line" comment="List of product lines for non-standard order items" localSheetId="27">#REF!</definedName>
    <definedName name="Product_Line" comment="List of product lines for non-standard order items" localSheetId="28">#REF!</definedName>
    <definedName name="Product_Line" comment="List of product lines for non-standard order items" localSheetId="18">#REF!</definedName>
    <definedName name="Product_Line" comment="List of product lines for non-standard order items" localSheetId="19">#REF!</definedName>
    <definedName name="Product_Line" comment="List of product lines for non-standard order items" localSheetId="13">#REF!</definedName>
    <definedName name="Product_Line" comment="List of product lines for non-standard order item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1" i="9" l="1"/>
  <c r="F417" i="9"/>
  <c r="G417" i="9"/>
  <c r="H417" i="9"/>
  <c r="I417" i="9"/>
  <c r="J417" i="9" s="1"/>
  <c r="M417" i="9"/>
  <c r="O417" i="9"/>
  <c r="P417" i="9"/>
  <c r="Q417" i="9"/>
  <c r="R417" i="9"/>
  <c r="S417" i="9"/>
  <c r="T417" i="9"/>
  <c r="U417" i="9"/>
  <c r="V417" i="9"/>
  <c r="W417" i="9"/>
  <c r="D417" i="9"/>
  <c r="F400" i="9"/>
  <c r="G400" i="9"/>
  <c r="H400" i="9"/>
  <c r="I400" i="9"/>
  <c r="J400" i="9" s="1"/>
  <c r="M400" i="9"/>
  <c r="O400" i="9"/>
  <c r="P400" i="9"/>
  <c r="Q400" i="9"/>
  <c r="R400" i="9"/>
  <c r="S400" i="9"/>
  <c r="T400" i="9"/>
  <c r="U400" i="9"/>
  <c r="V400" i="9"/>
  <c r="W400" i="9"/>
  <c r="D400" i="9"/>
  <c r="F395" i="9"/>
  <c r="G395" i="9"/>
  <c r="M395" i="9" s="1"/>
  <c r="H395" i="9"/>
  <c r="I395" i="9"/>
  <c r="J395" i="9"/>
  <c r="O395" i="9"/>
  <c r="P395" i="9"/>
  <c r="Q395" i="9"/>
  <c r="R395" i="9"/>
  <c r="S395" i="9"/>
  <c r="T395" i="9"/>
  <c r="U395" i="9"/>
  <c r="V395" i="9"/>
  <c r="W395" i="9"/>
  <c r="D395" i="9"/>
  <c r="F367" i="9"/>
  <c r="G367" i="9"/>
  <c r="M367" i="9" s="1"/>
  <c r="H367" i="9"/>
  <c r="I367" i="9"/>
  <c r="J367" i="9" s="1"/>
  <c r="O367" i="9"/>
  <c r="P367" i="9"/>
  <c r="Q367" i="9"/>
  <c r="R367" i="9"/>
  <c r="S367" i="9"/>
  <c r="T367" i="9"/>
  <c r="U367" i="9"/>
  <c r="V367" i="9"/>
  <c r="W367" i="9"/>
  <c r="D367" i="9"/>
  <c r="F335" i="9"/>
  <c r="G335" i="9"/>
  <c r="M335" i="9" s="1"/>
  <c r="H335" i="9"/>
  <c r="I335" i="9"/>
  <c r="J335" i="9" s="1"/>
  <c r="O335" i="9"/>
  <c r="P335" i="9"/>
  <c r="Q335" i="9"/>
  <c r="R335" i="9"/>
  <c r="S335" i="9"/>
  <c r="T335" i="9"/>
  <c r="U335" i="9"/>
  <c r="V335" i="9"/>
  <c r="W335" i="9"/>
  <c r="D335" i="9"/>
  <c r="R337" i="9"/>
  <c r="F322" i="9"/>
  <c r="G322" i="9"/>
  <c r="M322" i="9" s="1"/>
  <c r="H322" i="9"/>
  <c r="I322" i="9"/>
  <c r="J322" i="9" s="1"/>
  <c r="O322" i="9"/>
  <c r="P322" i="9"/>
  <c r="Q322" i="9"/>
  <c r="R322" i="9"/>
  <c r="S322" i="9"/>
  <c r="T322" i="9"/>
  <c r="U322" i="9"/>
  <c r="V322" i="9"/>
  <c r="W322" i="9"/>
  <c r="F323" i="9"/>
  <c r="G323" i="9"/>
  <c r="M323" i="9" s="1"/>
  <c r="H323" i="9"/>
  <c r="I323" i="9"/>
  <c r="J323" i="9"/>
  <c r="O323" i="9"/>
  <c r="P323" i="9"/>
  <c r="Q323" i="9"/>
  <c r="R323" i="9"/>
  <c r="S323" i="9"/>
  <c r="T323" i="9"/>
  <c r="U323" i="9"/>
  <c r="V323" i="9"/>
  <c r="W323" i="9"/>
  <c r="F324" i="9"/>
  <c r="G324" i="9"/>
  <c r="M324" i="9" s="1"/>
  <c r="H324" i="9"/>
  <c r="I324" i="9"/>
  <c r="J324" i="9" s="1"/>
  <c r="O324" i="9"/>
  <c r="P324" i="9"/>
  <c r="Q324" i="9"/>
  <c r="R324" i="9"/>
  <c r="S324" i="9"/>
  <c r="T324" i="9"/>
  <c r="U324" i="9"/>
  <c r="V324" i="9"/>
  <c r="W324" i="9"/>
  <c r="F325" i="9"/>
  <c r="G325" i="9"/>
  <c r="M325" i="9" s="1"/>
  <c r="H325" i="9"/>
  <c r="I325" i="9"/>
  <c r="J325" i="9" s="1"/>
  <c r="O325" i="9"/>
  <c r="P325" i="9"/>
  <c r="Q325" i="9"/>
  <c r="R325" i="9"/>
  <c r="S325" i="9"/>
  <c r="T325" i="9"/>
  <c r="U325" i="9"/>
  <c r="V325" i="9"/>
  <c r="W325" i="9"/>
  <c r="F326" i="9"/>
  <c r="G326" i="9"/>
  <c r="M326" i="9" s="1"/>
  <c r="H326" i="9"/>
  <c r="I326" i="9"/>
  <c r="J326" i="9" s="1"/>
  <c r="O326" i="9"/>
  <c r="P326" i="9"/>
  <c r="Q326" i="9"/>
  <c r="R326" i="9"/>
  <c r="S326" i="9"/>
  <c r="T326" i="9"/>
  <c r="U326" i="9"/>
  <c r="V326" i="9"/>
  <c r="W326" i="9"/>
  <c r="F327" i="9"/>
  <c r="G327" i="9"/>
  <c r="M327" i="9" s="1"/>
  <c r="H327" i="9"/>
  <c r="I327" i="9"/>
  <c r="J327" i="9" s="1"/>
  <c r="O327" i="9"/>
  <c r="P327" i="9"/>
  <c r="Q327" i="9"/>
  <c r="R327" i="9"/>
  <c r="S327" i="9"/>
  <c r="T327" i="9"/>
  <c r="U327" i="9"/>
  <c r="V327" i="9"/>
  <c r="W327" i="9"/>
  <c r="D322" i="9"/>
  <c r="D323" i="9"/>
  <c r="D324" i="9"/>
  <c r="D325" i="9"/>
  <c r="D326" i="9"/>
  <c r="D327" i="9"/>
  <c r="F270" i="9"/>
  <c r="G270" i="9"/>
  <c r="M270" i="9" s="1"/>
  <c r="H270" i="9"/>
  <c r="I270" i="9"/>
  <c r="J270" i="9" s="1"/>
  <c r="O270" i="9"/>
  <c r="P270" i="9"/>
  <c r="Q270" i="9"/>
  <c r="R270" i="9"/>
  <c r="S270" i="9"/>
  <c r="T270" i="9"/>
  <c r="U270" i="9"/>
  <c r="V270" i="9"/>
  <c r="W270" i="9"/>
  <c r="F271" i="9"/>
  <c r="G271" i="9"/>
  <c r="M271" i="9" s="1"/>
  <c r="H271" i="9"/>
  <c r="I271" i="9"/>
  <c r="J271" i="9" s="1"/>
  <c r="O271" i="9"/>
  <c r="P271" i="9"/>
  <c r="Q271" i="9"/>
  <c r="R271" i="9"/>
  <c r="S271" i="9"/>
  <c r="T271" i="9"/>
  <c r="U271" i="9"/>
  <c r="V271" i="9"/>
  <c r="W271" i="9"/>
  <c r="F272" i="9"/>
  <c r="G272" i="9"/>
  <c r="M272" i="9" s="1"/>
  <c r="H272" i="9"/>
  <c r="I272" i="9"/>
  <c r="J272" i="9" s="1"/>
  <c r="O272" i="9"/>
  <c r="P272" i="9"/>
  <c r="Q272" i="9"/>
  <c r="R272" i="9"/>
  <c r="S272" i="9"/>
  <c r="T272" i="9"/>
  <c r="U272" i="9"/>
  <c r="V272" i="9"/>
  <c r="W272" i="9"/>
  <c r="F273" i="9"/>
  <c r="G273" i="9"/>
  <c r="M273" i="9" s="1"/>
  <c r="H273" i="9"/>
  <c r="I273" i="9"/>
  <c r="J273" i="9" s="1"/>
  <c r="O273" i="9"/>
  <c r="P273" i="9"/>
  <c r="Q273" i="9"/>
  <c r="R273" i="9"/>
  <c r="S273" i="9"/>
  <c r="T273" i="9"/>
  <c r="U273" i="9"/>
  <c r="V273" i="9"/>
  <c r="W273" i="9"/>
  <c r="F274" i="9"/>
  <c r="G274" i="9"/>
  <c r="M274" i="9" s="1"/>
  <c r="H274" i="9"/>
  <c r="I274" i="9"/>
  <c r="J274" i="9" s="1"/>
  <c r="O274" i="9"/>
  <c r="P274" i="9"/>
  <c r="Q274" i="9"/>
  <c r="R274" i="9"/>
  <c r="S274" i="9"/>
  <c r="T274" i="9"/>
  <c r="U274" i="9"/>
  <c r="V274" i="9"/>
  <c r="W274" i="9"/>
  <c r="F275" i="9"/>
  <c r="G275" i="9"/>
  <c r="M275" i="9" s="1"/>
  <c r="H275" i="9"/>
  <c r="I275" i="9"/>
  <c r="J275" i="9" s="1"/>
  <c r="O275" i="9"/>
  <c r="P275" i="9"/>
  <c r="Q275" i="9"/>
  <c r="R275" i="9"/>
  <c r="S275" i="9"/>
  <c r="T275" i="9"/>
  <c r="U275" i="9"/>
  <c r="V275" i="9"/>
  <c r="W275" i="9"/>
  <c r="F276" i="9"/>
  <c r="G276" i="9"/>
  <c r="M276" i="9" s="1"/>
  <c r="H276" i="9"/>
  <c r="I276" i="9"/>
  <c r="J276" i="9" s="1"/>
  <c r="O276" i="9"/>
  <c r="P276" i="9"/>
  <c r="Q276" i="9"/>
  <c r="R276" i="9"/>
  <c r="S276" i="9"/>
  <c r="T276" i="9"/>
  <c r="U276" i="9"/>
  <c r="V276" i="9"/>
  <c r="W276" i="9"/>
  <c r="F277" i="9"/>
  <c r="G277" i="9"/>
  <c r="M277" i="9" s="1"/>
  <c r="H277" i="9"/>
  <c r="I277" i="9"/>
  <c r="J277" i="9" s="1"/>
  <c r="O277" i="9"/>
  <c r="P277" i="9"/>
  <c r="Q277" i="9"/>
  <c r="R277" i="9"/>
  <c r="S277" i="9"/>
  <c r="T277" i="9"/>
  <c r="U277" i="9"/>
  <c r="V277" i="9"/>
  <c r="W277" i="9"/>
  <c r="F278" i="9"/>
  <c r="G278" i="9"/>
  <c r="M278" i="9" s="1"/>
  <c r="H278" i="9"/>
  <c r="I278" i="9"/>
  <c r="J278" i="9" s="1"/>
  <c r="O278" i="9"/>
  <c r="P278" i="9"/>
  <c r="Q278" i="9"/>
  <c r="R278" i="9"/>
  <c r="S278" i="9"/>
  <c r="T278" i="9"/>
  <c r="U278" i="9"/>
  <c r="V278" i="9"/>
  <c r="W278" i="9"/>
  <c r="F279" i="9"/>
  <c r="G279" i="9"/>
  <c r="M279" i="9" s="1"/>
  <c r="H279" i="9"/>
  <c r="I279" i="9"/>
  <c r="J279" i="9" s="1"/>
  <c r="O279" i="9"/>
  <c r="P279" i="9"/>
  <c r="Q279" i="9"/>
  <c r="R279" i="9"/>
  <c r="S279" i="9"/>
  <c r="T279" i="9"/>
  <c r="U279" i="9"/>
  <c r="V279" i="9"/>
  <c r="W279" i="9"/>
  <c r="F280" i="9"/>
  <c r="G280" i="9"/>
  <c r="M280" i="9" s="1"/>
  <c r="H280" i="9"/>
  <c r="I280" i="9"/>
  <c r="J280" i="9" s="1"/>
  <c r="O280" i="9"/>
  <c r="P280" i="9"/>
  <c r="Q280" i="9"/>
  <c r="R280" i="9"/>
  <c r="S280" i="9"/>
  <c r="T280" i="9"/>
  <c r="U280" i="9"/>
  <c r="V280" i="9"/>
  <c r="W280" i="9"/>
  <c r="F281" i="9"/>
  <c r="G281" i="9"/>
  <c r="M281" i="9" s="1"/>
  <c r="H281" i="9"/>
  <c r="I281" i="9"/>
  <c r="J281" i="9" s="1"/>
  <c r="O281" i="9"/>
  <c r="P281" i="9"/>
  <c r="Q281" i="9"/>
  <c r="R281" i="9"/>
  <c r="S281" i="9"/>
  <c r="T281" i="9"/>
  <c r="U281" i="9"/>
  <c r="V281" i="9"/>
  <c r="W281" i="9"/>
  <c r="F282" i="9"/>
  <c r="G282" i="9"/>
  <c r="M282" i="9" s="1"/>
  <c r="H282" i="9"/>
  <c r="I282" i="9"/>
  <c r="J282" i="9" s="1"/>
  <c r="O282" i="9"/>
  <c r="P282" i="9"/>
  <c r="Q282" i="9"/>
  <c r="R282" i="9"/>
  <c r="S282" i="9"/>
  <c r="T282" i="9"/>
  <c r="U282" i="9"/>
  <c r="V282" i="9"/>
  <c r="W282" i="9"/>
  <c r="F283" i="9"/>
  <c r="G283" i="9"/>
  <c r="M283" i="9" s="1"/>
  <c r="H283" i="9"/>
  <c r="I283" i="9"/>
  <c r="J283" i="9" s="1"/>
  <c r="O283" i="9"/>
  <c r="P283" i="9"/>
  <c r="Q283" i="9"/>
  <c r="R283" i="9"/>
  <c r="S283" i="9"/>
  <c r="T283" i="9"/>
  <c r="U283" i="9"/>
  <c r="V283" i="9"/>
  <c r="W283" i="9"/>
  <c r="F284" i="9"/>
  <c r="G284" i="9"/>
  <c r="M284" i="9" s="1"/>
  <c r="H284" i="9"/>
  <c r="I284" i="9"/>
  <c r="J284" i="9" s="1"/>
  <c r="O284" i="9"/>
  <c r="P284" i="9"/>
  <c r="Q284" i="9"/>
  <c r="R284" i="9"/>
  <c r="S284" i="9"/>
  <c r="T284" i="9"/>
  <c r="U284" i="9"/>
  <c r="V284" i="9"/>
  <c r="W284" i="9"/>
  <c r="F285" i="9"/>
  <c r="G285" i="9"/>
  <c r="M285" i="9" s="1"/>
  <c r="H285" i="9"/>
  <c r="I285" i="9"/>
  <c r="J285" i="9" s="1"/>
  <c r="O285" i="9"/>
  <c r="P285" i="9"/>
  <c r="Q285" i="9"/>
  <c r="R285" i="9"/>
  <c r="S285" i="9"/>
  <c r="T285" i="9"/>
  <c r="U285" i="9"/>
  <c r="V285" i="9"/>
  <c r="W285" i="9"/>
  <c r="F286" i="9"/>
  <c r="G286" i="9"/>
  <c r="M286" i="9" s="1"/>
  <c r="H286" i="9"/>
  <c r="I286" i="9"/>
  <c r="J286" i="9" s="1"/>
  <c r="O286" i="9"/>
  <c r="P286" i="9"/>
  <c r="Q286" i="9"/>
  <c r="R286" i="9"/>
  <c r="S286" i="9"/>
  <c r="T286" i="9"/>
  <c r="U286" i="9"/>
  <c r="V286" i="9"/>
  <c r="W286" i="9"/>
  <c r="F287" i="9"/>
  <c r="G287" i="9"/>
  <c r="M287" i="9" s="1"/>
  <c r="H287" i="9"/>
  <c r="I287" i="9"/>
  <c r="J287" i="9" s="1"/>
  <c r="O287" i="9"/>
  <c r="P287" i="9"/>
  <c r="Q287" i="9"/>
  <c r="R287" i="9"/>
  <c r="S287" i="9"/>
  <c r="T287" i="9"/>
  <c r="U287" i="9"/>
  <c r="V287" i="9"/>
  <c r="W287" i="9"/>
  <c r="D283" i="9"/>
  <c r="D284" i="9"/>
  <c r="D285" i="9"/>
  <c r="D286" i="9"/>
  <c r="D287" i="9"/>
  <c r="D270" i="9"/>
  <c r="D280" i="9"/>
  <c r="F254" i="9"/>
  <c r="G254" i="9"/>
  <c r="M254" i="9" s="1"/>
  <c r="H254" i="9"/>
  <c r="I254" i="9"/>
  <c r="J254" i="9" s="1"/>
  <c r="O254" i="9"/>
  <c r="P254" i="9"/>
  <c r="Q254" i="9"/>
  <c r="R254" i="9"/>
  <c r="S254" i="9"/>
  <c r="T254" i="9"/>
  <c r="U254" i="9"/>
  <c r="V254" i="9"/>
  <c r="W254" i="9"/>
  <c r="F255" i="9"/>
  <c r="G255" i="9"/>
  <c r="M255" i="9" s="1"/>
  <c r="H255" i="9"/>
  <c r="I255" i="9"/>
  <c r="J255" i="9" s="1"/>
  <c r="O255" i="9"/>
  <c r="P255" i="9"/>
  <c r="Q255" i="9"/>
  <c r="R255" i="9"/>
  <c r="S255" i="9"/>
  <c r="T255" i="9"/>
  <c r="U255" i="9"/>
  <c r="V255" i="9"/>
  <c r="W255" i="9"/>
  <c r="F256" i="9"/>
  <c r="G256" i="9"/>
  <c r="M256" i="9" s="1"/>
  <c r="H256" i="9"/>
  <c r="I256" i="9"/>
  <c r="J256" i="9" s="1"/>
  <c r="O256" i="9"/>
  <c r="P256" i="9"/>
  <c r="Q256" i="9"/>
  <c r="R256" i="9"/>
  <c r="S256" i="9"/>
  <c r="T256" i="9"/>
  <c r="U256" i="9"/>
  <c r="V256" i="9"/>
  <c r="W256" i="9"/>
  <c r="F257" i="9"/>
  <c r="G257" i="9"/>
  <c r="M257" i="9" s="1"/>
  <c r="H257" i="9"/>
  <c r="I257" i="9"/>
  <c r="J257" i="9" s="1"/>
  <c r="O257" i="9"/>
  <c r="P257" i="9"/>
  <c r="Q257" i="9"/>
  <c r="R257" i="9"/>
  <c r="S257" i="9"/>
  <c r="T257" i="9"/>
  <c r="U257" i="9"/>
  <c r="V257" i="9"/>
  <c r="W257" i="9"/>
  <c r="F258" i="9"/>
  <c r="G258" i="9"/>
  <c r="M258" i="9" s="1"/>
  <c r="H258" i="9"/>
  <c r="I258" i="9"/>
  <c r="J258" i="9" s="1"/>
  <c r="O258" i="9"/>
  <c r="P258" i="9"/>
  <c r="Q258" i="9"/>
  <c r="R258" i="9"/>
  <c r="S258" i="9"/>
  <c r="T258" i="9"/>
  <c r="U258" i="9"/>
  <c r="V258" i="9"/>
  <c r="W258" i="9"/>
  <c r="F259" i="9"/>
  <c r="G259" i="9"/>
  <c r="M259" i="9" s="1"/>
  <c r="H259" i="9"/>
  <c r="I259" i="9"/>
  <c r="J259" i="9" s="1"/>
  <c r="O259" i="9"/>
  <c r="P259" i="9"/>
  <c r="Q259" i="9"/>
  <c r="R259" i="9"/>
  <c r="S259" i="9"/>
  <c r="T259" i="9"/>
  <c r="U259" i="9"/>
  <c r="V259" i="9"/>
  <c r="W259" i="9"/>
  <c r="F260" i="9"/>
  <c r="G260" i="9"/>
  <c r="M260" i="9" s="1"/>
  <c r="H260" i="9"/>
  <c r="I260" i="9"/>
  <c r="J260" i="9" s="1"/>
  <c r="O260" i="9"/>
  <c r="P260" i="9"/>
  <c r="Q260" i="9"/>
  <c r="R260" i="9"/>
  <c r="S260" i="9"/>
  <c r="T260" i="9"/>
  <c r="U260" i="9"/>
  <c r="V260" i="9"/>
  <c r="W260" i="9"/>
  <c r="F261" i="9"/>
  <c r="G261" i="9"/>
  <c r="M261" i="9" s="1"/>
  <c r="H261" i="9"/>
  <c r="I261" i="9"/>
  <c r="J261" i="9" s="1"/>
  <c r="O261" i="9"/>
  <c r="P261" i="9"/>
  <c r="Q261" i="9"/>
  <c r="R261" i="9"/>
  <c r="S261" i="9"/>
  <c r="T261" i="9"/>
  <c r="U261" i="9"/>
  <c r="V261" i="9"/>
  <c r="W261" i="9"/>
  <c r="F262" i="9"/>
  <c r="G262" i="9"/>
  <c r="M262" i="9" s="1"/>
  <c r="H262" i="9"/>
  <c r="I262" i="9"/>
  <c r="J262" i="9" s="1"/>
  <c r="O262" i="9"/>
  <c r="P262" i="9"/>
  <c r="Q262" i="9"/>
  <c r="R262" i="9"/>
  <c r="S262" i="9"/>
  <c r="T262" i="9"/>
  <c r="U262" i="9"/>
  <c r="V262" i="9"/>
  <c r="W262" i="9"/>
  <c r="F263" i="9"/>
  <c r="G263" i="9"/>
  <c r="M263" i="9" s="1"/>
  <c r="H263" i="9"/>
  <c r="I263" i="9"/>
  <c r="J263" i="9" s="1"/>
  <c r="O263" i="9"/>
  <c r="P263" i="9"/>
  <c r="Q263" i="9"/>
  <c r="R263" i="9"/>
  <c r="S263" i="9"/>
  <c r="T263" i="9"/>
  <c r="U263" i="9"/>
  <c r="V263" i="9"/>
  <c r="W263" i="9"/>
  <c r="D263" i="9"/>
  <c r="D254" i="9"/>
  <c r="D259" i="9"/>
  <c r="F236" i="9"/>
  <c r="G236" i="9"/>
  <c r="M236" i="9" s="1"/>
  <c r="H236" i="9"/>
  <c r="I236" i="9"/>
  <c r="J236" i="9" s="1"/>
  <c r="O236" i="9"/>
  <c r="P236" i="9"/>
  <c r="Q236" i="9"/>
  <c r="R236" i="9"/>
  <c r="S236" i="9"/>
  <c r="T236" i="9"/>
  <c r="U236" i="9"/>
  <c r="V236" i="9"/>
  <c r="W236" i="9"/>
  <c r="F237" i="9"/>
  <c r="G237" i="9"/>
  <c r="M237" i="9" s="1"/>
  <c r="H237" i="9"/>
  <c r="I237" i="9"/>
  <c r="J237" i="9" s="1"/>
  <c r="O237" i="9"/>
  <c r="P237" i="9"/>
  <c r="Q237" i="9"/>
  <c r="R237" i="9"/>
  <c r="S237" i="9"/>
  <c r="T237" i="9"/>
  <c r="U237" i="9"/>
  <c r="V237" i="9"/>
  <c r="W237" i="9"/>
  <c r="F238" i="9"/>
  <c r="G238" i="9"/>
  <c r="M238" i="9" s="1"/>
  <c r="H238" i="9"/>
  <c r="I238" i="9"/>
  <c r="J238" i="9" s="1"/>
  <c r="O238" i="9"/>
  <c r="P238" i="9"/>
  <c r="Q238" i="9"/>
  <c r="R238" i="9"/>
  <c r="S238" i="9"/>
  <c r="T238" i="9"/>
  <c r="U238" i="9"/>
  <c r="V238" i="9"/>
  <c r="W238" i="9"/>
  <c r="F239" i="9"/>
  <c r="G239" i="9"/>
  <c r="M239" i="9" s="1"/>
  <c r="H239" i="9"/>
  <c r="I239" i="9"/>
  <c r="J239" i="9" s="1"/>
  <c r="O239" i="9"/>
  <c r="P239" i="9"/>
  <c r="Q239" i="9"/>
  <c r="R239" i="9"/>
  <c r="S239" i="9"/>
  <c r="T239" i="9"/>
  <c r="U239" i="9"/>
  <c r="V239" i="9"/>
  <c r="W239" i="9"/>
  <c r="D236" i="9"/>
  <c r="D237" i="9"/>
  <c r="D238" i="9"/>
  <c r="D239" i="9"/>
  <c r="F220" i="9"/>
  <c r="G220" i="9"/>
  <c r="M220" i="9" s="1"/>
  <c r="H220" i="9"/>
  <c r="I220" i="9"/>
  <c r="J220" i="9"/>
  <c r="O220" i="9"/>
  <c r="P220" i="9"/>
  <c r="Q220" i="9"/>
  <c r="R220" i="9"/>
  <c r="S220" i="9"/>
  <c r="T220" i="9"/>
  <c r="U220" i="9"/>
  <c r="V220" i="9"/>
  <c r="W220" i="9"/>
  <c r="D220" i="9"/>
  <c r="F215" i="9"/>
  <c r="G215" i="9"/>
  <c r="M215" i="9" s="1"/>
  <c r="H215" i="9"/>
  <c r="I215" i="9"/>
  <c r="J215" i="9" s="1"/>
  <c r="O215" i="9"/>
  <c r="P215" i="9"/>
  <c r="Q215" i="9"/>
  <c r="R215" i="9"/>
  <c r="S215" i="9"/>
  <c r="T215" i="9"/>
  <c r="U215" i="9"/>
  <c r="V215" i="9"/>
  <c r="W215" i="9"/>
  <c r="D215" i="9"/>
  <c r="F196" i="9"/>
  <c r="G196" i="9"/>
  <c r="M196" i="9" s="1"/>
  <c r="H196" i="9"/>
  <c r="I196" i="9"/>
  <c r="J196" i="9" s="1"/>
  <c r="O196" i="9"/>
  <c r="P196" i="9"/>
  <c r="Q196" i="9"/>
  <c r="R196" i="9"/>
  <c r="S196" i="9"/>
  <c r="T196" i="9"/>
  <c r="U196" i="9"/>
  <c r="V196" i="9"/>
  <c r="W196" i="9"/>
  <c r="F197" i="9"/>
  <c r="G197" i="9"/>
  <c r="M197" i="9" s="1"/>
  <c r="H197" i="9"/>
  <c r="I197" i="9"/>
  <c r="J197" i="9" s="1"/>
  <c r="O197" i="9"/>
  <c r="P197" i="9"/>
  <c r="Q197" i="9"/>
  <c r="R197" i="9"/>
  <c r="S197" i="9"/>
  <c r="T197" i="9"/>
  <c r="U197" i="9"/>
  <c r="V197" i="9"/>
  <c r="W197" i="9"/>
  <c r="F198" i="9"/>
  <c r="G198" i="9"/>
  <c r="M198" i="9" s="1"/>
  <c r="H198" i="9"/>
  <c r="I198" i="9"/>
  <c r="J198" i="9" s="1"/>
  <c r="O198" i="9"/>
  <c r="P198" i="9"/>
  <c r="Q198" i="9"/>
  <c r="R198" i="9"/>
  <c r="S198" i="9"/>
  <c r="T198" i="9"/>
  <c r="U198" i="9"/>
  <c r="V198" i="9"/>
  <c r="W198" i="9"/>
  <c r="F199" i="9"/>
  <c r="G199" i="9"/>
  <c r="M199" i="9" s="1"/>
  <c r="H199" i="9"/>
  <c r="I199" i="9"/>
  <c r="J199" i="9" s="1"/>
  <c r="O199" i="9"/>
  <c r="P199" i="9"/>
  <c r="Q199" i="9"/>
  <c r="R199" i="9"/>
  <c r="S199" i="9"/>
  <c r="T199" i="9"/>
  <c r="U199" i="9"/>
  <c r="V199" i="9"/>
  <c r="W199" i="9"/>
  <c r="F200" i="9"/>
  <c r="G200" i="9"/>
  <c r="M200" i="9" s="1"/>
  <c r="H200" i="9"/>
  <c r="I200" i="9"/>
  <c r="J200" i="9" s="1"/>
  <c r="O200" i="9"/>
  <c r="P200" i="9"/>
  <c r="Q200" i="9"/>
  <c r="R200" i="9"/>
  <c r="S200" i="9"/>
  <c r="T200" i="9"/>
  <c r="U200" i="9"/>
  <c r="V200" i="9"/>
  <c r="W200" i="9"/>
  <c r="D196" i="9"/>
  <c r="D197" i="9"/>
  <c r="D198" i="9"/>
  <c r="D199" i="9"/>
  <c r="D200" i="9"/>
  <c r="F177" i="9"/>
  <c r="G177" i="9"/>
  <c r="M177" i="9" s="1"/>
  <c r="H177" i="9"/>
  <c r="I177" i="9"/>
  <c r="J177" i="9" s="1"/>
  <c r="O177" i="9"/>
  <c r="P177" i="9"/>
  <c r="Q177" i="9"/>
  <c r="R177" i="9"/>
  <c r="S177" i="9"/>
  <c r="T177" i="9"/>
  <c r="U177" i="9"/>
  <c r="V177" i="9"/>
  <c r="W177" i="9"/>
  <c r="D177" i="9"/>
  <c r="F175" i="9"/>
  <c r="G175" i="9"/>
  <c r="M175" i="9" s="1"/>
  <c r="H175" i="9"/>
  <c r="I175" i="9"/>
  <c r="J175" i="9" s="1"/>
  <c r="O175" i="9"/>
  <c r="P175" i="9"/>
  <c r="Q175" i="9"/>
  <c r="R175" i="9"/>
  <c r="S175" i="9"/>
  <c r="T175" i="9"/>
  <c r="U175" i="9"/>
  <c r="V175" i="9"/>
  <c r="W175" i="9"/>
  <c r="D175" i="9"/>
  <c r="F152" i="9"/>
  <c r="F153" i="9"/>
  <c r="G153" i="9"/>
  <c r="M153" i="9" s="1"/>
  <c r="H153" i="9"/>
  <c r="I153" i="9"/>
  <c r="J153" i="9" s="1"/>
  <c r="O153" i="9"/>
  <c r="P153" i="9"/>
  <c r="Q153" i="9"/>
  <c r="R153" i="9"/>
  <c r="S153" i="9"/>
  <c r="T153" i="9"/>
  <c r="U153" i="9"/>
  <c r="V153" i="9"/>
  <c r="W153" i="9"/>
  <c r="D153" i="9"/>
  <c r="F147" i="9"/>
  <c r="G147" i="9"/>
  <c r="M147" i="9" s="1"/>
  <c r="H147" i="9"/>
  <c r="I147" i="9"/>
  <c r="J147" i="9" s="1"/>
  <c r="O147" i="9"/>
  <c r="P147" i="9"/>
  <c r="Q147" i="9"/>
  <c r="R147" i="9"/>
  <c r="S147" i="9"/>
  <c r="T147" i="9"/>
  <c r="U147" i="9"/>
  <c r="V147" i="9"/>
  <c r="W147" i="9"/>
  <c r="D147" i="9"/>
  <c r="F131" i="9"/>
  <c r="G131" i="9"/>
  <c r="M131" i="9" s="1"/>
  <c r="H131" i="9"/>
  <c r="I131" i="9"/>
  <c r="J131" i="9" s="1"/>
  <c r="O131" i="9"/>
  <c r="P131" i="9"/>
  <c r="Q131" i="9"/>
  <c r="R131" i="9"/>
  <c r="S131" i="9"/>
  <c r="T131" i="9"/>
  <c r="U131" i="9"/>
  <c r="V131" i="9"/>
  <c r="W131" i="9"/>
  <c r="D131" i="9"/>
  <c r="F127" i="9"/>
  <c r="G127" i="9"/>
  <c r="M127" i="9" s="1"/>
  <c r="H127" i="9"/>
  <c r="I127" i="9"/>
  <c r="J127" i="9" s="1"/>
  <c r="O127" i="9"/>
  <c r="P127" i="9"/>
  <c r="Q127" i="9"/>
  <c r="R127" i="9"/>
  <c r="S127" i="9"/>
  <c r="T127" i="9"/>
  <c r="U127" i="9"/>
  <c r="V127" i="9"/>
  <c r="W127" i="9"/>
  <c r="D127" i="9"/>
  <c r="F119" i="9"/>
  <c r="G119" i="9"/>
  <c r="M119" i="9" s="1"/>
  <c r="H119" i="9"/>
  <c r="I119" i="9"/>
  <c r="J119" i="9" s="1"/>
  <c r="O119" i="9"/>
  <c r="P119" i="9"/>
  <c r="Q119" i="9"/>
  <c r="R119" i="9"/>
  <c r="S119" i="9"/>
  <c r="T119" i="9"/>
  <c r="U119" i="9"/>
  <c r="V119" i="9"/>
  <c r="W119" i="9"/>
  <c r="D119" i="9"/>
  <c r="F115" i="9"/>
  <c r="G115" i="9"/>
  <c r="M115" i="9" s="1"/>
  <c r="H115" i="9"/>
  <c r="I115" i="9"/>
  <c r="J115" i="9" s="1"/>
  <c r="O115" i="9"/>
  <c r="P115" i="9"/>
  <c r="Q115" i="9"/>
  <c r="R115" i="9"/>
  <c r="S115" i="9"/>
  <c r="T115" i="9"/>
  <c r="U115" i="9"/>
  <c r="V115" i="9"/>
  <c r="W115" i="9"/>
  <c r="D115" i="9"/>
  <c r="D79" i="9"/>
  <c r="D80" i="9"/>
  <c r="D81" i="9"/>
  <c r="D82" i="9"/>
  <c r="D83" i="9"/>
  <c r="D84" i="9"/>
  <c r="D85" i="9"/>
  <c r="D86" i="9"/>
  <c r="D87" i="9"/>
  <c r="D88" i="9"/>
  <c r="F73" i="9"/>
  <c r="G73" i="9"/>
  <c r="M73" i="9" s="1"/>
  <c r="H73" i="9"/>
  <c r="I73" i="9"/>
  <c r="J73" i="9" s="1"/>
  <c r="O73" i="9"/>
  <c r="P73" i="9"/>
  <c r="Q73" i="9"/>
  <c r="R73" i="9"/>
  <c r="S73" i="9"/>
  <c r="T73" i="9"/>
  <c r="U73" i="9"/>
  <c r="V73" i="9"/>
  <c r="W73" i="9"/>
  <c r="F74" i="9"/>
  <c r="G74" i="9"/>
  <c r="M74" i="9" s="1"/>
  <c r="H74" i="9"/>
  <c r="I74" i="9"/>
  <c r="J74" i="9" s="1"/>
  <c r="O74" i="9"/>
  <c r="P74" i="9"/>
  <c r="Q74" i="9"/>
  <c r="R74" i="9"/>
  <c r="S74" i="9"/>
  <c r="T74" i="9"/>
  <c r="U74" i="9"/>
  <c r="V74" i="9"/>
  <c r="W74" i="9"/>
  <c r="F75" i="9"/>
  <c r="G75" i="9"/>
  <c r="M75" i="9" s="1"/>
  <c r="H75" i="9"/>
  <c r="I75" i="9"/>
  <c r="J75" i="9" s="1"/>
  <c r="O75" i="9"/>
  <c r="P75" i="9"/>
  <c r="Q75" i="9"/>
  <c r="R75" i="9"/>
  <c r="S75" i="9"/>
  <c r="T75" i="9"/>
  <c r="U75" i="9"/>
  <c r="V75" i="9"/>
  <c r="W75" i="9"/>
  <c r="F76" i="9"/>
  <c r="G76" i="9"/>
  <c r="M76" i="9" s="1"/>
  <c r="H76" i="9"/>
  <c r="I76" i="9"/>
  <c r="J76" i="9" s="1"/>
  <c r="O76" i="9"/>
  <c r="P76" i="9"/>
  <c r="Q76" i="9"/>
  <c r="R76" i="9"/>
  <c r="S76" i="9"/>
  <c r="T76" i="9"/>
  <c r="U76" i="9"/>
  <c r="V76" i="9"/>
  <c r="W76" i="9"/>
  <c r="F77" i="9"/>
  <c r="G77" i="9"/>
  <c r="M77" i="9" s="1"/>
  <c r="H77" i="9"/>
  <c r="I77" i="9"/>
  <c r="J77" i="9" s="1"/>
  <c r="O77" i="9"/>
  <c r="P77" i="9"/>
  <c r="Q77" i="9"/>
  <c r="R77" i="9"/>
  <c r="S77" i="9"/>
  <c r="T77" i="9"/>
  <c r="U77" i="9"/>
  <c r="V77" i="9"/>
  <c r="W77" i="9"/>
  <c r="F78" i="9"/>
  <c r="G78" i="9"/>
  <c r="M78" i="9" s="1"/>
  <c r="H78" i="9"/>
  <c r="I78" i="9"/>
  <c r="J78" i="9" s="1"/>
  <c r="O78" i="9"/>
  <c r="P78" i="9"/>
  <c r="Q78" i="9"/>
  <c r="R78" i="9"/>
  <c r="S78" i="9"/>
  <c r="T78" i="9"/>
  <c r="U78" i="9"/>
  <c r="V78" i="9"/>
  <c r="W78" i="9"/>
  <c r="F79" i="9"/>
  <c r="G79" i="9"/>
  <c r="M79" i="9" s="1"/>
  <c r="H79" i="9"/>
  <c r="I79" i="9"/>
  <c r="J79" i="9" s="1"/>
  <c r="O79" i="9"/>
  <c r="P79" i="9"/>
  <c r="Q79" i="9"/>
  <c r="R79" i="9"/>
  <c r="S79" i="9"/>
  <c r="T79" i="9"/>
  <c r="U79" i="9"/>
  <c r="V79" i="9"/>
  <c r="W79" i="9"/>
  <c r="F80" i="9"/>
  <c r="G80" i="9"/>
  <c r="M80" i="9" s="1"/>
  <c r="H80" i="9"/>
  <c r="I80" i="9"/>
  <c r="J80" i="9" s="1"/>
  <c r="O80" i="9"/>
  <c r="P80" i="9"/>
  <c r="Q80" i="9"/>
  <c r="R80" i="9"/>
  <c r="S80" i="9"/>
  <c r="T80" i="9"/>
  <c r="U80" i="9"/>
  <c r="V80" i="9"/>
  <c r="W80" i="9"/>
  <c r="F81" i="9"/>
  <c r="G81" i="9"/>
  <c r="M81" i="9" s="1"/>
  <c r="H81" i="9"/>
  <c r="I81" i="9"/>
  <c r="J81" i="9" s="1"/>
  <c r="O81" i="9"/>
  <c r="P81" i="9"/>
  <c r="Q81" i="9"/>
  <c r="R81" i="9"/>
  <c r="S81" i="9"/>
  <c r="T81" i="9"/>
  <c r="U81" i="9"/>
  <c r="V81" i="9"/>
  <c r="W81" i="9"/>
  <c r="F82" i="9"/>
  <c r="G82" i="9"/>
  <c r="M82" i="9" s="1"/>
  <c r="H82" i="9"/>
  <c r="I82" i="9"/>
  <c r="J82" i="9" s="1"/>
  <c r="O82" i="9"/>
  <c r="P82" i="9"/>
  <c r="Q82" i="9"/>
  <c r="R82" i="9"/>
  <c r="S82" i="9"/>
  <c r="T82" i="9"/>
  <c r="U82" i="9"/>
  <c r="V82" i="9"/>
  <c r="W82" i="9"/>
  <c r="F83" i="9"/>
  <c r="G83" i="9"/>
  <c r="M83" i="9" s="1"/>
  <c r="H83" i="9"/>
  <c r="I83" i="9"/>
  <c r="J83" i="9" s="1"/>
  <c r="O83" i="9"/>
  <c r="P83" i="9"/>
  <c r="Q83" i="9"/>
  <c r="R83" i="9"/>
  <c r="S83" i="9"/>
  <c r="T83" i="9"/>
  <c r="U83" i="9"/>
  <c r="V83" i="9"/>
  <c r="W83" i="9"/>
  <c r="F84" i="9"/>
  <c r="G84" i="9"/>
  <c r="M84" i="9" s="1"/>
  <c r="H84" i="9"/>
  <c r="I84" i="9"/>
  <c r="J84" i="9" s="1"/>
  <c r="O84" i="9"/>
  <c r="P84" i="9"/>
  <c r="Q84" i="9"/>
  <c r="R84" i="9"/>
  <c r="S84" i="9"/>
  <c r="T84" i="9"/>
  <c r="U84" i="9"/>
  <c r="V84" i="9"/>
  <c r="W84" i="9"/>
  <c r="F85" i="9"/>
  <c r="G85" i="9"/>
  <c r="M85" i="9" s="1"/>
  <c r="H85" i="9"/>
  <c r="I85" i="9"/>
  <c r="J85" i="9" s="1"/>
  <c r="O85" i="9"/>
  <c r="P85" i="9"/>
  <c r="Q85" i="9"/>
  <c r="R85" i="9"/>
  <c r="S85" i="9"/>
  <c r="T85" i="9"/>
  <c r="U85" i="9"/>
  <c r="V85" i="9"/>
  <c r="W85" i="9"/>
  <c r="F86" i="9"/>
  <c r="G86" i="9"/>
  <c r="M86" i="9" s="1"/>
  <c r="H86" i="9"/>
  <c r="I86" i="9"/>
  <c r="J86" i="9" s="1"/>
  <c r="O86" i="9"/>
  <c r="P86" i="9"/>
  <c r="Q86" i="9"/>
  <c r="R86" i="9"/>
  <c r="S86" i="9"/>
  <c r="T86" i="9"/>
  <c r="U86" i="9"/>
  <c r="V86" i="9"/>
  <c r="W86" i="9"/>
  <c r="F87" i="9"/>
  <c r="G87" i="9"/>
  <c r="M87" i="9" s="1"/>
  <c r="H87" i="9"/>
  <c r="I87" i="9"/>
  <c r="J87" i="9" s="1"/>
  <c r="O87" i="9"/>
  <c r="P87" i="9"/>
  <c r="Q87" i="9"/>
  <c r="R87" i="9"/>
  <c r="S87" i="9"/>
  <c r="T87" i="9"/>
  <c r="U87" i="9"/>
  <c r="V87" i="9"/>
  <c r="W87" i="9"/>
  <c r="F88" i="9"/>
  <c r="G88" i="9"/>
  <c r="M88" i="9" s="1"/>
  <c r="H88" i="9"/>
  <c r="I88" i="9"/>
  <c r="J88" i="9" s="1"/>
  <c r="O88" i="9"/>
  <c r="P88" i="9"/>
  <c r="Q88" i="9"/>
  <c r="R88" i="9"/>
  <c r="S88" i="9"/>
  <c r="T88" i="9"/>
  <c r="U88" i="9"/>
  <c r="V88" i="9"/>
  <c r="W88" i="9"/>
  <c r="D73" i="9"/>
  <c r="D74" i="9"/>
  <c r="D75" i="9"/>
  <c r="F64" i="9"/>
  <c r="G64" i="9"/>
  <c r="M64" i="9" s="1"/>
  <c r="H64" i="9"/>
  <c r="I64" i="9"/>
  <c r="J64" i="9" s="1"/>
  <c r="O64" i="9"/>
  <c r="P64" i="9"/>
  <c r="Q64" i="9"/>
  <c r="R64" i="9"/>
  <c r="S64" i="9"/>
  <c r="T64" i="9"/>
  <c r="U64" i="9"/>
  <c r="V64" i="9"/>
  <c r="W64" i="9"/>
  <c r="D64" i="9"/>
  <c r="F29" i="9"/>
  <c r="G29" i="9"/>
  <c r="M29" i="9" s="1"/>
  <c r="H29" i="9"/>
  <c r="I29" i="9"/>
  <c r="J29" i="9" s="1"/>
  <c r="O29" i="9"/>
  <c r="P29" i="9"/>
  <c r="Q29" i="9"/>
  <c r="R29" i="9"/>
  <c r="S29" i="9"/>
  <c r="T29" i="9"/>
  <c r="U29" i="9"/>
  <c r="V29" i="9"/>
  <c r="W29" i="9"/>
  <c r="F30" i="9"/>
  <c r="G30" i="9"/>
  <c r="M30" i="9" s="1"/>
  <c r="H30" i="9"/>
  <c r="I30" i="9"/>
  <c r="J30" i="9" s="1"/>
  <c r="O30" i="9"/>
  <c r="P30" i="9"/>
  <c r="Q30" i="9"/>
  <c r="R30" i="9"/>
  <c r="S30" i="9"/>
  <c r="T30" i="9"/>
  <c r="U30" i="9"/>
  <c r="V30" i="9"/>
  <c r="W30" i="9"/>
  <c r="F31" i="9"/>
  <c r="G31" i="9"/>
  <c r="M31" i="9" s="1"/>
  <c r="H31" i="9"/>
  <c r="I31" i="9"/>
  <c r="J31" i="9" s="1"/>
  <c r="O31" i="9"/>
  <c r="P31" i="9"/>
  <c r="Q31" i="9"/>
  <c r="R31" i="9"/>
  <c r="S31" i="9"/>
  <c r="T31" i="9"/>
  <c r="U31" i="9"/>
  <c r="V31" i="9"/>
  <c r="W31" i="9"/>
  <c r="F32" i="9"/>
  <c r="G32" i="9"/>
  <c r="M32" i="9" s="1"/>
  <c r="H32" i="9"/>
  <c r="I32" i="9"/>
  <c r="J32" i="9" s="1"/>
  <c r="O32" i="9"/>
  <c r="P32" i="9"/>
  <c r="Q32" i="9"/>
  <c r="R32" i="9"/>
  <c r="S32" i="9"/>
  <c r="T32" i="9"/>
  <c r="U32" i="9"/>
  <c r="V32" i="9"/>
  <c r="W32" i="9"/>
  <c r="F33" i="9"/>
  <c r="G33" i="9"/>
  <c r="M33" i="9" s="1"/>
  <c r="H33" i="9"/>
  <c r="I33" i="9"/>
  <c r="J33" i="9" s="1"/>
  <c r="O33" i="9"/>
  <c r="P33" i="9"/>
  <c r="Q33" i="9"/>
  <c r="R33" i="9"/>
  <c r="S33" i="9"/>
  <c r="T33" i="9"/>
  <c r="U33" i="9"/>
  <c r="V33" i="9"/>
  <c r="W33" i="9"/>
  <c r="F34" i="9"/>
  <c r="G34" i="9"/>
  <c r="M34" i="9" s="1"/>
  <c r="H34" i="9"/>
  <c r="I34" i="9"/>
  <c r="J34" i="9" s="1"/>
  <c r="O34" i="9"/>
  <c r="P34" i="9"/>
  <c r="Q34" i="9"/>
  <c r="R34" i="9"/>
  <c r="S34" i="9"/>
  <c r="T34" i="9"/>
  <c r="U34" i="9"/>
  <c r="V34" i="9"/>
  <c r="W34" i="9"/>
  <c r="F35" i="9"/>
  <c r="G35" i="9"/>
  <c r="M35" i="9" s="1"/>
  <c r="H35" i="9"/>
  <c r="I35" i="9"/>
  <c r="J35" i="9" s="1"/>
  <c r="O35" i="9"/>
  <c r="P35" i="9"/>
  <c r="Q35" i="9"/>
  <c r="R35" i="9"/>
  <c r="S35" i="9"/>
  <c r="T35" i="9"/>
  <c r="U35" i="9"/>
  <c r="V35" i="9"/>
  <c r="W35" i="9"/>
  <c r="D29" i="9"/>
  <c r="D30" i="9"/>
  <c r="D31" i="9"/>
  <c r="D32" i="9"/>
  <c r="D33" i="9"/>
  <c r="D34" i="9"/>
  <c r="D35" i="9"/>
  <c r="F24" i="9"/>
  <c r="G24" i="9"/>
  <c r="M24" i="9" s="1"/>
  <c r="H24" i="9"/>
  <c r="I24" i="9"/>
  <c r="J24" i="9" s="1"/>
  <c r="O24" i="9"/>
  <c r="P24" i="9"/>
  <c r="Q24" i="9"/>
  <c r="R24" i="9"/>
  <c r="S24" i="9"/>
  <c r="T24" i="9"/>
  <c r="U24" i="9"/>
  <c r="V24" i="9"/>
  <c r="W24" i="9"/>
  <c r="F25" i="9"/>
  <c r="G25" i="9"/>
  <c r="M25" i="9" s="1"/>
  <c r="H25" i="9"/>
  <c r="I25" i="9"/>
  <c r="J25" i="9" s="1"/>
  <c r="O25" i="9"/>
  <c r="P25" i="9"/>
  <c r="Q25" i="9"/>
  <c r="R25" i="9"/>
  <c r="S25" i="9"/>
  <c r="T25" i="9"/>
  <c r="U25" i="9"/>
  <c r="V25" i="9"/>
  <c r="W25" i="9"/>
  <c r="F26" i="9"/>
  <c r="G26" i="9"/>
  <c r="M26" i="9" s="1"/>
  <c r="H26" i="9"/>
  <c r="I26" i="9"/>
  <c r="J26" i="9" s="1"/>
  <c r="O26" i="9"/>
  <c r="P26" i="9"/>
  <c r="Q26" i="9"/>
  <c r="R26" i="9"/>
  <c r="S26" i="9"/>
  <c r="T26" i="9"/>
  <c r="U26" i="9"/>
  <c r="V26" i="9"/>
  <c r="W26" i="9"/>
  <c r="D24" i="9"/>
  <c r="D25" i="9"/>
  <c r="D26" i="9"/>
  <c r="F11" i="9"/>
  <c r="G11" i="9"/>
  <c r="M11" i="9" s="1"/>
  <c r="H11" i="9"/>
  <c r="I11" i="9"/>
  <c r="J11" i="9" s="1"/>
  <c r="O11" i="9"/>
  <c r="P11" i="9"/>
  <c r="Q11" i="9"/>
  <c r="R11" i="9"/>
  <c r="S11" i="9"/>
  <c r="T11" i="9"/>
  <c r="U11" i="9"/>
  <c r="V11" i="9"/>
  <c r="W11" i="9"/>
  <c r="D11" i="9"/>
  <c r="A9" i="54" l="1"/>
  <c r="A10" i="54"/>
  <c r="A11" i="54"/>
  <c r="A12" i="54"/>
  <c r="A13" i="54"/>
  <c r="A14" i="54"/>
  <c r="A15" i="54"/>
  <c r="A16" i="54"/>
  <c r="A17" i="54"/>
  <c r="A18" i="54"/>
  <c r="A19" i="54"/>
  <c r="A20" i="54"/>
  <c r="A21" i="54"/>
  <c r="A22" i="54"/>
  <c r="A23" i="54"/>
  <c r="A24" i="54"/>
  <c r="A25" i="54"/>
  <c r="A26" i="54"/>
  <c r="A27" i="54"/>
  <c r="A28" i="54"/>
  <c r="A29" i="54"/>
  <c r="A30" i="54"/>
  <c r="A31" i="54"/>
  <c r="A32" i="54"/>
  <c r="A33" i="54"/>
  <c r="A34" i="54"/>
  <c r="A35" i="54"/>
  <c r="A36" i="54"/>
  <c r="A37" i="54"/>
  <c r="A38" i="54"/>
  <c r="A39" i="54"/>
  <c r="A40" i="54"/>
  <c r="A41" i="54"/>
  <c r="A42" i="54"/>
  <c r="A43" i="54"/>
  <c r="A44" i="54"/>
  <c r="A45" i="54"/>
  <c r="A46" i="54"/>
  <c r="A47" i="54"/>
  <c r="A48" i="54"/>
  <c r="A49" i="54"/>
  <c r="A50" i="54"/>
  <c r="A51" i="54"/>
  <c r="A52" i="54"/>
  <c r="A53" i="54"/>
  <c r="A54" i="54"/>
  <c r="A55" i="54"/>
  <c r="A56" i="54"/>
  <c r="A57" i="54"/>
  <c r="A58" i="54"/>
  <c r="A59" i="54"/>
  <c r="A60" i="54"/>
  <c r="A61" i="54"/>
  <c r="A62" i="54"/>
  <c r="A63" i="54"/>
  <c r="A64" i="54"/>
  <c r="A65" i="54"/>
  <c r="A67" i="54"/>
  <c r="A68" i="54"/>
  <c r="A69" i="54"/>
  <c r="A70" i="54"/>
  <c r="A71" i="54"/>
  <c r="A72" i="54"/>
  <c r="A73" i="54"/>
  <c r="A74" i="54"/>
  <c r="A75" i="54"/>
  <c r="A76" i="54"/>
  <c r="A77" i="54"/>
  <c r="A78" i="54"/>
  <c r="A79" i="54"/>
  <c r="A80" i="54"/>
  <c r="A81" i="54"/>
  <c r="A82" i="54"/>
  <c r="A83" i="54"/>
  <c r="A84" i="54"/>
  <c r="A85" i="54"/>
  <c r="A86" i="54"/>
  <c r="A87" i="54"/>
  <c r="A88" i="54"/>
  <c r="A89" i="54"/>
  <c r="A90" i="54"/>
  <c r="A91" i="54"/>
  <c r="A92" i="54"/>
  <c r="A93" i="54"/>
  <c r="A94" i="54"/>
  <c r="A95" i="54"/>
  <c r="A96" i="54"/>
  <c r="A97" i="54"/>
  <c r="A98" i="54"/>
  <c r="A99" i="54"/>
  <c r="A100" i="54"/>
  <c r="A101" i="54"/>
  <c r="A102" i="54"/>
  <c r="A103" i="54"/>
  <c r="A104" i="54"/>
  <c r="A105" i="54"/>
  <c r="A106" i="54"/>
  <c r="A107" i="54"/>
  <c r="A108" i="54"/>
  <c r="A109" i="54"/>
  <c r="A110" i="54"/>
  <c r="A111" i="54"/>
  <c r="A112" i="54"/>
  <c r="A113" i="54"/>
  <c r="A114" i="54"/>
  <c r="A115" i="54"/>
  <c r="A116" i="54"/>
  <c r="A117" i="54"/>
  <c r="A118" i="54"/>
  <c r="A119" i="54"/>
  <c r="A120" i="54"/>
  <c r="A121" i="54"/>
  <c r="A122" i="54"/>
  <c r="A123" i="54"/>
  <c r="A124" i="54"/>
  <c r="A125" i="54"/>
  <c r="A126" i="54"/>
  <c r="A127" i="54"/>
  <c r="A128" i="54"/>
  <c r="A129" i="54"/>
  <c r="A130" i="54"/>
  <c r="A131" i="54"/>
  <c r="A132" i="54"/>
  <c r="A133" i="54"/>
  <c r="A134" i="54"/>
  <c r="A494" i="37"/>
  <c r="A10" i="37"/>
  <c r="A11" i="37"/>
  <c r="A12" i="37"/>
  <c r="A13" i="37"/>
  <c r="A14" i="37"/>
  <c r="A15" i="37"/>
  <c r="A16" i="37"/>
  <c r="A18" i="37"/>
  <c r="A19" i="37"/>
  <c r="A20" i="37"/>
  <c r="A21" i="37"/>
  <c r="A22" i="37"/>
  <c r="A23" i="37"/>
  <c r="A24" i="37"/>
  <c r="A25" i="37"/>
  <c r="A26" i="37"/>
  <c r="A27" i="37"/>
  <c r="A28" i="37"/>
  <c r="A29" i="37"/>
  <c r="A30" i="37"/>
  <c r="A31" i="37"/>
  <c r="A32" i="37"/>
  <c r="A33" i="37"/>
  <c r="A34" i="37"/>
  <c r="A35" i="37"/>
  <c r="A36" i="37"/>
  <c r="A37" i="37"/>
  <c r="A38" i="37"/>
  <c r="A39" i="37"/>
  <c r="A40" i="37"/>
  <c r="A41" i="37"/>
  <c r="A42" i="37"/>
  <c r="A43" i="37"/>
  <c r="A44" i="37"/>
  <c r="A45" i="37"/>
  <c r="A46" i="37"/>
  <c r="A47" i="37"/>
  <c r="A48" i="37"/>
  <c r="A49" i="37"/>
  <c r="A50" i="37"/>
  <c r="A51" i="37"/>
  <c r="A52" i="37"/>
  <c r="A53" i="37"/>
  <c r="A54" i="37"/>
  <c r="A55" i="37"/>
  <c r="A56" i="37"/>
  <c r="A57" i="37"/>
  <c r="A58" i="37"/>
  <c r="A59" i="37"/>
  <c r="A60" i="37"/>
  <c r="A61" i="37"/>
  <c r="A62" i="37"/>
  <c r="A63" i="37"/>
  <c r="A64" i="37"/>
  <c r="A65" i="37"/>
  <c r="A66" i="37"/>
  <c r="A67" i="37"/>
  <c r="A68" i="37"/>
  <c r="A69" i="37"/>
  <c r="A70" i="37"/>
  <c r="A71" i="37"/>
  <c r="A72" i="37"/>
  <c r="A73" i="37"/>
  <c r="A74" i="37"/>
  <c r="A75" i="37"/>
  <c r="A76" i="37"/>
  <c r="A77" i="37"/>
  <c r="A78" i="37"/>
  <c r="A79" i="37"/>
  <c r="A80" i="37"/>
  <c r="A81" i="37"/>
  <c r="A82" i="37"/>
  <c r="A83" i="37"/>
  <c r="A84" i="37"/>
  <c r="A85" i="37"/>
  <c r="A86" i="37"/>
  <c r="A87" i="37"/>
  <c r="A88" i="37"/>
  <c r="A89" i="37"/>
  <c r="A90" i="37"/>
  <c r="A91" i="37"/>
  <c r="A92" i="37"/>
  <c r="A93" i="37"/>
  <c r="A94" i="37"/>
  <c r="A95" i="37"/>
  <c r="A96" i="37"/>
  <c r="A97" i="37"/>
  <c r="A98" i="37"/>
  <c r="A99" i="37"/>
  <c r="A100" i="37"/>
  <c r="A101" i="37"/>
  <c r="A102" i="37"/>
  <c r="A103" i="37"/>
  <c r="A104" i="37"/>
  <c r="A105" i="37"/>
  <c r="A106" i="37"/>
  <c r="A107" i="37"/>
  <c r="A108" i="37"/>
  <c r="A109" i="37"/>
  <c r="A110" i="37"/>
  <c r="A111" i="37"/>
  <c r="A112" i="37"/>
  <c r="A113" i="37"/>
  <c r="A114" i="37"/>
  <c r="A115" i="37"/>
  <c r="A116" i="37"/>
  <c r="A117" i="37"/>
  <c r="A118" i="37"/>
  <c r="A119" i="37"/>
  <c r="A120" i="37"/>
  <c r="A121" i="37"/>
  <c r="A122" i="37"/>
  <c r="A123" i="37"/>
  <c r="A124" i="37"/>
  <c r="A125" i="37"/>
  <c r="A126" i="37"/>
  <c r="A127" i="37"/>
  <c r="A128" i="37"/>
  <c r="A129" i="37"/>
  <c r="A130" i="37"/>
  <c r="A131" i="37"/>
  <c r="A132" i="37"/>
  <c r="A133" i="37"/>
  <c r="A134" i="37"/>
  <c r="A135" i="37"/>
  <c r="A136" i="37"/>
  <c r="A137" i="37"/>
  <c r="A138" i="37"/>
  <c r="A139" i="37"/>
  <c r="A140" i="37"/>
  <c r="A141" i="37"/>
  <c r="A142" i="37"/>
  <c r="A143" i="37"/>
  <c r="A144" i="37"/>
  <c r="A145" i="37"/>
  <c r="A146" i="37"/>
  <c r="A147" i="37"/>
  <c r="A148" i="37"/>
  <c r="A149" i="37"/>
  <c r="A150" i="37"/>
  <c r="A151" i="37"/>
  <c r="A152" i="37"/>
  <c r="A153" i="37"/>
  <c r="A154" i="37"/>
  <c r="A155" i="37"/>
  <c r="A156" i="37"/>
  <c r="A157" i="37"/>
  <c r="A158" i="37"/>
  <c r="A159" i="37"/>
  <c r="A160" i="37"/>
  <c r="A161" i="37"/>
  <c r="A162" i="37"/>
  <c r="A163" i="37"/>
  <c r="A164" i="37"/>
  <c r="A165" i="37"/>
  <c r="A166" i="37"/>
  <c r="A167" i="37"/>
  <c r="A168" i="37"/>
  <c r="A169" i="37"/>
  <c r="A170" i="37"/>
  <c r="A171" i="37"/>
  <c r="A172" i="37"/>
  <c r="A173" i="37"/>
  <c r="A174" i="37"/>
  <c r="A175" i="37"/>
  <c r="A176" i="37"/>
  <c r="A177" i="37"/>
  <c r="A178" i="37"/>
  <c r="A179" i="37"/>
  <c r="A180" i="37"/>
  <c r="A181" i="37"/>
  <c r="A182" i="37"/>
  <c r="A183" i="37"/>
  <c r="A184" i="37"/>
  <c r="A185" i="37"/>
  <c r="A186" i="37"/>
  <c r="A187" i="37"/>
  <c r="A188" i="37"/>
  <c r="A189" i="37"/>
  <c r="A190" i="37"/>
  <c r="A191" i="37"/>
  <c r="A192" i="37"/>
  <c r="A193" i="37"/>
  <c r="A194" i="37"/>
  <c r="A195" i="37"/>
  <c r="A196" i="37"/>
  <c r="A197" i="37"/>
  <c r="A198" i="37"/>
  <c r="A199" i="37"/>
  <c r="A200" i="37"/>
  <c r="A201" i="37"/>
  <c r="A202" i="37"/>
  <c r="A203" i="37"/>
  <c r="A204" i="37"/>
  <c r="A205" i="37"/>
  <c r="A206" i="37"/>
  <c r="A207" i="37"/>
  <c r="A208" i="37"/>
  <c r="A209" i="37"/>
  <c r="A210" i="37"/>
  <c r="A211" i="37"/>
  <c r="A212" i="37"/>
  <c r="A213" i="37"/>
  <c r="A214" i="37"/>
  <c r="A215" i="37"/>
  <c r="A216" i="37"/>
  <c r="A217" i="37"/>
  <c r="A218" i="37"/>
  <c r="A219" i="37"/>
  <c r="A220" i="37"/>
  <c r="A221" i="37"/>
  <c r="A222" i="37"/>
  <c r="A223" i="37"/>
  <c r="A224" i="37"/>
  <c r="A225" i="37"/>
  <c r="A226" i="37"/>
  <c r="A227" i="37"/>
  <c r="A228" i="37"/>
  <c r="A229" i="37"/>
  <c r="A230" i="37"/>
  <c r="A231" i="37"/>
  <c r="A232" i="37"/>
  <c r="A233" i="37"/>
  <c r="A234" i="37"/>
  <c r="A235" i="37"/>
  <c r="A236" i="37"/>
  <c r="A237" i="37"/>
  <c r="A238" i="37"/>
  <c r="A239" i="37"/>
  <c r="A240" i="37"/>
  <c r="A241" i="37"/>
  <c r="A242" i="37"/>
  <c r="A243" i="37"/>
  <c r="A244" i="37"/>
  <c r="A245" i="37"/>
  <c r="A246" i="37"/>
  <c r="A247" i="37"/>
  <c r="A248" i="37"/>
  <c r="A249" i="37"/>
  <c r="A250" i="37"/>
  <c r="A251" i="37"/>
  <c r="A252" i="37"/>
  <c r="A253" i="37"/>
  <c r="A254" i="37"/>
  <c r="A255" i="37"/>
  <c r="A256" i="37"/>
  <c r="A257" i="37"/>
  <c r="A258" i="37"/>
  <c r="A259" i="37"/>
  <c r="A260" i="37"/>
  <c r="A261" i="37"/>
  <c r="A262" i="37"/>
  <c r="A263" i="37"/>
  <c r="A264" i="37"/>
  <c r="A265" i="37"/>
  <c r="A266" i="37"/>
  <c r="A267" i="37"/>
  <c r="A268" i="37"/>
  <c r="A269" i="37"/>
  <c r="A270" i="37"/>
  <c r="A271" i="37"/>
  <c r="A272" i="37"/>
  <c r="A273" i="37"/>
  <c r="A274" i="37"/>
  <c r="A275" i="37"/>
  <c r="A276" i="37"/>
  <c r="A277" i="37"/>
  <c r="A278" i="37"/>
  <c r="A279" i="37"/>
  <c r="A280" i="37"/>
  <c r="A281" i="37"/>
  <c r="A282" i="37"/>
  <c r="A283" i="37"/>
  <c r="A284" i="37"/>
  <c r="A285" i="37"/>
  <c r="A286" i="37"/>
  <c r="A287" i="37"/>
  <c r="A288" i="37"/>
  <c r="A289" i="37"/>
  <c r="A290" i="37"/>
  <c r="A291" i="37"/>
  <c r="A292" i="37"/>
  <c r="A293" i="37"/>
  <c r="A294" i="37"/>
  <c r="A295" i="37"/>
  <c r="A296" i="37"/>
  <c r="A297" i="37"/>
  <c r="A298" i="37"/>
  <c r="A299" i="37"/>
  <c r="A300" i="37"/>
  <c r="A301" i="37"/>
  <c r="A302" i="37"/>
  <c r="A303" i="37"/>
  <c r="A304" i="37"/>
  <c r="A305" i="37"/>
  <c r="A306" i="37"/>
  <c r="A307" i="37"/>
  <c r="A308" i="37"/>
  <c r="A309" i="37"/>
  <c r="A310" i="37"/>
  <c r="A311" i="37"/>
  <c r="A312" i="37"/>
  <c r="A313" i="37"/>
  <c r="A314" i="37"/>
  <c r="A315" i="37"/>
  <c r="A316" i="37"/>
  <c r="A317" i="37"/>
  <c r="A318" i="37"/>
  <c r="A319" i="37"/>
  <c r="A320" i="37"/>
  <c r="A321" i="37"/>
  <c r="A322" i="37"/>
  <c r="A323" i="37"/>
  <c r="A324" i="37"/>
  <c r="A325" i="37"/>
  <c r="A326" i="37"/>
  <c r="A327" i="37"/>
  <c r="A328" i="37"/>
  <c r="A329" i="37"/>
  <c r="A330" i="37"/>
  <c r="A331" i="37"/>
  <c r="A332" i="37"/>
  <c r="A333" i="37"/>
  <c r="A334" i="37"/>
  <c r="A335" i="37"/>
  <c r="A336" i="37"/>
  <c r="A337" i="37"/>
  <c r="A338" i="37"/>
  <c r="A339" i="37"/>
  <c r="A340" i="37"/>
  <c r="A341" i="37"/>
  <c r="A342" i="37"/>
  <c r="A343" i="37"/>
  <c r="A344" i="37"/>
  <c r="A345" i="37"/>
  <c r="A346" i="37"/>
  <c r="A347" i="37"/>
  <c r="A348" i="37"/>
  <c r="A349" i="37"/>
  <c r="A350" i="37"/>
  <c r="A351" i="37"/>
  <c r="A352" i="37"/>
  <c r="A353" i="37"/>
  <c r="A354" i="37"/>
  <c r="A355" i="37"/>
  <c r="A356" i="37"/>
  <c r="A357" i="37"/>
  <c r="A358" i="37"/>
  <c r="A359" i="37"/>
  <c r="A360" i="37"/>
  <c r="A361" i="37"/>
  <c r="A362" i="37"/>
  <c r="A363" i="37"/>
  <c r="A364" i="37"/>
  <c r="A365" i="37"/>
  <c r="A366" i="37"/>
  <c r="A367" i="37"/>
  <c r="A368" i="37"/>
  <c r="A369" i="37"/>
  <c r="A370" i="37"/>
  <c r="A371" i="37"/>
  <c r="A372" i="37"/>
  <c r="A373" i="37"/>
  <c r="A374" i="37"/>
  <c r="A375" i="37"/>
  <c r="A376" i="37"/>
  <c r="A377" i="37"/>
  <c r="A378" i="37"/>
  <c r="A379" i="37"/>
  <c r="A380" i="37"/>
  <c r="A381" i="37"/>
  <c r="A382" i="37"/>
  <c r="A383" i="37"/>
  <c r="A384" i="37"/>
  <c r="A385" i="37"/>
  <c r="A386" i="37"/>
  <c r="A387" i="37"/>
  <c r="A388" i="37"/>
  <c r="A389" i="37"/>
  <c r="A390" i="37"/>
  <c r="A391" i="37"/>
  <c r="A392" i="37"/>
  <c r="A393" i="37"/>
  <c r="A394" i="37"/>
  <c r="A395" i="37"/>
  <c r="A396" i="37"/>
  <c r="A397" i="37"/>
  <c r="A398" i="37"/>
  <c r="A399" i="37"/>
  <c r="A400" i="37"/>
  <c r="A401" i="37"/>
  <c r="A402" i="37"/>
  <c r="A403" i="37"/>
  <c r="A404" i="37"/>
  <c r="A405" i="37"/>
  <c r="A406" i="37"/>
  <c r="A407" i="37"/>
  <c r="A408" i="37"/>
  <c r="A409" i="37"/>
  <c r="A410" i="37"/>
  <c r="A411" i="37"/>
  <c r="A412" i="37"/>
  <c r="A413" i="37"/>
  <c r="A414" i="37"/>
  <c r="A415" i="37"/>
  <c r="A416" i="37"/>
  <c r="A417" i="37"/>
  <c r="A418" i="37"/>
  <c r="A419" i="37"/>
  <c r="A420" i="37"/>
  <c r="A421" i="37"/>
  <c r="A422" i="37"/>
  <c r="A423" i="37"/>
  <c r="A424" i="37"/>
  <c r="A425" i="37"/>
  <c r="A426" i="37"/>
  <c r="A427" i="37"/>
  <c r="A428" i="37"/>
  <c r="A429" i="37"/>
  <c r="A430" i="37"/>
  <c r="A431" i="37"/>
  <c r="A432" i="37"/>
  <c r="A433" i="37"/>
  <c r="A434" i="37"/>
  <c r="A435" i="37"/>
  <c r="A436" i="37"/>
  <c r="A437" i="37"/>
  <c r="A438" i="37"/>
  <c r="A439" i="37"/>
  <c r="A440" i="37"/>
  <c r="A441" i="37"/>
  <c r="A442" i="37"/>
  <c r="A443" i="37"/>
  <c r="A444" i="37"/>
  <c r="A445" i="37"/>
  <c r="A446" i="37"/>
  <c r="A447" i="37"/>
  <c r="A448" i="37"/>
  <c r="A449" i="37"/>
  <c r="A450" i="37"/>
  <c r="A451" i="37"/>
  <c r="A452" i="37"/>
  <c r="A453" i="37"/>
  <c r="A454" i="37"/>
  <c r="A455" i="37"/>
  <c r="A456" i="37"/>
  <c r="A457" i="37"/>
  <c r="A458" i="37"/>
  <c r="A459" i="37"/>
  <c r="A460" i="37"/>
  <c r="A461" i="37"/>
  <c r="A462" i="37"/>
  <c r="A463" i="37"/>
  <c r="A464" i="37"/>
  <c r="A465" i="37"/>
  <c r="A466" i="37"/>
  <c r="A467" i="37"/>
  <c r="A468" i="37"/>
  <c r="A469" i="37"/>
  <c r="A470" i="37"/>
  <c r="A471" i="37"/>
  <c r="A472" i="37"/>
  <c r="A473" i="37"/>
  <c r="A474" i="37"/>
  <c r="A475" i="37"/>
  <c r="A476" i="37"/>
  <c r="A477" i="37"/>
  <c r="A478" i="37"/>
  <c r="A479" i="37"/>
  <c r="A480" i="37"/>
  <c r="A481" i="37"/>
  <c r="A482" i="37"/>
  <c r="A483" i="37"/>
  <c r="A484" i="37"/>
  <c r="A485" i="37"/>
  <c r="A486" i="37"/>
  <c r="A487" i="37"/>
  <c r="A488" i="37"/>
  <c r="A489" i="37"/>
  <c r="A490" i="37"/>
  <c r="A491" i="37"/>
  <c r="A492" i="37"/>
  <c r="A493" i="37"/>
  <c r="A9" i="37"/>
  <c r="A9" i="46"/>
  <c r="A10" i="46"/>
  <c r="A11" i="46"/>
  <c r="A12" i="46"/>
  <c r="A13" i="46"/>
  <c r="A14" i="46"/>
  <c r="A15" i="46"/>
  <c r="A16" i="46"/>
  <c r="A17" i="46"/>
  <c r="A18" i="46"/>
  <c r="A19" i="46"/>
  <c r="A20" i="46"/>
  <c r="A21" i="46"/>
  <c r="A22" i="46"/>
  <c r="A23" i="46"/>
  <c r="A24" i="46"/>
  <c r="A25" i="46"/>
  <c r="A26" i="46"/>
  <c r="A27" i="46"/>
  <c r="A28" i="46"/>
  <c r="A9" i="45"/>
  <c r="A10" i="45"/>
  <c r="A11" i="45"/>
  <c r="A13" i="45"/>
  <c r="A14" i="45"/>
  <c r="A15" i="45"/>
  <c r="A8" i="45"/>
  <c r="A10" i="40"/>
  <c r="A11" i="40"/>
  <c r="A12" i="40"/>
  <c r="A13" i="40"/>
  <c r="A9" i="40"/>
  <c r="A10" i="33"/>
  <c r="A11" i="33"/>
  <c r="A10" i="39"/>
  <c r="A11" i="39"/>
  <c r="A12" i="39"/>
  <c r="A13" i="39"/>
  <c r="A14" i="39"/>
  <c r="A15" i="39"/>
  <c r="A16" i="39"/>
  <c r="A17" i="39"/>
  <c r="A18" i="39"/>
  <c r="A19" i="39"/>
  <c r="A20" i="39"/>
  <c r="A21" i="39"/>
  <c r="A22" i="39"/>
  <c r="A23" i="39"/>
  <c r="A24" i="39"/>
  <c r="A25" i="39"/>
  <c r="A26" i="39"/>
  <c r="A27" i="39"/>
  <c r="A28" i="39"/>
  <c r="A29" i="39"/>
  <c r="A30" i="39"/>
  <c r="A31" i="39"/>
  <c r="A9" i="39"/>
  <c r="A9" i="38"/>
  <c r="A10" i="38"/>
  <c r="A11" i="38"/>
  <c r="A12" i="38"/>
  <c r="A13" i="38"/>
  <c r="A14" i="38"/>
  <c r="A15" i="38"/>
  <c r="A16" i="38"/>
  <c r="A17" i="38"/>
  <c r="A18" i="38"/>
  <c r="A19" i="38"/>
  <c r="A21" i="38"/>
  <c r="A22" i="38"/>
  <c r="A23" i="38"/>
  <c r="A24" i="38"/>
  <c r="A25" i="38"/>
  <c r="A26" i="38"/>
  <c r="A27" i="38"/>
  <c r="A28" i="38"/>
  <c r="A29" i="38"/>
  <c r="A30" i="38"/>
  <c r="A31" i="38"/>
  <c r="A32" i="38"/>
  <c r="A33" i="38"/>
  <c r="A34" i="38"/>
  <c r="A35" i="38"/>
  <c r="A36" i="38"/>
  <c r="A37" i="38"/>
  <c r="A38" i="38"/>
  <c r="A39" i="38"/>
  <c r="A40" i="38"/>
  <c r="A41" i="38"/>
  <c r="A42" i="38"/>
  <c r="A43" i="38"/>
  <c r="A44" i="38"/>
  <c r="A45" i="38"/>
  <c r="A46" i="38"/>
  <c r="A47" i="38"/>
  <c r="A48" i="38"/>
  <c r="A49" i="38"/>
  <c r="A50" i="38"/>
  <c r="A51" i="38"/>
  <c r="A52" i="38"/>
  <c r="A53" i="38"/>
  <c r="A54" i="38"/>
  <c r="A55" i="38"/>
  <c r="A56" i="38"/>
  <c r="A57" i="38"/>
  <c r="A58" i="38"/>
  <c r="A59" i="38"/>
  <c r="A60" i="38"/>
  <c r="A61" i="38"/>
  <c r="A62" i="38"/>
  <c r="A63" i="38"/>
  <c r="A64" i="38"/>
  <c r="A65" i="38"/>
  <c r="A66" i="38"/>
  <c r="A67" i="38"/>
  <c r="A68" i="38"/>
  <c r="A69" i="38"/>
  <c r="A70" i="38"/>
  <c r="A71" i="38"/>
  <c r="A72" i="38"/>
  <c r="A73" i="38"/>
  <c r="A74" i="38"/>
  <c r="A75" i="38"/>
  <c r="A76" i="38"/>
  <c r="A77" i="38"/>
  <c r="A78" i="38"/>
  <c r="A79" i="38"/>
  <c r="A80" i="38"/>
  <c r="A81" i="38"/>
  <c r="A8" i="22"/>
  <c r="A9" i="22"/>
  <c r="A10" i="22"/>
  <c r="A11" i="22"/>
  <c r="A12" i="22"/>
  <c r="A13" i="22"/>
  <c r="A14" i="22"/>
  <c r="A15" i="22"/>
  <c r="A16" i="22"/>
  <c r="A17" i="22"/>
  <c r="A19" i="22"/>
  <c r="A20" i="22"/>
  <c r="A21" i="22"/>
  <c r="A22" i="22"/>
  <c r="A23" i="22"/>
  <c r="A24" i="22"/>
  <c r="A25" i="22"/>
  <c r="A26" i="22"/>
  <c r="A27" i="22"/>
  <c r="A28" i="22"/>
  <c r="A29" i="22"/>
  <c r="A30" i="22"/>
  <c r="A31" i="22"/>
  <c r="A32" i="22"/>
  <c r="A33" i="22"/>
  <c r="A34" i="22"/>
  <c r="A35" i="22"/>
  <c r="A36" i="22"/>
  <c r="A37" i="22"/>
  <c r="A38" i="22"/>
  <c r="A39" i="22"/>
  <c r="A40" i="22"/>
  <c r="A41" i="22"/>
  <c r="A42" i="22"/>
  <c r="A43" i="22"/>
  <c r="A44" i="22"/>
  <c r="A45" i="22"/>
  <c r="A46" i="22"/>
  <c r="A47" i="22"/>
  <c r="A48" i="22"/>
  <c r="A49" i="22"/>
  <c r="A50" i="22"/>
  <c r="A51" i="22"/>
  <c r="A52" i="22"/>
  <c r="A53" i="22"/>
  <c r="A54" i="22"/>
  <c r="A55" i="22"/>
  <c r="A56" i="22"/>
  <c r="A57" i="22"/>
  <c r="A58" i="22"/>
  <c r="A59" i="22"/>
  <c r="A60" i="22"/>
  <c r="A61" i="22"/>
  <c r="A62" i="22"/>
  <c r="A63" i="22"/>
  <c r="A64" i="22"/>
  <c r="A65" i="22"/>
  <c r="A66" i="22"/>
  <c r="A67" i="22"/>
  <c r="A68" i="22"/>
  <c r="A69" i="22"/>
  <c r="A70" i="22"/>
  <c r="A71" i="22"/>
  <c r="A72" i="22"/>
  <c r="A73" i="22"/>
  <c r="A74" i="22"/>
  <c r="A75" i="22"/>
  <c r="A76" i="22"/>
  <c r="A77" i="22"/>
  <c r="A78" i="22"/>
  <c r="A79" i="22"/>
  <c r="A80" i="22"/>
  <c r="A81" i="22"/>
  <c r="A82" i="22"/>
  <c r="A83" i="22"/>
  <c r="A84" i="22"/>
  <c r="A85" i="22"/>
  <c r="A86" i="22"/>
  <c r="A87" i="22"/>
  <c r="A88" i="22"/>
  <c r="A89" i="22"/>
  <c r="A90" i="22"/>
  <c r="A91" i="22"/>
  <c r="A92" i="22"/>
  <c r="A93" i="22"/>
  <c r="A94" i="22"/>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6" i="10"/>
  <c r="A9" i="10"/>
  <c r="A9" i="28"/>
  <c r="A10" i="28"/>
  <c r="A11" i="28"/>
  <c r="A12" i="28"/>
  <c r="A13" i="28"/>
  <c r="A14" i="28"/>
  <c r="A15" i="28"/>
  <c r="A16" i="28"/>
  <c r="A17" i="28"/>
  <c r="A18" i="28"/>
  <c r="A19" i="28"/>
  <c r="A20" i="28"/>
  <c r="A21" i="28"/>
  <c r="A22" i="28"/>
  <c r="A23" i="28"/>
  <c r="A24" i="28"/>
  <c r="A25" i="28"/>
  <c r="A26" i="28"/>
  <c r="A27" i="28"/>
  <c r="A28" i="28"/>
  <c r="A29" i="28"/>
  <c r="A30" i="28"/>
  <c r="A31" i="28"/>
  <c r="A32" i="28"/>
  <c r="A33" i="28"/>
  <c r="A34" i="28"/>
  <c r="A35" i="28"/>
  <c r="A36" i="28"/>
  <c r="A37" i="28"/>
  <c r="A38" i="28"/>
  <c r="A39" i="28"/>
  <c r="A40" i="28"/>
  <c r="A41" i="28"/>
  <c r="A42" i="28"/>
  <c r="A43" i="28"/>
  <c r="A44" i="28"/>
  <c r="A45" i="28"/>
  <c r="A46" i="28"/>
  <c r="A47" i="28"/>
  <c r="A49" i="28"/>
  <c r="A50" i="28"/>
  <c r="A51" i="28"/>
  <c r="A52" i="28"/>
  <c r="A53" i="28"/>
  <c r="A54" i="28"/>
  <c r="A55" i="28"/>
  <c r="A56" i="28"/>
  <c r="A57" i="28"/>
  <c r="A58" i="28"/>
  <c r="A59" i="28"/>
  <c r="A60" i="28"/>
  <c r="A61" i="28"/>
  <c r="A62" i="28"/>
  <c r="A63" i="28"/>
  <c r="A64" i="28"/>
  <c r="A65" i="28"/>
  <c r="A66" i="28"/>
  <c r="A67" i="28"/>
  <c r="A68" i="28"/>
  <c r="A69" i="28"/>
  <c r="A70" i="28"/>
  <c r="A71" i="28"/>
  <c r="A72" i="28"/>
  <c r="A73" i="28"/>
  <c r="A74" i="28"/>
  <c r="A75" i="28"/>
  <c r="A76" i="28"/>
  <c r="A77" i="28"/>
  <c r="A78" i="28"/>
  <c r="A79" i="28"/>
  <c r="A80" i="28"/>
  <c r="A81" i="28"/>
  <c r="A82" i="28"/>
  <c r="A83" i="28"/>
  <c r="A84" i="28"/>
  <c r="A85" i="28"/>
  <c r="A86" i="28"/>
  <c r="A87" i="28"/>
  <c r="A88" i="28"/>
  <c r="A89" i="28"/>
  <c r="A90" i="28"/>
  <c r="A91" i="28"/>
  <c r="A10" i="29"/>
  <c r="A11" i="29"/>
  <c r="A12" i="29"/>
  <c r="A13" i="29"/>
  <c r="A14" i="29"/>
  <c r="A15" i="29"/>
  <c r="A16" i="29"/>
  <c r="A17" i="29"/>
  <c r="A18" i="29"/>
  <c r="A19" i="29"/>
  <c r="A20" i="29"/>
  <c r="A21" i="29"/>
  <c r="A22" i="29"/>
  <c r="A23" i="29"/>
  <c r="A24" i="29"/>
  <c r="A25" i="29"/>
  <c r="A26" i="29"/>
  <c r="A27" i="29"/>
  <c r="A28" i="29"/>
  <c r="A29" i="29"/>
  <c r="A30" i="29"/>
  <c r="A31" i="29"/>
  <c r="A32" i="29"/>
  <c r="A33" i="29"/>
  <c r="A34" i="29"/>
  <c r="A35" i="29"/>
  <c r="A36" i="29"/>
  <c r="A37" i="29"/>
  <c r="A38" i="29"/>
  <c r="A39" i="29"/>
  <c r="A40" i="29"/>
  <c r="A41" i="29"/>
  <c r="A42" i="29"/>
  <c r="A43" i="29"/>
  <c r="A44" i="29"/>
  <c r="A45" i="29"/>
  <c r="A46" i="29"/>
  <c r="A47" i="29"/>
  <c r="A48" i="29"/>
  <c r="A49" i="29"/>
  <c r="A50" i="29"/>
  <c r="A51" i="29"/>
  <c r="A52" i="29"/>
  <c r="A53" i="29"/>
  <c r="A54" i="29"/>
  <c r="A55" i="29"/>
  <c r="A56" i="29"/>
  <c r="A57" i="29"/>
  <c r="A58" i="29"/>
  <c r="A59" i="29"/>
  <c r="A60" i="29"/>
  <c r="A61" i="29"/>
  <c r="A62" i="29"/>
  <c r="A63" i="29"/>
  <c r="A64" i="29"/>
  <c r="A65" i="29"/>
  <c r="A66" i="29"/>
  <c r="A67" i="29"/>
  <c r="A68" i="29"/>
  <c r="A69" i="29"/>
  <c r="A70" i="29"/>
  <c r="A71" i="29"/>
  <c r="A72" i="29"/>
  <c r="A73" i="29"/>
  <c r="A74" i="29"/>
  <c r="A75" i="29"/>
  <c r="A76" i="29"/>
  <c r="A77" i="29"/>
  <c r="A78" i="29"/>
  <c r="A79" i="29"/>
  <c r="A80" i="29"/>
  <c r="A81" i="29"/>
  <c r="A82" i="29"/>
  <c r="A83" i="29"/>
  <c r="A84" i="29"/>
  <c r="A85" i="29"/>
  <c r="A86" i="29"/>
  <c r="A87" i="29"/>
  <c r="A88" i="29"/>
  <c r="A89" i="29"/>
  <c r="A90" i="29"/>
  <c r="A91" i="29"/>
  <c r="A92" i="29"/>
  <c r="A93" i="29"/>
  <c r="A94" i="29"/>
  <c r="A95" i="29"/>
  <c r="A96" i="29"/>
  <c r="A97" i="29"/>
  <c r="A98" i="29"/>
  <c r="A99" i="29"/>
  <c r="A100" i="29"/>
  <c r="A101" i="29"/>
  <c r="A102" i="29"/>
  <c r="A103" i="29"/>
  <c r="A104" i="29"/>
  <c r="A105" i="29"/>
  <c r="A106" i="29"/>
  <c r="A107" i="29"/>
  <c r="A108" i="29"/>
  <c r="A109" i="29"/>
  <c r="A110" i="29"/>
  <c r="A111" i="29"/>
  <c r="A112" i="29"/>
  <c r="A113" i="29"/>
  <c r="A114" i="29"/>
  <c r="A115" i="29"/>
  <c r="A116" i="29"/>
  <c r="A117" i="29"/>
  <c r="A118" i="29"/>
  <c r="A119" i="29"/>
  <c r="A120" i="29"/>
  <c r="A121" i="29"/>
  <c r="A122" i="29"/>
  <c r="A123" i="29"/>
  <c r="A10" i="55"/>
  <c r="A11" i="55"/>
  <c r="A12" i="55"/>
  <c r="A13" i="55"/>
  <c r="A14" i="55"/>
  <c r="A15" i="55"/>
  <c r="A16" i="55"/>
  <c r="A17" i="55"/>
  <c r="A18" i="55"/>
  <c r="A19" i="55"/>
  <c r="A20" i="55"/>
  <c r="A21" i="55"/>
  <c r="A22" i="55"/>
  <c r="A23" i="55"/>
  <c r="A24" i="55"/>
  <c r="A25" i="55"/>
  <c r="A26" i="55"/>
  <c r="A27" i="55"/>
  <c r="A28" i="55"/>
  <c r="A29" i="55"/>
  <c r="A30" i="55"/>
  <c r="A31" i="55"/>
  <c r="A32" i="55"/>
  <c r="A33" i="55"/>
  <c r="A34" i="55"/>
  <c r="A35" i="55"/>
  <c r="A36" i="55"/>
  <c r="A37" i="55"/>
  <c r="A38" i="55"/>
  <c r="A39" i="55"/>
  <c r="A40" i="55"/>
  <c r="A41" i="55"/>
  <c r="A42" i="55"/>
  <c r="A43" i="55"/>
  <c r="A44" i="55"/>
  <c r="A45" i="55"/>
  <c r="A46" i="55"/>
  <c r="A47" i="55"/>
  <c r="A48" i="55"/>
  <c r="A49" i="55"/>
  <c r="A50" i="55"/>
  <c r="A51" i="55"/>
  <c r="A52" i="55"/>
  <c r="A53" i="55"/>
  <c r="A54" i="55"/>
  <c r="A55" i="55"/>
  <c r="A56" i="55"/>
  <c r="A57" i="55"/>
  <c r="A58" i="55"/>
  <c r="A59" i="55"/>
  <c r="A60" i="55"/>
  <c r="A61" i="55"/>
  <c r="A62" i="55"/>
  <c r="A63" i="55"/>
  <c r="A64" i="55"/>
  <c r="A65" i="55"/>
  <c r="A66" i="55"/>
  <c r="A67" i="55"/>
  <c r="A68" i="55"/>
  <c r="A69" i="55"/>
  <c r="A70" i="55"/>
  <c r="A71" i="55"/>
  <c r="A72" i="55"/>
  <c r="A73" i="55"/>
  <c r="A74" i="55"/>
  <c r="A75" i="55"/>
  <c r="A76" i="55"/>
  <c r="A77" i="55"/>
  <c r="A78" i="55"/>
  <c r="A79" i="55"/>
  <c r="A80" i="55"/>
  <c r="A81" i="55"/>
  <c r="A82" i="55"/>
  <c r="A83" i="55"/>
  <c r="A84" i="55"/>
  <c r="A85" i="55"/>
  <c r="A86" i="55"/>
  <c r="A87" i="55"/>
  <c r="A88" i="55"/>
  <c r="A89" i="55"/>
  <c r="A90" i="55"/>
  <c r="A91" i="55"/>
  <c r="A92" i="55"/>
  <c r="A93" i="55"/>
  <c r="A94" i="55"/>
  <c r="A95" i="55"/>
  <c r="A96" i="55"/>
  <c r="A97" i="55"/>
  <c r="A98" i="55"/>
  <c r="A99" i="55"/>
  <c r="A100" i="55"/>
  <c r="A101" i="55"/>
  <c r="A102" i="55"/>
  <c r="A103" i="55"/>
  <c r="A104" i="55"/>
  <c r="A105" i="55"/>
  <c r="A106" i="55"/>
  <c r="A107" i="55"/>
  <c r="A108" i="55"/>
  <c r="A109" i="55"/>
  <c r="A110" i="55"/>
  <c r="A111" i="55"/>
  <c r="A112" i="55"/>
  <c r="A113" i="55"/>
  <c r="A114" i="55"/>
  <c r="A115" i="55"/>
  <c r="A116" i="55"/>
  <c r="A117" i="55"/>
  <c r="A118" i="55"/>
  <c r="A119" i="55"/>
  <c r="A120" i="55"/>
  <c r="A121" i="55"/>
  <c r="A122" i="55"/>
  <c r="A123" i="55"/>
  <c r="A124" i="55"/>
  <c r="A125" i="55"/>
  <c r="A126" i="55"/>
  <c r="A127" i="55"/>
  <c r="A128" i="55"/>
  <c r="A129" i="55"/>
  <c r="A130" i="55"/>
  <c r="A131" i="55"/>
  <c r="A133" i="55"/>
  <c r="A134" i="55"/>
  <c r="A135" i="55"/>
  <c r="A136" i="55"/>
  <c r="A137" i="55"/>
  <c r="A138" i="55"/>
  <c r="A139" i="55"/>
  <c r="A140" i="55"/>
  <c r="A141" i="55"/>
  <c r="A9" i="55"/>
  <c r="A9" i="32"/>
  <c r="A10" i="32"/>
  <c r="A11" i="32"/>
  <c r="A12" i="32"/>
  <c r="A13" i="32"/>
  <c r="A14" i="32"/>
  <c r="A15" i="32"/>
  <c r="A16" i="32"/>
  <c r="A17" i="32"/>
  <c r="A18" i="32"/>
  <c r="A19" i="32"/>
  <c r="A20" i="32"/>
  <c r="A21" i="32"/>
  <c r="A22" i="32"/>
  <c r="A23" i="32"/>
  <c r="A24" i="32"/>
  <c r="A25" i="32"/>
  <c r="A26" i="32"/>
  <c r="A27" i="32"/>
  <c r="A28" i="32"/>
  <c r="A29" i="32"/>
  <c r="A30" i="32"/>
  <c r="A31" i="32"/>
  <c r="A32" i="32"/>
  <c r="A33" i="32"/>
  <c r="A34" i="32"/>
  <c r="A35" i="32"/>
  <c r="A36" i="32"/>
  <c r="A37" i="32"/>
  <c r="A38" i="32"/>
  <c r="A39" i="32"/>
  <c r="A40" i="32"/>
  <c r="A41" i="32"/>
  <c r="A42" i="32"/>
  <c r="A43" i="32"/>
  <c r="A44" i="32"/>
  <c r="A45" i="32"/>
  <c r="A46" i="32"/>
  <c r="A47" i="32"/>
  <c r="A48" i="32"/>
  <c r="A49" i="32"/>
  <c r="A50" i="32"/>
  <c r="A51" i="32"/>
  <c r="A52" i="32"/>
  <c r="A53" i="32"/>
  <c r="A54" i="32"/>
  <c r="A55" i="32"/>
  <c r="A56" i="32"/>
  <c r="A57" i="32"/>
  <c r="A58" i="32"/>
  <c r="A59" i="32"/>
  <c r="A60" i="32"/>
  <c r="A61" i="32"/>
  <c r="A62" i="32"/>
  <c r="A63" i="32"/>
  <c r="A64" i="32"/>
  <c r="A65" i="32"/>
  <c r="A66" i="32"/>
  <c r="A67" i="32"/>
  <c r="A68" i="32"/>
  <c r="A69" i="32"/>
  <c r="A70" i="32"/>
  <c r="A71" i="32"/>
  <c r="A72" i="32"/>
  <c r="A73" i="32"/>
  <c r="A74" i="32"/>
  <c r="A75" i="32"/>
  <c r="A76" i="32"/>
  <c r="A77" i="32"/>
  <c r="A78" i="32"/>
  <c r="A79" i="32"/>
  <c r="A80" i="32"/>
  <c r="A81" i="32"/>
  <c r="A82" i="32"/>
  <c r="A83" i="32"/>
  <c r="A84" i="32"/>
  <c r="A85" i="32"/>
  <c r="A86" i="32"/>
  <c r="A87" i="32"/>
  <c r="A88" i="32"/>
  <c r="A89" i="32"/>
  <c r="A90" i="32"/>
  <c r="A91" i="32"/>
  <c r="A92" i="32"/>
  <c r="A93" i="32"/>
  <c r="A94" i="32"/>
  <c r="A95" i="32"/>
  <c r="A96" i="32"/>
  <c r="A97" i="32"/>
  <c r="A98" i="32"/>
  <c r="A99" i="32"/>
  <c r="A100" i="32"/>
  <c r="A101" i="32"/>
  <c r="A102" i="32"/>
  <c r="A103" i="32"/>
  <c r="A104" i="32"/>
  <c r="A105" i="32"/>
  <c r="A106" i="32"/>
  <c r="A107" i="32"/>
  <c r="A108" i="32"/>
  <c r="A109" i="32"/>
  <c r="A110" i="32"/>
  <c r="A111" i="32"/>
  <c r="A112" i="32"/>
  <c r="A113" i="32"/>
  <c r="A114" i="32"/>
  <c r="A115" i="32"/>
  <c r="A116" i="32"/>
  <c r="A117" i="32"/>
  <c r="A118" i="32"/>
  <c r="A119" i="32"/>
  <c r="A120" i="32"/>
  <c r="A121" i="32"/>
  <c r="A122" i="32"/>
  <c r="A123" i="32"/>
  <c r="A124" i="32"/>
  <c r="A125" i="32"/>
  <c r="A126" i="32"/>
  <c r="A127" i="32"/>
  <c r="A128" i="32"/>
  <c r="A129" i="32"/>
  <c r="A130" i="32"/>
  <c r="A131" i="32"/>
  <c r="A132" i="32"/>
  <c r="A133" i="32"/>
  <c r="A134" i="32"/>
  <c r="A135" i="32"/>
  <c r="A136" i="32"/>
  <c r="A137" i="32"/>
  <c r="A138" i="32"/>
  <c r="A139" i="32"/>
  <c r="A140" i="32"/>
  <c r="A141" i="32"/>
  <c r="A142" i="32"/>
  <c r="A143" i="32"/>
  <c r="A144" i="32"/>
  <c r="A145" i="32"/>
  <c r="A146" i="32"/>
  <c r="A147" i="32"/>
  <c r="A148" i="32"/>
  <c r="A149" i="32"/>
  <c r="A150" i="32"/>
  <c r="A151" i="32"/>
  <c r="A152" i="32"/>
  <c r="A153" i="32"/>
  <c r="A154" i="32"/>
  <c r="A155" i="32"/>
  <c r="A156" i="32"/>
  <c r="A157" i="32"/>
  <c r="A158" i="32"/>
  <c r="A159" i="32"/>
  <c r="A160" i="32"/>
  <c r="A161" i="32"/>
  <c r="A162" i="32"/>
  <c r="A163" i="32"/>
  <c r="A164" i="32"/>
  <c r="A165" i="32"/>
  <c r="A166" i="32"/>
  <c r="A167" i="32"/>
  <c r="A168" i="32"/>
  <c r="A169" i="32"/>
  <c r="A170" i="32"/>
  <c r="A171" i="32"/>
  <c r="A172" i="32"/>
  <c r="A174" i="32"/>
  <c r="A175" i="32"/>
  <c r="A176" i="32"/>
  <c r="A177" i="32"/>
  <c r="A178" i="32"/>
  <c r="A179" i="32"/>
  <c r="A180" i="32"/>
  <c r="A181" i="32"/>
  <c r="A182" i="32"/>
  <c r="A183" i="32"/>
  <c r="A184" i="32"/>
  <c r="A9" i="21"/>
  <c r="A8" i="9"/>
  <c r="A9" i="34"/>
  <c r="A10" i="34"/>
  <c r="A11" i="34"/>
  <c r="A12" i="34"/>
  <c r="A13" i="34"/>
  <c r="A14" i="34"/>
  <c r="A15" i="34"/>
  <c r="A16" i="34"/>
  <c r="A17" i="34"/>
  <c r="A18" i="34"/>
  <c r="A19" i="34"/>
  <c r="A20" i="34"/>
  <c r="A21" i="34"/>
  <c r="A22" i="34"/>
  <c r="A23" i="34"/>
  <c r="A24" i="34"/>
  <c r="A25" i="34"/>
  <c r="A26" i="34"/>
  <c r="A27" i="34"/>
  <c r="A28" i="34"/>
  <c r="A29" i="34"/>
  <c r="A30" i="34"/>
  <c r="A31" i="34"/>
  <c r="A32" i="34"/>
  <c r="A33" i="34"/>
  <c r="A34" i="34"/>
  <c r="A35" i="34"/>
  <c r="A36" i="34"/>
  <c r="A37" i="34"/>
  <c r="A38" i="34"/>
  <c r="A39" i="34"/>
  <c r="A40" i="34"/>
  <c r="A41" i="34"/>
  <c r="A42" i="34"/>
  <c r="A43" i="34"/>
  <c r="A44" i="34"/>
  <c r="A45" i="34"/>
  <c r="A46" i="34"/>
  <c r="A47" i="34"/>
  <c r="A48" i="34"/>
  <c r="A49" i="34"/>
  <c r="A50" i="34"/>
  <c r="A51" i="34"/>
  <c r="A52" i="34"/>
  <c r="A53" i="34"/>
  <c r="A54" i="34"/>
  <c r="A55" i="34"/>
  <c r="A56" i="34"/>
  <c r="A57" i="34"/>
  <c r="A58" i="34"/>
  <c r="A59" i="34"/>
  <c r="A60" i="34"/>
  <c r="A61" i="34"/>
  <c r="A62" i="34"/>
  <c r="A63" i="34"/>
  <c r="A65" i="34"/>
  <c r="A66" i="34"/>
  <c r="A67" i="34"/>
  <c r="A68" i="34"/>
  <c r="A8" i="34"/>
  <c r="A10" i="11"/>
  <c r="A11" i="11"/>
  <c r="A12" i="11"/>
  <c r="A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7" i="11"/>
  <c r="A138" i="11"/>
  <c r="A139" i="11"/>
  <c r="A140" i="11"/>
  <c r="A141" i="11"/>
  <c r="A142" i="11"/>
  <c r="A143" i="11"/>
  <c r="A144" i="11"/>
  <c r="A145" i="11"/>
  <c r="A146" i="11"/>
  <c r="A147" i="11"/>
  <c r="A148" i="11"/>
  <c r="A149" i="11"/>
  <c r="A150" i="11"/>
  <c r="A9" i="11"/>
  <c r="A10" i="12"/>
  <c r="A11" i="12"/>
  <c r="A12" i="12"/>
  <c r="A13" i="12"/>
  <c r="A14" i="12"/>
  <c r="A15" i="12"/>
  <c r="A16" i="12"/>
  <c r="A17" i="12"/>
  <c r="A18" i="12"/>
  <c r="A19" i="12"/>
  <c r="A20" i="12"/>
  <c r="A21" i="12"/>
  <c r="A22" i="12"/>
  <c r="A23" i="12"/>
  <c r="A24" i="12"/>
  <c r="A25" i="12"/>
  <c r="A26" i="12"/>
  <c r="A27" i="12"/>
  <c r="A28" i="12"/>
  <c r="A29" i="12"/>
  <c r="A30" i="12"/>
  <c r="A31" i="12"/>
  <c r="A32" i="12"/>
  <c r="A33" i="12"/>
  <c r="A34" i="12"/>
  <c r="A35" i="12"/>
  <c r="A36" i="12"/>
  <c r="A37" i="12"/>
  <c r="A38" i="12"/>
  <c r="A39" i="12"/>
  <c r="A40" i="12"/>
  <c r="A41" i="12"/>
  <c r="A42" i="12"/>
  <c r="A43" i="12"/>
  <c r="A44" i="12"/>
  <c r="A45" i="12"/>
  <c r="A46" i="12"/>
  <c r="A47" i="12"/>
  <c r="A48" i="12"/>
  <c r="A49" i="12"/>
  <c r="A50" i="12"/>
  <c r="A51" i="12"/>
  <c r="A52" i="12"/>
  <c r="A53" i="12"/>
  <c r="A54" i="12"/>
  <c r="A55" i="12"/>
  <c r="A56" i="12"/>
  <c r="A57" i="12"/>
  <c r="A58" i="12"/>
  <c r="A59" i="12"/>
  <c r="A60" i="12"/>
  <c r="A61" i="12"/>
  <c r="A62" i="12"/>
  <c r="A63" i="12"/>
  <c r="A64" i="12"/>
  <c r="A65" i="12"/>
  <c r="A66" i="12"/>
  <c r="A67" i="12"/>
  <c r="A68" i="12"/>
  <c r="A69" i="12"/>
  <c r="A70" i="12"/>
  <c r="A71" i="12"/>
  <c r="A72" i="12"/>
  <c r="A73" i="12"/>
  <c r="A74" i="12"/>
  <c r="A75" i="12"/>
  <c r="A76" i="12"/>
  <c r="A77" i="12"/>
  <c r="A78" i="12"/>
  <c r="A79" i="12"/>
  <c r="A80" i="12"/>
  <c r="A81" i="12"/>
  <c r="A82" i="12"/>
  <c r="A83" i="12"/>
  <c r="A84" i="12"/>
  <c r="A85" i="12"/>
  <c r="A86" i="12"/>
  <c r="A87" i="12"/>
  <c r="A88" i="12"/>
  <c r="A89" i="12"/>
  <c r="A90" i="12"/>
  <c r="A91" i="12"/>
  <c r="A92" i="12"/>
  <c r="A93" i="12"/>
  <c r="A94" i="12"/>
  <c r="A95" i="12"/>
  <c r="A96" i="12"/>
  <c r="A97" i="12"/>
  <c r="A98" i="12"/>
  <c r="A99" i="12"/>
  <c r="A100" i="12"/>
  <c r="A101" i="12"/>
  <c r="A102" i="12"/>
  <c r="A103" i="12"/>
  <c r="A104" i="12"/>
  <c r="A105" i="12"/>
  <c r="A106" i="12"/>
  <c r="A107" i="12"/>
  <c r="A108" i="12"/>
  <c r="A109" i="12"/>
  <c r="A110" i="12"/>
  <c r="A111" i="12"/>
  <c r="A112" i="12"/>
  <c r="A113" i="12"/>
  <c r="A114" i="12"/>
  <c r="A115" i="12"/>
  <c r="A116" i="12"/>
  <c r="A117" i="12"/>
  <c r="A118" i="12"/>
  <c r="A119" i="12"/>
  <c r="A120" i="12"/>
  <c r="A121" i="12"/>
  <c r="A122" i="12"/>
  <c r="A124" i="12"/>
  <c r="A125" i="12"/>
  <c r="A126" i="12"/>
  <c r="A127" i="12"/>
  <c r="A128" i="12"/>
  <c r="A129" i="12"/>
  <c r="A130" i="12"/>
  <c r="A131" i="12"/>
  <c r="A132" i="12"/>
  <c r="A9" i="12"/>
  <c r="A10" i="21"/>
  <c r="A11" i="21"/>
  <c r="A12" i="21"/>
  <c r="A13" i="21"/>
  <c r="A14" i="21"/>
  <c r="A15" i="21"/>
  <c r="A16" i="21"/>
  <c r="A17" i="21"/>
  <c r="A18" i="21"/>
  <c r="A19" i="21"/>
  <c r="A20" i="21"/>
  <c r="A21" i="21"/>
  <c r="A22" i="21"/>
  <c r="A23" i="21"/>
  <c r="A24" i="21"/>
  <c r="A25" i="21"/>
  <c r="A26" i="21"/>
  <c r="A27" i="21"/>
  <c r="A28" i="21"/>
  <c r="A29" i="21"/>
  <c r="A30" i="21"/>
  <c r="A31" i="21"/>
  <c r="A32" i="21"/>
  <c r="A33" i="21"/>
  <c r="A34" i="21"/>
  <c r="A35" i="21"/>
  <c r="A36" i="21"/>
  <c r="A37" i="21"/>
  <c r="A38" i="21"/>
  <c r="A39" i="21"/>
  <c r="A40" i="21"/>
  <c r="A41" i="21"/>
  <c r="A42" i="21"/>
  <c r="A43" i="21"/>
  <c r="A44" i="21"/>
  <c r="A45" i="21"/>
  <c r="A46" i="21"/>
  <c r="A47" i="21"/>
  <c r="A48" i="21"/>
  <c r="A49" i="21"/>
  <c r="A50" i="21"/>
  <c r="A51" i="21"/>
  <c r="A52" i="21"/>
  <c r="A53" i="21"/>
  <c r="A54" i="21"/>
  <c r="A55" i="21"/>
  <c r="A56" i="21"/>
  <c r="A57" i="21"/>
  <c r="A58" i="21"/>
  <c r="A59" i="21"/>
  <c r="A60" i="21"/>
  <c r="A61" i="21"/>
  <c r="A62" i="21"/>
  <c r="A63" i="21"/>
  <c r="A64" i="21"/>
  <c r="A65" i="21"/>
  <c r="A66" i="21"/>
  <c r="A67" i="21"/>
  <c r="A68" i="21"/>
  <c r="A69" i="21"/>
  <c r="A70" i="21"/>
  <c r="A71" i="21"/>
  <c r="A72" i="21"/>
  <c r="A73" i="21"/>
  <c r="A74" i="21"/>
  <c r="A75" i="21"/>
  <c r="A76" i="21"/>
  <c r="A77" i="21"/>
  <c r="A78" i="21"/>
  <c r="A79" i="21"/>
  <c r="A80" i="21"/>
  <c r="A81" i="21"/>
  <c r="A82" i="21"/>
  <c r="A83" i="21"/>
  <c r="A84" i="21"/>
  <c r="A85" i="21"/>
  <c r="A86" i="21"/>
  <c r="A87" i="21"/>
  <c r="A88" i="21"/>
  <c r="A89" i="21"/>
  <c r="A90" i="21"/>
  <c r="A91" i="21"/>
  <c r="A92" i="21"/>
  <c r="A93" i="21"/>
  <c r="A94" i="21"/>
  <c r="A95" i="21"/>
  <c r="A96" i="21"/>
  <c r="A97" i="21"/>
  <c r="A98" i="21"/>
  <c r="A99" i="21"/>
  <c r="A100" i="21"/>
  <c r="A101" i="21"/>
  <c r="A102" i="21"/>
  <c r="A103" i="21"/>
  <c r="A9" i="25"/>
  <c r="A10" i="25"/>
  <c r="A11" i="25"/>
  <c r="A12" i="25"/>
  <c r="A13" i="25"/>
  <c r="A14" i="25"/>
  <c r="A15" i="25"/>
  <c r="A8" i="25"/>
  <c r="A9" i="53"/>
  <c r="A10" i="53"/>
  <c r="A11" i="53"/>
  <c r="A12" i="53"/>
  <c r="A13" i="53"/>
  <c r="A14" i="53"/>
  <c r="A15" i="53"/>
  <c r="A16" i="53"/>
  <c r="A17" i="53"/>
  <c r="A18" i="53"/>
  <c r="A19" i="53"/>
  <c r="A20" i="53"/>
  <c r="A21" i="53"/>
  <c r="A22" i="53"/>
  <c r="A23" i="53"/>
  <c r="A24" i="53"/>
  <c r="A25" i="53"/>
  <c r="A26" i="53"/>
  <c r="A27" i="53"/>
  <c r="A28" i="53"/>
  <c r="A29" i="53"/>
  <c r="A30" i="53"/>
  <c r="A31" i="53"/>
  <c r="A32" i="53"/>
  <c r="A33" i="53"/>
  <c r="A34" i="53"/>
  <c r="A35" i="53"/>
  <c r="A36" i="53"/>
  <c r="A37" i="53"/>
  <c r="A38" i="53"/>
  <c r="A39" i="53"/>
  <c r="A40" i="53"/>
  <c r="A41" i="53"/>
  <c r="A42" i="53"/>
  <c r="A43" i="53"/>
  <c r="A44" i="53"/>
  <c r="A45" i="53"/>
  <c r="A46" i="53"/>
  <c r="A47" i="53"/>
  <c r="A48" i="53"/>
  <c r="A9" i="24"/>
  <c r="A10" i="24"/>
  <c r="A11" i="24"/>
  <c r="A12" i="24"/>
  <c r="A13" i="24"/>
  <c r="A14" i="24"/>
  <c r="A15" i="24"/>
  <c r="A16" i="24"/>
  <c r="A17" i="24"/>
  <c r="A18" i="24"/>
  <c r="A19" i="24"/>
  <c r="A20" i="24"/>
  <c r="A21" i="24"/>
  <c r="A22" i="24"/>
  <c r="A23" i="24"/>
  <c r="A24" i="24"/>
  <c r="A25" i="24"/>
  <c r="A26" i="24"/>
  <c r="A27" i="24"/>
  <c r="A28" i="24"/>
  <c r="A29" i="24"/>
  <c r="A30" i="24"/>
  <c r="A31" i="24"/>
  <c r="A32" i="24"/>
  <c r="A33" i="24"/>
  <c r="A34" i="24"/>
  <c r="A35" i="24"/>
  <c r="A36" i="24"/>
  <c r="A37" i="24"/>
  <c r="A38" i="24"/>
  <c r="A39" i="24"/>
  <c r="A40" i="24"/>
  <c r="A41" i="24"/>
  <c r="A42" i="24"/>
  <c r="A43" i="24"/>
  <c r="A44" i="24"/>
  <c r="A45" i="24"/>
  <c r="A46" i="24"/>
  <c r="A47" i="24"/>
  <c r="A48" i="24"/>
  <c r="A49" i="24"/>
  <c r="A50" i="24"/>
  <c r="A51" i="24"/>
  <c r="A52" i="24"/>
  <c r="A53" i="24"/>
  <c r="A54" i="24"/>
  <c r="A55" i="24"/>
  <c r="A56" i="24"/>
  <c r="A57" i="24"/>
  <c r="A58" i="24"/>
  <c r="A59" i="24"/>
  <c r="A60" i="24"/>
  <c r="A61" i="24"/>
  <c r="A62" i="24"/>
  <c r="A63" i="24"/>
  <c r="A64" i="24"/>
  <c r="A65" i="24"/>
  <c r="A66" i="24"/>
  <c r="A67" i="24"/>
  <c r="A68" i="24"/>
  <c r="A69" i="24"/>
  <c r="A70" i="24"/>
  <c r="A71" i="24"/>
  <c r="A72" i="24"/>
  <c r="A73" i="24"/>
  <c r="A74" i="24"/>
  <c r="A75" i="24"/>
  <c r="A76" i="24"/>
  <c r="A77" i="24"/>
  <c r="A78" i="24"/>
  <c r="A79" i="24"/>
  <c r="A80" i="24"/>
  <c r="A81" i="24"/>
  <c r="A82" i="24"/>
  <c r="A83" i="24"/>
  <c r="A84" i="24"/>
  <c r="A85" i="24"/>
  <c r="A86" i="24"/>
  <c r="A87" i="24"/>
  <c r="A88" i="24"/>
  <c r="A89" i="24"/>
  <c r="A90" i="24"/>
  <c r="A91" i="24"/>
  <c r="A92" i="24"/>
  <c r="A93" i="24"/>
  <c r="A94" i="24"/>
  <c r="A95" i="24"/>
  <c r="A96" i="24"/>
  <c r="A97" i="24"/>
  <c r="A98" i="24"/>
  <c r="A99" i="24"/>
  <c r="A100" i="24"/>
  <c r="A101" i="24"/>
  <c r="A102" i="24"/>
  <c r="A103" i="24"/>
  <c r="A104" i="24"/>
  <c r="A105" i="24"/>
  <c r="A106" i="24"/>
  <c r="A107" i="24"/>
  <c r="A108" i="24"/>
  <c r="A109" i="24"/>
  <c r="A110" i="24"/>
  <c r="A111" i="24"/>
  <c r="A112" i="24"/>
  <c r="A113" i="24"/>
  <c r="A114" i="24"/>
  <c r="A115" i="24"/>
  <c r="A116" i="24"/>
  <c r="A117" i="24"/>
  <c r="A118" i="24"/>
  <c r="A119" i="24"/>
  <c r="A120" i="24"/>
  <c r="A121" i="24"/>
  <c r="A122" i="24"/>
  <c r="A123" i="24"/>
  <c r="A124" i="24"/>
  <c r="A125" i="24"/>
  <c r="A126" i="24"/>
  <c r="A127" i="24"/>
  <c r="A128" i="24"/>
  <c r="A129" i="24"/>
  <c r="A130" i="24"/>
  <c r="A131" i="24"/>
  <c r="A132" i="24"/>
  <c r="A133" i="24"/>
  <c r="A134" i="24"/>
  <c r="A135" i="24"/>
  <c r="A136" i="24"/>
  <c r="A137" i="24"/>
  <c r="A138" i="24"/>
  <c r="A139" i="24"/>
  <c r="A140" i="24"/>
  <c r="A141" i="24"/>
  <c r="A142" i="24"/>
  <c r="A143" i="24"/>
  <c r="A144" i="24"/>
  <c r="A145" i="24"/>
  <c r="A147" i="24"/>
  <c r="A148" i="24"/>
  <c r="A149" i="24"/>
  <c r="A150" i="24"/>
  <c r="A151" i="24"/>
  <c r="A152" i="24"/>
  <c r="A153" i="24"/>
  <c r="A154" i="24"/>
  <c r="A155" i="24"/>
  <c r="A156" i="24"/>
  <c r="A157" i="24"/>
  <c r="A158" i="24"/>
  <c r="A159" i="24"/>
  <c r="A160" i="24"/>
  <c r="A161" i="24"/>
  <c r="A162" i="24"/>
  <c r="A163" i="24"/>
  <c r="A164" i="24"/>
  <c r="A165" i="24"/>
  <c r="A166" i="24"/>
  <c r="A167" i="24"/>
  <c r="A168" i="24"/>
  <c r="A169" i="24"/>
  <c r="A170" i="24"/>
  <c r="A171" i="24"/>
  <c r="A172" i="24"/>
  <c r="A173" i="24"/>
  <c r="A174" i="24"/>
  <c r="A175" i="24"/>
  <c r="A176" i="24"/>
  <c r="A177" i="24"/>
  <c r="A178" i="24"/>
  <c r="A179" i="24"/>
  <c r="A180" i="24"/>
  <c r="A181" i="24"/>
  <c r="A182" i="24"/>
  <c r="A183" i="24"/>
  <c r="A184" i="24"/>
  <c r="A185" i="24"/>
  <c r="A186" i="24"/>
  <c r="A187" i="24"/>
  <c r="A188" i="24"/>
  <c r="A189" i="24"/>
  <c r="A190" i="24"/>
  <c r="A191" i="24"/>
  <c r="A192" i="24"/>
  <c r="A193" i="24"/>
  <c r="A194" i="24"/>
  <c r="A195" i="24"/>
  <c r="A196" i="24"/>
  <c r="A197" i="24"/>
  <c r="A198" i="24"/>
  <c r="A199" i="24"/>
  <c r="A200" i="24"/>
  <c r="A201" i="24"/>
  <c r="A202" i="24"/>
  <c r="A203" i="24"/>
  <c r="A204" i="24"/>
  <c r="A205" i="24"/>
  <c r="A206" i="24"/>
  <c r="A207" i="24"/>
  <c r="A208" i="24"/>
  <c r="A209" i="24"/>
  <c r="A210" i="24"/>
  <c r="A211" i="24"/>
  <c r="A212" i="24"/>
  <c r="A213" i="24"/>
  <c r="A214" i="24"/>
  <c r="A215" i="24"/>
  <c r="A216" i="24"/>
  <c r="A217" i="24"/>
  <c r="A218" i="24"/>
  <c r="A219" i="24"/>
  <c r="A220" i="24"/>
  <c r="A221" i="24"/>
  <c r="A222" i="24"/>
  <c r="A223" i="24"/>
  <c r="A224" i="24"/>
  <c r="A225" i="24"/>
  <c r="A226" i="24"/>
  <c r="A227" i="24"/>
  <c r="A228" i="24"/>
  <c r="A229" i="24"/>
  <c r="A230" i="24"/>
  <c r="A231" i="24"/>
  <c r="A232" i="24"/>
  <c r="A233" i="24"/>
  <c r="A234" i="24"/>
  <c r="A235" i="24"/>
  <c r="A236" i="24"/>
  <c r="A237" i="24"/>
  <c r="A238" i="24"/>
  <c r="A239" i="24"/>
  <c r="A240" i="24"/>
  <c r="A241" i="24"/>
  <c r="A242" i="24"/>
  <c r="A243" i="24"/>
  <c r="A244" i="24"/>
  <c r="A245" i="24"/>
  <c r="A246" i="24"/>
  <c r="A247" i="24"/>
  <c r="A248" i="24"/>
  <c r="A8" i="24"/>
  <c r="A9" i="51"/>
  <c r="A8" i="51"/>
  <c r="A9" i="52"/>
  <c r="A10" i="52"/>
  <c r="A11" i="52"/>
  <c r="A9" i="47"/>
  <c r="A10" i="47"/>
  <c r="A11" i="47"/>
  <c r="A12" i="47"/>
  <c r="A14" i="47"/>
  <c r="A15" i="47"/>
  <c r="A16" i="47"/>
  <c r="A17" i="47"/>
  <c r="A18" i="47"/>
  <c r="A19" i="47"/>
  <c r="A20" i="47"/>
  <c r="A21" i="47"/>
  <c r="A8" i="47"/>
  <c r="A9" i="9"/>
  <c r="A10" i="9"/>
  <c r="A12" i="9"/>
  <c r="A13" i="9"/>
  <c r="A15" i="9"/>
  <c r="A16" i="9"/>
  <c r="A17" i="9"/>
  <c r="A18" i="9"/>
  <c r="A19" i="9"/>
  <c r="A20" i="9"/>
  <c r="A21" i="9"/>
  <c r="A22" i="9"/>
  <c r="A23" i="9"/>
  <c r="A27" i="9"/>
  <c r="A28" i="9"/>
  <c r="A32" i="9"/>
  <c r="A33" i="9"/>
  <c r="A34"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5" i="9"/>
  <c r="A66" i="9"/>
  <c r="A67" i="9"/>
  <c r="A68" i="9"/>
  <c r="A69" i="9"/>
  <c r="A70" i="9"/>
  <c r="A71" i="9"/>
  <c r="A72" i="9"/>
  <c r="A76" i="9"/>
  <c r="A77" i="9"/>
  <c r="A78" i="9"/>
  <c r="A81" i="9"/>
  <c r="A82" i="9"/>
  <c r="A83" i="9"/>
  <c r="A85" i="9"/>
  <c r="A86" i="9"/>
  <c r="A87"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6" i="9"/>
  <c r="A117" i="9"/>
  <c r="A118" i="9"/>
  <c r="A120" i="9"/>
  <c r="A121" i="9"/>
  <c r="A122" i="9"/>
  <c r="A123" i="9"/>
  <c r="A124" i="9"/>
  <c r="A125" i="9"/>
  <c r="A126" i="9"/>
  <c r="A128" i="9"/>
  <c r="A129" i="9"/>
  <c r="A130" i="9"/>
  <c r="A132" i="9"/>
  <c r="A133" i="9"/>
  <c r="A134" i="9"/>
  <c r="A135" i="9"/>
  <c r="A136" i="9"/>
  <c r="A137" i="9"/>
  <c r="A138" i="9"/>
  <c r="A139" i="9"/>
  <c r="A140" i="9"/>
  <c r="A141" i="9"/>
  <c r="A142" i="9"/>
  <c r="A143" i="9"/>
  <c r="A144" i="9"/>
  <c r="A145" i="9"/>
  <c r="A146" i="9"/>
  <c r="A148" i="9"/>
  <c r="A149" i="9"/>
  <c r="A150" i="9"/>
  <c r="A151" i="9"/>
  <c r="A152" i="9"/>
  <c r="A154" i="9"/>
  <c r="A155" i="9"/>
  <c r="A156" i="9"/>
  <c r="A157" i="9"/>
  <c r="A158" i="9"/>
  <c r="A159" i="9"/>
  <c r="A160" i="9"/>
  <c r="A161" i="9"/>
  <c r="A162" i="9"/>
  <c r="A163" i="9"/>
  <c r="A164" i="9"/>
  <c r="A165" i="9"/>
  <c r="A166" i="9"/>
  <c r="A167" i="9"/>
  <c r="A168" i="9"/>
  <c r="A169" i="9"/>
  <c r="A170" i="9"/>
  <c r="A171" i="9"/>
  <c r="A172" i="9"/>
  <c r="A173" i="9"/>
  <c r="A174" i="9"/>
  <c r="A176" i="9"/>
  <c r="A178" i="9"/>
  <c r="A179" i="9"/>
  <c r="A180" i="9"/>
  <c r="A181" i="9"/>
  <c r="A182" i="9"/>
  <c r="A183" i="9"/>
  <c r="A184" i="9"/>
  <c r="A185" i="9"/>
  <c r="A186" i="9"/>
  <c r="A187" i="9"/>
  <c r="A188" i="9"/>
  <c r="A189" i="9"/>
  <c r="A190" i="9"/>
  <c r="A191" i="9"/>
  <c r="A192" i="9"/>
  <c r="A193" i="9"/>
  <c r="A194" i="9"/>
  <c r="A195" i="9"/>
  <c r="A198" i="9"/>
  <c r="A201" i="9"/>
  <c r="A202" i="9"/>
  <c r="A203" i="9"/>
  <c r="A204" i="9"/>
  <c r="A205" i="9"/>
  <c r="A206" i="9"/>
  <c r="A207" i="9"/>
  <c r="A208" i="9"/>
  <c r="A209" i="9"/>
  <c r="A210" i="9"/>
  <c r="A211" i="9"/>
  <c r="A212" i="9"/>
  <c r="A213" i="9"/>
  <c r="A214" i="9"/>
  <c r="A216" i="9"/>
  <c r="A217" i="9"/>
  <c r="A218" i="9"/>
  <c r="A219" i="9"/>
  <c r="A221" i="9"/>
  <c r="A222" i="9"/>
  <c r="A223" i="9"/>
  <c r="A224" i="9"/>
  <c r="A225" i="9"/>
  <c r="A226" i="9"/>
  <c r="A227" i="9"/>
  <c r="A228" i="9"/>
  <c r="A229" i="9"/>
  <c r="A230" i="9"/>
  <c r="A231" i="9"/>
  <c r="A232" i="9"/>
  <c r="A233" i="9"/>
  <c r="A234" i="9"/>
  <c r="A235" i="9"/>
  <c r="A240" i="9"/>
  <c r="A241" i="9"/>
  <c r="A242" i="9"/>
  <c r="A243" i="9"/>
  <c r="A244" i="9"/>
  <c r="A245" i="9"/>
  <c r="A246" i="9"/>
  <c r="A247" i="9"/>
  <c r="A248" i="9"/>
  <c r="A249" i="9"/>
  <c r="A250" i="9"/>
  <c r="A251" i="9"/>
  <c r="A252" i="9"/>
  <c r="A253" i="9"/>
  <c r="A255" i="9"/>
  <c r="A256" i="9"/>
  <c r="A257" i="9"/>
  <c r="A258" i="9"/>
  <c r="A260" i="9"/>
  <c r="A261" i="9"/>
  <c r="A262" i="9"/>
  <c r="A264" i="9"/>
  <c r="A265" i="9"/>
  <c r="A266" i="9"/>
  <c r="A267" i="9"/>
  <c r="A268" i="9"/>
  <c r="A269" i="9"/>
  <c r="A271" i="9"/>
  <c r="A272" i="9"/>
  <c r="A273" i="9"/>
  <c r="A274" i="9"/>
  <c r="A275" i="9"/>
  <c r="A276" i="9"/>
  <c r="A277" i="9"/>
  <c r="A278" i="9"/>
  <c r="A279" i="9"/>
  <c r="A281" i="9"/>
  <c r="A282" i="9"/>
  <c r="A284" i="9"/>
  <c r="A285" i="9"/>
  <c r="A286"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3" i="9"/>
  <c r="A325" i="9"/>
  <c r="A326" i="9"/>
  <c r="A328" i="9"/>
  <c r="A329" i="9"/>
  <c r="A330" i="9"/>
  <c r="A331" i="9"/>
  <c r="A332" i="9"/>
  <c r="A333" i="9"/>
  <c r="A334" i="9"/>
  <c r="A336" i="9"/>
  <c r="A337" i="9"/>
  <c r="A338" i="9"/>
  <c r="A339" i="9"/>
  <c r="A340" i="9"/>
  <c r="A341" i="9"/>
  <c r="A342" i="9"/>
  <c r="A343" i="9"/>
  <c r="A344" i="9"/>
  <c r="A345" i="9"/>
  <c r="A346" i="9"/>
  <c r="A347" i="9"/>
  <c r="A348" i="9"/>
  <c r="A349" i="9"/>
  <c r="A350" i="9"/>
  <c r="A351" i="9"/>
  <c r="A352" i="9"/>
  <c r="A353" i="9"/>
  <c r="A354" i="9"/>
  <c r="A355" i="9"/>
  <c r="A356" i="9"/>
  <c r="A357" i="9"/>
  <c r="A358" i="9"/>
  <c r="A359" i="9"/>
  <c r="A360" i="9"/>
  <c r="A361" i="9"/>
  <c r="A362" i="9"/>
  <c r="A363" i="9"/>
  <c r="A364" i="9"/>
  <c r="A365" i="9"/>
  <c r="A366" i="9"/>
  <c r="A368" i="9"/>
  <c r="A369" i="9"/>
  <c r="A370" i="9"/>
  <c r="A371" i="9"/>
  <c r="A372" i="9"/>
  <c r="A373" i="9"/>
  <c r="A374" i="9"/>
  <c r="A375" i="9"/>
  <c r="A376" i="9"/>
  <c r="A377" i="9"/>
  <c r="A378" i="9"/>
  <c r="A379" i="9"/>
  <c r="A380" i="9"/>
  <c r="A381" i="9"/>
  <c r="A382" i="9"/>
  <c r="A383" i="9"/>
  <c r="A384" i="9"/>
  <c r="A385" i="9"/>
  <c r="A386" i="9"/>
  <c r="A387" i="9"/>
  <c r="A388" i="9"/>
  <c r="A389" i="9"/>
  <c r="A390" i="9"/>
  <c r="A391" i="9"/>
  <c r="A392" i="9"/>
  <c r="A393" i="9"/>
  <c r="A394" i="9"/>
  <c r="A396" i="9"/>
  <c r="A397" i="9"/>
  <c r="A398" i="9"/>
  <c r="A399" i="9"/>
  <c r="A401" i="9"/>
  <c r="A402" i="9"/>
  <c r="A403" i="9"/>
  <c r="A404" i="9"/>
  <c r="A405" i="9"/>
  <c r="A406" i="9"/>
  <c r="A407" i="9"/>
  <c r="A408" i="9"/>
  <c r="A409" i="9"/>
  <c r="A410" i="9"/>
  <c r="A411" i="9"/>
  <c r="A412" i="9"/>
  <c r="A413" i="9"/>
  <c r="A414" i="9"/>
  <c r="A415" i="9"/>
  <c r="A416" i="9"/>
  <c r="A418" i="9"/>
  <c r="A419" i="9"/>
  <c r="A420" i="9"/>
  <c r="A421" i="9"/>
  <c r="A422" i="9"/>
  <c r="A423" i="9"/>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A103" i="8"/>
  <c r="A104" i="8"/>
  <c r="A105" i="8"/>
  <c r="A106" i="8"/>
  <c r="A107" i="8"/>
  <c r="A108" i="8"/>
  <c r="A109" i="8"/>
  <c r="A110" i="8"/>
  <c r="A111" i="8"/>
  <c r="A112" i="8"/>
  <c r="A113" i="8"/>
  <c r="A114" i="8"/>
  <c r="A115" i="8"/>
  <c r="A116" i="8"/>
  <c r="A117" i="8"/>
  <c r="A118" i="8"/>
  <c r="A119" i="8"/>
  <c r="A120" i="8"/>
  <c r="A121" i="8"/>
  <c r="A123" i="8"/>
  <c r="A124" i="8"/>
  <c r="A125" i="8"/>
  <c r="A126" i="8"/>
  <c r="A127" i="8"/>
  <c r="A128" i="8"/>
  <c r="A129" i="8"/>
  <c r="A130" i="8"/>
  <c r="A131" i="8"/>
  <c r="A132" i="8"/>
  <c r="A133" i="8"/>
  <c r="A134" i="8"/>
  <c r="A135" i="8"/>
  <c r="A136" i="8"/>
  <c r="A137" i="8"/>
  <c r="A138" i="8"/>
  <c r="A139" i="8"/>
  <c r="A140" i="8"/>
  <c r="A141" i="8"/>
  <c r="A142" i="8"/>
  <c r="A143" i="8"/>
  <c r="A144" i="8"/>
  <c r="A145" i="8"/>
  <c r="A146" i="8"/>
  <c r="A147" i="8"/>
  <c r="A148" i="8"/>
  <c r="A149" i="8"/>
  <c r="A150" i="8"/>
  <c r="A151" i="8"/>
  <c r="A152" i="8"/>
  <c r="A153" i="8"/>
  <c r="A154" i="8"/>
  <c r="A155" i="8"/>
  <c r="A156" i="8"/>
  <c r="A157" i="8"/>
  <c r="A158" i="8"/>
  <c r="A159" i="8"/>
  <c r="A160" i="8"/>
  <c r="A161" i="8"/>
  <c r="A162" i="8"/>
  <c r="A163" i="8"/>
  <c r="A164" i="8"/>
  <c r="A165" i="8"/>
  <c r="A166" i="8"/>
  <c r="A167" i="8"/>
  <c r="A168" i="8"/>
  <c r="A169" i="8"/>
  <c r="A170" i="8"/>
  <c r="A171" i="8"/>
  <c r="A172" i="8"/>
  <c r="A173" i="8"/>
  <c r="A174" i="8"/>
  <c r="A175" i="8"/>
  <c r="A176" i="8"/>
  <c r="A177" i="8"/>
  <c r="A178" i="8"/>
  <c r="A179" i="8"/>
  <c r="A180" i="8"/>
  <c r="A181" i="8"/>
  <c r="A182" i="8"/>
  <c r="A183" i="8"/>
  <c r="A184" i="8"/>
  <c r="A185" i="8"/>
  <c r="A186" i="8"/>
  <c r="A187" i="8"/>
  <c r="A188" i="8"/>
  <c r="A189" i="8"/>
  <c r="A190" i="8"/>
  <c r="A191" i="8"/>
  <c r="A192" i="8"/>
  <c r="A193" i="8"/>
  <c r="A194" i="8"/>
  <c r="A195" i="8"/>
  <c r="A196" i="8"/>
  <c r="A197" i="8"/>
  <c r="A198" i="8"/>
  <c r="A199" i="8"/>
  <c r="A200" i="8"/>
  <c r="A201" i="8"/>
  <c r="A202" i="8"/>
  <c r="A203" i="8"/>
  <c r="A204" i="8"/>
  <c r="A205" i="8"/>
  <c r="A206" i="8"/>
  <c r="A207" i="8"/>
  <c r="A208" i="8"/>
  <c r="A209" i="8"/>
  <c r="A210" i="8"/>
  <c r="A211" i="8"/>
  <c r="A212" i="8"/>
  <c r="A213" i="8"/>
  <c r="A214" i="8"/>
  <c r="A215" i="8"/>
  <c r="A216" i="8"/>
  <c r="A217" i="8"/>
  <c r="A218" i="8"/>
  <c r="A219" i="8"/>
  <c r="A220" i="8"/>
  <c r="A221" i="8"/>
  <c r="A222" i="8"/>
  <c r="A223" i="8"/>
  <c r="A224" i="8"/>
  <c r="A225" i="8"/>
  <c r="A226" i="8"/>
  <c r="A227" i="8"/>
  <c r="A228" i="8"/>
  <c r="A229" i="8"/>
  <c r="A230" i="8"/>
  <c r="A231" i="8"/>
  <c r="A232" i="8"/>
  <c r="A233" i="8"/>
  <c r="A234" i="8"/>
  <c r="A235" i="8"/>
  <c r="A236" i="8"/>
  <c r="A237" i="8"/>
  <c r="A238" i="8"/>
  <c r="A239" i="8"/>
  <c r="A240" i="8"/>
  <c r="A241" i="8"/>
  <c r="A242" i="8"/>
  <c r="A243" i="8"/>
  <c r="A244" i="8"/>
  <c r="A245" i="8"/>
  <c r="A246" i="8"/>
  <c r="A247" i="8"/>
  <c r="A248" i="8"/>
  <c r="A249" i="8"/>
  <c r="A250" i="8"/>
  <c r="A251" i="8"/>
  <c r="A252" i="8"/>
  <c r="A253" i="8"/>
  <c r="A254" i="8"/>
  <c r="A255" i="8"/>
  <c r="A256" i="8"/>
  <c r="A257" i="8"/>
  <c r="A258" i="8"/>
  <c r="A259" i="8"/>
  <c r="A260" i="8"/>
  <c r="A261" i="8"/>
  <c r="A262" i="8"/>
  <c r="A263" i="8"/>
  <c r="A264" i="8"/>
  <c r="A265" i="8"/>
  <c r="A266" i="8"/>
  <c r="A267" i="8"/>
  <c r="A268" i="8"/>
  <c r="A269" i="8"/>
  <c r="A270" i="8"/>
  <c r="A271" i="8"/>
  <c r="A272" i="8"/>
  <c r="A273" i="8"/>
  <c r="A274" i="8"/>
  <c r="A275" i="8"/>
  <c r="A276" i="8"/>
  <c r="A277" i="8"/>
  <c r="A278" i="8"/>
  <c r="A279" i="8"/>
  <c r="A280" i="8"/>
  <c r="A281" i="8"/>
  <c r="A282" i="8"/>
  <c r="A283" i="8"/>
  <c r="A284" i="8"/>
  <c r="A285" i="8"/>
  <c r="A286" i="8"/>
  <c r="A287" i="8"/>
  <c r="A288" i="8"/>
  <c r="A289" i="8"/>
  <c r="A290" i="8"/>
  <c r="A291" i="8"/>
  <c r="A292" i="8"/>
  <c r="A293" i="8"/>
  <c r="A294" i="8"/>
  <c r="A295" i="8"/>
  <c r="A296" i="8"/>
  <c r="A297" i="8"/>
  <c r="A298" i="8"/>
  <c r="A299" i="8"/>
  <c r="A300" i="8"/>
  <c r="A301" i="8"/>
  <c r="A302" i="8"/>
  <c r="A303" i="8"/>
  <c r="A304" i="8"/>
  <c r="A305" i="8"/>
  <c r="A306" i="8"/>
  <c r="A307" i="8"/>
  <c r="A308" i="8"/>
  <c r="A309" i="8"/>
  <c r="A310" i="8"/>
  <c r="A311" i="8"/>
  <c r="A312" i="8"/>
  <c r="A313" i="8"/>
  <c r="A314" i="8"/>
  <c r="A315" i="8"/>
  <c r="A316" i="8"/>
  <c r="A9" i="8"/>
  <c r="A10" i="8" l="1"/>
  <c r="A122" i="8"/>
  <c r="T73" i="55" l="1"/>
  <c r="S26" i="28" l="1"/>
  <c r="F112" i="12"/>
  <c r="F111" i="12"/>
  <c r="D218" i="8"/>
  <c r="F218" i="8"/>
  <c r="Q218" i="8" s="1"/>
  <c r="G218" i="8"/>
  <c r="M218" i="8" s="1"/>
  <c r="H218" i="8"/>
  <c r="I218" i="8"/>
  <c r="J218" i="8" s="1"/>
  <c r="O218" i="8"/>
  <c r="P218" i="8"/>
  <c r="R218" i="8"/>
  <c r="S218" i="8"/>
  <c r="T218" i="8"/>
  <c r="U218" i="8"/>
  <c r="V218" i="8"/>
  <c r="D146" i="8"/>
  <c r="F146" i="8"/>
  <c r="Q146" i="8" s="1"/>
  <c r="G146" i="8"/>
  <c r="M146" i="8" s="1"/>
  <c r="H146" i="8"/>
  <c r="I146" i="8"/>
  <c r="J146" i="8" s="1"/>
  <c r="O146" i="8"/>
  <c r="P146" i="8"/>
  <c r="R146" i="8"/>
  <c r="S146" i="8"/>
  <c r="T146" i="8"/>
  <c r="U146" i="8"/>
  <c r="V146" i="8"/>
  <c r="D135" i="8"/>
  <c r="F135" i="8"/>
  <c r="Q135" i="8" s="1"/>
  <c r="G135" i="8"/>
  <c r="M135" i="8" s="1"/>
  <c r="H135" i="8"/>
  <c r="I135" i="8"/>
  <c r="J135" i="8" s="1"/>
  <c r="O135" i="8"/>
  <c r="P135" i="8"/>
  <c r="R135" i="8"/>
  <c r="S135" i="8"/>
  <c r="T135" i="8"/>
  <c r="U135" i="8"/>
  <c r="V135" i="8"/>
  <c r="V113" i="54"/>
  <c r="V114" i="54"/>
  <c r="V115" i="54"/>
  <c r="V116" i="54"/>
  <c r="V117" i="54"/>
  <c r="V118" i="54"/>
  <c r="V119" i="54"/>
  <c r="V120" i="54"/>
  <c r="V121" i="54"/>
  <c r="V122" i="54"/>
  <c r="V123" i="54"/>
  <c r="V124" i="54"/>
  <c r="V125" i="54"/>
  <c r="V126" i="54"/>
  <c r="V127" i="54"/>
  <c r="V128" i="54"/>
  <c r="V129" i="54"/>
  <c r="V130" i="54"/>
  <c r="V131" i="54"/>
  <c r="V132" i="54"/>
  <c r="V133" i="54"/>
  <c r="V134" i="54"/>
  <c r="V112" i="54"/>
  <c r="V109" i="54"/>
  <c r="V110" i="54"/>
  <c r="V108" i="54"/>
  <c r="V87" i="54"/>
  <c r="V88" i="54"/>
  <c r="V89" i="54"/>
  <c r="V90" i="54"/>
  <c r="V91" i="54"/>
  <c r="V92" i="54"/>
  <c r="V93" i="54"/>
  <c r="V94" i="54"/>
  <c r="V95" i="54"/>
  <c r="V96" i="54"/>
  <c r="V97" i="54"/>
  <c r="V98" i="54"/>
  <c r="V99" i="54"/>
  <c r="V100" i="54"/>
  <c r="V101" i="54"/>
  <c r="V102" i="54"/>
  <c r="V103" i="54"/>
  <c r="V104" i="54"/>
  <c r="V105" i="54"/>
  <c r="V106" i="54"/>
  <c r="V86" i="54"/>
  <c r="V21" i="54"/>
  <c r="V22" i="54"/>
  <c r="V23" i="54"/>
  <c r="V24" i="54"/>
  <c r="V25" i="54"/>
  <c r="V26" i="54"/>
  <c r="V27" i="54"/>
  <c r="V28" i="54"/>
  <c r="V29" i="54"/>
  <c r="V30" i="54"/>
  <c r="V31" i="54"/>
  <c r="V32" i="54"/>
  <c r="V33" i="54"/>
  <c r="V34" i="54"/>
  <c r="V35" i="54"/>
  <c r="V36" i="54"/>
  <c r="V37" i="54"/>
  <c r="V38" i="54"/>
  <c r="V39" i="54"/>
  <c r="V40" i="54"/>
  <c r="V41" i="54"/>
  <c r="V42" i="54"/>
  <c r="V43" i="54"/>
  <c r="V44" i="54"/>
  <c r="V45" i="54"/>
  <c r="V46" i="54"/>
  <c r="V47" i="54"/>
  <c r="V48" i="54"/>
  <c r="V49" i="54"/>
  <c r="V50" i="54"/>
  <c r="V51" i="54"/>
  <c r="V52" i="54"/>
  <c r="V53" i="54"/>
  <c r="V54" i="54"/>
  <c r="V55" i="54"/>
  <c r="V56" i="54"/>
  <c r="V57" i="54"/>
  <c r="V58" i="54"/>
  <c r="V59" i="54"/>
  <c r="V60" i="54"/>
  <c r="V61" i="54"/>
  <c r="V62" i="54"/>
  <c r="V63" i="54"/>
  <c r="V64" i="54"/>
  <c r="V65" i="54"/>
  <c r="V66" i="54"/>
  <c r="V67" i="54"/>
  <c r="V68" i="54"/>
  <c r="V69" i="54"/>
  <c r="V70" i="54"/>
  <c r="V71" i="54"/>
  <c r="V72" i="54"/>
  <c r="V73" i="54"/>
  <c r="V74" i="54"/>
  <c r="V75" i="54"/>
  <c r="V76" i="54"/>
  <c r="V77" i="54"/>
  <c r="V78" i="54"/>
  <c r="V79" i="54"/>
  <c r="V80" i="54"/>
  <c r="V81" i="54"/>
  <c r="V82" i="54"/>
  <c r="V83" i="54"/>
  <c r="V84" i="54"/>
  <c r="V20" i="54"/>
  <c r="V10" i="54"/>
  <c r="V11" i="54"/>
  <c r="V12" i="54"/>
  <c r="V13" i="54"/>
  <c r="V14" i="54"/>
  <c r="V15" i="54"/>
  <c r="V16" i="54"/>
  <c r="V17" i="54"/>
  <c r="V18" i="54"/>
  <c r="V9" i="54"/>
  <c r="U113" i="54"/>
  <c r="U114" i="54"/>
  <c r="U115" i="54"/>
  <c r="U116" i="54"/>
  <c r="U117" i="54"/>
  <c r="U118" i="54"/>
  <c r="U119" i="54"/>
  <c r="U120" i="54"/>
  <c r="U121" i="54"/>
  <c r="U122" i="54"/>
  <c r="U123" i="54"/>
  <c r="U124" i="54"/>
  <c r="U125" i="54"/>
  <c r="U126" i="54"/>
  <c r="U127" i="54"/>
  <c r="U128" i="54"/>
  <c r="U129" i="54"/>
  <c r="U130" i="54"/>
  <c r="U131" i="54"/>
  <c r="U132" i="54"/>
  <c r="U133" i="54"/>
  <c r="U134" i="54"/>
  <c r="U112" i="54"/>
  <c r="U109" i="54"/>
  <c r="U110" i="54"/>
  <c r="U108" i="54"/>
  <c r="U87" i="54"/>
  <c r="U88" i="54"/>
  <c r="U89" i="54"/>
  <c r="U90" i="54"/>
  <c r="U91" i="54"/>
  <c r="U92" i="54"/>
  <c r="U93" i="54"/>
  <c r="U94" i="54"/>
  <c r="U95" i="54"/>
  <c r="U96" i="54"/>
  <c r="U97" i="54"/>
  <c r="U98" i="54"/>
  <c r="U99" i="54"/>
  <c r="U100" i="54"/>
  <c r="U101" i="54"/>
  <c r="U102" i="54"/>
  <c r="U103" i="54"/>
  <c r="U104" i="54"/>
  <c r="U105" i="54"/>
  <c r="U106" i="54"/>
  <c r="U86" i="54"/>
  <c r="U21" i="54"/>
  <c r="U22" i="54"/>
  <c r="U23" i="54"/>
  <c r="U24" i="54"/>
  <c r="U25" i="54"/>
  <c r="U26" i="54"/>
  <c r="U27" i="54"/>
  <c r="U28" i="54"/>
  <c r="U29" i="54"/>
  <c r="U30" i="54"/>
  <c r="U31" i="54"/>
  <c r="U32" i="54"/>
  <c r="U33" i="54"/>
  <c r="U34" i="54"/>
  <c r="U35" i="54"/>
  <c r="U36" i="54"/>
  <c r="U37" i="54"/>
  <c r="U38" i="54"/>
  <c r="U39" i="54"/>
  <c r="U40" i="54"/>
  <c r="U41" i="54"/>
  <c r="U42" i="54"/>
  <c r="U43" i="54"/>
  <c r="U44" i="54"/>
  <c r="U45" i="54"/>
  <c r="U46" i="54"/>
  <c r="U47" i="54"/>
  <c r="U48" i="54"/>
  <c r="U49" i="54"/>
  <c r="U50" i="54"/>
  <c r="U51" i="54"/>
  <c r="U52" i="54"/>
  <c r="U53" i="54"/>
  <c r="U54" i="54"/>
  <c r="U55" i="54"/>
  <c r="U56" i="54"/>
  <c r="U57" i="54"/>
  <c r="U58" i="54"/>
  <c r="U59" i="54"/>
  <c r="U60" i="54"/>
  <c r="U61" i="54"/>
  <c r="U62" i="54"/>
  <c r="U63" i="54"/>
  <c r="U64" i="54"/>
  <c r="U65" i="54"/>
  <c r="U66" i="54"/>
  <c r="U67" i="54"/>
  <c r="U68" i="54"/>
  <c r="U69" i="54"/>
  <c r="U70" i="54"/>
  <c r="U71" i="54"/>
  <c r="U72" i="54"/>
  <c r="U73" i="54"/>
  <c r="U74" i="54"/>
  <c r="U75" i="54"/>
  <c r="U76" i="54"/>
  <c r="U77" i="54"/>
  <c r="U78" i="54"/>
  <c r="U79" i="54"/>
  <c r="U80" i="54"/>
  <c r="U81" i="54"/>
  <c r="U82" i="54"/>
  <c r="U83" i="54"/>
  <c r="U84" i="54"/>
  <c r="U20" i="54"/>
  <c r="U10" i="54"/>
  <c r="U11" i="54"/>
  <c r="U12" i="54"/>
  <c r="U13" i="54"/>
  <c r="U14" i="54"/>
  <c r="U15" i="54"/>
  <c r="U16" i="54"/>
  <c r="U17" i="54"/>
  <c r="U18" i="54"/>
  <c r="U9" i="54"/>
  <c r="T113" i="54"/>
  <c r="T114" i="54"/>
  <c r="T115" i="54"/>
  <c r="T116" i="54"/>
  <c r="T117" i="54"/>
  <c r="T118" i="54"/>
  <c r="T119" i="54"/>
  <c r="T120" i="54"/>
  <c r="T121" i="54"/>
  <c r="T122" i="54"/>
  <c r="T123" i="54"/>
  <c r="T124" i="54"/>
  <c r="T125" i="54"/>
  <c r="T126" i="54"/>
  <c r="T127" i="54"/>
  <c r="T128" i="54"/>
  <c r="T129" i="54"/>
  <c r="T130" i="54"/>
  <c r="T131" i="54"/>
  <c r="T132" i="54"/>
  <c r="T133" i="54"/>
  <c r="T134" i="54"/>
  <c r="T112" i="54"/>
  <c r="T109" i="54"/>
  <c r="T110" i="54"/>
  <c r="T108" i="54"/>
  <c r="T87" i="54"/>
  <c r="T88" i="54"/>
  <c r="T89" i="54"/>
  <c r="T90" i="54"/>
  <c r="T91" i="54"/>
  <c r="T92" i="54"/>
  <c r="T93" i="54"/>
  <c r="T94" i="54"/>
  <c r="T95" i="54"/>
  <c r="T96" i="54"/>
  <c r="T97" i="54"/>
  <c r="T98" i="54"/>
  <c r="T99" i="54"/>
  <c r="T100" i="54"/>
  <c r="T101" i="54"/>
  <c r="T102" i="54"/>
  <c r="T103" i="54"/>
  <c r="T104" i="54"/>
  <c r="T105" i="54"/>
  <c r="T106" i="54"/>
  <c r="T86" i="54"/>
  <c r="T21" i="54"/>
  <c r="T22" i="54"/>
  <c r="T23" i="54"/>
  <c r="T24" i="54"/>
  <c r="T25" i="54"/>
  <c r="T26" i="54"/>
  <c r="T27" i="54"/>
  <c r="T28" i="54"/>
  <c r="T29" i="54"/>
  <c r="T30" i="54"/>
  <c r="T31" i="54"/>
  <c r="T32" i="54"/>
  <c r="T33" i="54"/>
  <c r="T34" i="54"/>
  <c r="T35" i="54"/>
  <c r="T36" i="54"/>
  <c r="T37" i="54"/>
  <c r="T38" i="54"/>
  <c r="T39" i="54"/>
  <c r="T40" i="54"/>
  <c r="T41" i="54"/>
  <c r="T42" i="54"/>
  <c r="T43" i="54"/>
  <c r="T44" i="54"/>
  <c r="T45" i="54"/>
  <c r="T46" i="54"/>
  <c r="T47" i="54"/>
  <c r="T48" i="54"/>
  <c r="T49" i="54"/>
  <c r="T50" i="54"/>
  <c r="T51" i="54"/>
  <c r="T52" i="54"/>
  <c r="T53" i="54"/>
  <c r="T54" i="54"/>
  <c r="T55" i="54"/>
  <c r="T56" i="54"/>
  <c r="T57" i="54"/>
  <c r="T58" i="54"/>
  <c r="T59" i="54"/>
  <c r="T60" i="54"/>
  <c r="T61" i="54"/>
  <c r="T62" i="54"/>
  <c r="T63" i="54"/>
  <c r="T64" i="54"/>
  <c r="T65" i="54"/>
  <c r="T66" i="54"/>
  <c r="T67" i="54"/>
  <c r="T68" i="54"/>
  <c r="T69" i="54"/>
  <c r="T70" i="54"/>
  <c r="T71" i="54"/>
  <c r="T72" i="54"/>
  <c r="T73" i="54"/>
  <c r="T74" i="54"/>
  <c r="T75" i="54"/>
  <c r="T76" i="54"/>
  <c r="T77" i="54"/>
  <c r="T78" i="54"/>
  <c r="T79" i="54"/>
  <c r="T80" i="54"/>
  <c r="T81" i="54"/>
  <c r="T82" i="54"/>
  <c r="T83" i="54"/>
  <c r="T84" i="54"/>
  <c r="T20" i="54"/>
  <c r="T10" i="54"/>
  <c r="T11" i="54"/>
  <c r="T12" i="54"/>
  <c r="T13" i="54"/>
  <c r="T14" i="54"/>
  <c r="T15" i="54"/>
  <c r="T16" i="54"/>
  <c r="T17" i="54"/>
  <c r="T18" i="54"/>
  <c r="T9" i="54"/>
  <c r="S113" i="54"/>
  <c r="S114" i="54"/>
  <c r="S115" i="54"/>
  <c r="S116" i="54"/>
  <c r="S117" i="54"/>
  <c r="S118" i="54"/>
  <c r="S119" i="54"/>
  <c r="S120" i="54"/>
  <c r="S121" i="54"/>
  <c r="S122" i="54"/>
  <c r="S123" i="54"/>
  <c r="S124" i="54"/>
  <c r="S125" i="54"/>
  <c r="S126" i="54"/>
  <c r="S127" i="54"/>
  <c r="S128" i="54"/>
  <c r="S129" i="54"/>
  <c r="S130" i="54"/>
  <c r="S131" i="54"/>
  <c r="S132" i="54"/>
  <c r="S133" i="54"/>
  <c r="S134" i="54"/>
  <c r="S112" i="54"/>
  <c r="S109" i="54"/>
  <c r="S110" i="54"/>
  <c r="S108" i="54"/>
  <c r="S87" i="54"/>
  <c r="S88" i="54"/>
  <c r="S89" i="54"/>
  <c r="S90" i="54"/>
  <c r="S91" i="54"/>
  <c r="S92" i="54"/>
  <c r="S93" i="54"/>
  <c r="S94" i="54"/>
  <c r="S95" i="54"/>
  <c r="S96" i="54"/>
  <c r="S97" i="54"/>
  <c r="S98" i="54"/>
  <c r="S99" i="54"/>
  <c r="S100" i="54"/>
  <c r="S101" i="54"/>
  <c r="S102" i="54"/>
  <c r="S103" i="54"/>
  <c r="S104" i="54"/>
  <c r="S105" i="54"/>
  <c r="S106" i="54"/>
  <c r="S86" i="54"/>
  <c r="S21" i="54"/>
  <c r="S22" i="54"/>
  <c r="S23" i="54"/>
  <c r="S24" i="54"/>
  <c r="S25" i="54"/>
  <c r="S26" i="54"/>
  <c r="S27" i="54"/>
  <c r="S28" i="54"/>
  <c r="S29" i="54"/>
  <c r="S30" i="54"/>
  <c r="S31" i="54"/>
  <c r="S32" i="54"/>
  <c r="S33" i="54"/>
  <c r="S34" i="54"/>
  <c r="S35" i="54"/>
  <c r="S36" i="54"/>
  <c r="S37" i="54"/>
  <c r="S38" i="54"/>
  <c r="S39" i="54"/>
  <c r="S40" i="54"/>
  <c r="S41" i="54"/>
  <c r="S42" i="54"/>
  <c r="S43" i="54"/>
  <c r="S44" i="54"/>
  <c r="S45" i="54"/>
  <c r="S46" i="54"/>
  <c r="S47" i="54"/>
  <c r="S48" i="54"/>
  <c r="S49" i="54"/>
  <c r="S50" i="54"/>
  <c r="S51" i="54"/>
  <c r="S52" i="54"/>
  <c r="S53" i="54"/>
  <c r="S54" i="54"/>
  <c r="S55" i="54"/>
  <c r="S56" i="54"/>
  <c r="S57" i="54"/>
  <c r="S58" i="54"/>
  <c r="S59" i="54"/>
  <c r="S60" i="54"/>
  <c r="S61" i="54"/>
  <c r="S62" i="54"/>
  <c r="S63" i="54"/>
  <c r="S64" i="54"/>
  <c r="S65" i="54"/>
  <c r="S66" i="54"/>
  <c r="S67" i="54"/>
  <c r="S68" i="54"/>
  <c r="S69" i="54"/>
  <c r="S70" i="54"/>
  <c r="S71" i="54"/>
  <c r="S72" i="54"/>
  <c r="S73" i="54"/>
  <c r="S74" i="54"/>
  <c r="S75" i="54"/>
  <c r="S76" i="54"/>
  <c r="S77" i="54"/>
  <c r="S78" i="54"/>
  <c r="S79" i="54"/>
  <c r="S80" i="54"/>
  <c r="S81" i="54"/>
  <c r="S82" i="54"/>
  <c r="S83" i="54"/>
  <c r="S84" i="54"/>
  <c r="S20" i="54"/>
  <c r="S10" i="54"/>
  <c r="S11" i="54"/>
  <c r="S12" i="54"/>
  <c r="S13" i="54"/>
  <c r="S14" i="54"/>
  <c r="S15" i="54"/>
  <c r="S16" i="54"/>
  <c r="S17" i="54"/>
  <c r="S18" i="54"/>
  <c r="S9" i="54"/>
  <c r="R113" i="54"/>
  <c r="R114" i="54"/>
  <c r="R115" i="54"/>
  <c r="R116" i="54"/>
  <c r="R117" i="54"/>
  <c r="R118" i="54"/>
  <c r="R119" i="54"/>
  <c r="R120" i="54"/>
  <c r="R121" i="54"/>
  <c r="R122" i="54"/>
  <c r="R123" i="54"/>
  <c r="R124" i="54"/>
  <c r="R125" i="54"/>
  <c r="R126" i="54"/>
  <c r="R127" i="54"/>
  <c r="R128" i="54"/>
  <c r="R129" i="54"/>
  <c r="R130" i="54"/>
  <c r="R131" i="54"/>
  <c r="R132" i="54"/>
  <c r="R133" i="54"/>
  <c r="R134" i="54"/>
  <c r="R112" i="54"/>
  <c r="R109" i="54"/>
  <c r="R110" i="54"/>
  <c r="R108" i="54"/>
  <c r="R87" i="54"/>
  <c r="R88" i="54"/>
  <c r="R89" i="54"/>
  <c r="R90" i="54"/>
  <c r="R91" i="54"/>
  <c r="R92" i="54"/>
  <c r="R93" i="54"/>
  <c r="R94" i="54"/>
  <c r="R95" i="54"/>
  <c r="R96" i="54"/>
  <c r="R97" i="54"/>
  <c r="R98" i="54"/>
  <c r="R99" i="54"/>
  <c r="R100" i="54"/>
  <c r="R101" i="54"/>
  <c r="R102" i="54"/>
  <c r="R103" i="54"/>
  <c r="R104" i="54"/>
  <c r="R105" i="54"/>
  <c r="R106" i="54"/>
  <c r="R86" i="54"/>
  <c r="R21" i="54"/>
  <c r="R22" i="54"/>
  <c r="R23" i="54"/>
  <c r="R24" i="54"/>
  <c r="R25" i="54"/>
  <c r="R26" i="54"/>
  <c r="R27" i="54"/>
  <c r="R28" i="54"/>
  <c r="R29" i="54"/>
  <c r="R30" i="54"/>
  <c r="R31" i="54"/>
  <c r="R32" i="54"/>
  <c r="R33" i="54"/>
  <c r="R34" i="54"/>
  <c r="R35" i="54"/>
  <c r="R36" i="54"/>
  <c r="R37" i="54"/>
  <c r="R38" i="54"/>
  <c r="R39" i="54"/>
  <c r="R40" i="54"/>
  <c r="R41" i="54"/>
  <c r="R42" i="54"/>
  <c r="R43" i="54"/>
  <c r="R44" i="54"/>
  <c r="R45" i="54"/>
  <c r="R46" i="54"/>
  <c r="R47" i="54"/>
  <c r="R48" i="54"/>
  <c r="R49" i="54"/>
  <c r="R50" i="54"/>
  <c r="R51" i="54"/>
  <c r="R52" i="54"/>
  <c r="R53" i="54"/>
  <c r="R54" i="54"/>
  <c r="R55" i="54"/>
  <c r="R56" i="54"/>
  <c r="R57" i="54"/>
  <c r="R58" i="54"/>
  <c r="R59" i="54"/>
  <c r="R60" i="54"/>
  <c r="R61" i="54"/>
  <c r="R62" i="54"/>
  <c r="R63" i="54"/>
  <c r="R64" i="54"/>
  <c r="R65" i="54"/>
  <c r="R66" i="54"/>
  <c r="R67" i="54"/>
  <c r="R68" i="54"/>
  <c r="R69" i="54"/>
  <c r="R70" i="54"/>
  <c r="R71" i="54"/>
  <c r="R72" i="54"/>
  <c r="R73" i="54"/>
  <c r="R74" i="54"/>
  <c r="R75" i="54"/>
  <c r="R76" i="54"/>
  <c r="R77" i="54"/>
  <c r="R78" i="54"/>
  <c r="R79" i="54"/>
  <c r="R80" i="54"/>
  <c r="R81" i="54"/>
  <c r="R82" i="54"/>
  <c r="R83" i="54"/>
  <c r="R84" i="54"/>
  <c r="R20" i="54"/>
  <c r="R10" i="54"/>
  <c r="R11" i="54"/>
  <c r="R12" i="54"/>
  <c r="R13" i="54"/>
  <c r="R14" i="54"/>
  <c r="R15" i="54"/>
  <c r="R16" i="54"/>
  <c r="R17" i="54"/>
  <c r="R18" i="54"/>
  <c r="R9" i="54"/>
  <c r="Q113" i="54"/>
  <c r="Q114" i="54"/>
  <c r="Q115" i="54"/>
  <c r="Q116" i="54"/>
  <c r="Q117" i="54"/>
  <c r="Q118" i="54"/>
  <c r="Q119" i="54"/>
  <c r="Q120" i="54"/>
  <c r="Q121" i="54"/>
  <c r="Q122" i="54"/>
  <c r="Q123" i="54"/>
  <c r="Q124" i="54"/>
  <c r="Q125" i="54"/>
  <c r="Q126" i="54"/>
  <c r="Q127" i="54"/>
  <c r="Q128" i="54"/>
  <c r="Q129" i="54"/>
  <c r="Q130" i="54"/>
  <c r="Q131" i="54"/>
  <c r="Q132" i="54"/>
  <c r="Q133" i="54"/>
  <c r="Q134" i="54"/>
  <c r="Q112" i="54"/>
  <c r="Q109" i="54"/>
  <c r="Q110" i="54"/>
  <c r="Q108" i="54"/>
  <c r="Q87" i="54"/>
  <c r="Q88" i="54"/>
  <c r="Q89" i="54"/>
  <c r="Q90" i="54"/>
  <c r="Q91" i="54"/>
  <c r="Q92" i="54"/>
  <c r="Q93" i="54"/>
  <c r="Q94" i="54"/>
  <c r="Q95" i="54"/>
  <c r="Q96" i="54"/>
  <c r="Q97" i="54"/>
  <c r="Q98" i="54"/>
  <c r="Q99" i="54"/>
  <c r="Q100" i="54"/>
  <c r="Q101" i="54"/>
  <c r="Q102" i="54"/>
  <c r="Q103" i="54"/>
  <c r="Q104" i="54"/>
  <c r="Q105" i="54"/>
  <c r="Q106" i="54"/>
  <c r="Q86" i="54"/>
  <c r="Q21" i="54"/>
  <c r="Q22" i="54"/>
  <c r="Q23" i="54"/>
  <c r="Q24" i="54"/>
  <c r="Q25" i="54"/>
  <c r="Q26" i="54"/>
  <c r="Q27" i="54"/>
  <c r="Q28" i="54"/>
  <c r="Q29" i="54"/>
  <c r="Q30" i="54"/>
  <c r="Q31" i="54"/>
  <c r="Q32" i="54"/>
  <c r="Q33" i="54"/>
  <c r="Q34" i="54"/>
  <c r="Q35" i="54"/>
  <c r="Q36" i="54"/>
  <c r="Q37" i="54"/>
  <c r="Q38" i="54"/>
  <c r="Q39" i="54"/>
  <c r="Q40" i="54"/>
  <c r="Q41" i="54"/>
  <c r="Q42" i="54"/>
  <c r="Q43" i="54"/>
  <c r="Q44" i="54"/>
  <c r="Q45" i="54"/>
  <c r="Q46" i="54"/>
  <c r="Q47" i="54"/>
  <c r="Q48" i="54"/>
  <c r="Q49" i="54"/>
  <c r="Q50" i="54"/>
  <c r="Q51" i="54"/>
  <c r="Q52" i="54"/>
  <c r="Q53" i="54"/>
  <c r="Q54" i="54"/>
  <c r="Q55" i="54"/>
  <c r="Q56" i="54"/>
  <c r="Q57" i="54"/>
  <c r="Q58" i="54"/>
  <c r="Q59" i="54"/>
  <c r="Q60" i="54"/>
  <c r="Q61" i="54"/>
  <c r="Q62" i="54"/>
  <c r="Q63" i="54"/>
  <c r="Q64" i="54"/>
  <c r="Q65" i="54"/>
  <c r="Q66" i="54"/>
  <c r="Q67" i="54"/>
  <c r="Q68" i="54"/>
  <c r="Q69" i="54"/>
  <c r="Q70" i="54"/>
  <c r="Q71" i="54"/>
  <c r="Q72" i="54"/>
  <c r="Q73" i="54"/>
  <c r="Q74" i="54"/>
  <c r="Q75" i="54"/>
  <c r="Q76" i="54"/>
  <c r="Q77" i="54"/>
  <c r="Q78" i="54"/>
  <c r="Q79" i="54"/>
  <c r="Q80" i="54"/>
  <c r="Q81" i="54"/>
  <c r="Q82" i="54"/>
  <c r="Q83" i="54"/>
  <c r="Q84" i="54"/>
  <c r="Q20" i="54"/>
  <c r="Q10" i="54"/>
  <c r="Q11" i="54"/>
  <c r="Q12" i="54"/>
  <c r="Q13" i="54"/>
  <c r="Q14" i="54"/>
  <c r="Q15" i="54"/>
  <c r="Q16" i="54"/>
  <c r="Q17" i="54"/>
  <c r="Q18" i="54"/>
  <c r="Q9" i="54"/>
  <c r="P113" i="54"/>
  <c r="P114" i="54"/>
  <c r="P115" i="54"/>
  <c r="P116" i="54"/>
  <c r="P117" i="54"/>
  <c r="P118" i="54"/>
  <c r="P119" i="54"/>
  <c r="P120" i="54"/>
  <c r="P121" i="54"/>
  <c r="P122" i="54"/>
  <c r="P123" i="54"/>
  <c r="P124" i="54"/>
  <c r="P125" i="54"/>
  <c r="P126" i="54"/>
  <c r="P127" i="54"/>
  <c r="P128" i="54"/>
  <c r="P129" i="54"/>
  <c r="P130" i="54"/>
  <c r="P131" i="54"/>
  <c r="P132" i="54"/>
  <c r="P133" i="54"/>
  <c r="P134" i="54"/>
  <c r="P112" i="54"/>
  <c r="P109" i="54"/>
  <c r="P110" i="54"/>
  <c r="P108" i="54"/>
  <c r="P87" i="54"/>
  <c r="P88" i="54"/>
  <c r="P89" i="54"/>
  <c r="P90" i="54"/>
  <c r="P91" i="54"/>
  <c r="P92" i="54"/>
  <c r="P93" i="54"/>
  <c r="P94" i="54"/>
  <c r="P95" i="54"/>
  <c r="P96" i="54"/>
  <c r="P97" i="54"/>
  <c r="P98" i="54"/>
  <c r="P99" i="54"/>
  <c r="P100" i="54"/>
  <c r="P101" i="54"/>
  <c r="P102" i="54"/>
  <c r="P103" i="54"/>
  <c r="P104" i="54"/>
  <c r="P105" i="54"/>
  <c r="P106" i="54"/>
  <c r="P86" i="54"/>
  <c r="P21" i="54"/>
  <c r="P22" i="54"/>
  <c r="P23" i="54"/>
  <c r="P24" i="54"/>
  <c r="P25" i="54"/>
  <c r="P26" i="54"/>
  <c r="P27" i="54"/>
  <c r="P28" i="54"/>
  <c r="P29" i="54"/>
  <c r="P30" i="54"/>
  <c r="P31" i="54"/>
  <c r="P32" i="54"/>
  <c r="P33" i="54"/>
  <c r="P34" i="54"/>
  <c r="P35" i="54"/>
  <c r="P36" i="54"/>
  <c r="P37" i="54"/>
  <c r="P38" i="54"/>
  <c r="P39" i="54"/>
  <c r="P40" i="54"/>
  <c r="P41" i="54"/>
  <c r="P42" i="54"/>
  <c r="P43" i="54"/>
  <c r="P44" i="54"/>
  <c r="P45" i="54"/>
  <c r="P46" i="54"/>
  <c r="P47" i="54"/>
  <c r="P48" i="54"/>
  <c r="P49" i="54"/>
  <c r="P50" i="54"/>
  <c r="P51" i="54"/>
  <c r="P52" i="54"/>
  <c r="P53" i="54"/>
  <c r="P54" i="54"/>
  <c r="P55" i="54"/>
  <c r="P56" i="54"/>
  <c r="P57" i="54"/>
  <c r="P58" i="54"/>
  <c r="P59" i="54"/>
  <c r="P60" i="54"/>
  <c r="P61" i="54"/>
  <c r="P62" i="54"/>
  <c r="P63" i="54"/>
  <c r="P64" i="54"/>
  <c r="P65" i="54"/>
  <c r="P66" i="54"/>
  <c r="P67" i="54"/>
  <c r="P68" i="54"/>
  <c r="P69" i="54"/>
  <c r="P70" i="54"/>
  <c r="P71" i="54"/>
  <c r="P72" i="54"/>
  <c r="P73" i="54"/>
  <c r="P74" i="54"/>
  <c r="P75" i="54"/>
  <c r="P76" i="54"/>
  <c r="P77" i="54"/>
  <c r="P78" i="54"/>
  <c r="P79" i="54"/>
  <c r="P80" i="54"/>
  <c r="P81" i="54"/>
  <c r="P82" i="54"/>
  <c r="P83" i="54"/>
  <c r="P84" i="54"/>
  <c r="P20" i="54"/>
  <c r="P10" i="54"/>
  <c r="P11" i="54"/>
  <c r="P12" i="54"/>
  <c r="P13" i="54"/>
  <c r="P14" i="54"/>
  <c r="P15" i="54"/>
  <c r="P16" i="54"/>
  <c r="P17" i="54"/>
  <c r="P18" i="54"/>
  <c r="P9" i="54"/>
  <c r="O113" i="54"/>
  <c r="O114" i="54"/>
  <c r="O115" i="54"/>
  <c r="O116" i="54"/>
  <c r="O117" i="54"/>
  <c r="O118" i="54"/>
  <c r="O119" i="54"/>
  <c r="O120" i="54"/>
  <c r="O121" i="54"/>
  <c r="O122" i="54"/>
  <c r="O123" i="54"/>
  <c r="O124" i="54"/>
  <c r="O125" i="54"/>
  <c r="O126" i="54"/>
  <c r="O127" i="54"/>
  <c r="O128" i="54"/>
  <c r="O129" i="54"/>
  <c r="O130" i="54"/>
  <c r="O131" i="54"/>
  <c r="O132" i="54"/>
  <c r="O133" i="54"/>
  <c r="O134" i="54"/>
  <c r="O112" i="54"/>
  <c r="O109" i="54"/>
  <c r="O110" i="54"/>
  <c r="O108" i="54"/>
  <c r="O87" i="54"/>
  <c r="O88" i="54"/>
  <c r="O89" i="54"/>
  <c r="O90" i="54"/>
  <c r="O91" i="54"/>
  <c r="O92" i="54"/>
  <c r="O93" i="54"/>
  <c r="O94" i="54"/>
  <c r="O95" i="54"/>
  <c r="O96" i="54"/>
  <c r="O97" i="54"/>
  <c r="O98" i="54"/>
  <c r="O99" i="54"/>
  <c r="O100" i="54"/>
  <c r="O101" i="54"/>
  <c r="O102" i="54"/>
  <c r="O103" i="54"/>
  <c r="O104" i="54"/>
  <c r="O105" i="54"/>
  <c r="O106" i="54"/>
  <c r="O86" i="54"/>
  <c r="O21" i="54"/>
  <c r="O22" i="54"/>
  <c r="O23" i="54"/>
  <c r="O24" i="54"/>
  <c r="O25" i="54"/>
  <c r="O26" i="54"/>
  <c r="O27" i="54"/>
  <c r="O28" i="54"/>
  <c r="O29" i="54"/>
  <c r="O30" i="54"/>
  <c r="O31" i="54"/>
  <c r="O32" i="54"/>
  <c r="O33" i="54"/>
  <c r="O34" i="54"/>
  <c r="O35" i="54"/>
  <c r="O36" i="54"/>
  <c r="O37" i="54"/>
  <c r="O38" i="54"/>
  <c r="O39" i="54"/>
  <c r="O40" i="54"/>
  <c r="O41" i="54"/>
  <c r="O42" i="54"/>
  <c r="O43" i="54"/>
  <c r="O44" i="54"/>
  <c r="O45" i="54"/>
  <c r="O46" i="54"/>
  <c r="O47" i="54"/>
  <c r="O48" i="54"/>
  <c r="O49" i="54"/>
  <c r="O50" i="54"/>
  <c r="O51" i="54"/>
  <c r="O52" i="54"/>
  <c r="O53" i="54"/>
  <c r="O54" i="54"/>
  <c r="O55" i="54"/>
  <c r="O56" i="54"/>
  <c r="O57" i="54"/>
  <c r="O58" i="54"/>
  <c r="O59" i="54"/>
  <c r="O60" i="54"/>
  <c r="O61" i="54"/>
  <c r="O62" i="54"/>
  <c r="O63" i="54"/>
  <c r="O64" i="54"/>
  <c r="O65" i="54"/>
  <c r="O66" i="54"/>
  <c r="O67" i="54"/>
  <c r="O68" i="54"/>
  <c r="O69" i="54"/>
  <c r="O70" i="54"/>
  <c r="O71" i="54"/>
  <c r="O72" i="54"/>
  <c r="O73" i="54"/>
  <c r="O74" i="54"/>
  <c r="O75" i="54"/>
  <c r="O76" i="54"/>
  <c r="O77" i="54"/>
  <c r="O78" i="54"/>
  <c r="O79" i="54"/>
  <c r="O80" i="54"/>
  <c r="O81" i="54"/>
  <c r="O82" i="54"/>
  <c r="O83" i="54"/>
  <c r="O84" i="54"/>
  <c r="O20" i="54"/>
  <c r="O10" i="54"/>
  <c r="O11" i="54"/>
  <c r="O12" i="54"/>
  <c r="O13" i="54"/>
  <c r="O14" i="54"/>
  <c r="O15" i="54"/>
  <c r="O16" i="54"/>
  <c r="O17" i="54"/>
  <c r="O18" i="54"/>
  <c r="O9" i="54"/>
  <c r="I113" i="54"/>
  <c r="I114" i="54"/>
  <c r="I115" i="54"/>
  <c r="I116" i="54"/>
  <c r="I117" i="54"/>
  <c r="I118" i="54"/>
  <c r="I119" i="54"/>
  <c r="I120" i="54"/>
  <c r="I121" i="54"/>
  <c r="I122" i="54"/>
  <c r="I123" i="54"/>
  <c r="I124" i="54"/>
  <c r="I125" i="54"/>
  <c r="I126" i="54"/>
  <c r="I127" i="54"/>
  <c r="I128" i="54"/>
  <c r="I129" i="54"/>
  <c r="I130" i="54"/>
  <c r="I131" i="54"/>
  <c r="I132" i="54"/>
  <c r="I133" i="54"/>
  <c r="I134" i="54"/>
  <c r="I112" i="54"/>
  <c r="I109" i="54"/>
  <c r="I110" i="54"/>
  <c r="I108" i="54"/>
  <c r="I87" i="54"/>
  <c r="I88" i="54"/>
  <c r="I89" i="54"/>
  <c r="I90" i="54"/>
  <c r="I91" i="54"/>
  <c r="I92" i="54"/>
  <c r="I93" i="54"/>
  <c r="I94" i="54"/>
  <c r="I95" i="54"/>
  <c r="I96" i="54"/>
  <c r="I97" i="54"/>
  <c r="I98" i="54"/>
  <c r="I99" i="54"/>
  <c r="I100" i="54"/>
  <c r="I101" i="54"/>
  <c r="I102" i="54"/>
  <c r="I103" i="54"/>
  <c r="I104" i="54"/>
  <c r="I105" i="54"/>
  <c r="I106" i="54"/>
  <c r="I86" i="54"/>
  <c r="I21" i="54"/>
  <c r="I22" i="54"/>
  <c r="I23" i="54"/>
  <c r="I24" i="54"/>
  <c r="I25" i="54"/>
  <c r="I26" i="54"/>
  <c r="I27" i="54"/>
  <c r="I28" i="54"/>
  <c r="I29" i="54"/>
  <c r="I30" i="54"/>
  <c r="I31" i="54"/>
  <c r="I32" i="54"/>
  <c r="I33" i="54"/>
  <c r="I34" i="54"/>
  <c r="I35" i="54"/>
  <c r="I36" i="54"/>
  <c r="I37" i="54"/>
  <c r="I38" i="54"/>
  <c r="I39" i="54"/>
  <c r="I40" i="54"/>
  <c r="I41" i="54"/>
  <c r="I42" i="54"/>
  <c r="I43" i="54"/>
  <c r="I44" i="54"/>
  <c r="I45" i="54"/>
  <c r="I46" i="54"/>
  <c r="I47" i="54"/>
  <c r="I48" i="54"/>
  <c r="I49" i="54"/>
  <c r="I50" i="54"/>
  <c r="I51" i="54"/>
  <c r="I52" i="54"/>
  <c r="I53" i="54"/>
  <c r="I54" i="54"/>
  <c r="I55" i="54"/>
  <c r="I56" i="54"/>
  <c r="I57" i="54"/>
  <c r="I58" i="54"/>
  <c r="I59" i="54"/>
  <c r="I60" i="54"/>
  <c r="I61" i="54"/>
  <c r="I62" i="54"/>
  <c r="I63" i="54"/>
  <c r="I64" i="54"/>
  <c r="I65" i="54"/>
  <c r="I66" i="54"/>
  <c r="I67" i="54"/>
  <c r="I68" i="54"/>
  <c r="I69" i="54"/>
  <c r="I70" i="54"/>
  <c r="I71" i="54"/>
  <c r="I72" i="54"/>
  <c r="I73" i="54"/>
  <c r="I74" i="54"/>
  <c r="I75" i="54"/>
  <c r="I76" i="54"/>
  <c r="I77" i="54"/>
  <c r="I78" i="54"/>
  <c r="I79" i="54"/>
  <c r="I80" i="54"/>
  <c r="I81" i="54"/>
  <c r="I82" i="54"/>
  <c r="I83" i="54"/>
  <c r="I84" i="54"/>
  <c r="I20" i="54"/>
  <c r="I10" i="54"/>
  <c r="I11" i="54"/>
  <c r="I12" i="54"/>
  <c r="I13" i="54"/>
  <c r="I14" i="54"/>
  <c r="I15" i="54"/>
  <c r="I16" i="54"/>
  <c r="I17" i="54"/>
  <c r="I18" i="54"/>
  <c r="I9" i="54"/>
  <c r="H113" i="54"/>
  <c r="H114" i="54"/>
  <c r="H115" i="54"/>
  <c r="H116" i="54"/>
  <c r="H117" i="54"/>
  <c r="H118" i="54"/>
  <c r="H119" i="54"/>
  <c r="H120" i="54"/>
  <c r="H121" i="54"/>
  <c r="H122" i="54"/>
  <c r="H123" i="54"/>
  <c r="H124" i="54"/>
  <c r="H125" i="54"/>
  <c r="H126" i="54"/>
  <c r="H127" i="54"/>
  <c r="H128" i="54"/>
  <c r="H129" i="54"/>
  <c r="H130" i="54"/>
  <c r="H131" i="54"/>
  <c r="H132" i="54"/>
  <c r="H133" i="54"/>
  <c r="H134" i="54"/>
  <c r="H112" i="54"/>
  <c r="H109" i="54"/>
  <c r="H110" i="54"/>
  <c r="H108" i="54"/>
  <c r="H87" i="54"/>
  <c r="H88" i="54"/>
  <c r="H89" i="54"/>
  <c r="H90" i="54"/>
  <c r="H91" i="54"/>
  <c r="H92" i="54"/>
  <c r="H93" i="54"/>
  <c r="H94" i="54"/>
  <c r="H95" i="54"/>
  <c r="H96" i="54"/>
  <c r="H97" i="54"/>
  <c r="H98" i="54"/>
  <c r="H99" i="54"/>
  <c r="H100" i="54"/>
  <c r="H101" i="54"/>
  <c r="H102" i="54"/>
  <c r="H103" i="54"/>
  <c r="H104" i="54"/>
  <c r="H105" i="54"/>
  <c r="H106" i="54"/>
  <c r="H86" i="54"/>
  <c r="H21" i="54"/>
  <c r="H22" i="54"/>
  <c r="H23" i="54"/>
  <c r="H24" i="54"/>
  <c r="H25" i="54"/>
  <c r="H26" i="54"/>
  <c r="H27" i="54"/>
  <c r="H28" i="54"/>
  <c r="H29" i="54"/>
  <c r="H30" i="54"/>
  <c r="H31" i="54"/>
  <c r="H32" i="54"/>
  <c r="H33" i="54"/>
  <c r="H34" i="54"/>
  <c r="H35" i="54"/>
  <c r="H36" i="54"/>
  <c r="H37" i="54"/>
  <c r="H38" i="54"/>
  <c r="H39" i="54"/>
  <c r="H40" i="54"/>
  <c r="H41" i="54"/>
  <c r="H42" i="54"/>
  <c r="H43" i="54"/>
  <c r="H44" i="54"/>
  <c r="H45" i="54"/>
  <c r="H46" i="54"/>
  <c r="H47" i="54"/>
  <c r="H48" i="54"/>
  <c r="H49" i="54"/>
  <c r="H50" i="54"/>
  <c r="H51" i="54"/>
  <c r="H52" i="54"/>
  <c r="H53" i="54"/>
  <c r="H54" i="54"/>
  <c r="H55" i="54"/>
  <c r="H56" i="54"/>
  <c r="H57" i="54"/>
  <c r="H58" i="54"/>
  <c r="H59" i="54"/>
  <c r="H60" i="54"/>
  <c r="H61" i="54"/>
  <c r="H62" i="54"/>
  <c r="H63" i="54"/>
  <c r="H64" i="54"/>
  <c r="H65" i="54"/>
  <c r="H66" i="54"/>
  <c r="H67" i="54"/>
  <c r="H68" i="54"/>
  <c r="H69" i="54"/>
  <c r="H70" i="54"/>
  <c r="H71" i="54"/>
  <c r="H72" i="54"/>
  <c r="H73" i="54"/>
  <c r="H74" i="54"/>
  <c r="H75" i="54"/>
  <c r="H76" i="54"/>
  <c r="H77" i="54"/>
  <c r="H78" i="54"/>
  <c r="H79" i="54"/>
  <c r="H80" i="54"/>
  <c r="H81" i="54"/>
  <c r="H82" i="54"/>
  <c r="H83" i="54"/>
  <c r="H84" i="54"/>
  <c r="H20" i="54"/>
  <c r="H10" i="54"/>
  <c r="H11" i="54"/>
  <c r="H12" i="54"/>
  <c r="H13" i="54"/>
  <c r="H14" i="54"/>
  <c r="H15" i="54"/>
  <c r="H16" i="54"/>
  <c r="H17" i="54"/>
  <c r="H18" i="54"/>
  <c r="H9" i="54"/>
  <c r="G113" i="54"/>
  <c r="G114" i="54"/>
  <c r="G115" i="54"/>
  <c r="G116" i="54"/>
  <c r="G117" i="54"/>
  <c r="G118" i="54"/>
  <c r="G119" i="54"/>
  <c r="G120" i="54"/>
  <c r="G121" i="54"/>
  <c r="G122" i="54"/>
  <c r="G123" i="54"/>
  <c r="G124" i="54"/>
  <c r="G125" i="54"/>
  <c r="G126" i="54"/>
  <c r="G127" i="54"/>
  <c r="G128" i="54"/>
  <c r="G129" i="54"/>
  <c r="G130" i="54"/>
  <c r="G131" i="54"/>
  <c r="G132" i="54"/>
  <c r="G133" i="54"/>
  <c r="G134" i="54"/>
  <c r="G112" i="54"/>
  <c r="G109" i="54"/>
  <c r="G110" i="54"/>
  <c r="G108" i="54"/>
  <c r="G21" i="54"/>
  <c r="G22" i="54"/>
  <c r="G23" i="54"/>
  <c r="G24" i="54"/>
  <c r="G25" i="54"/>
  <c r="G26" i="54"/>
  <c r="G27" i="54"/>
  <c r="G28" i="54"/>
  <c r="G29" i="54"/>
  <c r="G30" i="54"/>
  <c r="G31" i="54"/>
  <c r="G32" i="54"/>
  <c r="G33" i="54"/>
  <c r="G34" i="54"/>
  <c r="G35" i="54"/>
  <c r="G36" i="54"/>
  <c r="G37" i="54"/>
  <c r="G38" i="54"/>
  <c r="G39" i="54"/>
  <c r="G40" i="54"/>
  <c r="G41" i="54"/>
  <c r="G42" i="54"/>
  <c r="G43" i="54"/>
  <c r="G44" i="54"/>
  <c r="G45" i="54"/>
  <c r="G46" i="54"/>
  <c r="G47" i="54"/>
  <c r="G48" i="54"/>
  <c r="G49" i="54"/>
  <c r="G50" i="54"/>
  <c r="G51" i="54"/>
  <c r="G52" i="54"/>
  <c r="G53" i="54"/>
  <c r="G54" i="54"/>
  <c r="G55" i="54"/>
  <c r="G56" i="54"/>
  <c r="G57" i="54"/>
  <c r="G58" i="54"/>
  <c r="G59" i="54"/>
  <c r="G60" i="54"/>
  <c r="G61" i="54"/>
  <c r="G62" i="54"/>
  <c r="G63" i="54"/>
  <c r="G64" i="54"/>
  <c r="G65" i="54"/>
  <c r="G66" i="54"/>
  <c r="G67" i="54"/>
  <c r="G68" i="54"/>
  <c r="G69" i="54"/>
  <c r="G70" i="54"/>
  <c r="G71" i="54"/>
  <c r="G72" i="54"/>
  <c r="G73" i="54"/>
  <c r="G74" i="54"/>
  <c r="G75" i="54"/>
  <c r="G76" i="54"/>
  <c r="G77" i="54"/>
  <c r="G78" i="54"/>
  <c r="G79" i="54"/>
  <c r="G80" i="54"/>
  <c r="G81" i="54"/>
  <c r="G82" i="54"/>
  <c r="G83" i="54"/>
  <c r="G84" i="54"/>
  <c r="G86" i="54"/>
  <c r="G87" i="54"/>
  <c r="G88" i="54"/>
  <c r="G89" i="54"/>
  <c r="G90" i="54"/>
  <c r="G91" i="54"/>
  <c r="G92" i="54"/>
  <c r="G93" i="54"/>
  <c r="G94" i="54"/>
  <c r="G95" i="54"/>
  <c r="G96" i="54"/>
  <c r="G97" i="54"/>
  <c r="G98" i="54"/>
  <c r="G99" i="54"/>
  <c r="G100" i="54"/>
  <c r="G101" i="54"/>
  <c r="G102" i="54"/>
  <c r="G103" i="54"/>
  <c r="G104" i="54"/>
  <c r="G105" i="54"/>
  <c r="G106" i="54"/>
  <c r="G20" i="54"/>
  <c r="G10" i="54"/>
  <c r="G11" i="54"/>
  <c r="G12" i="54"/>
  <c r="G13" i="54"/>
  <c r="G14" i="54"/>
  <c r="G15" i="54"/>
  <c r="G16" i="54"/>
  <c r="G17" i="54"/>
  <c r="G18" i="54"/>
  <c r="G9" i="54"/>
  <c r="F113" i="54"/>
  <c r="F114" i="54"/>
  <c r="F115" i="54"/>
  <c r="F116" i="54"/>
  <c r="F117" i="54"/>
  <c r="F118" i="54"/>
  <c r="F119" i="54"/>
  <c r="F120" i="54"/>
  <c r="F121" i="54"/>
  <c r="F122" i="54"/>
  <c r="F123" i="54"/>
  <c r="F124" i="54"/>
  <c r="F125" i="54"/>
  <c r="F126" i="54"/>
  <c r="F127" i="54"/>
  <c r="F128" i="54"/>
  <c r="F129" i="54"/>
  <c r="F130" i="54"/>
  <c r="F131" i="54"/>
  <c r="F132" i="54"/>
  <c r="F133" i="54"/>
  <c r="F134" i="54"/>
  <c r="F112" i="54"/>
  <c r="F109" i="54"/>
  <c r="F110" i="54"/>
  <c r="F108" i="54"/>
  <c r="F21" i="54"/>
  <c r="F22" i="54"/>
  <c r="F23" i="54"/>
  <c r="F24" i="54"/>
  <c r="F25" i="54"/>
  <c r="F26" i="54"/>
  <c r="F27" i="54"/>
  <c r="F28" i="54"/>
  <c r="F29" i="54"/>
  <c r="F30" i="54"/>
  <c r="F31" i="54"/>
  <c r="F32" i="54"/>
  <c r="F33" i="54"/>
  <c r="F34" i="54"/>
  <c r="F35" i="54"/>
  <c r="F36" i="54"/>
  <c r="F37" i="54"/>
  <c r="F38" i="54"/>
  <c r="F39" i="54"/>
  <c r="F40" i="54"/>
  <c r="F41" i="54"/>
  <c r="F42" i="54"/>
  <c r="F43" i="54"/>
  <c r="F44" i="54"/>
  <c r="F45" i="54"/>
  <c r="F46" i="54"/>
  <c r="F47" i="54"/>
  <c r="F48" i="54"/>
  <c r="F49" i="54"/>
  <c r="F50" i="54"/>
  <c r="F51" i="54"/>
  <c r="F52" i="54"/>
  <c r="F53" i="54"/>
  <c r="F54" i="54"/>
  <c r="F55" i="54"/>
  <c r="F56" i="54"/>
  <c r="F57" i="54"/>
  <c r="F58" i="54"/>
  <c r="F59" i="54"/>
  <c r="F60" i="54"/>
  <c r="F61" i="54"/>
  <c r="F62" i="54"/>
  <c r="F63" i="54"/>
  <c r="F64" i="54"/>
  <c r="F65" i="54"/>
  <c r="F66" i="54"/>
  <c r="F67" i="54"/>
  <c r="F68" i="54"/>
  <c r="F69" i="54"/>
  <c r="F70" i="54"/>
  <c r="F71" i="54"/>
  <c r="F72" i="54"/>
  <c r="F73" i="54"/>
  <c r="F74" i="54"/>
  <c r="F75" i="54"/>
  <c r="F76" i="54"/>
  <c r="F77" i="54"/>
  <c r="F78" i="54"/>
  <c r="F79" i="54"/>
  <c r="F80" i="54"/>
  <c r="F81" i="54"/>
  <c r="F82" i="54"/>
  <c r="F83" i="54"/>
  <c r="F84" i="54"/>
  <c r="F86" i="54"/>
  <c r="F87" i="54"/>
  <c r="F88" i="54"/>
  <c r="F89" i="54"/>
  <c r="F90" i="54"/>
  <c r="F91" i="54"/>
  <c r="F92" i="54"/>
  <c r="F93" i="54"/>
  <c r="F94" i="54"/>
  <c r="F95" i="54"/>
  <c r="F96" i="54"/>
  <c r="F97" i="54"/>
  <c r="F98" i="54"/>
  <c r="F99" i="54"/>
  <c r="F100" i="54"/>
  <c r="F101" i="54"/>
  <c r="F102" i="54"/>
  <c r="F103" i="54"/>
  <c r="F104" i="54"/>
  <c r="F105" i="54"/>
  <c r="F106" i="54"/>
  <c r="F20" i="54"/>
  <c r="F10" i="54"/>
  <c r="F11" i="54"/>
  <c r="F12" i="54"/>
  <c r="F13" i="54"/>
  <c r="F14" i="54"/>
  <c r="F15" i="54"/>
  <c r="F16" i="54"/>
  <c r="F17" i="54"/>
  <c r="F18" i="54"/>
  <c r="F9" i="54"/>
  <c r="D113" i="54"/>
  <c r="D114" i="54"/>
  <c r="D115" i="54"/>
  <c r="D116" i="54"/>
  <c r="D117" i="54"/>
  <c r="D118" i="54"/>
  <c r="D119" i="54"/>
  <c r="D120" i="54"/>
  <c r="D121" i="54"/>
  <c r="D122" i="54"/>
  <c r="D123" i="54"/>
  <c r="D124" i="54"/>
  <c r="D125" i="54"/>
  <c r="D126" i="54"/>
  <c r="D127" i="54"/>
  <c r="D128" i="54"/>
  <c r="D129" i="54"/>
  <c r="D130" i="54"/>
  <c r="D131" i="54"/>
  <c r="D132" i="54"/>
  <c r="D133" i="54"/>
  <c r="D134" i="54"/>
  <c r="D112" i="54"/>
  <c r="D109" i="54"/>
  <c r="D110" i="54"/>
  <c r="D108" i="54"/>
  <c r="D87" i="54"/>
  <c r="D88" i="54"/>
  <c r="D89" i="54"/>
  <c r="D90" i="54"/>
  <c r="D91" i="54"/>
  <c r="D92" i="54"/>
  <c r="D93" i="54"/>
  <c r="D94" i="54"/>
  <c r="D95" i="54"/>
  <c r="D96" i="54"/>
  <c r="D97" i="54"/>
  <c r="D98" i="54"/>
  <c r="D99" i="54"/>
  <c r="D100" i="54"/>
  <c r="D101" i="54"/>
  <c r="D102" i="54"/>
  <c r="D103" i="54"/>
  <c r="D104" i="54"/>
  <c r="D105" i="54"/>
  <c r="D106" i="54"/>
  <c r="D86" i="54"/>
  <c r="D21" i="54"/>
  <c r="D22" i="54"/>
  <c r="D23" i="54"/>
  <c r="D24" i="54"/>
  <c r="D25" i="54"/>
  <c r="D26" i="54"/>
  <c r="D27" i="54"/>
  <c r="D28" i="54"/>
  <c r="D29" i="54"/>
  <c r="D30" i="54"/>
  <c r="D31" i="54"/>
  <c r="D32" i="54"/>
  <c r="D33" i="54"/>
  <c r="D34" i="54"/>
  <c r="D35" i="54"/>
  <c r="D36" i="54"/>
  <c r="D37" i="54"/>
  <c r="D38" i="54"/>
  <c r="D39" i="54"/>
  <c r="D40" i="54"/>
  <c r="D41" i="54"/>
  <c r="D42" i="54"/>
  <c r="D43" i="54"/>
  <c r="D44" i="54"/>
  <c r="D45" i="54"/>
  <c r="D46" i="54"/>
  <c r="D47" i="54"/>
  <c r="D48" i="54"/>
  <c r="D49" i="54"/>
  <c r="D50" i="54"/>
  <c r="D51" i="54"/>
  <c r="D52" i="54"/>
  <c r="D53" i="54"/>
  <c r="D54" i="54"/>
  <c r="D55" i="54"/>
  <c r="D56" i="54"/>
  <c r="D57" i="54"/>
  <c r="D58" i="54"/>
  <c r="D59" i="54"/>
  <c r="D60" i="54"/>
  <c r="D61" i="54"/>
  <c r="D62" i="54"/>
  <c r="D63" i="54"/>
  <c r="D64" i="54"/>
  <c r="D65" i="54"/>
  <c r="D66" i="54"/>
  <c r="D67" i="54"/>
  <c r="D68" i="54"/>
  <c r="D69" i="54"/>
  <c r="D70" i="54"/>
  <c r="D71" i="54"/>
  <c r="D72" i="54"/>
  <c r="D73" i="54"/>
  <c r="D74" i="54"/>
  <c r="D75" i="54"/>
  <c r="D76" i="54"/>
  <c r="D77" i="54"/>
  <c r="D78" i="54"/>
  <c r="D79" i="54"/>
  <c r="D80" i="54"/>
  <c r="D81" i="54"/>
  <c r="D82" i="54"/>
  <c r="D83" i="54"/>
  <c r="D84" i="54"/>
  <c r="D20" i="54"/>
  <c r="D10" i="54"/>
  <c r="D11" i="54"/>
  <c r="D12" i="54"/>
  <c r="D13" i="54"/>
  <c r="D14" i="54"/>
  <c r="D15" i="54"/>
  <c r="D16" i="54"/>
  <c r="D17" i="54"/>
  <c r="D18" i="54"/>
  <c r="D9" i="54"/>
  <c r="V491" i="37"/>
  <c r="V492" i="37"/>
  <c r="V493" i="37"/>
  <c r="V494" i="37"/>
  <c r="V490" i="37"/>
  <c r="V488" i="37"/>
  <c r="V473" i="37"/>
  <c r="V474" i="37"/>
  <c r="V475" i="37"/>
  <c r="V476" i="37"/>
  <c r="V477" i="37"/>
  <c r="V478" i="37"/>
  <c r="V479" i="37"/>
  <c r="V480" i="37"/>
  <c r="V481" i="37"/>
  <c r="V482" i="37"/>
  <c r="V483" i="37"/>
  <c r="V484" i="37"/>
  <c r="V485" i="37"/>
  <c r="V486" i="37"/>
  <c r="V472" i="37"/>
  <c r="V453" i="37"/>
  <c r="V454" i="37"/>
  <c r="V455" i="37"/>
  <c r="V456" i="37"/>
  <c r="V457" i="37"/>
  <c r="V458" i="37"/>
  <c r="V459" i="37"/>
  <c r="V460" i="37"/>
  <c r="V461" i="37"/>
  <c r="V462" i="37"/>
  <c r="V463" i="37"/>
  <c r="V464" i="37"/>
  <c r="V465" i="37"/>
  <c r="V466" i="37"/>
  <c r="V467" i="37"/>
  <c r="V468" i="37"/>
  <c r="V469" i="37"/>
  <c r="V470" i="37"/>
  <c r="V452" i="37"/>
  <c r="V438" i="37"/>
  <c r="V439" i="37"/>
  <c r="V440" i="37"/>
  <c r="V441" i="37"/>
  <c r="V442" i="37"/>
  <c r="V443" i="37"/>
  <c r="V444" i="37"/>
  <c r="V445" i="37"/>
  <c r="V446" i="37"/>
  <c r="V447" i="37"/>
  <c r="V448" i="37"/>
  <c r="V449" i="37"/>
  <c r="V450" i="37"/>
  <c r="V437" i="37"/>
  <c r="V418" i="37"/>
  <c r="V419" i="37"/>
  <c r="V420" i="37"/>
  <c r="V421" i="37"/>
  <c r="V422" i="37"/>
  <c r="V423" i="37"/>
  <c r="V424" i="37"/>
  <c r="V425" i="37"/>
  <c r="V426" i="37"/>
  <c r="V427" i="37"/>
  <c r="V428" i="37"/>
  <c r="V429" i="37"/>
  <c r="V430" i="37"/>
  <c r="V431" i="37"/>
  <c r="V432" i="37"/>
  <c r="V433" i="37"/>
  <c r="V434" i="37"/>
  <c r="V435" i="37"/>
  <c r="V417" i="37"/>
  <c r="V379" i="37"/>
  <c r="V380" i="37"/>
  <c r="V381" i="37"/>
  <c r="V382" i="37"/>
  <c r="V383" i="37"/>
  <c r="V384" i="37"/>
  <c r="V385" i="37"/>
  <c r="V386" i="37"/>
  <c r="V387" i="37"/>
  <c r="V388" i="37"/>
  <c r="V389" i="37"/>
  <c r="V390" i="37"/>
  <c r="V391" i="37"/>
  <c r="V392" i="37"/>
  <c r="V393" i="37"/>
  <c r="V394" i="37"/>
  <c r="V395" i="37"/>
  <c r="V396" i="37"/>
  <c r="V397" i="37"/>
  <c r="V398" i="37"/>
  <c r="V399" i="37"/>
  <c r="V400" i="37"/>
  <c r="V401" i="37"/>
  <c r="V402" i="37"/>
  <c r="V403" i="37"/>
  <c r="V404" i="37"/>
  <c r="V405" i="37"/>
  <c r="V406" i="37"/>
  <c r="V407" i="37"/>
  <c r="V408" i="37"/>
  <c r="V409" i="37"/>
  <c r="V410" i="37"/>
  <c r="V411" i="37"/>
  <c r="V412" i="37"/>
  <c r="V413" i="37"/>
  <c r="V414" i="37"/>
  <c r="V415" i="37"/>
  <c r="V378" i="37"/>
  <c r="V341" i="37"/>
  <c r="V342" i="37"/>
  <c r="V343" i="37"/>
  <c r="V344" i="37"/>
  <c r="V345" i="37"/>
  <c r="V346" i="37"/>
  <c r="V347" i="37"/>
  <c r="V348" i="37"/>
  <c r="V349" i="37"/>
  <c r="V350" i="37"/>
  <c r="V351" i="37"/>
  <c r="V352" i="37"/>
  <c r="V353" i="37"/>
  <c r="V354" i="37"/>
  <c r="V355" i="37"/>
  <c r="V356" i="37"/>
  <c r="V357" i="37"/>
  <c r="V358" i="37"/>
  <c r="V359" i="37"/>
  <c r="V360" i="37"/>
  <c r="V361" i="37"/>
  <c r="V362" i="37"/>
  <c r="V363" i="37"/>
  <c r="V364" i="37"/>
  <c r="V365" i="37"/>
  <c r="V366" i="37"/>
  <c r="V367" i="37"/>
  <c r="V368" i="37"/>
  <c r="V369" i="37"/>
  <c r="V370" i="37"/>
  <c r="V371" i="37"/>
  <c r="V372" i="37"/>
  <c r="V373" i="37"/>
  <c r="V374" i="37"/>
  <c r="V375" i="37"/>
  <c r="V376" i="37"/>
  <c r="V340" i="37"/>
  <c r="V323" i="37"/>
  <c r="V324" i="37"/>
  <c r="V325" i="37"/>
  <c r="V326" i="37"/>
  <c r="V327" i="37"/>
  <c r="V328" i="37"/>
  <c r="V329" i="37"/>
  <c r="V330" i="37"/>
  <c r="V331" i="37"/>
  <c r="V332" i="37"/>
  <c r="V333" i="37"/>
  <c r="V334" i="37"/>
  <c r="V335" i="37"/>
  <c r="V336" i="37"/>
  <c r="V337" i="37"/>
  <c r="V338" i="37"/>
  <c r="V322" i="37"/>
  <c r="V279" i="37"/>
  <c r="V280" i="37"/>
  <c r="V281" i="37"/>
  <c r="V282" i="37"/>
  <c r="V283" i="37"/>
  <c r="V284" i="37"/>
  <c r="V285" i="37"/>
  <c r="V286" i="37"/>
  <c r="V287" i="37"/>
  <c r="V288" i="37"/>
  <c r="V289" i="37"/>
  <c r="V290" i="37"/>
  <c r="V291" i="37"/>
  <c r="V292" i="37"/>
  <c r="V293" i="37"/>
  <c r="V294" i="37"/>
  <c r="V295" i="37"/>
  <c r="V296" i="37"/>
  <c r="V297" i="37"/>
  <c r="V298" i="37"/>
  <c r="V299" i="37"/>
  <c r="V300" i="37"/>
  <c r="V301" i="37"/>
  <c r="V302" i="37"/>
  <c r="V303" i="37"/>
  <c r="V304" i="37"/>
  <c r="V305" i="37"/>
  <c r="V306" i="37"/>
  <c r="V307" i="37"/>
  <c r="V308" i="37"/>
  <c r="V309" i="37"/>
  <c r="V310" i="37"/>
  <c r="V311" i="37"/>
  <c r="V312" i="37"/>
  <c r="V313" i="37"/>
  <c r="V314" i="37"/>
  <c r="V315" i="37"/>
  <c r="V316" i="37"/>
  <c r="V317" i="37"/>
  <c r="V318" i="37"/>
  <c r="V319" i="37"/>
  <c r="V320" i="37"/>
  <c r="V259" i="37"/>
  <c r="V260" i="37"/>
  <c r="V261" i="37"/>
  <c r="V262" i="37"/>
  <c r="V263" i="37"/>
  <c r="V264" i="37"/>
  <c r="V265" i="37"/>
  <c r="V266" i="37"/>
  <c r="V267" i="37"/>
  <c r="V268" i="37"/>
  <c r="V269" i="37"/>
  <c r="V270" i="37"/>
  <c r="V271" i="37"/>
  <c r="V272" i="37"/>
  <c r="V273" i="37"/>
  <c r="V274" i="37"/>
  <c r="V275" i="37"/>
  <c r="V276" i="37"/>
  <c r="V277" i="37"/>
  <c r="V278" i="37"/>
  <c r="V258" i="37"/>
  <c r="V218" i="37"/>
  <c r="V219" i="37"/>
  <c r="V220" i="37"/>
  <c r="V221" i="37"/>
  <c r="V222" i="37"/>
  <c r="V223" i="37"/>
  <c r="V224" i="37"/>
  <c r="V225" i="37"/>
  <c r="V226" i="37"/>
  <c r="V227" i="37"/>
  <c r="V228" i="37"/>
  <c r="V229" i="37"/>
  <c r="V230" i="37"/>
  <c r="V231" i="37"/>
  <c r="V232" i="37"/>
  <c r="V233" i="37"/>
  <c r="V234" i="37"/>
  <c r="V235" i="37"/>
  <c r="V236" i="37"/>
  <c r="V237" i="37"/>
  <c r="V238" i="37"/>
  <c r="V239" i="37"/>
  <c r="V240" i="37"/>
  <c r="V241" i="37"/>
  <c r="V242" i="37"/>
  <c r="V243" i="37"/>
  <c r="V244" i="37"/>
  <c r="V245" i="37"/>
  <c r="V246" i="37"/>
  <c r="V247" i="37"/>
  <c r="V248" i="37"/>
  <c r="V249" i="37"/>
  <c r="V250" i="37"/>
  <c r="V251" i="37"/>
  <c r="V252" i="37"/>
  <c r="V253" i="37"/>
  <c r="V254" i="37"/>
  <c r="V255" i="37"/>
  <c r="V256" i="37"/>
  <c r="V217" i="37"/>
  <c r="V10" i="37"/>
  <c r="V11" i="37"/>
  <c r="V12" i="37"/>
  <c r="V13" i="37"/>
  <c r="V14" i="37"/>
  <c r="V15" i="37"/>
  <c r="V16" i="37"/>
  <c r="V17" i="37"/>
  <c r="V18" i="37"/>
  <c r="V19" i="37"/>
  <c r="V20" i="37"/>
  <c r="V21" i="37"/>
  <c r="V22" i="37"/>
  <c r="V23" i="37"/>
  <c r="V24" i="37"/>
  <c r="V25" i="37"/>
  <c r="V26" i="37"/>
  <c r="V27" i="37"/>
  <c r="V28" i="37"/>
  <c r="V29" i="37"/>
  <c r="V30" i="37"/>
  <c r="V31" i="37"/>
  <c r="V32" i="37"/>
  <c r="V33" i="37"/>
  <c r="V34" i="37"/>
  <c r="V35" i="37"/>
  <c r="V36" i="37"/>
  <c r="V37" i="37"/>
  <c r="V38" i="37"/>
  <c r="V39" i="37"/>
  <c r="V40" i="37"/>
  <c r="V41" i="37"/>
  <c r="V42" i="37"/>
  <c r="V43" i="37"/>
  <c r="V44" i="37"/>
  <c r="V45" i="37"/>
  <c r="V46" i="37"/>
  <c r="V47" i="37"/>
  <c r="V48" i="37"/>
  <c r="V49" i="37"/>
  <c r="V50" i="37"/>
  <c r="V51" i="37"/>
  <c r="V52" i="37"/>
  <c r="V53" i="37"/>
  <c r="V54" i="37"/>
  <c r="V55" i="37"/>
  <c r="V56" i="37"/>
  <c r="V57" i="37"/>
  <c r="V58" i="37"/>
  <c r="V59" i="37"/>
  <c r="V60" i="37"/>
  <c r="V61" i="37"/>
  <c r="V62" i="37"/>
  <c r="V63" i="37"/>
  <c r="V64" i="37"/>
  <c r="V65" i="37"/>
  <c r="V66" i="37"/>
  <c r="V67" i="37"/>
  <c r="V68" i="37"/>
  <c r="V69" i="37"/>
  <c r="V70" i="37"/>
  <c r="V71" i="37"/>
  <c r="V72" i="37"/>
  <c r="V73" i="37"/>
  <c r="V74" i="37"/>
  <c r="V75" i="37"/>
  <c r="V76" i="37"/>
  <c r="V77" i="37"/>
  <c r="V78" i="37"/>
  <c r="V79" i="37"/>
  <c r="V80" i="37"/>
  <c r="V81" i="37"/>
  <c r="V82" i="37"/>
  <c r="V83" i="37"/>
  <c r="V84" i="37"/>
  <c r="V85" i="37"/>
  <c r="V86" i="37"/>
  <c r="V87" i="37"/>
  <c r="V88" i="37"/>
  <c r="V89" i="37"/>
  <c r="V90" i="37"/>
  <c r="V91" i="37"/>
  <c r="V92" i="37"/>
  <c r="V93" i="37"/>
  <c r="V94" i="37"/>
  <c r="V95" i="37"/>
  <c r="V96" i="37"/>
  <c r="V97" i="37"/>
  <c r="V98" i="37"/>
  <c r="V99" i="37"/>
  <c r="V100" i="37"/>
  <c r="V101" i="37"/>
  <c r="V102" i="37"/>
  <c r="V103" i="37"/>
  <c r="V104" i="37"/>
  <c r="V105" i="37"/>
  <c r="V106" i="37"/>
  <c r="V107" i="37"/>
  <c r="V108" i="37"/>
  <c r="V109" i="37"/>
  <c r="V110" i="37"/>
  <c r="V111" i="37"/>
  <c r="V112" i="37"/>
  <c r="V113" i="37"/>
  <c r="V114" i="37"/>
  <c r="V115" i="37"/>
  <c r="V116" i="37"/>
  <c r="V117" i="37"/>
  <c r="V118" i="37"/>
  <c r="V119" i="37"/>
  <c r="V120" i="37"/>
  <c r="V121" i="37"/>
  <c r="V122" i="37"/>
  <c r="V123" i="37"/>
  <c r="V124" i="37"/>
  <c r="V125" i="37"/>
  <c r="V126" i="37"/>
  <c r="V127" i="37"/>
  <c r="V128" i="37"/>
  <c r="V129" i="37"/>
  <c r="V130" i="37"/>
  <c r="V131" i="37"/>
  <c r="V132" i="37"/>
  <c r="V133" i="37"/>
  <c r="V134" i="37"/>
  <c r="V135" i="37"/>
  <c r="V136" i="37"/>
  <c r="V137" i="37"/>
  <c r="V138" i="37"/>
  <c r="V139" i="37"/>
  <c r="V140" i="37"/>
  <c r="V141" i="37"/>
  <c r="V142" i="37"/>
  <c r="V143" i="37"/>
  <c r="V144" i="37"/>
  <c r="V145" i="37"/>
  <c r="V146" i="37"/>
  <c r="V147" i="37"/>
  <c r="V148" i="37"/>
  <c r="V149" i="37"/>
  <c r="V150" i="37"/>
  <c r="V151" i="37"/>
  <c r="V152" i="37"/>
  <c r="V153" i="37"/>
  <c r="V154" i="37"/>
  <c r="V155" i="37"/>
  <c r="V156" i="37"/>
  <c r="V157" i="37"/>
  <c r="V158" i="37"/>
  <c r="V159" i="37"/>
  <c r="V160" i="37"/>
  <c r="V161" i="37"/>
  <c r="V162" i="37"/>
  <c r="V163" i="37"/>
  <c r="V164" i="37"/>
  <c r="V165" i="37"/>
  <c r="V166" i="37"/>
  <c r="V167" i="37"/>
  <c r="V168" i="37"/>
  <c r="V169" i="37"/>
  <c r="V170" i="37"/>
  <c r="V171" i="37"/>
  <c r="V172" i="37"/>
  <c r="V173" i="37"/>
  <c r="V174" i="37"/>
  <c r="V175" i="37"/>
  <c r="V176" i="37"/>
  <c r="V177" i="37"/>
  <c r="V178" i="37"/>
  <c r="V179" i="37"/>
  <c r="V180" i="37"/>
  <c r="V181" i="37"/>
  <c r="V182" i="37"/>
  <c r="V183" i="37"/>
  <c r="V184" i="37"/>
  <c r="V185" i="37"/>
  <c r="V186" i="37"/>
  <c r="V187" i="37"/>
  <c r="V188" i="37"/>
  <c r="V189" i="37"/>
  <c r="V190" i="37"/>
  <c r="V191" i="37"/>
  <c r="V192" i="37"/>
  <c r="V193" i="37"/>
  <c r="V194" i="37"/>
  <c r="V195" i="37"/>
  <c r="V196" i="37"/>
  <c r="V197" i="37"/>
  <c r="V198" i="37"/>
  <c r="V199" i="37"/>
  <c r="V200" i="37"/>
  <c r="V201" i="37"/>
  <c r="V202" i="37"/>
  <c r="V203" i="37"/>
  <c r="V204" i="37"/>
  <c r="V205" i="37"/>
  <c r="V206" i="37"/>
  <c r="V207" i="37"/>
  <c r="V208" i="37"/>
  <c r="V209" i="37"/>
  <c r="V210" i="37"/>
  <c r="V211" i="37"/>
  <c r="V212" i="37"/>
  <c r="V213" i="37"/>
  <c r="V214" i="37"/>
  <c r="V215" i="37"/>
  <c r="V9" i="37"/>
  <c r="U491" i="37"/>
  <c r="U492" i="37"/>
  <c r="U493" i="37"/>
  <c r="U494" i="37"/>
  <c r="U490" i="37"/>
  <c r="U488" i="37"/>
  <c r="U473" i="37"/>
  <c r="U474" i="37"/>
  <c r="U475" i="37"/>
  <c r="U476" i="37"/>
  <c r="U477" i="37"/>
  <c r="U478" i="37"/>
  <c r="U479" i="37"/>
  <c r="U480" i="37"/>
  <c r="U481" i="37"/>
  <c r="U482" i="37"/>
  <c r="U483" i="37"/>
  <c r="U484" i="37"/>
  <c r="U485" i="37"/>
  <c r="U486" i="37"/>
  <c r="U472" i="37"/>
  <c r="U453" i="37"/>
  <c r="U454" i="37"/>
  <c r="U455" i="37"/>
  <c r="U456" i="37"/>
  <c r="U457" i="37"/>
  <c r="U458" i="37"/>
  <c r="U459" i="37"/>
  <c r="U460" i="37"/>
  <c r="U461" i="37"/>
  <c r="U462" i="37"/>
  <c r="U463" i="37"/>
  <c r="U464" i="37"/>
  <c r="U465" i="37"/>
  <c r="U466" i="37"/>
  <c r="U467" i="37"/>
  <c r="U468" i="37"/>
  <c r="U469" i="37"/>
  <c r="U470" i="37"/>
  <c r="U452" i="37"/>
  <c r="U438" i="37"/>
  <c r="U439" i="37"/>
  <c r="U440" i="37"/>
  <c r="U441" i="37"/>
  <c r="U442" i="37"/>
  <c r="U443" i="37"/>
  <c r="U444" i="37"/>
  <c r="U445" i="37"/>
  <c r="U446" i="37"/>
  <c r="U447" i="37"/>
  <c r="U448" i="37"/>
  <c r="U449" i="37"/>
  <c r="U450" i="37"/>
  <c r="U437" i="37"/>
  <c r="U418" i="37"/>
  <c r="U419" i="37"/>
  <c r="U420" i="37"/>
  <c r="U421" i="37"/>
  <c r="U422" i="37"/>
  <c r="U423" i="37"/>
  <c r="U424" i="37"/>
  <c r="U425" i="37"/>
  <c r="U426" i="37"/>
  <c r="U427" i="37"/>
  <c r="U428" i="37"/>
  <c r="U429" i="37"/>
  <c r="U430" i="37"/>
  <c r="U431" i="37"/>
  <c r="U432" i="37"/>
  <c r="U433" i="37"/>
  <c r="U434" i="37"/>
  <c r="U435" i="37"/>
  <c r="U417" i="37"/>
  <c r="U379" i="37"/>
  <c r="U380" i="37"/>
  <c r="U381" i="37"/>
  <c r="U382" i="37"/>
  <c r="U383" i="37"/>
  <c r="U384" i="37"/>
  <c r="U385" i="37"/>
  <c r="U386" i="37"/>
  <c r="U387" i="37"/>
  <c r="U388" i="37"/>
  <c r="U389" i="37"/>
  <c r="U390" i="37"/>
  <c r="U391" i="37"/>
  <c r="U392" i="37"/>
  <c r="U393" i="37"/>
  <c r="U394" i="37"/>
  <c r="U395" i="37"/>
  <c r="U396" i="37"/>
  <c r="U397" i="37"/>
  <c r="U398" i="37"/>
  <c r="U399" i="37"/>
  <c r="U400" i="37"/>
  <c r="U401" i="37"/>
  <c r="U402" i="37"/>
  <c r="U403" i="37"/>
  <c r="U404" i="37"/>
  <c r="U405" i="37"/>
  <c r="U406" i="37"/>
  <c r="U407" i="37"/>
  <c r="U408" i="37"/>
  <c r="U409" i="37"/>
  <c r="U410" i="37"/>
  <c r="U411" i="37"/>
  <c r="U412" i="37"/>
  <c r="U413" i="37"/>
  <c r="U414" i="37"/>
  <c r="U415" i="37"/>
  <c r="U378" i="37"/>
  <c r="U341" i="37"/>
  <c r="U342" i="37"/>
  <c r="U343" i="37"/>
  <c r="U344" i="37"/>
  <c r="U345" i="37"/>
  <c r="U346" i="37"/>
  <c r="U347" i="37"/>
  <c r="U348" i="37"/>
  <c r="U349" i="37"/>
  <c r="U350" i="37"/>
  <c r="U351" i="37"/>
  <c r="U352" i="37"/>
  <c r="U353" i="37"/>
  <c r="U354" i="37"/>
  <c r="U355" i="37"/>
  <c r="U356" i="37"/>
  <c r="U357" i="37"/>
  <c r="U358" i="37"/>
  <c r="U359" i="37"/>
  <c r="U360" i="37"/>
  <c r="U361" i="37"/>
  <c r="U362" i="37"/>
  <c r="U363" i="37"/>
  <c r="U364" i="37"/>
  <c r="U365" i="37"/>
  <c r="U366" i="37"/>
  <c r="U367" i="37"/>
  <c r="U368" i="37"/>
  <c r="U369" i="37"/>
  <c r="U370" i="37"/>
  <c r="U371" i="37"/>
  <c r="U372" i="37"/>
  <c r="U373" i="37"/>
  <c r="U374" i="37"/>
  <c r="U375" i="37"/>
  <c r="U376" i="37"/>
  <c r="U340" i="37"/>
  <c r="U323" i="37"/>
  <c r="U324" i="37"/>
  <c r="U325" i="37"/>
  <c r="U326" i="37"/>
  <c r="U327" i="37"/>
  <c r="U328" i="37"/>
  <c r="U329" i="37"/>
  <c r="U330" i="37"/>
  <c r="U331" i="37"/>
  <c r="U332" i="37"/>
  <c r="U333" i="37"/>
  <c r="U334" i="37"/>
  <c r="U335" i="37"/>
  <c r="U336" i="37"/>
  <c r="U337" i="37"/>
  <c r="U338" i="37"/>
  <c r="U322" i="37"/>
  <c r="U259" i="37"/>
  <c r="U260" i="37"/>
  <c r="U261" i="37"/>
  <c r="U262" i="37"/>
  <c r="U263" i="37"/>
  <c r="U264" i="37"/>
  <c r="U265" i="37"/>
  <c r="U266" i="37"/>
  <c r="U267" i="37"/>
  <c r="U268" i="37"/>
  <c r="U269" i="37"/>
  <c r="U270" i="37"/>
  <c r="U271" i="37"/>
  <c r="U272" i="37"/>
  <c r="U273" i="37"/>
  <c r="U274" i="37"/>
  <c r="U275" i="37"/>
  <c r="U276" i="37"/>
  <c r="U277" i="37"/>
  <c r="U278" i="37"/>
  <c r="U279" i="37"/>
  <c r="U280" i="37"/>
  <c r="U281" i="37"/>
  <c r="U282" i="37"/>
  <c r="U283" i="37"/>
  <c r="U284" i="37"/>
  <c r="U285" i="37"/>
  <c r="U286" i="37"/>
  <c r="U287" i="37"/>
  <c r="U288" i="37"/>
  <c r="U289" i="37"/>
  <c r="U290" i="37"/>
  <c r="U291" i="37"/>
  <c r="U292" i="37"/>
  <c r="U293" i="37"/>
  <c r="U294" i="37"/>
  <c r="U295" i="37"/>
  <c r="U296" i="37"/>
  <c r="U297" i="37"/>
  <c r="U298" i="37"/>
  <c r="U299" i="37"/>
  <c r="U300" i="37"/>
  <c r="U301" i="37"/>
  <c r="U302" i="37"/>
  <c r="U303" i="37"/>
  <c r="U304" i="37"/>
  <c r="U305" i="37"/>
  <c r="U306" i="37"/>
  <c r="U307" i="37"/>
  <c r="U308" i="37"/>
  <c r="U309" i="37"/>
  <c r="U310" i="37"/>
  <c r="U311" i="37"/>
  <c r="U312" i="37"/>
  <c r="U313" i="37"/>
  <c r="U314" i="37"/>
  <c r="U315" i="37"/>
  <c r="U316" i="37"/>
  <c r="U317" i="37"/>
  <c r="U318" i="37"/>
  <c r="U319" i="37"/>
  <c r="U320" i="37"/>
  <c r="U258" i="37"/>
  <c r="U218" i="37"/>
  <c r="U219" i="37"/>
  <c r="U220" i="37"/>
  <c r="U221" i="37"/>
  <c r="U222" i="37"/>
  <c r="U223" i="37"/>
  <c r="U224" i="37"/>
  <c r="U225" i="37"/>
  <c r="U226" i="37"/>
  <c r="U227" i="37"/>
  <c r="U228" i="37"/>
  <c r="U229" i="37"/>
  <c r="U230" i="37"/>
  <c r="U231" i="37"/>
  <c r="U232" i="37"/>
  <c r="U233" i="37"/>
  <c r="U234" i="37"/>
  <c r="U235" i="37"/>
  <c r="U236" i="37"/>
  <c r="U237" i="37"/>
  <c r="U238" i="37"/>
  <c r="U239" i="37"/>
  <c r="U240" i="37"/>
  <c r="U241" i="37"/>
  <c r="U242" i="37"/>
  <c r="U243" i="37"/>
  <c r="U244" i="37"/>
  <c r="U245" i="37"/>
  <c r="U246" i="37"/>
  <c r="U247" i="37"/>
  <c r="U248" i="37"/>
  <c r="U249" i="37"/>
  <c r="U250" i="37"/>
  <c r="U251" i="37"/>
  <c r="U252" i="37"/>
  <c r="U253" i="37"/>
  <c r="U254" i="37"/>
  <c r="U255" i="37"/>
  <c r="U256" i="37"/>
  <c r="U217" i="37"/>
  <c r="U10" i="37"/>
  <c r="U11" i="37"/>
  <c r="U12" i="37"/>
  <c r="U13" i="37"/>
  <c r="U14" i="37"/>
  <c r="U15" i="37"/>
  <c r="U16" i="37"/>
  <c r="U17" i="37"/>
  <c r="U18" i="37"/>
  <c r="U19" i="37"/>
  <c r="U20" i="37"/>
  <c r="U21" i="37"/>
  <c r="U22" i="37"/>
  <c r="U23" i="37"/>
  <c r="U24" i="37"/>
  <c r="U25" i="37"/>
  <c r="U26" i="37"/>
  <c r="U27" i="37"/>
  <c r="U28" i="37"/>
  <c r="U29" i="37"/>
  <c r="U30" i="37"/>
  <c r="U31" i="37"/>
  <c r="U32" i="37"/>
  <c r="U33" i="37"/>
  <c r="U34" i="37"/>
  <c r="U35" i="37"/>
  <c r="U36" i="37"/>
  <c r="U37" i="37"/>
  <c r="U38" i="37"/>
  <c r="U39" i="37"/>
  <c r="U40" i="37"/>
  <c r="U41" i="37"/>
  <c r="U42" i="37"/>
  <c r="U43" i="37"/>
  <c r="U44" i="37"/>
  <c r="U45" i="37"/>
  <c r="U46" i="37"/>
  <c r="U47" i="37"/>
  <c r="U48" i="37"/>
  <c r="U49" i="37"/>
  <c r="U50" i="37"/>
  <c r="U51" i="37"/>
  <c r="U52" i="37"/>
  <c r="U53" i="37"/>
  <c r="U54" i="37"/>
  <c r="U55" i="37"/>
  <c r="U56" i="37"/>
  <c r="U57" i="37"/>
  <c r="U58" i="37"/>
  <c r="U59" i="37"/>
  <c r="U60" i="37"/>
  <c r="U61" i="37"/>
  <c r="U62" i="37"/>
  <c r="U63" i="37"/>
  <c r="U64" i="37"/>
  <c r="U65" i="37"/>
  <c r="U66" i="37"/>
  <c r="U67" i="37"/>
  <c r="U68" i="37"/>
  <c r="U69" i="37"/>
  <c r="U70" i="37"/>
  <c r="U71" i="37"/>
  <c r="U72" i="37"/>
  <c r="U73" i="37"/>
  <c r="U74" i="37"/>
  <c r="U75" i="37"/>
  <c r="U76" i="37"/>
  <c r="U77" i="37"/>
  <c r="U78" i="37"/>
  <c r="U79" i="37"/>
  <c r="U80" i="37"/>
  <c r="U81" i="37"/>
  <c r="U82" i="37"/>
  <c r="U83" i="37"/>
  <c r="U84" i="37"/>
  <c r="U85" i="37"/>
  <c r="U86" i="37"/>
  <c r="U87" i="37"/>
  <c r="U88" i="37"/>
  <c r="U89" i="37"/>
  <c r="U90" i="37"/>
  <c r="U91" i="37"/>
  <c r="U92" i="37"/>
  <c r="U93" i="37"/>
  <c r="U94" i="37"/>
  <c r="U95" i="37"/>
  <c r="U96" i="37"/>
  <c r="U97" i="37"/>
  <c r="U98" i="37"/>
  <c r="U99" i="37"/>
  <c r="U100" i="37"/>
  <c r="U101" i="37"/>
  <c r="U102" i="37"/>
  <c r="U103" i="37"/>
  <c r="U104" i="37"/>
  <c r="U105" i="37"/>
  <c r="U106" i="37"/>
  <c r="U107" i="37"/>
  <c r="U108" i="37"/>
  <c r="U109" i="37"/>
  <c r="U110" i="37"/>
  <c r="U111" i="37"/>
  <c r="U112" i="37"/>
  <c r="U113" i="37"/>
  <c r="U114" i="37"/>
  <c r="U115" i="37"/>
  <c r="U116" i="37"/>
  <c r="U117" i="37"/>
  <c r="U118" i="37"/>
  <c r="U119" i="37"/>
  <c r="U120" i="37"/>
  <c r="U121" i="37"/>
  <c r="U122" i="37"/>
  <c r="U123" i="37"/>
  <c r="U124" i="37"/>
  <c r="U125" i="37"/>
  <c r="U126" i="37"/>
  <c r="U127" i="37"/>
  <c r="U128" i="37"/>
  <c r="U129" i="37"/>
  <c r="U130" i="37"/>
  <c r="U131" i="37"/>
  <c r="U132" i="37"/>
  <c r="U133" i="37"/>
  <c r="U134" i="37"/>
  <c r="U135" i="37"/>
  <c r="U136" i="37"/>
  <c r="U137" i="37"/>
  <c r="U138" i="37"/>
  <c r="U139" i="37"/>
  <c r="U140" i="37"/>
  <c r="U141" i="37"/>
  <c r="U142" i="37"/>
  <c r="U143" i="37"/>
  <c r="U144" i="37"/>
  <c r="U145" i="37"/>
  <c r="U146" i="37"/>
  <c r="U147" i="37"/>
  <c r="U148" i="37"/>
  <c r="U149" i="37"/>
  <c r="U150" i="37"/>
  <c r="U151" i="37"/>
  <c r="U152" i="37"/>
  <c r="U153" i="37"/>
  <c r="U154" i="37"/>
  <c r="U155" i="37"/>
  <c r="U156" i="37"/>
  <c r="U157" i="37"/>
  <c r="U158" i="37"/>
  <c r="U159" i="37"/>
  <c r="U160" i="37"/>
  <c r="U161" i="37"/>
  <c r="U162" i="37"/>
  <c r="U163" i="37"/>
  <c r="U164" i="37"/>
  <c r="U165" i="37"/>
  <c r="U166" i="37"/>
  <c r="U167" i="37"/>
  <c r="U168" i="37"/>
  <c r="U169" i="37"/>
  <c r="U170" i="37"/>
  <c r="U171" i="37"/>
  <c r="U172" i="37"/>
  <c r="U173" i="37"/>
  <c r="U174" i="37"/>
  <c r="U175" i="37"/>
  <c r="U176" i="37"/>
  <c r="U177" i="37"/>
  <c r="U178" i="37"/>
  <c r="U179" i="37"/>
  <c r="U180" i="37"/>
  <c r="U181" i="37"/>
  <c r="U182" i="37"/>
  <c r="U183" i="37"/>
  <c r="U184" i="37"/>
  <c r="U185" i="37"/>
  <c r="U186" i="37"/>
  <c r="U187" i="37"/>
  <c r="U188" i="37"/>
  <c r="U189" i="37"/>
  <c r="U190" i="37"/>
  <c r="U191" i="37"/>
  <c r="U192" i="37"/>
  <c r="U193" i="37"/>
  <c r="U194" i="37"/>
  <c r="U195" i="37"/>
  <c r="U196" i="37"/>
  <c r="U197" i="37"/>
  <c r="U198" i="37"/>
  <c r="U199" i="37"/>
  <c r="U200" i="37"/>
  <c r="U201" i="37"/>
  <c r="U202" i="37"/>
  <c r="U203" i="37"/>
  <c r="U204" i="37"/>
  <c r="U205" i="37"/>
  <c r="U206" i="37"/>
  <c r="U207" i="37"/>
  <c r="U208" i="37"/>
  <c r="U209" i="37"/>
  <c r="U210" i="37"/>
  <c r="U211" i="37"/>
  <c r="U212" i="37"/>
  <c r="U213" i="37"/>
  <c r="U214" i="37"/>
  <c r="U215" i="37"/>
  <c r="U9" i="37"/>
  <c r="T491" i="37"/>
  <c r="T492" i="37"/>
  <c r="T493" i="37"/>
  <c r="T494" i="37"/>
  <c r="T490" i="37"/>
  <c r="T488" i="37"/>
  <c r="T473" i="37"/>
  <c r="T474" i="37"/>
  <c r="T475" i="37"/>
  <c r="T476" i="37"/>
  <c r="T477" i="37"/>
  <c r="T478" i="37"/>
  <c r="T479" i="37"/>
  <c r="T480" i="37"/>
  <c r="T481" i="37"/>
  <c r="T482" i="37"/>
  <c r="T483" i="37"/>
  <c r="T484" i="37"/>
  <c r="T485" i="37"/>
  <c r="T486" i="37"/>
  <c r="T472" i="37"/>
  <c r="T453" i="37"/>
  <c r="T454" i="37"/>
  <c r="T455" i="37"/>
  <c r="T456" i="37"/>
  <c r="T457" i="37"/>
  <c r="T458" i="37"/>
  <c r="T459" i="37"/>
  <c r="T460" i="37"/>
  <c r="T461" i="37"/>
  <c r="T462" i="37"/>
  <c r="T463" i="37"/>
  <c r="T464" i="37"/>
  <c r="T465" i="37"/>
  <c r="T466" i="37"/>
  <c r="T467" i="37"/>
  <c r="T468" i="37"/>
  <c r="T469" i="37"/>
  <c r="T470" i="37"/>
  <c r="T452" i="37"/>
  <c r="T438" i="37"/>
  <c r="T439" i="37"/>
  <c r="T440" i="37"/>
  <c r="T441" i="37"/>
  <c r="T442" i="37"/>
  <c r="T443" i="37"/>
  <c r="T444" i="37"/>
  <c r="T445" i="37"/>
  <c r="T446" i="37"/>
  <c r="T447" i="37"/>
  <c r="T448" i="37"/>
  <c r="T449" i="37"/>
  <c r="T450" i="37"/>
  <c r="T437" i="37"/>
  <c r="T418" i="37"/>
  <c r="T419" i="37"/>
  <c r="T420" i="37"/>
  <c r="T421" i="37"/>
  <c r="T422" i="37"/>
  <c r="T423" i="37"/>
  <c r="T424" i="37"/>
  <c r="T425" i="37"/>
  <c r="T426" i="37"/>
  <c r="T427" i="37"/>
  <c r="T428" i="37"/>
  <c r="T429" i="37"/>
  <c r="T430" i="37"/>
  <c r="T431" i="37"/>
  <c r="T432" i="37"/>
  <c r="T433" i="37"/>
  <c r="T434" i="37"/>
  <c r="T435" i="37"/>
  <c r="T417" i="37"/>
  <c r="T379" i="37"/>
  <c r="T380" i="37"/>
  <c r="T381" i="37"/>
  <c r="T382" i="37"/>
  <c r="T383" i="37"/>
  <c r="T384" i="37"/>
  <c r="T385" i="37"/>
  <c r="T386" i="37"/>
  <c r="T387" i="37"/>
  <c r="T388" i="37"/>
  <c r="T389" i="37"/>
  <c r="T390" i="37"/>
  <c r="T391" i="37"/>
  <c r="T392" i="37"/>
  <c r="T393" i="37"/>
  <c r="T394" i="37"/>
  <c r="T395" i="37"/>
  <c r="T396" i="37"/>
  <c r="T397" i="37"/>
  <c r="T398" i="37"/>
  <c r="T399" i="37"/>
  <c r="T400" i="37"/>
  <c r="T401" i="37"/>
  <c r="T402" i="37"/>
  <c r="T403" i="37"/>
  <c r="T404" i="37"/>
  <c r="T405" i="37"/>
  <c r="T406" i="37"/>
  <c r="T407" i="37"/>
  <c r="T408" i="37"/>
  <c r="T409" i="37"/>
  <c r="T410" i="37"/>
  <c r="T411" i="37"/>
  <c r="T412" i="37"/>
  <c r="T413" i="37"/>
  <c r="T414" i="37"/>
  <c r="T415" i="37"/>
  <c r="T378" i="37"/>
  <c r="T341" i="37"/>
  <c r="T342" i="37"/>
  <c r="T343" i="37"/>
  <c r="T344" i="37"/>
  <c r="T345" i="37"/>
  <c r="T346" i="37"/>
  <c r="T347" i="37"/>
  <c r="T348" i="37"/>
  <c r="T349" i="37"/>
  <c r="T350" i="37"/>
  <c r="T351" i="37"/>
  <c r="T352" i="37"/>
  <c r="T353" i="37"/>
  <c r="T354" i="37"/>
  <c r="T355" i="37"/>
  <c r="T356" i="37"/>
  <c r="T357" i="37"/>
  <c r="T358" i="37"/>
  <c r="T359" i="37"/>
  <c r="T360" i="37"/>
  <c r="T361" i="37"/>
  <c r="T362" i="37"/>
  <c r="T363" i="37"/>
  <c r="T364" i="37"/>
  <c r="T365" i="37"/>
  <c r="T366" i="37"/>
  <c r="T367" i="37"/>
  <c r="T368" i="37"/>
  <c r="T369" i="37"/>
  <c r="T370" i="37"/>
  <c r="T371" i="37"/>
  <c r="T372" i="37"/>
  <c r="T373" i="37"/>
  <c r="T374" i="37"/>
  <c r="T375" i="37"/>
  <c r="T376" i="37"/>
  <c r="T340" i="37"/>
  <c r="T323" i="37"/>
  <c r="T324" i="37"/>
  <c r="T325" i="37"/>
  <c r="T326" i="37"/>
  <c r="T327" i="37"/>
  <c r="T328" i="37"/>
  <c r="T329" i="37"/>
  <c r="T330" i="37"/>
  <c r="T331" i="37"/>
  <c r="T332" i="37"/>
  <c r="T333" i="37"/>
  <c r="T334" i="37"/>
  <c r="T335" i="37"/>
  <c r="T336" i="37"/>
  <c r="T337" i="37"/>
  <c r="T338" i="37"/>
  <c r="T322" i="37"/>
  <c r="T259" i="37"/>
  <c r="T260" i="37"/>
  <c r="T261" i="37"/>
  <c r="T262" i="37"/>
  <c r="T263" i="37"/>
  <c r="T264" i="37"/>
  <c r="T265" i="37"/>
  <c r="T266" i="37"/>
  <c r="T267" i="37"/>
  <c r="T268" i="37"/>
  <c r="T269" i="37"/>
  <c r="T270" i="37"/>
  <c r="T271" i="37"/>
  <c r="T272" i="37"/>
  <c r="T273" i="37"/>
  <c r="T274" i="37"/>
  <c r="T275" i="37"/>
  <c r="T276" i="37"/>
  <c r="T277" i="37"/>
  <c r="T278" i="37"/>
  <c r="T279" i="37"/>
  <c r="T280" i="37"/>
  <c r="T281" i="37"/>
  <c r="T282" i="37"/>
  <c r="T283" i="37"/>
  <c r="T284" i="37"/>
  <c r="T285" i="37"/>
  <c r="T286" i="37"/>
  <c r="T287" i="37"/>
  <c r="T288" i="37"/>
  <c r="T289" i="37"/>
  <c r="T290" i="37"/>
  <c r="T291" i="37"/>
  <c r="T292" i="37"/>
  <c r="T293" i="37"/>
  <c r="T294" i="37"/>
  <c r="T295" i="37"/>
  <c r="T296" i="37"/>
  <c r="T297" i="37"/>
  <c r="T298" i="37"/>
  <c r="T299" i="37"/>
  <c r="T300" i="37"/>
  <c r="T301" i="37"/>
  <c r="T302" i="37"/>
  <c r="T303" i="37"/>
  <c r="T304" i="37"/>
  <c r="T305" i="37"/>
  <c r="T306" i="37"/>
  <c r="T307" i="37"/>
  <c r="T308" i="37"/>
  <c r="T309" i="37"/>
  <c r="T310" i="37"/>
  <c r="T311" i="37"/>
  <c r="T312" i="37"/>
  <c r="T313" i="37"/>
  <c r="T314" i="37"/>
  <c r="T315" i="37"/>
  <c r="T316" i="37"/>
  <c r="T317" i="37"/>
  <c r="T318" i="37"/>
  <c r="T319" i="37"/>
  <c r="T320" i="37"/>
  <c r="T258" i="37"/>
  <c r="T218" i="37"/>
  <c r="T219" i="37"/>
  <c r="T220" i="37"/>
  <c r="T221" i="37"/>
  <c r="T222" i="37"/>
  <c r="T223" i="37"/>
  <c r="T224" i="37"/>
  <c r="T225" i="37"/>
  <c r="T226" i="37"/>
  <c r="T227" i="37"/>
  <c r="T228" i="37"/>
  <c r="T229" i="37"/>
  <c r="T230" i="37"/>
  <c r="T231" i="37"/>
  <c r="T232" i="37"/>
  <c r="T233" i="37"/>
  <c r="T234" i="37"/>
  <c r="T235" i="37"/>
  <c r="T236" i="37"/>
  <c r="T237" i="37"/>
  <c r="T238" i="37"/>
  <c r="T239" i="37"/>
  <c r="T240" i="37"/>
  <c r="T241" i="37"/>
  <c r="T242" i="37"/>
  <c r="T243" i="37"/>
  <c r="T244" i="37"/>
  <c r="T245" i="37"/>
  <c r="T246" i="37"/>
  <c r="T247" i="37"/>
  <c r="T248" i="37"/>
  <c r="T249" i="37"/>
  <c r="T250" i="37"/>
  <c r="T251" i="37"/>
  <c r="T252" i="37"/>
  <c r="T253" i="37"/>
  <c r="T254" i="37"/>
  <c r="T255" i="37"/>
  <c r="T256" i="37"/>
  <c r="T217" i="37"/>
  <c r="T10" i="37"/>
  <c r="T11" i="37"/>
  <c r="T12" i="37"/>
  <c r="T13" i="37"/>
  <c r="T14" i="37"/>
  <c r="T15" i="37"/>
  <c r="T16" i="37"/>
  <c r="T17" i="37"/>
  <c r="T18" i="37"/>
  <c r="T19" i="37"/>
  <c r="T20" i="37"/>
  <c r="T21" i="37"/>
  <c r="T22" i="37"/>
  <c r="T23" i="37"/>
  <c r="T24" i="37"/>
  <c r="T25" i="37"/>
  <c r="T26" i="37"/>
  <c r="T27" i="37"/>
  <c r="T28" i="37"/>
  <c r="T29" i="37"/>
  <c r="T30" i="37"/>
  <c r="T31" i="37"/>
  <c r="T32" i="37"/>
  <c r="T33" i="37"/>
  <c r="T34" i="37"/>
  <c r="T35" i="37"/>
  <c r="T36" i="37"/>
  <c r="T37" i="37"/>
  <c r="T38" i="37"/>
  <c r="T39" i="37"/>
  <c r="T40" i="37"/>
  <c r="T41" i="37"/>
  <c r="T42" i="37"/>
  <c r="T43" i="37"/>
  <c r="T44" i="37"/>
  <c r="T45" i="37"/>
  <c r="T46" i="37"/>
  <c r="T47" i="37"/>
  <c r="T48" i="37"/>
  <c r="T49" i="37"/>
  <c r="T50" i="37"/>
  <c r="T51" i="37"/>
  <c r="T52" i="37"/>
  <c r="T53" i="37"/>
  <c r="T54" i="37"/>
  <c r="T55" i="37"/>
  <c r="T56" i="37"/>
  <c r="T57" i="37"/>
  <c r="T58" i="37"/>
  <c r="T59" i="37"/>
  <c r="T60" i="37"/>
  <c r="T61" i="37"/>
  <c r="T62" i="37"/>
  <c r="T63" i="37"/>
  <c r="T64" i="37"/>
  <c r="T65" i="37"/>
  <c r="T66" i="37"/>
  <c r="T67" i="37"/>
  <c r="T68" i="37"/>
  <c r="T69" i="37"/>
  <c r="T70" i="37"/>
  <c r="T71" i="37"/>
  <c r="T72" i="37"/>
  <c r="T73" i="37"/>
  <c r="T74" i="37"/>
  <c r="T75" i="37"/>
  <c r="T76" i="37"/>
  <c r="T77" i="37"/>
  <c r="T78" i="37"/>
  <c r="T79" i="37"/>
  <c r="T80" i="37"/>
  <c r="T81" i="37"/>
  <c r="T82" i="37"/>
  <c r="T83" i="37"/>
  <c r="T84" i="37"/>
  <c r="T85" i="37"/>
  <c r="T86" i="37"/>
  <c r="T87" i="37"/>
  <c r="T88" i="37"/>
  <c r="T89" i="37"/>
  <c r="T90" i="37"/>
  <c r="T91" i="37"/>
  <c r="T92" i="37"/>
  <c r="T93" i="37"/>
  <c r="T94" i="37"/>
  <c r="T95" i="37"/>
  <c r="T96" i="37"/>
  <c r="T97" i="37"/>
  <c r="T98" i="37"/>
  <c r="T99" i="37"/>
  <c r="T100" i="37"/>
  <c r="T101" i="37"/>
  <c r="T102" i="37"/>
  <c r="T103" i="37"/>
  <c r="T104" i="37"/>
  <c r="T105" i="37"/>
  <c r="T106" i="37"/>
  <c r="T107" i="37"/>
  <c r="T108" i="37"/>
  <c r="T109" i="37"/>
  <c r="T110" i="37"/>
  <c r="T111" i="37"/>
  <c r="T112" i="37"/>
  <c r="T113" i="37"/>
  <c r="T114" i="37"/>
  <c r="T115" i="37"/>
  <c r="T116" i="37"/>
  <c r="T117" i="37"/>
  <c r="T118" i="37"/>
  <c r="T119" i="37"/>
  <c r="T120" i="37"/>
  <c r="T121" i="37"/>
  <c r="T122" i="37"/>
  <c r="T123" i="37"/>
  <c r="T124" i="37"/>
  <c r="T125" i="37"/>
  <c r="T126" i="37"/>
  <c r="T127" i="37"/>
  <c r="T128" i="37"/>
  <c r="T129" i="37"/>
  <c r="T130" i="37"/>
  <c r="T131" i="37"/>
  <c r="T132" i="37"/>
  <c r="T133" i="37"/>
  <c r="T134" i="37"/>
  <c r="T135" i="37"/>
  <c r="T136" i="37"/>
  <c r="T137" i="37"/>
  <c r="T138" i="37"/>
  <c r="T139" i="37"/>
  <c r="T140" i="37"/>
  <c r="T141" i="37"/>
  <c r="T142" i="37"/>
  <c r="T143" i="37"/>
  <c r="T144" i="37"/>
  <c r="T145" i="37"/>
  <c r="T146" i="37"/>
  <c r="T147" i="37"/>
  <c r="T148" i="37"/>
  <c r="T149" i="37"/>
  <c r="T150" i="37"/>
  <c r="T151" i="37"/>
  <c r="T152" i="37"/>
  <c r="T153" i="37"/>
  <c r="T154" i="37"/>
  <c r="T155" i="37"/>
  <c r="T156" i="37"/>
  <c r="T157" i="37"/>
  <c r="T158" i="37"/>
  <c r="T159" i="37"/>
  <c r="T160" i="37"/>
  <c r="T161" i="37"/>
  <c r="T162" i="37"/>
  <c r="T163" i="37"/>
  <c r="T164" i="37"/>
  <c r="T165" i="37"/>
  <c r="T166" i="37"/>
  <c r="T167" i="37"/>
  <c r="T168" i="37"/>
  <c r="T169" i="37"/>
  <c r="T170" i="37"/>
  <c r="T171" i="37"/>
  <c r="T172" i="37"/>
  <c r="T173" i="37"/>
  <c r="T174" i="37"/>
  <c r="T175" i="37"/>
  <c r="T176" i="37"/>
  <c r="T177" i="37"/>
  <c r="T178" i="37"/>
  <c r="T179" i="37"/>
  <c r="T180" i="37"/>
  <c r="T181" i="37"/>
  <c r="T182" i="37"/>
  <c r="T183" i="37"/>
  <c r="T184" i="37"/>
  <c r="T185" i="37"/>
  <c r="T186" i="37"/>
  <c r="T187" i="37"/>
  <c r="T188" i="37"/>
  <c r="T189" i="37"/>
  <c r="T190" i="37"/>
  <c r="T191" i="37"/>
  <c r="T192" i="37"/>
  <c r="T193" i="37"/>
  <c r="T194" i="37"/>
  <c r="T195" i="37"/>
  <c r="T196" i="37"/>
  <c r="T197" i="37"/>
  <c r="T198" i="37"/>
  <c r="T199" i="37"/>
  <c r="T200" i="37"/>
  <c r="T201" i="37"/>
  <c r="T202" i="37"/>
  <c r="T203" i="37"/>
  <c r="T204" i="37"/>
  <c r="T205" i="37"/>
  <c r="T206" i="37"/>
  <c r="T207" i="37"/>
  <c r="T208" i="37"/>
  <c r="T209" i="37"/>
  <c r="T210" i="37"/>
  <c r="T211" i="37"/>
  <c r="T212" i="37"/>
  <c r="T213" i="37"/>
  <c r="T214" i="37"/>
  <c r="T215" i="37"/>
  <c r="T9" i="37"/>
  <c r="S491" i="37"/>
  <c r="S492" i="37"/>
  <c r="S493" i="37"/>
  <c r="S494" i="37"/>
  <c r="S490" i="37"/>
  <c r="S488" i="37"/>
  <c r="S473" i="37"/>
  <c r="S474" i="37"/>
  <c r="S475" i="37"/>
  <c r="S476" i="37"/>
  <c r="S477" i="37"/>
  <c r="S478" i="37"/>
  <c r="S479" i="37"/>
  <c r="S480" i="37"/>
  <c r="S481" i="37"/>
  <c r="S482" i="37"/>
  <c r="S483" i="37"/>
  <c r="S484" i="37"/>
  <c r="S485" i="37"/>
  <c r="S486" i="37"/>
  <c r="S472" i="37"/>
  <c r="S453" i="37"/>
  <c r="S454" i="37"/>
  <c r="S455" i="37"/>
  <c r="S456" i="37"/>
  <c r="S457" i="37"/>
  <c r="S458" i="37"/>
  <c r="S459" i="37"/>
  <c r="S460" i="37"/>
  <c r="S461" i="37"/>
  <c r="S462" i="37"/>
  <c r="S463" i="37"/>
  <c r="S464" i="37"/>
  <c r="S465" i="37"/>
  <c r="S466" i="37"/>
  <c r="S467" i="37"/>
  <c r="S468" i="37"/>
  <c r="S469" i="37"/>
  <c r="S470" i="37"/>
  <c r="S452" i="37"/>
  <c r="S438" i="37"/>
  <c r="S439" i="37"/>
  <c r="S440" i="37"/>
  <c r="S441" i="37"/>
  <c r="S442" i="37"/>
  <c r="S443" i="37"/>
  <c r="S444" i="37"/>
  <c r="S445" i="37"/>
  <c r="S446" i="37"/>
  <c r="S447" i="37"/>
  <c r="S448" i="37"/>
  <c r="S449" i="37"/>
  <c r="S450" i="37"/>
  <c r="S437" i="37"/>
  <c r="S418" i="37"/>
  <c r="S419" i="37"/>
  <c r="S420" i="37"/>
  <c r="S421" i="37"/>
  <c r="S422" i="37"/>
  <c r="S423" i="37"/>
  <c r="S424" i="37"/>
  <c r="S425" i="37"/>
  <c r="S426" i="37"/>
  <c r="S427" i="37"/>
  <c r="S428" i="37"/>
  <c r="S429" i="37"/>
  <c r="S430" i="37"/>
  <c r="S431" i="37"/>
  <c r="S432" i="37"/>
  <c r="S433" i="37"/>
  <c r="S434" i="37"/>
  <c r="S435" i="37"/>
  <c r="S417" i="37"/>
  <c r="S379" i="37"/>
  <c r="S380" i="37"/>
  <c r="S381" i="37"/>
  <c r="S382" i="37"/>
  <c r="S383" i="37"/>
  <c r="S384" i="37"/>
  <c r="S385" i="37"/>
  <c r="S386" i="37"/>
  <c r="S387" i="37"/>
  <c r="S388" i="37"/>
  <c r="S389" i="37"/>
  <c r="S390" i="37"/>
  <c r="S391" i="37"/>
  <c r="S392" i="37"/>
  <c r="S393" i="37"/>
  <c r="S394" i="37"/>
  <c r="S395" i="37"/>
  <c r="S396" i="37"/>
  <c r="S397" i="37"/>
  <c r="S398" i="37"/>
  <c r="S399" i="37"/>
  <c r="S400" i="37"/>
  <c r="S401" i="37"/>
  <c r="S402" i="37"/>
  <c r="S403" i="37"/>
  <c r="S404" i="37"/>
  <c r="S405" i="37"/>
  <c r="S406" i="37"/>
  <c r="S407" i="37"/>
  <c r="S408" i="37"/>
  <c r="S409" i="37"/>
  <c r="S410" i="37"/>
  <c r="S411" i="37"/>
  <c r="S412" i="37"/>
  <c r="S413" i="37"/>
  <c r="S414" i="37"/>
  <c r="S415" i="37"/>
  <c r="S378" i="37"/>
  <c r="S341" i="37"/>
  <c r="S342" i="37"/>
  <c r="S343" i="37"/>
  <c r="S344" i="37"/>
  <c r="S345" i="37"/>
  <c r="S346" i="37"/>
  <c r="S347" i="37"/>
  <c r="S348" i="37"/>
  <c r="S349" i="37"/>
  <c r="S350" i="37"/>
  <c r="S351" i="37"/>
  <c r="S352" i="37"/>
  <c r="S353" i="37"/>
  <c r="S354" i="37"/>
  <c r="S355" i="37"/>
  <c r="S356" i="37"/>
  <c r="S357" i="37"/>
  <c r="S358" i="37"/>
  <c r="S359" i="37"/>
  <c r="S360" i="37"/>
  <c r="S361" i="37"/>
  <c r="S362" i="37"/>
  <c r="S363" i="37"/>
  <c r="S364" i="37"/>
  <c r="S365" i="37"/>
  <c r="S366" i="37"/>
  <c r="S367" i="37"/>
  <c r="S368" i="37"/>
  <c r="S369" i="37"/>
  <c r="S370" i="37"/>
  <c r="S371" i="37"/>
  <c r="S372" i="37"/>
  <c r="S373" i="37"/>
  <c r="S374" i="37"/>
  <c r="S375" i="37"/>
  <c r="S376" i="37"/>
  <c r="S340" i="37"/>
  <c r="S323" i="37"/>
  <c r="S324" i="37"/>
  <c r="S325" i="37"/>
  <c r="S326" i="37"/>
  <c r="S327" i="37"/>
  <c r="S328" i="37"/>
  <c r="S329" i="37"/>
  <c r="S330" i="37"/>
  <c r="S331" i="37"/>
  <c r="S332" i="37"/>
  <c r="S333" i="37"/>
  <c r="S334" i="37"/>
  <c r="S335" i="37"/>
  <c r="S336" i="37"/>
  <c r="S337" i="37"/>
  <c r="S338" i="37"/>
  <c r="S322" i="37"/>
  <c r="S259" i="37"/>
  <c r="S260" i="37"/>
  <c r="S261" i="37"/>
  <c r="S262" i="37"/>
  <c r="S263" i="37"/>
  <c r="S264" i="37"/>
  <c r="S265" i="37"/>
  <c r="S266" i="37"/>
  <c r="S267" i="37"/>
  <c r="S268" i="37"/>
  <c r="S269" i="37"/>
  <c r="S270" i="37"/>
  <c r="S271" i="37"/>
  <c r="S272" i="37"/>
  <c r="S273" i="37"/>
  <c r="S274" i="37"/>
  <c r="S275" i="37"/>
  <c r="S276" i="37"/>
  <c r="S277" i="37"/>
  <c r="S278" i="37"/>
  <c r="S279" i="37"/>
  <c r="S280" i="37"/>
  <c r="S281" i="37"/>
  <c r="S282" i="37"/>
  <c r="S283" i="37"/>
  <c r="S284" i="37"/>
  <c r="S285" i="37"/>
  <c r="S286" i="37"/>
  <c r="S287" i="37"/>
  <c r="S288" i="37"/>
  <c r="S289" i="37"/>
  <c r="S290" i="37"/>
  <c r="S291" i="37"/>
  <c r="S292" i="37"/>
  <c r="S293" i="37"/>
  <c r="S294" i="37"/>
  <c r="S295" i="37"/>
  <c r="S296" i="37"/>
  <c r="S297" i="37"/>
  <c r="S298" i="37"/>
  <c r="S299" i="37"/>
  <c r="S300" i="37"/>
  <c r="S301" i="37"/>
  <c r="S302" i="37"/>
  <c r="S303" i="37"/>
  <c r="S304" i="37"/>
  <c r="S305" i="37"/>
  <c r="S306" i="37"/>
  <c r="S307" i="37"/>
  <c r="S308" i="37"/>
  <c r="S309" i="37"/>
  <c r="S310" i="37"/>
  <c r="S311" i="37"/>
  <c r="S312" i="37"/>
  <c r="S313" i="37"/>
  <c r="S314" i="37"/>
  <c r="S315" i="37"/>
  <c r="S316" i="37"/>
  <c r="S317" i="37"/>
  <c r="S318" i="37"/>
  <c r="S319" i="37"/>
  <c r="S320" i="37"/>
  <c r="S258" i="37"/>
  <c r="S218" i="37"/>
  <c r="S219" i="37"/>
  <c r="S220" i="37"/>
  <c r="S221" i="37"/>
  <c r="S222" i="37"/>
  <c r="S223" i="37"/>
  <c r="S224" i="37"/>
  <c r="S225" i="37"/>
  <c r="S226" i="37"/>
  <c r="S227" i="37"/>
  <c r="S228" i="37"/>
  <c r="S229" i="37"/>
  <c r="S230" i="37"/>
  <c r="S231" i="37"/>
  <c r="S232" i="37"/>
  <c r="S233" i="37"/>
  <c r="S234" i="37"/>
  <c r="S235" i="37"/>
  <c r="S236" i="37"/>
  <c r="S237" i="37"/>
  <c r="S238" i="37"/>
  <c r="S239" i="37"/>
  <c r="S240" i="37"/>
  <c r="S241" i="37"/>
  <c r="S242" i="37"/>
  <c r="S243" i="37"/>
  <c r="S244" i="37"/>
  <c r="S245" i="37"/>
  <c r="S246" i="37"/>
  <c r="S247" i="37"/>
  <c r="S248" i="37"/>
  <c r="S249" i="37"/>
  <c r="S250" i="37"/>
  <c r="S251" i="37"/>
  <c r="S252" i="37"/>
  <c r="S253" i="37"/>
  <c r="S254" i="37"/>
  <c r="S255" i="37"/>
  <c r="S256" i="37"/>
  <c r="S217" i="37"/>
  <c r="S10" i="37"/>
  <c r="S11" i="37"/>
  <c r="S12" i="37"/>
  <c r="S13" i="37"/>
  <c r="S14" i="37"/>
  <c r="S15" i="37"/>
  <c r="S16" i="37"/>
  <c r="S17" i="37"/>
  <c r="S18" i="37"/>
  <c r="S19" i="37"/>
  <c r="S20" i="37"/>
  <c r="S21" i="37"/>
  <c r="S22" i="37"/>
  <c r="S23" i="37"/>
  <c r="S24" i="37"/>
  <c r="S25" i="37"/>
  <c r="S26" i="37"/>
  <c r="S27" i="37"/>
  <c r="S28" i="37"/>
  <c r="S29" i="37"/>
  <c r="S30" i="37"/>
  <c r="S31" i="37"/>
  <c r="S32" i="37"/>
  <c r="S33" i="37"/>
  <c r="S34" i="37"/>
  <c r="S35" i="37"/>
  <c r="S36" i="37"/>
  <c r="S37" i="37"/>
  <c r="S38" i="37"/>
  <c r="S39" i="37"/>
  <c r="S40" i="37"/>
  <c r="S41" i="37"/>
  <c r="S42" i="37"/>
  <c r="S43" i="37"/>
  <c r="S44" i="37"/>
  <c r="S45" i="37"/>
  <c r="S46" i="37"/>
  <c r="S47" i="37"/>
  <c r="S48" i="37"/>
  <c r="S49" i="37"/>
  <c r="S50" i="37"/>
  <c r="S51" i="37"/>
  <c r="S52" i="37"/>
  <c r="S53" i="37"/>
  <c r="S54" i="37"/>
  <c r="S55" i="37"/>
  <c r="S56" i="37"/>
  <c r="S57" i="37"/>
  <c r="S58" i="37"/>
  <c r="S59" i="37"/>
  <c r="S60" i="37"/>
  <c r="S61" i="37"/>
  <c r="S62" i="37"/>
  <c r="S63" i="37"/>
  <c r="S64" i="37"/>
  <c r="S65" i="37"/>
  <c r="S66" i="37"/>
  <c r="S67" i="37"/>
  <c r="S68" i="37"/>
  <c r="S69" i="37"/>
  <c r="S70" i="37"/>
  <c r="S71" i="37"/>
  <c r="S72" i="37"/>
  <c r="S73" i="37"/>
  <c r="S74" i="37"/>
  <c r="S75" i="37"/>
  <c r="S76" i="37"/>
  <c r="S77" i="37"/>
  <c r="S78" i="37"/>
  <c r="S79" i="37"/>
  <c r="S80" i="37"/>
  <c r="S81" i="37"/>
  <c r="S82" i="37"/>
  <c r="S83" i="37"/>
  <c r="S84" i="37"/>
  <c r="S85" i="37"/>
  <c r="S86" i="37"/>
  <c r="S87" i="37"/>
  <c r="S88" i="37"/>
  <c r="S89" i="37"/>
  <c r="S90" i="37"/>
  <c r="S91" i="37"/>
  <c r="S92" i="37"/>
  <c r="S93" i="37"/>
  <c r="S94" i="37"/>
  <c r="S95" i="37"/>
  <c r="S96" i="37"/>
  <c r="S97" i="37"/>
  <c r="S98" i="37"/>
  <c r="S99" i="37"/>
  <c r="S100" i="37"/>
  <c r="S101" i="37"/>
  <c r="S102" i="37"/>
  <c r="S103" i="37"/>
  <c r="S104" i="37"/>
  <c r="S105" i="37"/>
  <c r="S106" i="37"/>
  <c r="S107" i="37"/>
  <c r="S108" i="37"/>
  <c r="S109" i="37"/>
  <c r="S110" i="37"/>
  <c r="S111" i="37"/>
  <c r="S112" i="37"/>
  <c r="S113" i="37"/>
  <c r="S114" i="37"/>
  <c r="S115" i="37"/>
  <c r="S116" i="37"/>
  <c r="S117" i="37"/>
  <c r="S118" i="37"/>
  <c r="S119" i="37"/>
  <c r="S120" i="37"/>
  <c r="S121" i="37"/>
  <c r="S122" i="37"/>
  <c r="S123" i="37"/>
  <c r="S124" i="37"/>
  <c r="S125" i="37"/>
  <c r="S126" i="37"/>
  <c r="S127" i="37"/>
  <c r="S128" i="37"/>
  <c r="S129" i="37"/>
  <c r="S130" i="37"/>
  <c r="S131" i="37"/>
  <c r="S132" i="37"/>
  <c r="S133" i="37"/>
  <c r="S134" i="37"/>
  <c r="S135" i="37"/>
  <c r="S136" i="37"/>
  <c r="S137" i="37"/>
  <c r="S138" i="37"/>
  <c r="S139" i="37"/>
  <c r="S140" i="37"/>
  <c r="S141" i="37"/>
  <c r="S142" i="37"/>
  <c r="S143" i="37"/>
  <c r="S144" i="37"/>
  <c r="S145" i="37"/>
  <c r="S146" i="37"/>
  <c r="S147" i="37"/>
  <c r="S148" i="37"/>
  <c r="S149" i="37"/>
  <c r="S150" i="37"/>
  <c r="S151" i="37"/>
  <c r="S152" i="37"/>
  <c r="S153" i="37"/>
  <c r="S154" i="37"/>
  <c r="S155" i="37"/>
  <c r="S156" i="37"/>
  <c r="S157" i="37"/>
  <c r="S158" i="37"/>
  <c r="S159" i="37"/>
  <c r="S160" i="37"/>
  <c r="S161" i="37"/>
  <c r="S162" i="37"/>
  <c r="S163" i="37"/>
  <c r="S164" i="37"/>
  <c r="S165" i="37"/>
  <c r="S166" i="37"/>
  <c r="S167" i="37"/>
  <c r="S168" i="37"/>
  <c r="S169" i="37"/>
  <c r="S170" i="37"/>
  <c r="S171" i="37"/>
  <c r="S172" i="37"/>
  <c r="S173" i="37"/>
  <c r="S174" i="37"/>
  <c r="S175" i="37"/>
  <c r="S176" i="37"/>
  <c r="S177" i="37"/>
  <c r="S178" i="37"/>
  <c r="S179" i="37"/>
  <c r="S180" i="37"/>
  <c r="S181" i="37"/>
  <c r="S182" i="37"/>
  <c r="S183" i="37"/>
  <c r="S184" i="37"/>
  <c r="S185" i="37"/>
  <c r="S186" i="37"/>
  <c r="S187" i="37"/>
  <c r="S188" i="37"/>
  <c r="S189" i="37"/>
  <c r="S190" i="37"/>
  <c r="S191" i="37"/>
  <c r="S192" i="37"/>
  <c r="S193" i="37"/>
  <c r="S194" i="37"/>
  <c r="S195" i="37"/>
  <c r="S196" i="37"/>
  <c r="S197" i="37"/>
  <c r="S198" i="37"/>
  <c r="S199" i="37"/>
  <c r="S200" i="37"/>
  <c r="S201" i="37"/>
  <c r="S202" i="37"/>
  <c r="S203" i="37"/>
  <c r="S204" i="37"/>
  <c r="S205" i="37"/>
  <c r="S206" i="37"/>
  <c r="S207" i="37"/>
  <c r="S208" i="37"/>
  <c r="S209" i="37"/>
  <c r="S210" i="37"/>
  <c r="S211" i="37"/>
  <c r="S212" i="37"/>
  <c r="S213" i="37"/>
  <c r="S214" i="37"/>
  <c r="S215" i="37"/>
  <c r="S9" i="37"/>
  <c r="R491" i="37"/>
  <c r="R492" i="37"/>
  <c r="R493" i="37"/>
  <c r="R494" i="37"/>
  <c r="R490" i="37"/>
  <c r="R488" i="37"/>
  <c r="R473" i="37"/>
  <c r="R474" i="37"/>
  <c r="R475" i="37"/>
  <c r="R476" i="37"/>
  <c r="R477" i="37"/>
  <c r="R478" i="37"/>
  <c r="R479" i="37"/>
  <c r="R480" i="37"/>
  <c r="R481" i="37"/>
  <c r="R482" i="37"/>
  <c r="R483" i="37"/>
  <c r="R484" i="37"/>
  <c r="R485" i="37"/>
  <c r="R486" i="37"/>
  <c r="R472" i="37"/>
  <c r="R453" i="37"/>
  <c r="R454" i="37"/>
  <c r="R455" i="37"/>
  <c r="R456" i="37"/>
  <c r="R457" i="37"/>
  <c r="R458" i="37"/>
  <c r="R459" i="37"/>
  <c r="R460" i="37"/>
  <c r="R461" i="37"/>
  <c r="R462" i="37"/>
  <c r="R463" i="37"/>
  <c r="R464" i="37"/>
  <c r="R465" i="37"/>
  <c r="R466" i="37"/>
  <c r="R467" i="37"/>
  <c r="R468" i="37"/>
  <c r="R469" i="37"/>
  <c r="R470" i="37"/>
  <c r="R452" i="37"/>
  <c r="R438" i="37"/>
  <c r="R439" i="37"/>
  <c r="R440" i="37"/>
  <c r="R441" i="37"/>
  <c r="R442" i="37"/>
  <c r="R443" i="37"/>
  <c r="R444" i="37"/>
  <c r="R445" i="37"/>
  <c r="R446" i="37"/>
  <c r="R447" i="37"/>
  <c r="R448" i="37"/>
  <c r="R449" i="37"/>
  <c r="R450" i="37"/>
  <c r="R437" i="37"/>
  <c r="R418" i="37"/>
  <c r="R419" i="37"/>
  <c r="R420" i="37"/>
  <c r="R421" i="37"/>
  <c r="R422" i="37"/>
  <c r="R423" i="37"/>
  <c r="R424" i="37"/>
  <c r="R425" i="37"/>
  <c r="R426" i="37"/>
  <c r="R427" i="37"/>
  <c r="R428" i="37"/>
  <c r="R429" i="37"/>
  <c r="R430" i="37"/>
  <c r="R431" i="37"/>
  <c r="R432" i="37"/>
  <c r="R433" i="37"/>
  <c r="R434" i="37"/>
  <c r="R435" i="37"/>
  <c r="R417" i="37"/>
  <c r="R379" i="37"/>
  <c r="R380" i="37"/>
  <c r="R381" i="37"/>
  <c r="R382" i="37"/>
  <c r="R383" i="37"/>
  <c r="R384" i="37"/>
  <c r="R385" i="37"/>
  <c r="R386" i="37"/>
  <c r="R387" i="37"/>
  <c r="R388" i="37"/>
  <c r="R389" i="37"/>
  <c r="R390" i="37"/>
  <c r="R391" i="37"/>
  <c r="R392" i="37"/>
  <c r="R393" i="37"/>
  <c r="R394" i="37"/>
  <c r="R395" i="37"/>
  <c r="R396" i="37"/>
  <c r="R397" i="37"/>
  <c r="R398" i="37"/>
  <c r="R399" i="37"/>
  <c r="R400" i="37"/>
  <c r="R401" i="37"/>
  <c r="R402" i="37"/>
  <c r="R403" i="37"/>
  <c r="R404" i="37"/>
  <c r="R405" i="37"/>
  <c r="R406" i="37"/>
  <c r="R407" i="37"/>
  <c r="R408" i="37"/>
  <c r="R409" i="37"/>
  <c r="R410" i="37"/>
  <c r="R411" i="37"/>
  <c r="R412" i="37"/>
  <c r="R413" i="37"/>
  <c r="R414" i="37"/>
  <c r="R415" i="37"/>
  <c r="R378" i="37"/>
  <c r="R341" i="37"/>
  <c r="R342" i="37"/>
  <c r="R343" i="37"/>
  <c r="R344" i="37"/>
  <c r="R345" i="37"/>
  <c r="R346" i="37"/>
  <c r="R347" i="37"/>
  <c r="R348" i="37"/>
  <c r="R349" i="37"/>
  <c r="R350" i="37"/>
  <c r="R351" i="37"/>
  <c r="R352" i="37"/>
  <c r="R353" i="37"/>
  <c r="R354" i="37"/>
  <c r="R355" i="37"/>
  <c r="R356" i="37"/>
  <c r="R357" i="37"/>
  <c r="R358" i="37"/>
  <c r="R359" i="37"/>
  <c r="R360" i="37"/>
  <c r="R361" i="37"/>
  <c r="R362" i="37"/>
  <c r="R363" i="37"/>
  <c r="R364" i="37"/>
  <c r="R365" i="37"/>
  <c r="R366" i="37"/>
  <c r="R367" i="37"/>
  <c r="R368" i="37"/>
  <c r="R369" i="37"/>
  <c r="R370" i="37"/>
  <c r="R371" i="37"/>
  <c r="R372" i="37"/>
  <c r="R373" i="37"/>
  <c r="R374" i="37"/>
  <c r="R375" i="37"/>
  <c r="R376" i="37"/>
  <c r="R340" i="37"/>
  <c r="R323" i="37"/>
  <c r="R324" i="37"/>
  <c r="R325" i="37"/>
  <c r="R326" i="37"/>
  <c r="R327" i="37"/>
  <c r="R328" i="37"/>
  <c r="R329" i="37"/>
  <c r="R330" i="37"/>
  <c r="R331" i="37"/>
  <c r="R332" i="37"/>
  <c r="R333" i="37"/>
  <c r="R334" i="37"/>
  <c r="R335" i="37"/>
  <c r="R336" i="37"/>
  <c r="R337" i="37"/>
  <c r="R338" i="37"/>
  <c r="R322" i="37"/>
  <c r="R259" i="37"/>
  <c r="R260" i="37"/>
  <c r="R261" i="37"/>
  <c r="R262" i="37"/>
  <c r="R263" i="37"/>
  <c r="R264" i="37"/>
  <c r="R265" i="37"/>
  <c r="R266" i="37"/>
  <c r="R267" i="37"/>
  <c r="R268" i="37"/>
  <c r="R269" i="37"/>
  <c r="R270" i="37"/>
  <c r="R271" i="37"/>
  <c r="R272" i="37"/>
  <c r="R273" i="37"/>
  <c r="R274" i="37"/>
  <c r="R275" i="37"/>
  <c r="R276" i="37"/>
  <c r="R277" i="37"/>
  <c r="R278" i="37"/>
  <c r="R279" i="37"/>
  <c r="R280" i="37"/>
  <c r="R281" i="37"/>
  <c r="R282" i="37"/>
  <c r="R283" i="37"/>
  <c r="R284" i="37"/>
  <c r="R285" i="37"/>
  <c r="R286" i="37"/>
  <c r="R287" i="37"/>
  <c r="R288" i="37"/>
  <c r="R289" i="37"/>
  <c r="R290" i="37"/>
  <c r="R291" i="37"/>
  <c r="R292" i="37"/>
  <c r="R293" i="37"/>
  <c r="R294" i="37"/>
  <c r="R295" i="37"/>
  <c r="R296" i="37"/>
  <c r="R297" i="37"/>
  <c r="R298" i="37"/>
  <c r="R299" i="37"/>
  <c r="R300" i="37"/>
  <c r="R301" i="37"/>
  <c r="R302" i="37"/>
  <c r="R303" i="37"/>
  <c r="R304" i="37"/>
  <c r="R305" i="37"/>
  <c r="R306" i="37"/>
  <c r="R307" i="37"/>
  <c r="R308" i="37"/>
  <c r="R309" i="37"/>
  <c r="R310" i="37"/>
  <c r="R311" i="37"/>
  <c r="R312" i="37"/>
  <c r="R313" i="37"/>
  <c r="R314" i="37"/>
  <c r="R315" i="37"/>
  <c r="R316" i="37"/>
  <c r="R317" i="37"/>
  <c r="R318" i="37"/>
  <c r="R319" i="37"/>
  <c r="R320" i="37"/>
  <c r="R258" i="37"/>
  <c r="R218" i="37"/>
  <c r="R219" i="37"/>
  <c r="R220" i="37"/>
  <c r="R221" i="37"/>
  <c r="R222" i="37"/>
  <c r="R223" i="37"/>
  <c r="R224" i="37"/>
  <c r="R225" i="37"/>
  <c r="R226" i="37"/>
  <c r="R227" i="37"/>
  <c r="R228" i="37"/>
  <c r="R229" i="37"/>
  <c r="R230" i="37"/>
  <c r="R231" i="37"/>
  <c r="R232" i="37"/>
  <c r="R233" i="37"/>
  <c r="R234" i="37"/>
  <c r="R235" i="37"/>
  <c r="R236" i="37"/>
  <c r="R237" i="37"/>
  <c r="R238" i="37"/>
  <c r="R239" i="37"/>
  <c r="R240" i="37"/>
  <c r="R241" i="37"/>
  <c r="R242" i="37"/>
  <c r="R243" i="37"/>
  <c r="R244" i="37"/>
  <c r="R245" i="37"/>
  <c r="R246" i="37"/>
  <c r="R247" i="37"/>
  <c r="R248" i="37"/>
  <c r="R249" i="37"/>
  <c r="R250" i="37"/>
  <c r="R251" i="37"/>
  <c r="R252" i="37"/>
  <c r="R253" i="37"/>
  <c r="R254" i="37"/>
  <c r="R255" i="37"/>
  <c r="R256" i="37"/>
  <c r="R217" i="37"/>
  <c r="R10" i="37"/>
  <c r="R11" i="37"/>
  <c r="R12" i="37"/>
  <c r="R13" i="37"/>
  <c r="R14" i="37"/>
  <c r="R15" i="37"/>
  <c r="R16" i="37"/>
  <c r="R17" i="37"/>
  <c r="R18" i="37"/>
  <c r="R19" i="37"/>
  <c r="R20" i="37"/>
  <c r="R21" i="37"/>
  <c r="R22" i="37"/>
  <c r="R23" i="37"/>
  <c r="R24" i="37"/>
  <c r="R25" i="37"/>
  <c r="R26" i="37"/>
  <c r="R27" i="37"/>
  <c r="R28" i="37"/>
  <c r="R29" i="37"/>
  <c r="R30" i="37"/>
  <c r="R31" i="37"/>
  <c r="R32" i="37"/>
  <c r="R33" i="37"/>
  <c r="R34" i="37"/>
  <c r="R35" i="37"/>
  <c r="R36" i="37"/>
  <c r="R37" i="37"/>
  <c r="R38" i="37"/>
  <c r="R39" i="37"/>
  <c r="R40" i="37"/>
  <c r="R41" i="37"/>
  <c r="R42" i="37"/>
  <c r="R43" i="37"/>
  <c r="R44" i="37"/>
  <c r="R45" i="37"/>
  <c r="R46" i="37"/>
  <c r="R47" i="37"/>
  <c r="R48" i="37"/>
  <c r="R49" i="37"/>
  <c r="R50" i="37"/>
  <c r="R51" i="37"/>
  <c r="R52" i="37"/>
  <c r="R53" i="37"/>
  <c r="R54" i="37"/>
  <c r="R55" i="37"/>
  <c r="R56" i="37"/>
  <c r="R57" i="37"/>
  <c r="R58" i="37"/>
  <c r="R59" i="37"/>
  <c r="R60" i="37"/>
  <c r="R61" i="37"/>
  <c r="R62" i="37"/>
  <c r="R63" i="37"/>
  <c r="R64" i="37"/>
  <c r="R65" i="37"/>
  <c r="R66" i="37"/>
  <c r="R67" i="37"/>
  <c r="R68" i="37"/>
  <c r="R69" i="37"/>
  <c r="R70" i="37"/>
  <c r="R71" i="37"/>
  <c r="R72" i="37"/>
  <c r="R73" i="37"/>
  <c r="R74" i="37"/>
  <c r="R75" i="37"/>
  <c r="R76" i="37"/>
  <c r="R77" i="37"/>
  <c r="R78" i="37"/>
  <c r="R79" i="37"/>
  <c r="R80" i="37"/>
  <c r="R81" i="37"/>
  <c r="R82" i="37"/>
  <c r="R83" i="37"/>
  <c r="R84" i="37"/>
  <c r="R85" i="37"/>
  <c r="R86" i="37"/>
  <c r="R87" i="37"/>
  <c r="R88" i="37"/>
  <c r="R89" i="37"/>
  <c r="R90" i="37"/>
  <c r="R91" i="37"/>
  <c r="R92" i="37"/>
  <c r="R93" i="37"/>
  <c r="R94" i="37"/>
  <c r="R95" i="37"/>
  <c r="R96" i="37"/>
  <c r="R97" i="37"/>
  <c r="R98" i="37"/>
  <c r="R99" i="37"/>
  <c r="R100" i="37"/>
  <c r="R101" i="37"/>
  <c r="R102" i="37"/>
  <c r="R103" i="37"/>
  <c r="R104" i="37"/>
  <c r="R105" i="37"/>
  <c r="R106" i="37"/>
  <c r="R107" i="37"/>
  <c r="R108" i="37"/>
  <c r="R109" i="37"/>
  <c r="R110" i="37"/>
  <c r="R111" i="37"/>
  <c r="R112" i="37"/>
  <c r="R113" i="37"/>
  <c r="R114" i="37"/>
  <c r="R115" i="37"/>
  <c r="R116" i="37"/>
  <c r="R117" i="37"/>
  <c r="R118" i="37"/>
  <c r="R119" i="37"/>
  <c r="R120" i="37"/>
  <c r="R121" i="37"/>
  <c r="R122" i="37"/>
  <c r="R123" i="37"/>
  <c r="R124" i="37"/>
  <c r="R125" i="37"/>
  <c r="R126" i="37"/>
  <c r="R127" i="37"/>
  <c r="R128" i="37"/>
  <c r="R129" i="37"/>
  <c r="R130" i="37"/>
  <c r="R131" i="37"/>
  <c r="R132" i="37"/>
  <c r="R133" i="37"/>
  <c r="R134" i="37"/>
  <c r="R135" i="37"/>
  <c r="R136" i="37"/>
  <c r="R137" i="37"/>
  <c r="R138" i="37"/>
  <c r="R139" i="37"/>
  <c r="R140" i="37"/>
  <c r="R141" i="37"/>
  <c r="R142" i="37"/>
  <c r="R143" i="37"/>
  <c r="R144" i="37"/>
  <c r="R145" i="37"/>
  <c r="R146" i="37"/>
  <c r="R147" i="37"/>
  <c r="R148" i="37"/>
  <c r="R149" i="37"/>
  <c r="R150" i="37"/>
  <c r="R151" i="37"/>
  <c r="R152" i="37"/>
  <c r="R153" i="37"/>
  <c r="R154" i="37"/>
  <c r="R155" i="37"/>
  <c r="R156" i="37"/>
  <c r="R157" i="37"/>
  <c r="R158" i="37"/>
  <c r="R159" i="37"/>
  <c r="R160" i="37"/>
  <c r="R161" i="37"/>
  <c r="R162" i="37"/>
  <c r="R163" i="37"/>
  <c r="R164" i="37"/>
  <c r="R165" i="37"/>
  <c r="R166" i="37"/>
  <c r="R167" i="37"/>
  <c r="R168" i="37"/>
  <c r="R169" i="37"/>
  <c r="R170" i="37"/>
  <c r="R171" i="37"/>
  <c r="R172" i="37"/>
  <c r="R173" i="37"/>
  <c r="R174" i="37"/>
  <c r="R175" i="37"/>
  <c r="R176" i="37"/>
  <c r="R177" i="37"/>
  <c r="R178" i="37"/>
  <c r="R179" i="37"/>
  <c r="R180" i="37"/>
  <c r="R181" i="37"/>
  <c r="R182" i="37"/>
  <c r="R183" i="37"/>
  <c r="R184" i="37"/>
  <c r="R185" i="37"/>
  <c r="R186" i="37"/>
  <c r="R187" i="37"/>
  <c r="R188" i="37"/>
  <c r="R189" i="37"/>
  <c r="R190" i="37"/>
  <c r="R191" i="37"/>
  <c r="R192" i="37"/>
  <c r="R193" i="37"/>
  <c r="R194" i="37"/>
  <c r="R195" i="37"/>
  <c r="R196" i="37"/>
  <c r="R197" i="37"/>
  <c r="R198" i="37"/>
  <c r="R199" i="37"/>
  <c r="R200" i="37"/>
  <c r="R201" i="37"/>
  <c r="R202" i="37"/>
  <c r="R203" i="37"/>
  <c r="R204" i="37"/>
  <c r="R205" i="37"/>
  <c r="R206" i="37"/>
  <c r="R207" i="37"/>
  <c r="R208" i="37"/>
  <c r="R209" i="37"/>
  <c r="R210" i="37"/>
  <c r="R211" i="37"/>
  <c r="R212" i="37"/>
  <c r="R213" i="37"/>
  <c r="R214" i="37"/>
  <c r="R215" i="37"/>
  <c r="R9" i="37"/>
  <c r="Q491" i="37"/>
  <c r="Q492" i="37"/>
  <c r="Q493" i="37"/>
  <c r="Q494" i="37"/>
  <c r="Q490" i="37"/>
  <c r="Q488" i="37"/>
  <c r="Q473" i="37"/>
  <c r="Q474" i="37"/>
  <c r="Q475" i="37"/>
  <c r="Q476" i="37"/>
  <c r="Q477" i="37"/>
  <c r="Q478" i="37"/>
  <c r="Q479" i="37"/>
  <c r="Q480" i="37"/>
  <c r="Q481" i="37"/>
  <c r="Q482" i="37"/>
  <c r="Q483" i="37"/>
  <c r="Q484" i="37"/>
  <c r="Q485" i="37"/>
  <c r="Q486" i="37"/>
  <c r="Q472" i="37"/>
  <c r="Q453" i="37"/>
  <c r="Q454" i="37"/>
  <c r="Q455" i="37"/>
  <c r="Q456" i="37"/>
  <c r="Q457" i="37"/>
  <c r="Q458" i="37"/>
  <c r="Q459" i="37"/>
  <c r="Q460" i="37"/>
  <c r="Q461" i="37"/>
  <c r="Q462" i="37"/>
  <c r="Q463" i="37"/>
  <c r="Q464" i="37"/>
  <c r="Q465" i="37"/>
  <c r="Q466" i="37"/>
  <c r="Q467" i="37"/>
  <c r="Q468" i="37"/>
  <c r="Q469" i="37"/>
  <c r="Q470" i="37"/>
  <c r="Q452" i="37"/>
  <c r="Q438" i="37"/>
  <c r="Q439" i="37"/>
  <c r="Q440" i="37"/>
  <c r="Q441" i="37"/>
  <c r="Q442" i="37"/>
  <c r="Q443" i="37"/>
  <c r="Q444" i="37"/>
  <c r="Q445" i="37"/>
  <c r="Q446" i="37"/>
  <c r="Q447" i="37"/>
  <c r="Q448" i="37"/>
  <c r="Q449" i="37"/>
  <c r="Q450" i="37"/>
  <c r="Q437" i="37"/>
  <c r="Q418" i="37"/>
  <c r="Q419" i="37"/>
  <c r="Q420" i="37"/>
  <c r="Q421" i="37"/>
  <c r="Q422" i="37"/>
  <c r="Q423" i="37"/>
  <c r="Q424" i="37"/>
  <c r="Q425" i="37"/>
  <c r="Q426" i="37"/>
  <c r="Q427" i="37"/>
  <c r="Q428" i="37"/>
  <c r="Q429" i="37"/>
  <c r="Q430" i="37"/>
  <c r="Q431" i="37"/>
  <c r="Q432" i="37"/>
  <c r="Q433" i="37"/>
  <c r="Q434" i="37"/>
  <c r="Q435" i="37"/>
  <c r="Q417" i="37"/>
  <c r="Q379" i="37"/>
  <c r="Q380" i="37"/>
  <c r="Q381" i="37"/>
  <c r="Q382" i="37"/>
  <c r="Q383" i="37"/>
  <c r="Q384" i="37"/>
  <c r="Q385" i="37"/>
  <c r="Q386" i="37"/>
  <c r="Q387" i="37"/>
  <c r="Q388" i="37"/>
  <c r="Q389" i="37"/>
  <c r="Q390" i="37"/>
  <c r="Q391" i="37"/>
  <c r="Q392" i="37"/>
  <c r="Q393" i="37"/>
  <c r="Q394" i="37"/>
  <c r="Q395" i="37"/>
  <c r="Q396" i="37"/>
  <c r="Q397" i="37"/>
  <c r="Q398" i="37"/>
  <c r="Q399" i="37"/>
  <c r="Q400" i="37"/>
  <c r="Q401" i="37"/>
  <c r="Q402" i="37"/>
  <c r="Q403" i="37"/>
  <c r="Q404" i="37"/>
  <c r="Q405" i="37"/>
  <c r="Q406" i="37"/>
  <c r="Q407" i="37"/>
  <c r="Q408" i="37"/>
  <c r="Q409" i="37"/>
  <c r="Q410" i="37"/>
  <c r="Q411" i="37"/>
  <c r="Q412" i="37"/>
  <c r="Q413" i="37"/>
  <c r="Q414" i="37"/>
  <c r="Q415" i="37"/>
  <c r="Q378" i="37"/>
  <c r="Q341" i="37"/>
  <c r="Q342" i="37"/>
  <c r="Q343" i="37"/>
  <c r="Q344" i="37"/>
  <c r="Q345" i="37"/>
  <c r="Q346" i="37"/>
  <c r="Q347" i="37"/>
  <c r="Q348" i="37"/>
  <c r="Q349" i="37"/>
  <c r="Q350" i="37"/>
  <c r="Q351" i="37"/>
  <c r="Q352" i="37"/>
  <c r="Q353" i="37"/>
  <c r="Q354" i="37"/>
  <c r="Q355" i="37"/>
  <c r="Q356" i="37"/>
  <c r="Q357" i="37"/>
  <c r="Q358" i="37"/>
  <c r="Q359" i="37"/>
  <c r="Q360" i="37"/>
  <c r="Q361" i="37"/>
  <c r="Q362" i="37"/>
  <c r="Q363" i="37"/>
  <c r="Q364" i="37"/>
  <c r="Q365" i="37"/>
  <c r="Q366" i="37"/>
  <c r="Q367" i="37"/>
  <c r="Q368" i="37"/>
  <c r="Q369" i="37"/>
  <c r="Q370" i="37"/>
  <c r="Q371" i="37"/>
  <c r="Q372" i="37"/>
  <c r="Q373" i="37"/>
  <c r="Q374" i="37"/>
  <c r="Q375" i="37"/>
  <c r="Q376" i="37"/>
  <c r="Q340" i="37"/>
  <c r="Q323" i="37"/>
  <c r="Q324" i="37"/>
  <c r="Q325" i="37"/>
  <c r="Q326" i="37"/>
  <c r="Q327" i="37"/>
  <c r="Q328" i="37"/>
  <c r="Q329" i="37"/>
  <c r="Q330" i="37"/>
  <c r="Q331" i="37"/>
  <c r="Q332" i="37"/>
  <c r="Q333" i="37"/>
  <c r="Q334" i="37"/>
  <c r="Q335" i="37"/>
  <c r="Q336" i="37"/>
  <c r="Q337" i="37"/>
  <c r="Q338" i="37"/>
  <c r="Q322" i="37"/>
  <c r="Q259" i="37"/>
  <c r="Q260" i="37"/>
  <c r="Q261" i="37"/>
  <c r="Q262" i="37"/>
  <c r="Q263" i="37"/>
  <c r="Q264" i="37"/>
  <c r="Q265" i="37"/>
  <c r="Q266" i="37"/>
  <c r="Q267" i="37"/>
  <c r="Q268" i="37"/>
  <c r="Q269" i="37"/>
  <c r="Q270" i="37"/>
  <c r="Q271" i="37"/>
  <c r="Q272" i="37"/>
  <c r="Q273" i="37"/>
  <c r="Q274" i="37"/>
  <c r="Q275" i="37"/>
  <c r="Q276" i="37"/>
  <c r="Q277" i="37"/>
  <c r="Q278" i="37"/>
  <c r="Q279" i="37"/>
  <c r="Q280" i="37"/>
  <c r="Q281" i="37"/>
  <c r="Q282" i="37"/>
  <c r="Q283" i="37"/>
  <c r="Q284" i="37"/>
  <c r="Q285" i="37"/>
  <c r="Q286" i="37"/>
  <c r="Q287" i="37"/>
  <c r="Q288" i="37"/>
  <c r="Q289" i="37"/>
  <c r="Q290" i="37"/>
  <c r="Q291" i="37"/>
  <c r="Q292" i="37"/>
  <c r="Q293" i="37"/>
  <c r="Q294" i="37"/>
  <c r="Q295" i="37"/>
  <c r="Q296" i="37"/>
  <c r="Q297" i="37"/>
  <c r="Q298" i="37"/>
  <c r="Q299" i="37"/>
  <c r="Q300" i="37"/>
  <c r="Q301" i="37"/>
  <c r="Q302" i="37"/>
  <c r="Q303" i="37"/>
  <c r="Q304" i="37"/>
  <c r="Q305" i="37"/>
  <c r="Q306" i="37"/>
  <c r="Q307" i="37"/>
  <c r="Q308" i="37"/>
  <c r="Q309" i="37"/>
  <c r="Q310" i="37"/>
  <c r="Q311" i="37"/>
  <c r="Q312" i="37"/>
  <c r="Q313" i="37"/>
  <c r="Q314" i="37"/>
  <c r="Q315" i="37"/>
  <c r="Q316" i="37"/>
  <c r="Q317" i="37"/>
  <c r="Q318" i="37"/>
  <c r="Q319" i="37"/>
  <c r="Q320" i="37"/>
  <c r="Q258" i="37"/>
  <c r="Q218" i="37"/>
  <c r="Q219" i="37"/>
  <c r="Q220" i="37"/>
  <c r="Q221" i="37"/>
  <c r="Q222" i="37"/>
  <c r="Q223" i="37"/>
  <c r="Q224" i="37"/>
  <c r="Q225" i="37"/>
  <c r="Q226" i="37"/>
  <c r="Q227" i="37"/>
  <c r="Q228" i="37"/>
  <c r="Q229" i="37"/>
  <c r="Q230" i="37"/>
  <c r="Q231" i="37"/>
  <c r="Q232" i="37"/>
  <c r="Q233" i="37"/>
  <c r="Q234" i="37"/>
  <c r="Q235" i="37"/>
  <c r="Q236" i="37"/>
  <c r="Q237" i="37"/>
  <c r="Q238" i="37"/>
  <c r="Q239" i="37"/>
  <c r="Q240" i="37"/>
  <c r="Q241" i="37"/>
  <c r="Q242" i="37"/>
  <c r="Q243" i="37"/>
  <c r="Q244" i="37"/>
  <c r="Q245" i="37"/>
  <c r="Q246" i="37"/>
  <c r="Q247" i="37"/>
  <c r="Q248" i="37"/>
  <c r="Q249" i="37"/>
  <c r="Q250" i="37"/>
  <c r="Q251" i="37"/>
  <c r="Q252" i="37"/>
  <c r="Q253" i="37"/>
  <c r="Q254" i="37"/>
  <c r="Q255" i="37"/>
  <c r="Q256" i="37"/>
  <c r="Q217" i="37"/>
  <c r="Q10" i="37"/>
  <c r="Q11" i="37"/>
  <c r="Q12" i="37"/>
  <c r="Q13" i="37"/>
  <c r="Q14" i="37"/>
  <c r="Q15" i="37"/>
  <c r="Q16" i="37"/>
  <c r="Q17" i="37"/>
  <c r="Q18" i="37"/>
  <c r="Q19" i="37"/>
  <c r="Q20" i="37"/>
  <c r="Q21" i="37"/>
  <c r="Q22" i="37"/>
  <c r="Q23" i="37"/>
  <c r="Q24" i="37"/>
  <c r="Q25" i="37"/>
  <c r="Q26" i="37"/>
  <c r="Q27" i="37"/>
  <c r="Q28" i="37"/>
  <c r="Q29" i="37"/>
  <c r="Q30" i="37"/>
  <c r="Q31" i="37"/>
  <c r="Q32" i="37"/>
  <c r="Q33" i="37"/>
  <c r="Q34" i="37"/>
  <c r="Q35" i="37"/>
  <c r="Q36" i="37"/>
  <c r="Q37" i="37"/>
  <c r="Q38" i="37"/>
  <c r="Q39" i="37"/>
  <c r="Q40" i="37"/>
  <c r="Q41" i="37"/>
  <c r="Q42" i="37"/>
  <c r="Q43" i="37"/>
  <c r="Q44" i="37"/>
  <c r="Q45" i="37"/>
  <c r="Q46" i="37"/>
  <c r="Q47" i="37"/>
  <c r="Q48" i="37"/>
  <c r="Q49" i="37"/>
  <c r="Q50" i="37"/>
  <c r="Q51" i="37"/>
  <c r="Q52" i="37"/>
  <c r="Q53" i="37"/>
  <c r="Q54" i="37"/>
  <c r="Q55" i="37"/>
  <c r="Q56" i="37"/>
  <c r="Q57" i="37"/>
  <c r="Q58" i="37"/>
  <c r="Q59" i="37"/>
  <c r="Q60" i="37"/>
  <c r="Q61" i="37"/>
  <c r="Q62" i="37"/>
  <c r="Q63" i="37"/>
  <c r="Q64" i="37"/>
  <c r="Q65" i="37"/>
  <c r="Q66" i="37"/>
  <c r="Q67" i="37"/>
  <c r="Q68" i="37"/>
  <c r="Q69" i="37"/>
  <c r="Q70" i="37"/>
  <c r="Q71" i="37"/>
  <c r="Q72" i="37"/>
  <c r="Q73" i="37"/>
  <c r="Q74" i="37"/>
  <c r="Q75" i="37"/>
  <c r="Q76" i="37"/>
  <c r="Q77" i="37"/>
  <c r="Q78" i="37"/>
  <c r="Q79" i="37"/>
  <c r="Q80" i="37"/>
  <c r="Q81" i="37"/>
  <c r="Q82" i="37"/>
  <c r="Q83" i="37"/>
  <c r="Q84" i="37"/>
  <c r="Q85" i="37"/>
  <c r="Q86" i="37"/>
  <c r="Q87" i="37"/>
  <c r="Q88" i="37"/>
  <c r="Q89" i="37"/>
  <c r="Q90" i="37"/>
  <c r="Q91" i="37"/>
  <c r="Q92" i="37"/>
  <c r="Q93" i="37"/>
  <c r="Q94" i="37"/>
  <c r="Q95" i="37"/>
  <c r="Q96" i="37"/>
  <c r="Q97" i="37"/>
  <c r="Q98" i="37"/>
  <c r="Q99" i="37"/>
  <c r="Q100" i="37"/>
  <c r="Q101" i="37"/>
  <c r="Q102" i="37"/>
  <c r="Q103" i="37"/>
  <c r="Q104" i="37"/>
  <c r="Q105" i="37"/>
  <c r="Q106" i="37"/>
  <c r="Q107" i="37"/>
  <c r="Q108" i="37"/>
  <c r="Q109" i="37"/>
  <c r="Q110" i="37"/>
  <c r="Q111" i="37"/>
  <c r="Q112" i="37"/>
  <c r="Q113" i="37"/>
  <c r="Q114" i="37"/>
  <c r="Q115" i="37"/>
  <c r="Q116" i="37"/>
  <c r="Q117" i="37"/>
  <c r="Q118" i="37"/>
  <c r="Q119" i="37"/>
  <c r="Q120" i="37"/>
  <c r="Q121" i="37"/>
  <c r="Q122" i="37"/>
  <c r="Q123" i="37"/>
  <c r="Q124" i="37"/>
  <c r="Q125" i="37"/>
  <c r="Q126" i="37"/>
  <c r="Q127" i="37"/>
  <c r="Q128" i="37"/>
  <c r="Q129" i="37"/>
  <c r="Q130" i="37"/>
  <c r="Q131" i="37"/>
  <c r="Q132" i="37"/>
  <c r="Q133" i="37"/>
  <c r="Q134" i="37"/>
  <c r="Q135" i="37"/>
  <c r="Q136" i="37"/>
  <c r="Q137" i="37"/>
  <c r="Q138" i="37"/>
  <c r="Q139" i="37"/>
  <c r="Q140" i="37"/>
  <c r="Q141" i="37"/>
  <c r="Q142" i="37"/>
  <c r="Q143" i="37"/>
  <c r="Q144" i="37"/>
  <c r="Q145" i="37"/>
  <c r="Q146" i="37"/>
  <c r="Q147" i="37"/>
  <c r="Q148" i="37"/>
  <c r="Q149" i="37"/>
  <c r="Q150" i="37"/>
  <c r="Q151" i="37"/>
  <c r="Q152" i="37"/>
  <c r="Q153" i="37"/>
  <c r="Q154" i="37"/>
  <c r="Q155" i="37"/>
  <c r="Q156" i="37"/>
  <c r="Q157" i="37"/>
  <c r="Q158" i="37"/>
  <c r="Q159" i="37"/>
  <c r="Q160" i="37"/>
  <c r="Q161" i="37"/>
  <c r="Q162" i="37"/>
  <c r="Q163" i="37"/>
  <c r="Q164" i="37"/>
  <c r="Q165" i="37"/>
  <c r="Q166" i="37"/>
  <c r="Q167" i="37"/>
  <c r="Q168" i="37"/>
  <c r="Q169" i="37"/>
  <c r="Q170" i="37"/>
  <c r="Q171" i="37"/>
  <c r="Q172" i="37"/>
  <c r="Q173" i="37"/>
  <c r="Q174" i="37"/>
  <c r="Q175" i="37"/>
  <c r="Q176" i="37"/>
  <c r="Q177" i="37"/>
  <c r="Q178" i="37"/>
  <c r="Q179" i="37"/>
  <c r="Q180" i="37"/>
  <c r="Q181" i="37"/>
  <c r="Q182" i="37"/>
  <c r="Q183" i="37"/>
  <c r="Q184" i="37"/>
  <c r="Q185" i="37"/>
  <c r="Q186" i="37"/>
  <c r="Q187" i="37"/>
  <c r="Q188" i="37"/>
  <c r="Q189" i="37"/>
  <c r="Q190" i="37"/>
  <c r="Q191" i="37"/>
  <c r="Q192" i="37"/>
  <c r="Q193" i="37"/>
  <c r="Q194" i="37"/>
  <c r="Q195" i="37"/>
  <c r="Q196" i="37"/>
  <c r="Q197" i="37"/>
  <c r="Q198" i="37"/>
  <c r="Q199" i="37"/>
  <c r="Q200" i="37"/>
  <c r="Q201" i="37"/>
  <c r="Q202" i="37"/>
  <c r="Q203" i="37"/>
  <c r="Q204" i="37"/>
  <c r="Q205" i="37"/>
  <c r="Q206" i="37"/>
  <c r="Q207" i="37"/>
  <c r="Q208" i="37"/>
  <c r="Q209" i="37"/>
  <c r="Q210" i="37"/>
  <c r="Q211" i="37"/>
  <c r="Q212" i="37"/>
  <c r="Q213" i="37"/>
  <c r="Q214" i="37"/>
  <c r="Q215" i="37"/>
  <c r="Q9" i="37"/>
  <c r="P491" i="37"/>
  <c r="P492" i="37"/>
  <c r="P493" i="37"/>
  <c r="P494" i="37"/>
  <c r="P490" i="37"/>
  <c r="P488" i="37"/>
  <c r="P473" i="37"/>
  <c r="P474" i="37"/>
  <c r="P475" i="37"/>
  <c r="P476" i="37"/>
  <c r="P477" i="37"/>
  <c r="P478" i="37"/>
  <c r="P479" i="37"/>
  <c r="P480" i="37"/>
  <c r="P481" i="37"/>
  <c r="P482" i="37"/>
  <c r="P483" i="37"/>
  <c r="P484" i="37"/>
  <c r="P485" i="37"/>
  <c r="P486" i="37"/>
  <c r="P472" i="37"/>
  <c r="P453" i="37"/>
  <c r="P454" i="37"/>
  <c r="P455" i="37"/>
  <c r="P456" i="37"/>
  <c r="P457" i="37"/>
  <c r="P458" i="37"/>
  <c r="P459" i="37"/>
  <c r="P460" i="37"/>
  <c r="P461" i="37"/>
  <c r="P462" i="37"/>
  <c r="P463" i="37"/>
  <c r="P464" i="37"/>
  <c r="P465" i="37"/>
  <c r="P466" i="37"/>
  <c r="P467" i="37"/>
  <c r="P468" i="37"/>
  <c r="P469" i="37"/>
  <c r="P470" i="37"/>
  <c r="P452" i="37"/>
  <c r="P445" i="37"/>
  <c r="P446" i="37"/>
  <c r="P447" i="37"/>
  <c r="P448" i="37"/>
  <c r="P449" i="37"/>
  <c r="P450" i="37"/>
  <c r="P438" i="37"/>
  <c r="P439" i="37"/>
  <c r="P440" i="37"/>
  <c r="P441" i="37"/>
  <c r="P442" i="37"/>
  <c r="P443" i="37"/>
  <c r="P444" i="37"/>
  <c r="P437" i="37"/>
  <c r="P418" i="37"/>
  <c r="P419" i="37"/>
  <c r="P420" i="37"/>
  <c r="P421" i="37"/>
  <c r="P422" i="37"/>
  <c r="P423" i="37"/>
  <c r="P424" i="37"/>
  <c r="P425" i="37"/>
  <c r="P426" i="37"/>
  <c r="P427" i="37"/>
  <c r="P428" i="37"/>
  <c r="P429" i="37"/>
  <c r="P430" i="37"/>
  <c r="P431" i="37"/>
  <c r="P432" i="37"/>
  <c r="P433" i="37"/>
  <c r="P434" i="37"/>
  <c r="P435" i="37"/>
  <c r="P417" i="37"/>
  <c r="P379" i="37"/>
  <c r="P380" i="37"/>
  <c r="P381" i="37"/>
  <c r="P382" i="37"/>
  <c r="P383" i="37"/>
  <c r="P384" i="37"/>
  <c r="P385" i="37"/>
  <c r="P386" i="37"/>
  <c r="P387" i="37"/>
  <c r="P388" i="37"/>
  <c r="P389" i="37"/>
  <c r="P390" i="37"/>
  <c r="P391" i="37"/>
  <c r="P392" i="37"/>
  <c r="P393" i="37"/>
  <c r="P394" i="37"/>
  <c r="P395" i="37"/>
  <c r="P396" i="37"/>
  <c r="P397" i="37"/>
  <c r="P398" i="37"/>
  <c r="P399" i="37"/>
  <c r="P400" i="37"/>
  <c r="P401" i="37"/>
  <c r="P402" i="37"/>
  <c r="P403" i="37"/>
  <c r="P404" i="37"/>
  <c r="P405" i="37"/>
  <c r="P406" i="37"/>
  <c r="P407" i="37"/>
  <c r="P408" i="37"/>
  <c r="P409" i="37"/>
  <c r="P410" i="37"/>
  <c r="P411" i="37"/>
  <c r="P412" i="37"/>
  <c r="P413" i="37"/>
  <c r="P414" i="37"/>
  <c r="P415" i="37"/>
  <c r="P378" i="37"/>
  <c r="P341" i="37"/>
  <c r="P342" i="37"/>
  <c r="P343" i="37"/>
  <c r="P344" i="37"/>
  <c r="P345" i="37"/>
  <c r="P346" i="37"/>
  <c r="P347" i="37"/>
  <c r="P348" i="37"/>
  <c r="P349" i="37"/>
  <c r="P350" i="37"/>
  <c r="P351" i="37"/>
  <c r="P352" i="37"/>
  <c r="P353" i="37"/>
  <c r="P354" i="37"/>
  <c r="P355" i="37"/>
  <c r="P356" i="37"/>
  <c r="P357" i="37"/>
  <c r="P358" i="37"/>
  <c r="P359" i="37"/>
  <c r="P360" i="37"/>
  <c r="P361" i="37"/>
  <c r="P362" i="37"/>
  <c r="P363" i="37"/>
  <c r="P364" i="37"/>
  <c r="P365" i="37"/>
  <c r="P366" i="37"/>
  <c r="P367" i="37"/>
  <c r="P368" i="37"/>
  <c r="P369" i="37"/>
  <c r="P370" i="37"/>
  <c r="P371" i="37"/>
  <c r="P372" i="37"/>
  <c r="P373" i="37"/>
  <c r="P374" i="37"/>
  <c r="P375" i="37"/>
  <c r="P376" i="37"/>
  <c r="P340" i="37"/>
  <c r="P323" i="37"/>
  <c r="P324" i="37"/>
  <c r="P325" i="37"/>
  <c r="P326" i="37"/>
  <c r="P327" i="37"/>
  <c r="P328" i="37"/>
  <c r="P329" i="37"/>
  <c r="P330" i="37"/>
  <c r="P331" i="37"/>
  <c r="P332" i="37"/>
  <c r="P333" i="37"/>
  <c r="P334" i="37"/>
  <c r="P335" i="37"/>
  <c r="P336" i="37"/>
  <c r="P337" i="37"/>
  <c r="P338" i="37"/>
  <c r="P322" i="37"/>
  <c r="P259" i="37"/>
  <c r="P260" i="37"/>
  <c r="P261" i="37"/>
  <c r="P262" i="37"/>
  <c r="P263" i="37"/>
  <c r="P264" i="37"/>
  <c r="P265" i="37"/>
  <c r="P266" i="37"/>
  <c r="P267" i="37"/>
  <c r="P268" i="37"/>
  <c r="P269" i="37"/>
  <c r="P270" i="37"/>
  <c r="P271" i="37"/>
  <c r="P272" i="37"/>
  <c r="P273" i="37"/>
  <c r="P274" i="37"/>
  <c r="P275" i="37"/>
  <c r="P276" i="37"/>
  <c r="P277" i="37"/>
  <c r="P278" i="37"/>
  <c r="P279" i="37"/>
  <c r="P280" i="37"/>
  <c r="P281" i="37"/>
  <c r="P282" i="37"/>
  <c r="P283" i="37"/>
  <c r="P284" i="37"/>
  <c r="P285" i="37"/>
  <c r="P286" i="37"/>
  <c r="P287" i="37"/>
  <c r="P288" i="37"/>
  <c r="P289" i="37"/>
  <c r="P290" i="37"/>
  <c r="P291" i="37"/>
  <c r="P292" i="37"/>
  <c r="P293" i="37"/>
  <c r="P294" i="37"/>
  <c r="P295" i="37"/>
  <c r="P296" i="37"/>
  <c r="P297" i="37"/>
  <c r="P298" i="37"/>
  <c r="P299" i="37"/>
  <c r="P300" i="37"/>
  <c r="P301" i="37"/>
  <c r="P302" i="37"/>
  <c r="P303" i="37"/>
  <c r="P304" i="37"/>
  <c r="P305" i="37"/>
  <c r="P306" i="37"/>
  <c r="P307" i="37"/>
  <c r="P308" i="37"/>
  <c r="P309" i="37"/>
  <c r="P310" i="37"/>
  <c r="P311" i="37"/>
  <c r="P312" i="37"/>
  <c r="P313" i="37"/>
  <c r="P314" i="37"/>
  <c r="P315" i="37"/>
  <c r="P316" i="37"/>
  <c r="P317" i="37"/>
  <c r="P318" i="37"/>
  <c r="P319" i="37"/>
  <c r="P320" i="37"/>
  <c r="P258" i="37"/>
  <c r="P218" i="37"/>
  <c r="P219" i="37"/>
  <c r="P220" i="37"/>
  <c r="P221" i="37"/>
  <c r="P222" i="37"/>
  <c r="P223" i="37"/>
  <c r="P224" i="37"/>
  <c r="P225" i="37"/>
  <c r="P226" i="37"/>
  <c r="P227" i="37"/>
  <c r="P228" i="37"/>
  <c r="P229" i="37"/>
  <c r="P230" i="37"/>
  <c r="P231" i="37"/>
  <c r="P232" i="37"/>
  <c r="P233" i="37"/>
  <c r="P234" i="37"/>
  <c r="P235" i="37"/>
  <c r="P236" i="37"/>
  <c r="P237" i="37"/>
  <c r="P238" i="37"/>
  <c r="P239" i="37"/>
  <c r="P240" i="37"/>
  <c r="P241" i="37"/>
  <c r="P242" i="37"/>
  <c r="P243" i="37"/>
  <c r="P244" i="37"/>
  <c r="P245" i="37"/>
  <c r="P246" i="37"/>
  <c r="P247" i="37"/>
  <c r="P248" i="37"/>
  <c r="P249" i="37"/>
  <c r="P250" i="37"/>
  <c r="P251" i="37"/>
  <c r="P252" i="37"/>
  <c r="P253" i="37"/>
  <c r="P254" i="37"/>
  <c r="P255" i="37"/>
  <c r="P256" i="37"/>
  <c r="P217" i="37"/>
  <c r="P10" i="37"/>
  <c r="P11" i="37"/>
  <c r="P12" i="37"/>
  <c r="P13" i="37"/>
  <c r="P14" i="37"/>
  <c r="P15" i="37"/>
  <c r="P16" i="37"/>
  <c r="P17" i="37"/>
  <c r="P18" i="37"/>
  <c r="P19" i="37"/>
  <c r="P20" i="37"/>
  <c r="P21" i="37"/>
  <c r="P22" i="37"/>
  <c r="P23" i="37"/>
  <c r="P24" i="37"/>
  <c r="P25" i="37"/>
  <c r="P26" i="37"/>
  <c r="P27" i="37"/>
  <c r="P28" i="37"/>
  <c r="P29" i="37"/>
  <c r="P30" i="37"/>
  <c r="P31" i="37"/>
  <c r="P32" i="37"/>
  <c r="P33" i="37"/>
  <c r="P34" i="37"/>
  <c r="P35" i="37"/>
  <c r="P36" i="37"/>
  <c r="P37" i="37"/>
  <c r="P38" i="37"/>
  <c r="P39" i="37"/>
  <c r="P40" i="37"/>
  <c r="P41" i="37"/>
  <c r="P42" i="37"/>
  <c r="P43" i="37"/>
  <c r="P44" i="37"/>
  <c r="P45" i="37"/>
  <c r="P46" i="37"/>
  <c r="P47" i="37"/>
  <c r="P48" i="37"/>
  <c r="P49" i="37"/>
  <c r="P50" i="37"/>
  <c r="P51" i="37"/>
  <c r="P52" i="37"/>
  <c r="P53" i="37"/>
  <c r="P54" i="37"/>
  <c r="P55" i="37"/>
  <c r="P56" i="37"/>
  <c r="P57" i="37"/>
  <c r="P58" i="37"/>
  <c r="P59" i="37"/>
  <c r="P60" i="37"/>
  <c r="P61" i="37"/>
  <c r="P62" i="37"/>
  <c r="P63" i="37"/>
  <c r="P64" i="37"/>
  <c r="P65" i="37"/>
  <c r="P66" i="37"/>
  <c r="P67" i="37"/>
  <c r="P68" i="37"/>
  <c r="P69" i="37"/>
  <c r="P70" i="37"/>
  <c r="P71" i="37"/>
  <c r="P72" i="37"/>
  <c r="P73" i="37"/>
  <c r="P74" i="37"/>
  <c r="P75" i="37"/>
  <c r="P76" i="37"/>
  <c r="P77" i="37"/>
  <c r="P78" i="37"/>
  <c r="P79" i="37"/>
  <c r="P80" i="37"/>
  <c r="P81" i="37"/>
  <c r="P82" i="37"/>
  <c r="P83" i="37"/>
  <c r="P84" i="37"/>
  <c r="P85" i="37"/>
  <c r="P86" i="37"/>
  <c r="P87" i="37"/>
  <c r="P88" i="37"/>
  <c r="P89" i="37"/>
  <c r="P90" i="37"/>
  <c r="P91" i="37"/>
  <c r="P92" i="37"/>
  <c r="P93" i="37"/>
  <c r="P94" i="37"/>
  <c r="P95" i="37"/>
  <c r="P96" i="37"/>
  <c r="P97" i="37"/>
  <c r="P98" i="37"/>
  <c r="P99" i="37"/>
  <c r="P100" i="37"/>
  <c r="P101" i="37"/>
  <c r="P102" i="37"/>
  <c r="P103" i="37"/>
  <c r="P104" i="37"/>
  <c r="P105" i="37"/>
  <c r="P106" i="37"/>
  <c r="P107" i="37"/>
  <c r="P108" i="37"/>
  <c r="P109" i="37"/>
  <c r="P110" i="37"/>
  <c r="P111" i="37"/>
  <c r="P112" i="37"/>
  <c r="P113" i="37"/>
  <c r="P114" i="37"/>
  <c r="P115" i="37"/>
  <c r="P116" i="37"/>
  <c r="P117" i="37"/>
  <c r="P118" i="37"/>
  <c r="P119" i="37"/>
  <c r="P120" i="37"/>
  <c r="P121" i="37"/>
  <c r="P122" i="37"/>
  <c r="P123" i="37"/>
  <c r="P124" i="37"/>
  <c r="P125" i="37"/>
  <c r="P126" i="37"/>
  <c r="P127" i="37"/>
  <c r="P128" i="37"/>
  <c r="P129" i="37"/>
  <c r="P130" i="37"/>
  <c r="P131" i="37"/>
  <c r="P132" i="37"/>
  <c r="P133" i="37"/>
  <c r="P134" i="37"/>
  <c r="P135" i="37"/>
  <c r="P136" i="37"/>
  <c r="P137" i="37"/>
  <c r="P138" i="37"/>
  <c r="P139" i="37"/>
  <c r="P140" i="37"/>
  <c r="P141" i="37"/>
  <c r="P142" i="37"/>
  <c r="P143" i="37"/>
  <c r="P144" i="37"/>
  <c r="P145" i="37"/>
  <c r="P146" i="37"/>
  <c r="P147" i="37"/>
  <c r="P148" i="37"/>
  <c r="P149" i="37"/>
  <c r="P150" i="37"/>
  <c r="P151" i="37"/>
  <c r="P152" i="37"/>
  <c r="P153" i="37"/>
  <c r="P154" i="37"/>
  <c r="P155" i="37"/>
  <c r="P156" i="37"/>
  <c r="P157" i="37"/>
  <c r="P158" i="37"/>
  <c r="P159" i="37"/>
  <c r="P160" i="37"/>
  <c r="P161" i="37"/>
  <c r="P162" i="37"/>
  <c r="P163" i="37"/>
  <c r="P164" i="37"/>
  <c r="P165" i="37"/>
  <c r="P166" i="37"/>
  <c r="P167" i="37"/>
  <c r="P168" i="37"/>
  <c r="P169" i="37"/>
  <c r="P170" i="37"/>
  <c r="P171" i="37"/>
  <c r="P172" i="37"/>
  <c r="P173" i="37"/>
  <c r="P174" i="37"/>
  <c r="P175" i="37"/>
  <c r="P176" i="37"/>
  <c r="P177" i="37"/>
  <c r="P178" i="37"/>
  <c r="P179" i="37"/>
  <c r="P180" i="37"/>
  <c r="P181" i="37"/>
  <c r="P182" i="37"/>
  <c r="P183" i="37"/>
  <c r="P184" i="37"/>
  <c r="P185" i="37"/>
  <c r="P186" i="37"/>
  <c r="P187" i="37"/>
  <c r="P188" i="37"/>
  <c r="P189" i="37"/>
  <c r="P190" i="37"/>
  <c r="P191" i="37"/>
  <c r="P192" i="37"/>
  <c r="P193" i="37"/>
  <c r="P194" i="37"/>
  <c r="P195" i="37"/>
  <c r="P196" i="37"/>
  <c r="P197" i="37"/>
  <c r="P198" i="37"/>
  <c r="P199" i="37"/>
  <c r="P200" i="37"/>
  <c r="P201" i="37"/>
  <c r="P202" i="37"/>
  <c r="P203" i="37"/>
  <c r="P204" i="37"/>
  <c r="P205" i="37"/>
  <c r="P206" i="37"/>
  <c r="P207" i="37"/>
  <c r="P208" i="37"/>
  <c r="P209" i="37"/>
  <c r="P210" i="37"/>
  <c r="P211" i="37"/>
  <c r="P212" i="37"/>
  <c r="P213" i="37"/>
  <c r="P214" i="37"/>
  <c r="P215" i="37"/>
  <c r="P9" i="37"/>
  <c r="O491" i="37"/>
  <c r="O492" i="37"/>
  <c r="O493" i="37"/>
  <c r="O494" i="37"/>
  <c r="O490" i="37"/>
  <c r="O488" i="37"/>
  <c r="O473" i="37"/>
  <c r="O474" i="37"/>
  <c r="O475" i="37"/>
  <c r="O476" i="37"/>
  <c r="O477" i="37"/>
  <c r="O478" i="37"/>
  <c r="O479" i="37"/>
  <c r="O480" i="37"/>
  <c r="O481" i="37"/>
  <c r="O482" i="37"/>
  <c r="O483" i="37"/>
  <c r="O484" i="37"/>
  <c r="O485" i="37"/>
  <c r="O486" i="37"/>
  <c r="O472" i="37"/>
  <c r="O453" i="37"/>
  <c r="O454" i="37"/>
  <c r="O455" i="37"/>
  <c r="O456" i="37"/>
  <c r="O457" i="37"/>
  <c r="O458" i="37"/>
  <c r="O459" i="37"/>
  <c r="O460" i="37"/>
  <c r="O461" i="37"/>
  <c r="O462" i="37"/>
  <c r="O463" i="37"/>
  <c r="O464" i="37"/>
  <c r="O465" i="37"/>
  <c r="O466" i="37"/>
  <c r="O467" i="37"/>
  <c r="O468" i="37"/>
  <c r="O469" i="37"/>
  <c r="O470" i="37"/>
  <c r="O452" i="37"/>
  <c r="O438" i="37"/>
  <c r="O439" i="37"/>
  <c r="O440" i="37"/>
  <c r="O441" i="37"/>
  <c r="O442" i="37"/>
  <c r="O443" i="37"/>
  <c r="O444" i="37"/>
  <c r="O445" i="37"/>
  <c r="O446" i="37"/>
  <c r="O447" i="37"/>
  <c r="O448" i="37"/>
  <c r="O449" i="37"/>
  <c r="O450" i="37"/>
  <c r="O437" i="37"/>
  <c r="O418" i="37"/>
  <c r="O419" i="37"/>
  <c r="O420" i="37"/>
  <c r="O421" i="37"/>
  <c r="O422" i="37"/>
  <c r="O423" i="37"/>
  <c r="O424" i="37"/>
  <c r="O425" i="37"/>
  <c r="O426" i="37"/>
  <c r="O427" i="37"/>
  <c r="O428" i="37"/>
  <c r="O429" i="37"/>
  <c r="O430" i="37"/>
  <c r="O431" i="37"/>
  <c r="O432" i="37"/>
  <c r="O433" i="37"/>
  <c r="O434" i="37"/>
  <c r="O435" i="37"/>
  <c r="O417" i="37"/>
  <c r="O379" i="37"/>
  <c r="O380" i="37"/>
  <c r="O381" i="37"/>
  <c r="O382" i="37"/>
  <c r="O383" i="37"/>
  <c r="O384" i="37"/>
  <c r="O385" i="37"/>
  <c r="O386" i="37"/>
  <c r="O387" i="37"/>
  <c r="O388" i="37"/>
  <c r="O389" i="37"/>
  <c r="O390" i="37"/>
  <c r="O391" i="37"/>
  <c r="O392" i="37"/>
  <c r="O393" i="37"/>
  <c r="O394" i="37"/>
  <c r="O395" i="37"/>
  <c r="O396" i="37"/>
  <c r="O397" i="37"/>
  <c r="O398" i="37"/>
  <c r="O399" i="37"/>
  <c r="O400" i="37"/>
  <c r="O401" i="37"/>
  <c r="O402" i="37"/>
  <c r="O403" i="37"/>
  <c r="O404" i="37"/>
  <c r="O405" i="37"/>
  <c r="O406" i="37"/>
  <c r="O407" i="37"/>
  <c r="O408" i="37"/>
  <c r="O409" i="37"/>
  <c r="O410" i="37"/>
  <c r="O411" i="37"/>
  <c r="O412" i="37"/>
  <c r="O413" i="37"/>
  <c r="O414" i="37"/>
  <c r="O415" i="37"/>
  <c r="O378" i="37"/>
  <c r="O341" i="37"/>
  <c r="O342" i="37"/>
  <c r="O343" i="37"/>
  <c r="O344" i="37"/>
  <c r="O345" i="37"/>
  <c r="O346" i="37"/>
  <c r="O347" i="37"/>
  <c r="O348" i="37"/>
  <c r="O349" i="37"/>
  <c r="O350" i="37"/>
  <c r="O351" i="37"/>
  <c r="O352" i="37"/>
  <c r="O353" i="37"/>
  <c r="O354" i="37"/>
  <c r="O355" i="37"/>
  <c r="O356" i="37"/>
  <c r="O357" i="37"/>
  <c r="O358" i="37"/>
  <c r="O359" i="37"/>
  <c r="O360" i="37"/>
  <c r="O361" i="37"/>
  <c r="O362" i="37"/>
  <c r="O363" i="37"/>
  <c r="O364" i="37"/>
  <c r="O365" i="37"/>
  <c r="O366" i="37"/>
  <c r="O367" i="37"/>
  <c r="O368" i="37"/>
  <c r="O369" i="37"/>
  <c r="O370" i="37"/>
  <c r="O371" i="37"/>
  <c r="O372" i="37"/>
  <c r="O373" i="37"/>
  <c r="O374" i="37"/>
  <c r="O375" i="37"/>
  <c r="O376" i="37"/>
  <c r="O340" i="37"/>
  <c r="O323" i="37"/>
  <c r="O324" i="37"/>
  <c r="O325" i="37"/>
  <c r="O326" i="37"/>
  <c r="O327" i="37"/>
  <c r="O328" i="37"/>
  <c r="O329" i="37"/>
  <c r="O330" i="37"/>
  <c r="O331" i="37"/>
  <c r="O332" i="37"/>
  <c r="O333" i="37"/>
  <c r="O334" i="37"/>
  <c r="O335" i="37"/>
  <c r="O336" i="37"/>
  <c r="O337" i="37"/>
  <c r="O338" i="37"/>
  <c r="O322" i="37"/>
  <c r="O259" i="37"/>
  <c r="O260" i="37"/>
  <c r="O261" i="37"/>
  <c r="O262" i="37"/>
  <c r="O263" i="37"/>
  <c r="O264" i="37"/>
  <c r="O265" i="37"/>
  <c r="O266" i="37"/>
  <c r="O267" i="37"/>
  <c r="O268" i="37"/>
  <c r="O269" i="37"/>
  <c r="O270" i="37"/>
  <c r="O271" i="37"/>
  <c r="O272" i="37"/>
  <c r="O273" i="37"/>
  <c r="O274" i="37"/>
  <c r="O275" i="37"/>
  <c r="O276" i="37"/>
  <c r="O277" i="37"/>
  <c r="O278" i="37"/>
  <c r="O279" i="37"/>
  <c r="O280" i="37"/>
  <c r="O281" i="37"/>
  <c r="O282" i="37"/>
  <c r="O283" i="37"/>
  <c r="O284" i="37"/>
  <c r="O285" i="37"/>
  <c r="O286" i="37"/>
  <c r="O287" i="37"/>
  <c r="O288" i="37"/>
  <c r="O289" i="37"/>
  <c r="O290" i="37"/>
  <c r="O291" i="37"/>
  <c r="O292" i="37"/>
  <c r="O293" i="37"/>
  <c r="O294" i="37"/>
  <c r="O295" i="37"/>
  <c r="O296" i="37"/>
  <c r="O297" i="37"/>
  <c r="O298" i="37"/>
  <c r="O299" i="37"/>
  <c r="O300" i="37"/>
  <c r="O301" i="37"/>
  <c r="O302" i="37"/>
  <c r="O303" i="37"/>
  <c r="O304" i="37"/>
  <c r="O305" i="37"/>
  <c r="O306" i="37"/>
  <c r="O307" i="37"/>
  <c r="O308" i="37"/>
  <c r="O309" i="37"/>
  <c r="O310" i="37"/>
  <c r="O311" i="37"/>
  <c r="O312" i="37"/>
  <c r="O313" i="37"/>
  <c r="O314" i="37"/>
  <c r="O315" i="37"/>
  <c r="O316" i="37"/>
  <c r="O317" i="37"/>
  <c r="O318" i="37"/>
  <c r="O319" i="37"/>
  <c r="O320" i="37"/>
  <c r="O258" i="37"/>
  <c r="O218" i="37"/>
  <c r="O219" i="37"/>
  <c r="O220" i="37"/>
  <c r="O221" i="37"/>
  <c r="O222" i="37"/>
  <c r="O223" i="37"/>
  <c r="O224" i="37"/>
  <c r="O225" i="37"/>
  <c r="O226" i="37"/>
  <c r="O227" i="37"/>
  <c r="O228" i="37"/>
  <c r="O229" i="37"/>
  <c r="O230" i="37"/>
  <c r="O231" i="37"/>
  <c r="O232" i="37"/>
  <c r="O233" i="37"/>
  <c r="O234" i="37"/>
  <c r="O235" i="37"/>
  <c r="O236" i="37"/>
  <c r="O237" i="37"/>
  <c r="O238" i="37"/>
  <c r="O239" i="37"/>
  <c r="O240" i="37"/>
  <c r="O241" i="37"/>
  <c r="O242" i="37"/>
  <c r="O243" i="37"/>
  <c r="O244" i="37"/>
  <c r="O245" i="37"/>
  <c r="O246" i="37"/>
  <c r="O247" i="37"/>
  <c r="O248" i="37"/>
  <c r="O249" i="37"/>
  <c r="O250" i="37"/>
  <c r="O251" i="37"/>
  <c r="O252" i="37"/>
  <c r="O253" i="37"/>
  <c r="O254" i="37"/>
  <c r="O255" i="37"/>
  <c r="O256" i="37"/>
  <c r="O217" i="37"/>
  <c r="O10" i="37"/>
  <c r="O11" i="37"/>
  <c r="O12" i="37"/>
  <c r="O13" i="37"/>
  <c r="O14" i="37"/>
  <c r="O15" i="37"/>
  <c r="O16" i="37"/>
  <c r="O17" i="37"/>
  <c r="O18" i="37"/>
  <c r="O19" i="37"/>
  <c r="O20" i="37"/>
  <c r="O21" i="37"/>
  <c r="O22" i="37"/>
  <c r="O23" i="37"/>
  <c r="O24" i="37"/>
  <c r="O25" i="37"/>
  <c r="O26" i="37"/>
  <c r="O27" i="37"/>
  <c r="O28" i="37"/>
  <c r="O29" i="37"/>
  <c r="O30" i="37"/>
  <c r="O31" i="37"/>
  <c r="O32" i="37"/>
  <c r="O33" i="37"/>
  <c r="O34" i="37"/>
  <c r="O35" i="37"/>
  <c r="O36" i="37"/>
  <c r="O37" i="37"/>
  <c r="O38" i="37"/>
  <c r="O39" i="37"/>
  <c r="O40" i="37"/>
  <c r="O41" i="37"/>
  <c r="O42" i="37"/>
  <c r="O43" i="37"/>
  <c r="O44" i="37"/>
  <c r="O45" i="37"/>
  <c r="O46" i="37"/>
  <c r="O47" i="37"/>
  <c r="O48" i="37"/>
  <c r="O49" i="37"/>
  <c r="O50" i="37"/>
  <c r="O51" i="37"/>
  <c r="O52" i="37"/>
  <c r="O53" i="37"/>
  <c r="O54" i="37"/>
  <c r="O55" i="37"/>
  <c r="O56" i="37"/>
  <c r="O57" i="37"/>
  <c r="O58" i="37"/>
  <c r="O59" i="37"/>
  <c r="O60" i="37"/>
  <c r="O61" i="37"/>
  <c r="O62" i="37"/>
  <c r="O63" i="37"/>
  <c r="O64" i="37"/>
  <c r="O65" i="37"/>
  <c r="O66" i="37"/>
  <c r="O67" i="37"/>
  <c r="O68" i="37"/>
  <c r="O69" i="37"/>
  <c r="O70" i="37"/>
  <c r="O71" i="37"/>
  <c r="O72" i="37"/>
  <c r="O73" i="37"/>
  <c r="O74" i="37"/>
  <c r="O75" i="37"/>
  <c r="O76" i="37"/>
  <c r="O77" i="37"/>
  <c r="O78" i="37"/>
  <c r="O79" i="37"/>
  <c r="O80" i="37"/>
  <c r="O81" i="37"/>
  <c r="O82" i="37"/>
  <c r="O83" i="37"/>
  <c r="O84" i="37"/>
  <c r="O85" i="37"/>
  <c r="O86" i="37"/>
  <c r="O87" i="37"/>
  <c r="O88" i="37"/>
  <c r="O89" i="37"/>
  <c r="O90" i="37"/>
  <c r="O91" i="37"/>
  <c r="O92" i="37"/>
  <c r="O93" i="37"/>
  <c r="O94" i="37"/>
  <c r="O95" i="37"/>
  <c r="O96" i="37"/>
  <c r="O97" i="37"/>
  <c r="O98" i="37"/>
  <c r="O99" i="37"/>
  <c r="O100" i="37"/>
  <c r="O101" i="37"/>
  <c r="O102" i="37"/>
  <c r="O103" i="37"/>
  <c r="O104" i="37"/>
  <c r="O105" i="37"/>
  <c r="O106" i="37"/>
  <c r="O107" i="37"/>
  <c r="O108" i="37"/>
  <c r="O109" i="37"/>
  <c r="O110" i="37"/>
  <c r="O111" i="37"/>
  <c r="O112" i="37"/>
  <c r="O113" i="37"/>
  <c r="O114" i="37"/>
  <c r="O115" i="37"/>
  <c r="O116" i="37"/>
  <c r="O117" i="37"/>
  <c r="O118" i="37"/>
  <c r="O119" i="37"/>
  <c r="O120" i="37"/>
  <c r="O121" i="37"/>
  <c r="O122" i="37"/>
  <c r="O123" i="37"/>
  <c r="O124" i="37"/>
  <c r="O125" i="37"/>
  <c r="O126" i="37"/>
  <c r="O127" i="37"/>
  <c r="O128" i="37"/>
  <c r="O129" i="37"/>
  <c r="O130" i="37"/>
  <c r="O131" i="37"/>
  <c r="O132" i="37"/>
  <c r="O133" i="37"/>
  <c r="O134" i="37"/>
  <c r="O135" i="37"/>
  <c r="O136" i="37"/>
  <c r="O137" i="37"/>
  <c r="O138" i="37"/>
  <c r="O139" i="37"/>
  <c r="O140" i="37"/>
  <c r="O141" i="37"/>
  <c r="O142" i="37"/>
  <c r="O143" i="37"/>
  <c r="O144" i="37"/>
  <c r="O145" i="37"/>
  <c r="O146" i="37"/>
  <c r="O147" i="37"/>
  <c r="O148" i="37"/>
  <c r="O149" i="37"/>
  <c r="O150" i="37"/>
  <c r="O151" i="37"/>
  <c r="O152" i="37"/>
  <c r="O153" i="37"/>
  <c r="O154" i="37"/>
  <c r="O155" i="37"/>
  <c r="O156" i="37"/>
  <c r="O157" i="37"/>
  <c r="O158" i="37"/>
  <c r="O159" i="37"/>
  <c r="O160" i="37"/>
  <c r="O161" i="37"/>
  <c r="O162" i="37"/>
  <c r="O163" i="37"/>
  <c r="O164" i="37"/>
  <c r="O165" i="37"/>
  <c r="O166" i="37"/>
  <c r="O167" i="37"/>
  <c r="O168" i="37"/>
  <c r="O169" i="37"/>
  <c r="O170" i="37"/>
  <c r="O171" i="37"/>
  <c r="O172" i="37"/>
  <c r="O173" i="37"/>
  <c r="O174" i="37"/>
  <c r="O175" i="37"/>
  <c r="O176" i="37"/>
  <c r="O177" i="37"/>
  <c r="O178" i="37"/>
  <c r="O179" i="37"/>
  <c r="O180" i="37"/>
  <c r="O181" i="37"/>
  <c r="O182" i="37"/>
  <c r="O183" i="37"/>
  <c r="O184" i="37"/>
  <c r="O185" i="37"/>
  <c r="O186" i="37"/>
  <c r="O187" i="37"/>
  <c r="O188" i="37"/>
  <c r="O189" i="37"/>
  <c r="O190" i="37"/>
  <c r="O191" i="37"/>
  <c r="O192" i="37"/>
  <c r="O193" i="37"/>
  <c r="O194" i="37"/>
  <c r="O195" i="37"/>
  <c r="O196" i="37"/>
  <c r="O197" i="37"/>
  <c r="O198" i="37"/>
  <c r="O199" i="37"/>
  <c r="O200" i="37"/>
  <c r="O201" i="37"/>
  <c r="O202" i="37"/>
  <c r="O203" i="37"/>
  <c r="O204" i="37"/>
  <c r="O205" i="37"/>
  <c r="O206" i="37"/>
  <c r="O207" i="37"/>
  <c r="O208" i="37"/>
  <c r="O209" i="37"/>
  <c r="O210" i="37"/>
  <c r="O211" i="37"/>
  <c r="O212" i="37"/>
  <c r="O213" i="37"/>
  <c r="O214" i="37"/>
  <c r="O215" i="37"/>
  <c r="O9" i="37"/>
  <c r="I491" i="37"/>
  <c r="I492" i="37"/>
  <c r="I493" i="37"/>
  <c r="I494" i="37"/>
  <c r="I490" i="37"/>
  <c r="I488" i="37"/>
  <c r="I473" i="37"/>
  <c r="I474" i="37"/>
  <c r="I475" i="37"/>
  <c r="I476" i="37"/>
  <c r="I477" i="37"/>
  <c r="I478" i="37"/>
  <c r="I479" i="37"/>
  <c r="I480" i="37"/>
  <c r="I481" i="37"/>
  <c r="I482" i="37"/>
  <c r="I483" i="37"/>
  <c r="I484" i="37"/>
  <c r="I485" i="37"/>
  <c r="I486" i="37"/>
  <c r="I472" i="37"/>
  <c r="I453" i="37"/>
  <c r="I454" i="37"/>
  <c r="I455" i="37"/>
  <c r="I456" i="37"/>
  <c r="I457" i="37"/>
  <c r="I458" i="37"/>
  <c r="I459" i="37"/>
  <c r="I460" i="37"/>
  <c r="I461" i="37"/>
  <c r="I462" i="37"/>
  <c r="I463" i="37"/>
  <c r="I464" i="37"/>
  <c r="I465" i="37"/>
  <c r="I466" i="37"/>
  <c r="I467" i="37"/>
  <c r="I468" i="37"/>
  <c r="I469" i="37"/>
  <c r="I470" i="37"/>
  <c r="I452" i="37"/>
  <c r="I438" i="37"/>
  <c r="I439" i="37"/>
  <c r="I440" i="37"/>
  <c r="I441" i="37"/>
  <c r="I442" i="37"/>
  <c r="I443" i="37"/>
  <c r="I444" i="37"/>
  <c r="I445" i="37"/>
  <c r="I446" i="37"/>
  <c r="I447" i="37"/>
  <c r="I448" i="37"/>
  <c r="I449" i="37"/>
  <c r="I450" i="37"/>
  <c r="I437" i="37"/>
  <c r="I418" i="37"/>
  <c r="I419" i="37"/>
  <c r="I420" i="37"/>
  <c r="I421" i="37"/>
  <c r="I422" i="37"/>
  <c r="I423" i="37"/>
  <c r="I424" i="37"/>
  <c r="I425" i="37"/>
  <c r="I426" i="37"/>
  <c r="I427" i="37"/>
  <c r="I428" i="37"/>
  <c r="I429" i="37"/>
  <c r="I430" i="37"/>
  <c r="I431" i="37"/>
  <c r="I432" i="37"/>
  <c r="I433" i="37"/>
  <c r="I434" i="37"/>
  <c r="I435" i="37"/>
  <c r="I417" i="37"/>
  <c r="I379" i="37"/>
  <c r="I380" i="37"/>
  <c r="I381" i="37"/>
  <c r="I382" i="37"/>
  <c r="I383" i="37"/>
  <c r="I384" i="37"/>
  <c r="I385" i="37"/>
  <c r="I386" i="37"/>
  <c r="I387" i="37"/>
  <c r="I388" i="37"/>
  <c r="I389" i="37"/>
  <c r="I390" i="37"/>
  <c r="I391" i="37"/>
  <c r="I392" i="37"/>
  <c r="I393" i="37"/>
  <c r="I394" i="37"/>
  <c r="I395" i="37"/>
  <c r="I396" i="37"/>
  <c r="I397" i="37"/>
  <c r="I398" i="37"/>
  <c r="I399" i="37"/>
  <c r="I400" i="37"/>
  <c r="I401" i="37"/>
  <c r="I402" i="37"/>
  <c r="I403" i="37"/>
  <c r="I404" i="37"/>
  <c r="I405" i="37"/>
  <c r="I406" i="37"/>
  <c r="I407" i="37"/>
  <c r="I408" i="37"/>
  <c r="I409" i="37"/>
  <c r="I410" i="37"/>
  <c r="I411" i="37"/>
  <c r="I412" i="37"/>
  <c r="I413" i="37"/>
  <c r="I414" i="37"/>
  <c r="I415" i="37"/>
  <c r="I378" i="37"/>
  <c r="I341" i="37"/>
  <c r="I342" i="37"/>
  <c r="I343" i="37"/>
  <c r="I344" i="37"/>
  <c r="I345" i="37"/>
  <c r="I346" i="37"/>
  <c r="I347" i="37"/>
  <c r="I348" i="37"/>
  <c r="I349" i="37"/>
  <c r="I350" i="37"/>
  <c r="I351" i="37"/>
  <c r="I352" i="37"/>
  <c r="I353" i="37"/>
  <c r="I354" i="37"/>
  <c r="I355" i="37"/>
  <c r="I356" i="37"/>
  <c r="I357" i="37"/>
  <c r="I358" i="37"/>
  <c r="I359" i="37"/>
  <c r="I360" i="37"/>
  <c r="I361" i="37"/>
  <c r="I362" i="37"/>
  <c r="I363" i="37"/>
  <c r="I364" i="37"/>
  <c r="I365" i="37"/>
  <c r="I366" i="37"/>
  <c r="I367" i="37"/>
  <c r="I368" i="37"/>
  <c r="I369" i="37"/>
  <c r="I370" i="37"/>
  <c r="I371" i="37"/>
  <c r="I372" i="37"/>
  <c r="I373" i="37"/>
  <c r="I374" i="37"/>
  <c r="I375" i="37"/>
  <c r="I376" i="37"/>
  <c r="I340" i="37"/>
  <c r="I323" i="37"/>
  <c r="I324" i="37"/>
  <c r="I325" i="37"/>
  <c r="I326" i="37"/>
  <c r="I327" i="37"/>
  <c r="I328" i="37"/>
  <c r="I329" i="37"/>
  <c r="I330" i="37"/>
  <c r="I331" i="37"/>
  <c r="I332" i="37"/>
  <c r="I333" i="37"/>
  <c r="I334" i="37"/>
  <c r="I335" i="37"/>
  <c r="I336" i="37"/>
  <c r="I337" i="37"/>
  <c r="I338" i="37"/>
  <c r="I322" i="37"/>
  <c r="I259" i="37"/>
  <c r="I260" i="37"/>
  <c r="I261" i="37"/>
  <c r="I262" i="37"/>
  <c r="I263" i="37"/>
  <c r="I264" i="37"/>
  <c r="I265" i="37"/>
  <c r="I266" i="37"/>
  <c r="I267" i="37"/>
  <c r="I268" i="37"/>
  <c r="I269" i="37"/>
  <c r="I270" i="37"/>
  <c r="I271" i="37"/>
  <c r="I272" i="37"/>
  <c r="I273" i="37"/>
  <c r="I274" i="37"/>
  <c r="I275" i="37"/>
  <c r="I276" i="37"/>
  <c r="I277" i="37"/>
  <c r="I278" i="37"/>
  <c r="I279" i="37"/>
  <c r="I280" i="37"/>
  <c r="I281" i="37"/>
  <c r="I282" i="37"/>
  <c r="I283" i="37"/>
  <c r="I284" i="37"/>
  <c r="I285" i="37"/>
  <c r="I286" i="37"/>
  <c r="I287" i="37"/>
  <c r="I288" i="37"/>
  <c r="I289" i="37"/>
  <c r="I290" i="37"/>
  <c r="I291" i="37"/>
  <c r="I292" i="37"/>
  <c r="I293" i="37"/>
  <c r="I294" i="37"/>
  <c r="I295" i="37"/>
  <c r="I296" i="37"/>
  <c r="I297" i="37"/>
  <c r="I298" i="37"/>
  <c r="I299" i="37"/>
  <c r="I300" i="37"/>
  <c r="I301" i="37"/>
  <c r="I302" i="37"/>
  <c r="I303" i="37"/>
  <c r="I304" i="37"/>
  <c r="I305" i="37"/>
  <c r="I306" i="37"/>
  <c r="I307" i="37"/>
  <c r="I308" i="37"/>
  <c r="I309" i="37"/>
  <c r="I310" i="37"/>
  <c r="I311" i="37"/>
  <c r="I312" i="37"/>
  <c r="I313" i="37"/>
  <c r="I314" i="37"/>
  <c r="I315" i="37"/>
  <c r="I316" i="37"/>
  <c r="I317" i="37"/>
  <c r="I318" i="37"/>
  <c r="I319" i="37"/>
  <c r="I320" i="37"/>
  <c r="I258" i="37"/>
  <c r="I218" i="37"/>
  <c r="I219" i="37"/>
  <c r="I220" i="37"/>
  <c r="I221" i="37"/>
  <c r="I222" i="37"/>
  <c r="I223" i="37"/>
  <c r="I224" i="37"/>
  <c r="I225" i="37"/>
  <c r="I226" i="37"/>
  <c r="I227" i="37"/>
  <c r="I228" i="37"/>
  <c r="I229" i="37"/>
  <c r="I230" i="37"/>
  <c r="I231" i="37"/>
  <c r="I232" i="37"/>
  <c r="I233" i="37"/>
  <c r="I234" i="37"/>
  <c r="I235" i="37"/>
  <c r="I236" i="37"/>
  <c r="I237" i="37"/>
  <c r="I238" i="37"/>
  <c r="I239" i="37"/>
  <c r="I240" i="37"/>
  <c r="I241" i="37"/>
  <c r="I242" i="37"/>
  <c r="I243" i="37"/>
  <c r="I244" i="37"/>
  <c r="I245" i="37"/>
  <c r="I246" i="37"/>
  <c r="I247" i="37"/>
  <c r="I248" i="37"/>
  <c r="I249" i="37"/>
  <c r="I250" i="37"/>
  <c r="I251" i="37"/>
  <c r="I252" i="37"/>
  <c r="I253" i="37"/>
  <c r="I254" i="37"/>
  <c r="I255" i="37"/>
  <c r="I256" i="37"/>
  <c r="I217" i="37"/>
  <c r="I10" i="37"/>
  <c r="I11" i="37"/>
  <c r="I12" i="37"/>
  <c r="I13" i="37"/>
  <c r="I14" i="37"/>
  <c r="I15" i="37"/>
  <c r="I16" i="37"/>
  <c r="I17" i="37"/>
  <c r="I18" i="37"/>
  <c r="I19" i="37"/>
  <c r="I20" i="37"/>
  <c r="I21" i="37"/>
  <c r="I22" i="37"/>
  <c r="I23" i="37"/>
  <c r="I24" i="37"/>
  <c r="I25" i="37"/>
  <c r="I26" i="37"/>
  <c r="I27" i="37"/>
  <c r="I28" i="37"/>
  <c r="I29" i="37"/>
  <c r="I30" i="37"/>
  <c r="I31" i="37"/>
  <c r="I32" i="37"/>
  <c r="I33" i="37"/>
  <c r="I34" i="37"/>
  <c r="I35" i="37"/>
  <c r="I36" i="37"/>
  <c r="I37" i="37"/>
  <c r="I38" i="37"/>
  <c r="I39" i="37"/>
  <c r="I40" i="37"/>
  <c r="I41" i="37"/>
  <c r="I42" i="37"/>
  <c r="I43" i="37"/>
  <c r="I44" i="37"/>
  <c r="I45" i="37"/>
  <c r="I46" i="37"/>
  <c r="I47" i="37"/>
  <c r="I48" i="37"/>
  <c r="I49" i="37"/>
  <c r="I50" i="37"/>
  <c r="I51" i="37"/>
  <c r="I52" i="37"/>
  <c r="I53" i="37"/>
  <c r="I54" i="37"/>
  <c r="I55" i="37"/>
  <c r="I56" i="37"/>
  <c r="I57" i="37"/>
  <c r="I58" i="37"/>
  <c r="I59" i="37"/>
  <c r="I60" i="37"/>
  <c r="I61" i="37"/>
  <c r="I62" i="37"/>
  <c r="I63" i="37"/>
  <c r="I64" i="37"/>
  <c r="I65" i="37"/>
  <c r="I66" i="37"/>
  <c r="I67" i="37"/>
  <c r="I68" i="37"/>
  <c r="I69" i="37"/>
  <c r="I70" i="37"/>
  <c r="I71" i="37"/>
  <c r="I72" i="37"/>
  <c r="I73" i="37"/>
  <c r="I74" i="37"/>
  <c r="I75" i="37"/>
  <c r="I76" i="37"/>
  <c r="I77" i="37"/>
  <c r="I78" i="37"/>
  <c r="I79" i="37"/>
  <c r="I80" i="37"/>
  <c r="I81" i="37"/>
  <c r="I82" i="37"/>
  <c r="I83" i="37"/>
  <c r="I84" i="37"/>
  <c r="I85" i="37"/>
  <c r="I86" i="37"/>
  <c r="I87" i="37"/>
  <c r="I88" i="37"/>
  <c r="I89" i="37"/>
  <c r="I90" i="37"/>
  <c r="I91" i="37"/>
  <c r="I92" i="37"/>
  <c r="I93" i="37"/>
  <c r="I94" i="37"/>
  <c r="I95" i="37"/>
  <c r="I96" i="37"/>
  <c r="I97" i="37"/>
  <c r="I98" i="37"/>
  <c r="I99" i="37"/>
  <c r="I100" i="37"/>
  <c r="I101" i="37"/>
  <c r="I102" i="37"/>
  <c r="I103" i="37"/>
  <c r="I104" i="37"/>
  <c r="I105" i="37"/>
  <c r="I106" i="37"/>
  <c r="I107" i="37"/>
  <c r="I108" i="37"/>
  <c r="I109" i="37"/>
  <c r="I110" i="37"/>
  <c r="I111" i="37"/>
  <c r="I112" i="37"/>
  <c r="I113" i="37"/>
  <c r="I114" i="37"/>
  <c r="I115" i="37"/>
  <c r="I116" i="37"/>
  <c r="I117" i="37"/>
  <c r="I118" i="37"/>
  <c r="I119" i="37"/>
  <c r="I120" i="37"/>
  <c r="I121" i="37"/>
  <c r="I122" i="37"/>
  <c r="I123" i="37"/>
  <c r="I124" i="37"/>
  <c r="I125" i="37"/>
  <c r="I126" i="37"/>
  <c r="I127" i="37"/>
  <c r="I128" i="37"/>
  <c r="I129" i="37"/>
  <c r="I130" i="37"/>
  <c r="I131" i="37"/>
  <c r="I132" i="37"/>
  <c r="I133" i="37"/>
  <c r="I134" i="37"/>
  <c r="I135" i="37"/>
  <c r="I136" i="37"/>
  <c r="I137" i="37"/>
  <c r="I138" i="37"/>
  <c r="I139" i="37"/>
  <c r="I140" i="37"/>
  <c r="I141" i="37"/>
  <c r="I142" i="37"/>
  <c r="I143" i="37"/>
  <c r="I144" i="37"/>
  <c r="I145" i="37"/>
  <c r="I146" i="37"/>
  <c r="I147" i="37"/>
  <c r="I148" i="37"/>
  <c r="I149" i="37"/>
  <c r="I150" i="37"/>
  <c r="I151" i="37"/>
  <c r="I152" i="37"/>
  <c r="I153" i="37"/>
  <c r="I154" i="37"/>
  <c r="I155" i="37"/>
  <c r="I156" i="37"/>
  <c r="I157" i="37"/>
  <c r="I158" i="37"/>
  <c r="I159" i="37"/>
  <c r="I160" i="37"/>
  <c r="I161" i="37"/>
  <c r="I162" i="37"/>
  <c r="I163" i="37"/>
  <c r="I164" i="37"/>
  <c r="I165" i="37"/>
  <c r="I166" i="37"/>
  <c r="I167" i="37"/>
  <c r="I168" i="37"/>
  <c r="I169" i="37"/>
  <c r="I170" i="37"/>
  <c r="I171" i="37"/>
  <c r="I172" i="37"/>
  <c r="I173" i="37"/>
  <c r="I174" i="37"/>
  <c r="I175" i="37"/>
  <c r="I176" i="37"/>
  <c r="I177" i="37"/>
  <c r="I178" i="37"/>
  <c r="I179" i="37"/>
  <c r="I180" i="37"/>
  <c r="I181" i="37"/>
  <c r="I182" i="37"/>
  <c r="I183" i="37"/>
  <c r="I184" i="37"/>
  <c r="I185" i="37"/>
  <c r="I186" i="37"/>
  <c r="I187" i="37"/>
  <c r="I188" i="37"/>
  <c r="I189" i="37"/>
  <c r="I190" i="37"/>
  <c r="I191" i="37"/>
  <c r="I192" i="37"/>
  <c r="I193" i="37"/>
  <c r="I194" i="37"/>
  <c r="I195" i="37"/>
  <c r="I196" i="37"/>
  <c r="I197" i="37"/>
  <c r="I198" i="37"/>
  <c r="I199" i="37"/>
  <c r="I200" i="37"/>
  <c r="I201" i="37"/>
  <c r="I202" i="37"/>
  <c r="I203" i="37"/>
  <c r="I204" i="37"/>
  <c r="I205" i="37"/>
  <c r="I206" i="37"/>
  <c r="I207" i="37"/>
  <c r="I208" i="37"/>
  <c r="I209" i="37"/>
  <c r="I210" i="37"/>
  <c r="I211" i="37"/>
  <c r="I212" i="37"/>
  <c r="I213" i="37"/>
  <c r="I214" i="37"/>
  <c r="I215" i="37"/>
  <c r="I9" i="37"/>
  <c r="H491" i="37"/>
  <c r="H492" i="37"/>
  <c r="H493" i="37"/>
  <c r="H494" i="37"/>
  <c r="H490" i="37"/>
  <c r="H488" i="37"/>
  <c r="H473" i="37"/>
  <c r="H474" i="37"/>
  <c r="H475" i="37"/>
  <c r="H476" i="37"/>
  <c r="H477" i="37"/>
  <c r="H478" i="37"/>
  <c r="H479" i="37"/>
  <c r="H480" i="37"/>
  <c r="H481" i="37"/>
  <c r="H482" i="37"/>
  <c r="H483" i="37"/>
  <c r="H484" i="37"/>
  <c r="H485" i="37"/>
  <c r="H486" i="37"/>
  <c r="H472" i="37"/>
  <c r="H453" i="37"/>
  <c r="H454" i="37"/>
  <c r="H455" i="37"/>
  <c r="H456" i="37"/>
  <c r="H457" i="37"/>
  <c r="H458" i="37"/>
  <c r="H459" i="37"/>
  <c r="H460" i="37"/>
  <c r="H461" i="37"/>
  <c r="H462" i="37"/>
  <c r="H463" i="37"/>
  <c r="H464" i="37"/>
  <c r="H465" i="37"/>
  <c r="H466" i="37"/>
  <c r="H467" i="37"/>
  <c r="H468" i="37"/>
  <c r="H469" i="37"/>
  <c r="H470" i="37"/>
  <c r="H452" i="37"/>
  <c r="H438" i="37"/>
  <c r="H439" i="37"/>
  <c r="H440" i="37"/>
  <c r="H441" i="37"/>
  <c r="H442" i="37"/>
  <c r="H443" i="37"/>
  <c r="H444" i="37"/>
  <c r="H445" i="37"/>
  <c r="H446" i="37"/>
  <c r="H447" i="37"/>
  <c r="H448" i="37"/>
  <c r="H449" i="37"/>
  <c r="H450" i="37"/>
  <c r="H437" i="37"/>
  <c r="H418" i="37"/>
  <c r="H419" i="37"/>
  <c r="H420" i="37"/>
  <c r="H421" i="37"/>
  <c r="H422" i="37"/>
  <c r="H423" i="37"/>
  <c r="H424" i="37"/>
  <c r="H425" i="37"/>
  <c r="H426" i="37"/>
  <c r="H427" i="37"/>
  <c r="H428" i="37"/>
  <c r="H429" i="37"/>
  <c r="H430" i="37"/>
  <c r="H431" i="37"/>
  <c r="H432" i="37"/>
  <c r="H433" i="37"/>
  <c r="H434" i="37"/>
  <c r="H435" i="37"/>
  <c r="H417" i="37"/>
  <c r="H379" i="37"/>
  <c r="H380" i="37"/>
  <c r="H381" i="37"/>
  <c r="H382" i="37"/>
  <c r="H383" i="37"/>
  <c r="H384" i="37"/>
  <c r="H385" i="37"/>
  <c r="H386" i="37"/>
  <c r="H387" i="37"/>
  <c r="H388" i="37"/>
  <c r="H389" i="37"/>
  <c r="H390" i="37"/>
  <c r="H391" i="37"/>
  <c r="H392" i="37"/>
  <c r="H393" i="37"/>
  <c r="H394" i="37"/>
  <c r="H395" i="37"/>
  <c r="H396" i="37"/>
  <c r="H397" i="37"/>
  <c r="H398" i="37"/>
  <c r="H399" i="37"/>
  <c r="H400" i="37"/>
  <c r="H401" i="37"/>
  <c r="H402" i="37"/>
  <c r="H403" i="37"/>
  <c r="H404" i="37"/>
  <c r="H405" i="37"/>
  <c r="H406" i="37"/>
  <c r="H407" i="37"/>
  <c r="H408" i="37"/>
  <c r="H409" i="37"/>
  <c r="H410" i="37"/>
  <c r="H411" i="37"/>
  <c r="H412" i="37"/>
  <c r="H413" i="37"/>
  <c r="H414" i="37"/>
  <c r="H415" i="37"/>
  <c r="H378" i="37"/>
  <c r="H341" i="37"/>
  <c r="H342" i="37"/>
  <c r="H343" i="37"/>
  <c r="H344" i="37"/>
  <c r="H345" i="37"/>
  <c r="H346" i="37"/>
  <c r="H347" i="37"/>
  <c r="H348" i="37"/>
  <c r="H349" i="37"/>
  <c r="H350" i="37"/>
  <c r="H351" i="37"/>
  <c r="H352" i="37"/>
  <c r="H353" i="37"/>
  <c r="H354" i="37"/>
  <c r="H355" i="37"/>
  <c r="H356" i="37"/>
  <c r="H357" i="37"/>
  <c r="H358" i="37"/>
  <c r="H359" i="37"/>
  <c r="H360" i="37"/>
  <c r="H361" i="37"/>
  <c r="H362" i="37"/>
  <c r="H363" i="37"/>
  <c r="H364" i="37"/>
  <c r="H365" i="37"/>
  <c r="H366" i="37"/>
  <c r="H367" i="37"/>
  <c r="H368" i="37"/>
  <c r="H369" i="37"/>
  <c r="H370" i="37"/>
  <c r="H371" i="37"/>
  <c r="H372" i="37"/>
  <c r="H373" i="37"/>
  <c r="H374" i="37"/>
  <c r="H375" i="37"/>
  <c r="H376" i="37"/>
  <c r="H340" i="37"/>
  <c r="H323" i="37"/>
  <c r="H324" i="37"/>
  <c r="H325" i="37"/>
  <c r="H326" i="37"/>
  <c r="H327" i="37"/>
  <c r="H328" i="37"/>
  <c r="H329" i="37"/>
  <c r="H330" i="37"/>
  <c r="H331" i="37"/>
  <c r="H332" i="37"/>
  <c r="H333" i="37"/>
  <c r="H334" i="37"/>
  <c r="H335" i="37"/>
  <c r="H336" i="37"/>
  <c r="H337" i="37"/>
  <c r="H338" i="37"/>
  <c r="H322" i="37"/>
  <c r="H259" i="37"/>
  <c r="H260" i="37"/>
  <c r="H261" i="37"/>
  <c r="H262" i="37"/>
  <c r="H263" i="37"/>
  <c r="H264" i="37"/>
  <c r="H265" i="37"/>
  <c r="H266" i="37"/>
  <c r="H267" i="37"/>
  <c r="H268" i="37"/>
  <c r="H269" i="37"/>
  <c r="H270" i="37"/>
  <c r="H271" i="37"/>
  <c r="H272" i="37"/>
  <c r="H273" i="37"/>
  <c r="H274" i="37"/>
  <c r="H275" i="37"/>
  <c r="H276" i="37"/>
  <c r="H277" i="37"/>
  <c r="H278" i="37"/>
  <c r="H279" i="37"/>
  <c r="H280" i="37"/>
  <c r="H281" i="37"/>
  <c r="H282" i="37"/>
  <c r="H283" i="37"/>
  <c r="H284" i="37"/>
  <c r="H285" i="37"/>
  <c r="H286" i="37"/>
  <c r="H287" i="37"/>
  <c r="H288" i="37"/>
  <c r="H289" i="37"/>
  <c r="H290" i="37"/>
  <c r="H291" i="37"/>
  <c r="H292" i="37"/>
  <c r="H293" i="37"/>
  <c r="H294" i="37"/>
  <c r="H295" i="37"/>
  <c r="H296" i="37"/>
  <c r="H297" i="37"/>
  <c r="H298" i="37"/>
  <c r="H299" i="37"/>
  <c r="H300" i="37"/>
  <c r="H301" i="37"/>
  <c r="H302" i="37"/>
  <c r="H303" i="37"/>
  <c r="H304" i="37"/>
  <c r="H305" i="37"/>
  <c r="H306" i="37"/>
  <c r="H307" i="37"/>
  <c r="H308" i="37"/>
  <c r="H309" i="37"/>
  <c r="H310" i="37"/>
  <c r="H311" i="37"/>
  <c r="H312" i="37"/>
  <c r="H313" i="37"/>
  <c r="H314" i="37"/>
  <c r="H315" i="37"/>
  <c r="H316" i="37"/>
  <c r="H317" i="37"/>
  <c r="H318" i="37"/>
  <c r="H319" i="37"/>
  <c r="H320" i="37"/>
  <c r="H258" i="37"/>
  <c r="H219" i="37"/>
  <c r="H220" i="37"/>
  <c r="H221" i="37"/>
  <c r="H222" i="37"/>
  <c r="H223" i="37"/>
  <c r="H224" i="37"/>
  <c r="H225" i="37"/>
  <c r="H226" i="37"/>
  <c r="H227" i="37"/>
  <c r="H228" i="37"/>
  <c r="H229" i="37"/>
  <c r="H230" i="37"/>
  <c r="H231" i="37"/>
  <c r="H232" i="37"/>
  <c r="H233" i="37"/>
  <c r="H234" i="37"/>
  <c r="H235" i="37"/>
  <c r="H236" i="37"/>
  <c r="H237" i="37"/>
  <c r="H238" i="37"/>
  <c r="H239" i="37"/>
  <c r="H240" i="37"/>
  <c r="H241" i="37"/>
  <c r="H242" i="37"/>
  <c r="H243" i="37"/>
  <c r="H244" i="37"/>
  <c r="H245" i="37"/>
  <c r="H246" i="37"/>
  <c r="H247" i="37"/>
  <c r="H248" i="37"/>
  <c r="H249" i="37"/>
  <c r="H250" i="37"/>
  <c r="H251" i="37"/>
  <c r="H252" i="37"/>
  <c r="H253" i="37"/>
  <c r="H254" i="37"/>
  <c r="H255" i="37"/>
  <c r="H256" i="37"/>
  <c r="H218" i="37"/>
  <c r="H217" i="37"/>
  <c r="H10" i="37"/>
  <c r="H11" i="37"/>
  <c r="H12" i="37"/>
  <c r="H13" i="37"/>
  <c r="H14" i="37"/>
  <c r="H15" i="37"/>
  <c r="H16" i="37"/>
  <c r="H17" i="37"/>
  <c r="H18" i="37"/>
  <c r="H19" i="37"/>
  <c r="H20" i="37"/>
  <c r="H21" i="37"/>
  <c r="H22" i="37"/>
  <c r="H23" i="37"/>
  <c r="H24" i="37"/>
  <c r="H25" i="37"/>
  <c r="H26" i="37"/>
  <c r="H27" i="37"/>
  <c r="H28" i="37"/>
  <c r="H29" i="37"/>
  <c r="H30" i="37"/>
  <c r="H31" i="37"/>
  <c r="H32" i="37"/>
  <c r="H33" i="37"/>
  <c r="H34" i="37"/>
  <c r="H35" i="37"/>
  <c r="H36" i="37"/>
  <c r="H37" i="37"/>
  <c r="H38" i="37"/>
  <c r="H39" i="37"/>
  <c r="H40" i="37"/>
  <c r="H41" i="37"/>
  <c r="H42" i="37"/>
  <c r="H43" i="37"/>
  <c r="H44" i="37"/>
  <c r="H45" i="37"/>
  <c r="H46" i="37"/>
  <c r="H47" i="37"/>
  <c r="H48" i="37"/>
  <c r="H49" i="37"/>
  <c r="H50" i="37"/>
  <c r="H51" i="37"/>
  <c r="H52" i="37"/>
  <c r="H53" i="37"/>
  <c r="H54" i="37"/>
  <c r="H55" i="37"/>
  <c r="H56" i="37"/>
  <c r="H57" i="37"/>
  <c r="H58" i="37"/>
  <c r="H59" i="37"/>
  <c r="H60" i="37"/>
  <c r="H61" i="37"/>
  <c r="H62" i="37"/>
  <c r="H63" i="37"/>
  <c r="H64" i="37"/>
  <c r="H65" i="37"/>
  <c r="H66" i="37"/>
  <c r="H67" i="37"/>
  <c r="H68" i="37"/>
  <c r="H69" i="37"/>
  <c r="H70" i="37"/>
  <c r="H71" i="37"/>
  <c r="H72" i="37"/>
  <c r="H73" i="37"/>
  <c r="H74" i="37"/>
  <c r="H75" i="37"/>
  <c r="H76" i="37"/>
  <c r="H77" i="37"/>
  <c r="H78" i="37"/>
  <c r="H79" i="37"/>
  <c r="H80" i="37"/>
  <c r="H81" i="37"/>
  <c r="H82" i="37"/>
  <c r="H83" i="37"/>
  <c r="H84" i="37"/>
  <c r="H85" i="37"/>
  <c r="H86" i="37"/>
  <c r="H87" i="37"/>
  <c r="H88" i="37"/>
  <c r="H89" i="37"/>
  <c r="H90" i="37"/>
  <c r="H91" i="37"/>
  <c r="H92" i="37"/>
  <c r="H93" i="37"/>
  <c r="H94" i="37"/>
  <c r="H95" i="37"/>
  <c r="H96" i="37"/>
  <c r="H97" i="37"/>
  <c r="H98" i="37"/>
  <c r="H99" i="37"/>
  <c r="H100" i="37"/>
  <c r="H101" i="37"/>
  <c r="H102" i="37"/>
  <c r="H103" i="37"/>
  <c r="H104" i="37"/>
  <c r="H105" i="37"/>
  <c r="H106" i="37"/>
  <c r="H107" i="37"/>
  <c r="H108" i="37"/>
  <c r="H109" i="37"/>
  <c r="H110" i="37"/>
  <c r="H111" i="37"/>
  <c r="H112" i="37"/>
  <c r="H113" i="37"/>
  <c r="H114" i="37"/>
  <c r="H115" i="37"/>
  <c r="H116" i="37"/>
  <c r="H117" i="37"/>
  <c r="H118" i="37"/>
  <c r="H119" i="37"/>
  <c r="H120" i="37"/>
  <c r="H121" i="37"/>
  <c r="H122" i="37"/>
  <c r="H123" i="37"/>
  <c r="H124" i="37"/>
  <c r="H125" i="37"/>
  <c r="H126" i="37"/>
  <c r="H127" i="37"/>
  <c r="H128" i="37"/>
  <c r="H129" i="37"/>
  <c r="H130" i="37"/>
  <c r="H131" i="37"/>
  <c r="H132" i="37"/>
  <c r="H133" i="37"/>
  <c r="H134" i="37"/>
  <c r="H135" i="37"/>
  <c r="H136" i="37"/>
  <c r="H137" i="37"/>
  <c r="H138" i="37"/>
  <c r="H139" i="37"/>
  <c r="H140" i="37"/>
  <c r="H141" i="37"/>
  <c r="H142" i="37"/>
  <c r="H143" i="37"/>
  <c r="H144" i="37"/>
  <c r="H145" i="37"/>
  <c r="H146" i="37"/>
  <c r="H147" i="37"/>
  <c r="H148" i="37"/>
  <c r="H149" i="37"/>
  <c r="H150" i="37"/>
  <c r="H151" i="37"/>
  <c r="H152" i="37"/>
  <c r="H153" i="37"/>
  <c r="H154" i="37"/>
  <c r="H155" i="37"/>
  <c r="H156" i="37"/>
  <c r="H157" i="37"/>
  <c r="H158" i="37"/>
  <c r="H159" i="37"/>
  <c r="H160" i="37"/>
  <c r="H161" i="37"/>
  <c r="H162" i="37"/>
  <c r="H163" i="37"/>
  <c r="H164" i="37"/>
  <c r="H165" i="37"/>
  <c r="H166" i="37"/>
  <c r="H167" i="37"/>
  <c r="H168" i="37"/>
  <c r="H169" i="37"/>
  <c r="H170" i="37"/>
  <c r="H171" i="37"/>
  <c r="H172" i="37"/>
  <c r="H173" i="37"/>
  <c r="H174" i="37"/>
  <c r="H175" i="37"/>
  <c r="H176" i="37"/>
  <c r="H177" i="37"/>
  <c r="H178" i="37"/>
  <c r="H179" i="37"/>
  <c r="H180" i="37"/>
  <c r="H181" i="37"/>
  <c r="H182" i="37"/>
  <c r="H183" i="37"/>
  <c r="H184" i="37"/>
  <c r="H185" i="37"/>
  <c r="H186" i="37"/>
  <c r="H187" i="37"/>
  <c r="H188" i="37"/>
  <c r="H189" i="37"/>
  <c r="H190" i="37"/>
  <c r="H191" i="37"/>
  <c r="H192" i="37"/>
  <c r="H193" i="37"/>
  <c r="H194" i="37"/>
  <c r="H195" i="37"/>
  <c r="H196" i="37"/>
  <c r="H197" i="37"/>
  <c r="H198" i="37"/>
  <c r="H199" i="37"/>
  <c r="H200" i="37"/>
  <c r="H201" i="37"/>
  <c r="H202" i="37"/>
  <c r="H203" i="37"/>
  <c r="H204" i="37"/>
  <c r="H205" i="37"/>
  <c r="H206" i="37"/>
  <c r="H207" i="37"/>
  <c r="H208" i="37"/>
  <c r="H209" i="37"/>
  <c r="H210" i="37"/>
  <c r="H211" i="37"/>
  <c r="H212" i="37"/>
  <c r="H213" i="37"/>
  <c r="H214" i="37"/>
  <c r="H215" i="37"/>
  <c r="H9" i="37"/>
  <c r="G491" i="37"/>
  <c r="G492" i="37"/>
  <c r="G493" i="37"/>
  <c r="G494" i="37"/>
  <c r="G490" i="37"/>
  <c r="G488" i="37"/>
  <c r="G473" i="37"/>
  <c r="G474" i="37"/>
  <c r="G475" i="37"/>
  <c r="G476" i="37"/>
  <c r="G477" i="37"/>
  <c r="G478" i="37"/>
  <c r="G479" i="37"/>
  <c r="G480" i="37"/>
  <c r="G481" i="37"/>
  <c r="G482" i="37"/>
  <c r="G483" i="37"/>
  <c r="G484" i="37"/>
  <c r="G485" i="37"/>
  <c r="G486" i="37"/>
  <c r="G472" i="37"/>
  <c r="G453" i="37"/>
  <c r="G454" i="37"/>
  <c r="G455" i="37"/>
  <c r="G456" i="37"/>
  <c r="G457" i="37"/>
  <c r="G458" i="37"/>
  <c r="G459" i="37"/>
  <c r="G460" i="37"/>
  <c r="G461" i="37"/>
  <c r="G462" i="37"/>
  <c r="G463" i="37"/>
  <c r="G464" i="37"/>
  <c r="G465" i="37"/>
  <c r="G466" i="37"/>
  <c r="G467" i="37"/>
  <c r="G468" i="37"/>
  <c r="G469" i="37"/>
  <c r="G470" i="37"/>
  <c r="G452" i="37"/>
  <c r="G438" i="37"/>
  <c r="G439" i="37"/>
  <c r="G440" i="37"/>
  <c r="G441" i="37"/>
  <c r="G442" i="37"/>
  <c r="G443" i="37"/>
  <c r="G444" i="37"/>
  <c r="G445" i="37"/>
  <c r="G446" i="37"/>
  <c r="G447" i="37"/>
  <c r="G448" i="37"/>
  <c r="G449" i="37"/>
  <c r="G450" i="37"/>
  <c r="G437" i="37"/>
  <c r="G418" i="37"/>
  <c r="G419" i="37"/>
  <c r="G420" i="37"/>
  <c r="G421" i="37"/>
  <c r="G422" i="37"/>
  <c r="G423" i="37"/>
  <c r="G424" i="37"/>
  <c r="G425" i="37"/>
  <c r="G426" i="37"/>
  <c r="G427" i="37"/>
  <c r="G428" i="37"/>
  <c r="G429" i="37"/>
  <c r="G430" i="37"/>
  <c r="G431" i="37"/>
  <c r="G432" i="37"/>
  <c r="G433" i="37"/>
  <c r="G434" i="37"/>
  <c r="G435" i="37"/>
  <c r="G417" i="37"/>
  <c r="G379" i="37"/>
  <c r="G380" i="37"/>
  <c r="G381" i="37"/>
  <c r="G382" i="37"/>
  <c r="G383" i="37"/>
  <c r="G384" i="37"/>
  <c r="G385" i="37"/>
  <c r="G386" i="37"/>
  <c r="G387" i="37"/>
  <c r="G388" i="37"/>
  <c r="G389" i="37"/>
  <c r="G390" i="37"/>
  <c r="G391" i="37"/>
  <c r="G392" i="37"/>
  <c r="G393" i="37"/>
  <c r="G394" i="37"/>
  <c r="G395" i="37"/>
  <c r="G396" i="37"/>
  <c r="G397" i="37"/>
  <c r="G398" i="37"/>
  <c r="G399" i="37"/>
  <c r="G400" i="37"/>
  <c r="G401" i="37"/>
  <c r="G402" i="37"/>
  <c r="G403" i="37"/>
  <c r="G404" i="37"/>
  <c r="G405" i="37"/>
  <c r="G406" i="37"/>
  <c r="G407" i="37"/>
  <c r="G408" i="37"/>
  <c r="G409" i="37"/>
  <c r="G410" i="37"/>
  <c r="G411" i="37"/>
  <c r="G412" i="37"/>
  <c r="G413" i="37"/>
  <c r="G414" i="37"/>
  <c r="G415" i="37"/>
  <c r="G378" i="37"/>
  <c r="G341" i="37"/>
  <c r="G342" i="37"/>
  <c r="G343" i="37"/>
  <c r="G344" i="37"/>
  <c r="G345" i="37"/>
  <c r="G346" i="37"/>
  <c r="G347" i="37"/>
  <c r="G348" i="37"/>
  <c r="G349" i="37"/>
  <c r="G350" i="37"/>
  <c r="G351" i="37"/>
  <c r="G352" i="37"/>
  <c r="G353" i="37"/>
  <c r="G354" i="37"/>
  <c r="G355" i="37"/>
  <c r="G356" i="37"/>
  <c r="G357" i="37"/>
  <c r="G358" i="37"/>
  <c r="G359" i="37"/>
  <c r="G360" i="37"/>
  <c r="G361" i="37"/>
  <c r="G362" i="37"/>
  <c r="G363" i="37"/>
  <c r="G364" i="37"/>
  <c r="G365" i="37"/>
  <c r="G366" i="37"/>
  <c r="G367" i="37"/>
  <c r="G368" i="37"/>
  <c r="G369" i="37"/>
  <c r="G370" i="37"/>
  <c r="G371" i="37"/>
  <c r="G372" i="37"/>
  <c r="G373" i="37"/>
  <c r="G374" i="37"/>
  <c r="G375" i="37"/>
  <c r="G376" i="37"/>
  <c r="G340" i="37"/>
  <c r="G323" i="37"/>
  <c r="G324" i="37"/>
  <c r="G325" i="37"/>
  <c r="G326" i="37"/>
  <c r="G327" i="37"/>
  <c r="G328" i="37"/>
  <c r="G329" i="37"/>
  <c r="G330" i="37"/>
  <c r="G331" i="37"/>
  <c r="G332" i="37"/>
  <c r="G333" i="37"/>
  <c r="G334" i="37"/>
  <c r="G335" i="37"/>
  <c r="G336" i="37"/>
  <c r="G337" i="37"/>
  <c r="G338" i="37"/>
  <c r="G322" i="37"/>
  <c r="G259" i="37"/>
  <c r="G260" i="37"/>
  <c r="G261" i="37"/>
  <c r="G262" i="37"/>
  <c r="G263" i="37"/>
  <c r="G264" i="37"/>
  <c r="G265" i="37"/>
  <c r="G266" i="37"/>
  <c r="G267" i="37"/>
  <c r="G268" i="37"/>
  <c r="G269" i="37"/>
  <c r="G270" i="37"/>
  <c r="G271" i="37"/>
  <c r="G272" i="37"/>
  <c r="G273" i="37"/>
  <c r="G274" i="37"/>
  <c r="G275" i="37"/>
  <c r="G276" i="37"/>
  <c r="G277" i="37"/>
  <c r="G278" i="37"/>
  <c r="G279" i="37"/>
  <c r="G280" i="37"/>
  <c r="G281" i="37"/>
  <c r="G282" i="37"/>
  <c r="G283" i="37"/>
  <c r="G284" i="37"/>
  <c r="G285" i="37"/>
  <c r="G286" i="37"/>
  <c r="G287" i="37"/>
  <c r="G288" i="37"/>
  <c r="G289" i="37"/>
  <c r="G290" i="37"/>
  <c r="G291" i="37"/>
  <c r="G292" i="37"/>
  <c r="G293" i="37"/>
  <c r="G294" i="37"/>
  <c r="G295" i="37"/>
  <c r="G296" i="37"/>
  <c r="G297" i="37"/>
  <c r="G298" i="37"/>
  <c r="G299" i="37"/>
  <c r="G300" i="37"/>
  <c r="G301" i="37"/>
  <c r="G302" i="37"/>
  <c r="G303" i="37"/>
  <c r="G304" i="37"/>
  <c r="G305" i="37"/>
  <c r="G306" i="37"/>
  <c r="G307" i="37"/>
  <c r="G308" i="37"/>
  <c r="G309" i="37"/>
  <c r="G310" i="37"/>
  <c r="G311" i="37"/>
  <c r="G312" i="37"/>
  <c r="G313" i="37"/>
  <c r="G314" i="37"/>
  <c r="G315" i="37"/>
  <c r="G316" i="37"/>
  <c r="G317" i="37"/>
  <c r="G318" i="37"/>
  <c r="G319" i="37"/>
  <c r="G320" i="37"/>
  <c r="G258" i="37"/>
  <c r="G218" i="37"/>
  <c r="G219" i="37"/>
  <c r="G220" i="37"/>
  <c r="G221" i="37"/>
  <c r="G222" i="37"/>
  <c r="G223" i="37"/>
  <c r="G224" i="37"/>
  <c r="G225" i="37"/>
  <c r="G226" i="37"/>
  <c r="G227" i="37"/>
  <c r="G228" i="37"/>
  <c r="G229" i="37"/>
  <c r="G230" i="37"/>
  <c r="G231" i="37"/>
  <c r="G232" i="37"/>
  <c r="G233" i="37"/>
  <c r="G234" i="37"/>
  <c r="G235" i="37"/>
  <c r="G236" i="37"/>
  <c r="G237" i="37"/>
  <c r="G238" i="37"/>
  <c r="G239" i="37"/>
  <c r="G240" i="37"/>
  <c r="G241" i="37"/>
  <c r="G242" i="37"/>
  <c r="G243" i="37"/>
  <c r="G244" i="37"/>
  <c r="G245" i="37"/>
  <c r="G246" i="37"/>
  <c r="G247" i="37"/>
  <c r="G248" i="37"/>
  <c r="G249" i="37"/>
  <c r="G250" i="37"/>
  <c r="G251" i="37"/>
  <c r="G252" i="37"/>
  <c r="G253" i="37"/>
  <c r="G254" i="37"/>
  <c r="G255" i="37"/>
  <c r="G256" i="37"/>
  <c r="G217" i="37"/>
  <c r="G10" i="37"/>
  <c r="G11" i="37"/>
  <c r="G12" i="37"/>
  <c r="G13" i="37"/>
  <c r="G14" i="37"/>
  <c r="G15" i="37"/>
  <c r="G16" i="37"/>
  <c r="G17" i="37"/>
  <c r="G18" i="37"/>
  <c r="G19" i="37"/>
  <c r="G20" i="37"/>
  <c r="G21" i="37"/>
  <c r="G22" i="37"/>
  <c r="G23" i="37"/>
  <c r="G24" i="37"/>
  <c r="G25" i="37"/>
  <c r="G26" i="37"/>
  <c r="G27" i="37"/>
  <c r="G28" i="37"/>
  <c r="G29" i="37"/>
  <c r="G30" i="37"/>
  <c r="G31" i="37"/>
  <c r="G32" i="37"/>
  <c r="G33" i="37"/>
  <c r="G34" i="37"/>
  <c r="G35" i="37"/>
  <c r="G36" i="37"/>
  <c r="G37" i="37"/>
  <c r="G38" i="37"/>
  <c r="G39" i="37"/>
  <c r="G40" i="37"/>
  <c r="G41" i="37"/>
  <c r="G42" i="37"/>
  <c r="G43" i="37"/>
  <c r="G44" i="37"/>
  <c r="G45" i="37"/>
  <c r="G46" i="37"/>
  <c r="G47" i="37"/>
  <c r="G48" i="37"/>
  <c r="G49" i="37"/>
  <c r="G50" i="37"/>
  <c r="G51" i="37"/>
  <c r="G52" i="37"/>
  <c r="G53" i="37"/>
  <c r="G54" i="37"/>
  <c r="G55" i="37"/>
  <c r="G56" i="37"/>
  <c r="G57" i="37"/>
  <c r="G58" i="37"/>
  <c r="G59" i="37"/>
  <c r="G60" i="37"/>
  <c r="G61" i="37"/>
  <c r="G62" i="37"/>
  <c r="G63" i="37"/>
  <c r="G64" i="37"/>
  <c r="G65" i="37"/>
  <c r="G66" i="37"/>
  <c r="G67" i="37"/>
  <c r="G68" i="37"/>
  <c r="G69" i="37"/>
  <c r="G70" i="37"/>
  <c r="G71" i="37"/>
  <c r="G72" i="37"/>
  <c r="G73" i="37"/>
  <c r="G74" i="37"/>
  <c r="G75" i="37"/>
  <c r="G76" i="37"/>
  <c r="G77" i="37"/>
  <c r="G78" i="37"/>
  <c r="G79" i="37"/>
  <c r="G80" i="37"/>
  <c r="G81" i="37"/>
  <c r="G82" i="37"/>
  <c r="G83" i="37"/>
  <c r="G84" i="37"/>
  <c r="G85" i="37"/>
  <c r="G86" i="37"/>
  <c r="G87" i="37"/>
  <c r="G88" i="37"/>
  <c r="G89" i="37"/>
  <c r="G90" i="37"/>
  <c r="G91" i="37"/>
  <c r="G92" i="37"/>
  <c r="G93" i="37"/>
  <c r="G94" i="37"/>
  <c r="G95" i="37"/>
  <c r="G96" i="37"/>
  <c r="G97" i="37"/>
  <c r="G98" i="37"/>
  <c r="G99" i="37"/>
  <c r="G100" i="37"/>
  <c r="G101" i="37"/>
  <c r="G102" i="37"/>
  <c r="G103" i="37"/>
  <c r="G104" i="37"/>
  <c r="G105" i="37"/>
  <c r="G106" i="37"/>
  <c r="G107" i="37"/>
  <c r="G108" i="37"/>
  <c r="G109" i="37"/>
  <c r="G110" i="37"/>
  <c r="G111" i="37"/>
  <c r="G112" i="37"/>
  <c r="G113" i="37"/>
  <c r="G114" i="37"/>
  <c r="G115" i="37"/>
  <c r="G116" i="37"/>
  <c r="G117" i="37"/>
  <c r="G118" i="37"/>
  <c r="G119" i="37"/>
  <c r="G120" i="37"/>
  <c r="G121" i="37"/>
  <c r="G122" i="37"/>
  <c r="G123" i="37"/>
  <c r="G124" i="37"/>
  <c r="G125" i="37"/>
  <c r="G126" i="37"/>
  <c r="G127" i="37"/>
  <c r="G128" i="37"/>
  <c r="G129" i="37"/>
  <c r="G130" i="37"/>
  <c r="G131" i="37"/>
  <c r="G132" i="37"/>
  <c r="G133" i="37"/>
  <c r="G134" i="37"/>
  <c r="G135" i="37"/>
  <c r="G136" i="37"/>
  <c r="G137" i="37"/>
  <c r="G138" i="37"/>
  <c r="G139" i="37"/>
  <c r="G140" i="37"/>
  <c r="G141" i="37"/>
  <c r="G142" i="37"/>
  <c r="G143" i="37"/>
  <c r="G144" i="37"/>
  <c r="G145" i="37"/>
  <c r="G146" i="37"/>
  <c r="G147" i="37"/>
  <c r="G148" i="37"/>
  <c r="G149" i="37"/>
  <c r="G150" i="37"/>
  <c r="G151" i="37"/>
  <c r="G152" i="37"/>
  <c r="G153" i="37"/>
  <c r="G154" i="37"/>
  <c r="G155" i="37"/>
  <c r="G156" i="37"/>
  <c r="G157" i="37"/>
  <c r="G158" i="37"/>
  <c r="G159" i="37"/>
  <c r="G160" i="37"/>
  <c r="G161" i="37"/>
  <c r="G162" i="37"/>
  <c r="G163" i="37"/>
  <c r="G164" i="37"/>
  <c r="G165" i="37"/>
  <c r="G166" i="37"/>
  <c r="G167" i="37"/>
  <c r="G168" i="37"/>
  <c r="G169" i="37"/>
  <c r="G170" i="37"/>
  <c r="G171" i="37"/>
  <c r="G172" i="37"/>
  <c r="G173" i="37"/>
  <c r="G174" i="37"/>
  <c r="G175" i="37"/>
  <c r="G176" i="37"/>
  <c r="G177" i="37"/>
  <c r="G178" i="37"/>
  <c r="G179" i="37"/>
  <c r="G180" i="37"/>
  <c r="G181" i="37"/>
  <c r="G182" i="37"/>
  <c r="G183" i="37"/>
  <c r="G184" i="37"/>
  <c r="G185" i="37"/>
  <c r="G186" i="37"/>
  <c r="G187" i="37"/>
  <c r="G188" i="37"/>
  <c r="G189" i="37"/>
  <c r="G190" i="37"/>
  <c r="G191" i="37"/>
  <c r="G192" i="37"/>
  <c r="G193" i="37"/>
  <c r="G194" i="37"/>
  <c r="G195" i="37"/>
  <c r="G196" i="37"/>
  <c r="G197" i="37"/>
  <c r="G198" i="37"/>
  <c r="G199" i="37"/>
  <c r="G200" i="37"/>
  <c r="G201" i="37"/>
  <c r="G202" i="37"/>
  <c r="G203" i="37"/>
  <c r="G204" i="37"/>
  <c r="G205" i="37"/>
  <c r="G206" i="37"/>
  <c r="G207" i="37"/>
  <c r="G208" i="37"/>
  <c r="G209" i="37"/>
  <c r="G210" i="37"/>
  <c r="G211" i="37"/>
  <c r="G212" i="37"/>
  <c r="G213" i="37"/>
  <c r="G214" i="37"/>
  <c r="G215" i="37"/>
  <c r="G9" i="37"/>
  <c r="F491" i="37"/>
  <c r="F492" i="37"/>
  <c r="F493" i="37"/>
  <c r="F494" i="37"/>
  <c r="F490" i="37"/>
  <c r="F488" i="37"/>
  <c r="F473" i="37"/>
  <c r="F474" i="37"/>
  <c r="F475" i="37"/>
  <c r="F476" i="37"/>
  <c r="F477" i="37"/>
  <c r="F478" i="37"/>
  <c r="F479" i="37"/>
  <c r="F480" i="37"/>
  <c r="F481" i="37"/>
  <c r="F482" i="37"/>
  <c r="F483" i="37"/>
  <c r="F484" i="37"/>
  <c r="F485" i="37"/>
  <c r="F486" i="37"/>
  <c r="F472" i="37"/>
  <c r="F453" i="37"/>
  <c r="F454" i="37"/>
  <c r="F455" i="37"/>
  <c r="F456" i="37"/>
  <c r="F457" i="37"/>
  <c r="F458" i="37"/>
  <c r="F459" i="37"/>
  <c r="F460" i="37"/>
  <c r="F461" i="37"/>
  <c r="F462" i="37"/>
  <c r="F463" i="37"/>
  <c r="F464" i="37"/>
  <c r="F465" i="37"/>
  <c r="F466" i="37"/>
  <c r="F467" i="37"/>
  <c r="F468" i="37"/>
  <c r="F469" i="37"/>
  <c r="F470" i="37"/>
  <c r="F452" i="37"/>
  <c r="F438" i="37"/>
  <c r="F439" i="37"/>
  <c r="F440" i="37"/>
  <c r="F441" i="37"/>
  <c r="F442" i="37"/>
  <c r="F443" i="37"/>
  <c r="F444" i="37"/>
  <c r="F445" i="37"/>
  <c r="F446" i="37"/>
  <c r="F447" i="37"/>
  <c r="F448" i="37"/>
  <c r="F449" i="37"/>
  <c r="F450" i="37"/>
  <c r="F437" i="37"/>
  <c r="F418" i="37"/>
  <c r="F419" i="37"/>
  <c r="F420" i="37"/>
  <c r="F421" i="37"/>
  <c r="F422" i="37"/>
  <c r="F423" i="37"/>
  <c r="F424" i="37"/>
  <c r="F425" i="37"/>
  <c r="F426" i="37"/>
  <c r="F427" i="37"/>
  <c r="F428" i="37"/>
  <c r="F429" i="37"/>
  <c r="F430" i="37"/>
  <c r="F431" i="37"/>
  <c r="F432" i="37"/>
  <c r="F433" i="37"/>
  <c r="F434" i="37"/>
  <c r="F435" i="37"/>
  <c r="F417" i="37"/>
  <c r="F379" i="37"/>
  <c r="F380" i="37"/>
  <c r="F381" i="37"/>
  <c r="F382" i="37"/>
  <c r="F383" i="37"/>
  <c r="F384" i="37"/>
  <c r="F385" i="37"/>
  <c r="F386" i="37"/>
  <c r="F387" i="37"/>
  <c r="F388" i="37"/>
  <c r="F389" i="37"/>
  <c r="F390" i="37"/>
  <c r="F391" i="37"/>
  <c r="F392" i="37"/>
  <c r="F393" i="37"/>
  <c r="F394" i="37"/>
  <c r="F395" i="37"/>
  <c r="F396" i="37"/>
  <c r="F397" i="37"/>
  <c r="F398" i="37"/>
  <c r="F399" i="37"/>
  <c r="F400" i="37"/>
  <c r="F401" i="37"/>
  <c r="F402" i="37"/>
  <c r="F403" i="37"/>
  <c r="F404" i="37"/>
  <c r="F405" i="37"/>
  <c r="F406" i="37"/>
  <c r="F407" i="37"/>
  <c r="F408" i="37"/>
  <c r="F409" i="37"/>
  <c r="F410" i="37"/>
  <c r="F411" i="37"/>
  <c r="F412" i="37"/>
  <c r="F413" i="37"/>
  <c r="F414" i="37"/>
  <c r="F415" i="37"/>
  <c r="F378" i="37"/>
  <c r="F341" i="37"/>
  <c r="F342" i="37"/>
  <c r="F343" i="37"/>
  <c r="F344" i="37"/>
  <c r="F345" i="37"/>
  <c r="F346" i="37"/>
  <c r="F347" i="37"/>
  <c r="F348" i="37"/>
  <c r="F349" i="37"/>
  <c r="F350" i="37"/>
  <c r="F351" i="37"/>
  <c r="F352" i="37"/>
  <c r="F353" i="37"/>
  <c r="F354" i="37"/>
  <c r="F355" i="37"/>
  <c r="F356" i="37"/>
  <c r="F357" i="37"/>
  <c r="F358" i="37"/>
  <c r="F359" i="37"/>
  <c r="F360" i="37"/>
  <c r="F361" i="37"/>
  <c r="F362" i="37"/>
  <c r="F363" i="37"/>
  <c r="F364" i="37"/>
  <c r="F365" i="37"/>
  <c r="F366" i="37"/>
  <c r="F367" i="37"/>
  <c r="F368" i="37"/>
  <c r="F369" i="37"/>
  <c r="F370" i="37"/>
  <c r="F371" i="37"/>
  <c r="F372" i="37"/>
  <c r="F373" i="37"/>
  <c r="F374" i="37"/>
  <c r="F375" i="37"/>
  <c r="F376" i="37"/>
  <c r="F340" i="37"/>
  <c r="F323" i="37"/>
  <c r="F324" i="37"/>
  <c r="F325" i="37"/>
  <c r="F326" i="37"/>
  <c r="F327" i="37"/>
  <c r="F328" i="37"/>
  <c r="F329" i="37"/>
  <c r="F330" i="37"/>
  <c r="F331" i="37"/>
  <c r="F332" i="37"/>
  <c r="F333" i="37"/>
  <c r="F334" i="37"/>
  <c r="F335" i="37"/>
  <c r="F336" i="37"/>
  <c r="F337" i="37"/>
  <c r="F338" i="37"/>
  <c r="F322" i="37"/>
  <c r="F259" i="37"/>
  <c r="F260" i="37"/>
  <c r="F261" i="37"/>
  <c r="F262" i="37"/>
  <c r="F263" i="37"/>
  <c r="F264" i="37"/>
  <c r="F265" i="37"/>
  <c r="F266" i="37"/>
  <c r="F267" i="37"/>
  <c r="F268" i="37"/>
  <c r="F269" i="37"/>
  <c r="F270" i="37"/>
  <c r="F271" i="37"/>
  <c r="F272" i="37"/>
  <c r="F273" i="37"/>
  <c r="F274" i="37"/>
  <c r="F275" i="37"/>
  <c r="F276" i="37"/>
  <c r="F277" i="37"/>
  <c r="F278" i="37"/>
  <c r="F279" i="37"/>
  <c r="F280" i="37"/>
  <c r="F281" i="37"/>
  <c r="F282" i="37"/>
  <c r="F283" i="37"/>
  <c r="F284" i="37"/>
  <c r="F285" i="37"/>
  <c r="F286" i="37"/>
  <c r="F287" i="37"/>
  <c r="F288" i="37"/>
  <c r="F289" i="37"/>
  <c r="F290" i="37"/>
  <c r="F291" i="37"/>
  <c r="F292" i="37"/>
  <c r="F293" i="37"/>
  <c r="F294" i="37"/>
  <c r="F295" i="37"/>
  <c r="F296" i="37"/>
  <c r="F297" i="37"/>
  <c r="F298" i="37"/>
  <c r="F299" i="37"/>
  <c r="F300" i="37"/>
  <c r="F301" i="37"/>
  <c r="F302" i="37"/>
  <c r="F303" i="37"/>
  <c r="F304" i="37"/>
  <c r="F305" i="37"/>
  <c r="F306" i="37"/>
  <c r="F307" i="37"/>
  <c r="F308" i="37"/>
  <c r="F309" i="37"/>
  <c r="F310" i="37"/>
  <c r="F311" i="37"/>
  <c r="F312" i="37"/>
  <c r="F313" i="37"/>
  <c r="F314" i="37"/>
  <c r="F315" i="37"/>
  <c r="F316" i="37"/>
  <c r="F317" i="37"/>
  <c r="F318" i="37"/>
  <c r="F319" i="37"/>
  <c r="F320" i="37"/>
  <c r="F258" i="37"/>
  <c r="F218" i="37"/>
  <c r="F219" i="37"/>
  <c r="F220" i="37"/>
  <c r="F221" i="37"/>
  <c r="F222" i="37"/>
  <c r="F223" i="37"/>
  <c r="F224" i="37"/>
  <c r="F225" i="37"/>
  <c r="F226" i="37"/>
  <c r="F227" i="37"/>
  <c r="F228" i="37"/>
  <c r="F229" i="37"/>
  <c r="F230" i="37"/>
  <c r="F231" i="37"/>
  <c r="F232" i="37"/>
  <c r="F233" i="37"/>
  <c r="F234" i="37"/>
  <c r="F235" i="37"/>
  <c r="F236" i="37"/>
  <c r="F237" i="37"/>
  <c r="F238" i="37"/>
  <c r="F239" i="37"/>
  <c r="F240" i="37"/>
  <c r="F241" i="37"/>
  <c r="F242" i="37"/>
  <c r="F243" i="37"/>
  <c r="F244" i="37"/>
  <c r="F245" i="37"/>
  <c r="F246" i="37"/>
  <c r="F247" i="37"/>
  <c r="F248" i="37"/>
  <c r="F249" i="37"/>
  <c r="F250" i="37"/>
  <c r="F251" i="37"/>
  <c r="F252" i="37"/>
  <c r="F253" i="37"/>
  <c r="F254" i="37"/>
  <c r="F255" i="37"/>
  <c r="F256" i="37"/>
  <c r="F217" i="37"/>
  <c r="F10" i="37"/>
  <c r="F11" i="37"/>
  <c r="F12" i="37"/>
  <c r="F13" i="37"/>
  <c r="F14" i="37"/>
  <c r="F15" i="37"/>
  <c r="F16" i="37"/>
  <c r="F17" i="37"/>
  <c r="F18" i="37"/>
  <c r="F19" i="37"/>
  <c r="F20" i="37"/>
  <c r="F21" i="37"/>
  <c r="F22" i="37"/>
  <c r="F23" i="37"/>
  <c r="F24" i="37"/>
  <c r="F25" i="37"/>
  <c r="F26" i="37"/>
  <c r="F27" i="37"/>
  <c r="F28" i="37"/>
  <c r="F29" i="37"/>
  <c r="F30" i="37"/>
  <c r="F31" i="37"/>
  <c r="F32" i="37"/>
  <c r="F33" i="37"/>
  <c r="F34" i="37"/>
  <c r="F35" i="37"/>
  <c r="F36" i="37"/>
  <c r="F37" i="37"/>
  <c r="F38" i="37"/>
  <c r="F39" i="37"/>
  <c r="F40" i="37"/>
  <c r="F41" i="37"/>
  <c r="F42" i="37"/>
  <c r="F43" i="37"/>
  <c r="F44" i="37"/>
  <c r="F45" i="37"/>
  <c r="F46" i="37"/>
  <c r="F47" i="37"/>
  <c r="F48" i="37"/>
  <c r="F49" i="37"/>
  <c r="F50" i="37"/>
  <c r="F51" i="37"/>
  <c r="F52" i="37"/>
  <c r="F53" i="37"/>
  <c r="F54" i="37"/>
  <c r="F55" i="37"/>
  <c r="F56" i="37"/>
  <c r="F57" i="37"/>
  <c r="F58" i="37"/>
  <c r="F59" i="37"/>
  <c r="F60" i="37"/>
  <c r="F61" i="37"/>
  <c r="F62" i="37"/>
  <c r="F63" i="37"/>
  <c r="F64" i="37"/>
  <c r="F65" i="37"/>
  <c r="F66" i="37"/>
  <c r="F67" i="37"/>
  <c r="F68" i="37"/>
  <c r="F69" i="37"/>
  <c r="F70" i="37"/>
  <c r="F71" i="37"/>
  <c r="F72" i="37"/>
  <c r="F73" i="37"/>
  <c r="F74" i="37"/>
  <c r="F75" i="37"/>
  <c r="F76" i="37"/>
  <c r="F77" i="37"/>
  <c r="F78" i="37"/>
  <c r="F79" i="37"/>
  <c r="F80" i="37"/>
  <c r="F81" i="37"/>
  <c r="F82" i="37"/>
  <c r="F83" i="37"/>
  <c r="F84" i="37"/>
  <c r="F85" i="37"/>
  <c r="F86" i="37"/>
  <c r="F87" i="37"/>
  <c r="F88" i="37"/>
  <c r="F89" i="37"/>
  <c r="F90" i="37"/>
  <c r="F91" i="37"/>
  <c r="F92" i="37"/>
  <c r="F93" i="37"/>
  <c r="F94" i="37"/>
  <c r="F95" i="37"/>
  <c r="F96" i="37"/>
  <c r="F97" i="37"/>
  <c r="F98" i="37"/>
  <c r="F99" i="37"/>
  <c r="F100" i="37"/>
  <c r="F101" i="37"/>
  <c r="F102" i="37"/>
  <c r="F103" i="37"/>
  <c r="F104" i="37"/>
  <c r="F105" i="37"/>
  <c r="F106" i="37"/>
  <c r="F107" i="37"/>
  <c r="F108" i="37"/>
  <c r="F109" i="37"/>
  <c r="F110" i="37"/>
  <c r="F111" i="37"/>
  <c r="F112" i="37"/>
  <c r="F113" i="37"/>
  <c r="F114" i="37"/>
  <c r="F115" i="37"/>
  <c r="F116" i="37"/>
  <c r="F117" i="37"/>
  <c r="F118" i="37"/>
  <c r="F119" i="37"/>
  <c r="F120" i="37"/>
  <c r="F121" i="37"/>
  <c r="F122" i="37"/>
  <c r="F123" i="37"/>
  <c r="F124" i="37"/>
  <c r="F125" i="37"/>
  <c r="F126" i="37"/>
  <c r="F127" i="37"/>
  <c r="F128" i="37"/>
  <c r="F129" i="37"/>
  <c r="F130" i="37"/>
  <c r="F131" i="37"/>
  <c r="F132" i="37"/>
  <c r="F133" i="37"/>
  <c r="F134" i="37"/>
  <c r="F135" i="37"/>
  <c r="F136" i="37"/>
  <c r="F137" i="37"/>
  <c r="F138" i="37"/>
  <c r="F139" i="37"/>
  <c r="F140" i="37"/>
  <c r="F141" i="37"/>
  <c r="F142" i="37"/>
  <c r="F143" i="37"/>
  <c r="F144" i="37"/>
  <c r="F145" i="37"/>
  <c r="F146" i="37"/>
  <c r="F147" i="37"/>
  <c r="F148" i="37"/>
  <c r="F149" i="37"/>
  <c r="F150" i="37"/>
  <c r="F151" i="37"/>
  <c r="F152" i="37"/>
  <c r="F153" i="37"/>
  <c r="F154" i="37"/>
  <c r="F155" i="37"/>
  <c r="F156" i="37"/>
  <c r="F157" i="37"/>
  <c r="F158" i="37"/>
  <c r="F159" i="37"/>
  <c r="F160" i="37"/>
  <c r="F161" i="37"/>
  <c r="F162" i="37"/>
  <c r="F163" i="37"/>
  <c r="F164" i="37"/>
  <c r="F165" i="37"/>
  <c r="F166" i="37"/>
  <c r="F167" i="37"/>
  <c r="F168" i="37"/>
  <c r="F169" i="37"/>
  <c r="F170" i="37"/>
  <c r="F171" i="37"/>
  <c r="F172" i="37"/>
  <c r="F173" i="37"/>
  <c r="F174" i="37"/>
  <c r="F175" i="37"/>
  <c r="F176" i="37"/>
  <c r="F177" i="37"/>
  <c r="F178" i="37"/>
  <c r="F179" i="37"/>
  <c r="F180" i="37"/>
  <c r="F181" i="37"/>
  <c r="F182" i="37"/>
  <c r="F183" i="37"/>
  <c r="F184" i="37"/>
  <c r="F185" i="37"/>
  <c r="F186" i="37"/>
  <c r="F187" i="37"/>
  <c r="F188" i="37"/>
  <c r="F189" i="37"/>
  <c r="F190" i="37"/>
  <c r="F191" i="37"/>
  <c r="F192" i="37"/>
  <c r="F193" i="37"/>
  <c r="F194" i="37"/>
  <c r="F195" i="37"/>
  <c r="F196" i="37"/>
  <c r="F197" i="37"/>
  <c r="F198" i="37"/>
  <c r="F199" i="37"/>
  <c r="F200" i="37"/>
  <c r="F201" i="37"/>
  <c r="F202" i="37"/>
  <c r="F203" i="37"/>
  <c r="F204" i="37"/>
  <c r="F205" i="37"/>
  <c r="F206" i="37"/>
  <c r="F207" i="37"/>
  <c r="F208" i="37"/>
  <c r="F209" i="37"/>
  <c r="F210" i="37"/>
  <c r="F211" i="37"/>
  <c r="F212" i="37"/>
  <c r="F213" i="37"/>
  <c r="F214" i="37"/>
  <c r="F215" i="37"/>
  <c r="F9" i="37"/>
  <c r="D491" i="37"/>
  <c r="D492" i="37"/>
  <c r="D493" i="37"/>
  <c r="D494" i="37"/>
  <c r="D490" i="37"/>
  <c r="D488" i="37"/>
  <c r="D473" i="37"/>
  <c r="D474" i="37"/>
  <c r="D475" i="37"/>
  <c r="D476" i="37"/>
  <c r="D477" i="37"/>
  <c r="D478" i="37"/>
  <c r="D479" i="37"/>
  <c r="D480" i="37"/>
  <c r="D481" i="37"/>
  <c r="D482" i="37"/>
  <c r="D483" i="37"/>
  <c r="D484" i="37"/>
  <c r="D485" i="37"/>
  <c r="D486" i="37"/>
  <c r="D472" i="37"/>
  <c r="D453" i="37"/>
  <c r="D454" i="37"/>
  <c r="D455" i="37"/>
  <c r="D456" i="37"/>
  <c r="D457" i="37"/>
  <c r="D458" i="37"/>
  <c r="D459" i="37"/>
  <c r="D460" i="37"/>
  <c r="D461" i="37"/>
  <c r="D462" i="37"/>
  <c r="D463" i="37"/>
  <c r="D464" i="37"/>
  <c r="D465" i="37"/>
  <c r="D466" i="37"/>
  <c r="D467" i="37"/>
  <c r="D468" i="37"/>
  <c r="D469" i="37"/>
  <c r="D470" i="37"/>
  <c r="D452" i="37"/>
  <c r="D438" i="37"/>
  <c r="D439" i="37"/>
  <c r="D440" i="37"/>
  <c r="D441" i="37"/>
  <c r="D442" i="37"/>
  <c r="D443" i="37"/>
  <c r="D444" i="37"/>
  <c r="D445" i="37"/>
  <c r="D446" i="37"/>
  <c r="D447" i="37"/>
  <c r="D448" i="37"/>
  <c r="D449" i="37"/>
  <c r="D450" i="37"/>
  <c r="D437" i="37"/>
  <c r="D418" i="37"/>
  <c r="D419" i="37"/>
  <c r="D420" i="37"/>
  <c r="D421" i="37"/>
  <c r="D422" i="37"/>
  <c r="D423" i="37"/>
  <c r="D424" i="37"/>
  <c r="D425" i="37"/>
  <c r="D426" i="37"/>
  <c r="D427" i="37"/>
  <c r="D428" i="37"/>
  <c r="D429" i="37"/>
  <c r="D430" i="37"/>
  <c r="D431" i="37"/>
  <c r="D432" i="37"/>
  <c r="D433" i="37"/>
  <c r="D434" i="37"/>
  <c r="D435" i="37"/>
  <c r="D417" i="37"/>
  <c r="D379" i="37"/>
  <c r="D380" i="37"/>
  <c r="D381" i="37"/>
  <c r="D382" i="37"/>
  <c r="D383" i="37"/>
  <c r="D384" i="37"/>
  <c r="D385" i="37"/>
  <c r="D386" i="37"/>
  <c r="D387" i="37"/>
  <c r="D388" i="37"/>
  <c r="D389" i="37"/>
  <c r="D390" i="37"/>
  <c r="D391" i="37"/>
  <c r="D392" i="37"/>
  <c r="D393" i="37"/>
  <c r="D394" i="37"/>
  <c r="D395" i="37"/>
  <c r="D396" i="37"/>
  <c r="D397" i="37"/>
  <c r="D398" i="37"/>
  <c r="D399" i="37"/>
  <c r="D400" i="37"/>
  <c r="D401" i="37"/>
  <c r="D402" i="37"/>
  <c r="D403" i="37"/>
  <c r="D404" i="37"/>
  <c r="D405" i="37"/>
  <c r="D406" i="37"/>
  <c r="D407" i="37"/>
  <c r="D408" i="37"/>
  <c r="D409" i="37"/>
  <c r="D410" i="37"/>
  <c r="D411" i="37"/>
  <c r="D412" i="37"/>
  <c r="D413" i="37"/>
  <c r="D414" i="37"/>
  <c r="D415" i="37"/>
  <c r="D378" i="37"/>
  <c r="D341" i="37"/>
  <c r="D342" i="37"/>
  <c r="D343" i="37"/>
  <c r="D344" i="37"/>
  <c r="D345" i="37"/>
  <c r="D346" i="37"/>
  <c r="D347" i="37"/>
  <c r="D348" i="37"/>
  <c r="D349" i="37"/>
  <c r="D350" i="37"/>
  <c r="D351" i="37"/>
  <c r="D352" i="37"/>
  <c r="D353" i="37"/>
  <c r="D354" i="37"/>
  <c r="D355" i="37"/>
  <c r="D356" i="37"/>
  <c r="D357" i="37"/>
  <c r="D358" i="37"/>
  <c r="D359" i="37"/>
  <c r="D360" i="37"/>
  <c r="D361" i="37"/>
  <c r="D362" i="37"/>
  <c r="D363" i="37"/>
  <c r="D364" i="37"/>
  <c r="D365" i="37"/>
  <c r="D366" i="37"/>
  <c r="D367" i="37"/>
  <c r="D368" i="37"/>
  <c r="D369" i="37"/>
  <c r="D370" i="37"/>
  <c r="D371" i="37"/>
  <c r="D372" i="37"/>
  <c r="D373" i="37"/>
  <c r="D374" i="37"/>
  <c r="D375" i="37"/>
  <c r="D376" i="37"/>
  <c r="D340" i="37"/>
  <c r="D323" i="37"/>
  <c r="D324" i="37"/>
  <c r="D325" i="37"/>
  <c r="D326" i="37"/>
  <c r="D327" i="37"/>
  <c r="D328" i="37"/>
  <c r="D329" i="37"/>
  <c r="D330" i="37"/>
  <c r="D331" i="37"/>
  <c r="D332" i="37"/>
  <c r="D333" i="37"/>
  <c r="D334" i="37"/>
  <c r="D335" i="37"/>
  <c r="D336" i="37"/>
  <c r="D337" i="37"/>
  <c r="D338" i="37"/>
  <c r="D322" i="37"/>
  <c r="D259" i="37"/>
  <c r="D260" i="37"/>
  <c r="D261" i="37"/>
  <c r="D262" i="37"/>
  <c r="D263" i="37"/>
  <c r="D264" i="37"/>
  <c r="D265" i="37"/>
  <c r="D266" i="37"/>
  <c r="D267" i="37"/>
  <c r="D268" i="37"/>
  <c r="D269" i="37"/>
  <c r="D270" i="37"/>
  <c r="D271" i="37"/>
  <c r="D272" i="37"/>
  <c r="D273" i="37"/>
  <c r="D274" i="37"/>
  <c r="D275" i="37"/>
  <c r="D276" i="37"/>
  <c r="D277" i="37"/>
  <c r="D278" i="37"/>
  <c r="D279" i="37"/>
  <c r="D280" i="37"/>
  <c r="D281" i="37"/>
  <c r="D282" i="37"/>
  <c r="D283" i="37"/>
  <c r="D284" i="37"/>
  <c r="D285" i="37"/>
  <c r="D286" i="37"/>
  <c r="D287" i="37"/>
  <c r="D288" i="37"/>
  <c r="D289" i="37"/>
  <c r="D290" i="37"/>
  <c r="D291" i="37"/>
  <c r="D292" i="37"/>
  <c r="D293" i="37"/>
  <c r="D294" i="37"/>
  <c r="D295" i="37"/>
  <c r="D296" i="37"/>
  <c r="D297" i="37"/>
  <c r="D298" i="37"/>
  <c r="D299" i="37"/>
  <c r="D300" i="37"/>
  <c r="D301" i="37"/>
  <c r="D302" i="37"/>
  <c r="D303" i="37"/>
  <c r="D304" i="37"/>
  <c r="D305" i="37"/>
  <c r="D306" i="37"/>
  <c r="D307" i="37"/>
  <c r="D308" i="37"/>
  <c r="D309" i="37"/>
  <c r="D310" i="37"/>
  <c r="D311" i="37"/>
  <c r="D312" i="37"/>
  <c r="D313" i="37"/>
  <c r="D314" i="37"/>
  <c r="D315" i="37"/>
  <c r="D316" i="37"/>
  <c r="D317" i="37"/>
  <c r="D318" i="37"/>
  <c r="D319" i="37"/>
  <c r="D320" i="37"/>
  <c r="D258" i="37"/>
  <c r="D218" i="37"/>
  <c r="D219" i="37"/>
  <c r="D220" i="37"/>
  <c r="D221" i="37"/>
  <c r="D222" i="37"/>
  <c r="D223" i="37"/>
  <c r="D224" i="37"/>
  <c r="D225" i="37"/>
  <c r="D226" i="37"/>
  <c r="D227" i="37"/>
  <c r="D228" i="37"/>
  <c r="D229" i="37"/>
  <c r="D230" i="37"/>
  <c r="D231" i="37"/>
  <c r="D232" i="37"/>
  <c r="D233" i="37"/>
  <c r="D234" i="37"/>
  <c r="D235" i="37"/>
  <c r="D236" i="37"/>
  <c r="D237" i="37"/>
  <c r="D238" i="37"/>
  <c r="D239" i="37"/>
  <c r="D240" i="37"/>
  <c r="D241" i="37"/>
  <c r="D242" i="37"/>
  <c r="D243" i="37"/>
  <c r="D244" i="37"/>
  <c r="D245" i="37"/>
  <c r="D246" i="37"/>
  <c r="D247" i="37"/>
  <c r="D248" i="37"/>
  <c r="D249" i="37"/>
  <c r="D250" i="37"/>
  <c r="D251" i="37"/>
  <c r="D252" i="37"/>
  <c r="D253" i="37"/>
  <c r="D254" i="37"/>
  <c r="D255" i="37"/>
  <c r="D256" i="37"/>
  <c r="D217" i="37"/>
  <c r="D10" i="37"/>
  <c r="D11" i="37"/>
  <c r="D12" i="37"/>
  <c r="D13" i="37"/>
  <c r="D14" i="37"/>
  <c r="D15" i="37"/>
  <c r="D16" i="37"/>
  <c r="D17" i="37"/>
  <c r="D18" i="37"/>
  <c r="D19" i="37"/>
  <c r="D20" i="37"/>
  <c r="D21" i="37"/>
  <c r="D22" i="37"/>
  <c r="D23" i="37"/>
  <c r="D24" i="37"/>
  <c r="D25" i="37"/>
  <c r="D26" i="37"/>
  <c r="D27" i="37"/>
  <c r="D28" i="37"/>
  <c r="D29" i="37"/>
  <c r="D30" i="37"/>
  <c r="D31" i="37"/>
  <c r="D32" i="37"/>
  <c r="D33" i="37"/>
  <c r="D34" i="37"/>
  <c r="D35" i="37"/>
  <c r="D36" i="37"/>
  <c r="D37" i="37"/>
  <c r="D38" i="37"/>
  <c r="D39" i="37"/>
  <c r="D40" i="37"/>
  <c r="D41" i="37"/>
  <c r="D42" i="37"/>
  <c r="D43" i="37"/>
  <c r="D44" i="37"/>
  <c r="D45" i="37"/>
  <c r="D46" i="37"/>
  <c r="D47" i="37"/>
  <c r="D48" i="37"/>
  <c r="D49" i="37"/>
  <c r="D50" i="37"/>
  <c r="D51" i="37"/>
  <c r="D52" i="37"/>
  <c r="D53" i="37"/>
  <c r="D54" i="37"/>
  <c r="D55" i="37"/>
  <c r="D56" i="37"/>
  <c r="D57" i="37"/>
  <c r="D58" i="37"/>
  <c r="D59" i="37"/>
  <c r="D60" i="37"/>
  <c r="D61" i="37"/>
  <c r="D62" i="37"/>
  <c r="D63" i="37"/>
  <c r="D64" i="37"/>
  <c r="D65" i="37"/>
  <c r="D66" i="37"/>
  <c r="D67" i="37"/>
  <c r="D68" i="37"/>
  <c r="D69" i="37"/>
  <c r="D70" i="37"/>
  <c r="D71" i="37"/>
  <c r="D72" i="37"/>
  <c r="D73" i="37"/>
  <c r="D74" i="37"/>
  <c r="D75" i="37"/>
  <c r="D76" i="37"/>
  <c r="D77" i="37"/>
  <c r="D78" i="37"/>
  <c r="D79" i="37"/>
  <c r="D80" i="37"/>
  <c r="D81" i="37"/>
  <c r="D82" i="37"/>
  <c r="D83" i="37"/>
  <c r="D84" i="37"/>
  <c r="D85" i="37"/>
  <c r="D86" i="37"/>
  <c r="D87" i="37"/>
  <c r="D88" i="37"/>
  <c r="D89" i="37"/>
  <c r="D90" i="37"/>
  <c r="D91" i="37"/>
  <c r="D92" i="37"/>
  <c r="D93" i="37"/>
  <c r="D94" i="37"/>
  <c r="D95" i="37"/>
  <c r="D96" i="37"/>
  <c r="D97" i="37"/>
  <c r="D98" i="37"/>
  <c r="D99" i="37"/>
  <c r="D100" i="37"/>
  <c r="D101" i="37"/>
  <c r="D102" i="37"/>
  <c r="D103" i="37"/>
  <c r="D104" i="37"/>
  <c r="D105" i="37"/>
  <c r="D106" i="37"/>
  <c r="D107" i="37"/>
  <c r="D108" i="37"/>
  <c r="D109" i="37"/>
  <c r="D110" i="37"/>
  <c r="D111" i="37"/>
  <c r="D112" i="37"/>
  <c r="D113" i="37"/>
  <c r="D114" i="37"/>
  <c r="D115" i="37"/>
  <c r="D116" i="37"/>
  <c r="D117" i="37"/>
  <c r="D118" i="37"/>
  <c r="D119" i="37"/>
  <c r="D120" i="37"/>
  <c r="D121" i="37"/>
  <c r="D122" i="37"/>
  <c r="D123" i="37"/>
  <c r="D124" i="37"/>
  <c r="D125" i="37"/>
  <c r="D126" i="37"/>
  <c r="D127" i="37"/>
  <c r="D128" i="37"/>
  <c r="D129" i="37"/>
  <c r="D130" i="37"/>
  <c r="D131" i="37"/>
  <c r="D132" i="37"/>
  <c r="D133" i="37"/>
  <c r="D134" i="37"/>
  <c r="D135" i="37"/>
  <c r="D136" i="37"/>
  <c r="D137" i="37"/>
  <c r="D138" i="37"/>
  <c r="D139" i="37"/>
  <c r="D140" i="37"/>
  <c r="D141" i="37"/>
  <c r="D142" i="37"/>
  <c r="D143" i="37"/>
  <c r="D144" i="37"/>
  <c r="D145" i="37"/>
  <c r="D146" i="37"/>
  <c r="D147" i="37"/>
  <c r="D148" i="37"/>
  <c r="D149" i="37"/>
  <c r="D150" i="37"/>
  <c r="D151" i="37"/>
  <c r="D152" i="37"/>
  <c r="D153" i="37"/>
  <c r="D154" i="37"/>
  <c r="D155" i="37"/>
  <c r="D156" i="37"/>
  <c r="D157" i="37"/>
  <c r="D158" i="37"/>
  <c r="D159" i="37"/>
  <c r="D160" i="37"/>
  <c r="D161" i="37"/>
  <c r="D162" i="37"/>
  <c r="D163" i="37"/>
  <c r="D164" i="37"/>
  <c r="D165" i="37"/>
  <c r="D166" i="37"/>
  <c r="D167" i="37"/>
  <c r="D168" i="37"/>
  <c r="D169" i="37"/>
  <c r="D170" i="37"/>
  <c r="D171" i="37"/>
  <c r="D172" i="37"/>
  <c r="D173" i="37"/>
  <c r="D174" i="37"/>
  <c r="D175" i="37"/>
  <c r="D176" i="37"/>
  <c r="D177" i="37"/>
  <c r="D178" i="37"/>
  <c r="D179" i="37"/>
  <c r="D180" i="37"/>
  <c r="D181" i="37"/>
  <c r="D182" i="37"/>
  <c r="D183" i="37"/>
  <c r="D184" i="37"/>
  <c r="D185" i="37"/>
  <c r="D186" i="37"/>
  <c r="D187" i="37"/>
  <c r="D188" i="37"/>
  <c r="D189" i="37"/>
  <c r="D190" i="37"/>
  <c r="D191" i="37"/>
  <c r="D192" i="37"/>
  <c r="D193" i="37"/>
  <c r="D194" i="37"/>
  <c r="D195" i="37"/>
  <c r="D196" i="37"/>
  <c r="D197" i="37"/>
  <c r="D198" i="37"/>
  <c r="D199" i="37"/>
  <c r="D200" i="37"/>
  <c r="D201" i="37"/>
  <c r="D202" i="37"/>
  <c r="D203" i="37"/>
  <c r="D204" i="37"/>
  <c r="D205" i="37"/>
  <c r="D206" i="37"/>
  <c r="D207" i="37"/>
  <c r="D208" i="37"/>
  <c r="D209" i="37"/>
  <c r="D210" i="37"/>
  <c r="D211" i="37"/>
  <c r="D212" i="37"/>
  <c r="D213" i="37"/>
  <c r="D214" i="37"/>
  <c r="D215" i="37"/>
  <c r="D9" i="37"/>
  <c r="W9" i="46" l="1"/>
  <c r="W10" i="46"/>
  <c r="W11" i="46"/>
  <c r="W12" i="46"/>
  <c r="W13" i="46"/>
  <c r="W14" i="46"/>
  <c r="W15" i="46"/>
  <c r="W16" i="46"/>
  <c r="W17" i="46"/>
  <c r="W18" i="46"/>
  <c r="W19" i="46"/>
  <c r="W20" i="46"/>
  <c r="W21" i="46"/>
  <c r="W22" i="46"/>
  <c r="W23" i="46"/>
  <c r="W24" i="46"/>
  <c r="W25" i="46"/>
  <c r="W26" i="46"/>
  <c r="W27" i="46"/>
  <c r="W28" i="46"/>
  <c r="W29" i="46"/>
  <c r="W8" i="46"/>
  <c r="V10" i="46"/>
  <c r="V11" i="46"/>
  <c r="V12" i="46"/>
  <c r="V13" i="46"/>
  <c r="V14" i="46"/>
  <c r="V15" i="46"/>
  <c r="V16" i="46"/>
  <c r="V17" i="46"/>
  <c r="V18" i="46"/>
  <c r="V19" i="46"/>
  <c r="V20" i="46"/>
  <c r="V21" i="46"/>
  <c r="V22" i="46"/>
  <c r="V23" i="46"/>
  <c r="V24" i="46"/>
  <c r="V25" i="46"/>
  <c r="V26" i="46"/>
  <c r="V27" i="46"/>
  <c r="V28" i="46"/>
  <c r="V29" i="46"/>
  <c r="V9" i="46"/>
  <c r="V8" i="46"/>
  <c r="U9" i="46"/>
  <c r="U10" i="46"/>
  <c r="U11" i="46"/>
  <c r="U12" i="46"/>
  <c r="U13" i="46"/>
  <c r="U14" i="46"/>
  <c r="U15" i="46"/>
  <c r="U16" i="46"/>
  <c r="U17" i="46"/>
  <c r="U18" i="46"/>
  <c r="U19" i="46"/>
  <c r="U20" i="46"/>
  <c r="U21" i="46"/>
  <c r="U22" i="46"/>
  <c r="U23" i="46"/>
  <c r="U24" i="46"/>
  <c r="U25" i="46"/>
  <c r="U26" i="46"/>
  <c r="U27" i="46"/>
  <c r="U28" i="46"/>
  <c r="U29" i="46"/>
  <c r="U8" i="46"/>
  <c r="T9" i="46"/>
  <c r="T10" i="46"/>
  <c r="T11" i="46"/>
  <c r="T12" i="46"/>
  <c r="T13" i="46"/>
  <c r="T14" i="46"/>
  <c r="T15" i="46"/>
  <c r="T16" i="46"/>
  <c r="T17" i="46"/>
  <c r="T18" i="46"/>
  <c r="T19" i="46"/>
  <c r="T20" i="46"/>
  <c r="T21" i="46"/>
  <c r="T22" i="46"/>
  <c r="T23" i="46"/>
  <c r="T24" i="46"/>
  <c r="T25" i="46"/>
  <c r="T26" i="46"/>
  <c r="T27" i="46"/>
  <c r="T28" i="46"/>
  <c r="T29" i="46"/>
  <c r="T8" i="46"/>
  <c r="S9" i="46"/>
  <c r="S10" i="46"/>
  <c r="S11" i="46"/>
  <c r="S12" i="46"/>
  <c r="S13" i="46"/>
  <c r="S14" i="46"/>
  <c r="S15" i="46"/>
  <c r="S16" i="46"/>
  <c r="S17" i="46"/>
  <c r="S18" i="46"/>
  <c r="S19" i="46"/>
  <c r="S20" i="46"/>
  <c r="S21" i="46"/>
  <c r="S22" i="46"/>
  <c r="S23" i="46"/>
  <c r="S24" i="46"/>
  <c r="S25" i="46"/>
  <c r="S26" i="46"/>
  <c r="S27" i="46"/>
  <c r="S28" i="46"/>
  <c r="S29" i="46"/>
  <c r="S8" i="46"/>
  <c r="R9" i="46"/>
  <c r="R10" i="46"/>
  <c r="R11" i="46"/>
  <c r="R12" i="46"/>
  <c r="R13" i="46"/>
  <c r="R14" i="46"/>
  <c r="R15" i="46"/>
  <c r="R16" i="46"/>
  <c r="R17" i="46"/>
  <c r="R18" i="46"/>
  <c r="R19" i="46"/>
  <c r="R20" i="46"/>
  <c r="R21" i="46"/>
  <c r="R22" i="46"/>
  <c r="R23" i="46"/>
  <c r="R24" i="46"/>
  <c r="R25" i="46"/>
  <c r="R26" i="46"/>
  <c r="R27" i="46"/>
  <c r="R28" i="46"/>
  <c r="R29" i="46"/>
  <c r="R8" i="46"/>
  <c r="Q9" i="46"/>
  <c r="Q10" i="46"/>
  <c r="Q11" i="46"/>
  <c r="Q12" i="46"/>
  <c r="Q13" i="46"/>
  <c r="Q14" i="46"/>
  <c r="Q15" i="46"/>
  <c r="Q16" i="46"/>
  <c r="Q17" i="46"/>
  <c r="Q18" i="46"/>
  <c r="Q19" i="46"/>
  <c r="Q20" i="46"/>
  <c r="Q21" i="46"/>
  <c r="Q22" i="46"/>
  <c r="Q23" i="46"/>
  <c r="Q24" i="46"/>
  <c r="Q25" i="46"/>
  <c r="Q26" i="46"/>
  <c r="Q27" i="46"/>
  <c r="Q28" i="46"/>
  <c r="Q29" i="46"/>
  <c r="Q8" i="46"/>
  <c r="P9" i="46"/>
  <c r="P10" i="46"/>
  <c r="P11" i="46"/>
  <c r="P12" i="46"/>
  <c r="P13" i="46"/>
  <c r="P14" i="46"/>
  <c r="P15" i="46"/>
  <c r="P16" i="46"/>
  <c r="P17" i="46"/>
  <c r="P18" i="46"/>
  <c r="P19" i="46"/>
  <c r="P20" i="46"/>
  <c r="P21" i="46"/>
  <c r="P22" i="46"/>
  <c r="P23" i="46"/>
  <c r="P24" i="46"/>
  <c r="P25" i="46"/>
  <c r="P26" i="46"/>
  <c r="P27" i="46"/>
  <c r="P28" i="46"/>
  <c r="P29" i="46"/>
  <c r="P8" i="46"/>
  <c r="O9" i="46"/>
  <c r="O10" i="46"/>
  <c r="O11" i="46"/>
  <c r="O12" i="46"/>
  <c r="O13" i="46"/>
  <c r="O14" i="46"/>
  <c r="O15" i="46"/>
  <c r="O16" i="46"/>
  <c r="O17" i="46"/>
  <c r="O18" i="46"/>
  <c r="O19" i="46"/>
  <c r="O20" i="46"/>
  <c r="O21" i="46"/>
  <c r="O22" i="46"/>
  <c r="O23" i="46"/>
  <c r="O24" i="46"/>
  <c r="O25" i="46"/>
  <c r="O26" i="46"/>
  <c r="O27" i="46"/>
  <c r="O28" i="46"/>
  <c r="O29" i="46"/>
  <c r="O8" i="46"/>
  <c r="I9" i="46"/>
  <c r="I10" i="46"/>
  <c r="I11" i="46"/>
  <c r="I12" i="46"/>
  <c r="I13" i="46"/>
  <c r="I14" i="46"/>
  <c r="I15" i="46"/>
  <c r="I16" i="46"/>
  <c r="I17" i="46"/>
  <c r="I18" i="46"/>
  <c r="I19" i="46"/>
  <c r="I20" i="46"/>
  <c r="I21" i="46"/>
  <c r="I22" i="46"/>
  <c r="I23" i="46"/>
  <c r="I24" i="46"/>
  <c r="I25" i="46"/>
  <c r="I26" i="46"/>
  <c r="I27" i="46"/>
  <c r="I28" i="46"/>
  <c r="I29" i="46"/>
  <c r="I8" i="46"/>
  <c r="H9" i="46"/>
  <c r="H10" i="46"/>
  <c r="H11" i="46"/>
  <c r="H12" i="46"/>
  <c r="H13" i="46"/>
  <c r="H14" i="46"/>
  <c r="H15" i="46"/>
  <c r="H16" i="46"/>
  <c r="H17" i="46"/>
  <c r="H18" i="46"/>
  <c r="H19" i="46"/>
  <c r="H20" i="46"/>
  <c r="H21" i="46"/>
  <c r="H22" i="46"/>
  <c r="H23" i="46"/>
  <c r="H24" i="46"/>
  <c r="H25" i="46"/>
  <c r="H26" i="46"/>
  <c r="H27" i="46"/>
  <c r="H28" i="46"/>
  <c r="H29" i="46"/>
  <c r="H8" i="46"/>
  <c r="G9" i="46"/>
  <c r="G10" i="46"/>
  <c r="G11" i="46"/>
  <c r="G12" i="46"/>
  <c r="G13" i="46"/>
  <c r="G14" i="46"/>
  <c r="G15" i="46"/>
  <c r="G16" i="46"/>
  <c r="G17" i="46"/>
  <c r="G18" i="46"/>
  <c r="G19" i="46"/>
  <c r="G20" i="46"/>
  <c r="G21" i="46"/>
  <c r="G22" i="46"/>
  <c r="G23" i="46"/>
  <c r="G24" i="46"/>
  <c r="G25" i="46"/>
  <c r="G26" i="46"/>
  <c r="G27" i="46"/>
  <c r="G28" i="46"/>
  <c r="G29" i="46"/>
  <c r="G8" i="46"/>
  <c r="F9" i="46"/>
  <c r="F10" i="46"/>
  <c r="F11" i="46"/>
  <c r="F12" i="46"/>
  <c r="F13" i="46"/>
  <c r="F14" i="46"/>
  <c r="F15" i="46"/>
  <c r="F16" i="46"/>
  <c r="F17" i="46"/>
  <c r="F18" i="46"/>
  <c r="F19" i="46"/>
  <c r="F20" i="46"/>
  <c r="F21" i="46"/>
  <c r="F22" i="46"/>
  <c r="F23" i="46"/>
  <c r="F24" i="46"/>
  <c r="F25" i="46"/>
  <c r="F26" i="46"/>
  <c r="F27" i="46"/>
  <c r="F28" i="46"/>
  <c r="F29" i="46"/>
  <c r="F8" i="46"/>
  <c r="D9" i="46"/>
  <c r="D10" i="46"/>
  <c r="D11" i="46"/>
  <c r="D12" i="46"/>
  <c r="D13" i="46"/>
  <c r="D14" i="46"/>
  <c r="D15" i="46"/>
  <c r="D16" i="46"/>
  <c r="D17" i="46"/>
  <c r="D18" i="46"/>
  <c r="D19" i="46"/>
  <c r="D20" i="46"/>
  <c r="D21" i="46"/>
  <c r="D22" i="46"/>
  <c r="D23" i="46"/>
  <c r="D24" i="46"/>
  <c r="D25" i="46"/>
  <c r="D26" i="46"/>
  <c r="D27" i="46"/>
  <c r="D28" i="46"/>
  <c r="D29" i="46"/>
  <c r="D8" i="46"/>
  <c r="W9" i="45"/>
  <c r="W10" i="45"/>
  <c r="W11" i="45"/>
  <c r="W12" i="45"/>
  <c r="W13" i="45"/>
  <c r="W14" i="45"/>
  <c r="W15" i="45"/>
  <c r="W8" i="45"/>
  <c r="V9" i="45"/>
  <c r="V10" i="45"/>
  <c r="V11" i="45"/>
  <c r="V12" i="45"/>
  <c r="V13" i="45"/>
  <c r="V14" i="45"/>
  <c r="V15" i="45"/>
  <c r="V8" i="45"/>
  <c r="U9" i="45"/>
  <c r="U10" i="45"/>
  <c r="U11" i="45"/>
  <c r="U12" i="45"/>
  <c r="U13" i="45"/>
  <c r="U14" i="45"/>
  <c r="U15" i="45"/>
  <c r="U8" i="45"/>
  <c r="T9" i="45"/>
  <c r="T10" i="45"/>
  <c r="T11" i="45"/>
  <c r="T12" i="45"/>
  <c r="T13" i="45"/>
  <c r="T14" i="45"/>
  <c r="T15" i="45"/>
  <c r="T8" i="45"/>
  <c r="S9" i="45"/>
  <c r="S10" i="45"/>
  <c r="S11" i="45"/>
  <c r="S12" i="45"/>
  <c r="S13" i="45"/>
  <c r="S14" i="45"/>
  <c r="S15" i="45"/>
  <c r="S8" i="45"/>
  <c r="R9" i="45"/>
  <c r="R10" i="45"/>
  <c r="R11" i="45"/>
  <c r="R12" i="45"/>
  <c r="R13" i="45"/>
  <c r="R14" i="45"/>
  <c r="R15" i="45"/>
  <c r="R8" i="45"/>
  <c r="Q9" i="45"/>
  <c r="Q10" i="45"/>
  <c r="Q11" i="45"/>
  <c r="Q12" i="45"/>
  <c r="Q13" i="45"/>
  <c r="Q14" i="45"/>
  <c r="Q15" i="45"/>
  <c r="Q8" i="45"/>
  <c r="P9" i="45"/>
  <c r="P10" i="45"/>
  <c r="P11" i="45"/>
  <c r="P12" i="45"/>
  <c r="P13" i="45"/>
  <c r="P14" i="45"/>
  <c r="P15" i="45"/>
  <c r="P8" i="45"/>
  <c r="O9" i="45"/>
  <c r="O10" i="45"/>
  <c r="O11" i="45"/>
  <c r="O12" i="45"/>
  <c r="O13" i="45"/>
  <c r="O14" i="45"/>
  <c r="O15" i="45"/>
  <c r="O8" i="45"/>
  <c r="I9" i="45"/>
  <c r="I10" i="45"/>
  <c r="I11" i="45"/>
  <c r="I12" i="45"/>
  <c r="I13" i="45"/>
  <c r="I14" i="45"/>
  <c r="I15" i="45"/>
  <c r="I8" i="45"/>
  <c r="H9" i="45"/>
  <c r="H10" i="45"/>
  <c r="H11" i="45"/>
  <c r="H12" i="45"/>
  <c r="H13" i="45"/>
  <c r="H14" i="45"/>
  <c r="H15" i="45"/>
  <c r="H8" i="45"/>
  <c r="G9" i="45"/>
  <c r="G10" i="45"/>
  <c r="G11" i="45"/>
  <c r="G12" i="45"/>
  <c r="G13" i="45"/>
  <c r="G14" i="45"/>
  <c r="G15" i="45"/>
  <c r="G8" i="45"/>
  <c r="F9" i="45"/>
  <c r="F10" i="45"/>
  <c r="F11" i="45"/>
  <c r="F12" i="45"/>
  <c r="F13" i="45"/>
  <c r="F14" i="45"/>
  <c r="F15" i="45"/>
  <c r="F8" i="45"/>
  <c r="D9" i="45"/>
  <c r="D10" i="45"/>
  <c r="D11" i="45"/>
  <c r="D12" i="45"/>
  <c r="D13" i="45"/>
  <c r="D14" i="45"/>
  <c r="D15" i="45"/>
  <c r="D8" i="45"/>
  <c r="I11" i="21"/>
  <c r="J11" i="21" s="1"/>
  <c r="V10" i="40"/>
  <c r="V11" i="40"/>
  <c r="V12" i="40"/>
  <c r="V13" i="40"/>
  <c r="V14" i="40"/>
  <c r="V9" i="40"/>
  <c r="U10" i="40"/>
  <c r="U11" i="40"/>
  <c r="U12" i="40"/>
  <c r="U13" i="40"/>
  <c r="U14" i="40"/>
  <c r="U9" i="40"/>
  <c r="T10" i="40"/>
  <c r="T11" i="40"/>
  <c r="T12" i="40"/>
  <c r="T13" i="40"/>
  <c r="T14" i="40"/>
  <c r="T9" i="40"/>
  <c r="S10" i="40"/>
  <c r="S11" i="40"/>
  <c r="S12" i="40"/>
  <c r="S13" i="40"/>
  <c r="S14" i="40"/>
  <c r="S9" i="40"/>
  <c r="R10" i="40"/>
  <c r="R11" i="40"/>
  <c r="R12" i="40"/>
  <c r="R13" i="40"/>
  <c r="R14" i="40"/>
  <c r="R9" i="40"/>
  <c r="Q10" i="40"/>
  <c r="Q11" i="40"/>
  <c r="Q12" i="40"/>
  <c r="Q13" i="40"/>
  <c r="Q14" i="40"/>
  <c r="Q9" i="40"/>
  <c r="P10" i="40"/>
  <c r="P11" i="40"/>
  <c r="P12" i="40"/>
  <c r="P13" i="40"/>
  <c r="P14" i="40"/>
  <c r="P9" i="40"/>
  <c r="O10" i="40"/>
  <c r="O11" i="40"/>
  <c r="O12" i="40"/>
  <c r="O13" i="40"/>
  <c r="O14" i="40"/>
  <c r="O9" i="40"/>
  <c r="I10" i="40"/>
  <c r="I11" i="40"/>
  <c r="I12" i="40"/>
  <c r="I13" i="40"/>
  <c r="I14" i="40"/>
  <c r="I9" i="40"/>
  <c r="H10" i="40"/>
  <c r="H11" i="40"/>
  <c r="H12" i="40"/>
  <c r="H13" i="40"/>
  <c r="H14" i="40"/>
  <c r="H9" i="40"/>
  <c r="G10" i="40"/>
  <c r="G11" i="40"/>
  <c r="G12" i="40"/>
  <c r="G13" i="40"/>
  <c r="G14" i="40"/>
  <c r="G9" i="40"/>
  <c r="F10" i="40"/>
  <c r="F11" i="40"/>
  <c r="F12" i="40"/>
  <c r="F13" i="40"/>
  <c r="F14" i="40"/>
  <c r="F9" i="40"/>
  <c r="D10" i="40"/>
  <c r="D11" i="40"/>
  <c r="D12" i="40"/>
  <c r="D13" i="40"/>
  <c r="D14" i="40"/>
  <c r="D9" i="40"/>
  <c r="V10" i="33"/>
  <c r="V11" i="33"/>
  <c r="V9" i="33"/>
  <c r="U10" i="33"/>
  <c r="U11" i="33"/>
  <c r="U9" i="33"/>
  <c r="T10" i="33"/>
  <c r="T11" i="33"/>
  <c r="T9" i="33"/>
  <c r="S10" i="33"/>
  <c r="S11" i="33"/>
  <c r="S9" i="33"/>
  <c r="R10" i="33"/>
  <c r="R11" i="33"/>
  <c r="R9" i="33"/>
  <c r="Q10" i="33"/>
  <c r="Q11" i="33"/>
  <c r="Q9" i="33"/>
  <c r="P10" i="33"/>
  <c r="P11" i="33"/>
  <c r="P9" i="33"/>
  <c r="O10" i="33"/>
  <c r="O11" i="33"/>
  <c r="O9" i="33"/>
  <c r="I10" i="33"/>
  <c r="I11" i="33"/>
  <c r="I9" i="33"/>
  <c r="H10" i="33"/>
  <c r="H11" i="33"/>
  <c r="H9" i="33"/>
  <c r="G10" i="33"/>
  <c r="G11" i="33"/>
  <c r="G9" i="33"/>
  <c r="F10" i="33"/>
  <c r="F11" i="33"/>
  <c r="F9" i="33"/>
  <c r="D10" i="33"/>
  <c r="D11" i="33"/>
  <c r="D9" i="33"/>
  <c r="W30" i="39"/>
  <c r="W31" i="39"/>
  <c r="W32" i="39"/>
  <c r="W29" i="39"/>
  <c r="W10" i="39"/>
  <c r="W11" i="39"/>
  <c r="W12" i="39"/>
  <c r="W13" i="39"/>
  <c r="W14" i="39"/>
  <c r="W15" i="39"/>
  <c r="W16" i="39"/>
  <c r="W17" i="39"/>
  <c r="W18" i="39"/>
  <c r="W19" i="39"/>
  <c r="W20" i="39"/>
  <c r="W21" i="39"/>
  <c r="W22" i="39"/>
  <c r="W23" i="39"/>
  <c r="W24" i="39"/>
  <c r="W25" i="39"/>
  <c r="W26" i="39"/>
  <c r="W27" i="39"/>
  <c r="W9" i="39"/>
  <c r="V30" i="39"/>
  <c r="V31" i="39"/>
  <c r="V32" i="39"/>
  <c r="V29" i="39"/>
  <c r="V10" i="39"/>
  <c r="V11" i="39"/>
  <c r="V12" i="39"/>
  <c r="V13" i="39"/>
  <c r="V14" i="39"/>
  <c r="V15" i="39"/>
  <c r="V16" i="39"/>
  <c r="V17" i="39"/>
  <c r="V18" i="39"/>
  <c r="V19" i="39"/>
  <c r="V20" i="39"/>
  <c r="V21" i="39"/>
  <c r="V22" i="39"/>
  <c r="V23" i="39"/>
  <c r="V24" i="39"/>
  <c r="V25" i="39"/>
  <c r="V26" i="39"/>
  <c r="V27" i="39"/>
  <c r="V9" i="39"/>
  <c r="U30" i="39"/>
  <c r="U31" i="39"/>
  <c r="U32" i="39"/>
  <c r="U29" i="39"/>
  <c r="U10" i="39"/>
  <c r="U11" i="39"/>
  <c r="U12" i="39"/>
  <c r="U13" i="39"/>
  <c r="U14" i="39"/>
  <c r="U15" i="39"/>
  <c r="U16" i="39"/>
  <c r="U17" i="39"/>
  <c r="U18" i="39"/>
  <c r="U19" i="39"/>
  <c r="U20" i="39"/>
  <c r="U21" i="39"/>
  <c r="U22" i="39"/>
  <c r="U23" i="39"/>
  <c r="U24" i="39"/>
  <c r="U25" i="39"/>
  <c r="U26" i="39"/>
  <c r="U27" i="39"/>
  <c r="U9" i="39"/>
  <c r="T30" i="39"/>
  <c r="T31" i="39"/>
  <c r="T32" i="39"/>
  <c r="T29" i="39"/>
  <c r="T10" i="39"/>
  <c r="T11" i="39"/>
  <c r="T12" i="39"/>
  <c r="T13" i="39"/>
  <c r="T14" i="39"/>
  <c r="T15" i="39"/>
  <c r="T16" i="39"/>
  <c r="T17" i="39"/>
  <c r="T18" i="39"/>
  <c r="T19" i="39"/>
  <c r="T20" i="39"/>
  <c r="T21" i="39"/>
  <c r="T22" i="39"/>
  <c r="T23" i="39"/>
  <c r="T24" i="39"/>
  <c r="T25" i="39"/>
  <c r="T26" i="39"/>
  <c r="T27" i="39"/>
  <c r="T9" i="39"/>
  <c r="S30" i="39"/>
  <c r="S31" i="39"/>
  <c r="S32" i="39"/>
  <c r="S29" i="39"/>
  <c r="S10" i="39"/>
  <c r="S11" i="39"/>
  <c r="S12" i="39"/>
  <c r="S13" i="39"/>
  <c r="S14" i="39"/>
  <c r="S15" i="39"/>
  <c r="S16" i="39"/>
  <c r="S17" i="39"/>
  <c r="S18" i="39"/>
  <c r="S19" i="39"/>
  <c r="S20" i="39"/>
  <c r="S21" i="39"/>
  <c r="S22" i="39"/>
  <c r="S23" i="39"/>
  <c r="S24" i="39"/>
  <c r="S25" i="39"/>
  <c r="S26" i="39"/>
  <c r="S27" i="39"/>
  <c r="S9" i="39"/>
  <c r="R30" i="39"/>
  <c r="R31" i="39"/>
  <c r="R32" i="39"/>
  <c r="R29" i="39"/>
  <c r="R10" i="39"/>
  <c r="R11" i="39"/>
  <c r="R12" i="39"/>
  <c r="R13" i="39"/>
  <c r="R14" i="39"/>
  <c r="R15" i="39"/>
  <c r="R16" i="39"/>
  <c r="R17" i="39"/>
  <c r="R18" i="39"/>
  <c r="R19" i="39"/>
  <c r="R20" i="39"/>
  <c r="R21" i="39"/>
  <c r="R22" i="39"/>
  <c r="R23" i="39"/>
  <c r="R24" i="39"/>
  <c r="R25" i="39"/>
  <c r="R26" i="39"/>
  <c r="R27" i="39"/>
  <c r="R9" i="39"/>
  <c r="Q30" i="39"/>
  <c r="Q31" i="39"/>
  <c r="Q32" i="39"/>
  <c r="Q29" i="39"/>
  <c r="Q10" i="39"/>
  <c r="Q11" i="39"/>
  <c r="Q12" i="39"/>
  <c r="Q13" i="39"/>
  <c r="Q14" i="39"/>
  <c r="Q15" i="39"/>
  <c r="Q16" i="39"/>
  <c r="Q17" i="39"/>
  <c r="Q18" i="39"/>
  <c r="Q19" i="39"/>
  <c r="Q20" i="39"/>
  <c r="Q21" i="39"/>
  <c r="Q22" i="39"/>
  <c r="Q23" i="39"/>
  <c r="Q24" i="39"/>
  <c r="Q25" i="39"/>
  <c r="Q26" i="39"/>
  <c r="Q27" i="39"/>
  <c r="Q9" i="39"/>
  <c r="P30" i="39"/>
  <c r="P31" i="39"/>
  <c r="P32" i="39"/>
  <c r="P29" i="39"/>
  <c r="P10" i="39"/>
  <c r="P11" i="39"/>
  <c r="P12" i="39"/>
  <c r="P13" i="39"/>
  <c r="P14" i="39"/>
  <c r="P15" i="39"/>
  <c r="P16" i="39"/>
  <c r="P17" i="39"/>
  <c r="P18" i="39"/>
  <c r="P19" i="39"/>
  <c r="P20" i="39"/>
  <c r="P21" i="39"/>
  <c r="P22" i="39"/>
  <c r="P23" i="39"/>
  <c r="P24" i="39"/>
  <c r="P25" i="39"/>
  <c r="P26" i="39"/>
  <c r="P27" i="39"/>
  <c r="P9" i="39"/>
  <c r="O30" i="39"/>
  <c r="O31" i="39"/>
  <c r="O32" i="39"/>
  <c r="O29" i="39"/>
  <c r="O10" i="39"/>
  <c r="O11" i="39"/>
  <c r="O12" i="39"/>
  <c r="O13" i="39"/>
  <c r="O14" i="39"/>
  <c r="O15" i="39"/>
  <c r="O16" i="39"/>
  <c r="O17" i="39"/>
  <c r="O18" i="39"/>
  <c r="O19" i="39"/>
  <c r="O20" i="39"/>
  <c r="O21" i="39"/>
  <c r="O22" i="39"/>
  <c r="O23" i="39"/>
  <c r="O24" i="39"/>
  <c r="O25" i="39"/>
  <c r="O26" i="39"/>
  <c r="O27" i="39"/>
  <c r="O9" i="39"/>
  <c r="I30" i="39"/>
  <c r="I31" i="39"/>
  <c r="I32" i="39"/>
  <c r="I29" i="39"/>
  <c r="I10" i="39"/>
  <c r="I11" i="39"/>
  <c r="I12" i="39"/>
  <c r="I13" i="39"/>
  <c r="I14" i="39"/>
  <c r="I15" i="39"/>
  <c r="I16" i="39"/>
  <c r="I17" i="39"/>
  <c r="I18" i="39"/>
  <c r="I19" i="39"/>
  <c r="I20" i="39"/>
  <c r="I21" i="39"/>
  <c r="I22" i="39"/>
  <c r="I23" i="39"/>
  <c r="I24" i="39"/>
  <c r="I25" i="39"/>
  <c r="I26" i="39"/>
  <c r="I27" i="39"/>
  <c r="I9" i="39"/>
  <c r="H30" i="39" l="1"/>
  <c r="H31" i="39"/>
  <c r="H32" i="39"/>
  <c r="H29" i="39"/>
  <c r="H10" i="39"/>
  <c r="H11" i="39"/>
  <c r="H12" i="39"/>
  <c r="H13" i="39"/>
  <c r="H14" i="39"/>
  <c r="H15" i="39"/>
  <c r="H16" i="39"/>
  <c r="H17" i="39"/>
  <c r="H18" i="39"/>
  <c r="H19" i="39"/>
  <c r="H20" i="39"/>
  <c r="H21" i="39"/>
  <c r="H22" i="39"/>
  <c r="H23" i="39"/>
  <c r="H24" i="39"/>
  <c r="H25" i="39"/>
  <c r="H26" i="39"/>
  <c r="H27" i="39"/>
  <c r="H9" i="39"/>
  <c r="G30" i="39"/>
  <c r="G31" i="39"/>
  <c r="G32" i="39"/>
  <c r="G29" i="39"/>
  <c r="G10" i="39"/>
  <c r="G11" i="39"/>
  <c r="G12" i="39"/>
  <c r="G13" i="39"/>
  <c r="G14" i="39"/>
  <c r="G15" i="39"/>
  <c r="G16" i="39"/>
  <c r="G17" i="39"/>
  <c r="G18" i="39"/>
  <c r="G19" i="39"/>
  <c r="G20" i="39"/>
  <c r="G21" i="39"/>
  <c r="G22" i="39"/>
  <c r="G23" i="39"/>
  <c r="G24" i="39"/>
  <c r="G25" i="39"/>
  <c r="G26" i="39"/>
  <c r="G27" i="39"/>
  <c r="G9" i="39"/>
  <c r="F30" i="39"/>
  <c r="F31" i="39"/>
  <c r="F32" i="39"/>
  <c r="F29" i="39"/>
  <c r="F10" i="39"/>
  <c r="F11" i="39"/>
  <c r="F12" i="39"/>
  <c r="F13" i="39"/>
  <c r="F14" i="39"/>
  <c r="F15" i="39"/>
  <c r="F16" i="39"/>
  <c r="F17" i="39"/>
  <c r="F18" i="39"/>
  <c r="F19" i="39"/>
  <c r="F20" i="39"/>
  <c r="F21" i="39"/>
  <c r="F22" i="39"/>
  <c r="F23" i="39"/>
  <c r="F24" i="39"/>
  <c r="F25" i="39"/>
  <c r="F26" i="39"/>
  <c r="F27" i="39"/>
  <c r="F9" i="39"/>
  <c r="D30" i="39"/>
  <c r="D31" i="39"/>
  <c r="D32" i="39"/>
  <c r="D29" i="39"/>
  <c r="D10" i="39"/>
  <c r="D11" i="39"/>
  <c r="D12" i="39"/>
  <c r="D13" i="39"/>
  <c r="D14" i="39"/>
  <c r="D15" i="39"/>
  <c r="D16" i="39"/>
  <c r="D17" i="39"/>
  <c r="D18" i="39"/>
  <c r="D19" i="39"/>
  <c r="D20" i="39"/>
  <c r="D21" i="39"/>
  <c r="D22" i="39"/>
  <c r="D23" i="39"/>
  <c r="D24" i="39"/>
  <c r="D25" i="39"/>
  <c r="D26" i="39"/>
  <c r="D27" i="39"/>
  <c r="D9" i="39"/>
  <c r="AA77" i="38" l="1"/>
  <c r="AA78" i="38"/>
  <c r="AA79" i="38"/>
  <c r="AA80" i="38"/>
  <c r="AA81" i="38"/>
  <c r="AA76" i="38"/>
  <c r="AA13" i="38"/>
  <c r="AA14" i="38"/>
  <c r="AA15" i="38"/>
  <c r="AA16" i="38"/>
  <c r="AA17" i="38"/>
  <c r="AA18" i="38"/>
  <c r="AA19" i="38"/>
  <c r="AA20" i="38"/>
  <c r="AA21" i="38"/>
  <c r="AA22" i="38"/>
  <c r="AA23" i="38"/>
  <c r="AA24" i="38"/>
  <c r="AA25" i="38"/>
  <c r="AA26" i="38"/>
  <c r="AA27" i="38"/>
  <c r="AA28" i="38"/>
  <c r="AA29" i="38"/>
  <c r="AA30" i="38"/>
  <c r="AA31" i="38"/>
  <c r="AA32" i="38"/>
  <c r="AA33" i="38"/>
  <c r="AA34" i="38"/>
  <c r="AA35" i="38"/>
  <c r="AA36" i="38"/>
  <c r="AA37" i="38"/>
  <c r="AA38" i="38"/>
  <c r="AA39" i="38"/>
  <c r="AA40" i="38"/>
  <c r="AA41" i="38"/>
  <c r="AA42" i="38"/>
  <c r="AA43" i="38"/>
  <c r="AA44" i="38"/>
  <c r="AA45" i="38"/>
  <c r="AA46" i="38"/>
  <c r="AA47" i="38"/>
  <c r="AA48" i="38"/>
  <c r="AA49" i="38"/>
  <c r="AA50" i="38"/>
  <c r="AA51" i="38"/>
  <c r="AA52" i="38"/>
  <c r="AA53" i="38"/>
  <c r="AA54" i="38"/>
  <c r="AA55" i="38"/>
  <c r="AA56" i="38"/>
  <c r="AA57" i="38"/>
  <c r="AA58" i="38"/>
  <c r="AA59" i="38"/>
  <c r="AA60" i="38"/>
  <c r="AA61" i="38"/>
  <c r="AA62" i="38"/>
  <c r="AA63" i="38"/>
  <c r="AA64" i="38"/>
  <c r="AA65" i="38"/>
  <c r="AA66" i="38"/>
  <c r="AA67" i="38"/>
  <c r="AA68" i="38"/>
  <c r="AA69" i="38"/>
  <c r="AA70" i="38"/>
  <c r="AA71" i="38"/>
  <c r="AA72" i="38"/>
  <c r="AA73" i="38"/>
  <c r="AA74" i="38"/>
  <c r="AA12" i="38"/>
  <c r="AA10" i="38"/>
  <c r="AA9" i="38"/>
  <c r="Z77" i="38"/>
  <c r="Z78" i="38"/>
  <c r="Z79" i="38"/>
  <c r="Z80" i="38"/>
  <c r="Z81" i="38"/>
  <c r="Z76" i="38"/>
  <c r="Z13" i="38"/>
  <c r="Z14" i="38"/>
  <c r="Z15" i="38"/>
  <c r="Z16" i="38"/>
  <c r="Z17" i="38"/>
  <c r="Z18" i="38"/>
  <c r="Z19" i="38"/>
  <c r="Z20" i="38"/>
  <c r="Z21" i="38"/>
  <c r="Z22" i="38"/>
  <c r="Z23" i="38"/>
  <c r="Z24" i="38"/>
  <c r="Z25" i="38"/>
  <c r="Z26" i="38"/>
  <c r="Z27" i="38"/>
  <c r="Z28" i="38"/>
  <c r="Z29" i="38"/>
  <c r="Z30" i="38"/>
  <c r="Z31" i="38"/>
  <c r="Z32" i="38"/>
  <c r="Z33" i="38"/>
  <c r="Z34" i="38"/>
  <c r="Z35" i="38"/>
  <c r="Z36" i="38"/>
  <c r="Z37" i="38"/>
  <c r="Z38" i="38"/>
  <c r="Z39" i="38"/>
  <c r="Z40" i="38"/>
  <c r="Z41" i="38"/>
  <c r="Z42" i="38"/>
  <c r="Z43" i="38"/>
  <c r="Z44" i="38"/>
  <c r="Z45" i="38"/>
  <c r="Z46" i="38"/>
  <c r="Z47" i="38"/>
  <c r="Z48" i="38"/>
  <c r="Z49" i="38"/>
  <c r="Z50" i="38"/>
  <c r="Z51" i="38"/>
  <c r="Z52" i="38"/>
  <c r="Z53" i="38"/>
  <c r="Z54" i="38"/>
  <c r="Z55" i="38"/>
  <c r="Z56" i="38"/>
  <c r="Z57" i="38"/>
  <c r="Z58" i="38"/>
  <c r="Z59" i="38"/>
  <c r="Z60" i="38"/>
  <c r="Z61" i="38"/>
  <c r="Z62" i="38"/>
  <c r="Z63" i="38"/>
  <c r="Z64" i="38"/>
  <c r="Z65" i="38"/>
  <c r="Z66" i="38"/>
  <c r="Z67" i="38"/>
  <c r="Z68" i="38"/>
  <c r="Z69" i="38"/>
  <c r="Z70" i="38"/>
  <c r="Z71" i="38"/>
  <c r="Z72" i="38"/>
  <c r="Z73" i="38"/>
  <c r="Z74" i="38"/>
  <c r="Z12" i="38"/>
  <c r="Z10" i="38"/>
  <c r="Z9" i="38"/>
  <c r="Y77" i="38"/>
  <c r="Y78" i="38"/>
  <c r="Y79" i="38"/>
  <c r="Y80" i="38"/>
  <c r="Y81" i="38"/>
  <c r="Y76" i="38"/>
  <c r="Y13" i="38"/>
  <c r="Y14" i="38"/>
  <c r="Y15" i="38"/>
  <c r="Y16" i="38"/>
  <c r="Y17" i="38"/>
  <c r="Y18" i="38"/>
  <c r="Y19" i="38"/>
  <c r="Y20" i="38"/>
  <c r="Y21" i="38"/>
  <c r="Y22" i="38"/>
  <c r="Y23" i="38"/>
  <c r="Y24" i="38"/>
  <c r="Y25" i="38"/>
  <c r="Y26" i="38"/>
  <c r="Y27" i="38"/>
  <c r="Y28" i="38"/>
  <c r="Y29" i="38"/>
  <c r="Y30" i="38"/>
  <c r="Y31" i="38"/>
  <c r="Y32" i="38"/>
  <c r="Y33" i="38"/>
  <c r="Y34" i="38"/>
  <c r="Y35" i="38"/>
  <c r="Y36" i="38"/>
  <c r="Y37" i="38"/>
  <c r="Y38" i="38"/>
  <c r="Y39" i="38"/>
  <c r="Y40" i="38"/>
  <c r="Y41" i="38"/>
  <c r="Y42" i="38"/>
  <c r="Y43" i="38"/>
  <c r="Y44" i="38"/>
  <c r="Y45" i="38"/>
  <c r="Y46" i="38"/>
  <c r="Y47" i="38"/>
  <c r="Y48" i="38"/>
  <c r="Y49" i="38"/>
  <c r="Y50" i="38"/>
  <c r="Y51" i="38"/>
  <c r="Y52" i="38"/>
  <c r="Y53" i="38"/>
  <c r="Y54" i="38"/>
  <c r="Y55" i="38"/>
  <c r="Y56" i="38"/>
  <c r="Y57" i="38"/>
  <c r="Y58" i="38"/>
  <c r="Y59" i="38"/>
  <c r="Y60" i="38"/>
  <c r="Y61" i="38"/>
  <c r="Y62" i="38"/>
  <c r="Y63" i="38"/>
  <c r="Y64" i="38"/>
  <c r="Y65" i="38"/>
  <c r="Y66" i="38"/>
  <c r="Y67" i="38"/>
  <c r="Y68" i="38"/>
  <c r="Y69" i="38"/>
  <c r="Y70" i="38"/>
  <c r="Y71" i="38"/>
  <c r="Y72" i="38"/>
  <c r="Y73" i="38"/>
  <c r="Y74" i="38"/>
  <c r="Y12" i="38"/>
  <c r="Y10" i="38"/>
  <c r="Y9" i="38"/>
  <c r="X77" i="38"/>
  <c r="X78" i="38"/>
  <c r="X79" i="38"/>
  <c r="X80" i="38"/>
  <c r="X81" i="38"/>
  <c r="X76" i="38"/>
  <c r="X13" i="38"/>
  <c r="X14" i="38"/>
  <c r="X15" i="38"/>
  <c r="X16" i="38"/>
  <c r="X17" i="38"/>
  <c r="X18" i="38"/>
  <c r="X19" i="38"/>
  <c r="X20" i="38"/>
  <c r="X21" i="38"/>
  <c r="X22" i="38"/>
  <c r="X23" i="38"/>
  <c r="X24" i="38"/>
  <c r="X25" i="38"/>
  <c r="X26" i="38"/>
  <c r="X27" i="38"/>
  <c r="X28" i="38"/>
  <c r="X29" i="38"/>
  <c r="X30" i="38"/>
  <c r="X31" i="38"/>
  <c r="X32" i="38"/>
  <c r="X33" i="38"/>
  <c r="X34" i="38"/>
  <c r="X35" i="38"/>
  <c r="X36" i="38"/>
  <c r="X37" i="38"/>
  <c r="X38" i="38"/>
  <c r="X39" i="38"/>
  <c r="X40" i="38"/>
  <c r="X41" i="38"/>
  <c r="X42" i="38"/>
  <c r="X43" i="38"/>
  <c r="X44" i="38"/>
  <c r="X45" i="38"/>
  <c r="X46" i="38"/>
  <c r="X47" i="38"/>
  <c r="X48" i="38"/>
  <c r="X49" i="38"/>
  <c r="X50" i="38"/>
  <c r="X51" i="38"/>
  <c r="X52" i="38"/>
  <c r="X53" i="38"/>
  <c r="X54" i="38"/>
  <c r="X55" i="38"/>
  <c r="X56" i="38"/>
  <c r="X57" i="38"/>
  <c r="X58" i="38"/>
  <c r="X59" i="38"/>
  <c r="X60" i="38"/>
  <c r="X61" i="38"/>
  <c r="X62" i="38"/>
  <c r="X63" i="38"/>
  <c r="X64" i="38"/>
  <c r="X65" i="38"/>
  <c r="X66" i="38"/>
  <c r="X67" i="38"/>
  <c r="X68" i="38"/>
  <c r="X69" i="38"/>
  <c r="X70" i="38"/>
  <c r="X71" i="38"/>
  <c r="X72" i="38"/>
  <c r="X73" i="38"/>
  <c r="X74" i="38"/>
  <c r="X12" i="38"/>
  <c r="X10" i="38"/>
  <c r="X9" i="38"/>
  <c r="W77" i="38"/>
  <c r="W78" i="38"/>
  <c r="W79" i="38"/>
  <c r="W80" i="38"/>
  <c r="W81" i="38"/>
  <c r="W76" i="38"/>
  <c r="W13" i="38"/>
  <c r="W14" i="38"/>
  <c r="W15" i="38"/>
  <c r="W16" i="38"/>
  <c r="W17" i="38"/>
  <c r="W18" i="38"/>
  <c r="W19" i="38"/>
  <c r="W20" i="38"/>
  <c r="W21" i="38"/>
  <c r="W22" i="38"/>
  <c r="W23" i="38"/>
  <c r="W24" i="38"/>
  <c r="W25" i="38"/>
  <c r="W26" i="38"/>
  <c r="W27" i="38"/>
  <c r="W28" i="38"/>
  <c r="W29" i="38"/>
  <c r="W30" i="38"/>
  <c r="W31" i="38"/>
  <c r="W32" i="38"/>
  <c r="W33" i="38"/>
  <c r="W34" i="38"/>
  <c r="W35" i="38"/>
  <c r="W36" i="38"/>
  <c r="W37" i="38"/>
  <c r="W38" i="38"/>
  <c r="W39" i="38"/>
  <c r="W40" i="38"/>
  <c r="W41" i="38"/>
  <c r="W42" i="38"/>
  <c r="W43" i="38"/>
  <c r="W44" i="38"/>
  <c r="W45" i="38"/>
  <c r="W46" i="38"/>
  <c r="W47" i="38"/>
  <c r="W48" i="38"/>
  <c r="W49" i="38"/>
  <c r="W50" i="38"/>
  <c r="W51" i="38"/>
  <c r="W52" i="38"/>
  <c r="W53" i="38"/>
  <c r="W54" i="38"/>
  <c r="W55" i="38"/>
  <c r="W56" i="38"/>
  <c r="W57" i="38"/>
  <c r="W58" i="38"/>
  <c r="W59" i="38"/>
  <c r="W60" i="38"/>
  <c r="W61" i="38"/>
  <c r="W62" i="38"/>
  <c r="W63" i="38"/>
  <c r="W64" i="38"/>
  <c r="W65" i="38"/>
  <c r="W66" i="38"/>
  <c r="W67" i="38"/>
  <c r="W68" i="38"/>
  <c r="W69" i="38"/>
  <c r="W70" i="38"/>
  <c r="W71" i="38"/>
  <c r="W72" i="38"/>
  <c r="W73" i="38"/>
  <c r="W74" i="38"/>
  <c r="W12" i="38"/>
  <c r="W10" i="38"/>
  <c r="W9" i="38"/>
  <c r="V77" i="38"/>
  <c r="V78" i="38"/>
  <c r="V79" i="38"/>
  <c r="V80" i="38"/>
  <c r="V81" i="38"/>
  <c r="V76" i="38"/>
  <c r="V13" i="38"/>
  <c r="V14" i="38"/>
  <c r="V15" i="38"/>
  <c r="V16" i="38"/>
  <c r="V17" i="38"/>
  <c r="V18" i="38"/>
  <c r="V19" i="38"/>
  <c r="V20" i="38"/>
  <c r="V21" i="38"/>
  <c r="V22" i="38"/>
  <c r="V23" i="38"/>
  <c r="V24" i="38"/>
  <c r="V25" i="38"/>
  <c r="V26" i="38"/>
  <c r="V27" i="38"/>
  <c r="V28" i="38"/>
  <c r="V29" i="38"/>
  <c r="V30" i="38"/>
  <c r="V31" i="38"/>
  <c r="V32" i="38"/>
  <c r="V33" i="38"/>
  <c r="V34" i="38"/>
  <c r="V35" i="38"/>
  <c r="V36" i="38"/>
  <c r="V37" i="38"/>
  <c r="V38" i="38"/>
  <c r="V39" i="38"/>
  <c r="V40" i="38"/>
  <c r="V41" i="38"/>
  <c r="V42" i="38"/>
  <c r="V43" i="38"/>
  <c r="V44" i="38"/>
  <c r="V45" i="38"/>
  <c r="V46" i="38"/>
  <c r="V47" i="38"/>
  <c r="V48" i="38"/>
  <c r="V49" i="38"/>
  <c r="V50" i="38"/>
  <c r="V51" i="38"/>
  <c r="V52" i="38"/>
  <c r="V53" i="38"/>
  <c r="V54" i="38"/>
  <c r="V55" i="38"/>
  <c r="V56" i="38"/>
  <c r="V57" i="38"/>
  <c r="V58" i="38"/>
  <c r="V59" i="38"/>
  <c r="V60" i="38"/>
  <c r="V61" i="38"/>
  <c r="V62" i="38"/>
  <c r="V63" i="38"/>
  <c r="V64" i="38"/>
  <c r="V65" i="38"/>
  <c r="V66" i="38"/>
  <c r="V67" i="38"/>
  <c r="V68" i="38"/>
  <c r="V69" i="38"/>
  <c r="V70" i="38"/>
  <c r="V71" i="38"/>
  <c r="V72" i="38"/>
  <c r="V73" i="38"/>
  <c r="V74" i="38"/>
  <c r="V12" i="38"/>
  <c r="V10" i="38"/>
  <c r="V9" i="38"/>
  <c r="U77" i="38"/>
  <c r="U78" i="38"/>
  <c r="U79" i="38"/>
  <c r="U80" i="38"/>
  <c r="U81" i="38"/>
  <c r="U76" i="38"/>
  <c r="U13" i="38"/>
  <c r="U14" i="38"/>
  <c r="U15" i="38"/>
  <c r="U16" i="38"/>
  <c r="U17" i="38"/>
  <c r="U18" i="38"/>
  <c r="U19" i="38"/>
  <c r="U20" i="38"/>
  <c r="U21" i="38"/>
  <c r="U22" i="38"/>
  <c r="U23" i="38"/>
  <c r="U24" i="38"/>
  <c r="U25" i="38"/>
  <c r="U26" i="38"/>
  <c r="U27" i="38"/>
  <c r="U28" i="38"/>
  <c r="U29" i="38"/>
  <c r="U30" i="38"/>
  <c r="U31" i="38"/>
  <c r="U32" i="38"/>
  <c r="U33" i="38"/>
  <c r="U34" i="38"/>
  <c r="U35" i="38"/>
  <c r="U36" i="38"/>
  <c r="U37" i="38"/>
  <c r="U38" i="38"/>
  <c r="U39" i="38"/>
  <c r="U40" i="38"/>
  <c r="U41" i="38"/>
  <c r="U42" i="38"/>
  <c r="U43" i="38"/>
  <c r="U44" i="38"/>
  <c r="U45" i="38"/>
  <c r="U46" i="38"/>
  <c r="U47" i="38"/>
  <c r="U48" i="38"/>
  <c r="U49" i="38"/>
  <c r="U50" i="38"/>
  <c r="U51" i="38"/>
  <c r="U52" i="38"/>
  <c r="U53" i="38"/>
  <c r="U54" i="38"/>
  <c r="U55" i="38"/>
  <c r="U56" i="38"/>
  <c r="U57" i="38"/>
  <c r="U58" i="38"/>
  <c r="U59" i="38"/>
  <c r="U60" i="38"/>
  <c r="U61" i="38"/>
  <c r="U62" i="38"/>
  <c r="U63" i="38"/>
  <c r="U64" i="38"/>
  <c r="U65" i="38"/>
  <c r="U66" i="38"/>
  <c r="U67" i="38"/>
  <c r="U68" i="38"/>
  <c r="U69" i="38"/>
  <c r="U70" i="38"/>
  <c r="U71" i="38"/>
  <c r="U72" i="38"/>
  <c r="U73" i="38"/>
  <c r="U74" i="38"/>
  <c r="U12" i="38"/>
  <c r="U10" i="38"/>
  <c r="U9" i="38"/>
  <c r="T77" i="38"/>
  <c r="T78" i="38"/>
  <c r="T79" i="38"/>
  <c r="T80" i="38"/>
  <c r="T81" i="38"/>
  <c r="T76" i="38"/>
  <c r="T13" i="38"/>
  <c r="T14" i="38"/>
  <c r="T15" i="38"/>
  <c r="T16" i="38"/>
  <c r="T17" i="38"/>
  <c r="T18" i="38"/>
  <c r="T19" i="38"/>
  <c r="T20" i="38"/>
  <c r="T21" i="38"/>
  <c r="T22" i="38"/>
  <c r="T23" i="38"/>
  <c r="T24" i="38"/>
  <c r="T25" i="38"/>
  <c r="T26" i="38"/>
  <c r="T27" i="38"/>
  <c r="T28" i="38"/>
  <c r="T29" i="38"/>
  <c r="T30" i="38"/>
  <c r="T31" i="38"/>
  <c r="T32" i="38"/>
  <c r="T33" i="38"/>
  <c r="T34" i="38"/>
  <c r="T35" i="38"/>
  <c r="T36" i="38"/>
  <c r="T37" i="38"/>
  <c r="T38" i="38"/>
  <c r="T39" i="38"/>
  <c r="T40" i="38"/>
  <c r="T41" i="38"/>
  <c r="T42" i="38"/>
  <c r="T43" i="38"/>
  <c r="T44" i="38"/>
  <c r="T45" i="38"/>
  <c r="T46" i="38"/>
  <c r="T47" i="38"/>
  <c r="T48" i="38"/>
  <c r="T49" i="38"/>
  <c r="T50" i="38"/>
  <c r="T51" i="38"/>
  <c r="T52" i="38"/>
  <c r="T53" i="38"/>
  <c r="T54" i="38"/>
  <c r="T55" i="38"/>
  <c r="T56" i="38"/>
  <c r="T57" i="38"/>
  <c r="T58" i="38"/>
  <c r="T59" i="38"/>
  <c r="T60" i="38"/>
  <c r="T61" i="38"/>
  <c r="T62" i="38"/>
  <c r="T63" i="38"/>
  <c r="T64" i="38"/>
  <c r="T65" i="38"/>
  <c r="T66" i="38"/>
  <c r="T67" i="38"/>
  <c r="T68" i="38"/>
  <c r="T69" i="38"/>
  <c r="T70" i="38"/>
  <c r="T71" i="38"/>
  <c r="T72" i="38"/>
  <c r="T73" i="38"/>
  <c r="T74" i="38"/>
  <c r="T12" i="38"/>
  <c r="T10" i="38"/>
  <c r="T9" i="38"/>
  <c r="S77" i="38"/>
  <c r="S78" i="38"/>
  <c r="S79" i="38"/>
  <c r="S80" i="38"/>
  <c r="S81" i="38"/>
  <c r="S76" i="38"/>
  <c r="S13" i="38"/>
  <c r="S14" i="38"/>
  <c r="S15" i="38"/>
  <c r="S16" i="38"/>
  <c r="S17" i="38"/>
  <c r="S18" i="38"/>
  <c r="S19" i="38"/>
  <c r="S20" i="38"/>
  <c r="S21" i="38"/>
  <c r="S22" i="38"/>
  <c r="S23" i="38"/>
  <c r="S24" i="38"/>
  <c r="S25" i="38"/>
  <c r="S26" i="38"/>
  <c r="S27" i="38"/>
  <c r="S28" i="38"/>
  <c r="S29" i="38"/>
  <c r="S30" i="38"/>
  <c r="S31" i="38"/>
  <c r="S32" i="38"/>
  <c r="S33" i="38"/>
  <c r="S34" i="38"/>
  <c r="S35" i="38"/>
  <c r="S36" i="38"/>
  <c r="S37" i="38"/>
  <c r="S38" i="38"/>
  <c r="S39" i="38"/>
  <c r="S40" i="38"/>
  <c r="S41" i="38"/>
  <c r="S42" i="38"/>
  <c r="S43" i="38"/>
  <c r="S44" i="38"/>
  <c r="S45" i="38"/>
  <c r="S46" i="38"/>
  <c r="S47" i="38"/>
  <c r="S48" i="38"/>
  <c r="S49" i="38"/>
  <c r="S50" i="38"/>
  <c r="S51" i="38"/>
  <c r="S52" i="38"/>
  <c r="S53" i="38"/>
  <c r="S54" i="38"/>
  <c r="S55" i="38"/>
  <c r="S56" i="38"/>
  <c r="S57" i="38"/>
  <c r="S58" i="38"/>
  <c r="S59" i="38"/>
  <c r="S60" i="38"/>
  <c r="S61" i="38"/>
  <c r="S62" i="38"/>
  <c r="S63" i="38"/>
  <c r="S64" i="38"/>
  <c r="S65" i="38"/>
  <c r="S66" i="38"/>
  <c r="S67" i="38"/>
  <c r="S68" i="38"/>
  <c r="S69" i="38"/>
  <c r="S70" i="38"/>
  <c r="S71" i="38"/>
  <c r="S72" i="38"/>
  <c r="S73" i="38"/>
  <c r="S74" i="38"/>
  <c r="S12" i="38"/>
  <c r="S10" i="38"/>
  <c r="S9" i="38"/>
  <c r="M77" i="38"/>
  <c r="M78" i="38"/>
  <c r="M79" i="38"/>
  <c r="M80" i="38"/>
  <c r="M81" i="38"/>
  <c r="M76" i="38"/>
  <c r="M13" i="38"/>
  <c r="M14" i="38"/>
  <c r="M15" i="38"/>
  <c r="M16" i="38"/>
  <c r="M17" i="38"/>
  <c r="M18" i="38"/>
  <c r="M19" i="38"/>
  <c r="M20" i="38"/>
  <c r="M21" i="38"/>
  <c r="M22" i="38"/>
  <c r="M23" i="38"/>
  <c r="M24" i="38"/>
  <c r="M25" i="38"/>
  <c r="M26" i="38"/>
  <c r="M27" i="38"/>
  <c r="M28" i="38"/>
  <c r="M29" i="38"/>
  <c r="M30" i="38"/>
  <c r="M31" i="38"/>
  <c r="M32" i="38"/>
  <c r="M33" i="38"/>
  <c r="M34" i="38"/>
  <c r="M35" i="38"/>
  <c r="M36" i="38"/>
  <c r="M37" i="38"/>
  <c r="M38" i="38"/>
  <c r="M39" i="38"/>
  <c r="M40" i="38"/>
  <c r="M41" i="38"/>
  <c r="M42" i="38"/>
  <c r="M43" i="38"/>
  <c r="M44" i="38"/>
  <c r="M45" i="38"/>
  <c r="M46" i="38"/>
  <c r="M47" i="38"/>
  <c r="M48" i="38"/>
  <c r="M49" i="38"/>
  <c r="M50" i="38"/>
  <c r="M51" i="38"/>
  <c r="M52" i="38"/>
  <c r="M53" i="38"/>
  <c r="M54" i="38"/>
  <c r="M55" i="38"/>
  <c r="M56" i="38"/>
  <c r="M57" i="38"/>
  <c r="M58" i="38"/>
  <c r="M59" i="38"/>
  <c r="M60" i="38"/>
  <c r="M61" i="38"/>
  <c r="M62" i="38"/>
  <c r="M63" i="38"/>
  <c r="M64" i="38"/>
  <c r="M65" i="38"/>
  <c r="M66" i="38"/>
  <c r="M67" i="38"/>
  <c r="M68" i="38"/>
  <c r="M69" i="38"/>
  <c r="M70" i="38"/>
  <c r="M71" i="38"/>
  <c r="M72" i="38"/>
  <c r="M73" i="38"/>
  <c r="M74" i="38"/>
  <c r="M12" i="38"/>
  <c r="M10" i="38"/>
  <c r="M9" i="38"/>
  <c r="L77" i="38"/>
  <c r="L78" i="38"/>
  <c r="L79" i="38"/>
  <c r="L80" i="38"/>
  <c r="L81" i="38"/>
  <c r="L76" i="38"/>
  <c r="L13" i="38"/>
  <c r="L14" i="38"/>
  <c r="L15" i="38"/>
  <c r="L16" i="38"/>
  <c r="L17" i="38"/>
  <c r="L18" i="38"/>
  <c r="L19" i="38"/>
  <c r="L20" i="38"/>
  <c r="L21" i="38"/>
  <c r="L22" i="38"/>
  <c r="L23" i="38"/>
  <c r="L24" i="38"/>
  <c r="L25" i="38"/>
  <c r="L26" i="38"/>
  <c r="L27" i="38"/>
  <c r="L28" i="38"/>
  <c r="L29" i="38"/>
  <c r="L30" i="38"/>
  <c r="L31" i="38"/>
  <c r="L32" i="38"/>
  <c r="L33" i="38"/>
  <c r="L34" i="38"/>
  <c r="L35" i="38"/>
  <c r="L36" i="38"/>
  <c r="L37" i="38"/>
  <c r="L38" i="38"/>
  <c r="L39" i="38"/>
  <c r="L40" i="38"/>
  <c r="L41" i="38"/>
  <c r="L42" i="38"/>
  <c r="L43" i="38"/>
  <c r="L44" i="38"/>
  <c r="L45" i="38"/>
  <c r="L46" i="38"/>
  <c r="L47" i="38"/>
  <c r="L48" i="38"/>
  <c r="L49" i="38"/>
  <c r="L50" i="38"/>
  <c r="L51" i="38"/>
  <c r="L52" i="38"/>
  <c r="L53" i="38"/>
  <c r="L54" i="38"/>
  <c r="L55" i="38"/>
  <c r="L56" i="38"/>
  <c r="L57" i="38"/>
  <c r="L58" i="38"/>
  <c r="L59" i="38"/>
  <c r="L60" i="38"/>
  <c r="L61" i="38"/>
  <c r="L62" i="38"/>
  <c r="L63" i="38"/>
  <c r="L64" i="38"/>
  <c r="L65" i="38"/>
  <c r="L66" i="38"/>
  <c r="L67" i="38"/>
  <c r="L68" i="38"/>
  <c r="L69" i="38"/>
  <c r="L70" i="38"/>
  <c r="L71" i="38"/>
  <c r="L72" i="38"/>
  <c r="L73" i="38"/>
  <c r="L74" i="38"/>
  <c r="L12" i="38"/>
  <c r="L10" i="38"/>
  <c r="L9" i="38"/>
  <c r="K77" i="38"/>
  <c r="K78" i="38"/>
  <c r="K79" i="38"/>
  <c r="K80" i="38"/>
  <c r="K81" i="38"/>
  <c r="K76" i="38"/>
  <c r="K13" i="38"/>
  <c r="K14" i="38"/>
  <c r="K15" i="38"/>
  <c r="K16" i="38"/>
  <c r="K17" i="38"/>
  <c r="K18" i="38"/>
  <c r="K19" i="38"/>
  <c r="K20" i="38"/>
  <c r="K21" i="38"/>
  <c r="K22" i="38"/>
  <c r="K23" i="38"/>
  <c r="K24" i="38"/>
  <c r="K25" i="38"/>
  <c r="K26" i="38"/>
  <c r="K27" i="38"/>
  <c r="K28" i="38"/>
  <c r="K29" i="38"/>
  <c r="K30" i="38"/>
  <c r="K31" i="38"/>
  <c r="K32" i="38"/>
  <c r="K33" i="38"/>
  <c r="K34" i="38"/>
  <c r="K35" i="38"/>
  <c r="K36" i="38"/>
  <c r="K37" i="38"/>
  <c r="K38" i="38"/>
  <c r="K39" i="38"/>
  <c r="K40" i="38"/>
  <c r="K41" i="38"/>
  <c r="K42" i="38"/>
  <c r="K43" i="38"/>
  <c r="K44" i="38"/>
  <c r="K45" i="38"/>
  <c r="K46" i="38"/>
  <c r="K47" i="38"/>
  <c r="K48" i="38"/>
  <c r="K49" i="38"/>
  <c r="K50" i="38"/>
  <c r="K51" i="38"/>
  <c r="K52" i="38"/>
  <c r="K53" i="38"/>
  <c r="K54" i="38"/>
  <c r="K55" i="38"/>
  <c r="K56" i="38"/>
  <c r="K57" i="38"/>
  <c r="K58" i="38"/>
  <c r="K59" i="38"/>
  <c r="K60" i="38"/>
  <c r="K61" i="38"/>
  <c r="K62" i="38"/>
  <c r="K63" i="38"/>
  <c r="K64" i="38"/>
  <c r="K65" i="38"/>
  <c r="K66" i="38"/>
  <c r="K67" i="38"/>
  <c r="K68" i="38"/>
  <c r="K69" i="38"/>
  <c r="K70" i="38"/>
  <c r="K71" i="38"/>
  <c r="K72" i="38"/>
  <c r="K73" i="38"/>
  <c r="K74" i="38"/>
  <c r="K12" i="38"/>
  <c r="K10" i="38"/>
  <c r="K9" i="38"/>
  <c r="F77" i="38"/>
  <c r="F78" i="38"/>
  <c r="F79" i="38"/>
  <c r="F80" i="38"/>
  <c r="F81" i="38"/>
  <c r="F76" i="38"/>
  <c r="F13" i="38"/>
  <c r="F14" i="38"/>
  <c r="F15" i="38"/>
  <c r="F16" i="38"/>
  <c r="F17" i="38"/>
  <c r="F18" i="38"/>
  <c r="F19" i="38"/>
  <c r="F20" i="38"/>
  <c r="F21" i="38"/>
  <c r="F22" i="38"/>
  <c r="F23" i="38"/>
  <c r="F24" i="38"/>
  <c r="F25" i="38"/>
  <c r="F26" i="38"/>
  <c r="F27" i="38"/>
  <c r="F28" i="38"/>
  <c r="F29" i="38"/>
  <c r="F30" i="38"/>
  <c r="F31" i="38"/>
  <c r="F32" i="38"/>
  <c r="F33" i="38"/>
  <c r="F34" i="38"/>
  <c r="F35" i="38"/>
  <c r="F36" i="38"/>
  <c r="F37" i="38"/>
  <c r="F38" i="38"/>
  <c r="F39" i="38"/>
  <c r="F40" i="38"/>
  <c r="F41" i="38"/>
  <c r="F42" i="38"/>
  <c r="F43" i="38"/>
  <c r="F44" i="38"/>
  <c r="F45" i="38"/>
  <c r="F46" i="38"/>
  <c r="F47" i="38"/>
  <c r="F48" i="38"/>
  <c r="F49" i="38"/>
  <c r="F50" i="38"/>
  <c r="F51" i="38"/>
  <c r="F52" i="38"/>
  <c r="F53" i="38"/>
  <c r="F54" i="38"/>
  <c r="F55" i="38"/>
  <c r="F56" i="38"/>
  <c r="F57" i="38"/>
  <c r="F58" i="38"/>
  <c r="F59" i="38"/>
  <c r="F60" i="38"/>
  <c r="F61" i="38"/>
  <c r="F62" i="38"/>
  <c r="F63" i="38"/>
  <c r="F64" i="38"/>
  <c r="F65" i="38"/>
  <c r="F66" i="38"/>
  <c r="F67" i="38"/>
  <c r="F68" i="38"/>
  <c r="F69" i="38"/>
  <c r="F70" i="38"/>
  <c r="F71" i="38"/>
  <c r="F72" i="38"/>
  <c r="F73" i="38"/>
  <c r="F74" i="38"/>
  <c r="F12" i="38"/>
  <c r="F10" i="38"/>
  <c r="F9" i="38"/>
  <c r="D77" i="38"/>
  <c r="D78" i="38"/>
  <c r="D79" i="38"/>
  <c r="D80" i="38"/>
  <c r="D81" i="38"/>
  <c r="D76" i="38"/>
  <c r="D13" i="38"/>
  <c r="D14" i="38"/>
  <c r="D15" i="38"/>
  <c r="D16" i="38"/>
  <c r="D17" i="38"/>
  <c r="D18" i="38"/>
  <c r="D19" i="38"/>
  <c r="D20" i="38"/>
  <c r="D21" i="38"/>
  <c r="D22" i="38"/>
  <c r="D23" i="38"/>
  <c r="D24" i="38"/>
  <c r="D25" i="38"/>
  <c r="D26" i="38"/>
  <c r="D27" i="38"/>
  <c r="D28" i="38"/>
  <c r="D29" i="38"/>
  <c r="D30" i="38"/>
  <c r="D31" i="38"/>
  <c r="D32" i="38"/>
  <c r="D33" i="38"/>
  <c r="D34" i="38"/>
  <c r="D35" i="38"/>
  <c r="D36" i="38"/>
  <c r="D37" i="38"/>
  <c r="D38" i="38"/>
  <c r="D39" i="38"/>
  <c r="D40" i="38"/>
  <c r="D41" i="38"/>
  <c r="D42" i="38"/>
  <c r="D43" i="38"/>
  <c r="D44" i="38"/>
  <c r="D45" i="38"/>
  <c r="D46" i="38"/>
  <c r="D47" i="38"/>
  <c r="D48" i="38"/>
  <c r="D49" i="38"/>
  <c r="D50" i="38"/>
  <c r="D51" i="38"/>
  <c r="D52" i="38"/>
  <c r="D53" i="38"/>
  <c r="D54" i="38"/>
  <c r="D55" i="38"/>
  <c r="D56" i="38"/>
  <c r="D57" i="38"/>
  <c r="D58" i="38"/>
  <c r="D59" i="38"/>
  <c r="D60" i="38"/>
  <c r="D61" i="38"/>
  <c r="D62" i="38"/>
  <c r="D63" i="38"/>
  <c r="D64" i="38"/>
  <c r="D65" i="38"/>
  <c r="D66" i="38"/>
  <c r="D67" i="38"/>
  <c r="D68" i="38"/>
  <c r="D69" i="38"/>
  <c r="D70" i="38"/>
  <c r="D71" i="38"/>
  <c r="D72" i="38"/>
  <c r="D73" i="38"/>
  <c r="D74" i="38"/>
  <c r="D12" i="38"/>
  <c r="D10" i="38"/>
  <c r="D9" i="38"/>
  <c r="V8" i="34"/>
  <c r="V9" i="34"/>
  <c r="V10" i="34"/>
  <c r="V11" i="34"/>
  <c r="V12" i="34"/>
  <c r="V13" i="34"/>
  <c r="V14" i="34"/>
  <c r="V15" i="34"/>
  <c r="V16" i="34"/>
  <c r="V17" i="34"/>
  <c r="V18" i="34"/>
  <c r="V19" i="34"/>
  <c r="V20" i="34"/>
  <c r="V21" i="34"/>
  <c r="V22" i="34"/>
  <c r="V23" i="34"/>
  <c r="V24" i="34"/>
  <c r="V25" i="34"/>
  <c r="V26" i="34"/>
  <c r="V27" i="34"/>
  <c r="V28" i="34"/>
  <c r="V29" i="34"/>
  <c r="V30" i="34"/>
  <c r="V31" i="34"/>
  <c r="V32" i="34"/>
  <c r="V33" i="34"/>
  <c r="V34" i="34"/>
  <c r="V35" i="34"/>
  <c r="V36" i="34"/>
  <c r="V37" i="34"/>
  <c r="V38" i="34"/>
  <c r="V39" i="34"/>
  <c r="V40" i="34"/>
  <c r="V41" i="34"/>
  <c r="V42" i="34"/>
  <c r="V43" i="34"/>
  <c r="V44" i="34"/>
  <c r="V45" i="34"/>
  <c r="V46" i="34"/>
  <c r="V47" i="34"/>
  <c r="V48" i="34"/>
  <c r="V49" i="34"/>
  <c r="V50" i="34"/>
  <c r="V51" i="34"/>
  <c r="V52" i="34"/>
  <c r="V53" i="34"/>
  <c r="V54" i="34"/>
  <c r="V55" i="34"/>
  <c r="V56" i="34"/>
  <c r="V57" i="34"/>
  <c r="V58" i="34"/>
  <c r="V59" i="34"/>
  <c r="V60" i="34"/>
  <c r="V61" i="34"/>
  <c r="V62" i="34"/>
  <c r="V63" i="34"/>
  <c r="V64" i="34"/>
  <c r="V65" i="34"/>
  <c r="V66" i="34"/>
  <c r="V67" i="34"/>
  <c r="V68" i="34"/>
  <c r="U8" i="34"/>
  <c r="U9" i="34"/>
  <c r="U10" i="34"/>
  <c r="U11" i="34"/>
  <c r="U12" i="34"/>
  <c r="U13" i="34"/>
  <c r="U14" i="34"/>
  <c r="U15" i="34"/>
  <c r="U16" i="34"/>
  <c r="U17" i="34"/>
  <c r="U18" i="34"/>
  <c r="U19" i="34"/>
  <c r="U20" i="34"/>
  <c r="U21" i="34"/>
  <c r="U22" i="34"/>
  <c r="U23" i="34"/>
  <c r="U24" i="34"/>
  <c r="U25" i="34"/>
  <c r="U26" i="34"/>
  <c r="U27" i="34"/>
  <c r="U28" i="34"/>
  <c r="U29" i="34"/>
  <c r="U30" i="34"/>
  <c r="U31" i="34"/>
  <c r="U32" i="34"/>
  <c r="U33" i="34"/>
  <c r="U34" i="34"/>
  <c r="U35" i="34"/>
  <c r="U36" i="34"/>
  <c r="U37" i="34"/>
  <c r="U38" i="34"/>
  <c r="U39" i="34"/>
  <c r="U40" i="34"/>
  <c r="U41" i="34"/>
  <c r="U42" i="34"/>
  <c r="U43" i="34"/>
  <c r="U44" i="34"/>
  <c r="U45" i="34"/>
  <c r="U46" i="34"/>
  <c r="U47" i="34"/>
  <c r="U48" i="34"/>
  <c r="U49" i="34"/>
  <c r="U50" i="34"/>
  <c r="U51" i="34"/>
  <c r="U52" i="34"/>
  <c r="U53" i="34"/>
  <c r="U54" i="34"/>
  <c r="U55" i="34"/>
  <c r="U56" i="34"/>
  <c r="U57" i="34"/>
  <c r="U58" i="34"/>
  <c r="U59" i="34"/>
  <c r="U60" i="34"/>
  <c r="U61" i="34"/>
  <c r="U62" i="34"/>
  <c r="U63" i="34"/>
  <c r="U64" i="34"/>
  <c r="U65" i="34"/>
  <c r="U66" i="34"/>
  <c r="U67" i="34"/>
  <c r="U68" i="34"/>
  <c r="T8" i="34"/>
  <c r="T9" i="34"/>
  <c r="T10" i="34"/>
  <c r="T11" i="34"/>
  <c r="T12" i="34"/>
  <c r="T13" i="34"/>
  <c r="T14" i="34"/>
  <c r="T15" i="34"/>
  <c r="T16" i="34"/>
  <c r="T17" i="34"/>
  <c r="T18" i="34"/>
  <c r="T19" i="34"/>
  <c r="T20" i="34"/>
  <c r="T21" i="34"/>
  <c r="T22" i="34"/>
  <c r="T23" i="34"/>
  <c r="T24" i="34"/>
  <c r="T25" i="34"/>
  <c r="T26" i="34"/>
  <c r="T27" i="34"/>
  <c r="T28" i="34"/>
  <c r="T29" i="34"/>
  <c r="T30" i="34"/>
  <c r="T31" i="34"/>
  <c r="T32" i="34"/>
  <c r="T33" i="34"/>
  <c r="T34" i="34"/>
  <c r="T35" i="34"/>
  <c r="T36" i="34"/>
  <c r="T37" i="34"/>
  <c r="T38" i="34"/>
  <c r="T39" i="34"/>
  <c r="T40" i="34"/>
  <c r="T41" i="34"/>
  <c r="T42" i="34"/>
  <c r="T43" i="34"/>
  <c r="T44" i="34"/>
  <c r="T45" i="34"/>
  <c r="T46" i="34"/>
  <c r="T47" i="34"/>
  <c r="T48" i="34"/>
  <c r="T49" i="34"/>
  <c r="T50" i="34"/>
  <c r="T51" i="34"/>
  <c r="T52" i="34"/>
  <c r="T53" i="34"/>
  <c r="T54" i="34"/>
  <c r="T55" i="34"/>
  <c r="T56" i="34"/>
  <c r="T57" i="34"/>
  <c r="T58" i="34"/>
  <c r="T59" i="34"/>
  <c r="T60" i="34"/>
  <c r="T61" i="34"/>
  <c r="T62" i="34"/>
  <c r="T63" i="34"/>
  <c r="T64" i="34"/>
  <c r="T65" i="34"/>
  <c r="T66" i="34"/>
  <c r="T67" i="34"/>
  <c r="T68" i="34"/>
  <c r="S8" i="34"/>
  <c r="S9" i="34"/>
  <c r="S10" i="34"/>
  <c r="S11" i="34"/>
  <c r="S12" i="34"/>
  <c r="S13" i="34"/>
  <c r="S14" i="34"/>
  <c r="S15" i="34"/>
  <c r="S16" i="34"/>
  <c r="S17" i="34"/>
  <c r="S18" i="34"/>
  <c r="S19" i="34"/>
  <c r="S20" i="34"/>
  <c r="S21" i="34"/>
  <c r="S22" i="34"/>
  <c r="S23" i="34"/>
  <c r="S24" i="34"/>
  <c r="S25" i="34"/>
  <c r="S26" i="34"/>
  <c r="S27" i="34"/>
  <c r="S28" i="34"/>
  <c r="S29" i="34"/>
  <c r="S30" i="34"/>
  <c r="S31" i="34"/>
  <c r="S32" i="34"/>
  <c r="S33" i="34"/>
  <c r="S34" i="34"/>
  <c r="S35" i="34"/>
  <c r="S36" i="34"/>
  <c r="S37" i="34"/>
  <c r="S38" i="34"/>
  <c r="S39" i="34"/>
  <c r="S40" i="34"/>
  <c r="S41" i="34"/>
  <c r="S42" i="34"/>
  <c r="S43" i="34"/>
  <c r="S44" i="34"/>
  <c r="S45" i="34"/>
  <c r="S46" i="34"/>
  <c r="S47" i="34"/>
  <c r="S48" i="34"/>
  <c r="S49" i="34"/>
  <c r="S50" i="34"/>
  <c r="S51" i="34"/>
  <c r="S52" i="34"/>
  <c r="S53" i="34"/>
  <c r="S54" i="34"/>
  <c r="S55" i="34"/>
  <c r="S56" i="34"/>
  <c r="S57" i="34"/>
  <c r="S58" i="34"/>
  <c r="S59" i="34"/>
  <c r="S60" i="34"/>
  <c r="S61" i="34"/>
  <c r="S62" i="34"/>
  <c r="S63" i="34"/>
  <c r="S64" i="34"/>
  <c r="S65" i="34"/>
  <c r="S66" i="34"/>
  <c r="S67" i="34"/>
  <c r="S68"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38" i="34"/>
  <c r="R39" i="34"/>
  <c r="R40" i="34"/>
  <c r="R41" i="34"/>
  <c r="R42" i="34"/>
  <c r="R43" i="34"/>
  <c r="R44" i="34"/>
  <c r="R45" i="34"/>
  <c r="R46" i="34"/>
  <c r="R47" i="34"/>
  <c r="R48" i="34"/>
  <c r="R49" i="34"/>
  <c r="R50" i="34"/>
  <c r="R51" i="34"/>
  <c r="R52" i="34"/>
  <c r="R53" i="34"/>
  <c r="R54" i="34"/>
  <c r="R55" i="34"/>
  <c r="R56" i="34"/>
  <c r="R57" i="34"/>
  <c r="R58" i="34"/>
  <c r="R59" i="34"/>
  <c r="R60" i="34"/>
  <c r="R61" i="34"/>
  <c r="R62" i="34"/>
  <c r="R63" i="34"/>
  <c r="R64" i="34"/>
  <c r="R65" i="34"/>
  <c r="R66" i="34"/>
  <c r="R67" i="34"/>
  <c r="R68" i="34"/>
  <c r="Q8" i="34"/>
  <c r="Q9" i="34"/>
  <c r="Q10" i="34"/>
  <c r="Q11" i="34"/>
  <c r="Q12" i="34"/>
  <c r="Q13" i="34"/>
  <c r="Q14" i="34"/>
  <c r="Q15" i="34"/>
  <c r="Q16" i="34"/>
  <c r="Q17" i="34"/>
  <c r="Q18" i="34"/>
  <c r="Q19" i="34"/>
  <c r="Q20" i="34"/>
  <c r="Q21" i="34"/>
  <c r="Q22" i="34"/>
  <c r="Q23" i="34"/>
  <c r="Q24" i="34"/>
  <c r="Q25" i="34"/>
  <c r="Q26" i="34"/>
  <c r="Q27" i="34"/>
  <c r="Q28" i="34"/>
  <c r="Q29" i="34"/>
  <c r="Q30" i="34"/>
  <c r="Q31" i="34"/>
  <c r="Q32" i="34"/>
  <c r="Q33" i="34"/>
  <c r="Q34" i="34"/>
  <c r="Q35" i="34"/>
  <c r="Q36" i="34"/>
  <c r="Q37" i="34"/>
  <c r="Q38" i="34"/>
  <c r="Q39" i="34"/>
  <c r="Q40" i="34"/>
  <c r="Q41" i="34"/>
  <c r="Q42" i="34"/>
  <c r="Q43" i="34"/>
  <c r="Q44" i="34"/>
  <c r="Q45" i="34"/>
  <c r="Q46" i="34"/>
  <c r="Q47" i="34"/>
  <c r="Q48" i="34"/>
  <c r="Q49" i="34"/>
  <c r="Q50" i="34"/>
  <c r="Q51" i="34"/>
  <c r="Q52" i="34"/>
  <c r="Q53" i="34"/>
  <c r="Q54" i="34"/>
  <c r="Q55" i="34"/>
  <c r="Q56" i="34"/>
  <c r="Q57" i="34"/>
  <c r="Q58" i="34"/>
  <c r="Q59" i="34"/>
  <c r="Q60" i="34"/>
  <c r="Q61" i="34"/>
  <c r="Q62" i="34"/>
  <c r="Q63" i="34"/>
  <c r="Q64" i="34"/>
  <c r="Q65" i="34"/>
  <c r="Q66" i="34"/>
  <c r="Q67" i="34"/>
  <c r="Q68" i="34"/>
  <c r="P8" i="34"/>
  <c r="P9" i="34"/>
  <c r="P10" i="34"/>
  <c r="P11" i="34"/>
  <c r="P12" i="34"/>
  <c r="P13" i="34"/>
  <c r="P14" i="34"/>
  <c r="P15" i="34"/>
  <c r="P16" i="34"/>
  <c r="P17" i="34"/>
  <c r="P18" i="34"/>
  <c r="P19" i="34"/>
  <c r="P20" i="34"/>
  <c r="P21" i="34"/>
  <c r="P22" i="34"/>
  <c r="P23" i="34"/>
  <c r="P24" i="34"/>
  <c r="P25" i="34"/>
  <c r="P26" i="34"/>
  <c r="P27" i="34"/>
  <c r="P28" i="34"/>
  <c r="P29" i="34"/>
  <c r="P30" i="34"/>
  <c r="P31" i="34"/>
  <c r="P32" i="34"/>
  <c r="P33" i="34"/>
  <c r="P34" i="34"/>
  <c r="P35" i="34"/>
  <c r="P36" i="34"/>
  <c r="P37" i="34"/>
  <c r="P38" i="34"/>
  <c r="P39" i="34"/>
  <c r="P40" i="34"/>
  <c r="P41" i="34"/>
  <c r="P42" i="34"/>
  <c r="P43" i="34"/>
  <c r="P44" i="34"/>
  <c r="P45" i="34"/>
  <c r="P46" i="34"/>
  <c r="P47" i="34"/>
  <c r="P48" i="34"/>
  <c r="P49" i="34"/>
  <c r="P50" i="34"/>
  <c r="P51" i="34"/>
  <c r="P52" i="34"/>
  <c r="P53" i="34"/>
  <c r="P54" i="34"/>
  <c r="P55" i="34"/>
  <c r="P56" i="34"/>
  <c r="P57" i="34"/>
  <c r="P58" i="34"/>
  <c r="P59" i="34"/>
  <c r="P60" i="34"/>
  <c r="P61" i="34"/>
  <c r="P62" i="34"/>
  <c r="P63" i="34"/>
  <c r="P64" i="34"/>
  <c r="P65" i="34"/>
  <c r="P66" i="34"/>
  <c r="P67" i="34"/>
  <c r="P68" i="34"/>
  <c r="O8" i="34"/>
  <c r="O9" i="34"/>
  <c r="O10" i="34"/>
  <c r="O11" i="34"/>
  <c r="O12" i="34"/>
  <c r="O13" i="34"/>
  <c r="O14" i="34"/>
  <c r="O15" i="34"/>
  <c r="O16" i="34"/>
  <c r="O17" i="34"/>
  <c r="O18" i="34"/>
  <c r="O19" i="34"/>
  <c r="O20" i="34"/>
  <c r="O21" i="34"/>
  <c r="O22" i="34"/>
  <c r="O23" i="34"/>
  <c r="O24" i="34"/>
  <c r="O25" i="34"/>
  <c r="O26" i="34"/>
  <c r="O27" i="34"/>
  <c r="O28" i="34"/>
  <c r="O29" i="34"/>
  <c r="O30" i="34"/>
  <c r="O31" i="34"/>
  <c r="O32" i="34"/>
  <c r="O33" i="34"/>
  <c r="O34" i="34"/>
  <c r="O35" i="34"/>
  <c r="O36" i="34"/>
  <c r="O37" i="34"/>
  <c r="O38" i="34"/>
  <c r="O39" i="34"/>
  <c r="O40" i="34"/>
  <c r="O41" i="34"/>
  <c r="O42" i="34"/>
  <c r="O43" i="34"/>
  <c r="O44" i="34"/>
  <c r="O45" i="34"/>
  <c r="O46" i="34"/>
  <c r="O47" i="34"/>
  <c r="O48" i="34"/>
  <c r="O49" i="34"/>
  <c r="O50" i="34"/>
  <c r="O51" i="34"/>
  <c r="O52" i="34"/>
  <c r="O53" i="34"/>
  <c r="O54" i="34"/>
  <c r="O55" i="34"/>
  <c r="O56" i="34"/>
  <c r="O57" i="34"/>
  <c r="O58" i="34"/>
  <c r="O59" i="34"/>
  <c r="O60" i="34"/>
  <c r="O61" i="34"/>
  <c r="O62" i="34"/>
  <c r="O63" i="34"/>
  <c r="O64" i="34"/>
  <c r="O65" i="34"/>
  <c r="O66" i="34"/>
  <c r="O67" i="34"/>
  <c r="O68" i="34"/>
  <c r="I8" i="34"/>
  <c r="I9" i="34"/>
  <c r="I10" i="34"/>
  <c r="I11" i="34"/>
  <c r="I12" i="34"/>
  <c r="I13" i="34"/>
  <c r="I14" i="34"/>
  <c r="I15" i="34"/>
  <c r="I16" i="34"/>
  <c r="I17" i="34"/>
  <c r="I18" i="34"/>
  <c r="I19" i="34"/>
  <c r="I20" i="34"/>
  <c r="I21" i="34"/>
  <c r="I22" i="34"/>
  <c r="I23" i="34"/>
  <c r="I24" i="34"/>
  <c r="I25" i="34"/>
  <c r="I26" i="34"/>
  <c r="I27" i="34"/>
  <c r="I28" i="34"/>
  <c r="I29" i="34"/>
  <c r="I30" i="34"/>
  <c r="I31" i="34"/>
  <c r="I32" i="34"/>
  <c r="I33" i="34"/>
  <c r="I34" i="34"/>
  <c r="I35" i="34"/>
  <c r="I36" i="34"/>
  <c r="I37" i="34"/>
  <c r="I38" i="34"/>
  <c r="I39" i="34"/>
  <c r="I40" i="34"/>
  <c r="I41" i="34"/>
  <c r="I42" i="34"/>
  <c r="I43" i="34"/>
  <c r="I44" i="34"/>
  <c r="I45" i="34"/>
  <c r="I46" i="34"/>
  <c r="I47" i="34"/>
  <c r="I48" i="34"/>
  <c r="I49" i="34"/>
  <c r="I50" i="34"/>
  <c r="I51" i="34"/>
  <c r="I52" i="34"/>
  <c r="I53" i="34"/>
  <c r="I54" i="34"/>
  <c r="I55" i="34"/>
  <c r="I56" i="34"/>
  <c r="I57" i="34"/>
  <c r="I58" i="34"/>
  <c r="I59" i="34"/>
  <c r="I60" i="34"/>
  <c r="I61" i="34"/>
  <c r="I62" i="34"/>
  <c r="I63" i="34"/>
  <c r="I64" i="34"/>
  <c r="I65" i="34"/>
  <c r="I66" i="34"/>
  <c r="I67" i="34"/>
  <c r="I68" i="34"/>
  <c r="H8" i="34"/>
  <c r="H9" i="34"/>
  <c r="H10" i="34"/>
  <c r="H11" i="34"/>
  <c r="H12" i="34"/>
  <c r="H13" i="34"/>
  <c r="H14" i="34"/>
  <c r="H15" i="34"/>
  <c r="H16" i="34"/>
  <c r="H17" i="34"/>
  <c r="H18" i="34"/>
  <c r="H19" i="34"/>
  <c r="H20" i="34"/>
  <c r="H21" i="34"/>
  <c r="H22" i="34"/>
  <c r="H23" i="34"/>
  <c r="H24" i="34"/>
  <c r="H25" i="34"/>
  <c r="H26" i="34"/>
  <c r="H27" i="34"/>
  <c r="H28" i="34"/>
  <c r="H29" i="34"/>
  <c r="H30" i="34"/>
  <c r="H31" i="34"/>
  <c r="H32" i="34"/>
  <c r="H33" i="34"/>
  <c r="H34" i="34"/>
  <c r="H35" i="34"/>
  <c r="H36" i="34"/>
  <c r="H37" i="34"/>
  <c r="H38" i="34"/>
  <c r="H39" i="34"/>
  <c r="H40" i="34"/>
  <c r="H41" i="34"/>
  <c r="H42" i="34"/>
  <c r="H43" i="34"/>
  <c r="H44" i="34"/>
  <c r="H45" i="34"/>
  <c r="H46" i="34"/>
  <c r="H47" i="34"/>
  <c r="H48" i="34"/>
  <c r="H49" i="34"/>
  <c r="H50" i="34"/>
  <c r="H51" i="34"/>
  <c r="H52" i="34"/>
  <c r="H53" i="34"/>
  <c r="H54" i="34"/>
  <c r="H55" i="34"/>
  <c r="H56" i="34"/>
  <c r="H57" i="34"/>
  <c r="H58" i="34"/>
  <c r="H59" i="34"/>
  <c r="H60" i="34"/>
  <c r="H61" i="34"/>
  <c r="H62" i="34"/>
  <c r="H63" i="34"/>
  <c r="H64" i="34"/>
  <c r="H65" i="34"/>
  <c r="H66" i="34"/>
  <c r="H67" i="34"/>
  <c r="H68" i="34"/>
  <c r="G8" i="34"/>
  <c r="G9" i="34"/>
  <c r="G10" i="34"/>
  <c r="G11" i="34"/>
  <c r="G12" i="34"/>
  <c r="G13" i="34"/>
  <c r="G14" i="34"/>
  <c r="G15" i="34"/>
  <c r="G16" i="34"/>
  <c r="G17" i="34"/>
  <c r="G18" i="34"/>
  <c r="G19" i="34"/>
  <c r="G20" i="34"/>
  <c r="G21" i="34"/>
  <c r="G22" i="34"/>
  <c r="G23" i="34"/>
  <c r="G24" i="34"/>
  <c r="G25" i="34"/>
  <c r="G26" i="34"/>
  <c r="G27" i="34"/>
  <c r="G28" i="34"/>
  <c r="G29" i="34"/>
  <c r="G30" i="34"/>
  <c r="G31" i="34"/>
  <c r="G32" i="34"/>
  <c r="G33" i="34"/>
  <c r="G34" i="34"/>
  <c r="G35" i="34"/>
  <c r="G36" i="34"/>
  <c r="G37" i="34"/>
  <c r="G38" i="34"/>
  <c r="G39" i="34"/>
  <c r="G40" i="34"/>
  <c r="G41" i="34"/>
  <c r="G42" i="34"/>
  <c r="G43" i="34"/>
  <c r="G44" i="34"/>
  <c r="G45" i="34"/>
  <c r="G46" i="34"/>
  <c r="G47" i="34"/>
  <c r="G48" i="34"/>
  <c r="G49" i="34"/>
  <c r="G50" i="34"/>
  <c r="G51" i="34"/>
  <c r="G52" i="34"/>
  <c r="G53" i="34"/>
  <c r="G54" i="34"/>
  <c r="G55" i="34"/>
  <c r="G56" i="34"/>
  <c r="G57" i="34"/>
  <c r="G58" i="34"/>
  <c r="G59" i="34"/>
  <c r="G60" i="34"/>
  <c r="G61" i="34"/>
  <c r="G62" i="34"/>
  <c r="G63" i="34"/>
  <c r="G64" i="34"/>
  <c r="G65" i="34"/>
  <c r="G66" i="34"/>
  <c r="G67" i="34"/>
  <c r="G68" i="34"/>
  <c r="F8" i="34"/>
  <c r="F9" i="34"/>
  <c r="F10" i="34"/>
  <c r="F11" i="34"/>
  <c r="F12" i="34"/>
  <c r="F13" i="34"/>
  <c r="F14" i="34"/>
  <c r="F15" i="34"/>
  <c r="F16" i="34"/>
  <c r="F17" i="34"/>
  <c r="F18" i="34"/>
  <c r="F19" i="34"/>
  <c r="F20" i="34"/>
  <c r="F21" i="34"/>
  <c r="F22" i="34"/>
  <c r="F23" i="34"/>
  <c r="F24" i="34"/>
  <c r="F25" i="34"/>
  <c r="F26" i="34"/>
  <c r="F27" i="34"/>
  <c r="F28" i="34"/>
  <c r="F29" i="34"/>
  <c r="F30" i="34"/>
  <c r="F31" i="34"/>
  <c r="F32" i="34"/>
  <c r="F33" i="34"/>
  <c r="F34" i="34"/>
  <c r="F35" i="34"/>
  <c r="F36" i="34"/>
  <c r="F37" i="34"/>
  <c r="F38" i="34"/>
  <c r="F39" i="34"/>
  <c r="F40" i="34"/>
  <c r="F41" i="34"/>
  <c r="F42" i="34"/>
  <c r="F43" i="34"/>
  <c r="F44" i="34"/>
  <c r="F45" i="34"/>
  <c r="F46" i="34"/>
  <c r="F47" i="34"/>
  <c r="F48" i="34"/>
  <c r="F49" i="34"/>
  <c r="F50" i="34"/>
  <c r="F51" i="34"/>
  <c r="F52" i="34"/>
  <c r="F53" i="34"/>
  <c r="F54" i="34"/>
  <c r="F55" i="34"/>
  <c r="F56" i="34"/>
  <c r="F57" i="34"/>
  <c r="F58" i="34"/>
  <c r="F59" i="34"/>
  <c r="F60" i="34"/>
  <c r="F61" i="34"/>
  <c r="F62" i="34"/>
  <c r="F63" i="34"/>
  <c r="F64" i="34"/>
  <c r="F65" i="34"/>
  <c r="F66" i="34"/>
  <c r="F67" i="34"/>
  <c r="F6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39" i="34"/>
  <c r="D40" i="34"/>
  <c r="D41" i="34"/>
  <c r="D42" i="34"/>
  <c r="D43" i="34"/>
  <c r="D44" i="34"/>
  <c r="D45" i="34"/>
  <c r="D46" i="34"/>
  <c r="D47" i="34"/>
  <c r="D48" i="34"/>
  <c r="D49" i="34"/>
  <c r="D50" i="34"/>
  <c r="D51" i="34"/>
  <c r="D52" i="34"/>
  <c r="D53" i="34"/>
  <c r="D54" i="34"/>
  <c r="D55" i="34"/>
  <c r="D56" i="34"/>
  <c r="D57" i="34"/>
  <c r="D58" i="34"/>
  <c r="D59" i="34"/>
  <c r="D60" i="34"/>
  <c r="D61" i="34"/>
  <c r="D62" i="34"/>
  <c r="D63" i="34"/>
  <c r="D64" i="34"/>
  <c r="D65" i="34"/>
  <c r="D66" i="34"/>
  <c r="D67" i="34"/>
  <c r="D68" i="34"/>
  <c r="D8" i="34"/>
  <c r="U140" i="55"/>
  <c r="U141" i="55"/>
  <c r="U139" i="55"/>
  <c r="U135" i="55"/>
  <c r="U136" i="55"/>
  <c r="U137" i="55"/>
  <c r="U134" i="55"/>
  <c r="U132" i="55"/>
  <c r="U119" i="55"/>
  <c r="U120" i="55"/>
  <c r="U121" i="55"/>
  <c r="U122" i="55"/>
  <c r="U123" i="55"/>
  <c r="U124" i="55"/>
  <c r="U125" i="55"/>
  <c r="U126" i="55"/>
  <c r="U127" i="55"/>
  <c r="U128" i="55"/>
  <c r="U129" i="55"/>
  <c r="U130" i="55"/>
  <c r="U118" i="55"/>
  <c r="U114" i="55"/>
  <c r="U115" i="55"/>
  <c r="U116" i="55"/>
  <c r="U113" i="55"/>
  <c r="U110" i="55"/>
  <c r="U111" i="55"/>
  <c r="U109" i="55"/>
  <c r="U105" i="55"/>
  <c r="U106" i="55"/>
  <c r="U107" i="55"/>
  <c r="U104" i="55"/>
  <c r="U101" i="55"/>
  <c r="U102" i="55"/>
  <c r="U100" i="55"/>
  <c r="U98" i="55"/>
  <c r="U83" i="55"/>
  <c r="U84" i="55"/>
  <c r="U85" i="55"/>
  <c r="U86" i="55"/>
  <c r="U87" i="55"/>
  <c r="U88" i="55"/>
  <c r="U89" i="55"/>
  <c r="U90" i="55"/>
  <c r="U91" i="55"/>
  <c r="U92" i="55"/>
  <c r="U93" i="55"/>
  <c r="U94" i="55"/>
  <c r="U95" i="55"/>
  <c r="U96" i="55"/>
  <c r="U97" i="55"/>
  <c r="U82" i="55"/>
  <c r="U79" i="55"/>
  <c r="U80" i="55"/>
  <c r="U78" i="55"/>
  <c r="U76" i="55"/>
  <c r="U75" i="55"/>
  <c r="U73" i="55"/>
  <c r="U72" i="55"/>
  <c r="U67" i="55"/>
  <c r="U68" i="55"/>
  <c r="U69" i="55"/>
  <c r="U70" i="55"/>
  <c r="U66" i="55"/>
  <c r="U63" i="55"/>
  <c r="U64" i="55"/>
  <c r="U62" i="55"/>
  <c r="U47" i="55"/>
  <c r="U48" i="55"/>
  <c r="U49" i="55"/>
  <c r="U50" i="55"/>
  <c r="U51" i="55"/>
  <c r="U52" i="55"/>
  <c r="U53" i="55"/>
  <c r="U54" i="55"/>
  <c r="U55" i="55"/>
  <c r="U56" i="55"/>
  <c r="U57" i="55"/>
  <c r="U58" i="55"/>
  <c r="U59" i="55"/>
  <c r="U60" i="55"/>
  <c r="U46" i="55"/>
  <c r="U41" i="55"/>
  <c r="U42" i="55"/>
  <c r="U43" i="55"/>
  <c r="U44" i="55"/>
  <c r="U40" i="55"/>
  <c r="U29" i="55"/>
  <c r="U30" i="55"/>
  <c r="U31" i="55"/>
  <c r="U32" i="55"/>
  <c r="U33" i="55"/>
  <c r="U34" i="55"/>
  <c r="U35" i="55"/>
  <c r="U36" i="55"/>
  <c r="U37" i="55"/>
  <c r="U38" i="55"/>
  <c r="U28" i="55"/>
  <c r="U26" i="55"/>
  <c r="U25" i="55"/>
  <c r="U10" i="55"/>
  <c r="U11" i="55"/>
  <c r="U12" i="55"/>
  <c r="U13" i="55"/>
  <c r="U14" i="55"/>
  <c r="U15" i="55"/>
  <c r="U16" i="55"/>
  <c r="U17" i="55"/>
  <c r="U18" i="55"/>
  <c r="U19" i="55"/>
  <c r="U20" i="55"/>
  <c r="U21" i="55"/>
  <c r="U22" i="55"/>
  <c r="U23" i="55"/>
  <c r="U9" i="55"/>
  <c r="T140" i="55"/>
  <c r="T141" i="55"/>
  <c r="T139" i="55"/>
  <c r="T135" i="55"/>
  <c r="T136" i="55"/>
  <c r="T137" i="55"/>
  <c r="T134" i="55"/>
  <c r="T132" i="55"/>
  <c r="T119" i="55"/>
  <c r="T120" i="55"/>
  <c r="T121" i="55"/>
  <c r="T122" i="55"/>
  <c r="T123" i="55"/>
  <c r="T124" i="55"/>
  <c r="T125" i="55"/>
  <c r="T126" i="55"/>
  <c r="T127" i="55"/>
  <c r="T128" i="55"/>
  <c r="T129" i="55"/>
  <c r="T130" i="55"/>
  <c r="T118" i="55"/>
  <c r="T114" i="55"/>
  <c r="T115" i="55"/>
  <c r="T116" i="55"/>
  <c r="T113" i="55"/>
  <c r="T110" i="55"/>
  <c r="T111" i="55"/>
  <c r="T109" i="55"/>
  <c r="T105" i="55"/>
  <c r="T106" i="55"/>
  <c r="T107" i="55"/>
  <c r="T104" i="55"/>
  <c r="T101" i="55"/>
  <c r="T102" i="55"/>
  <c r="T100" i="55"/>
  <c r="T83" i="55"/>
  <c r="T84" i="55"/>
  <c r="T85" i="55"/>
  <c r="T86" i="55"/>
  <c r="T87" i="55"/>
  <c r="T88" i="55"/>
  <c r="T89" i="55"/>
  <c r="T90" i="55"/>
  <c r="T91" i="55"/>
  <c r="T92" i="55"/>
  <c r="T93" i="55"/>
  <c r="T94" i="55"/>
  <c r="T95" i="55"/>
  <c r="T96" i="55"/>
  <c r="T97" i="55"/>
  <c r="T98" i="55"/>
  <c r="T82" i="55"/>
  <c r="T79" i="55"/>
  <c r="T80" i="55"/>
  <c r="T78" i="55"/>
  <c r="T76" i="55"/>
  <c r="T75" i="55"/>
  <c r="T72" i="55"/>
  <c r="T67" i="55"/>
  <c r="T68" i="55"/>
  <c r="T69" i="55"/>
  <c r="T70" i="55"/>
  <c r="T66" i="55"/>
  <c r="T63" i="55"/>
  <c r="T64" i="55"/>
  <c r="T62" i="55"/>
  <c r="T47" i="55"/>
  <c r="T48" i="55"/>
  <c r="T49" i="55"/>
  <c r="T50" i="55"/>
  <c r="T51" i="55"/>
  <c r="T52" i="55"/>
  <c r="T53" i="55"/>
  <c r="T54" i="55"/>
  <c r="T55" i="55"/>
  <c r="T56" i="55"/>
  <c r="T57" i="55"/>
  <c r="T58" i="55"/>
  <c r="T59" i="55"/>
  <c r="T60" i="55"/>
  <c r="T46" i="55"/>
  <c r="T41" i="55"/>
  <c r="T42" i="55"/>
  <c r="T43" i="55"/>
  <c r="T44" i="55"/>
  <c r="T40" i="55"/>
  <c r="T29" i="55"/>
  <c r="T30" i="55"/>
  <c r="T31" i="55"/>
  <c r="T32" i="55"/>
  <c r="T33" i="55"/>
  <c r="T34" i="55"/>
  <c r="T35" i="55"/>
  <c r="T36" i="55"/>
  <c r="T37" i="55"/>
  <c r="T38" i="55"/>
  <c r="T28" i="55"/>
  <c r="T26" i="55"/>
  <c r="T25" i="55"/>
  <c r="T10" i="55"/>
  <c r="T11" i="55"/>
  <c r="T12" i="55"/>
  <c r="T13" i="55"/>
  <c r="T14" i="55"/>
  <c r="T15" i="55"/>
  <c r="T16" i="55"/>
  <c r="T17" i="55"/>
  <c r="T18" i="55"/>
  <c r="T19" i="55"/>
  <c r="T20" i="55"/>
  <c r="T21" i="55"/>
  <c r="T22" i="55"/>
  <c r="T23" i="55"/>
  <c r="T9" i="55"/>
  <c r="S140" i="55"/>
  <c r="S141" i="55"/>
  <c r="S139" i="55"/>
  <c r="S135" i="55"/>
  <c r="S136" i="55"/>
  <c r="S137" i="55"/>
  <c r="S134" i="55"/>
  <c r="S132" i="55"/>
  <c r="S119" i="55"/>
  <c r="S120" i="55"/>
  <c r="S121" i="55"/>
  <c r="S122" i="55"/>
  <c r="S123" i="55"/>
  <c r="S124" i="55"/>
  <c r="S125" i="55"/>
  <c r="S126" i="55"/>
  <c r="S127" i="55"/>
  <c r="S128" i="55"/>
  <c r="S129" i="55"/>
  <c r="S130" i="55"/>
  <c r="S118" i="55"/>
  <c r="S114" i="55"/>
  <c r="S115" i="55"/>
  <c r="S116" i="55"/>
  <c r="S113" i="55"/>
  <c r="S110" i="55"/>
  <c r="S111" i="55"/>
  <c r="S109" i="55"/>
  <c r="S105" i="55"/>
  <c r="S106" i="55"/>
  <c r="S107" i="55"/>
  <c r="S104" i="55"/>
  <c r="S101" i="55"/>
  <c r="S102" i="55"/>
  <c r="S100" i="55"/>
  <c r="S83" i="55"/>
  <c r="S84" i="55"/>
  <c r="S85" i="55"/>
  <c r="S86" i="55"/>
  <c r="S87" i="55"/>
  <c r="S88" i="55"/>
  <c r="S89" i="55"/>
  <c r="S90" i="55"/>
  <c r="S91" i="55"/>
  <c r="S92" i="55"/>
  <c r="S93" i="55"/>
  <c r="S94" i="55"/>
  <c r="S95" i="55"/>
  <c r="S96" i="55"/>
  <c r="S97" i="55"/>
  <c r="S98" i="55"/>
  <c r="S82" i="55"/>
  <c r="S79" i="55"/>
  <c r="S80" i="55"/>
  <c r="S78" i="55"/>
  <c r="S76" i="55"/>
  <c r="S75" i="55"/>
  <c r="S73" i="55"/>
  <c r="S72" i="55"/>
  <c r="S67" i="55"/>
  <c r="S68" i="55"/>
  <c r="S69" i="55"/>
  <c r="S70" i="55"/>
  <c r="S66" i="55"/>
  <c r="S63" i="55"/>
  <c r="S64" i="55"/>
  <c r="S62" i="55"/>
  <c r="S47" i="55"/>
  <c r="S48" i="55"/>
  <c r="S49" i="55"/>
  <c r="S50" i="55"/>
  <c r="S51" i="55"/>
  <c r="S52" i="55"/>
  <c r="S53" i="55"/>
  <c r="S54" i="55"/>
  <c r="S55" i="55"/>
  <c r="S56" i="55"/>
  <c r="S57" i="55"/>
  <c r="S58" i="55"/>
  <c r="S59" i="55"/>
  <c r="S60" i="55"/>
  <c r="S46" i="55"/>
  <c r="S41" i="55"/>
  <c r="S42" i="55"/>
  <c r="S43" i="55"/>
  <c r="S44" i="55"/>
  <c r="S40" i="55"/>
  <c r="S29" i="55"/>
  <c r="S30" i="55"/>
  <c r="S31" i="55"/>
  <c r="S32" i="55"/>
  <c r="S33" i="55"/>
  <c r="S34" i="55"/>
  <c r="S35" i="55"/>
  <c r="S36" i="55"/>
  <c r="S37" i="55"/>
  <c r="S38" i="55"/>
  <c r="S28" i="55"/>
  <c r="S26" i="55"/>
  <c r="S25" i="55"/>
  <c r="S10" i="55"/>
  <c r="S11" i="55"/>
  <c r="S12" i="55"/>
  <c r="S13" i="55"/>
  <c r="S14" i="55"/>
  <c r="S15" i="55"/>
  <c r="S16" i="55"/>
  <c r="S17" i="55"/>
  <c r="S18" i="55"/>
  <c r="S19" i="55"/>
  <c r="S20" i="55"/>
  <c r="S21" i="55"/>
  <c r="S22" i="55"/>
  <c r="S23" i="55"/>
  <c r="S9" i="55"/>
  <c r="R140" i="55"/>
  <c r="R141" i="55"/>
  <c r="R139" i="55"/>
  <c r="R135" i="55"/>
  <c r="R136" i="55"/>
  <c r="R137" i="55"/>
  <c r="R134" i="55"/>
  <c r="R132" i="55"/>
  <c r="R119" i="55"/>
  <c r="R120" i="55"/>
  <c r="R121" i="55"/>
  <c r="R122" i="55"/>
  <c r="R123" i="55"/>
  <c r="R124" i="55"/>
  <c r="R125" i="55"/>
  <c r="R126" i="55"/>
  <c r="R127" i="55"/>
  <c r="R128" i="55"/>
  <c r="R129" i="55"/>
  <c r="R130" i="55"/>
  <c r="R118" i="55"/>
  <c r="R114" i="55"/>
  <c r="R115" i="55"/>
  <c r="R116" i="55"/>
  <c r="R113" i="55"/>
  <c r="R110" i="55"/>
  <c r="R111" i="55"/>
  <c r="R109" i="55"/>
  <c r="R105" i="55"/>
  <c r="R106" i="55"/>
  <c r="R107" i="55"/>
  <c r="R104" i="55"/>
  <c r="R101" i="55"/>
  <c r="R102" i="55"/>
  <c r="R100" i="55"/>
  <c r="R83" i="55"/>
  <c r="R84" i="55"/>
  <c r="R85" i="55"/>
  <c r="R86" i="55"/>
  <c r="R87" i="55"/>
  <c r="R88" i="55"/>
  <c r="R89" i="55"/>
  <c r="R90" i="55"/>
  <c r="R91" i="55"/>
  <c r="R92" i="55"/>
  <c r="R93" i="55"/>
  <c r="R94" i="55"/>
  <c r="R95" i="55"/>
  <c r="R96" i="55"/>
  <c r="R97" i="55"/>
  <c r="R98" i="55"/>
  <c r="R82" i="55"/>
  <c r="R79" i="55"/>
  <c r="R80" i="55"/>
  <c r="R78" i="55"/>
  <c r="R76" i="55"/>
  <c r="R75" i="55"/>
  <c r="R73" i="55"/>
  <c r="R72" i="55"/>
  <c r="R67" i="55"/>
  <c r="R68" i="55"/>
  <c r="R69" i="55"/>
  <c r="R70" i="55"/>
  <c r="R66" i="55"/>
  <c r="R63" i="55"/>
  <c r="R64" i="55"/>
  <c r="R62" i="55"/>
  <c r="R47" i="55"/>
  <c r="R48" i="55"/>
  <c r="R49" i="55"/>
  <c r="R50" i="55"/>
  <c r="R51" i="55"/>
  <c r="R52" i="55"/>
  <c r="R53" i="55"/>
  <c r="R54" i="55"/>
  <c r="R55" i="55"/>
  <c r="R56" i="55"/>
  <c r="R57" i="55"/>
  <c r="R58" i="55"/>
  <c r="R59" i="55"/>
  <c r="R60" i="55"/>
  <c r="R46" i="55"/>
  <c r="R41" i="55"/>
  <c r="R42" i="55"/>
  <c r="R43" i="55"/>
  <c r="R44" i="55"/>
  <c r="R40" i="55"/>
  <c r="R29" i="55"/>
  <c r="R30" i="55"/>
  <c r="R31" i="55"/>
  <c r="R32" i="55"/>
  <c r="R33" i="55"/>
  <c r="R34" i="55"/>
  <c r="R35" i="55"/>
  <c r="R36" i="55"/>
  <c r="R37" i="55"/>
  <c r="R38" i="55"/>
  <c r="R28" i="55"/>
  <c r="R26" i="55"/>
  <c r="R25" i="55"/>
  <c r="R23" i="55"/>
  <c r="R10" i="55"/>
  <c r="R11" i="55"/>
  <c r="R12" i="55"/>
  <c r="R13" i="55"/>
  <c r="R14" i="55"/>
  <c r="R15" i="55"/>
  <c r="R16" i="55"/>
  <c r="R17" i="55"/>
  <c r="R18" i="55"/>
  <c r="R19" i="55"/>
  <c r="R20" i="55"/>
  <c r="R21" i="55"/>
  <c r="R22" i="55"/>
  <c r="R9" i="55"/>
  <c r="Q140" i="55"/>
  <c r="Q141" i="55"/>
  <c r="Q139" i="55"/>
  <c r="Q135" i="55"/>
  <c r="Q136" i="55"/>
  <c r="Q137" i="55"/>
  <c r="Q134" i="55"/>
  <c r="Q132" i="55"/>
  <c r="Q119" i="55"/>
  <c r="Q120" i="55"/>
  <c r="Q121" i="55"/>
  <c r="Q122" i="55"/>
  <c r="Q123" i="55"/>
  <c r="Q124" i="55"/>
  <c r="Q125" i="55"/>
  <c r="Q126" i="55"/>
  <c r="Q127" i="55"/>
  <c r="Q128" i="55"/>
  <c r="Q129" i="55"/>
  <c r="Q130" i="55"/>
  <c r="Q118" i="55"/>
  <c r="Q114" i="55"/>
  <c r="Q115" i="55"/>
  <c r="Q116" i="55"/>
  <c r="Q113" i="55"/>
  <c r="Q110" i="55"/>
  <c r="Q111" i="55"/>
  <c r="Q109" i="55"/>
  <c r="Q105" i="55"/>
  <c r="Q106" i="55"/>
  <c r="Q107" i="55"/>
  <c r="Q104" i="55"/>
  <c r="Q101" i="55"/>
  <c r="Q102" i="55"/>
  <c r="Q100" i="55"/>
  <c r="Q83" i="55"/>
  <c r="Q84" i="55"/>
  <c r="Q85" i="55"/>
  <c r="Q86" i="55"/>
  <c r="Q87" i="55"/>
  <c r="Q88" i="55"/>
  <c r="Q89" i="55"/>
  <c r="Q90" i="55"/>
  <c r="Q91" i="55"/>
  <c r="Q92" i="55"/>
  <c r="Q93" i="55"/>
  <c r="Q94" i="55"/>
  <c r="Q95" i="55"/>
  <c r="Q96" i="55"/>
  <c r="Q97" i="55"/>
  <c r="Q98" i="55"/>
  <c r="Q82" i="55"/>
  <c r="Q79" i="55"/>
  <c r="Q80" i="55"/>
  <c r="Q78" i="55"/>
  <c r="Q76" i="55"/>
  <c r="Q75" i="55"/>
  <c r="Q73" i="55"/>
  <c r="Q72" i="55"/>
  <c r="Q67" i="55"/>
  <c r="Q68" i="55"/>
  <c r="Q69" i="55"/>
  <c r="Q70" i="55"/>
  <c r="Q66" i="55"/>
  <c r="Q63" i="55"/>
  <c r="Q64" i="55"/>
  <c r="Q62" i="55"/>
  <c r="Q47" i="55"/>
  <c r="Q48" i="55"/>
  <c r="Q49" i="55"/>
  <c r="Q50" i="55"/>
  <c r="Q51" i="55"/>
  <c r="Q52" i="55"/>
  <c r="Q53" i="55"/>
  <c r="Q54" i="55"/>
  <c r="Q55" i="55"/>
  <c r="Q56" i="55"/>
  <c r="Q57" i="55"/>
  <c r="Q58" i="55"/>
  <c r="Q59" i="55"/>
  <c r="Q60" i="55"/>
  <c r="Q46" i="55"/>
  <c r="Q41" i="55"/>
  <c r="Q42" i="55"/>
  <c r="Q43" i="55"/>
  <c r="Q44" i="55"/>
  <c r="Q40" i="55"/>
  <c r="Q29" i="55"/>
  <c r="Q30" i="55"/>
  <c r="Q31" i="55"/>
  <c r="Q32" i="55"/>
  <c r="Q33" i="55"/>
  <c r="Q34" i="55"/>
  <c r="Q35" i="55"/>
  <c r="Q36" i="55"/>
  <c r="Q37" i="55"/>
  <c r="Q38" i="55"/>
  <c r="Q28" i="55"/>
  <c r="Q26" i="55"/>
  <c r="Q25" i="55"/>
  <c r="Q10" i="55"/>
  <c r="Q11" i="55"/>
  <c r="Q12" i="55"/>
  <c r="Q13" i="55"/>
  <c r="Q14" i="55"/>
  <c r="Q15" i="55"/>
  <c r="Q16" i="55"/>
  <c r="Q17" i="55"/>
  <c r="Q18" i="55"/>
  <c r="Q19" i="55"/>
  <c r="Q20" i="55"/>
  <c r="Q21" i="55"/>
  <c r="Q22" i="55"/>
  <c r="Q23" i="55"/>
  <c r="Q9" i="55"/>
  <c r="P140" i="55"/>
  <c r="P141" i="55"/>
  <c r="P139" i="55"/>
  <c r="P135" i="55"/>
  <c r="P136" i="55"/>
  <c r="P137" i="55"/>
  <c r="P134" i="55"/>
  <c r="P132" i="55"/>
  <c r="P119" i="55"/>
  <c r="P120" i="55"/>
  <c r="P121" i="55"/>
  <c r="P122" i="55"/>
  <c r="P123" i="55"/>
  <c r="P124" i="55"/>
  <c r="P125" i="55"/>
  <c r="P126" i="55"/>
  <c r="P127" i="55"/>
  <c r="P128" i="55"/>
  <c r="P129" i="55"/>
  <c r="P130" i="55"/>
  <c r="P118" i="55"/>
  <c r="P114" i="55"/>
  <c r="P115" i="55"/>
  <c r="P116" i="55"/>
  <c r="P113" i="55"/>
  <c r="P110" i="55"/>
  <c r="P111" i="55"/>
  <c r="P109" i="55"/>
  <c r="P105" i="55"/>
  <c r="P106" i="55"/>
  <c r="P107" i="55"/>
  <c r="P104" i="55"/>
  <c r="P101" i="55"/>
  <c r="P102" i="55"/>
  <c r="P100" i="55"/>
  <c r="P83" i="55"/>
  <c r="P84" i="55"/>
  <c r="P85" i="55"/>
  <c r="P86" i="55"/>
  <c r="P87" i="55"/>
  <c r="P88" i="55"/>
  <c r="P89" i="55"/>
  <c r="P90" i="55"/>
  <c r="P91" i="55"/>
  <c r="P92" i="55"/>
  <c r="P93" i="55"/>
  <c r="P94" i="55"/>
  <c r="P95" i="55"/>
  <c r="P96" i="55"/>
  <c r="P97" i="55"/>
  <c r="P98" i="55"/>
  <c r="P82" i="55"/>
  <c r="P79" i="55"/>
  <c r="P80" i="55"/>
  <c r="P78" i="55"/>
  <c r="P76" i="55"/>
  <c r="P75" i="55"/>
  <c r="P73" i="55"/>
  <c r="P72" i="55"/>
  <c r="P67" i="55"/>
  <c r="P68" i="55"/>
  <c r="P69" i="55"/>
  <c r="P70" i="55"/>
  <c r="P66" i="55"/>
  <c r="P63" i="55"/>
  <c r="P64" i="55"/>
  <c r="P62" i="55"/>
  <c r="P47" i="55"/>
  <c r="P48" i="55"/>
  <c r="P49" i="55"/>
  <c r="P50" i="55"/>
  <c r="P51" i="55"/>
  <c r="P52" i="55"/>
  <c r="P53" i="55"/>
  <c r="P54" i="55"/>
  <c r="P55" i="55"/>
  <c r="P56" i="55"/>
  <c r="P57" i="55"/>
  <c r="P58" i="55"/>
  <c r="P59" i="55"/>
  <c r="P60" i="55"/>
  <c r="P46" i="55"/>
  <c r="P41" i="55"/>
  <c r="P42" i="55"/>
  <c r="P43" i="55"/>
  <c r="P44" i="55"/>
  <c r="P40" i="55"/>
  <c r="P29" i="55"/>
  <c r="P30" i="55"/>
  <c r="P31" i="55"/>
  <c r="P32" i="55"/>
  <c r="P33" i="55"/>
  <c r="P34" i="55"/>
  <c r="P35" i="55"/>
  <c r="P36" i="55"/>
  <c r="P37" i="55"/>
  <c r="P38" i="55"/>
  <c r="P28" i="55"/>
  <c r="P26" i="55"/>
  <c r="P25" i="55"/>
  <c r="P10" i="55"/>
  <c r="P11" i="55"/>
  <c r="P12" i="55"/>
  <c r="P13" i="55"/>
  <c r="P14" i="55"/>
  <c r="P15" i="55"/>
  <c r="P16" i="55"/>
  <c r="P17" i="55"/>
  <c r="P18" i="55"/>
  <c r="P19" i="55"/>
  <c r="P20" i="55"/>
  <c r="P21" i="55"/>
  <c r="P22" i="55"/>
  <c r="P23" i="55"/>
  <c r="I140" i="55"/>
  <c r="N140" i="55" s="1"/>
  <c r="I141" i="55"/>
  <c r="N141" i="55" s="1"/>
  <c r="I139" i="55"/>
  <c r="I135" i="55"/>
  <c r="N135" i="55" s="1"/>
  <c r="I136" i="55"/>
  <c r="N136" i="55" s="1"/>
  <c r="I137" i="55"/>
  <c r="N137" i="55" s="1"/>
  <c r="I134" i="55"/>
  <c r="I132" i="55"/>
  <c r="N132" i="55" s="1"/>
  <c r="I119" i="55"/>
  <c r="N119" i="55" s="1"/>
  <c r="I120" i="55"/>
  <c r="N120" i="55" s="1"/>
  <c r="I121" i="55"/>
  <c r="N121" i="55" s="1"/>
  <c r="I122" i="55"/>
  <c r="N122" i="55" s="1"/>
  <c r="I123" i="55"/>
  <c r="N123" i="55" s="1"/>
  <c r="I124" i="55"/>
  <c r="N124" i="55" s="1"/>
  <c r="I125" i="55"/>
  <c r="N125" i="55" s="1"/>
  <c r="I126" i="55"/>
  <c r="N126" i="55" s="1"/>
  <c r="I127" i="55"/>
  <c r="N127" i="55" s="1"/>
  <c r="I128" i="55"/>
  <c r="N128" i="55" s="1"/>
  <c r="I129" i="55"/>
  <c r="N129" i="55" s="1"/>
  <c r="I130" i="55"/>
  <c r="N130" i="55" s="1"/>
  <c r="I118" i="55"/>
  <c r="I114" i="55"/>
  <c r="N114" i="55" s="1"/>
  <c r="I115" i="55"/>
  <c r="N115" i="55" s="1"/>
  <c r="I116" i="55"/>
  <c r="N116" i="55" s="1"/>
  <c r="I113" i="55"/>
  <c r="I110" i="55"/>
  <c r="N110" i="55" s="1"/>
  <c r="I111" i="55"/>
  <c r="N111" i="55" s="1"/>
  <c r="I109" i="55"/>
  <c r="I105" i="55"/>
  <c r="N105" i="55" s="1"/>
  <c r="I106" i="55"/>
  <c r="N106" i="55" s="1"/>
  <c r="I107" i="55"/>
  <c r="N107" i="55" s="1"/>
  <c r="I104" i="55"/>
  <c r="I101" i="55"/>
  <c r="N101" i="55" s="1"/>
  <c r="I102" i="55"/>
  <c r="N102" i="55" s="1"/>
  <c r="I100" i="55"/>
  <c r="I83" i="55"/>
  <c r="N83" i="55" s="1"/>
  <c r="I84" i="55"/>
  <c r="N84" i="55" s="1"/>
  <c r="I85" i="55"/>
  <c r="N85" i="55" s="1"/>
  <c r="I86" i="55"/>
  <c r="N86" i="55" s="1"/>
  <c r="I87" i="55"/>
  <c r="N87" i="55" s="1"/>
  <c r="I88" i="55"/>
  <c r="N88" i="55" s="1"/>
  <c r="I89" i="55"/>
  <c r="N89" i="55" s="1"/>
  <c r="I90" i="55"/>
  <c r="N90" i="55" s="1"/>
  <c r="I91" i="55"/>
  <c r="N91" i="55" s="1"/>
  <c r="I92" i="55"/>
  <c r="N92" i="55" s="1"/>
  <c r="I93" i="55"/>
  <c r="N93" i="55" s="1"/>
  <c r="I94" i="55"/>
  <c r="N94" i="55" s="1"/>
  <c r="I95" i="55"/>
  <c r="N95" i="55" s="1"/>
  <c r="I96" i="55"/>
  <c r="N96" i="55" s="1"/>
  <c r="I97" i="55"/>
  <c r="N97" i="55" s="1"/>
  <c r="I98" i="55"/>
  <c r="N98" i="55" s="1"/>
  <c r="I82" i="55"/>
  <c r="I79" i="55"/>
  <c r="N79" i="55" s="1"/>
  <c r="I80" i="55"/>
  <c r="N80" i="55" s="1"/>
  <c r="I78" i="55"/>
  <c r="I76" i="55"/>
  <c r="N76" i="55" s="1"/>
  <c r="I75" i="55"/>
  <c r="I73" i="55"/>
  <c r="N73" i="55" s="1"/>
  <c r="I72" i="55"/>
  <c r="I67" i="55"/>
  <c r="I68" i="55"/>
  <c r="I69" i="55"/>
  <c r="N69" i="55" s="1"/>
  <c r="I70" i="55"/>
  <c r="N70" i="55" s="1"/>
  <c r="I66" i="55"/>
  <c r="I63" i="55"/>
  <c r="N63" i="55" s="1"/>
  <c r="I64" i="55"/>
  <c r="N64" i="55" s="1"/>
  <c r="I62" i="55"/>
  <c r="I47" i="55"/>
  <c r="I48" i="55"/>
  <c r="I49" i="55"/>
  <c r="I50" i="55"/>
  <c r="I51" i="55"/>
  <c r="N51" i="55" s="1"/>
  <c r="I52" i="55"/>
  <c r="N52" i="55" s="1"/>
  <c r="I53" i="55"/>
  <c r="N53" i="55" s="1"/>
  <c r="I54" i="55"/>
  <c r="N54" i="55" s="1"/>
  <c r="I55" i="55"/>
  <c r="N55" i="55" s="1"/>
  <c r="I56" i="55"/>
  <c r="N56" i="55" s="1"/>
  <c r="I57" i="55"/>
  <c r="N57" i="55" s="1"/>
  <c r="I58" i="55"/>
  <c r="N58" i="55" s="1"/>
  <c r="I59" i="55"/>
  <c r="N59" i="55" s="1"/>
  <c r="I60" i="55"/>
  <c r="N60" i="55" s="1"/>
  <c r="I46" i="55"/>
  <c r="I41" i="55"/>
  <c r="N41" i="55" s="1"/>
  <c r="I42" i="55"/>
  <c r="N42" i="55" s="1"/>
  <c r="I43" i="55"/>
  <c r="N43" i="55" s="1"/>
  <c r="I44" i="55"/>
  <c r="N44" i="55" s="1"/>
  <c r="I40" i="55"/>
  <c r="I29" i="55"/>
  <c r="I30" i="55"/>
  <c r="I31" i="55"/>
  <c r="I32" i="55"/>
  <c r="I33" i="55"/>
  <c r="I34" i="55"/>
  <c r="I35" i="55"/>
  <c r="I36" i="55"/>
  <c r="I37" i="55"/>
  <c r="I38" i="55"/>
  <c r="I28" i="55"/>
  <c r="I26" i="55"/>
  <c r="N26" i="55" s="1"/>
  <c r="I25" i="55"/>
  <c r="I10" i="55"/>
  <c r="N10" i="55" s="1"/>
  <c r="I11" i="55"/>
  <c r="N11" i="55" s="1"/>
  <c r="I12" i="55"/>
  <c r="N12" i="55" s="1"/>
  <c r="I13" i="55"/>
  <c r="N13" i="55" s="1"/>
  <c r="I14" i="55"/>
  <c r="N14" i="55" s="1"/>
  <c r="I15" i="55"/>
  <c r="N15" i="55" s="1"/>
  <c r="I16" i="55"/>
  <c r="N16" i="55" s="1"/>
  <c r="I17" i="55"/>
  <c r="N17" i="55" s="1"/>
  <c r="I18" i="55"/>
  <c r="N18" i="55" s="1"/>
  <c r="I19" i="55"/>
  <c r="N19" i="55" s="1"/>
  <c r="I20" i="55"/>
  <c r="N20" i="55" s="1"/>
  <c r="I21" i="55"/>
  <c r="N21" i="55" s="1"/>
  <c r="I22" i="55"/>
  <c r="N22" i="55" s="1"/>
  <c r="I23" i="55"/>
  <c r="N23" i="55" s="1"/>
  <c r="I9" i="55"/>
  <c r="P9" i="55"/>
  <c r="J140" i="55"/>
  <c r="J141" i="55"/>
  <c r="J139" i="55"/>
  <c r="J135" i="55"/>
  <c r="J136" i="55"/>
  <c r="J137" i="55"/>
  <c r="J134" i="55"/>
  <c r="J132" i="55"/>
  <c r="J119" i="55"/>
  <c r="J120" i="55"/>
  <c r="J121" i="55"/>
  <c r="J122" i="55"/>
  <c r="J123" i="55"/>
  <c r="J124" i="55"/>
  <c r="J125" i="55"/>
  <c r="J126" i="55"/>
  <c r="J127" i="55"/>
  <c r="J128" i="55"/>
  <c r="J129" i="55"/>
  <c r="J130" i="55"/>
  <c r="J118" i="55"/>
  <c r="J114" i="55"/>
  <c r="J115" i="55"/>
  <c r="J116" i="55"/>
  <c r="J113" i="55"/>
  <c r="J110" i="55"/>
  <c r="J111" i="55"/>
  <c r="J109" i="55"/>
  <c r="J105" i="55"/>
  <c r="J106" i="55"/>
  <c r="J107" i="55"/>
  <c r="J104" i="55"/>
  <c r="J101" i="55"/>
  <c r="J102" i="55"/>
  <c r="J100" i="55"/>
  <c r="J83" i="55"/>
  <c r="J84" i="55"/>
  <c r="J85" i="55"/>
  <c r="J86" i="55"/>
  <c r="J87" i="55"/>
  <c r="J88" i="55"/>
  <c r="J89" i="55"/>
  <c r="J90" i="55"/>
  <c r="J91" i="55"/>
  <c r="J92" i="55"/>
  <c r="J93" i="55"/>
  <c r="J94" i="55"/>
  <c r="J95" i="55"/>
  <c r="J96" i="55"/>
  <c r="J97" i="55"/>
  <c r="J98" i="55"/>
  <c r="J82" i="55"/>
  <c r="J79" i="55"/>
  <c r="J80" i="55"/>
  <c r="J78" i="55"/>
  <c r="J76" i="55"/>
  <c r="J75" i="55"/>
  <c r="J73" i="55"/>
  <c r="J72" i="55"/>
  <c r="J67" i="55"/>
  <c r="J68" i="55"/>
  <c r="J69" i="55"/>
  <c r="J70" i="55"/>
  <c r="J66" i="55"/>
  <c r="J63" i="55"/>
  <c r="J64" i="55"/>
  <c r="J62" i="55"/>
  <c r="J47" i="55"/>
  <c r="J48" i="55"/>
  <c r="J49" i="55"/>
  <c r="J50" i="55"/>
  <c r="J51" i="55"/>
  <c r="J52" i="55"/>
  <c r="J53" i="55"/>
  <c r="J54" i="55"/>
  <c r="J55" i="55"/>
  <c r="J56" i="55"/>
  <c r="J57" i="55"/>
  <c r="J58" i="55"/>
  <c r="J59" i="55"/>
  <c r="J60" i="55"/>
  <c r="J46" i="55"/>
  <c r="J41" i="55"/>
  <c r="J42" i="55"/>
  <c r="J43" i="55"/>
  <c r="J44" i="55"/>
  <c r="J40" i="55"/>
  <c r="J29" i="55"/>
  <c r="J30" i="55"/>
  <c r="J31" i="55"/>
  <c r="J32" i="55"/>
  <c r="J33" i="55"/>
  <c r="J34" i="55"/>
  <c r="J35" i="55"/>
  <c r="J36" i="55"/>
  <c r="J37" i="55"/>
  <c r="J38" i="55"/>
  <c r="J28" i="55"/>
  <c r="J26" i="55"/>
  <c r="J25" i="55"/>
  <c r="J10" i="55"/>
  <c r="J11" i="55"/>
  <c r="J12" i="55"/>
  <c r="J13" i="55"/>
  <c r="J14" i="55"/>
  <c r="J15" i="55"/>
  <c r="J16" i="55"/>
  <c r="J17" i="55"/>
  <c r="J18" i="55"/>
  <c r="J19" i="55"/>
  <c r="J20" i="55"/>
  <c r="J21" i="55"/>
  <c r="J22" i="55"/>
  <c r="J23" i="55"/>
  <c r="J9" i="55"/>
  <c r="F140" i="55"/>
  <c r="F141" i="55"/>
  <c r="F139" i="55"/>
  <c r="F135" i="55"/>
  <c r="F136" i="55"/>
  <c r="F137" i="55"/>
  <c r="F134" i="55"/>
  <c r="F132" i="55"/>
  <c r="F119" i="55"/>
  <c r="F120" i="55"/>
  <c r="F121" i="55"/>
  <c r="F122" i="55"/>
  <c r="F123" i="55"/>
  <c r="F124" i="55"/>
  <c r="F125" i="55"/>
  <c r="F126" i="55"/>
  <c r="F127" i="55"/>
  <c r="F128" i="55"/>
  <c r="F129" i="55"/>
  <c r="F130" i="55"/>
  <c r="F118" i="55"/>
  <c r="F114" i="55"/>
  <c r="F115" i="55"/>
  <c r="F116" i="55"/>
  <c r="F113" i="55"/>
  <c r="F110" i="55"/>
  <c r="F111" i="55"/>
  <c r="F109" i="55"/>
  <c r="F105" i="55"/>
  <c r="F106" i="55"/>
  <c r="F107" i="55"/>
  <c r="F104" i="55"/>
  <c r="F101" i="55"/>
  <c r="F102" i="55"/>
  <c r="F100" i="55"/>
  <c r="F83" i="55"/>
  <c r="F84" i="55"/>
  <c r="F85" i="55"/>
  <c r="F86" i="55"/>
  <c r="F87" i="55"/>
  <c r="F88" i="55"/>
  <c r="F89" i="55"/>
  <c r="F90" i="55"/>
  <c r="F91" i="55"/>
  <c r="F92" i="55"/>
  <c r="F93" i="55"/>
  <c r="F94" i="55"/>
  <c r="F95" i="55"/>
  <c r="F96" i="55"/>
  <c r="F97" i="55"/>
  <c r="F98" i="55"/>
  <c r="F82" i="55"/>
  <c r="F79" i="55"/>
  <c r="F80" i="55"/>
  <c r="F78" i="55"/>
  <c r="F76" i="55"/>
  <c r="F75" i="55"/>
  <c r="F73" i="55"/>
  <c r="F72" i="55"/>
  <c r="F67" i="55"/>
  <c r="F68" i="55"/>
  <c r="F69" i="55"/>
  <c r="F70" i="55"/>
  <c r="F66" i="55"/>
  <c r="F63" i="55"/>
  <c r="F64" i="55"/>
  <c r="F62" i="55"/>
  <c r="F47" i="55"/>
  <c r="F48" i="55"/>
  <c r="F49" i="55"/>
  <c r="F50" i="55"/>
  <c r="F51" i="55"/>
  <c r="F52" i="55"/>
  <c r="F53" i="55"/>
  <c r="F54" i="55"/>
  <c r="F55" i="55"/>
  <c r="F56" i="55"/>
  <c r="F57" i="55"/>
  <c r="F58" i="55"/>
  <c r="F59" i="55"/>
  <c r="F60" i="55"/>
  <c r="F46" i="55"/>
  <c r="F41" i="55"/>
  <c r="F42" i="55"/>
  <c r="F43" i="55"/>
  <c r="F44" i="55"/>
  <c r="F40" i="55"/>
  <c r="F29" i="55"/>
  <c r="F30" i="55"/>
  <c r="F31" i="55"/>
  <c r="F32" i="55"/>
  <c r="F33" i="55"/>
  <c r="F34" i="55"/>
  <c r="F35" i="55"/>
  <c r="F36" i="55"/>
  <c r="F37" i="55"/>
  <c r="F38" i="55"/>
  <c r="F28" i="55"/>
  <c r="F26" i="55"/>
  <c r="F25" i="55"/>
  <c r="F10" i="55"/>
  <c r="F11" i="55"/>
  <c r="F12" i="55"/>
  <c r="F13" i="55"/>
  <c r="F14" i="55"/>
  <c r="F15" i="55"/>
  <c r="F16" i="55"/>
  <c r="F17" i="55"/>
  <c r="F18" i="55"/>
  <c r="F19" i="55"/>
  <c r="F20" i="55"/>
  <c r="F21" i="55"/>
  <c r="F22" i="55"/>
  <c r="F23" i="55"/>
  <c r="F9" i="55"/>
  <c r="D140" i="55"/>
  <c r="D141" i="55"/>
  <c r="D139" i="55"/>
  <c r="D135" i="55"/>
  <c r="D136" i="55"/>
  <c r="D137" i="55"/>
  <c r="D134" i="55"/>
  <c r="D132" i="55"/>
  <c r="D119" i="55"/>
  <c r="D120" i="55"/>
  <c r="D121" i="55"/>
  <c r="D122" i="55"/>
  <c r="D123" i="55"/>
  <c r="D124" i="55"/>
  <c r="D125" i="55"/>
  <c r="D126" i="55"/>
  <c r="D127" i="55"/>
  <c r="D128" i="55"/>
  <c r="D129" i="55"/>
  <c r="D130" i="55"/>
  <c r="D118" i="55"/>
  <c r="D114" i="55"/>
  <c r="D115" i="55"/>
  <c r="D116" i="55"/>
  <c r="D113" i="55"/>
  <c r="D110" i="55"/>
  <c r="D111" i="55"/>
  <c r="D109" i="55"/>
  <c r="D105" i="55"/>
  <c r="D106" i="55"/>
  <c r="D107" i="55"/>
  <c r="D104" i="55"/>
  <c r="D101" i="55"/>
  <c r="D102" i="55"/>
  <c r="D100" i="55"/>
  <c r="D83" i="55"/>
  <c r="D84" i="55"/>
  <c r="D85" i="55"/>
  <c r="D86" i="55"/>
  <c r="D87" i="55"/>
  <c r="D88" i="55"/>
  <c r="D89" i="55"/>
  <c r="D90" i="55"/>
  <c r="D91" i="55"/>
  <c r="D92" i="55"/>
  <c r="D93" i="55"/>
  <c r="D94" i="55"/>
  <c r="D95" i="55"/>
  <c r="D96" i="55"/>
  <c r="D97" i="55"/>
  <c r="D98" i="55"/>
  <c r="D82" i="55"/>
  <c r="D79" i="55"/>
  <c r="D80" i="55"/>
  <c r="D78" i="55"/>
  <c r="D76" i="55"/>
  <c r="D75" i="55"/>
  <c r="D73" i="55"/>
  <c r="D72" i="55"/>
  <c r="D67" i="55"/>
  <c r="D68" i="55"/>
  <c r="D69" i="55"/>
  <c r="D70" i="55"/>
  <c r="D66" i="55"/>
  <c r="D63" i="55"/>
  <c r="D64" i="55"/>
  <c r="D62" i="55"/>
  <c r="D47" i="55"/>
  <c r="D48" i="55"/>
  <c r="D49" i="55"/>
  <c r="D50" i="55"/>
  <c r="D51" i="55"/>
  <c r="D52" i="55"/>
  <c r="D53" i="55"/>
  <c r="D54" i="55"/>
  <c r="D55" i="55"/>
  <c r="D56" i="55"/>
  <c r="D57" i="55"/>
  <c r="D58" i="55"/>
  <c r="D59" i="55"/>
  <c r="D60" i="55"/>
  <c r="D46" i="55"/>
  <c r="D41" i="55"/>
  <c r="D42" i="55"/>
  <c r="D43" i="55"/>
  <c r="D44" i="55"/>
  <c r="D40" i="55"/>
  <c r="D29" i="55"/>
  <c r="D30" i="55"/>
  <c r="D31" i="55"/>
  <c r="D32" i="55"/>
  <c r="D33" i="55"/>
  <c r="D34" i="55"/>
  <c r="D35" i="55"/>
  <c r="D36" i="55"/>
  <c r="D37" i="55"/>
  <c r="D38" i="55"/>
  <c r="D28" i="55"/>
  <c r="D26" i="55"/>
  <c r="D25" i="55"/>
  <c r="D10" i="55"/>
  <c r="D11" i="55"/>
  <c r="D12" i="55"/>
  <c r="D13" i="55"/>
  <c r="D14" i="55"/>
  <c r="D15" i="55"/>
  <c r="D16" i="55"/>
  <c r="D17" i="55"/>
  <c r="D18" i="55"/>
  <c r="D19" i="55"/>
  <c r="D20" i="55"/>
  <c r="D21" i="55"/>
  <c r="D22" i="55"/>
  <c r="D23" i="55"/>
  <c r="D9" i="55"/>
  <c r="V122" i="29"/>
  <c r="V123" i="29"/>
  <c r="V121" i="29"/>
  <c r="V113" i="29"/>
  <c r="V114" i="29"/>
  <c r="V115" i="29"/>
  <c r="V116" i="29"/>
  <c r="V117" i="29"/>
  <c r="V118" i="29"/>
  <c r="V119" i="29"/>
  <c r="V112" i="29"/>
  <c r="V109" i="29"/>
  <c r="V110" i="29"/>
  <c r="V108" i="29"/>
  <c r="V101" i="29"/>
  <c r="V102" i="29"/>
  <c r="V103" i="29"/>
  <c r="V104" i="29"/>
  <c r="V105" i="29"/>
  <c r="V106" i="29"/>
  <c r="V100" i="29"/>
  <c r="V96" i="29"/>
  <c r="V97" i="29"/>
  <c r="V98" i="29"/>
  <c r="V95" i="29"/>
  <c r="V72" i="29"/>
  <c r="V73" i="29"/>
  <c r="V74" i="29"/>
  <c r="V75" i="29"/>
  <c r="V76" i="29"/>
  <c r="V77" i="29"/>
  <c r="V78" i="29"/>
  <c r="V79" i="29"/>
  <c r="V80" i="29"/>
  <c r="V81" i="29"/>
  <c r="V82" i="29"/>
  <c r="V83" i="29"/>
  <c r="V84" i="29"/>
  <c r="V85" i="29"/>
  <c r="V86" i="29"/>
  <c r="V87" i="29"/>
  <c r="V88" i="29"/>
  <c r="V89" i="29"/>
  <c r="V90" i="29"/>
  <c r="V91" i="29"/>
  <c r="V92" i="29"/>
  <c r="V93" i="29"/>
  <c r="V71" i="29"/>
  <c r="V60" i="29"/>
  <c r="V61" i="29"/>
  <c r="V62" i="29"/>
  <c r="V63" i="29"/>
  <c r="V64" i="29"/>
  <c r="V65" i="29"/>
  <c r="V66" i="29"/>
  <c r="V67" i="29"/>
  <c r="V68" i="29"/>
  <c r="V69" i="29"/>
  <c r="V59" i="29"/>
  <c r="V56" i="29"/>
  <c r="V57" i="29"/>
  <c r="V55" i="29"/>
  <c r="V49" i="29"/>
  <c r="V50" i="29"/>
  <c r="V51" i="29"/>
  <c r="V52" i="29"/>
  <c r="V53" i="29"/>
  <c r="V48" i="29"/>
  <c r="V28" i="29"/>
  <c r="V29" i="29"/>
  <c r="V30" i="29"/>
  <c r="V31" i="29"/>
  <c r="V32" i="29"/>
  <c r="V33" i="29"/>
  <c r="V34" i="29"/>
  <c r="V35" i="29"/>
  <c r="V36" i="29"/>
  <c r="V37" i="29"/>
  <c r="V38" i="29"/>
  <c r="V39" i="29"/>
  <c r="V40" i="29"/>
  <c r="V41" i="29"/>
  <c r="V42" i="29"/>
  <c r="V43" i="29"/>
  <c r="V44" i="29"/>
  <c r="V45" i="29"/>
  <c r="V46" i="29"/>
  <c r="V27" i="29"/>
  <c r="V21" i="29"/>
  <c r="V22" i="29"/>
  <c r="V23" i="29"/>
  <c r="V24" i="29"/>
  <c r="V25" i="29"/>
  <c r="V20" i="29"/>
  <c r="V10" i="29"/>
  <c r="V11" i="29"/>
  <c r="V12" i="29"/>
  <c r="V13" i="29"/>
  <c r="V14" i="29"/>
  <c r="V15" i="29"/>
  <c r="V16" i="29"/>
  <c r="V17" i="29"/>
  <c r="V18" i="29"/>
  <c r="V9" i="29"/>
  <c r="U122" i="29"/>
  <c r="U123" i="29"/>
  <c r="U121" i="29"/>
  <c r="U113" i="29"/>
  <c r="U114" i="29"/>
  <c r="U115" i="29"/>
  <c r="U116" i="29"/>
  <c r="U117" i="29"/>
  <c r="U118" i="29"/>
  <c r="U119" i="29"/>
  <c r="U112" i="29"/>
  <c r="U109" i="29"/>
  <c r="U110" i="29"/>
  <c r="U108" i="29"/>
  <c r="U101" i="29"/>
  <c r="U102" i="29"/>
  <c r="U103" i="29"/>
  <c r="U104" i="29"/>
  <c r="U105" i="29"/>
  <c r="U106" i="29"/>
  <c r="U100" i="29"/>
  <c r="U96" i="29"/>
  <c r="U97" i="29"/>
  <c r="U98" i="29"/>
  <c r="U95" i="29"/>
  <c r="U72" i="29"/>
  <c r="U73" i="29"/>
  <c r="U74" i="29"/>
  <c r="U75" i="29"/>
  <c r="U76" i="29"/>
  <c r="U77" i="29"/>
  <c r="U78" i="29"/>
  <c r="U79" i="29"/>
  <c r="U80" i="29"/>
  <c r="U81" i="29"/>
  <c r="U82" i="29"/>
  <c r="U83" i="29"/>
  <c r="U84" i="29"/>
  <c r="U85" i="29"/>
  <c r="U86" i="29"/>
  <c r="U87" i="29"/>
  <c r="U88" i="29"/>
  <c r="U89" i="29"/>
  <c r="U90" i="29"/>
  <c r="U91" i="29"/>
  <c r="U92" i="29"/>
  <c r="U93" i="29"/>
  <c r="U71" i="29"/>
  <c r="U60" i="29"/>
  <c r="U61" i="29"/>
  <c r="U62" i="29"/>
  <c r="U63" i="29"/>
  <c r="U64" i="29"/>
  <c r="U65" i="29"/>
  <c r="U66" i="29"/>
  <c r="U67" i="29"/>
  <c r="U68" i="29"/>
  <c r="U69" i="29"/>
  <c r="U59" i="29"/>
  <c r="U56" i="29"/>
  <c r="U57" i="29"/>
  <c r="U55" i="29"/>
  <c r="U49" i="29"/>
  <c r="U50" i="29"/>
  <c r="U51" i="29"/>
  <c r="U52" i="29"/>
  <c r="U53" i="29"/>
  <c r="U48" i="29"/>
  <c r="U28" i="29"/>
  <c r="U29" i="29"/>
  <c r="U30" i="29"/>
  <c r="U31" i="29"/>
  <c r="U32" i="29"/>
  <c r="U33" i="29"/>
  <c r="U34" i="29"/>
  <c r="U35" i="29"/>
  <c r="U36" i="29"/>
  <c r="U37" i="29"/>
  <c r="U38" i="29"/>
  <c r="U39" i="29"/>
  <c r="U40" i="29"/>
  <c r="U41" i="29"/>
  <c r="U42" i="29"/>
  <c r="U43" i="29"/>
  <c r="U44" i="29"/>
  <c r="U45" i="29"/>
  <c r="U46" i="29"/>
  <c r="U27" i="29"/>
  <c r="U21" i="29"/>
  <c r="U22" i="29"/>
  <c r="U23" i="29"/>
  <c r="U24" i="29"/>
  <c r="U25" i="29"/>
  <c r="U20" i="29"/>
  <c r="U10" i="29"/>
  <c r="U11" i="29"/>
  <c r="U12" i="29"/>
  <c r="U13" i="29"/>
  <c r="U14" i="29"/>
  <c r="U15" i="29"/>
  <c r="U16" i="29"/>
  <c r="U17" i="29"/>
  <c r="U18" i="29"/>
  <c r="U9" i="29"/>
  <c r="T122" i="29"/>
  <c r="T123" i="29"/>
  <c r="T121" i="29"/>
  <c r="T113" i="29"/>
  <c r="T114" i="29"/>
  <c r="T115" i="29"/>
  <c r="T116" i="29"/>
  <c r="T117" i="29"/>
  <c r="T118" i="29"/>
  <c r="T119" i="29"/>
  <c r="T112" i="29"/>
  <c r="T109" i="29"/>
  <c r="T110" i="29"/>
  <c r="T108" i="29"/>
  <c r="T101" i="29"/>
  <c r="T102" i="29"/>
  <c r="T103" i="29"/>
  <c r="T104" i="29"/>
  <c r="T105" i="29"/>
  <c r="T106" i="29"/>
  <c r="T100" i="29"/>
  <c r="T96" i="29"/>
  <c r="T97" i="29"/>
  <c r="T98" i="29"/>
  <c r="T95" i="29"/>
  <c r="T72" i="29"/>
  <c r="T73" i="29"/>
  <c r="T74" i="29"/>
  <c r="T75" i="29"/>
  <c r="T76" i="29"/>
  <c r="T77" i="29"/>
  <c r="T78" i="29"/>
  <c r="T79" i="29"/>
  <c r="T80" i="29"/>
  <c r="T81" i="29"/>
  <c r="T82" i="29"/>
  <c r="T83" i="29"/>
  <c r="T84" i="29"/>
  <c r="T85" i="29"/>
  <c r="T86" i="29"/>
  <c r="T87" i="29"/>
  <c r="T88" i="29"/>
  <c r="T89" i="29"/>
  <c r="T90" i="29"/>
  <c r="T91" i="29"/>
  <c r="T92" i="29"/>
  <c r="T93" i="29"/>
  <c r="T71" i="29"/>
  <c r="T60" i="29"/>
  <c r="T61" i="29"/>
  <c r="T62" i="29"/>
  <c r="T63" i="29"/>
  <c r="T64" i="29"/>
  <c r="T65" i="29"/>
  <c r="T66" i="29"/>
  <c r="T67" i="29"/>
  <c r="T68" i="29"/>
  <c r="T69" i="29"/>
  <c r="T59" i="29"/>
  <c r="T56" i="29"/>
  <c r="T57" i="29"/>
  <c r="T55" i="29"/>
  <c r="T49" i="29"/>
  <c r="T50" i="29"/>
  <c r="T51" i="29"/>
  <c r="T52" i="29"/>
  <c r="T53" i="29"/>
  <c r="T48" i="29"/>
  <c r="T28" i="29"/>
  <c r="T29" i="29"/>
  <c r="T30" i="29"/>
  <c r="T31" i="29"/>
  <c r="T32" i="29"/>
  <c r="T33" i="29"/>
  <c r="T34" i="29"/>
  <c r="T35" i="29"/>
  <c r="T36" i="29"/>
  <c r="T37" i="29"/>
  <c r="T38" i="29"/>
  <c r="T39" i="29"/>
  <c r="T40" i="29"/>
  <c r="T41" i="29"/>
  <c r="T42" i="29"/>
  <c r="T43" i="29"/>
  <c r="T44" i="29"/>
  <c r="T45" i="29"/>
  <c r="T46" i="29"/>
  <c r="T27" i="29"/>
  <c r="T21" i="29"/>
  <c r="T22" i="29"/>
  <c r="T23" i="29"/>
  <c r="T24" i="29"/>
  <c r="T25" i="29"/>
  <c r="T20" i="29"/>
  <c r="T10" i="29"/>
  <c r="T11" i="29"/>
  <c r="T12" i="29"/>
  <c r="T13" i="29"/>
  <c r="T14" i="29"/>
  <c r="T15" i="29"/>
  <c r="T16" i="29"/>
  <c r="T17" i="29"/>
  <c r="T18" i="29"/>
  <c r="T9" i="29"/>
  <c r="S122" i="29"/>
  <c r="S123" i="29"/>
  <c r="S121" i="29"/>
  <c r="S113" i="29"/>
  <c r="S114" i="29"/>
  <c r="S115" i="29"/>
  <c r="S116" i="29"/>
  <c r="S117" i="29"/>
  <c r="S118" i="29"/>
  <c r="S119" i="29"/>
  <c r="S112" i="29"/>
  <c r="S109" i="29"/>
  <c r="S110" i="29"/>
  <c r="S108" i="29"/>
  <c r="S101" i="29"/>
  <c r="S102" i="29"/>
  <c r="S103" i="29"/>
  <c r="S104" i="29"/>
  <c r="S105" i="29"/>
  <c r="S106" i="29"/>
  <c r="S100" i="29"/>
  <c r="S96" i="29"/>
  <c r="S97" i="29"/>
  <c r="S98" i="29"/>
  <c r="S95" i="29"/>
  <c r="S72" i="29"/>
  <c r="S73" i="29"/>
  <c r="S74" i="29"/>
  <c r="S75" i="29"/>
  <c r="S76" i="29"/>
  <c r="S77" i="29"/>
  <c r="S78" i="29"/>
  <c r="S79" i="29"/>
  <c r="S80" i="29"/>
  <c r="S81" i="29"/>
  <c r="S82" i="29"/>
  <c r="S83" i="29"/>
  <c r="S84" i="29"/>
  <c r="S85" i="29"/>
  <c r="S86" i="29"/>
  <c r="S87" i="29"/>
  <c r="S88" i="29"/>
  <c r="S89" i="29"/>
  <c r="S90" i="29"/>
  <c r="S91" i="29"/>
  <c r="S92" i="29"/>
  <c r="S93" i="29"/>
  <c r="S71" i="29"/>
  <c r="S60" i="29"/>
  <c r="S61" i="29"/>
  <c r="S62" i="29"/>
  <c r="S63" i="29"/>
  <c r="S64" i="29"/>
  <c r="S65" i="29"/>
  <c r="S66" i="29"/>
  <c r="S67" i="29"/>
  <c r="S68" i="29"/>
  <c r="S69" i="29"/>
  <c r="S59" i="29"/>
  <c r="S56" i="29"/>
  <c r="S57" i="29"/>
  <c r="S55" i="29"/>
  <c r="S49" i="29"/>
  <c r="S50" i="29"/>
  <c r="S51" i="29"/>
  <c r="S52" i="29"/>
  <c r="S53" i="29"/>
  <c r="S48" i="29"/>
  <c r="S28" i="29"/>
  <c r="S29" i="29"/>
  <c r="S30" i="29"/>
  <c r="S31" i="29"/>
  <c r="S32" i="29"/>
  <c r="S33" i="29"/>
  <c r="S34" i="29"/>
  <c r="S35" i="29"/>
  <c r="S36" i="29"/>
  <c r="S37" i="29"/>
  <c r="S38" i="29"/>
  <c r="S39" i="29"/>
  <c r="S40" i="29"/>
  <c r="S41" i="29"/>
  <c r="S42" i="29"/>
  <c r="S43" i="29"/>
  <c r="S44" i="29"/>
  <c r="S45" i="29"/>
  <c r="S46" i="29"/>
  <c r="S27" i="29"/>
  <c r="S21" i="29"/>
  <c r="S22" i="29"/>
  <c r="S23" i="29"/>
  <c r="S24" i="29"/>
  <c r="S25" i="29"/>
  <c r="S20" i="29"/>
  <c r="S10" i="29"/>
  <c r="S11" i="29"/>
  <c r="S12" i="29"/>
  <c r="S13" i="29"/>
  <c r="S14" i="29"/>
  <c r="S15" i="29"/>
  <c r="S16" i="29"/>
  <c r="S17" i="29"/>
  <c r="S18" i="29"/>
  <c r="S9" i="29"/>
  <c r="R122" i="29"/>
  <c r="R123" i="29"/>
  <c r="R121" i="29"/>
  <c r="R113" i="29"/>
  <c r="R114" i="29"/>
  <c r="R115" i="29"/>
  <c r="R116" i="29"/>
  <c r="R117" i="29"/>
  <c r="R118" i="29"/>
  <c r="R119" i="29"/>
  <c r="R112" i="29"/>
  <c r="R109" i="29"/>
  <c r="R110" i="29"/>
  <c r="R108" i="29"/>
  <c r="R101" i="29"/>
  <c r="R102" i="29"/>
  <c r="R103" i="29"/>
  <c r="R104" i="29"/>
  <c r="R105" i="29"/>
  <c r="R106" i="29"/>
  <c r="R100" i="29"/>
  <c r="R96" i="29"/>
  <c r="R97" i="29"/>
  <c r="R98" i="29"/>
  <c r="R95" i="29"/>
  <c r="R72" i="29"/>
  <c r="R73" i="29"/>
  <c r="R74" i="29"/>
  <c r="R75" i="29"/>
  <c r="R76" i="29"/>
  <c r="R77" i="29"/>
  <c r="R78" i="29"/>
  <c r="R79" i="29"/>
  <c r="R80" i="29"/>
  <c r="R81" i="29"/>
  <c r="R82" i="29"/>
  <c r="R83" i="29"/>
  <c r="R84" i="29"/>
  <c r="R85" i="29"/>
  <c r="R86" i="29"/>
  <c r="R87" i="29"/>
  <c r="R88" i="29"/>
  <c r="R89" i="29"/>
  <c r="R90" i="29"/>
  <c r="R91" i="29"/>
  <c r="R92" i="29"/>
  <c r="R93" i="29"/>
  <c r="R71" i="29"/>
  <c r="R60" i="29"/>
  <c r="R61" i="29"/>
  <c r="R62" i="29"/>
  <c r="R63" i="29"/>
  <c r="R64" i="29"/>
  <c r="R65" i="29"/>
  <c r="R66" i="29"/>
  <c r="R67" i="29"/>
  <c r="R68" i="29"/>
  <c r="R69" i="29"/>
  <c r="R59" i="29"/>
  <c r="R56" i="29"/>
  <c r="R57" i="29"/>
  <c r="R55" i="29"/>
  <c r="R49" i="29"/>
  <c r="R50" i="29"/>
  <c r="R51" i="29"/>
  <c r="R52" i="29"/>
  <c r="R53" i="29"/>
  <c r="R48" i="29"/>
  <c r="R28" i="29"/>
  <c r="R29" i="29"/>
  <c r="R30" i="29"/>
  <c r="R31" i="29"/>
  <c r="R32" i="29"/>
  <c r="R33" i="29"/>
  <c r="R34" i="29"/>
  <c r="R35" i="29"/>
  <c r="R36" i="29"/>
  <c r="R37" i="29"/>
  <c r="R38" i="29"/>
  <c r="R39" i="29"/>
  <c r="R40" i="29"/>
  <c r="R41" i="29"/>
  <c r="R42" i="29"/>
  <c r="R43" i="29"/>
  <c r="R44" i="29"/>
  <c r="R45" i="29"/>
  <c r="R46" i="29"/>
  <c r="R27" i="29"/>
  <c r="R21" i="29"/>
  <c r="R22" i="29"/>
  <c r="R23" i="29"/>
  <c r="R24" i="29"/>
  <c r="R25" i="29"/>
  <c r="R20" i="29"/>
  <c r="R10" i="29"/>
  <c r="R11" i="29"/>
  <c r="R12" i="29"/>
  <c r="R13" i="29"/>
  <c r="R14" i="29"/>
  <c r="R15" i="29"/>
  <c r="R16" i="29"/>
  <c r="R17" i="29"/>
  <c r="R18" i="29"/>
  <c r="R9" i="29"/>
  <c r="Q122" i="29"/>
  <c r="Q123" i="29"/>
  <c r="Q121" i="29"/>
  <c r="Q113" i="29"/>
  <c r="Q114" i="29"/>
  <c r="Q115" i="29"/>
  <c r="Q116" i="29"/>
  <c r="Q117" i="29"/>
  <c r="Q118" i="29"/>
  <c r="Q119" i="29"/>
  <c r="Q112" i="29"/>
  <c r="Q109" i="29"/>
  <c r="Q110" i="29"/>
  <c r="Q108" i="29"/>
  <c r="Q101" i="29"/>
  <c r="Q102" i="29"/>
  <c r="Q103" i="29"/>
  <c r="Q104" i="29"/>
  <c r="Q105" i="29"/>
  <c r="Q106" i="29"/>
  <c r="Q100" i="29"/>
  <c r="Q96" i="29"/>
  <c r="Q97" i="29"/>
  <c r="Q98" i="29"/>
  <c r="Q95" i="29"/>
  <c r="Q72" i="29"/>
  <c r="Q73" i="29"/>
  <c r="Q74" i="29"/>
  <c r="Q75" i="29"/>
  <c r="Q76" i="29"/>
  <c r="Q77" i="29"/>
  <c r="Q78" i="29"/>
  <c r="Q79" i="29"/>
  <c r="Q80" i="29"/>
  <c r="Q81" i="29"/>
  <c r="Q82" i="29"/>
  <c r="Q83" i="29"/>
  <c r="Q84" i="29"/>
  <c r="Q85" i="29"/>
  <c r="Q86" i="29"/>
  <c r="Q87" i="29"/>
  <c r="Q88" i="29"/>
  <c r="Q89" i="29"/>
  <c r="Q90" i="29"/>
  <c r="Q91" i="29"/>
  <c r="Q92" i="29"/>
  <c r="Q93" i="29"/>
  <c r="Q71" i="29"/>
  <c r="Q60" i="29"/>
  <c r="Q61" i="29"/>
  <c r="Q62" i="29"/>
  <c r="Q63" i="29"/>
  <c r="Q64" i="29"/>
  <c r="Q65" i="29"/>
  <c r="Q66" i="29"/>
  <c r="Q67" i="29"/>
  <c r="Q68" i="29"/>
  <c r="Q69" i="29"/>
  <c r="Q59" i="29"/>
  <c r="Q56" i="29"/>
  <c r="Q57" i="29"/>
  <c r="Q55" i="29"/>
  <c r="Q49" i="29"/>
  <c r="Q50" i="29"/>
  <c r="Q51" i="29"/>
  <c r="Q52" i="29"/>
  <c r="Q53" i="29"/>
  <c r="Q48" i="29"/>
  <c r="Q28" i="29"/>
  <c r="Q29" i="29"/>
  <c r="Q30" i="29"/>
  <c r="Q31" i="29"/>
  <c r="Q32" i="29"/>
  <c r="Q33" i="29"/>
  <c r="Q34" i="29"/>
  <c r="Q35" i="29"/>
  <c r="Q36" i="29"/>
  <c r="Q37" i="29"/>
  <c r="Q38" i="29"/>
  <c r="Q39" i="29"/>
  <c r="Q40" i="29"/>
  <c r="Q41" i="29"/>
  <c r="Q42" i="29"/>
  <c r="Q43" i="29"/>
  <c r="Q44" i="29"/>
  <c r="Q45" i="29"/>
  <c r="Q46" i="29"/>
  <c r="Q27" i="29"/>
  <c r="Q21" i="29"/>
  <c r="Q22" i="29"/>
  <c r="Q23" i="29"/>
  <c r="Q24" i="29"/>
  <c r="Q25" i="29"/>
  <c r="Q20" i="29"/>
  <c r="Q10" i="29"/>
  <c r="Q11" i="29"/>
  <c r="Q12" i="29"/>
  <c r="Q13" i="29"/>
  <c r="Q14" i="29"/>
  <c r="Q15" i="29"/>
  <c r="Q16" i="29"/>
  <c r="Q17" i="29"/>
  <c r="Q18" i="29"/>
  <c r="Q9" i="29"/>
  <c r="K122" i="29"/>
  <c r="K123" i="29"/>
  <c r="K121" i="29"/>
  <c r="K113" i="29"/>
  <c r="K114" i="29"/>
  <c r="K115" i="29"/>
  <c r="K116" i="29"/>
  <c r="K117" i="29"/>
  <c r="K118" i="29"/>
  <c r="K119" i="29"/>
  <c r="K112" i="29"/>
  <c r="K101" i="29"/>
  <c r="K102" i="29"/>
  <c r="K103" i="29"/>
  <c r="K104" i="29"/>
  <c r="K105" i="29"/>
  <c r="K106" i="29"/>
  <c r="K100" i="29"/>
  <c r="K96" i="29"/>
  <c r="K97" i="29"/>
  <c r="K98" i="29"/>
  <c r="K95" i="29"/>
  <c r="K72" i="29"/>
  <c r="K73" i="29"/>
  <c r="K74" i="29"/>
  <c r="K75" i="29"/>
  <c r="K76" i="29"/>
  <c r="K77" i="29"/>
  <c r="K78" i="29"/>
  <c r="K79" i="29"/>
  <c r="K80" i="29"/>
  <c r="K81" i="29"/>
  <c r="K82" i="29"/>
  <c r="K83" i="29"/>
  <c r="K84" i="29"/>
  <c r="K85" i="29"/>
  <c r="K86" i="29"/>
  <c r="K87" i="29"/>
  <c r="K88" i="29"/>
  <c r="K89" i="29"/>
  <c r="K90" i="29"/>
  <c r="K91" i="29"/>
  <c r="K92" i="29"/>
  <c r="K93" i="29"/>
  <c r="K71" i="29"/>
  <c r="K60" i="29"/>
  <c r="K61" i="29"/>
  <c r="K62" i="29"/>
  <c r="K63" i="29"/>
  <c r="K64" i="29"/>
  <c r="K65" i="29"/>
  <c r="K66" i="29"/>
  <c r="K67" i="29"/>
  <c r="K68" i="29"/>
  <c r="K69" i="29"/>
  <c r="K59" i="29"/>
  <c r="K56" i="29"/>
  <c r="K57" i="29"/>
  <c r="K55" i="29"/>
  <c r="K49" i="29"/>
  <c r="K50" i="29"/>
  <c r="K51" i="29"/>
  <c r="K52" i="29"/>
  <c r="K53" i="29"/>
  <c r="K48" i="29"/>
  <c r="K28" i="29"/>
  <c r="K29" i="29"/>
  <c r="K30" i="29"/>
  <c r="K31" i="29"/>
  <c r="K32" i="29"/>
  <c r="K33" i="29"/>
  <c r="K34" i="29"/>
  <c r="K35" i="29"/>
  <c r="K36" i="29"/>
  <c r="K37" i="29"/>
  <c r="K38" i="29"/>
  <c r="K39" i="29"/>
  <c r="K40" i="29"/>
  <c r="K41" i="29"/>
  <c r="K42" i="29"/>
  <c r="K43" i="29"/>
  <c r="K44" i="29"/>
  <c r="K45" i="29"/>
  <c r="K46" i="29"/>
  <c r="K27" i="29"/>
  <c r="K21" i="29"/>
  <c r="K22" i="29"/>
  <c r="K23" i="29"/>
  <c r="K24" i="29"/>
  <c r="K25" i="29"/>
  <c r="K20" i="29"/>
  <c r="K10" i="29"/>
  <c r="K11" i="29"/>
  <c r="K12" i="29"/>
  <c r="K13" i="29"/>
  <c r="K14" i="29"/>
  <c r="K15" i="29"/>
  <c r="K16" i="29"/>
  <c r="K17" i="29"/>
  <c r="K18" i="29"/>
  <c r="K9" i="29"/>
  <c r="J122" i="29"/>
  <c r="O122" i="29" s="1"/>
  <c r="J123" i="29"/>
  <c r="O123" i="29" s="1"/>
  <c r="J121" i="29"/>
  <c r="J113" i="29"/>
  <c r="O113" i="29" s="1"/>
  <c r="J114" i="29"/>
  <c r="O114" i="29" s="1"/>
  <c r="J115" i="29"/>
  <c r="O115" i="29" s="1"/>
  <c r="J116" i="29"/>
  <c r="O116" i="29" s="1"/>
  <c r="J117" i="29"/>
  <c r="O117" i="29" s="1"/>
  <c r="J118" i="29"/>
  <c r="O118" i="29" s="1"/>
  <c r="J119" i="29"/>
  <c r="O119" i="29" s="1"/>
  <c r="J112" i="29"/>
  <c r="J109" i="29"/>
  <c r="O109" i="29" s="1"/>
  <c r="J110" i="29"/>
  <c r="O110" i="29" s="1"/>
  <c r="J108" i="29"/>
  <c r="J101" i="29"/>
  <c r="O101" i="29" s="1"/>
  <c r="J102" i="29"/>
  <c r="O102" i="29" s="1"/>
  <c r="J103" i="29"/>
  <c r="O103" i="29" s="1"/>
  <c r="J104" i="29"/>
  <c r="O104" i="29" s="1"/>
  <c r="J105" i="29"/>
  <c r="O105" i="29" s="1"/>
  <c r="J106" i="29"/>
  <c r="O106" i="29" s="1"/>
  <c r="J100" i="29"/>
  <c r="J96" i="29"/>
  <c r="O96" i="29" s="1"/>
  <c r="J97" i="29"/>
  <c r="O97" i="29" s="1"/>
  <c r="J98" i="29"/>
  <c r="O98" i="29" s="1"/>
  <c r="J95" i="29"/>
  <c r="J72" i="29"/>
  <c r="O72" i="29" s="1"/>
  <c r="J73" i="29"/>
  <c r="O73" i="29" s="1"/>
  <c r="J74" i="29"/>
  <c r="O74" i="29" s="1"/>
  <c r="J75" i="29"/>
  <c r="O75" i="29" s="1"/>
  <c r="J76" i="29"/>
  <c r="O76" i="29" s="1"/>
  <c r="J77" i="29"/>
  <c r="O77" i="29" s="1"/>
  <c r="J78" i="29"/>
  <c r="O78" i="29" s="1"/>
  <c r="J79" i="29"/>
  <c r="O79" i="29" s="1"/>
  <c r="J80" i="29"/>
  <c r="O80" i="29" s="1"/>
  <c r="J81" i="29"/>
  <c r="O81" i="29" s="1"/>
  <c r="J82" i="29"/>
  <c r="O82" i="29" s="1"/>
  <c r="J83" i="29"/>
  <c r="O83" i="29" s="1"/>
  <c r="J84" i="29"/>
  <c r="O84" i="29" s="1"/>
  <c r="J85" i="29"/>
  <c r="O85" i="29" s="1"/>
  <c r="J86" i="29"/>
  <c r="O86" i="29" s="1"/>
  <c r="J87" i="29"/>
  <c r="O87" i="29" s="1"/>
  <c r="J88" i="29"/>
  <c r="O88" i="29" s="1"/>
  <c r="J89" i="29"/>
  <c r="O89" i="29" s="1"/>
  <c r="J90" i="29"/>
  <c r="O90" i="29" s="1"/>
  <c r="J91" i="29"/>
  <c r="O91" i="29" s="1"/>
  <c r="J92" i="29"/>
  <c r="O92" i="29" s="1"/>
  <c r="J93" i="29"/>
  <c r="O93" i="29" s="1"/>
  <c r="J71" i="29"/>
  <c r="J60" i="29"/>
  <c r="J61" i="29"/>
  <c r="J62" i="29"/>
  <c r="O62" i="29" s="1"/>
  <c r="J63" i="29"/>
  <c r="O63" i="29" s="1"/>
  <c r="J64" i="29"/>
  <c r="O64" i="29" s="1"/>
  <c r="J65" i="29"/>
  <c r="O65" i="29" s="1"/>
  <c r="J66" i="29"/>
  <c r="O66" i="29" s="1"/>
  <c r="J67" i="29"/>
  <c r="O67" i="29" s="1"/>
  <c r="J68" i="29"/>
  <c r="O68" i="29" s="1"/>
  <c r="J69" i="29"/>
  <c r="O69" i="29" s="1"/>
  <c r="J59" i="29"/>
  <c r="J56" i="29"/>
  <c r="O56" i="29" s="1"/>
  <c r="J57" i="29"/>
  <c r="O57" i="29" s="1"/>
  <c r="J55" i="29"/>
  <c r="J49" i="29"/>
  <c r="O49" i="29" s="1"/>
  <c r="J50" i="29"/>
  <c r="O50" i="29" s="1"/>
  <c r="J51" i="29"/>
  <c r="O51" i="29" s="1"/>
  <c r="J52" i="29"/>
  <c r="O52" i="29" s="1"/>
  <c r="J53" i="29"/>
  <c r="O53" i="29" s="1"/>
  <c r="J48" i="29"/>
  <c r="J28" i="29"/>
  <c r="O28" i="29" s="1"/>
  <c r="J29" i="29"/>
  <c r="O29" i="29" s="1"/>
  <c r="J30" i="29"/>
  <c r="O30" i="29" s="1"/>
  <c r="J31" i="29"/>
  <c r="O31" i="29" s="1"/>
  <c r="J32" i="29"/>
  <c r="O32" i="29" s="1"/>
  <c r="J33" i="29"/>
  <c r="O33" i="29" s="1"/>
  <c r="J34" i="29"/>
  <c r="O34" i="29" s="1"/>
  <c r="J35" i="29"/>
  <c r="O35" i="29" s="1"/>
  <c r="J36" i="29"/>
  <c r="O36" i="29" s="1"/>
  <c r="J37" i="29"/>
  <c r="O37" i="29" s="1"/>
  <c r="J38" i="29"/>
  <c r="O38" i="29" s="1"/>
  <c r="J39" i="29"/>
  <c r="O39" i="29" s="1"/>
  <c r="J40" i="29"/>
  <c r="O40" i="29" s="1"/>
  <c r="J41" i="29"/>
  <c r="O41" i="29" s="1"/>
  <c r="J42" i="29"/>
  <c r="O42" i="29" s="1"/>
  <c r="J43" i="29"/>
  <c r="O43" i="29" s="1"/>
  <c r="J44" i="29"/>
  <c r="O44" i="29" s="1"/>
  <c r="J45" i="29"/>
  <c r="O45" i="29" s="1"/>
  <c r="J46" i="29"/>
  <c r="O46" i="29" s="1"/>
  <c r="J27" i="29"/>
  <c r="J21" i="29"/>
  <c r="O21" i="29" s="1"/>
  <c r="J22" i="29"/>
  <c r="O22" i="29" s="1"/>
  <c r="J23" i="29"/>
  <c r="O23" i="29" s="1"/>
  <c r="J24" i="29"/>
  <c r="O24" i="29" s="1"/>
  <c r="J25" i="29"/>
  <c r="O25" i="29" s="1"/>
  <c r="J20" i="29"/>
  <c r="J10" i="29"/>
  <c r="O10" i="29" s="1"/>
  <c r="J11" i="29"/>
  <c r="O11" i="29" s="1"/>
  <c r="J12" i="29"/>
  <c r="O12" i="29" s="1"/>
  <c r="J13" i="29"/>
  <c r="O13" i="29" s="1"/>
  <c r="J14" i="29"/>
  <c r="O14" i="29" s="1"/>
  <c r="J15" i="29"/>
  <c r="O15" i="29" s="1"/>
  <c r="J16" i="29"/>
  <c r="O16" i="29" s="1"/>
  <c r="J17" i="29"/>
  <c r="O17" i="29" s="1"/>
  <c r="J18" i="29"/>
  <c r="O18" i="29" s="1"/>
  <c r="J9" i="29"/>
  <c r="O9" i="29" s="1"/>
  <c r="F122" i="29"/>
  <c r="F123" i="29"/>
  <c r="F121" i="29"/>
  <c r="F113" i="29"/>
  <c r="F114" i="29"/>
  <c r="F115" i="29"/>
  <c r="F116" i="29"/>
  <c r="F117" i="29"/>
  <c r="F118" i="29"/>
  <c r="F119" i="29"/>
  <c r="F112" i="29"/>
  <c r="F109" i="29"/>
  <c r="F110" i="29"/>
  <c r="F108" i="29"/>
  <c r="F101" i="29"/>
  <c r="F102" i="29"/>
  <c r="F103" i="29"/>
  <c r="F104" i="29"/>
  <c r="F105" i="29"/>
  <c r="F106" i="29"/>
  <c r="F100" i="29"/>
  <c r="F96" i="29"/>
  <c r="F97" i="29"/>
  <c r="F98" i="29"/>
  <c r="F95" i="29"/>
  <c r="F72" i="29"/>
  <c r="F73" i="29"/>
  <c r="F74" i="29"/>
  <c r="F75" i="29"/>
  <c r="F76" i="29"/>
  <c r="F77" i="29"/>
  <c r="F78" i="29"/>
  <c r="F79" i="29"/>
  <c r="F80" i="29"/>
  <c r="F81" i="29"/>
  <c r="F82" i="29"/>
  <c r="F83" i="29"/>
  <c r="F84" i="29"/>
  <c r="F85" i="29"/>
  <c r="F86" i="29"/>
  <c r="F87" i="29"/>
  <c r="F88" i="29"/>
  <c r="F89" i="29"/>
  <c r="F90" i="29"/>
  <c r="F91" i="29"/>
  <c r="F92" i="29"/>
  <c r="F93" i="29"/>
  <c r="F71" i="29"/>
  <c r="F60" i="29"/>
  <c r="F61" i="29"/>
  <c r="F62" i="29"/>
  <c r="F63" i="29"/>
  <c r="F64" i="29"/>
  <c r="F65" i="29"/>
  <c r="F66" i="29"/>
  <c r="F67" i="29"/>
  <c r="F68" i="29"/>
  <c r="F69" i="29"/>
  <c r="F59" i="29"/>
  <c r="F56" i="29"/>
  <c r="F57" i="29"/>
  <c r="F55" i="29"/>
  <c r="F49" i="29"/>
  <c r="F50" i="29"/>
  <c r="F51" i="29"/>
  <c r="F52" i="29"/>
  <c r="F53" i="29"/>
  <c r="F48" i="29"/>
  <c r="F28" i="29"/>
  <c r="F29" i="29"/>
  <c r="F30" i="29"/>
  <c r="F31" i="29"/>
  <c r="F32" i="29"/>
  <c r="F33" i="29"/>
  <c r="F34" i="29"/>
  <c r="F35" i="29"/>
  <c r="F36" i="29"/>
  <c r="F37" i="29"/>
  <c r="F38" i="29"/>
  <c r="F39" i="29"/>
  <c r="F40" i="29"/>
  <c r="F41" i="29"/>
  <c r="F42" i="29"/>
  <c r="F43" i="29"/>
  <c r="F44" i="29"/>
  <c r="F45" i="29"/>
  <c r="F46" i="29"/>
  <c r="F27" i="29"/>
  <c r="F21" i="29"/>
  <c r="F22" i="29"/>
  <c r="F23" i="29"/>
  <c r="F24" i="29"/>
  <c r="F25" i="29"/>
  <c r="F20" i="29"/>
  <c r="F10" i="29"/>
  <c r="F11" i="29"/>
  <c r="F12" i="29"/>
  <c r="F13" i="29"/>
  <c r="F14" i="29"/>
  <c r="F15" i="29"/>
  <c r="F16" i="29"/>
  <c r="F17" i="29"/>
  <c r="F18" i="29"/>
  <c r="F9" i="29"/>
  <c r="D122" i="29"/>
  <c r="D123" i="29"/>
  <c r="D121" i="29"/>
  <c r="D113" i="29"/>
  <c r="D114" i="29"/>
  <c r="D115" i="29"/>
  <c r="D116" i="29"/>
  <c r="D117" i="29"/>
  <c r="D118" i="29"/>
  <c r="D119" i="29"/>
  <c r="D112" i="29"/>
  <c r="D109" i="29"/>
  <c r="D110" i="29"/>
  <c r="D108" i="29"/>
  <c r="D101" i="29"/>
  <c r="D102" i="29"/>
  <c r="D103" i="29"/>
  <c r="D104" i="29"/>
  <c r="D105" i="29"/>
  <c r="D106" i="29"/>
  <c r="D100" i="29"/>
  <c r="D96" i="29"/>
  <c r="D97" i="29"/>
  <c r="D98" i="29"/>
  <c r="D95" i="29"/>
  <c r="D72" i="29"/>
  <c r="D73" i="29"/>
  <c r="D74" i="29"/>
  <c r="D75" i="29"/>
  <c r="D76" i="29"/>
  <c r="D77" i="29"/>
  <c r="D78" i="29"/>
  <c r="D79" i="29"/>
  <c r="D80" i="29"/>
  <c r="D81" i="29"/>
  <c r="D82" i="29"/>
  <c r="D83" i="29"/>
  <c r="D84" i="29"/>
  <c r="D85" i="29"/>
  <c r="D86" i="29"/>
  <c r="D87" i="29"/>
  <c r="D88" i="29"/>
  <c r="D89" i="29"/>
  <c r="D90" i="29"/>
  <c r="D91" i="29"/>
  <c r="D92" i="29"/>
  <c r="D93" i="29"/>
  <c r="D71" i="29"/>
  <c r="D60" i="29"/>
  <c r="D61" i="29"/>
  <c r="D62" i="29"/>
  <c r="D63" i="29"/>
  <c r="D64" i="29"/>
  <c r="D65" i="29"/>
  <c r="D66" i="29"/>
  <c r="D67" i="29"/>
  <c r="D68" i="29"/>
  <c r="D69" i="29"/>
  <c r="D59" i="29"/>
  <c r="D56" i="29"/>
  <c r="D57" i="29"/>
  <c r="D55" i="29"/>
  <c r="D49" i="29"/>
  <c r="D50" i="29"/>
  <c r="D51" i="29"/>
  <c r="D52" i="29"/>
  <c r="D53" i="29"/>
  <c r="D48" i="29"/>
  <c r="D28" i="29"/>
  <c r="D29" i="29"/>
  <c r="D30" i="29"/>
  <c r="D31" i="29"/>
  <c r="D32" i="29"/>
  <c r="D33" i="29"/>
  <c r="D34" i="29"/>
  <c r="D35" i="29"/>
  <c r="D36" i="29"/>
  <c r="D37" i="29"/>
  <c r="D38" i="29"/>
  <c r="D39" i="29"/>
  <c r="D40" i="29"/>
  <c r="D41" i="29"/>
  <c r="D42" i="29"/>
  <c r="D43" i="29"/>
  <c r="D44" i="29"/>
  <c r="D45" i="29"/>
  <c r="D46" i="29"/>
  <c r="D27" i="29"/>
  <c r="D21" i="29"/>
  <c r="D22" i="29"/>
  <c r="D23" i="29"/>
  <c r="D24" i="29"/>
  <c r="D25" i="29"/>
  <c r="D20" i="29"/>
  <c r="D10" i="29"/>
  <c r="D11" i="29"/>
  <c r="D12" i="29"/>
  <c r="D13" i="29"/>
  <c r="D14" i="29"/>
  <c r="D15" i="29"/>
  <c r="D16" i="29"/>
  <c r="D17" i="29"/>
  <c r="D18" i="29"/>
  <c r="D9" i="29"/>
  <c r="Y9" i="22"/>
  <c r="Y10" i="22"/>
  <c r="Y11" i="22"/>
  <c r="Y12" i="22"/>
  <c r="Y13" i="22"/>
  <c r="Y14" i="22"/>
  <c r="Y15" i="22"/>
  <c r="Y16" i="22"/>
  <c r="Y17" i="22"/>
  <c r="Y18" i="22"/>
  <c r="Y19" i="22"/>
  <c r="Y20" i="22"/>
  <c r="Y21" i="22"/>
  <c r="Y22" i="22"/>
  <c r="Y23" i="22"/>
  <c r="Y24" i="22"/>
  <c r="Y25" i="22"/>
  <c r="Y26" i="22"/>
  <c r="Y27" i="22"/>
  <c r="Y28" i="22"/>
  <c r="Y29" i="22"/>
  <c r="Y30" i="22"/>
  <c r="Y31" i="22"/>
  <c r="Y32" i="22"/>
  <c r="Y33" i="22"/>
  <c r="Y34" i="22"/>
  <c r="Y35" i="22"/>
  <c r="Y36" i="22"/>
  <c r="Y37" i="22"/>
  <c r="Y38" i="22"/>
  <c r="Y39" i="22"/>
  <c r="Y40" i="22"/>
  <c r="Y41" i="22"/>
  <c r="Y42" i="22"/>
  <c r="Y43" i="22"/>
  <c r="Y44" i="22"/>
  <c r="Y45" i="22"/>
  <c r="Y46" i="22"/>
  <c r="Y47" i="22"/>
  <c r="Y48" i="22"/>
  <c r="Y49" i="22"/>
  <c r="Y50" i="22"/>
  <c r="Y51" i="22"/>
  <c r="Y52" i="22"/>
  <c r="Y53" i="22"/>
  <c r="Y54" i="22"/>
  <c r="Y55" i="22"/>
  <c r="Y56" i="22"/>
  <c r="Y57" i="22"/>
  <c r="Y58" i="22"/>
  <c r="Y59" i="22"/>
  <c r="Y60" i="22"/>
  <c r="Y61" i="22"/>
  <c r="Y62" i="22"/>
  <c r="Y63" i="22"/>
  <c r="Y64" i="22"/>
  <c r="Y65" i="22"/>
  <c r="Y66" i="22"/>
  <c r="Y67" i="22"/>
  <c r="Y68" i="22"/>
  <c r="Y69" i="22"/>
  <c r="Y70" i="22"/>
  <c r="Y71" i="22"/>
  <c r="Y72" i="22"/>
  <c r="Y73" i="22"/>
  <c r="Y74" i="22"/>
  <c r="Y75" i="22"/>
  <c r="Y76" i="22"/>
  <c r="Y77" i="22"/>
  <c r="Y78" i="22"/>
  <c r="Y79" i="22"/>
  <c r="Y80" i="22"/>
  <c r="Y81" i="22"/>
  <c r="Y82" i="22"/>
  <c r="Y83" i="22"/>
  <c r="Y84" i="22"/>
  <c r="Y85" i="22"/>
  <c r="Y86" i="22"/>
  <c r="Y87" i="22"/>
  <c r="Y88" i="22"/>
  <c r="Y89" i="22"/>
  <c r="Y90" i="22"/>
  <c r="Y91" i="22"/>
  <c r="Y92" i="22"/>
  <c r="Y93" i="22"/>
  <c r="Y94" i="22"/>
  <c r="Y8" i="22"/>
  <c r="X9" i="22"/>
  <c r="X10" i="22"/>
  <c r="X11" i="22"/>
  <c r="X12" i="22"/>
  <c r="X13" i="22"/>
  <c r="X14" i="22"/>
  <c r="X15" i="22"/>
  <c r="X16" i="22"/>
  <c r="X17" i="22"/>
  <c r="X18" i="22"/>
  <c r="X19" i="22"/>
  <c r="X20" i="22"/>
  <c r="X21" i="22"/>
  <c r="X22" i="22"/>
  <c r="X23" i="22"/>
  <c r="X24" i="22"/>
  <c r="X25" i="22"/>
  <c r="X26" i="22"/>
  <c r="X27" i="22"/>
  <c r="X28" i="22"/>
  <c r="X29" i="22"/>
  <c r="X30" i="22"/>
  <c r="X31" i="22"/>
  <c r="X32" i="22"/>
  <c r="X33" i="22"/>
  <c r="X34" i="22"/>
  <c r="X35" i="22"/>
  <c r="X36" i="22"/>
  <c r="X37" i="22"/>
  <c r="X38" i="22"/>
  <c r="X39" i="22"/>
  <c r="X40" i="22"/>
  <c r="X41" i="22"/>
  <c r="X42" i="22"/>
  <c r="X43" i="22"/>
  <c r="X44" i="22"/>
  <c r="X45" i="22"/>
  <c r="X46" i="22"/>
  <c r="X47" i="22"/>
  <c r="X48" i="22"/>
  <c r="X49" i="22"/>
  <c r="X50" i="22"/>
  <c r="X51" i="22"/>
  <c r="X52" i="22"/>
  <c r="X53" i="22"/>
  <c r="X54" i="22"/>
  <c r="X55" i="22"/>
  <c r="X56" i="22"/>
  <c r="X57" i="22"/>
  <c r="X58" i="22"/>
  <c r="X59" i="22"/>
  <c r="X60" i="22"/>
  <c r="X61" i="22"/>
  <c r="X62" i="22"/>
  <c r="X63" i="22"/>
  <c r="X64" i="22"/>
  <c r="X65" i="22"/>
  <c r="X66" i="22"/>
  <c r="X67" i="22"/>
  <c r="X68" i="22"/>
  <c r="X69" i="22"/>
  <c r="X70" i="22"/>
  <c r="X71" i="22"/>
  <c r="X72" i="22"/>
  <c r="X73" i="22"/>
  <c r="X74" i="22"/>
  <c r="X75" i="22"/>
  <c r="X76" i="22"/>
  <c r="X77" i="22"/>
  <c r="X78" i="22"/>
  <c r="X79" i="22"/>
  <c r="X80" i="22"/>
  <c r="X81" i="22"/>
  <c r="X82" i="22"/>
  <c r="X83" i="22"/>
  <c r="X84" i="22"/>
  <c r="X85" i="22"/>
  <c r="X86" i="22"/>
  <c r="X87" i="22"/>
  <c r="X88" i="22"/>
  <c r="X89" i="22"/>
  <c r="X90" i="22"/>
  <c r="X91" i="22"/>
  <c r="X92" i="22"/>
  <c r="X93" i="22"/>
  <c r="X94" i="22"/>
  <c r="X8" i="22"/>
  <c r="W9" i="22"/>
  <c r="W10" i="22"/>
  <c r="W11" i="22"/>
  <c r="W12" i="22"/>
  <c r="W13" i="22"/>
  <c r="W14" i="22"/>
  <c r="W15" i="22"/>
  <c r="W16" i="22"/>
  <c r="W17" i="22"/>
  <c r="W18" i="22"/>
  <c r="W19" i="22"/>
  <c r="W20" i="22"/>
  <c r="W21" i="22"/>
  <c r="W22" i="22"/>
  <c r="W23" i="22"/>
  <c r="W24" i="22"/>
  <c r="W25" i="22"/>
  <c r="W26" i="22"/>
  <c r="W27" i="22"/>
  <c r="W28" i="22"/>
  <c r="W29" i="22"/>
  <c r="W30" i="22"/>
  <c r="W31" i="22"/>
  <c r="W32" i="22"/>
  <c r="W33" i="22"/>
  <c r="W34" i="22"/>
  <c r="W35" i="22"/>
  <c r="W36" i="22"/>
  <c r="W37" i="22"/>
  <c r="W38" i="22"/>
  <c r="W39" i="22"/>
  <c r="W40" i="22"/>
  <c r="W41" i="22"/>
  <c r="W42" i="22"/>
  <c r="W43" i="22"/>
  <c r="W44" i="22"/>
  <c r="W45" i="22"/>
  <c r="W46" i="22"/>
  <c r="W47" i="22"/>
  <c r="W48" i="22"/>
  <c r="W49" i="22"/>
  <c r="W50" i="22"/>
  <c r="W51" i="22"/>
  <c r="W52" i="22"/>
  <c r="W53" i="22"/>
  <c r="W54" i="22"/>
  <c r="W55" i="22"/>
  <c r="W56" i="22"/>
  <c r="W57" i="22"/>
  <c r="W58" i="22"/>
  <c r="W59" i="22"/>
  <c r="W60" i="22"/>
  <c r="W61" i="22"/>
  <c r="W62" i="22"/>
  <c r="W63" i="22"/>
  <c r="W64" i="22"/>
  <c r="W65" i="22"/>
  <c r="W66" i="22"/>
  <c r="W67" i="22"/>
  <c r="W68" i="22"/>
  <c r="W69" i="22"/>
  <c r="W70" i="22"/>
  <c r="W71" i="22"/>
  <c r="W72" i="22"/>
  <c r="W73" i="22"/>
  <c r="W74" i="22"/>
  <c r="W75" i="22"/>
  <c r="W76" i="22"/>
  <c r="W77" i="22"/>
  <c r="W78" i="22"/>
  <c r="W79" i="22"/>
  <c r="W80" i="22"/>
  <c r="W81" i="22"/>
  <c r="W82" i="22"/>
  <c r="W83" i="22"/>
  <c r="W84" i="22"/>
  <c r="W85" i="22"/>
  <c r="W86" i="22"/>
  <c r="W87" i="22"/>
  <c r="W88" i="22"/>
  <c r="W89" i="22"/>
  <c r="W90" i="22"/>
  <c r="W91" i="22"/>
  <c r="W92" i="22"/>
  <c r="W93" i="22"/>
  <c r="W94" i="22"/>
  <c r="W8" i="22"/>
  <c r="V9" i="22"/>
  <c r="V10" i="22"/>
  <c r="V11" i="22"/>
  <c r="V12" i="22"/>
  <c r="V13" i="22"/>
  <c r="V14" i="22"/>
  <c r="V15" i="22"/>
  <c r="V16" i="22"/>
  <c r="V17" i="22"/>
  <c r="V18" i="22"/>
  <c r="V19" i="22"/>
  <c r="V20" i="22"/>
  <c r="V21" i="22"/>
  <c r="V22" i="22"/>
  <c r="V23" i="22"/>
  <c r="V24" i="22"/>
  <c r="V25" i="22"/>
  <c r="V26" i="22"/>
  <c r="V27" i="22"/>
  <c r="V28" i="22"/>
  <c r="V29" i="22"/>
  <c r="V30" i="22"/>
  <c r="V31" i="22"/>
  <c r="V32" i="22"/>
  <c r="V33" i="22"/>
  <c r="V34" i="22"/>
  <c r="V35" i="22"/>
  <c r="V36" i="22"/>
  <c r="V37" i="22"/>
  <c r="V38" i="22"/>
  <c r="V39" i="22"/>
  <c r="V40" i="22"/>
  <c r="V41" i="22"/>
  <c r="V42" i="22"/>
  <c r="V43" i="22"/>
  <c r="V44" i="22"/>
  <c r="V45" i="22"/>
  <c r="V46" i="22"/>
  <c r="V47" i="22"/>
  <c r="V48" i="22"/>
  <c r="V49" i="22"/>
  <c r="V50" i="22"/>
  <c r="V51" i="22"/>
  <c r="V52" i="22"/>
  <c r="V53" i="22"/>
  <c r="V54" i="22"/>
  <c r="V55" i="22"/>
  <c r="V56" i="22"/>
  <c r="V57" i="22"/>
  <c r="V58" i="22"/>
  <c r="V59" i="22"/>
  <c r="V60" i="22"/>
  <c r="V61" i="22"/>
  <c r="V62" i="22"/>
  <c r="V63" i="22"/>
  <c r="V64" i="22"/>
  <c r="V65" i="22"/>
  <c r="V66" i="22"/>
  <c r="V67" i="22"/>
  <c r="V68" i="22"/>
  <c r="V69" i="22"/>
  <c r="V70" i="22"/>
  <c r="V71" i="22"/>
  <c r="V72" i="22"/>
  <c r="V73" i="22"/>
  <c r="V74" i="22"/>
  <c r="V75" i="22"/>
  <c r="V76" i="22"/>
  <c r="V77" i="22"/>
  <c r="V78" i="22"/>
  <c r="V79" i="22"/>
  <c r="V80" i="22"/>
  <c r="V81" i="22"/>
  <c r="V82" i="22"/>
  <c r="V83" i="22"/>
  <c r="V84" i="22"/>
  <c r="V85" i="22"/>
  <c r="V86" i="22"/>
  <c r="V87" i="22"/>
  <c r="V88" i="22"/>
  <c r="V89" i="22"/>
  <c r="V90" i="22"/>
  <c r="V91" i="22"/>
  <c r="V92" i="22"/>
  <c r="V93" i="22"/>
  <c r="V94" i="22"/>
  <c r="V8" i="22"/>
  <c r="U9" i="22"/>
  <c r="U10" i="22"/>
  <c r="U11" i="22"/>
  <c r="U12" i="22"/>
  <c r="U13" i="22"/>
  <c r="U14" i="22"/>
  <c r="U15" i="22"/>
  <c r="U16" i="22"/>
  <c r="U17" i="22"/>
  <c r="U18" i="22"/>
  <c r="U19" i="22"/>
  <c r="U20" i="22"/>
  <c r="U21" i="22"/>
  <c r="U22" i="22"/>
  <c r="U23" i="22"/>
  <c r="U24" i="22"/>
  <c r="U25" i="22"/>
  <c r="U26" i="22"/>
  <c r="U27" i="22"/>
  <c r="U28" i="22"/>
  <c r="U29" i="22"/>
  <c r="U30" i="22"/>
  <c r="U31" i="22"/>
  <c r="U32" i="22"/>
  <c r="U33" i="22"/>
  <c r="U34" i="22"/>
  <c r="U35" i="22"/>
  <c r="U36" i="22"/>
  <c r="U37" i="22"/>
  <c r="U38" i="22"/>
  <c r="U39" i="22"/>
  <c r="U40" i="22"/>
  <c r="U41" i="22"/>
  <c r="U42" i="22"/>
  <c r="U43" i="22"/>
  <c r="U44" i="22"/>
  <c r="U45" i="22"/>
  <c r="U46" i="22"/>
  <c r="U47" i="22"/>
  <c r="U48" i="22"/>
  <c r="U49" i="22"/>
  <c r="U50" i="22"/>
  <c r="U51" i="22"/>
  <c r="U52" i="22"/>
  <c r="U53" i="22"/>
  <c r="U54" i="22"/>
  <c r="U55" i="22"/>
  <c r="U56" i="22"/>
  <c r="U57" i="22"/>
  <c r="U58" i="22"/>
  <c r="U59" i="22"/>
  <c r="U60" i="22"/>
  <c r="U61" i="22"/>
  <c r="U62" i="22"/>
  <c r="U63" i="22"/>
  <c r="U64" i="22"/>
  <c r="U65" i="22"/>
  <c r="U66" i="22"/>
  <c r="U67" i="22"/>
  <c r="U68" i="22"/>
  <c r="U69" i="22"/>
  <c r="U70" i="22"/>
  <c r="U71" i="22"/>
  <c r="U72" i="22"/>
  <c r="U73" i="22"/>
  <c r="U74" i="22"/>
  <c r="U75" i="22"/>
  <c r="U76" i="22"/>
  <c r="U77" i="22"/>
  <c r="U78" i="22"/>
  <c r="U79" i="22"/>
  <c r="U80" i="22"/>
  <c r="U81" i="22"/>
  <c r="U82" i="22"/>
  <c r="U83" i="22"/>
  <c r="U84" i="22"/>
  <c r="U85" i="22"/>
  <c r="U86" i="22"/>
  <c r="U87" i="22"/>
  <c r="U88" i="22"/>
  <c r="U89" i="22"/>
  <c r="U90" i="22"/>
  <c r="U91" i="22"/>
  <c r="U92" i="22"/>
  <c r="U93" i="22"/>
  <c r="U94" i="22"/>
  <c r="U8" i="22"/>
  <c r="T9" i="22"/>
  <c r="T10" i="22"/>
  <c r="T11" i="22"/>
  <c r="T12" i="22"/>
  <c r="T13" i="22"/>
  <c r="T14" i="22"/>
  <c r="T15" i="22"/>
  <c r="T16" i="22"/>
  <c r="T17" i="22"/>
  <c r="T18" i="22"/>
  <c r="T19" i="22"/>
  <c r="T20" i="22"/>
  <c r="T21" i="22"/>
  <c r="T22" i="22"/>
  <c r="T23" i="22"/>
  <c r="T24" i="22"/>
  <c r="T25" i="22"/>
  <c r="T26" i="22"/>
  <c r="T27" i="22"/>
  <c r="T28" i="22"/>
  <c r="T29" i="22"/>
  <c r="T30" i="22"/>
  <c r="T31" i="22"/>
  <c r="T32" i="22"/>
  <c r="T33" i="22"/>
  <c r="T34" i="22"/>
  <c r="T35" i="22"/>
  <c r="T36" i="22"/>
  <c r="T37" i="22"/>
  <c r="T38" i="22"/>
  <c r="T39" i="22"/>
  <c r="T40" i="22"/>
  <c r="T41" i="22"/>
  <c r="T42" i="22"/>
  <c r="T43" i="22"/>
  <c r="T44" i="22"/>
  <c r="T45" i="22"/>
  <c r="T46" i="22"/>
  <c r="T47" i="22"/>
  <c r="T48" i="22"/>
  <c r="T49" i="22"/>
  <c r="T50" i="22"/>
  <c r="T51" i="22"/>
  <c r="T52" i="22"/>
  <c r="T53" i="22"/>
  <c r="T54" i="22"/>
  <c r="T55" i="22"/>
  <c r="T56" i="22"/>
  <c r="T57" i="22"/>
  <c r="T58" i="22"/>
  <c r="T59" i="22"/>
  <c r="T60" i="22"/>
  <c r="T61" i="22"/>
  <c r="T62" i="22"/>
  <c r="T63" i="22"/>
  <c r="T64" i="22"/>
  <c r="T65" i="22"/>
  <c r="T66" i="22"/>
  <c r="T67" i="22"/>
  <c r="T68" i="22"/>
  <c r="T69" i="22"/>
  <c r="T70" i="22"/>
  <c r="T71" i="22"/>
  <c r="T72" i="22"/>
  <c r="T73" i="22"/>
  <c r="T74" i="22"/>
  <c r="T75" i="22"/>
  <c r="T76" i="22"/>
  <c r="T77" i="22"/>
  <c r="T78" i="22"/>
  <c r="T79" i="22"/>
  <c r="T80" i="22"/>
  <c r="T81" i="22"/>
  <c r="T82" i="22"/>
  <c r="T83" i="22"/>
  <c r="T84" i="22"/>
  <c r="T85" i="22"/>
  <c r="T86" i="22"/>
  <c r="T87" i="22"/>
  <c r="T88" i="22"/>
  <c r="T89" i="22"/>
  <c r="T90" i="22"/>
  <c r="T91" i="22"/>
  <c r="T92" i="22"/>
  <c r="T93" i="22"/>
  <c r="T94" i="22"/>
  <c r="T8" i="22"/>
  <c r="S9" i="22"/>
  <c r="S10" i="22"/>
  <c r="S11" i="22"/>
  <c r="S12" i="22"/>
  <c r="S13" i="22"/>
  <c r="S14" i="22"/>
  <c r="S15" i="22"/>
  <c r="S16" i="22"/>
  <c r="S17" i="22"/>
  <c r="S18" i="22"/>
  <c r="S19" i="22"/>
  <c r="S20" i="22"/>
  <c r="S21" i="22"/>
  <c r="S22" i="22"/>
  <c r="S23" i="22"/>
  <c r="S24" i="22"/>
  <c r="S25" i="22"/>
  <c r="S26" i="22"/>
  <c r="S27" i="22"/>
  <c r="S28" i="22"/>
  <c r="S29" i="22"/>
  <c r="S30" i="22"/>
  <c r="S31" i="22"/>
  <c r="S32" i="22"/>
  <c r="S33" i="22"/>
  <c r="S34" i="22"/>
  <c r="S35" i="22"/>
  <c r="S36" i="22"/>
  <c r="S37" i="22"/>
  <c r="S38" i="22"/>
  <c r="S39" i="22"/>
  <c r="S40" i="22"/>
  <c r="S41" i="22"/>
  <c r="S42" i="22"/>
  <c r="S43" i="22"/>
  <c r="S44" i="22"/>
  <c r="S45" i="22"/>
  <c r="S46" i="22"/>
  <c r="S47" i="22"/>
  <c r="S48" i="22"/>
  <c r="S49" i="22"/>
  <c r="S50" i="22"/>
  <c r="S51" i="22"/>
  <c r="S52" i="22"/>
  <c r="S53" i="22"/>
  <c r="S54" i="22"/>
  <c r="S55" i="22"/>
  <c r="S56" i="22"/>
  <c r="S57" i="22"/>
  <c r="S58" i="22"/>
  <c r="S59" i="22"/>
  <c r="S60" i="22"/>
  <c r="S61" i="22"/>
  <c r="S62" i="22"/>
  <c r="S63" i="22"/>
  <c r="S64" i="22"/>
  <c r="S65" i="22"/>
  <c r="S66" i="22"/>
  <c r="S67" i="22"/>
  <c r="S68" i="22"/>
  <c r="S69" i="22"/>
  <c r="S70" i="22"/>
  <c r="S71" i="22"/>
  <c r="S72" i="22"/>
  <c r="S73" i="22"/>
  <c r="S74" i="22"/>
  <c r="S75" i="22"/>
  <c r="S76" i="22"/>
  <c r="S77" i="22"/>
  <c r="S78" i="22"/>
  <c r="S79" i="22"/>
  <c r="S80" i="22"/>
  <c r="S81" i="22"/>
  <c r="S82" i="22"/>
  <c r="S83" i="22"/>
  <c r="S84" i="22"/>
  <c r="S85" i="22"/>
  <c r="S86" i="22"/>
  <c r="S87" i="22"/>
  <c r="S88" i="22"/>
  <c r="S89" i="22"/>
  <c r="S90" i="22"/>
  <c r="S91" i="22"/>
  <c r="S92" i="22"/>
  <c r="S93" i="22"/>
  <c r="S94" i="22"/>
  <c r="S8" i="22"/>
  <c r="M10" i="22"/>
  <c r="N10" i="22" s="1"/>
  <c r="M11" i="22"/>
  <c r="N11" i="22" s="1"/>
  <c r="M12" i="22"/>
  <c r="N12" i="22" s="1"/>
  <c r="M13" i="22"/>
  <c r="N13" i="22" s="1"/>
  <c r="M14" i="22"/>
  <c r="N14" i="22" s="1"/>
  <c r="M15" i="22"/>
  <c r="N15" i="22" s="1"/>
  <c r="M16" i="22"/>
  <c r="N16" i="22" s="1"/>
  <c r="M17" i="22"/>
  <c r="N17" i="22" s="1"/>
  <c r="M18" i="22"/>
  <c r="N18" i="22" s="1"/>
  <c r="M19" i="22"/>
  <c r="N19" i="22" s="1"/>
  <c r="M20" i="22"/>
  <c r="N20" i="22" s="1"/>
  <c r="M21" i="22"/>
  <c r="N21" i="22" s="1"/>
  <c r="M22" i="22"/>
  <c r="N22" i="22" s="1"/>
  <c r="M23" i="22"/>
  <c r="N23" i="22" s="1"/>
  <c r="M24" i="22"/>
  <c r="N24" i="22" s="1"/>
  <c r="M25" i="22"/>
  <c r="N25" i="22" s="1"/>
  <c r="M26" i="22"/>
  <c r="N26" i="22" s="1"/>
  <c r="M27" i="22"/>
  <c r="N27" i="22" s="1"/>
  <c r="M28" i="22"/>
  <c r="N28" i="22" s="1"/>
  <c r="M29" i="22"/>
  <c r="N29" i="22" s="1"/>
  <c r="M30" i="22"/>
  <c r="N30" i="22" s="1"/>
  <c r="M31" i="22"/>
  <c r="N31" i="22" s="1"/>
  <c r="M32" i="22"/>
  <c r="N32" i="22" s="1"/>
  <c r="M33" i="22"/>
  <c r="N33" i="22" s="1"/>
  <c r="M34" i="22"/>
  <c r="N34" i="22" s="1"/>
  <c r="M35" i="22"/>
  <c r="N35" i="22" s="1"/>
  <c r="M36" i="22"/>
  <c r="N36" i="22" s="1"/>
  <c r="M37" i="22"/>
  <c r="N37" i="22" s="1"/>
  <c r="M38" i="22"/>
  <c r="N38" i="22" s="1"/>
  <c r="M39" i="22"/>
  <c r="N39" i="22" s="1"/>
  <c r="M40" i="22"/>
  <c r="N40" i="22" s="1"/>
  <c r="M41" i="22"/>
  <c r="N41" i="22" s="1"/>
  <c r="M42" i="22"/>
  <c r="N42" i="22" s="1"/>
  <c r="M43" i="22"/>
  <c r="N43" i="22" s="1"/>
  <c r="M44" i="22"/>
  <c r="N44" i="22" s="1"/>
  <c r="M45" i="22"/>
  <c r="N45" i="22" s="1"/>
  <c r="M46" i="22"/>
  <c r="N46" i="22" s="1"/>
  <c r="M47" i="22"/>
  <c r="N47" i="22" s="1"/>
  <c r="M48" i="22"/>
  <c r="N48" i="22" s="1"/>
  <c r="M49" i="22"/>
  <c r="N49" i="22" s="1"/>
  <c r="M50" i="22"/>
  <c r="N50" i="22" s="1"/>
  <c r="M51" i="22"/>
  <c r="N51" i="22" s="1"/>
  <c r="M52" i="22"/>
  <c r="N52" i="22" s="1"/>
  <c r="M53" i="22"/>
  <c r="N53" i="22" s="1"/>
  <c r="M54" i="22"/>
  <c r="N54" i="22" s="1"/>
  <c r="M55" i="22"/>
  <c r="N55" i="22" s="1"/>
  <c r="M56" i="22"/>
  <c r="N56" i="22" s="1"/>
  <c r="M57" i="22"/>
  <c r="N57" i="22" s="1"/>
  <c r="M58" i="22"/>
  <c r="N58" i="22" s="1"/>
  <c r="M59" i="22"/>
  <c r="N59" i="22" s="1"/>
  <c r="M60" i="22"/>
  <c r="N60" i="22" s="1"/>
  <c r="M61" i="22"/>
  <c r="N61" i="22" s="1"/>
  <c r="M62" i="22"/>
  <c r="N62" i="22" s="1"/>
  <c r="M63" i="22"/>
  <c r="N63" i="22" s="1"/>
  <c r="M64" i="22"/>
  <c r="N64" i="22" s="1"/>
  <c r="M65" i="22"/>
  <c r="N65" i="22" s="1"/>
  <c r="M66" i="22"/>
  <c r="N66" i="22" s="1"/>
  <c r="M67" i="22"/>
  <c r="N67" i="22" s="1"/>
  <c r="M68" i="22"/>
  <c r="N68" i="22" s="1"/>
  <c r="M69" i="22"/>
  <c r="N69" i="22" s="1"/>
  <c r="M70" i="22"/>
  <c r="N70" i="22" s="1"/>
  <c r="M71" i="22"/>
  <c r="N71" i="22" s="1"/>
  <c r="M72" i="22"/>
  <c r="N72" i="22" s="1"/>
  <c r="M73" i="22"/>
  <c r="N73" i="22" s="1"/>
  <c r="M74" i="22"/>
  <c r="N74" i="22" s="1"/>
  <c r="M75" i="22"/>
  <c r="N75" i="22" s="1"/>
  <c r="M76" i="22"/>
  <c r="N76" i="22" s="1"/>
  <c r="M77" i="22"/>
  <c r="N77" i="22" s="1"/>
  <c r="M78" i="22"/>
  <c r="N78" i="22" s="1"/>
  <c r="M79" i="22"/>
  <c r="N79" i="22" s="1"/>
  <c r="M80" i="22"/>
  <c r="N80" i="22" s="1"/>
  <c r="M81" i="22"/>
  <c r="N81" i="22" s="1"/>
  <c r="M82" i="22"/>
  <c r="N82" i="22" s="1"/>
  <c r="M83" i="22"/>
  <c r="N83" i="22" s="1"/>
  <c r="M84" i="22"/>
  <c r="N84" i="22" s="1"/>
  <c r="M85" i="22"/>
  <c r="N85" i="22" s="1"/>
  <c r="M86" i="22"/>
  <c r="N86" i="22" s="1"/>
  <c r="M87" i="22"/>
  <c r="N87" i="22" s="1"/>
  <c r="M88" i="22"/>
  <c r="N88" i="22" s="1"/>
  <c r="M89" i="22"/>
  <c r="N89" i="22" s="1"/>
  <c r="M90" i="22"/>
  <c r="N90" i="22" s="1"/>
  <c r="M91" i="22"/>
  <c r="N91" i="22" s="1"/>
  <c r="M92" i="22"/>
  <c r="N92" i="22" s="1"/>
  <c r="M93" i="22"/>
  <c r="N93" i="22" s="1"/>
  <c r="M94" i="22"/>
  <c r="N94" i="22" s="1"/>
  <c r="M9" i="22"/>
  <c r="N9" i="22" s="1"/>
  <c r="M8" i="22"/>
  <c r="N8" i="22" s="1"/>
  <c r="L10" i="22"/>
  <c r="L11" i="22"/>
  <c r="L12" i="22"/>
  <c r="L13" i="22"/>
  <c r="L14" i="22"/>
  <c r="L15" i="22"/>
  <c r="L16" i="22"/>
  <c r="L17" i="22"/>
  <c r="L18" i="22"/>
  <c r="L19" i="22"/>
  <c r="L20" i="22"/>
  <c r="L21" i="22"/>
  <c r="L22" i="22"/>
  <c r="L23" i="22"/>
  <c r="L24" i="22"/>
  <c r="L25" i="22"/>
  <c r="L26" i="22"/>
  <c r="L27" i="22"/>
  <c r="L28" i="22"/>
  <c r="L29" i="22"/>
  <c r="L30" i="22"/>
  <c r="L31" i="22"/>
  <c r="L32" i="22"/>
  <c r="L33" i="22"/>
  <c r="L34" i="22"/>
  <c r="L35" i="22"/>
  <c r="L36" i="22"/>
  <c r="L37" i="22"/>
  <c r="L38" i="22"/>
  <c r="L39" i="22"/>
  <c r="L40" i="22"/>
  <c r="L41" i="22"/>
  <c r="L42" i="22"/>
  <c r="L43" i="22"/>
  <c r="L44" i="22"/>
  <c r="L45" i="22"/>
  <c r="L46" i="22"/>
  <c r="L47" i="22"/>
  <c r="L48" i="22"/>
  <c r="L49" i="22"/>
  <c r="L50" i="22"/>
  <c r="L51" i="22"/>
  <c r="L52" i="22"/>
  <c r="L53" i="22"/>
  <c r="L54" i="22"/>
  <c r="L55" i="22"/>
  <c r="L56" i="22"/>
  <c r="L57" i="22"/>
  <c r="L58" i="22"/>
  <c r="L59" i="22"/>
  <c r="L60" i="22"/>
  <c r="L61" i="22"/>
  <c r="L62" i="22"/>
  <c r="L63" i="22"/>
  <c r="L64" i="22"/>
  <c r="L65" i="22"/>
  <c r="L66" i="22"/>
  <c r="L67" i="22"/>
  <c r="L68" i="22"/>
  <c r="L69" i="22"/>
  <c r="L70" i="22"/>
  <c r="L71" i="22"/>
  <c r="L72" i="22"/>
  <c r="L73" i="22"/>
  <c r="L74" i="22"/>
  <c r="L75" i="22"/>
  <c r="L76" i="22"/>
  <c r="L77" i="22"/>
  <c r="L78" i="22"/>
  <c r="L79" i="22"/>
  <c r="L80" i="22"/>
  <c r="L81" i="22"/>
  <c r="L82" i="22"/>
  <c r="L83" i="22"/>
  <c r="L84" i="22"/>
  <c r="L85" i="22"/>
  <c r="L86" i="22"/>
  <c r="L87" i="22"/>
  <c r="L88" i="22"/>
  <c r="L89" i="22"/>
  <c r="L90" i="22"/>
  <c r="L91" i="22"/>
  <c r="L92" i="22"/>
  <c r="L93" i="22"/>
  <c r="L94" i="22"/>
  <c r="L9" i="22"/>
  <c r="L8" i="22"/>
  <c r="K9" i="22"/>
  <c r="K10" i="22"/>
  <c r="K11" i="22"/>
  <c r="K12" i="22"/>
  <c r="K13" i="22"/>
  <c r="K14" i="22"/>
  <c r="K15" i="22"/>
  <c r="K16" i="22"/>
  <c r="K17" i="22"/>
  <c r="K18" i="22"/>
  <c r="K19" i="22"/>
  <c r="K20" i="22"/>
  <c r="K21" i="22"/>
  <c r="K22" i="22"/>
  <c r="K23" i="22"/>
  <c r="K24" i="22"/>
  <c r="K25" i="22"/>
  <c r="K26" i="22"/>
  <c r="K27" i="22"/>
  <c r="K28" i="22"/>
  <c r="K29" i="22"/>
  <c r="K30" i="22"/>
  <c r="K31" i="22"/>
  <c r="K32" i="22"/>
  <c r="K33" i="22"/>
  <c r="K34" i="22"/>
  <c r="K35" i="22"/>
  <c r="K36" i="22"/>
  <c r="K37" i="22"/>
  <c r="K38" i="22"/>
  <c r="K39" i="22"/>
  <c r="K40" i="22"/>
  <c r="K41" i="22"/>
  <c r="K42" i="22"/>
  <c r="K43" i="22"/>
  <c r="K44" i="22"/>
  <c r="K45" i="22"/>
  <c r="K46" i="22"/>
  <c r="K47" i="22"/>
  <c r="K48" i="22"/>
  <c r="K49" i="22"/>
  <c r="K50" i="22"/>
  <c r="K51" i="22"/>
  <c r="K52" i="22"/>
  <c r="K53" i="22"/>
  <c r="K54" i="22"/>
  <c r="K55" i="22"/>
  <c r="K56" i="22"/>
  <c r="K57" i="22"/>
  <c r="K58" i="22"/>
  <c r="K59" i="22"/>
  <c r="K60" i="22"/>
  <c r="K61" i="22"/>
  <c r="K62" i="22"/>
  <c r="K63" i="22"/>
  <c r="K64" i="22"/>
  <c r="K65" i="22"/>
  <c r="K66" i="22"/>
  <c r="K67" i="22"/>
  <c r="K68" i="22"/>
  <c r="K69" i="22"/>
  <c r="K70" i="22"/>
  <c r="K71" i="22"/>
  <c r="K72" i="22"/>
  <c r="K73" i="22"/>
  <c r="K74" i="22"/>
  <c r="K75" i="22"/>
  <c r="K76" i="22"/>
  <c r="K77" i="22"/>
  <c r="K78" i="22"/>
  <c r="K79" i="22"/>
  <c r="K80" i="22"/>
  <c r="K81" i="22"/>
  <c r="K82" i="22"/>
  <c r="K83" i="22"/>
  <c r="K84" i="22"/>
  <c r="K85" i="22"/>
  <c r="K86" i="22"/>
  <c r="K87" i="22"/>
  <c r="K88" i="22"/>
  <c r="K89" i="22"/>
  <c r="K90" i="22"/>
  <c r="K91" i="22"/>
  <c r="K92" i="22"/>
  <c r="K93" i="22"/>
  <c r="K94" i="22"/>
  <c r="K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8" i="22"/>
  <c r="D9" i="22"/>
  <c r="D10" i="22"/>
  <c r="D11" i="22"/>
  <c r="D12" i="22"/>
  <c r="D13" i="22"/>
  <c r="D14" i="22"/>
  <c r="D15" i="22"/>
  <c r="D16" i="22"/>
  <c r="D17" i="22"/>
  <c r="D18" i="22"/>
  <c r="D19" i="22"/>
  <c r="D20" i="22"/>
  <c r="D21" i="22"/>
  <c r="D22" i="22"/>
  <c r="D23" i="22"/>
  <c r="D24" i="22"/>
  <c r="D25" i="22"/>
  <c r="D26" i="22"/>
  <c r="D27" i="22"/>
  <c r="D28" i="22"/>
  <c r="D29" i="22"/>
  <c r="D30" i="22"/>
  <c r="D31" i="22"/>
  <c r="D32" i="22"/>
  <c r="D33" i="22"/>
  <c r="D34" i="22"/>
  <c r="D35" i="22"/>
  <c r="D36" i="22"/>
  <c r="D37" i="22"/>
  <c r="D38" i="22"/>
  <c r="D39" i="22"/>
  <c r="D40" i="22"/>
  <c r="D41" i="22"/>
  <c r="D42" i="22"/>
  <c r="D43" i="22"/>
  <c r="D44" i="22"/>
  <c r="D45" i="22"/>
  <c r="D46" i="22"/>
  <c r="D47" i="22"/>
  <c r="D48" i="22"/>
  <c r="D49" i="22"/>
  <c r="D50" i="22"/>
  <c r="D51" i="22"/>
  <c r="D52" i="22"/>
  <c r="D53" i="22"/>
  <c r="D54" i="22"/>
  <c r="D55" i="22"/>
  <c r="D56" i="22"/>
  <c r="D57" i="22"/>
  <c r="D58" i="22"/>
  <c r="D59" i="22"/>
  <c r="D60" i="22"/>
  <c r="D61" i="22"/>
  <c r="D62" i="22"/>
  <c r="D63" i="22"/>
  <c r="D64" i="22"/>
  <c r="D65" i="22"/>
  <c r="D66" i="22"/>
  <c r="D67" i="22"/>
  <c r="D68" i="22"/>
  <c r="D69" i="22"/>
  <c r="D70" i="22"/>
  <c r="D71" i="22"/>
  <c r="D72" i="22"/>
  <c r="D73" i="22"/>
  <c r="D74" i="22"/>
  <c r="D75" i="22"/>
  <c r="D76" i="22"/>
  <c r="D77" i="22"/>
  <c r="D78" i="22"/>
  <c r="D79" i="22"/>
  <c r="D80" i="22"/>
  <c r="D81" i="22"/>
  <c r="D82" i="22"/>
  <c r="D83" i="22"/>
  <c r="D84" i="22"/>
  <c r="D85" i="22"/>
  <c r="D86" i="22"/>
  <c r="D87" i="22"/>
  <c r="D88" i="22"/>
  <c r="D89" i="22"/>
  <c r="D90" i="22"/>
  <c r="D91" i="22"/>
  <c r="D92" i="22"/>
  <c r="D93" i="22"/>
  <c r="D94" i="22"/>
  <c r="D8" i="22"/>
  <c r="W11" i="10"/>
  <c r="W12" i="10"/>
  <c r="W13" i="10"/>
  <c r="W14" i="10"/>
  <c r="W15" i="10"/>
  <c r="W17" i="10"/>
  <c r="W18" i="10"/>
  <c r="W19" i="10"/>
  <c r="W20" i="10"/>
  <c r="W21" i="10"/>
  <c r="W22" i="10"/>
  <c r="W23" i="10"/>
  <c r="W24" i="10"/>
  <c r="W25" i="10"/>
  <c r="W26" i="10"/>
  <c r="W27" i="10"/>
  <c r="W28" i="10"/>
  <c r="W29" i="10"/>
  <c r="W30" i="10"/>
  <c r="W31" i="10"/>
  <c r="W32" i="10"/>
  <c r="W33" i="10"/>
  <c r="W34" i="10"/>
  <c r="W35" i="10"/>
  <c r="W36" i="10"/>
  <c r="W37" i="10"/>
  <c r="W39" i="10"/>
  <c r="W40" i="10"/>
  <c r="W41" i="10"/>
  <c r="W42" i="10"/>
  <c r="W44" i="10"/>
  <c r="W45" i="10"/>
  <c r="W46" i="10"/>
  <c r="W47" i="10"/>
  <c r="W48" i="10"/>
  <c r="W65" i="10"/>
  <c r="W66" i="10"/>
  <c r="W50" i="10"/>
  <c r="W51" i="10"/>
  <c r="W52" i="10"/>
  <c r="W53" i="10"/>
  <c r="W49" i="10"/>
  <c r="W54" i="10"/>
  <c r="W55" i="10"/>
  <c r="W56" i="10"/>
  <c r="W57" i="10"/>
  <c r="W58" i="10"/>
  <c r="W59" i="10"/>
  <c r="W60" i="10"/>
  <c r="W61" i="10"/>
  <c r="W62" i="10"/>
  <c r="W63" i="10"/>
  <c r="W9" i="10"/>
  <c r="V11" i="10"/>
  <c r="V12" i="10"/>
  <c r="V13" i="10"/>
  <c r="V14" i="10"/>
  <c r="V15" i="10"/>
  <c r="V17" i="10"/>
  <c r="V18" i="10"/>
  <c r="V19" i="10"/>
  <c r="V20" i="10"/>
  <c r="V21" i="10"/>
  <c r="V22" i="10"/>
  <c r="V23" i="10"/>
  <c r="V24" i="10"/>
  <c r="V25" i="10"/>
  <c r="V26" i="10"/>
  <c r="V27" i="10"/>
  <c r="V28" i="10"/>
  <c r="V29" i="10"/>
  <c r="V30" i="10"/>
  <c r="V31" i="10"/>
  <c r="V32" i="10"/>
  <c r="V33" i="10"/>
  <c r="V34" i="10"/>
  <c r="V35" i="10"/>
  <c r="V36" i="10"/>
  <c r="V37" i="10"/>
  <c r="V39" i="10"/>
  <c r="V40" i="10"/>
  <c r="V41" i="10"/>
  <c r="V42" i="10"/>
  <c r="V44" i="10"/>
  <c r="V45" i="10"/>
  <c r="V46" i="10"/>
  <c r="V47" i="10"/>
  <c r="V48" i="10"/>
  <c r="V65" i="10"/>
  <c r="V66" i="10"/>
  <c r="V50" i="10"/>
  <c r="V51" i="10"/>
  <c r="V52" i="10"/>
  <c r="V53" i="10"/>
  <c r="V49" i="10"/>
  <c r="V54" i="10"/>
  <c r="V55" i="10"/>
  <c r="V56" i="10"/>
  <c r="V57" i="10"/>
  <c r="V58" i="10"/>
  <c r="V59" i="10"/>
  <c r="V60" i="10"/>
  <c r="V61" i="10"/>
  <c r="V62" i="10"/>
  <c r="V63" i="10"/>
  <c r="V9" i="10"/>
  <c r="U11" i="10"/>
  <c r="U12" i="10"/>
  <c r="U13" i="10"/>
  <c r="U14" i="10"/>
  <c r="U15" i="10"/>
  <c r="U17" i="10"/>
  <c r="U18" i="10"/>
  <c r="U19" i="10"/>
  <c r="U20" i="10"/>
  <c r="U21" i="10"/>
  <c r="U22" i="10"/>
  <c r="U23" i="10"/>
  <c r="U24" i="10"/>
  <c r="U25" i="10"/>
  <c r="U26" i="10"/>
  <c r="U27" i="10"/>
  <c r="U28" i="10"/>
  <c r="U29" i="10"/>
  <c r="U30" i="10"/>
  <c r="U31" i="10"/>
  <c r="U32" i="10"/>
  <c r="U33" i="10"/>
  <c r="U34" i="10"/>
  <c r="U35" i="10"/>
  <c r="U36" i="10"/>
  <c r="U37" i="10"/>
  <c r="U39" i="10"/>
  <c r="U40" i="10"/>
  <c r="U41" i="10"/>
  <c r="U42" i="10"/>
  <c r="U44" i="10"/>
  <c r="U45" i="10"/>
  <c r="U46" i="10"/>
  <c r="U47" i="10"/>
  <c r="U48" i="10"/>
  <c r="U65" i="10"/>
  <c r="U66" i="10"/>
  <c r="U50" i="10"/>
  <c r="U51" i="10"/>
  <c r="U52" i="10"/>
  <c r="U53" i="10"/>
  <c r="U49" i="10"/>
  <c r="U54" i="10"/>
  <c r="U55" i="10"/>
  <c r="U56" i="10"/>
  <c r="U57" i="10"/>
  <c r="U58" i="10"/>
  <c r="U59" i="10"/>
  <c r="U60" i="10"/>
  <c r="U61" i="10"/>
  <c r="U62" i="10"/>
  <c r="U63" i="10"/>
  <c r="U9" i="10"/>
  <c r="T11" i="10"/>
  <c r="T12" i="10"/>
  <c r="T13" i="10"/>
  <c r="T14" i="10"/>
  <c r="T15" i="10"/>
  <c r="T17" i="10"/>
  <c r="T18" i="10"/>
  <c r="T19" i="10"/>
  <c r="T20" i="10"/>
  <c r="T21" i="10"/>
  <c r="T22" i="10"/>
  <c r="T23" i="10"/>
  <c r="T24" i="10"/>
  <c r="T25" i="10"/>
  <c r="T26" i="10"/>
  <c r="T27" i="10"/>
  <c r="T28" i="10"/>
  <c r="T29" i="10"/>
  <c r="T30" i="10"/>
  <c r="T31" i="10"/>
  <c r="T32" i="10"/>
  <c r="T33" i="10"/>
  <c r="T34" i="10"/>
  <c r="T35" i="10"/>
  <c r="T36" i="10"/>
  <c r="T37" i="10"/>
  <c r="T39" i="10"/>
  <c r="T40" i="10"/>
  <c r="T41" i="10"/>
  <c r="T42" i="10"/>
  <c r="T44" i="10"/>
  <c r="T45" i="10"/>
  <c r="T46" i="10"/>
  <c r="T47" i="10"/>
  <c r="T48" i="10"/>
  <c r="T65" i="10"/>
  <c r="T66" i="10"/>
  <c r="T50" i="10"/>
  <c r="T51" i="10"/>
  <c r="T52" i="10"/>
  <c r="T53" i="10"/>
  <c r="T49" i="10"/>
  <c r="T54" i="10"/>
  <c r="T55" i="10"/>
  <c r="T56" i="10"/>
  <c r="T57" i="10"/>
  <c r="T58" i="10"/>
  <c r="T59" i="10"/>
  <c r="T60" i="10"/>
  <c r="T61" i="10"/>
  <c r="T62" i="10"/>
  <c r="T63" i="10"/>
  <c r="T9" i="10"/>
  <c r="S11" i="10"/>
  <c r="S12" i="10"/>
  <c r="S13" i="10"/>
  <c r="S14" i="10"/>
  <c r="S15" i="10"/>
  <c r="S17" i="10"/>
  <c r="S18" i="10"/>
  <c r="S19" i="10"/>
  <c r="S20" i="10"/>
  <c r="S21" i="10"/>
  <c r="S22" i="10"/>
  <c r="S23" i="10"/>
  <c r="S24" i="10"/>
  <c r="S25" i="10"/>
  <c r="S26" i="10"/>
  <c r="S27" i="10"/>
  <c r="S28" i="10"/>
  <c r="S29" i="10"/>
  <c r="S30" i="10"/>
  <c r="S31" i="10"/>
  <c r="S32" i="10"/>
  <c r="S33" i="10"/>
  <c r="S34" i="10"/>
  <c r="S35" i="10"/>
  <c r="S36" i="10"/>
  <c r="S37" i="10"/>
  <c r="S39" i="10"/>
  <c r="S40" i="10"/>
  <c r="S41" i="10"/>
  <c r="S42" i="10"/>
  <c r="S44" i="10"/>
  <c r="S45" i="10"/>
  <c r="S46" i="10"/>
  <c r="S47" i="10"/>
  <c r="S48" i="10"/>
  <c r="S65" i="10"/>
  <c r="S66" i="10"/>
  <c r="S50" i="10"/>
  <c r="S51" i="10"/>
  <c r="S52" i="10"/>
  <c r="S53" i="10"/>
  <c r="S49" i="10"/>
  <c r="S54" i="10"/>
  <c r="S55" i="10"/>
  <c r="S56" i="10"/>
  <c r="S57" i="10"/>
  <c r="S58" i="10"/>
  <c r="S59" i="10"/>
  <c r="S60" i="10"/>
  <c r="S61" i="10"/>
  <c r="S62" i="10"/>
  <c r="S63" i="10"/>
  <c r="S9" i="10"/>
  <c r="R11" i="10"/>
  <c r="R12" i="10"/>
  <c r="R13" i="10"/>
  <c r="R14" i="10"/>
  <c r="R15" i="10"/>
  <c r="R17" i="10"/>
  <c r="R18" i="10"/>
  <c r="R19" i="10"/>
  <c r="R20" i="10"/>
  <c r="R21" i="10"/>
  <c r="R22" i="10"/>
  <c r="R23" i="10"/>
  <c r="R24" i="10"/>
  <c r="R25" i="10"/>
  <c r="R26" i="10"/>
  <c r="R27" i="10"/>
  <c r="R28" i="10"/>
  <c r="R29" i="10"/>
  <c r="R30" i="10"/>
  <c r="R31" i="10"/>
  <c r="R32" i="10"/>
  <c r="R33" i="10"/>
  <c r="R34" i="10"/>
  <c r="R35" i="10"/>
  <c r="R36" i="10"/>
  <c r="R37" i="10"/>
  <c r="R39" i="10"/>
  <c r="R40" i="10"/>
  <c r="R41" i="10"/>
  <c r="R42" i="10"/>
  <c r="R44" i="10"/>
  <c r="R45" i="10"/>
  <c r="R46" i="10"/>
  <c r="R47" i="10"/>
  <c r="R48" i="10"/>
  <c r="R65" i="10"/>
  <c r="R66" i="10"/>
  <c r="R50" i="10"/>
  <c r="R51" i="10"/>
  <c r="R52" i="10"/>
  <c r="R53" i="10"/>
  <c r="R49" i="10"/>
  <c r="R54" i="10"/>
  <c r="R55" i="10"/>
  <c r="R56" i="10"/>
  <c r="R57" i="10"/>
  <c r="R58" i="10"/>
  <c r="R59" i="10"/>
  <c r="R60" i="10"/>
  <c r="R61" i="10"/>
  <c r="R62" i="10"/>
  <c r="R63" i="10"/>
  <c r="R9" i="10"/>
  <c r="Q11" i="10"/>
  <c r="Q12" i="10"/>
  <c r="Q13" i="10"/>
  <c r="Q14" i="10"/>
  <c r="Q15" i="10"/>
  <c r="Q17" i="10"/>
  <c r="Q18" i="10"/>
  <c r="Q19" i="10"/>
  <c r="Q20" i="10"/>
  <c r="Q21" i="10"/>
  <c r="Q22" i="10"/>
  <c r="Q23" i="10"/>
  <c r="Q24" i="10"/>
  <c r="Q25" i="10"/>
  <c r="Q26" i="10"/>
  <c r="Q27" i="10"/>
  <c r="Q28" i="10"/>
  <c r="Q29" i="10"/>
  <c r="Q30" i="10"/>
  <c r="Q31" i="10"/>
  <c r="Q32" i="10"/>
  <c r="Q33" i="10"/>
  <c r="Q34" i="10"/>
  <c r="Q35" i="10"/>
  <c r="Q36" i="10"/>
  <c r="Q37" i="10"/>
  <c r="Q39" i="10"/>
  <c r="Q40" i="10"/>
  <c r="Q41" i="10"/>
  <c r="Q42" i="10"/>
  <c r="Q44" i="10"/>
  <c r="Q45" i="10"/>
  <c r="Q46" i="10"/>
  <c r="Q47" i="10"/>
  <c r="Q48" i="10"/>
  <c r="Q65" i="10"/>
  <c r="Q66" i="10"/>
  <c r="Q50" i="10"/>
  <c r="Q51" i="10"/>
  <c r="Q52" i="10"/>
  <c r="Q53" i="10"/>
  <c r="Q49" i="10"/>
  <c r="Q54" i="10"/>
  <c r="Q55" i="10"/>
  <c r="Q56" i="10"/>
  <c r="Q57" i="10"/>
  <c r="Q58" i="10"/>
  <c r="Q59" i="10"/>
  <c r="Q60" i="10"/>
  <c r="Q61" i="10"/>
  <c r="Q62" i="10"/>
  <c r="Q63" i="10"/>
  <c r="Q9" i="10"/>
  <c r="P11" i="10"/>
  <c r="P12" i="10"/>
  <c r="P13" i="10"/>
  <c r="P14" i="10"/>
  <c r="P15" i="10"/>
  <c r="P17" i="10"/>
  <c r="P18" i="10"/>
  <c r="P19" i="10"/>
  <c r="P20" i="10"/>
  <c r="P21" i="10"/>
  <c r="P22" i="10"/>
  <c r="P23" i="10"/>
  <c r="P24" i="10"/>
  <c r="P25" i="10"/>
  <c r="P26" i="10"/>
  <c r="P27" i="10"/>
  <c r="P28" i="10"/>
  <c r="P29" i="10"/>
  <c r="P30" i="10"/>
  <c r="P31" i="10"/>
  <c r="P32" i="10"/>
  <c r="P33" i="10"/>
  <c r="P34" i="10"/>
  <c r="P35" i="10"/>
  <c r="P36" i="10"/>
  <c r="P37" i="10"/>
  <c r="P39" i="10"/>
  <c r="P40" i="10"/>
  <c r="P41" i="10"/>
  <c r="P42" i="10"/>
  <c r="P44" i="10"/>
  <c r="P45" i="10"/>
  <c r="P46" i="10"/>
  <c r="P47" i="10"/>
  <c r="P48" i="10"/>
  <c r="P65" i="10"/>
  <c r="P66" i="10"/>
  <c r="P50" i="10"/>
  <c r="P51" i="10"/>
  <c r="P52" i="10"/>
  <c r="P53" i="10"/>
  <c r="P49" i="10"/>
  <c r="P54" i="10"/>
  <c r="P55" i="10"/>
  <c r="P56" i="10"/>
  <c r="P57" i="10"/>
  <c r="P58" i="10"/>
  <c r="P59" i="10"/>
  <c r="P60" i="10"/>
  <c r="P61" i="10"/>
  <c r="P62" i="10"/>
  <c r="P63" i="10"/>
  <c r="P9" i="10"/>
  <c r="J11" i="10"/>
  <c r="K11" i="10" s="1"/>
  <c r="J12" i="10"/>
  <c r="K12" i="10" s="1"/>
  <c r="J13" i="10"/>
  <c r="K13" i="10" s="1"/>
  <c r="J14" i="10"/>
  <c r="K14" i="10" s="1"/>
  <c r="J15" i="10"/>
  <c r="K15" i="10" s="1"/>
  <c r="J17" i="10"/>
  <c r="K17" i="10" s="1"/>
  <c r="J18" i="10"/>
  <c r="K18" i="10" s="1"/>
  <c r="J19" i="10"/>
  <c r="K19" i="10" s="1"/>
  <c r="J20" i="10"/>
  <c r="K20" i="10" s="1"/>
  <c r="J21" i="10"/>
  <c r="K21" i="10" s="1"/>
  <c r="J22" i="10"/>
  <c r="K22" i="10" s="1"/>
  <c r="J23" i="10"/>
  <c r="K23" i="10" s="1"/>
  <c r="J24" i="10"/>
  <c r="K24" i="10" s="1"/>
  <c r="J25" i="10"/>
  <c r="K25" i="10" s="1"/>
  <c r="J26" i="10"/>
  <c r="K26" i="10" s="1"/>
  <c r="J27" i="10"/>
  <c r="K27" i="10" s="1"/>
  <c r="J28" i="10"/>
  <c r="K28" i="10" s="1"/>
  <c r="J29" i="10"/>
  <c r="K29" i="10" s="1"/>
  <c r="J30" i="10"/>
  <c r="K30" i="10" s="1"/>
  <c r="J31" i="10"/>
  <c r="K31" i="10" s="1"/>
  <c r="J32" i="10"/>
  <c r="K32" i="10" s="1"/>
  <c r="J33" i="10"/>
  <c r="K33" i="10" s="1"/>
  <c r="J34" i="10"/>
  <c r="K34" i="10" s="1"/>
  <c r="J35" i="10"/>
  <c r="K35" i="10" s="1"/>
  <c r="J36" i="10"/>
  <c r="K36" i="10" s="1"/>
  <c r="J37" i="10"/>
  <c r="K37" i="10" s="1"/>
  <c r="J39" i="10"/>
  <c r="K39" i="10" s="1"/>
  <c r="J40" i="10"/>
  <c r="K40" i="10" s="1"/>
  <c r="J41" i="10"/>
  <c r="K41" i="10" s="1"/>
  <c r="J42" i="10"/>
  <c r="K42" i="10" s="1"/>
  <c r="J44" i="10"/>
  <c r="K44" i="10" s="1"/>
  <c r="J45" i="10"/>
  <c r="K45" i="10" s="1"/>
  <c r="J46" i="10"/>
  <c r="K46" i="10" s="1"/>
  <c r="J47" i="10"/>
  <c r="K47" i="10" s="1"/>
  <c r="J48" i="10"/>
  <c r="K48" i="10" s="1"/>
  <c r="J65" i="10"/>
  <c r="K65" i="10" s="1"/>
  <c r="J66" i="10"/>
  <c r="K66" i="10" s="1"/>
  <c r="J50" i="10"/>
  <c r="K50" i="10" s="1"/>
  <c r="J51" i="10"/>
  <c r="K51" i="10" s="1"/>
  <c r="J52" i="10"/>
  <c r="K52" i="10" s="1"/>
  <c r="J53" i="10"/>
  <c r="K53" i="10" s="1"/>
  <c r="J49" i="10"/>
  <c r="K49" i="10" s="1"/>
  <c r="J54" i="10"/>
  <c r="K54" i="10" s="1"/>
  <c r="J55" i="10"/>
  <c r="K55" i="10" s="1"/>
  <c r="J56" i="10"/>
  <c r="K56" i="10" s="1"/>
  <c r="J57" i="10"/>
  <c r="K57" i="10" s="1"/>
  <c r="J58" i="10"/>
  <c r="K58" i="10" s="1"/>
  <c r="J59" i="10"/>
  <c r="K59" i="10" s="1"/>
  <c r="J60" i="10"/>
  <c r="K60" i="10" s="1"/>
  <c r="J61" i="10"/>
  <c r="K61" i="10" s="1"/>
  <c r="J62" i="10"/>
  <c r="K62" i="10" s="1"/>
  <c r="J63" i="10"/>
  <c r="K63" i="10" s="1"/>
  <c r="J9" i="10"/>
  <c r="K9" i="10" s="1"/>
  <c r="I11" i="10"/>
  <c r="I12" i="10"/>
  <c r="I13" i="10"/>
  <c r="I14" i="10"/>
  <c r="I15" i="10"/>
  <c r="I17" i="10"/>
  <c r="I18" i="10"/>
  <c r="I19" i="10"/>
  <c r="I20" i="10"/>
  <c r="I21" i="10"/>
  <c r="I22" i="10"/>
  <c r="I23" i="10"/>
  <c r="I24" i="10"/>
  <c r="I25" i="10"/>
  <c r="I26" i="10"/>
  <c r="I27" i="10"/>
  <c r="I28" i="10"/>
  <c r="I29" i="10"/>
  <c r="I30" i="10"/>
  <c r="I31" i="10"/>
  <c r="I32" i="10"/>
  <c r="I33" i="10"/>
  <c r="I34" i="10"/>
  <c r="I35" i="10"/>
  <c r="I36" i="10"/>
  <c r="I37" i="10"/>
  <c r="I39" i="10"/>
  <c r="I40" i="10"/>
  <c r="I41" i="10"/>
  <c r="I42" i="10"/>
  <c r="I44" i="10"/>
  <c r="I45" i="10"/>
  <c r="I46" i="10"/>
  <c r="I47" i="10"/>
  <c r="I48" i="10"/>
  <c r="I65" i="10"/>
  <c r="I66" i="10"/>
  <c r="I50" i="10"/>
  <c r="I51" i="10"/>
  <c r="I52" i="10"/>
  <c r="I53" i="10"/>
  <c r="I49" i="10"/>
  <c r="I54" i="10"/>
  <c r="I55" i="10"/>
  <c r="I56" i="10"/>
  <c r="I57" i="10"/>
  <c r="I58" i="10"/>
  <c r="I59" i="10"/>
  <c r="I60" i="10"/>
  <c r="I61" i="10"/>
  <c r="I62" i="10"/>
  <c r="I63" i="10"/>
  <c r="I9" i="10"/>
  <c r="H11" i="10"/>
  <c r="H12" i="10"/>
  <c r="H13" i="10"/>
  <c r="H14" i="10"/>
  <c r="H15" i="10"/>
  <c r="H17" i="10"/>
  <c r="H18" i="10"/>
  <c r="H19" i="10"/>
  <c r="H20" i="10"/>
  <c r="H21" i="10"/>
  <c r="H22" i="10"/>
  <c r="H23" i="10"/>
  <c r="H24" i="10"/>
  <c r="H25" i="10"/>
  <c r="H26" i="10"/>
  <c r="H27" i="10"/>
  <c r="H28" i="10"/>
  <c r="H29" i="10"/>
  <c r="H30" i="10"/>
  <c r="H31" i="10"/>
  <c r="H32" i="10"/>
  <c r="H33" i="10"/>
  <c r="H34" i="10"/>
  <c r="H35" i="10"/>
  <c r="H36" i="10"/>
  <c r="H37" i="10"/>
  <c r="H39" i="10"/>
  <c r="H40" i="10"/>
  <c r="H41" i="10"/>
  <c r="H42" i="10"/>
  <c r="H44" i="10"/>
  <c r="H45" i="10"/>
  <c r="H46" i="10"/>
  <c r="H47" i="10"/>
  <c r="H48" i="10"/>
  <c r="H65" i="10"/>
  <c r="H66" i="10"/>
  <c r="H50" i="10"/>
  <c r="H51" i="10"/>
  <c r="H52" i="10"/>
  <c r="H53" i="10"/>
  <c r="H49" i="10"/>
  <c r="H54" i="10"/>
  <c r="H55" i="10"/>
  <c r="H56" i="10"/>
  <c r="H57" i="10"/>
  <c r="H58" i="10"/>
  <c r="H59" i="10"/>
  <c r="H60" i="10"/>
  <c r="H61" i="10"/>
  <c r="H62" i="10"/>
  <c r="H63" i="10"/>
  <c r="H9" i="10"/>
  <c r="G11" i="10"/>
  <c r="G12" i="10"/>
  <c r="G13" i="10"/>
  <c r="G14" i="10"/>
  <c r="G15" i="10"/>
  <c r="G17" i="10"/>
  <c r="G18" i="10"/>
  <c r="G19" i="10"/>
  <c r="G20" i="10"/>
  <c r="G21" i="10"/>
  <c r="G22" i="10"/>
  <c r="G23" i="10"/>
  <c r="G24" i="10"/>
  <c r="G25" i="10"/>
  <c r="G26" i="10"/>
  <c r="G27" i="10"/>
  <c r="G28" i="10"/>
  <c r="G29" i="10"/>
  <c r="G30" i="10"/>
  <c r="G31" i="10"/>
  <c r="G32" i="10"/>
  <c r="G33" i="10"/>
  <c r="G34" i="10"/>
  <c r="G35" i="10"/>
  <c r="G36" i="10"/>
  <c r="G37" i="10"/>
  <c r="G39" i="10"/>
  <c r="G40" i="10"/>
  <c r="G41" i="10"/>
  <c r="G42" i="10"/>
  <c r="G44" i="10"/>
  <c r="G45" i="10"/>
  <c r="G46" i="10"/>
  <c r="G47" i="10"/>
  <c r="G48" i="10"/>
  <c r="G65" i="10"/>
  <c r="G66" i="10"/>
  <c r="G50" i="10"/>
  <c r="G51" i="10"/>
  <c r="G52" i="10"/>
  <c r="G53" i="10"/>
  <c r="G49" i="10"/>
  <c r="G54" i="10"/>
  <c r="G55" i="10"/>
  <c r="G56" i="10"/>
  <c r="G57" i="10"/>
  <c r="G58" i="10"/>
  <c r="G59" i="10"/>
  <c r="G60" i="10"/>
  <c r="G61" i="10"/>
  <c r="G62" i="10"/>
  <c r="G63" i="10"/>
  <c r="G9" i="10"/>
  <c r="E11" i="10"/>
  <c r="E12" i="10"/>
  <c r="E13" i="10"/>
  <c r="E14" i="10"/>
  <c r="E15" i="10"/>
  <c r="E17" i="10"/>
  <c r="E18" i="10"/>
  <c r="E19" i="10"/>
  <c r="E20" i="10"/>
  <c r="E21" i="10"/>
  <c r="E22" i="10"/>
  <c r="E23" i="10"/>
  <c r="E24" i="10"/>
  <c r="E25" i="10"/>
  <c r="E26" i="10"/>
  <c r="E27" i="10"/>
  <c r="E28" i="10"/>
  <c r="E29" i="10"/>
  <c r="E30" i="10"/>
  <c r="E31" i="10"/>
  <c r="E32" i="10"/>
  <c r="E33" i="10"/>
  <c r="E34" i="10"/>
  <c r="E35" i="10"/>
  <c r="E36" i="10"/>
  <c r="E37" i="10"/>
  <c r="E39" i="10"/>
  <c r="E40" i="10"/>
  <c r="E41" i="10"/>
  <c r="E42" i="10"/>
  <c r="E44" i="10"/>
  <c r="E45" i="10"/>
  <c r="E46" i="10"/>
  <c r="E47" i="10"/>
  <c r="E48" i="10"/>
  <c r="E65" i="10"/>
  <c r="E66" i="10"/>
  <c r="E50" i="10"/>
  <c r="E51" i="10"/>
  <c r="E52" i="10"/>
  <c r="E53" i="10"/>
  <c r="E49" i="10"/>
  <c r="E54" i="10"/>
  <c r="E55" i="10"/>
  <c r="E56" i="10"/>
  <c r="E57" i="10"/>
  <c r="E58" i="10"/>
  <c r="E59" i="10"/>
  <c r="E60" i="10"/>
  <c r="E61" i="10"/>
  <c r="E62" i="10"/>
  <c r="E63" i="10"/>
  <c r="E9" i="10"/>
  <c r="V142" i="11"/>
  <c r="V143" i="11"/>
  <c r="V144" i="11"/>
  <c r="V145" i="11"/>
  <c r="V146" i="11"/>
  <c r="V147" i="11"/>
  <c r="V148" i="11"/>
  <c r="V149" i="11"/>
  <c r="V150" i="11"/>
  <c r="V39" i="11"/>
  <c r="V40" i="11"/>
  <c r="V103" i="11"/>
  <c r="V104" i="11"/>
  <c r="V105" i="11"/>
  <c r="V106" i="11"/>
  <c r="V107" i="11"/>
  <c r="V108" i="11"/>
  <c r="V109" i="11"/>
  <c r="V110" i="11"/>
  <c r="V111" i="11"/>
  <c r="V112" i="11"/>
  <c r="V113" i="11"/>
  <c r="V114" i="11"/>
  <c r="V115" i="11"/>
  <c r="V116" i="11"/>
  <c r="V117" i="11"/>
  <c r="V118" i="11"/>
  <c r="V119" i="11"/>
  <c r="V121" i="11"/>
  <c r="V122" i="11"/>
  <c r="V123" i="11"/>
  <c r="V82" i="11"/>
  <c r="V83" i="11"/>
  <c r="V84" i="11"/>
  <c r="V85" i="11"/>
  <c r="V86" i="11"/>
  <c r="V87" i="11"/>
  <c r="V88" i="11"/>
  <c r="V89" i="11"/>
  <c r="V90" i="11"/>
  <c r="V91" i="11"/>
  <c r="V92" i="11"/>
  <c r="V93" i="11"/>
  <c r="V20" i="11"/>
  <c r="V21" i="11"/>
  <c r="V22" i="11"/>
  <c r="V23" i="11"/>
  <c r="V24" i="11"/>
  <c r="V15" i="11"/>
  <c r="V16" i="11"/>
  <c r="V17" i="11"/>
  <c r="V18" i="11"/>
  <c r="V19" i="11"/>
  <c r="V56" i="11"/>
  <c r="V57" i="11"/>
  <c r="V58" i="11"/>
  <c r="V59" i="11"/>
  <c r="V60" i="11"/>
  <c r="V48" i="11"/>
  <c r="V49" i="11"/>
  <c r="V50" i="11"/>
  <c r="V51" i="11"/>
  <c r="V52" i="11"/>
  <c r="V53" i="11"/>
  <c r="V54" i="11"/>
  <c r="V55" i="11"/>
  <c r="V61" i="11"/>
  <c r="V62" i="11"/>
  <c r="V63" i="11"/>
  <c r="V64" i="11"/>
  <c r="V65" i="11"/>
  <c r="V66" i="11"/>
  <c r="V67" i="11"/>
  <c r="V68" i="11"/>
  <c r="V69" i="11"/>
  <c r="V70" i="11"/>
  <c r="V71" i="11"/>
  <c r="V72" i="11"/>
  <c r="V73" i="11"/>
  <c r="V74" i="11"/>
  <c r="V75" i="11"/>
  <c r="V76" i="11"/>
  <c r="V77" i="11"/>
  <c r="V78" i="11"/>
  <c r="V79" i="11"/>
  <c r="V80" i="11"/>
  <c r="V43" i="11"/>
  <c r="V44" i="11"/>
  <c r="V45" i="11"/>
  <c r="V46" i="11"/>
  <c r="V128" i="11"/>
  <c r="V129" i="11"/>
  <c r="V130" i="11"/>
  <c r="V131" i="11"/>
  <c r="V132" i="11"/>
  <c r="V133" i="11"/>
  <c r="V9" i="11"/>
  <c r="V10" i="11"/>
  <c r="V11" i="11"/>
  <c r="V12" i="11"/>
  <c r="V13" i="11"/>
  <c r="V26" i="11"/>
  <c r="V30" i="11"/>
  <c r="V31" i="11"/>
  <c r="V32" i="11"/>
  <c r="V33" i="11"/>
  <c r="V34" i="11"/>
  <c r="V35" i="11"/>
  <c r="V36" i="11"/>
  <c r="V27" i="11"/>
  <c r="V28" i="11"/>
  <c r="V29" i="11"/>
  <c r="V125" i="11"/>
  <c r="V126" i="11"/>
  <c r="V127" i="11"/>
  <c r="V41" i="11"/>
  <c r="V42" i="11"/>
  <c r="V120" i="11"/>
  <c r="V94" i="11"/>
  <c r="V95" i="11"/>
  <c r="V96" i="11"/>
  <c r="V97" i="11"/>
  <c r="V98" i="11"/>
  <c r="V99" i="11"/>
  <c r="V100" i="11"/>
  <c r="V101" i="11"/>
  <c r="V102" i="11"/>
  <c r="V135" i="11"/>
  <c r="V136" i="11"/>
  <c r="V137" i="11"/>
  <c r="V138" i="11"/>
  <c r="V139" i="11"/>
  <c r="V140" i="11"/>
  <c r="V141" i="11"/>
  <c r="V38" i="11"/>
  <c r="U39" i="11"/>
  <c r="U40" i="11"/>
  <c r="U103" i="11"/>
  <c r="U104" i="11"/>
  <c r="U105" i="11"/>
  <c r="U106" i="11"/>
  <c r="U107" i="11"/>
  <c r="U108" i="11"/>
  <c r="U109" i="11"/>
  <c r="U110" i="11"/>
  <c r="U111" i="11"/>
  <c r="U112" i="11"/>
  <c r="U113" i="11"/>
  <c r="U114" i="11"/>
  <c r="U115" i="11"/>
  <c r="U116" i="11"/>
  <c r="U117" i="11"/>
  <c r="U118" i="11"/>
  <c r="U119" i="11"/>
  <c r="U121" i="11"/>
  <c r="U122" i="11"/>
  <c r="U123" i="11"/>
  <c r="U82" i="11"/>
  <c r="U83" i="11"/>
  <c r="U84" i="11"/>
  <c r="U85" i="11"/>
  <c r="U86" i="11"/>
  <c r="U87" i="11"/>
  <c r="U88" i="11"/>
  <c r="U89" i="11"/>
  <c r="U90" i="11"/>
  <c r="U91" i="11"/>
  <c r="U92" i="11"/>
  <c r="U93" i="11"/>
  <c r="U20" i="11"/>
  <c r="U21" i="11"/>
  <c r="U22" i="11"/>
  <c r="U23" i="11"/>
  <c r="U24" i="11"/>
  <c r="U15" i="11"/>
  <c r="U16" i="11"/>
  <c r="U17" i="11"/>
  <c r="U18" i="11"/>
  <c r="U19" i="11"/>
  <c r="U56" i="11"/>
  <c r="U57" i="11"/>
  <c r="U58" i="11"/>
  <c r="U59" i="11"/>
  <c r="U60" i="11"/>
  <c r="U48" i="11"/>
  <c r="U49" i="11"/>
  <c r="U50" i="11"/>
  <c r="U51" i="11"/>
  <c r="U52" i="11"/>
  <c r="U53" i="11"/>
  <c r="U54" i="11"/>
  <c r="U55" i="11"/>
  <c r="U61" i="11"/>
  <c r="U62" i="11"/>
  <c r="U63" i="11"/>
  <c r="U64" i="11"/>
  <c r="U65" i="11"/>
  <c r="U66" i="11"/>
  <c r="U67" i="11"/>
  <c r="U68" i="11"/>
  <c r="U69" i="11"/>
  <c r="U70" i="11"/>
  <c r="U71" i="11"/>
  <c r="U72" i="11"/>
  <c r="U73" i="11"/>
  <c r="U74" i="11"/>
  <c r="U75" i="11"/>
  <c r="U76" i="11"/>
  <c r="U77" i="11"/>
  <c r="U78" i="11"/>
  <c r="U79" i="11"/>
  <c r="U80" i="11"/>
  <c r="U43" i="11"/>
  <c r="U44" i="11"/>
  <c r="U45" i="11"/>
  <c r="U46" i="11"/>
  <c r="U128" i="11"/>
  <c r="U129" i="11"/>
  <c r="U130" i="11"/>
  <c r="U131" i="11"/>
  <c r="U132" i="11"/>
  <c r="U133" i="11"/>
  <c r="U9" i="11"/>
  <c r="U10" i="11"/>
  <c r="U11" i="11"/>
  <c r="U12" i="11"/>
  <c r="U13" i="11"/>
  <c r="U26" i="11"/>
  <c r="U30" i="11"/>
  <c r="U31" i="11"/>
  <c r="U32" i="11"/>
  <c r="U33" i="11"/>
  <c r="U34" i="11"/>
  <c r="U35" i="11"/>
  <c r="U36" i="11"/>
  <c r="U27" i="11"/>
  <c r="U28" i="11"/>
  <c r="U29" i="11"/>
  <c r="U125" i="11"/>
  <c r="U126" i="11"/>
  <c r="U127" i="11"/>
  <c r="U41" i="11"/>
  <c r="U42" i="11"/>
  <c r="U120" i="11"/>
  <c r="U94" i="11"/>
  <c r="U95" i="11"/>
  <c r="U96" i="11"/>
  <c r="U97" i="11"/>
  <c r="U98" i="11"/>
  <c r="U99" i="11"/>
  <c r="U100" i="11"/>
  <c r="U101" i="11"/>
  <c r="U102" i="11"/>
  <c r="U135" i="11"/>
  <c r="U136" i="11"/>
  <c r="U137" i="11"/>
  <c r="U138" i="11"/>
  <c r="U139" i="11"/>
  <c r="U140" i="11"/>
  <c r="U141" i="11"/>
  <c r="U142" i="11"/>
  <c r="U143" i="11"/>
  <c r="U144" i="11"/>
  <c r="U145" i="11"/>
  <c r="U146" i="11"/>
  <c r="U147" i="11"/>
  <c r="U148" i="11"/>
  <c r="U149" i="11"/>
  <c r="U150" i="11"/>
  <c r="U38" i="11"/>
  <c r="T39" i="11"/>
  <c r="T40" i="11"/>
  <c r="T103" i="11"/>
  <c r="T104" i="11"/>
  <c r="T105" i="11"/>
  <c r="T106" i="11"/>
  <c r="T107" i="11"/>
  <c r="T108" i="11"/>
  <c r="T109" i="11"/>
  <c r="T110" i="11"/>
  <c r="T111" i="11"/>
  <c r="T112" i="11"/>
  <c r="T113" i="11"/>
  <c r="T114" i="11"/>
  <c r="T115" i="11"/>
  <c r="T116" i="11"/>
  <c r="T117" i="11"/>
  <c r="T118" i="11"/>
  <c r="T119" i="11"/>
  <c r="T121" i="11"/>
  <c r="T122" i="11"/>
  <c r="T123" i="11"/>
  <c r="T82" i="11"/>
  <c r="T83" i="11"/>
  <c r="T84" i="11"/>
  <c r="T85" i="11"/>
  <c r="T86" i="11"/>
  <c r="T87" i="11"/>
  <c r="T88" i="11"/>
  <c r="T89" i="11"/>
  <c r="T90" i="11"/>
  <c r="T91" i="11"/>
  <c r="T92" i="11"/>
  <c r="T93" i="11"/>
  <c r="T20" i="11"/>
  <c r="T21" i="11"/>
  <c r="T22" i="11"/>
  <c r="T23" i="11"/>
  <c r="T24" i="11"/>
  <c r="T15" i="11"/>
  <c r="T16" i="11"/>
  <c r="T17" i="11"/>
  <c r="T18" i="11"/>
  <c r="T19" i="11"/>
  <c r="T56" i="11"/>
  <c r="T57" i="11"/>
  <c r="T58" i="11"/>
  <c r="T59" i="11"/>
  <c r="T60" i="11"/>
  <c r="T48" i="11"/>
  <c r="T49" i="11"/>
  <c r="T50" i="11"/>
  <c r="T51" i="11"/>
  <c r="T52" i="11"/>
  <c r="T53" i="11"/>
  <c r="T54" i="11"/>
  <c r="T55" i="11"/>
  <c r="T61" i="11"/>
  <c r="T62" i="11"/>
  <c r="T63" i="11"/>
  <c r="T64" i="11"/>
  <c r="T65" i="11"/>
  <c r="T66" i="11"/>
  <c r="T67" i="11"/>
  <c r="T68" i="11"/>
  <c r="T69" i="11"/>
  <c r="T70" i="11"/>
  <c r="T71" i="11"/>
  <c r="T72" i="11"/>
  <c r="T73" i="11"/>
  <c r="T74" i="11"/>
  <c r="T75" i="11"/>
  <c r="T76" i="11"/>
  <c r="T77" i="11"/>
  <c r="T78" i="11"/>
  <c r="T79" i="11"/>
  <c r="T80" i="11"/>
  <c r="T43" i="11"/>
  <c r="T44" i="11"/>
  <c r="T45" i="11"/>
  <c r="T46" i="11"/>
  <c r="T128" i="11"/>
  <c r="T129" i="11"/>
  <c r="T130" i="11"/>
  <c r="T131" i="11"/>
  <c r="T132" i="11"/>
  <c r="T133" i="11"/>
  <c r="T9" i="11"/>
  <c r="T10" i="11"/>
  <c r="T11" i="11"/>
  <c r="T12" i="11"/>
  <c r="T13" i="11"/>
  <c r="T26" i="11"/>
  <c r="T30" i="11"/>
  <c r="T31" i="11"/>
  <c r="T32" i="11"/>
  <c r="T33" i="11"/>
  <c r="T34" i="11"/>
  <c r="T35" i="11"/>
  <c r="T36" i="11"/>
  <c r="T27" i="11"/>
  <c r="T28" i="11"/>
  <c r="T29" i="11"/>
  <c r="T125" i="11"/>
  <c r="T126" i="11"/>
  <c r="T127" i="11"/>
  <c r="T41" i="11"/>
  <c r="T42" i="11"/>
  <c r="T120" i="11"/>
  <c r="T94" i="11"/>
  <c r="T95" i="11"/>
  <c r="T96" i="11"/>
  <c r="T97" i="11"/>
  <c r="T98" i="11"/>
  <c r="T99" i="11"/>
  <c r="T100" i="11"/>
  <c r="T101" i="11"/>
  <c r="T102" i="11"/>
  <c r="T135" i="11"/>
  <c r="T136" i="11"/>
  <c r="T137" i="11"/>
  <c r="T138" i="11"/>
  <c r="T139" i="11"/>
  <c r="T140" i="11"/>
  <c r="T141" i="11"/>
  <c r="T142" i="11"/>
  <c r="T143" i="11"/>
  <c r="T144" i="11"/>
  <c r="T145" i="11"/>
  <c r="T146" i="11"/>
  <c r="T147" i="11"/>
  <c r="T148" i="11"/>
  <c r="T149" i="11"/>
  <c r="T150" i="11"/>
  <c r="T38" i="11"/>
  <c r="S39" i="11"/>
  <c r="S40" i="11"/>
  <c r="S103" i="11"/>
  <c r="S104" i="11"/>
  <c r="S105" i="11"/>
  <c r="S106" i="11"/>
  <c r="S107" i="11"/>
  <c r="S108" i="11"/>
  <c r="S109" i="11"/>
  <c r="S110" i="11"/>
  <c r="S111" i="11"/>
  <c r="S112" i="11"/>
  <c r="S113" i="11"/>
  <c r="S114" i="11"/>
  <c r="S115" i="11"/>
  <c r="S116" i="11"/>
  <c r="S117" i="11"/>
  <c r="S118" i="11"/>
  <c r="S119" i="11"/>
  <c r="S121" i="11"/>
  <c r="S122" i="11"/>
  <c r="S123" i="11"/>
  <c r="S82" i="11"/>
  <c r="S83" i="11"/>
  <c r="S84" i="11"/>
  <c r="S85" i="11"/>
  <c r="S86" i="11"/>
  <c r="S87" i="11"/>
  <c r="S88" i="11"/>
  <c r="S89" i="11"/>
  <c r="S90" i="11"/>
  <c r="S91" i="11"/>
  <c r="S92" i="11"/>
  <c r="S93" i="11"/>
  <c r="S20" i="11"/>
  <c r="S21" i="11"/>
  <c r="S22" i="11"/>
  <c r="S23" i="11"/>
  <c r="S24" i="11"/>
  <c r="S15" i="11"/>
  <c r="S16" i="11"/>
  <c r="S17" i="11"/>
  <c r="S18" i="11"/>
  <c r="S19" i="11"/>
  <c r="S56" i="11"/>
  <c r="S57" i="11"/>
  <c r="S58" i="11"/>
  <c r="S59" i="11"/>
  <c r="S60" i="11"/>
  <c r="S48" i="11"/>
  <c r="S49" i="11"/>
  <c r="S50" i="11"/>
  <c r="S51" i="11"/>
  <c r="S52" i="11"/>
  <c r="S53" i="11"/>
  <c r="S54" i="11"/>
  <c r="S55" i="11"/>
  <c r="S61" i="11"/>
  <c r="S62" i="11"/>
  <c r="S63" i="11"/>
  <c r="S64" i="11"/>
  <c r="S65" i="11"/>
  <c r="S66" i="11"/>
  <c r="S67" i="11"/>
  <c r="S68" i="11"/>
  <c r="S69" i="11"/>
  <c r="S70" i="11"/>
  <c r="S71" i="11"/>
  <c r="S72" i="11"/>
  <c r="S73" i="11"/>
  <c r="S74" i="11"/>
  <c r="S75" i="11"/>
  <c r="S76" i="11"/>
  <c r="S77" i="11"/>
  <c r="S78" i="11"/>
  <c r="S79" i="11"/>
  <c r="S80" i="11"/>
  <c r="S43" i="11"/>
  <c r="S44" i="11"/>
  <c r="S45" i="11"/>
  <c r="S46" i="11"/>
  <c r="S128" i="11"/>
  <c r="S129" i="11"/>
  <c r="S130" i="11"/>
  <c r="S131" i="11"/>
  <c r="S132" i="11"/>
  <c r="S133" i="11"/>
  <c r="S9" i="11"/>
  <c r="S10" i="11"/>
  <c r="S11" i="11"/>
  <c r="S12" i="11"/>
  <c r="S13" i="11"/>
  <c r="S26" i="11"/>
  <c r="S30" i="11"/>
  <c r="S31" i="11"/>
  <c r="S32" i="11"/>
  <c r="S33" i="11"/>
  <c r="S34" i="11"/>
  <c r="S35" i="11"/>
  <c r="S36" i="11"/>
  <c r="S27" i="11"/>
  <c r="S28" i="11"/>
  <c r="S29" i="11"/>
  <c r="S125" i="11"/>
  <c r="S126" i="11"/>
  <c r="S127" i="11"/>
  <c r="S41" i="11"/>
  <c r="S42" i="11"/>
  <c r="S120" i="11"/>
  <c r="S94" i="11"/>
  <c r="S95" i="11"/>
  <c r="S96" i="11"/>
  <c r="S97" i="11"/>
  <c r="S98" i="11"/>
  <c r="S99" i="11"/>
  <c r="S100" i="11"/>
  <c r="S101" i="11"/>
  <c r="S102" i="11"/>
  <c r="S135" i="11"/>
  <c r="S136" i="11"/>
  <c r="S137" i="11"/>
  <c r="S138" i="11"/>
  <c r="S139" i="11"/>
  <c r="S140" i="11"/>
  <c r="S141" i="11"/>
  <c r="S142" i="11"/>
  <c r="S143" i="11"/>
  <c r="S144" i="11"/>
  <c r="S145" i="11"/>
  <c r="S146" i="11"/>
  <c r="S147" i="11"/>
  <c r="S148" i="11"/>
  <c r="S149" i="11"/>
  <c r="S150" i="11"/>
  <c r="S38" i="11"/>
  <c r="R39" i="11"/>
  <c r="R40" i="11"/>
  <c r="R103" i="11"/>
  <c r="R104" i="11"/>
  <c r="R105" i="11"/>
  <c r="R106" i="11"/>
  <c r="R107" i="11"/>
  <c r="R108" i="11"/>
  <c r="R109" i="11"/>
  <c r="R110" i="11"/>
  <c r="R111" i="11"/>
  <c r="R112" i="11"/>
  <c r="R113" i="11"/>
  <c r="R114" i="11"/>
  <c r="R115" i="11"/>
  <c r="R116" i="11"/>
  <c r="R117" i="11"/>
  <c r="R118" i="11"/>
  <c r="R119" i="11"/>
  <c r="R121" i="11"/>
  <c r="R122" i="11"/>
  <c r="R123" i="11"/>
  <c r="R82" i="11"/>
  <c r="R83" i="11"/>
  <c r="R84" i="11"/>
  <c r="R85" i="11"/>
  <c r="R86" i="11"/>
  <c r="R87" i="11"/>
  <c r="R88" i="11"/>
  <c r="R89" i="11"/>
  <c r="R90" i="11"/>
  <c r="R91" i="11"/>
  <c r="R92" i="11"/>
  <c r="R93" i="11"/>
  <c r="R20" i="11"/>
  <c r="R21" i="11"/>
  <c r="R22" i="11"/>
  <c r="R23" i="11"/>
  <c r="R24" i="11"/>
  <c r="R15" i="11"/>
  <c r="R16" i="11"/>
  <c r="R17" i="11"/>
  <c r="R18" i="11"/>
  <c r="R19" i="11"/>
  <c r="R56" i="11"/>
  <c r="R57" i="11"/>
  <c r="R58" i="11"/>
  <c r="R59" i="11"/>
  <c r="R60" i="11"/>
  <c r="R48" i="11"/>
  <c r="R49" i="11"/>
  <c r="R50" i="11"/>
  <c r="R51" i="11"/>
  <c r="R52" i="11"/>
  <c r="R53" i="11"/>
  <c r="R54" i="11"/>
  <c r="R55" i="11"/>
  <c r="R61" i="11"/>
  <c r="R62" i="11"/>
  <c r="R63" i="11"/>
  <c r="R64" i="11"/>
  <c r="R65" i="11"/>
  <c r="R66" i="11"/>
  <c r="R67" i="11"/>
  <c r="R68" i="11"/>
  <c r="R69" i="11"/>
  <c r="R70" i="11"/>
  <c r="R71" i="11"/>
  <c r="R72" i="11"/>
  <c r="R73" i="11"/>
  <c r="R74" i="11"/>
  <c r="R75" i="11"/>
  <c r="R76" i="11"/>
  <c r="R77" i="11"/>
  <c r="R78" i="11"/>
  <c r="R79" i="11"/>
  <c r="R80" i="11"/>
  <c r="R43" i="11"/>
  <c r="R44" i="11"/>
  <c r="R45" i="11"/>
  <c r="R46" i="11"/>
  <c r="R128" i="11"/>
  <c r="R129" i="11"/>
  <c r="R130" i="11"/>
  <c r="R131" i="11"/>
  <c r="R132" i="11"/>
  <c r="R133" i="11"/>
  <c r="R9" i="11"/>
  <c r="R10" i="11"/>
  <c r="R11" i="11"/>
  <c r="R12" i="11"/>
  <c r="R13" i="11"/>
  <c r="R26" i="11"/>
  <c r="R30" i="11"/>
  <c r="R31" i="11"/>
  <c r="R32" i="11"/>
  <c r="R33" i="11"/>
  <c r="R34" i="11"/>
  <c r="R35" i="11"/>
  <c r="R36" i="11"/>
  <c r="R27" i="11"/>
  <c r="R28" i="11"/>
  <c r="R29" i="11"/>
  <c r="R125" i="11"/>
  <c r="R126" i="11"/>
  <c r="R127" i="11"/>
  <c r="R41" i="11"/>
  <c r="R42" i="11"/>
  <c r="R120" i="11"/>
  <c r="R94" i="11"/>
  <c r="R95" i="11"/>
  <c r="R96" i="11"/>
  <c r="R97" i="11"/>
  <c r="R98" i="11"/>
  <c r="R99" i="11"/>
  <c r="R100" i="11"/>
  <c r="R101" i="11"/>
  <c r="R102" i="11"/>
  <c r="R135" i="11"/>
  <c r="R136" i="11"/>
  <c r="R137" i="11"/>
  <c r="R138" i="11"/>
  <c r="R139" i="11"/>
  <c r="R140" i="11"/>
  <c r="R141" i="11"/>
  <c r="R142" i="11"/>
  <c r="R143" i="11"/>
  <c r="R144" i="11"/>
  <c r="R145" i="11"/>
  <c r="R146" i="11"/>
  <c r="R147" i="11"/>
  <c r="R148" i="11"/>
  <c r="R149" i="11"/>
  <c r="R150" i="11"/>
  <c r="R38" i="11"/>
  <c r="Q39" i="11"/>
  <c r="Q40" i="11"/>
  <c r="Q103" i="11"/>
  <c r="Q104" i="11"/>
  <c r="Q105" i="11"/>
  <c r="Q106" i="11"/>
  <c r="Q107" i="11"/>
  <c r="Q108" i="11"/>
  <c r="Q109" i="11"/>
  <c r="Q110" i="11"/>
  <c r="Q111" i="11"/>
  <c r="Q112" i="11"/>
  <c r="Q113" i="11"/>
  <c r="Q114" i="11"/>
  <c r="Q115" i="11"/>
  <c r="Q116" i="11"/>
  <c r="Q117" i="11"/>
  <c r="Q118" i="11"/>
  <c r="Q119" i="11"/>
  <c r="Q121" i="11"/>
  <c r="Q122" i="11"/>
  <c r="Q123" i="11"/>
  <c r="Q82" i="11"/>
  <c r="Q83" i="11"/>
  <c r="Q84" i="11"/>
  <c r="Q85" i="11"/>
  <c r="Q86" i="11"/>
  <c r="Q87" i="11"/>
  <c r="Q88" i="11"/>
  <c r="Q89" i="11"/>
  <c r="Q90" i="11"/>
  <c r="Q91" i="11"/>
  <c r="Q92" i="11"/>
  <c r="Q93" i="11"/>
  <c r="Q20" i="11"/>
  <c r="Q21" i="11"/>
  <c r="Q22" i="11"/>
  <c r="Q23" i="11"/>
  <c r="Q24" i="11"/>
  <c r="Q15" i="11"/>
  <c r="Q16" i="11"/>
  <c r="Q17" i="11"/>
  <c r="Q18" i="11"/>
  <c r="Q19" i="11"/>
  <c r="Q56" i="11"/>
  <c r="Q57" i="11"/>
  <c r="Q58" i="11"/>
  <c r="Q59" i="11"/>
  <c r="Q60" i="11"/>
  <c r="Q48" i="11"/>
  <c r="Q49" i="11"/>
  <c r="Q50" i="11"/>
  <c r="Q51" i="11"/>
  <c r="Q52" i="11"/>
  <c r="Q53" i="11"/>
  <c r="Q54" i="11"/>
  <c r="Q55" i="11"/>
  <c r="Q61" i="11"/>
  <c r="Q62" i="11"/>
  <c r="Q63" i="11"/>
  <c r="Q64" i="11"/>
  <c r="Q65" i="11"/>
  <c r="Q66" i="11"/>
  <c r="Q67" i="11"/>
  <c r="Q68" i="11"/>
  <c r="Q69" i="11"/>
  <c r="Q70" i="11"/>
  <c r="Q71" i="11"/>
  <c r="Q72" i="11"/>
  <c r="Q73" i="11"/>
  <c r="Q74" i="11"/>
  <c r="Q75" i="11"/>
  <c r="Q76" i="11"/>
  <c r="Q77" i="11"/>
  <c r="Q78" i="11"/>
  <c r="Q79" i="11"/>
  <c r="Q80" i="11"/>
  <c r="Q43" i="11"/>
  <c r="Q44" i="11"/>
  <c r="Q45" i="11"/>
  <c r="Q46" i="11"/>
  <c r="Q128" i="11"/>
  <c r="Q129" i="11"/>
  <c r="Q130" i="11"/>
  <c r="Q131" i="11"/>
  <c r="Q132" i="11"/>
  <c r="Q133" i="11"/>
  <c r="Q9" i="11"/>
  <c r="Q10" i="11"/>
  <c r="Q11" i="11"/>
  <c r="Q12" i="11"/>
  <c r="Q13" i="11"/>
  <c r="Q26" i="11"/>
  <c r="Q30" i="11"/>
  <c r="Q31" i="11"/>
  <c r="Q32" i="11"/>
  <c r="Q33" i="11"/>
  <c r="Q34" i="11"/>
  <c r="Q35" i="11"/>
  <c r="Q36" i="11"/>
  <c r="Q27" i="11"/>
  <c r="Q28" i="11"/>
  <c r="Q29" i="11"/>
  <c r="Q125" i="11"/>
  <c r="Q126" i="11"/>
  <c r="Q127" i="11"/>
  <c r="Q41" i="11"/>
  <c r="Q42" i="11"/>
  <c r="Q120" i="11"/>
  <c r="Q94" i="11"/>
  <c r="Q95" i="11"/>
  <c r="Q96" i="11"/>
  <c r="Q97" i="11"/>
  <c r="Q98" i="11"/>
  <c r="Q99" i="11"/>
  <c r="Q100" i="11"/>
  <c r="Q101" i="11"/>
  <c r="Q102" i="11"/>
  <c r="Q135" i="11"/>
  <c r="Q136" i="11"/>
  <c r="Q137" i="11"/>
  <c r="Q138" i="11"/>
  <c r="Q139" i="11"/>
  <c r="Q140" i="11"/>
  <c r="Q141" i="11"/>
  <c r="Q142" i="11"/>
  <c r="Q143" i="11"/>
  <c r="Q144" i="11"/>
  <c r="Q145" i="11"/>
  <c r="Q146" i="11"/>
  <c r="Q147" i="11"/>
  <c r="Q148" i="11"/>
  <c r="Q149" i="11"/>
  <c r="Q150" i="11"/>
  <c r="Q38" i="11"/>
  <c r="P39" i="11"/>
  <c r="P40" i="11"/>
  <c r="P103" i="11"/>
  <c r="P104" i="11"/>
  <c r="P105" i="11"/>
  <c r="P106" i="11"/>
  <c r="P107" i="11"/>
  <c r="P108" i="11"/>
  <c r="P109" i="11"/>
  <c r="P110" i="11"/>
  <c r="P111" i="11"/>
  <c r="P112" i="11"/>
  <c r="P113" i="11"/>
  <c r="P114" i="11"/>
  <c r="P115" i="11"/>
  <c r="P116" i="11"/>
  <c r="P117" i="11"/>
  <c r="P118" i="11"/>
  <c r="P119" i="11"/>
  <c r="P121" i="11"/>
  <c r="P122" i="11"/>
  <c r="P123" i="11"/>
  <c r="P82" i="11"/>
  <c r="P83" i="11"/>
  <c r="P84" i="11"/>
  <c r="P85" i="11"/>
  <c r="P86" i="11"/>
  <c r="P87" i="11"/>
  <c r="P88" i="11"/>
  <c r="P89" i="11"/>
  <c r="P90" i="11"/>
  <c r="P91" i="11"/>
  <c r="P92" i="11"/>
  <c r="P93" i="11"/>
  <c r="P20" i="11"/>
  <c r="P21" i="11"/>
  <c r="P22" i="11"/>
  <c r="P23" i="11"/>
  <c r="P24" i="11"/>
  <c r="P15" i="11"/>
  <c r="P16" i="11"/>
  <c r="P17" i="11"/>
  <c r="P18" i="11"/>
  <c r="P19" i="11"/>
  <c r="P56" i="11"/>
  <c r="P57" i="11"/>
  <c r="P58" i="11"/>
  <c r="P59" i="11"/>
  <c r="P60" i="11"/>
  <c r="P48" i="11"/>
  <c r="P49" i="11"/>
  <c r="P50" i="11"/>
  <c r="P51" i="11"/>
  <c r="P52" i="11"/>
  <c r="P53" i="11"/>
  <c r="P54" i="11"/>
  <c r="P55" i="11"/>
  <c r="P61" i="11"/>
  <c r="P62" i="11"/>
  <c r="P63" i="11"/>
  <c r="P64" i="11"/>
  <c r="P65" i="11"/>
  <c r="P66" i="11"/>
  <c r="P67" i="11"/>
  <c r="P68" i="11"/>
  <c r="P69" i="11"/>
  <c r="P70" i="11"/>
  <c r="P71" i="11"/>
  <c r="P72" i="11"/>
  <c r="P73" i="11"/>
  <c r="P74" i="11"/>
  <c r="P75" i="11"/>
  <c r="P76" i="11"/>
  <c r="P77" i="11"/>
  <c r="P78" i="11"/>
  <c r="P79" i="11"/>
  <c r="P80" i="11"/>
  <c r="P43" i="11"/>
  <c r="P44" i="11"/>
  <c r="P45" i="11"/>
  <c r="P46" i="11"/>
  <c r="P128" i="11"/>
  <c r="P129" i="11"/>
  <c r="P130" i="11"/>
  <c r="P131" i="11"/>
  <c r="P132" i="11"/>
  <c r="P133" i="11"/>
  <c r="P9" i="11"/>
  <c r="P10" i="11"/>
  <c r="P11" i="11"/>
  <c r="P12" i="11"/>
  <c r="P13" i="11"/>
  <c r="P26" i="11"/>
  <c r="P30" i="11"/>
  <c r="P31" i="11"/>
  <c r="P32" i="11"/>
  <c r="P33" i="11"/>
  <c r="P34" i="11"/>
  <c r="P35" i="11"/>
  <c r="P36" i="11"/>
  <c r="P27" i="11"/>
  <c r="P28" i="11"/>
  <c r="P29" i="11"/>
  <c r="P125" i="11"/>
  <c r="P126" i="11"/>
  <c r="P127" i="11"/>
  <c r="P41" i="11"/>
  <c r="P42" i="11"/>
  <c r="P120" i="11"/>
  <c r="P94" i="11"/>
  <c r="P95" i="11"/>
  <c r="P96" i="11"/>
  <c r="P97" i="11"/>
  <c r="P98" i="11"/>
  <c r="P99" i="11"/>
  <c r="P100" i="11"/>
  <c r="P101" i="11"/>
  <c r="P102" i="11"/>
  <c r="P135" i="11"/>
  <c r="P136" i="11"/>
  <c r="P137" i="11"/>
  <c r="P138" i="11"/>
  <c r="P139" i="11"/>
  <c r="P140" i="11"/>
  <c r="P141" i="11"/>
  <c r="P142" i="11"/>
  <c r="P143" i="11"/>
  <c r="P144" i="11"/>
  <c r="P145" i="11"/>
  <c r="P146" i="11"/>
  <c r="P147" i="11"/>
  <c r="P148" i="11"/>
  <c r="P149" i="11"/>
  <c r="P150" i="11"/>
  <c r="P38" i="11"/>
  <c r="O39" i="11"/>
  <c r="O40" i="11"/>
  <c r="O103" i="11"/>
  <c r="O104" i="11"/>
  <c r="O105" i="11"/>
  <c r="O106" i="11"/>
  <c r="O107" i="11"/>
  <c r="O108" i="11"/>
  <c r="O109" i="11"/>
  <c r="O110" i="11"/>
  <c r="O111" i="11"/>
  <c r="O112" i="11"/>
  <c r="O113" i="11"/>
  <c r="O114" i="11"/>
  <c r="O115" i="11"/>
  <c r="O116" i="11"/>
  <c r="O117" i="11"/>
  <c r="O118" i="11"/>
  <c r="O119" i="11"/>
  <c r="O121" i="11"/>
  <c r="O122" i="11"/>
  <c r="O123" i="11"/>
  <c r="O82" i="11"/>
  <c r="O83" i="11"/>
  <c r="O84" i="11"/>
  <c r="O85" i="11"/>
  <c r="O86" i="11"/>
  <c r="O87" i="11"/>
  <c r="O88" i="11"/>
  <c r="O89" i="11"/>
  <c r="O90" i="11"/>
  <c r="O91" i="11"/>
  <c r="O92" i="11"/>
  <c r="O93" i="11"/>
  <c r="O20" i="11"/>
  <c r="O21" i="11"/>
  <c r="O22" i="11"/>
  <c r="O23" i="11"/>
  <c r="O24" i="11"/>
  <c r="O15" i="11"/>
  <c r="O16" i="11"/>
  <c r="O17" i="11"/>
  <c r="O18" i="11"/>
  <c r="O19" i="11"/>
  <c r="O56" i="11"/>
  <c r="O57" i="11"/>
  <c r="O58" i="11"/>
  <c r="O59" i="11"/>
  <c r="O60" i="11"/>
  <c r="O48" i="11"/>
  <c r="O49" i="11"/>
  <c r="O50" i="11"/>
  <c r="O51" i="11"/>
  <c r="O52" i="11"/>
  <c r="O53" i="11"/>
  <c r="O54" i="11"/>
  <c r="O55" i="11"/>
  <c r="O61" i="11"/>
  <c r="O62" i="11"/>
  <c r="O63" i="11"/>
  <c r="O64" i="11"/>
  <c r="O65" i="11"/>
  <c r="O66" i="11"/>
  <c r="O67" i="11"/>
  <c r="O68" i="11"/>
  <c r="O69" i="11"/>
  <c r="O70" i="11"/>
  <c r="O71" i="11"/>
  <c r="O72" i="11"/>
  <c r="O73" i="11"/>
  <c r="O74" i="11"/>
  <c r="O75" i="11"/>
  <c r="O76" i="11"/>
  <c r="O77" i="11"/>
  <c r="O78" i="11"/>
  <c r="O79" i="11"/>
  <c r="O80" i="11"/>
  <c r="O43" i="11"/>
  <c r="O44" i="11"/>
  <c r="O45" i="11"/>
  <c r="O46" i="11"/>
  <c r="O128" i="11"/>
  <c r="O129" i="11"/>
  <c r="O130" i="11"/>
  <c r="O131" i="11"/>
  <c r="O132" i="11"/>
  <c r="O133" i="11"/>
  <c r="O9" i="11"/>
  <c r="O10" i="11"/>
  <c r="O11" i="11"/>
  <c r="O12" i="11"/>
  <c r="O13" i="11"/>
  <c r="O26" i="11"/>
  <c r="O30" i="11"/>
  <c r="O31" i="11"/>
  <c r="O32" i="11"/>
  <c r="O33" i="11"/>
  <c r="O34" i="11"/>
  <c r="O35" i="11"/>
  <c r="O36" i="11"/>
  <c r="O27" i="11"/>
  <c r="O28" i="11"/>
  <c r="O29" i="11"/>
  <c r="O125" i="11"/>
  <c r="O126" i="11"/>
  <c r="O127" i="11"/>
  <c r="O41" i="11"/>
  <c r="O42" i="11"/>
  <c r="O120" i="11"/>
  <c r="O94" i="11"/>
  <c r="O95" i="11"/>
  <c r="O96" i="11"/>
  <c r="O97" i="11"/>
  <c r="O98" i="11"/>
  <c r="O99" i="11"/>
  <c r="O100" i="11"/>
  <c r="O101" i="11"/>
  <c r="O102" i="11"/>
  <c r="O135" i="11"/>
  <c r="O136" i="11"/>
  <c r="O137" i="11"/>
  <c r="O138" i="11"/>
  <c r="O139" i="11"/>
  <c r="O140" i="11"/>
  <c r="O141" i="11"/>
  <c r="O142" i="11"/>
  <c r="O143" i="11"/>
  <c r="O144" i="11"/>
  <c r="O145" i="11"/>
  <c r="O146" i="11"/>
  <c r="O147" i="11"/>
  <c r="O148" i="11"/>
  <c r="O149" i="11"/>
  <c r="O150" i="11"/>
  <c r="O38" i="11"/>
  <c r="I39" i="11"/>
  <c r="J39" i="11" s="1"/>
  <c r="I40" i="11"/>
  <c r="J40" i="11" s="1"/>
  <c r="I103" i="11"/>
  <c r="J103" i="11" s="1"/>
  <c r="I104" i="11"/>
  <c r="J104" i="11" s="1"/>
  <c r="I105" i="11"/>
  <c r="J105" i="11" s="1"/>
  <c r="I106" i="11"/>
  <c r="J106" i="11" s="1"/>
  <c r="I107" i="11"/>
  <c r="J107" i="11" s="1"/>
  <c r="I108" i="11"/>
  <c r="J108" i="11" s="1"/>
  <c r="I109" i="11"/>
  <c r="J109" i="11" s="1"/>
  <c r="I110" i="11"/>
  <c r="J110" i="11" s="1"/>
  <c r="I111" i="11"/>
  <c r="J111" i="11" s="1"/>
  <c r="I112" i="11"/>
  <c r="J112" i="11" s="1"/>
  <c r="I113" i="11"/>
  <c r="J113" i="11" s="1"/>
  <c r="I114" i="11"/>
  <c r="J114" i="11" s="1"/>
  <c r="I115" i="11"/>
  <c r="J115" i="11" s="1"/>
  <c r="I116" i="11"/>
  <c r="J116" i="11" s="1"/>
  <c r="I117" i="11"/>
  <c r="J117" i="11" s="1"/>
  <c r="I118" i="11"/>
  <c r="J118" i="11" s="1"/>
  <c r="I119" i="11"/>
  <c r="J119" i="11" s="1"/>
  <c r="I121" i="11"/>
  <c r="J121" i="11" s="1"/>
  <c r="I122" i="11"/>
  <c r="J122" i="11" s="1"/>
  <c r="I123" i="11"/>
  <c r="J123" i="11" s="1"/>
  <c r="I82" i="11"/>
  <c r="J82" i="11" s="1"/>
  <c r="I83" i="11"/>
  <c r="J83" i="11" s="1"/>
  <c r="I84" i="11"/>
  <c r="J84" i="11" s="1"/>
  <c r="I85" i="11"/>
  <c r="J85" i="11" s="1"/>
  <c r="I86" i="11"/>
  <c r="J86" i="11" s="1"/>
  <c r="I87" i="11"/>
  <c r="J87" i="11" s="1"/>
  <c r="I88" i="11"/>
  <c r="J88" i="11" s="1"/>
  <c r="I89" i="11"/>
  <c r="J89" i="11" s="1"/>
  <c r="I90" i="11"/>
  <c r="J90" i="11" s="1"/>
  <c r="I91" i="11"/>
  <c r="J91" i="11" s="1"/>
  <c r="I92" i="11"/>
  <c r="J92" i="11" s="1"/>
  <c r="I93" i="11"/>
  <c r="J93" i="11" s="1"/>
  <c r="I20" i="11"/>
  <c r="J20" i="11" s="1"/>
  <c r="I21" i="11"/>
  <c r="J21" i="11" s="1"/>
  <c r="I22" i="11"/>
  <c r="J22" i="11" s="1"/>
  <c r="I23" i="11"/>
  <c r="J23" i="11" s="1"/>
  <c r="I24" i="11"/>
  <c r="J24" i="11" s="1"/>
  <c r="I15" i="11"/>
  <c r="J15" i="11" s="1"/>
  <c r="I16" i="11"/>
  <c r="J16" i="11" s="1"/>
  <c r="I17" i="11"/>
  <c r="J17" i="11" s="1"/>
  <c r="I18" i="11"/>
  <c r="J18" i="11" s="1"/>
  <c r="I19" i="11"/>
  <c r="J19" i="11" s="1"/>
  <c r="I56" i="11"/>
  <c r="J56" i="11" s="1"/>
  <c r="I57" i="11"/>
  <c r="J57" i="11" s="1"/>
  <c r="I58" i="11"/>
  <c r="J58" i="11" s="1"/>
  <c r="I59" i="11"/>
  <c r="J59" i="11" s="1"/>
  <c r="I60" i="11"/>
  <c r="J60" i="11" s="1"/>
  <c r="I48" i="11"/>
  <c r="J48" i="11" s="1"/>
  <c r="I49" i="11"/>
  <c r="J49" i="11" s="1"/>
  <c r="I50" i="11"/>
  <c r="J50" i="11" s="1"/>
  <c r="I51" i="11"/>
  <c r="J51" i="11" s="1"/>
  <c r="I52" i="11"/>
  <c r="J52" i="11" s="1"/>
  <c r="I53" i="11"/>
  <c r="J53" i="11" s="1"/>
  <c r="I54" i="11"/>
  <c r="J54" i="11" s="1"/>
  <c r="I55" i="11"/>
  <c r="J55" i="11" s="1"/>
  <c r="I61" i="11"/>
  <c r="J61" i="11" s="1"/>
  <c r="I62" i="11"/>
  <c r="J62" i="11" s="1"/>
  <c r="I63" i="11"/>
  <c r="J63" i="11" s="1"/>
  <c r="I64" i="11"/>
  <c r="J64" i="11" s="1"/>
  <c r="I65" i="11"/>
  <c r="J65" i="11" s="1"/>
  <c r="I66" i="11"/>
  <c r="J66" i="11" s="1"/>
  <c r="I67" i="11"/>
  <c r="J67" i="11" s="1"/>
  <c r="I68" i="11"/>
  <c r="J68" i="11" s="1"/>
  <c r="I69" i="11"/>
  <c r="J69" i="11" s="1"/>
  <c r="I70" i="11"/>
  <c r="J70" i="11" s="1"/>
  <c r="I71" i="11"/>
  <c r="J71" i="11" s="1"/>
  <c r="I72" i="11"/>
  <c r="J72" i="11" s="1"/>
  <c r="I73" i="11"/>
  <c r="J73" i="11" s="1"/>
  <c r="I74" i="11"/>
  <c r="J74" i="11" s="1"/>
  <c r="I75" i="11"/>
  <c r="J75" i="11" s="1"/>
  <c r="I76" i="11"/>
  <c r="J76" i="11" s="1"/>
  <c r="I77" i="11"/>
  <c r="J77" i="11" s="1"/>
  <c r="I78" i="11"/>
  <c r="J78" i="11" s="1"/>
  <c r="I79" i="11"/>
  <c r="J79" i="11" s="1"/>
  <c r="I80" i="11"/>
  <c r="J80" i="11" s="1"/>
  <c r="I43" i="11"/>
  <c r="J43" i="11" s="1"/>
  <c r="I44" i="11"/>
  <c r="J44" i="11" s="1"/>
  <c r="I45" i="11"/>
  <c r="J45" i="11" s="1"/>
  <c r="I46" i="11"/>
  <c r="J46" i="11" s="1"/>
  <c r="I128" i="11"/>
  <c r="J128" i="11" s="1"/>
  <c r="I129" i="11"/>
  <c r="J129" i="11" s="1"/>
  <c r="I130" i="11"/>
  <c r="J130" i="11" s="1"/>
  <c r="I131" i="11"/>
  <c r="J131" i="11" s="1"/>
  <c r="I132" i="11"/>
  <c r="J132" i="11" s="1"/>
  <c r="I133" i="11"/>
  <c r="J133" i="11" s="1"/>
  <c r="I9" i="11"/>
  <c r="J9" i="11" s="1"/>
  <c r="I10" i="11"/>
  <c r="J10" i="11" s="1"/>
  <c r="I11" i="11"/>
  <c r="J11" i="11" s="1"/>
  <c r="I12" i="11"/>
  <c r="J12" i="11" s="1"/>
  <c r="I13" i="11"/>
  <c r="J13" i="11" s="1"/>
  <c r="I26" i="11"/>
  <c r="J26" i="11" s="1"/>
  <c r="I30" i="11"/>
  <c r="J30" i="11" s="1"/>
  <c r="I31" i="11"/>
  <c r="J31" i="11" s="1"/>
  <c r="I32" i="11"/>
  <c r="J32" i="11" s="1"/>
  <c r="I33" i="11"/>
  <c r="J33" i="11" s="1"/>
  <c r="I34" i="11"/>
  <c r="J34" i="11" s="1"/>
  <c r="I35" i="11"/>
  <c r="J35" i="11" s="1"/>
  <c r="I36" i="11"/>
  <c r="J36" i="11" s="1"/>
  <c r="I27" i="11"/>
  <c r="J27" i="11" s="1"/>
  <c r="I28" i="11"/>
  <c r="J28" i="11" s="1"/>
  <c r="I29" i="11"/>
  <c r="J29" i="11" s="1"/>
  <c r="I125" i="11"/>
  <c r="J125" i="11" s="1"/>
  <c r="I126" i="11"/>
  <c r="J126" i="11" s="1"/>
  <c r="I127" i="11"/>
  <c r="J127" i="11" s="1"/>
  <c r="I41" i="11"/>
  <c r="J41" i="11" s="1"/>
  <c r="I42" i="11"/>
  <c r="J42" i="11" s="1"/>
  <c r="I120" i="11"/>
  <c r="J120" i="11" s="1"/>
  <c r="I94" i="11"/>
  <c r="J94" i="11" s="1"/>
  <c r="I95" i="11"/>
  <c r="J95" i="11" s="1"/>
  <c r="I96" i="11"/>
  <c r="J96" i="11" s="1"/>
  <c r="I97" i="11"/>
  <c r="J97" i="11" s="1"/>
  <c r="I98" i="11"/>
  <c r="J98" i="11" s="1"/>
  <c r="I99" i="11"/>
  <c r="J99" i="11" s="1"/>
  <c r="I100" i="11"/>
  <c r="J100" i="11" s="1"/>
  <c r="I101" i="11"/>
  <c r="J101" i="11" s="1"/>
  <c r="I102" i="11"/>
  <c r="J102" i="11" s="1"/>
  <c r="I135" i="11"/>
  <c r="J135" i="11" s="1"/>
  <c r="I136" i="11"/>
  <c r="J136" i="11" s="1"/>
  <c r="I137" i="11"/>
  <c r="J137" i="11" s="1"/>
  <c r="I138" i="11"/>
  <c r="J138" i="11" s="1"/>
  <c r="I139" i="11"/>
  <c r="J139" i="11" s="1"/>
  <c r="I140" i="11"/>
  <c r="J140" i="11" s="1"/>
  <c r="I141" i="11"/>
  <c r="J141" i="11" s="1"/>
  <c r="I142" i="11"/>
  <c r="J142" i="11" s="1"/>
  <c r="I143" i="11"/>
  <c r="J143" i="11" s="1"/>
  <c r="I144" i="11"/>
  <c r="J144" i="11" s="1"/>
  <c r="I145" i="11"/>
  <c r="J145" i="11" s="1"/>
  <c r="I146" i="11"/>
  <c r="J146" i="11" s="1"/>
  <c r="I147" i="11"/>
  <c r="J147" i="11" s="1"/>
  <c r="I148" i="11"/>
  <c r="J148" i="11" s="1"/>
  <c r="I149" i="11"/>
  <c r="J149" i="11" s="1"/>
  <c r="I150" i="11"/>
  <c r="J150" i="11" s="1"/>
  <c r="I38" i="11"/>
  <c r="J38" i="11" s="1"/>
  <c r="H39" i="11"/>
  <c r="H40" i="11"/>
  <c r="H103" i="11"/>
  <c r="H104" i="11"/>
  <c r="H105" i="11"/>
  <c r="H106" i="11"/>
  <c r="H107" i="11"/>
  <c r="H108" i="11"/>
  <c r="H109" i="11"/>
  <c r="H110" i="11"/>
  <c r="H111" i="11"/>
  <c r="H112" i="11"/>
  <c r="H113" i="11"/>
  <c r="H114" i="11"/>
  <c r="H115" i="11"/>
  <c r="H116" i="11"/>
  <c r="H117" i="11"/>
  <c r="H118" i="11"/>
  <c r="H119" i="11"/>
  <c r="H121" i="11"/>
  <c r="H122" i="11"/>
  <c r="H123" i="11"/>
  <c r="H82" i="11"/>
  <c r="H83" i="11"/>
  <c r="H84" i="11"/>
  <c r="H85" i="11"/>
  <c r="H86" i="11"/>
  <c r="H87" i="11"/>
  <c r="H88" i="11"/>
  <c r="H89" i="11"/>
  <c r="H90" i="11"/>
  <c r="H91" i="11"/>
  <c r="H92" i="11"/>
  <c r="H93" i="11"/>
  <c r="H20" i="11"/>
  <c r="H21" i="11"/>
  <c r="H22" i="11"/>
  <c r="H23" i="11"/>
  <c r="H24" i="11"/>
  <c r="H15" i="11"/>
  <c r="H16" i="11"/>
  <c r="H17" i="11"/>
  <c r="H18" i="11"/>
  <c r="H19" i="11"/>
  <c r="H56" i="11"/>
  <c r="H57" i="11"/>
  <c r="H58" i="11"/>
  <c r="H59" i="11"/>
  <c r="H60" i="11"/>
  <c r="H48" i="11"/>
  <c r="H49" i="11"/>
  <c r="H50" i="11"/>
  <c r="H51" i="11"/>
  <c r="H52" i="11"/>
  <c r="H53" i="11"/>
  <c r="H54" i="11"/>
  <c r="H55" i="11"/>
  <c r="H61" i="11"/>
  <c r="H62" i="11"/>
  <c r="H63" i="11"/>
  <c r="H64" i="11"/>
  <c r="H65" i="11"/>
  <c r="H66" i="11"/>
  <c r="H67" i="11"/>
  <c r="H68" i="11"/>
  <c r="H69" i="11"/>
  <c r="H70" i="11"/>
  <c r="H71" i="11"/>
  <c r="H72" i="11"/>
  <c r="H73" i="11"/>
  <c r="H74" i="11"/>
  <c r="H75" i="11"/>
  <c r="H76" i="11"/>
  <c r="H77" i="11"/>
  <c r="H78" i="11"/>
  <c r="H79" i="11"/>
  <c r="H80" i="11"/>
  <c r="H43" i="11"/>
  <c r="H44" i="11"/>
  <c r="H45" i="11"/>
  <c r="H46" i="11"/>
  <c r="H128" i="11"/>
  <c r="H129" i="11"/>
  <c r="H130" i="11"/>
  <c r="H131" i="11"/>
  <c r="H132" i="11"/>
  <c r="H133" i="11"/>
  <c r="H9" i="11"/>
  <c r="H10" i="11"/>
  <c r="H11" i="11"/>
  <c r="H12" i="11"/>
  <c r="H13" i="11"/>
  <c r="H26" i="11"/>
  <c r="H30" i="11"/>
  <c r="H31" i="11"/>
  <c r="H32" i="11"/>
  <c r="H33" i="11"/>
  <c r="H34" i="11"/>
  <c r="H35" i="11"/>
  <c r="H36" i="11"/>
  <c r="H27" i="11"/>
  <c r="H28" i="11"/>
  <c r="H29" i="11"/>
  <c r="H125" i="11"/>
  <c r="H126" i="11"/>
  <c r="H127" i="11"/>
  <c r="H41" i="11"/>
  <c r="H42" i="11"/>
  <c r="H120" i="11"/>
  <c r="H94" i="11"/>
  <c r="H95" i="11"/>
  <c r="H96" i="11"/>
  <c r="H97" i="11"/>
  <c r="H98" i="11"/>
  <c r="H99" i="11"/>
  <c r="H100" i="11"/>
  <c r="H101" i="11"/>
  <c r="H102" i="11"/>
  <c r="H135" i="11"/>
  <c r="H136" i="11"/>
  <c r="H137" i="11"/>
  <c r="H138" i="11"/>
  <c r="H139" i="11"/>
  <c r="H140" i="11"/>
  <c r="H141" i="11"/>
  <c r="H142" i="11"/>
  <c r="H143" i="11"/>
  <c r="H144" i="11"/>
  <c r="H145" i="11"/>
  <c r="H146" i="11"/>
  <c r="H147" i="11"/>
  <c r="H148" i="11"/>
  <c r="H149" i="11"/>
  <c r="H150" i="11"/>
  <c r="H38" i="11"/>
  <c r="G39" i="11"/>
  <c r="G40" i="11"/>
  <c r="G103" i="11"/>
  <c r="G104" i="11"/>
  <c r="G105" i="11"/>
  <c r="G106" i="11"/>
  <c r="G107" i="11"/>
  <c r="G108" i="11"/>
  <c r="G109" i="11"/>
  <c r="G110" i="11"/>
  <c r="G111" i="11"/>
  <c r="G112" i="11"/>
  <c r="G113" i="11"/>
  <c r="G114" i="11"/>
  <c r="G115" i="11"/>
  <c r="G116" i="11"/>
  <c r="G117" i="11"/>
  <c r="G118" i="11"/>
  <c r="G119" i="11"/>
  <c r="G121" i="11"/>
  <c r="G122" i="11"/>
  <c r="G123" i="11"/>
  <c r="G82" i="11"/>
  <c r="G83" i="11"/>
  <c r="G84" i="11"/>
  <c r="G85" i="11"/>
  <c r="G86" i="11"/>
  <c r="G87" i="11"/>
  <c r="G88" i="11"/>
  <c r="G89" i="11"/>
  <c r="G90" i="11"/>
  <c r="G91" i="11"/>
  <c r="G92" i="11"/>
  <c r="G93" i="11"/>
  <c r="G20" i="11"/>
  <c r="G21" i="11"/>
  <c r="G22" i="11"/>
  <c r="G23" i="11"/>
  <c r="G24" i="11"/>
  <c r="G15" i="11"/>
  <c r="G16" i="11"/>
  <c r="G17" i="11"/>
  <c r="G18" i="11"/>
  <c r="G19" i="11"/>
  <c r="G56" i="11"/>
  <c r="G57" i="11"/>
  <c r="G58" i="11"/>
  <c r="G59" i="11"/>
  <c r="G60" i="11"/>
  <c r="G48" i="11"/>
  <c r="G49" i="11"/>
  <c r="G50" i="11"/>
  <c r="G51" i="11"/>
  <c r="G52" i="11"/>
  <c r="G53" i="11"/>
  <c r="G54" i="11"/>
  <c r="G55" i="11"/>
  <c r="G61" i="11"/>
  <c r="G62" i="11"/>
  <c r="G63" i="11"/>
  <c r="G64" i="11"/>
  <c r="G65" i="11"/>
  <c r="G66" i="11"/>
  <c r="G67" i="11"/>
  <c r="G68" i="11"/>
  <c r="G69" i="11"/>
  <c r="G70" i="11"/>
  <c r="G71" i="11"/>
  <c r="G72" i="11"/>
  <c r="G73" i="11"/>
  <c r="G74" i="11"/>
  <c r="G75" i="11"/>
  <c r="G76" i="11"/>
  <c r="G77" i="11"/>
  <c r="G78" i="11"/>
  <c r="G79" i="11"/>
  <c r="G80" i="11"/>
  <c r="G43" i="11"/>
  <c r="G44" i="11"/>
  <c r="G45" i="11"/>
  <c r="G46" i="11"/>
  <c r="G128" i="11"/>
  <c r="G129" i="11"/>
  <c r="G130" i="11"/>
  <c r="G131" i="11"/>
  <c r="G132" i="11"/>
  <c r="G133" i="11"/>
  <c r="G9" i="11"/>
  <c r="G10" i="11"/>
  <c r="G11" i="11"/>
  <c r="G12" i="11"/>
  <c r="G13" i="11"/>
  <c r="G26" i="11"/>
  <c r="G30" i="11"/>
  <c r="G31" i="11"/>
  <c r="G32" i="11"/>
  <c r="G33" i="11"/>
  <c r="G34" i="11"/>
  <c r="G35" i="11"/>
  <c r="G36" i="11"/>
  <c r="G27" i="11"/>
  <c r="G28" i="11"/>
  <c r="G29" i="11"/>
  <c r="G125" i="11"/>
  <c r="G126" i="11"/>
  <c r="G127" i="11"/>
  <c r="G41" i="11"/>
  <c r="G42" i="11"/>
  <c r="G120" i="11"/>
  <c r="G94" i="11"/>
  <c r="G95" i="11"/>
  <c r="G96" i="11"/>
  <c r="G97" i="11"/>
  <c r="G98" i="11"/>
  <c r="G99" i="11"/>
  <c r="G100" i="11"/>
  <c r="G101" i="11"/>
  <c r="G102" i="11"/>
  <c r="G135" i="11"/>
  <c r="G136" i="11"/>
  <c r="G137" i="11"/>
  <c r="G138" i="11"/>
  <c r="G139" i="11"/>
  <c r="G140" i="11"/>
  <c r="G141" i="11"/>
  <c r="G142" i="11"/>
  <c r="G143" i="11"/>
  <c r="G144" i="11"/>
  <c r="G145" i="11"/>
  <c r="G146" i="11"/>
  <c r="G147" i="11"/>
  <c r="G148" i="11"/>
  <c r="G149" i="11"/>
  <c r="G150" i="11"/>
  <c r="G38" i="11"/>
  <c r="F39" i="11"/>
  <c r="F40" i="11"/>
  <c r="F103" i="11"/>
  <c r="F104" i="11"/>
  <c r="F105" i="11"/>
  <c r="F106" i="11"/>
  <c r="F107" i="11"/>
  <c r="F108" i="11"/>
  <c r="F109" i="11"/>
  <c r="F110" i="11"/>
  <c r="F111" i="11"/>
  <c r="F112" i="11"/>
  <c r="F113" i="11"/>
  <c r="F114" i="11"/>
  <c r="F115" i="11"/>
  <c r="F116" i="11"/>
  <c r="F117" i="11"/>
  <c r="F118" i="11"/>
  <c r="F119" i="11"/>
  <c r="F121" i="11"/>
  <c r="F122" i="11"/>
  <c r="F123" i="11"/>
  <c r="F82" i="11"/>
  <c r="F83" i="11"/>
  <c r="F84" i="11"/>
  <c r="F85" i="11"/>
  <c r="F86" i="11"/>
  <c r="F87" i="11"/>
  <c r="F88" i="11"/>
  <c r="F89" i="11"/>
  <c r="F90" i="11"/>
  <c r="F91" i="11"/>
  <c r="F92" i="11"/>
  <c r="F93" i="11"/>
  <c r="F20" i="11"/>
  <c r="F21" i="11"/>
  <c r="F22" i="11"/>
  <c r="F23" i="11"/>
  <c r="F24" i="11"/>
  <c r="F15" i="11"/>
  <c r="F16" i="11"/>
  <c r="F17" i="11"/>
  <c r="F18" i="11"/>
  <c r="F19" i="11"/>
  <c r="F56" i="11"/>
  <c r="F57" i="11"/>
  <c r="F58" i="11"/>
  <c r="F59" i="11"/>
  <c r="F60" i="11"/>
  <c r="F48" i="11"/>
  <c r="F49" i="11"/>
  <c r="F50" i="11"/>
  <c r="F51" i="11"/>
  <c r="F52" i="11"/>
  <c r="F53" i="11"/>
  <c r="F54" i="11"/>
  <c r="F55" i="11"/>
  <c r="F61" i="11"/>
  <c r="F62" i="11"/>
  <c r="F63" i="11"/>
  <c r="F64" i="11"/>
  <c r="F65" i="11"/>
  <c r="F66" i="11"/>
  <c r="F67" i="11"/>
  <c r="F68" i="11"/>
  <c r="F69" i="11"/>
  <c r="F70" i="11"/>
  <c r="F71" i="11"/>
  <c r="F72" i="11"/>
  <c r="F73" i="11"/>
  <c r="F74" i="11"/>
  <c r="F75" i="11"/>
  <c r="F76" i="11"/>
  <c r="F77" i="11"/>
  <c r="F78" i="11"/>
  <c r="F79" i="11"/>
  <c r="F80" i="11"/>
  <c r="F43" i="11"/>
  <c r="F44" i="11"/>
  <c r="F45" i="11"/>
  <c r="F46" i="11"/>
  <c r="F128" i="11"/>
  <c r="F129" i="11"/>
  <c r="F130" i="11"/>
  <c r="F131" i="11"/>
  <c r="F132" i="11"/>
  <c r="F133" i="11"/>
  <c r="F9" i="11"/>
  <c r="F10" i="11"/>
  <c r="F11" i="11"/>
  <c r="F12" i="11"/>
  <c r="F13" i="11"/>
  <c r="F26" i="11"/>
  <c r="F30" i="11"/>
  <c r="F31" i="11"/>
  <c r="F32" i="11"/>
  <c r="F33" i="11"/>
  <c r="F34" i="11"/>
  <c r="F35" i="11"/>
  <c r="F36" i="11"/>
  <c r="F27" i="11"/>
  <c r="F28" i="11"/>
  <c r="F29" i="11"/>
  <c r="F125" i="11"/>
  <c r="F126" i="11"/>
  <c r="F127" i="11"/>
  <c r="F41" i="11"/>
  <c r="F42" i="11"/>
  <c r="F120" i="11"/>
  <c r="F94" i="11"/>
  <c r="F95" i="11"/>
  <c r="F96" i="11"/>
  <c r="F97" i="11"/>
  <c r="F98" i="11"/>
  <c r="F99" i="11"/>
  <c r="F100" i="11"/>
  <c r="F101" i="11"/>
  <c r="F102" i="11"/>
  <c r="F135" i="11"/>
  <c r="F136" i="11"/>
  <c r="F137" i="11"/>
  <c r="F138" i="11"/>
  <c r="F139" i="11"/>
  <c r="F140" i="11"/>
  <c r="F141" i="11"/>
  <c r="F142" i="11"/>
  <c r="F143" i="11"/>
  <c r="F144" i="11"/>
  <c r="F145" i="11"/>
  <c r="F146" i="11"/>
  <c r="F147" i="11"/>
  <c r="F148" i="11"/>
  <c r="F149" i="11"/>
  <c r="F150" i="11"/>
  <c r="F38" i="11"/>
  <c r="D40" i="11"/>
  <c r="D103" i="11"/>
  <c r="D104" i="11"/>
  <c r="D105" i="11"/>
  <c r="D106" i="11"/>
  <c r="D107" i="11"/>
  <c r="D108" i="11"/>
  <c r="D109" i="11"/>
  <c r="D110" i="11"/>
  <c r="D111" i="11"/>
  <c r="D112" i="11"/>
  <c r="D113" i="11"/>
  <c r="D114" i="11"/>
  <c r="D115" i="11"/>
  <c r="D116" i="11"/>
  <c r="D117" i="11"/>
  <c r="D118" i="11"/>
  <c r="D119" i="11"/>
  <c r="D121" i="11"/>
  <c r="D122" i="11"/>
  <c r="D123" i="11"/>
  <c r="D82" i="11"/>
  <c r="D83" i="11"/>
  <c r="D84" i="11"/>
  <c r="D85" i="11"/>
  <c r="D86" i="11"/>
  <c r="D87" i="11"/>
  <c r="D88" i="11"/>
  <c r="D89" i="11"/>
  <c r="D90" i="11"/>
  <c r="D91" i="11"/>
  <c r="D92" i="11"/>
  <c r="D93" i="11"/>
  <c r="D20" i="11"/>
  <c r="D21" i="11"/>
  <c r="D22" i="11"/>
  <c r="D23" i="11"/>
  <c r="D24" i="11"/>
  <c r="D15" i="11"/>
  <c r="D16" i="11"/>
  <c r="D17" i="11"/>
  <c r="D18" i="11"/>
  <c r="D19" i="11"/>
  <c r="D56" i="11"/>
  <c r="D57" i="11"/>
  <c r="D58" i="11"/>
  <c r="D59" i="11"/>
  <c r="D60" i="11"/>
  <c r="D48" i="11"/>
  <c r="D49" i="11"/>
  <c r="D50" i="11"/>
  <c r="D51" i="11"/>
  <c r="D52" i="11"/>
  <c r="D53" i="11"/>
  <c r="D54" i="11"/>
  <c r="D55" i="11"/>
  <c r="D61" i="11"/>
  <c r="D62" i="11"/>
  <c r="D63" i="11"/>
  <c r="D64" i="11"/>
  <c r="D65" i="11"/>
  <c r="D66" i="11"/>
  <c r="D67" i="11"/>
  <c r="D68" i="11"/>
  <c r="D69" i="11"/>
  <c r="D70" i="11"/>
  <c r="D71" i="11"/>
  <c r="D72" i="11"/>
  <c r="D73" i="11"/>
  <c r="D74" i="11"/>
  <c r="D75" i="11"/>
  <c r="D76" i="11"/>
  <c r="D77" i="11"/>
  <c r="D78" i="11"/>
  <c r="D79" i="11"/>
  <c r="D80" i="11"/>
  <c r="D43" i="11"/>
  <c r="D44" i="11"/>
  <c r="D45" i="11"/>
  <c r="D46" i="11"/>
  <c r="D128" i="11"/>
  <c r="D129" i="11"/>
  <c r="D130" i="11"/>
  <c r="D131" i="11"/>
  <c r="D132" i="11"/>
  <c r="D133" i="11"/>
  <c r="D9" i="11"/>
  <c r="D10" i="11"/>
  <c r="D11" i="11"/>
  <c r="D12" i="11"/>
  <c r="D13" i="11"/>
  <c r="D26" i="11"/>
  <c r="D30" i="11"/>
  <c r="D31" i="11"/>
  <c r="D32" i="11"/>
  <c r="D33" i="11"/>
  <c r="D34" i="11"/>
  <c r="D35" i="11"/>
  <c r="D36" i="11"/>
  <c r="D27" i="11"/>
  <c r="D28" i="11"/>
  <c r="D29" i="11"/>
  <c r="D125" i="11"/>
  <c r="D126" i="11"/>
  <c r="D127" i="11"/>
  <c r="D41" i="11"/>
  <c r="D42" i="11"/>
  <c r="D120" i="11"/>
  <c r="D94" i="11"/>
  <c r="D95" i="11"/>
  <c r="D96" i="11"/>
  <c r="D97" i="11"/>
  <c r="D98" i="11"/>
  <c r="D99" i="11"/>
  <c r="D100" i="11"/>
  <c r="D101" i="11"/>
  <c r="D102" i="11"/>
  <c r="D135" i="11"/>
  <c r="D136" i="11"/>
  <c r="D137" i="11"/>
  <c r="D138" i="11"/>
  <c r="D139" i="11"/>
  <c r="D140" i="11"/>
  <c r="D141" i="11"/>
  <c r="D142" i="11"/>
  <c r="D143" i="11"/>
  <c r="D144" i="11"/>
  <c r="D145" i="11"/>
  <c r="D146" i="11"/>
  <c r="D147" i="11"/>
  <c r="D148" i="11"/>
  <c r="D149" i="11"/>
  <c r="D150" i="11"/>
  <c r="D39" i="11"/>
  <c r="D38" i="11"/>
  <c r="V10" i="12"/>
  <c r="V11" i="12"/>
  <c r="V12" i="12"/>
  <c r="V84" i="12"/>
  <c r="V85" i="12"/>
  <c r="V86" i="12"/>
  <c r="V87" i="12"/>
  <c r="V88" i="12"/>
  <c r="V89" i="12"/>
  <c r="V91" i="12"/>
  <c r="V92" i="12"/>
  <c r="V93" i="12"/>
  <c r="V94" i="12"/>
  <c r="V95" i="12"/>
  <c r="V96" i="12"/>
  <c r="V97" i="12"/>
  <c r="V90" i="12"/>
  <c r="V98" i="12"/>
  <c r="V99" i="12"/>
  <c r="V100" i="12"/>
  <c r="V101" i="12"/>
  <c r="V102" i="12"/>
  <c r="V103" i="12"/>
  <c r="V104" i="12"/>
  <c r="V105" i="12"/>
  <c r="V106" i="12"/>
  <c r="V109" i="12"/>
  <c r="V110" i="12"/>
  <c r="V108" i="12"/>
  <c r="V34" i="12"/>
  <c r="V35" i="12"/>
  <c r="V41" i="12"/>
  <c r="V42" i="12"/>
  <c r="V43" i="12"/>
  <c r="V44" i="12"/>
  <c r="V36" i="12"/>
  <c r="V37" i="12"/>
  <c r="V38" i="12"/>
  <c r="V31" i="12"/>
  <c r="V32" i="12"/>
  <c r="V33" i="12"/>
  <c r="V39" i="12"/>
  <c r="V40" i="12"/>
  <c r="V122" i="12"/>
  <c r="V123" i="12"/>
  <c r="V124" i="12"/>
  <c r="V125" i="12"/>
  <c r="V126" i="12"/>
  <c r="V127" i="12"/>
  <c r="V128" i="12"/>
  <c r="V129" i="12"/>
  <c r="V130" i="12"/>
  <c r="V131" i="12"/>
  <c r="V132" i="12"/>
  <c r="V14" i="12"/>
  <c r="V76" i="12"/>
  <c r="V77" i="12"/>
  <c r="V78" i="12"/>
  <c r="V79" i="12"/>
  <c r="V80" i="12"/>
  <c r="V81" i="12"/>
  <c r="V82" i="12"/>
  <c r="V69" i="12"/>
  <c r="V70" i="12"/>
  <c r="V71" i="12"/>
  <c r="V72" i="12"/>
  <c r="V73" i="12"/>
  <c r="V74" i="12"/>
  <c r="V75" i="12"/>
  <c r="V63" i="12"/>
  <c r="V64" i="12"/>
  <c r="V65" i="12"/>
  <c r="V66" i="12"/>
  <c r="V67" i="12"/>
  <c r="V68" i="12"/>
  <c r="V56" i="12"/>
  <c r="V57" i="12"/>
  <c r="V58" i="12"/>
  <c r="V59" i="12"/>
  <c r="V60" i="12"/>
  <c r="V61" i="12"/>
  <c r="V62" i="12"/>
  <c r="V15" i="12"/>
  <c r="V16" i="12"/>
  <c r="V17" i="12"/>
  <c r="V111" i="12"/>
  <c r="V112" i="12"/>
  <c r="V113" i="12"/>
  <c r="V114" i="12"/>
  <c r="V115" i="12"/>
  <c r="V116" i="12"/>
  <c r="V19" i="12"/>
  <c r="V20" i="12"/>
  <c r="V21" i="12"/>
  <c r="V22" i="12"/>
  <c r="V45" i="12"/>
  <c r="V46" i="12"/>
  <c r="V47" i="12"/>
  <c r="V48" i="12"/>
  <c r="V49" i="12"/>
  <c r="V50" i="12"/>
  <c r="V51" i="12"/>
  <c r="V52" i="12"/>
  <c r="V53" i="12"/>
  <c r="V54" i="12"/>
  <c r="V23" i="12"/>
  <c r="V24" i="12"/>
  <c r="V25" i="12"/>
  <c r="V26" i="12"/>
  <c r="V27" i="12"/>
  <c r="V28" i="12"/>
  <c r="V29" i="12"/>
  <c r="V118" i="12"/>
  <c r="V119" i="12"/>
  <c r="V120" i="12"/>
  <c r="V9" i="12"/>
  <c r="U10" i="12"/>
  <c r="U11" i="12"/>
  <c r="U12" i="12"/>
  <c r="U84" i="12"/>
  <c r="U85" i="12"/>
  <c r="U86" i="12"/>
  <c r="U87" i="12"/>
  <c r="U88" i="12"/>
  <c r="U89" i="12"/>
  <c r="U91" i="12"/>
  <c r="U92" i="12"/>
  <c r="U93" i="12"/>
  <c r="U94" i="12"/>
  <c r="U95" i="12"/>
  <c r="U96" i="12"/>
  <c r="U97" i="12"/>
  <c r="U90" i="12"/>
  <c r="U98" i="12"/>
  <c r="U99" i="12"/>
  <c r="U100" i="12"/>
  <c r="U101" i="12"/>
  <c r="U102" i="12"/>
  <c r="U103" i="12"/>
  <c r="U104" i="12"/>
  <c r="U105" i="12"/>
  <c r="U106" i="12"/>
  <c r="U109" i="12"/>
  <c r="U110" i="12"/>
  <c r="U108" i="12"/>
  <c r="U34" i="12"/>
  <c r="U35" i="12"/>
  <c r="U41" i="12"/>
  <c r="U42" i="12"/>
  <c r="U43" i="12"/>
  <c r="U44" i="12"/>
  <c r="U36" i="12"/>
  <c r="U37" i="12"/>
  <c r="U38" i="12"/>
  <c r="U31" i="12"/>
  <c r="U32" i="12"/>
  <c r="U33" i="12"/>
  <c r="U39" i="12"/>
  <c r="U40" i="12"/>
  <c r="U122" i="12"/>
  <c r="U123" i="12"/>
  <c r="U124" i="12"/>
  <c r="U125" i="12"/>
  <c r="U126" i="12"/>
  <c r="U127" i="12"/>
  <c r="U128" i="12"/>
  <c r="U129" i="12"/>
  <c r="U130" i="12"/>
  <c r="U131" i="12"/>
  <c r="U132" i="12"/>
  <c r="U14" i="12"/>
  <c r="U76" i="12"/>
  <c r="U77" i="12"/>
  <c r="U78" i="12"/>
  <c r="U79" i="12"/>
  <c r="U80" i="12"/>
  <c r="U81" i="12"/>
  <c r="U82" i="12"/>
  <c r="U69" i="12"/>
  <c r="U70" i="12"/>
  <c r="U71" i="12"/>
  <c r="U72" i="12"/>
  <c r="U73" i="12"/>
  <c r="U74" i="12"/>
  <c r="U75" i="12"/>
  <c r="U63" i="12"/>
  <c r="U64" i="12"/>
  <c r="U65" i="12"/>
  <c r="U66" i="12"/>
  <c r="U67" i="12"/>
  <c r="U68" i="12"/>
  <c r="U56" i="12"/>
  <c r="U57" i="12"/>
  <c r="U58" i="12"/>
  <c r="U59" i="12"/>
  <c r="U60" i="12"/>
  <c r="U61" i="12"/>
  <c r="U62" i="12"/>
  <c r="U15" i="12"/>
  <c r="U16" i="12"/>
  <c r="U17" i="12"/>
  <c r="U111" i="12"/>
  <c r="U112" i="12"/>
  <c r="U113" i="12"/>
  <c r="U114" i="12"/>
  <c r="U115" i="12"/>
  <c r="U116" i="12"/>
  <c r="U19" i="12"/>
  <c r="U20" i="12"/>
  <c r="U21" i="12"/>
  <c r="U22" i="12"/>
  <c r="U45" i="12"/>
  <c r="U46" i="12"/>
  <c r="U47" i="12"/>
  <c r="U48" i="12"/>
  <c r="U49" i="12"/>
  <c r="U50" i="12"/>
  <c r="U51" i="12"/>
  <c r="U52" i="12"/>
  <c r="U53" i="12"/>
  <c r="U54" i="12"/>
  <c r="U23" i="12"/>
  <c r="U24" i="12"/>
  <c r="U25" i="12"/>
  <c r="U26" i="12"/>
  <c r="U27" i="12"/>
  <c r="U28" i="12"/>
  <c r="U29" i="12"/>
  <c r="U118" i="12"/>
  <c r="U119" i="12"/>
  <c r="U120" i="12"/>
  <c r="U9" i="12"/>
  <c r="T10" i="12"/>
  <c r="T11" i="12"/>
  <c r="T12" i="12"/>
  <c r="T84" i="12"/>
  <c r="T85" i="12"/>
  <c r="T86" i="12"/>
  <c r="T87" i="12"/>
  <c r="T88" i="12"/>
  <c r="T89" i="12"/>
  <c r="T91" i="12"/>
  <c r="T92" i="12"/>
  <c r="T93" i="12"/>
  <c r="T94" i="12"/>
  <c r="T95" i="12"/>
  <c r="T96" i="12"/>
  <c r="T97" i="12"/>
  <c r="T90" i="12"/>
  <c r="T98" i="12"/>
  <c r="T99" i="12"/>
  <c r="T100" i="12"/>
  <c r="T101" i="12"/>
  <c r="T102" i="12"/>
  <c r="T103" i="12"/>
  <c r="T104" i="12"/>
  <c r="T105" i="12"/>
  <c r="T106" i="12"/>
  <c r="T109" i="12"/>
  <c r="T110" i="12"/>
  <c r="T108" i="12"/>
  <c r="T34" i="12"/>
  <c r="T35" i="12"/>
  <c r="T41" i="12"/>
  <c r="T42" i="12"/>
  <c r="T43" i="12"/>
  <c r="T44" i="12"/>
  <c r="T36" i="12"/>
  <c r="T37" i="12"/>
  <c r="T38" i="12"/>
  <c r="T31" i="12"/>
  <c r="T32" i="12"/>
  <c r="T33" i="12"/>
  <c r="T39" i="12"/>
  <c r="T40" i="12"/>
  <c r="T122" i="12"/>
  <c r="T123" i="12"/>
  <c r="T124" i="12"/>
  <c r="T125" i="12"/>
  <c r="T126" i="12"/>
  <c r="T127" i="12"/>
  <c r="T128" i="12"/>
  <c r="T129" i="12"/>
  <c r="T130" i="12"/>
  <c r="T131" i="12"/>
  <c r="T132" i="12"/>
  <c r="T14" i="12"/>
  <c r="T76" i="12"/>
  <c r="T77" i="12"/>
  <c r="T78" i="12"/>
  <c r="T79" i="12"/>
  <c r="T80" i="12"/>
  <c r="T81" i="12"/>
  <c r="T82" i="12"/>
  <c r="T69" i="12"/>
  <c r="T70" i="12"/>
  <c r="T71" i="12"/>
  <c r="T72" i="12"/>
  <c r="T73" i="12"/>
  <c r="T74" i="12"/>
  <c r="T75" i="12"/>
  <c r="T63" i="12"/>
  <c r="T64" i="12"/>
  <c r="T65" i="12"/>
  <c r="T66" i="12"/>
  <c r="T67" i="12"/>
  <c r="T68" i="12"/>
  <c r="T56" i="12"/>
  <c r="T57" i="12"/>
  <c r="T58" i="12"/>
  <c r="T59" i="12"/>
  <c r="T60" i="12"/>
  <c r="T61" i="12"/>
  <c r="T62" i="12"/>
  <c r="T15" i="12"/>
  <c r="T16" i="12"/>
  <c r="T17" i="12"/>
  <c r="T111" i="12"/>
  <c r="T112" i="12"/>
  <c r="T113" i="12"/>
  <c r="T114" i="12"/>
  <c r="T115" i="12"/>
  <c r="T116" i="12"/>
  <c r="T19" i="12"/>
  <c r="T20" i="12"/>
  <c r="T21" i="12"/>
  <c r="T22" i="12"/>
  <c r="T45" i="12"/>
  <c r="T46" i="12"/>
  <c r="T47" i="12"/>
  <c r="T48" i="12"/>
  <c r="T49" i="12"/>
  <c r="T50" i="12"/>
  <c r="T51" i="12"/>
  <c r="T52" i="12"/>
  <c r="T53" i="12"/>
  <c r="T54" i="12"/>
  <c r="T23" i="12"/>
  <c r="T24" i="12"/>
  <c r="T25" i="12"/>
  <c r="T26" i="12"/>
  <c r="T27" i="12"/>
  <c r="T28" i="12"/>
  <c r="T29" i="12"/>
  <c r="T118" i="12"/>
  <c r="T119" i="12"/>
  <c r="T120" i="12"/>
  <c r="T9" i="12"/>
  <c r="S11" i="12"/>
  <c r="S12" i="12"/>
  <c r="S84" i="12"/>
  <c r="S85" i="12"/>
  <c r="S86" i="12"/>
  <c r="S87" i="12"/>
  <c r="S88" i="12"/>
  <c r="S89" i="12"/>
  <c r="S91" i="12"/>
  <c r="S92" i="12"/>
  <c r="S93" i="12"/>
  <c r="S94" i="12"/>
  <c r="S95" i="12"/>
  <c r="S96" i="12"/>
  <c r="S97" i="12"/>
  <c r="S90" i="12"/>
  <c r="S98" i="12"/>
  <c r="S99" i="12"/>
  <c r="S100" i="12"/>
  <c r="S101" i="12"/>
  <c r="S102" i="12"/>
  <c r="S103" i="12"/>
  <c r="S104" i="12"/>
  <c r="S105" i="12"/>
  <c r="S106" i="12"/>
  <c r="S109" i="12"/>
  <c r="S110" i="12"/>
  <c r="S108" i="12"/>
  <c r="S34" i="12"/>
  <c r="S35" i="12"/>
  <c r="S41" i="12"/>
  <c r="S42" i="12"/>
  <c r="S43" i="12"/>
  <c r="S44" i="12"/>
  <c r="S36" i="12"/>
  <c r="S37" i="12"/>
  <c r="S38" i="12"/>
  <c r="S31" i="12"/>
  <c r="S32" i="12"/>
  <c r="S33" i="12"/>
  <c r="S39" i="12"/>
  <c r="S40" i="12"/>
  <c r="S122" i="12"/>
  <c r="S123" i="12"/>
  <c r="S124" i="12"/>
  <c r="S125" i="12"/>
  <c r="S126" i="12"/>
  <c r="S127" i="12"/>
  <c r="S128" i="12"/>
  <c r="S129" i="12"/>
  <c r="S130" i="12"/>
  <c r="S131" i="12"/>
  <c r="S132" i="12"/>
  <c r="S14" i="12"/>
  <c r="S76" i="12"/>
  <c r="S77" i="12"/>
  <c r="S78" i="12"/>
  <c r="S79" i="12"/>
  <c r="S80" i="12"/>
  <c r="S81" i="12"/>
  <c r="S82" i="12"/>
  <c r="S69" i="12"/>
  <c r="S70" i="12"/>
  <c r="S71" i="12"/>
  <c r="S72" i="12"/>
  <c r="S73" i="12"/>
  <c r="S74" i="12"/>
  <c r="S75" i="12"/>
  <c r="S63" i="12"/>
  <c r="S64" i="12"/>
  <c r="S65" i="12"/>
  <c r="S66" i="12"/>
  <c r="S67" i="12"/>
  <c r="S68" i="12"/>
  <c r="S56" i="12"/>
  <c r="S57" i="12"/>
  <c r="S58" i="12"/>
  <c r="S59" i="12"/>
  <c r="S60" i="12"/>
  <c r="S61" i="12"/>
  <c r="S62" i="12"/>
  <c r="S15" i="12"/>
  <c r="S16" i="12"/>
  <c r="S17" i="12"/>
  <c r="S111" i="12"/>
  <c r="S112" i="12"/>
  <c r="S113" i="12"/>
  <c r="S114" i="12"/>
  <c r="S115" i="12"/>
  <c r="S116" i="12"/>
  <c r="S19" i="12"/>
  <c r="S20" i="12"/>
  <c r="S21" i="12"/>
  <c r="S22" i="12"/>
  <c r="S45" i="12"/>
  <c r="S46" i="12"/>
  <c r="S47" i="12"/>
  <c r="S48" i="12"/>
  <c r="S49" i="12"/>
  <c r="S50" i="12"/>
  <c r="S51" i="12"/>
  <c r="S52" i="12"/>
  <c r="S53" i="12"/>
  <c r="S54" i="12"/>
  <c r="S23" i="12"/>
  <c r="S24" i="12"/>
  <c r="S25" i="12"/>
  <c r="S26" i="12"/>
  <c r="S27" i="12"/>
  <c r="S28" i="12"/>
  <c r="S29" i="12"/>
  <c r="S118" i="12"/>
  <c r="S119" i="12"/>
  <c r="S120" i="12"/>
  <c r="S10" i="12"/>
  <c r="S9" i="12"/>
  <c r="R9" i="12"/>
  <c r="R10" i="12"/>
  <c r="R11" i="12"/>
  <c r="R12" i="12"/>
  <c r="R84" i="12"/>
  <c r="R85" i="12"/>
  <c r="R86" i="12"/>
  <c r="R87" i="12"/>
  <c r="R88" i="12"/>
  <c r="R89" i="12"/>
  <c r="R91" i="12"/>
  <c r="R92" i="12"/>
  <c r="R93" i="12"/>
  <c r="R94" i="12"/>
  <c r="R95" i="12"/>
  <c r="R96" i="12"/>
  <c r="R97" i="12"/>
  <c r="R90" i="12"/>
  <c r="R98" i="12"/>
  <c r="R99" i="12"/>
  <c r="R100" i="12"/>
  <c r="R101" i="12"/>
  <c r="R102" i="12"/>
  <c r="R103" i="12"/>
  <c r="R104" i="12"/>
  <c r="R105" i="12"/>
  <c r="R106" i="12"/>
  <c r="R109" i="12"/>
  <c r="R110" i="12"/>
  <c r="R108" i="12"/>
  <c r="R34" i="12"/>
  <c r="R35" i="12"/>
  <c r="R41" i="12"/>
  <c r="R42" i="12"/>
  <c r="R43" i="12"/>
  <c r="R44" i="12"/>
  <c r="R36" i="12"/>
  <c r="R37" i="12"/>
  <c r="R38" i="12"/>
  <c r="R31" i="12"/>
  <c r="R32" i="12"/>
  <c r="R33" i="12"/>
  <c r="R39" i="12"/>
  <c r="R40" i="12"/>
  <c r="R122" i="12"/>
  <c r="R123" i="12"/>
  <c r="R124" i="12"/>
  <c r="R125" i="12"/>
  <c r="R126" i="12"/>
  <c r="R127" i="12"/>
  <c r="R128" i="12"/>
  <c r="R129" i="12"/>
  <c r="R130" i="12"/>
  <c r="R131" i="12"/>
  <c r="R132" i="12"/>
  <c r="R14" i="12"/>
  <c r="R76" i="12"/>
  <c r="R77" i="12"/>
  <c r="R78" i="12"/>
  <c r="R79" i="12"/>
  <c r="R80" i="12"/>
  <c r="R81" i="12"/>
  <c r="R82" i="12"/>
  <c r="R69" i="12"/>
  <c r="R70" i="12"/>
  <c r="R71" i="12"/>
  <c r="R72" i="12"/>
  <c r="R73" i="12"/>
  <c r="R74" i="12"/>
  <c r="R75" i="12"/>
  <c r="R63" i="12"/>
  <c r="R64" i="12"/>
  <c r="R65" i="12"/>
  <c r="R66" i="12"/>
  <c r="R67" i="12"/>
  <c r="R68" i="12"/>
  <c r="R56" i="12"/>
  <c r="R57" i="12"/>
  <c r="R58" i="12"/>
  <c r="R59" i="12"/>
  <c r="R60" i="12"/>
  <c r="R61" i="12"/>
  <c r="R62" i="12"/>
  <c r="R15" i="12"/>
  <c r="R16" i="12"/>
  <c r="R17" i="12"/>
  <c r="R111" i="12"/>
  <c r="R112" i="12"/>
  <c r="R113" i="12"/>
  <c r="R114" i="12"/>
  <c r="R115" i="12"/>
  <c r="R116" i="12"/>
  <c r="R19" i="12"/>
  <c r="R20" i="12"/>
  <c r="R21" i="12"/>
  <c r="R22" i="12"/>
  <c r="R45" i="12"/>
  <c r="R46" i="12"/>
  <c r="R47" i="12"/>
  <c r="R48" i="12"/>
  <c r="R49" i="12"/>
  <c r="R50" i="12"/>
  <c r="R51" i="12"/>
  <c r="R52" i="12"/>
  <c r="R53" i="12"/>
  <c r="R54" i="12"/>
  <c r="R23" i="12"/>
  <c r="R24" i="12"/>
  <c r="R25" i="12"/>
  <c r="R26" i="12"/>
  <c r="R27" i="12"/>
  <c r="R28" i="12"/>
  <c r="R29" i="12"/>
  <c r="R118" i="12"/>
  <c r="R119" i="12"/>
  <c r="R120" i="12"/>
  <c r="Q10" i="12"/>
  <c r="Q11" i="12"/>
  <c r="Q12" i="12"/>
  <c r="Q84" i="12"/>
  <c r="Q85" i="12"/>
  <c r="Q86" i="12"/>
  <c r="Q87" i="12"/>
  <c r="Q88" i="12"/>
  <c r="Q89" i="12"/>
  <c r="Q91" i="12"/>
  <c r="Q92" i="12"/>
  <c r="Q93" i="12"/>
  <c r="Q94" i="12"/>
  <c r="Q95" i="12"/>
  <c r="Q96" i="12"/>
  <c r="Q97" i="12"/>
  <c r="Q90" i="12"/>
  <c r="Q98" i="12"/>
  <c r="Q99" i="12"/>
  <c r="Q100" i="12"/>
  <c r="Q101" i="12"/>
  <c r="Q102" i="12"/>
  <c r="Q103" i="12"/>
  <c r="Q104" i="12"/>
  <c r="Q105" i="12"/>
  <c r="Q106" i="12"/>
  <c r="Q109" i="12"/>
  <c r="Q110" i="12"/>
  <c r="Q108" i="12"/>
  <c r="Q34" i="12"/>
  <c r="Q35" i="12"/>
  <c r="Q41" i="12"/>
  <c r="Q42" i="12"/>
  <c r="Q43" i="12"/>
  <c r="Q44" i="12"/>
  <c r="Q36" i="12"/>
  <c r="Q37" i="12"/>
  <c r="Q38" i="12"/>
  <c r="Q31" i="12"/>
  <c r="Q32" i="12"/>
  <c r="Q33" i="12"/>
  <c r="Q39" i="12"/>
  <c r="Q40" i="12"/>
  <c r="Q122" i="12"/>
  <c r="Q123" i="12"/>
  <c r="Q124" i="12"/>
  <c r="Q125" i="12"/>
  <c r="Q126" i="12"/>
  <c r="Q127" i="12"/>
  <c r="Q128" i="12"/>
  <c r="Q129" i="12"/>
  <c r="Q130" i="12"/>
  <c r="Q131" i="12"/>
  <c r="Q132" i="12"/>
  <c r="Q14" i="12"/>
  <c r="Q76" i="12"/>
  <c r="Q77" i="12"/>
  <c r="Q78" i="12"/>
  <c r="Q79" i="12"/>
  <c r="Q80" i="12"/>
  <c r="Q81" i="12"/>
  <c r="Q82" i="12"/>
  <c r="Q69" i="12"/>
  <c r="Q70" i="12"/>
  <c r="Q71" i="12"/>
  <c r="Q72" i="12"/>
  <c r="Q73" i="12"/>
  <c r="Q74" i="12"/>
  <c r="Q75" i="12"/>
  <c r="Q63" i="12"/>
  <c r="Q64" i="12"/>
  <c r="Q65" i="12"/>
  <c r="Q66" i="12"/>
  <c r="Q67" i="12"/>
  <c r="Q68" i="12"/>
  <c r="Q56" i="12"/>
  <c r="Q57" i="12"/>
  <c r="Q58" i="12"/>
  <c r="Q59" i="12"/>
  <c r="Q60" i="12"/>
  <c r="Q61" i="12"/>
  <c r="Q62" i="12"/>
  <c r="Q15" i="12"/>
  <c r="Q16" i="12"/>
  <c r="Q17" i="12"/>
  <c r="Q111" i="12"/>
  <c r="Q112" i="12"/>
  <c r="Q113" i="12"/>
  <c r="Q114" i="12"/>
  <c r="Q115" i="12"/>
  <c r="Q116" i="12"/>
  <c r="Q19" i="12"/>
  <c r="Q20" i="12"/>
  <c r="Q21" i="12"/>
  <c r="Q22" i="12"/>
  <c r="Q45" i="12"/>
  <c r="Q46" i="12"/>
  <c r="Q47" i="12"/>
  <c r="Q48" i="12"/>
  <c r="Q49" i="12"/>
  <c r="Q50" i="12"/>
  <c r="Q51" i="12"/>
  <c r="Q52" i="12"/>
  <c r="Q53" i="12"/>
  <c r="Q54" i="12"/>
  <c r="Q23" i="12"/>
  <c r="Q24" i="12"/>
  <c r="Q25" i="12"/>
  <c r="Q26" i="12"/>
  <c r="Q27" i="12"/>
  <c r="Q28" i="12"/>
  <c r="Q29" i="12"/>
  <c r="Q118" i="12"/>
  <c r="Q119" i="12"/>
  <c r="Q120" i="12"/>
  <c r="Q9" i="12"/>
  <c r="P10" i="12"/>
  <c r="P11" i="12"/>
  <c r="P12" i="12"/>
  <c r="P84" i="12"/>
  <c r="P85" i="12"/>
  <c r="P86" i="12"/>
  <c r="P87" i="12"/>
  <c r="P88" i="12"/>
  <c r="P89" i="12"/>
  <c r="P91" i="12"/>
  <c r="P92" i="12"/>
  <c r="P93" i="12"/>
  <c r="P94" i="12"/>
  <c r="P95" i="12"/>
  <c r="P96" i="12"/>
  <c r="P97" i="12"/>
  <c r="P90" i="12"/>
  <c r="P98" i="12"/>
  <c r="P99" i="12"/>
  <c r="P100" i="12"/>
  <c r="P101" i="12"/>
  <c r="P102" i="12"/>
  <c r="P103" i="12"/>
  <c r="P104" i="12"/>
  <c r="P105" i="12"/>
  <c r="P106" i="12"/>
  <c r="P109" i="12"/>
  <c r="P110" i="12"/>
  <c r="P108" i="12"/>
  <c r="P34" i="12"/>
  <c r="P35" i="12"/>
  <c r="P41" i="12"/>
  <c r="P42" i="12"/>
  <c r="P43" i="12"/>
  <c r="P44" i="12"/>
  <c r="P36" i="12"/>
  <c r="P37" i="12"/>
  <c r="P38" i="12"/>
  <c r="P31" i="12"/>
  <c r="P32" i="12"/>
  <c r="P33" i="12"/>
  <c r="P39" i="12"/>
  <c r="P40" i="12"/>
  <c r="P122" i="12"/>
  <c r="P123" i="12"/>
  <c r="P124" i="12"/>
  <c r="P125" i="12"/>
  <c r="P126" i="12"/>
  <c r="P127" i="12"/>
  <c r="P128" i="12"/>
  <c r="P129" i="12"/>
  <c r="P130" i="12"/>
  <c r="P131" i="12"/>
  <c r="P132" i="12"/>
  <c r="P14" i="12"/>
  <c r="P76" i="12"/>
  <c r="P77" i="12"/>
  <c r="P78" i="12"/>
  <c r="P79" i="12"/>
  <c r="P80" i="12"/>
  <c r="P81" i="12"/>
  <c r="P82" i="12"/>
  <c r="P69" i="12"/>
  <c r="P70" i="12"/>
  <c r="P71" i="12"/>
  <c r="P72" i="12"/>
  <c r="P73" i="12"/>
  <c r="P74" i="12"/>
  <c r="P75" i="12"/>
  <c r="P63" i="12"/>
  <c r="P64" i="12"/>
  <c r="P65" i="12"/>
  <c r="P66" i="12"/>
  <c r="P67" i="12"/>
  <c r="P68" i="12"/>
  <c r="P56" i="12"/>
  <c r="P57" i="12"/>
  <c r="P58" i="12"/>
  <c r="P59" i="12"/>
  <c r="P60" i="12"/>
  <c r="P61" i="12"/>
  <c r="P62" i="12"/>
  <c r="P15" i="12"/>
  <c r="P16" i="12"/>
  <c r="P17" i="12"/>
  <c r="P111" i="12"/>
  <c r="P112" i="12"/>
  <c r="P113" i="12"/>
  <c r="P114" i="12"/>
  <c r="P115" i="12"/>
  <c r="P116" i="12"/>
  <c r="P19" i="12"/>
  <c r="P20" i="12"/>
  <c r="P21" i="12"/>
  <c r="P22" i="12"/>
  <c r="P45" i="12"/>
  <c r="P46" i="12"/>
  <c r="P47" i="12"/>
  <c r="P48" i="12"/>
  <c r="P49" i="12"/>
  <c r="P50" i="12"/>
  <c r="P51" i="12"/>
  <c r="P52" i="12"/>
  <c r="P53" i="12"/>
  <c r="P54" i="12"/>
  <c r="P23" i="12"/>
  <c r="P24" i="12"/>
  <c r="P25" i="12"/>
  <c r="P26" i="12"/>
  <c r="P27" i="12"/>
  <c r="P28" i="12"/>
  <c r="P29" i="12"/>
  <c r="P118" i="12"/>
  <c r="P119" i="12"/>
  <c r="P120" i="12"/>
  <c r="P9" i="12"/>
  <c r="O10" i="12"/>
  <c r="O11" i="12"/>
  <c r="O12" i="12"/>
  <c r="O84" i="12"/>
  <c r="O85" i="12"/>
  <c r="O86" i="12"/>
  <c r="O87" i="12"/>
  <c r="O88" i="12"/>
  <c r="O89" i="12"/>
  <c r="O91" i="12"/>
  <c r="O92" i="12"/>
  <c r="O93" i="12"/>
  <c r="O94" i="12"/>
  <c r="O95" i="12"/>
  <c r="O96" i="12"/>
  <c r="O97" i="12"/>
  <c r="O90" i="12"/>
  <c r="O98" i="12"/>
  <c r="O99" i="12"/>
  <c r="O100" i="12"/>
  <c r="O101" i="12"/>
  <c r="O102" i="12"/>
  <c r="O103" i="12"/>
  <c r="O104" i="12"/>
  <c r="O105" i="12"/>
  <c r="O106" i="12"/>
  <c r="O109" i="12"/>
  <c r="O110" i="12"/>
  <c r="O108" i="12"/>
  <c r="O34" i="12"/>
  <c r="O35" i="12"/>
  <c r="O41" i="12"/>
  <c r="O42" i="12"/>
  <c r="O43" i="12"/>
  <c r="O44" i="12"/>
  <c r="O36" i="12"/>
  <c r="O37" i="12"/>
  <c r="O38" i="12"/>
  <c r="O31" i="12"/>
  <c r="O32" i="12"/>
  <c r="O33" i="12"/>
  <c r="O39" i="12"/>
  <c r="O40" i="12"/>
  <c r="O122" i="12"/>
  <c r="O123" i="12"/>
  <c r="O124" i="12"/>
  <c r="O125" i="12"/>
  <c r="O126" i="12"/>
  <c r="O127" i="12"/>
  <c r="O128" i="12"/>
  <c r="O129" i="12"/>
  <c r="O130" i="12"/>
  <c r="O131" i="12"/>
  <c r="O132" i="12"/>
  <c r="O14" i="12"/>
  <c r="O76" i="12"/>
  <c r="O77" i="12"/>
  <c r="O78" i="12"/>
  <c r="O79" i="12"/>
  <c r="O80" i="12"/>
  <c r="O81" i="12"/>
  <c r="O82" i="12"/>
  <c r="O69" i="12"/>
  <c r="O70" i="12"/>
  <c r="O71" i="12"/>
  <c r="O72" i="12"/>
  <c r="O73" i="12"/>
  <c r="O74" i="12"/>
  <c r="O75" i="12"/>
  <c r="O63" i="12"/>
  <c r="O64" i="12"/>
  <c r="O65" i="12"/>
  <c r="O66" i="12"/>
  <c r="O67" i="12"/>
  <c r="O68" i="12"/>
  <c r="O56" i="12"/>
  <c r="O57" i="12"/>
  <c r="O58" i="12"/>
  <c r="O59" i="12"/>
  <c r="O60" i="12"/>
  <c r="O61" i="12"/>
  <c r="O62" i="12"/>
  <c r="O15" i="12"/>
  <c r="O16" i="12"/>
  <c r="O17" i="12"/>
  <c r="O111" i="12"/>
  <c r="O112" i="12"/>
  <c r="O113" i="12"/>
  <c r="O114" i="12"/>
  <c r="O115" i="12"/>
  <c r="O116" i="12"/>
  <c r="O19" i="12"/>
  <c r="O20" i="12"/>
  <c r="O21" i="12"/>
  <c r="O22" i="12"/>
  <c r="O45" i="12"/>
  <c r="O46" i="12"/>
  <c r="O47" i="12"/>
  <c r="O48" i="12"/>
  <c r="O49" i="12"/>
  <c r="O50" i="12"/>
  <c r="O51" i="12"/>
  <c r="O52" i="12"/>
  <c r="O53" i="12"/>
  <c r="O54" i="12"/>
  <c r="O23" i="12"/>
  <c r="O24" i="12"/>
  <c r="O25" i="12"/>
  <c r="O26" i="12"/>
  <c r="O27" i="12"/>
  <c r="O28" i="12"/>
  <c r="O29" i="12"/>
  <c r="O118" i="12"/>
  <c r="O119" i="12"/>
  <c r="O120" i="12"/>
  <c r="O9" i="12"/>
  <c r="I10" i="12"/>
  <c r="J10" i="12" s="1"/>
  <c r="I11" i="12"/>
  <c r="J11" i="12" s="1"/>
  <c r="I12" i="12"/>
  <c r="J12" i="12" s="1"/>
  <c r="I84" i="12"/>
  <c r="J84" i="12" s="1"/>
  <c r="I85" i="12"/>
  <c r="J85" i="12" s="1"/>
  <c r="I86" i="12"/>
  <c r="J86" i="12" s="1"/>
  <c r="I87" i="12"/>
  <c r="J87" i="12" s="1"/>
  <c r="I88" i="12"/>
  <c r="J88" i="12" s="1"/>
  <c r="I89" i="12"/>
  <c r="J89" i="12" s="1"/>
  <c r="I91" i="12"/>
  <c r="J91" i="12" s="1"/>
  <c r="I92" i="12"/>
  <c r="J92" i="12" s="1"/>
  <c r="I93" i="12"/>
  <c r="J93" i="12" s="1"/>
  <c r="I94" i="12"/>
  <c r="J94" i="12" s="1"/>
  <c r="I95" i="12"/>
  <c r="J95" i="12" s="1"/>
  <c r="I96" i="12"/>
  <c r="J96" i="12" s="1"/>
  <c r="I97" i="12"/>
  <c r="J97" i="12" s="1"/>
  <c r="I90" i="12"/>
  <c r="J90" i="12" s="1"/>
  <c r="I98" i="12"/>
  <c r="J98" i="12" s="1"/>
  <c r="I99" i="12"/>
  <c r="J99" i="12" s="1"/>
  <c r="I100" i="12"/>
  <c r="J100" i="12" s="1"/>
  <c r="I101" i="12"/>
  <c r="J101" i="12" s="1"/>
  <c r="I102" i="12"/>
  <c r="J102" i="12" s="1"/>
  <c r="I103" i="12"/>
  <c r="J103" i="12" s="1"/>
  <c r="I104" i="12"/>
  <c r="J104" i="12" s="1"/>
  <c r="I105" i="12"/>
  <c r="J105" i="12" s="1"/>
  <c r="I106" i="12"/>
  <c r="J106" i="12" s="1"/>
  <c r="I109" i="12"/>
  <c r="J109" i="12" s="1"/>
  <c r="I110" i="12"/>
  <c r="J110" i="12" s="1"/>
  <c r="I108" i="12"/>
  <c r="J108" i="12" s="1"/>
  <c r="I34" i="12"/>
  <c r="J34" i="12" s="1"/>
  <c r="I35" i="12"/>
  <c r="J35" i="12" s="1"/>
  <c r="I41" i="12"/>
  <c r="J41" i="12" s="1"/>
  <c r="I42" i="12"/>
  <c r="J42" i="12" s="1"/>
  <c r="I43" i="12"/>
  <c r="J43" i="12" s="1"/>
  <c r="I44" i="12"/>
  <c r="J44" i="12" s="1"/>
  <c r="I36" i="12"/>
  <c r="J36" i="12" s="1"/>
  <c r="I37" i="12"/>
  <c r="J37" i="12" s="1"/>
  <c r="I38" i="12"/>
  <c r="J38" i="12" s="1"/>
  <c r="I31" i="12"/>
  <c r="J31" i="12" s="1"/>
  <c r="I32" i="12"/>
  <c r="J32" i="12" s="1"/>
  <c r="I33" i="12"/>
  <c r="J33" i="12" s="1"/>
  <c r="I39" i="12"/>
  <c r="J39" i="12" s="1"/>
  <c r="I40" i="12"/>
  <c r="J40" i="12" s="1"/>
  <c r="I122" i="12"/>
  <c r="J122" i="12" s="1"/>
  <c r="I123" i="12"/>
  <c r="J123" i="12" s="1"/>
  <c r="I124" i="12"/>
  <c r="J124" i="12" s="1"/>
  <c r="I125" i="12"/>
  <c r="J125" i="12" s="1"/>
  <c r="I126" i="12"/>
  <c r="J126" i="12" s="1"/>
  <c r="I127" i="12"/>
  <c r="J127" i="12" s="1"/>
  <c r="I128" i="12"/>
  <c r="J128" i="12" s="1"/>
  <c r="I129" i="12"/>
  <c r="J129" i="12" s="1"/>
  <c r="I130" i="12"/>
  <c r="J130" i="12" s="1"/>
  <c r="I131" i="12"/>
  <c r="J131" i="12" s="1"/>
  <c r="I132" i="12"/>
  <c r="J132" i="12" s="1"/>
  <c r="I14" i="12"/>
  <c r="J14" i="12" s="1"/>
  <c r="I76" i="12"/>
  <c r="J76" i="12" s="1"/>
  <c r="I77" i="12"/>
  <c r="J77" i="12" s="1"/>
  <c r="I78" i="12"/>
  <c r="J78" i="12" s="1"/>
  <c r="I79" i="12"/>
  <c r="J79" i="12" s="1"/>
  <c r="I80" i="12"/>
  <c r="J80" i="12" s="1"/>
  <c r="I81" i="12"/>
  <c r="J81" i="12" s="1"/>
  <c r="I82" i="12"/>
  <c r="J82" i="12" s="1"/>
  <c r="I69" i="12"/>
  <c r="J69" i="12" s="1"/>
  <c r="I70" i="12"/>
  <c r="J70" i="12" s="1"/>
  <c r="I71" i="12"/>
  <c r="J71" i="12" s="1"/>
  <c r="I72" i="12"/>
  <c r="J72" i="12" s="1"/>
  <c r="I73" i="12"/>
  <c r="J73" i="12" s="1"/>
  <c r="I74" i="12"/>
  <c r="J74" i="12" s="1"/>
  <c r="I75" i="12"/>
  <c r="J75" i="12" s="1"/>
  <c r="I63" i="12"/>
  <c r="J63" i="12" s="1"/>
  <c r="I64" i="12"/>
  <c r="J64" i="12" s="1"/>
  <c r="I65" i="12"/>
  <c r="J65" i="12" s="1"/>
  <c r="I66" i="12"/>
  <c r="J66" i="12" s="1"/>
  <c r="I67" i="12"/>
  <c r="J67" i="12" s="1"/>
  <c r="I68" i="12"/>
  <c r="J68" i="12" s="1"/>
  <c r="I56" i="12"/>
  <c r="J56" i="12" s="1"/>
  <c r="I57" i="12"/>
  <c r="J57" i="12" s="1"/>
  <c r="I58" i="12"/>
  <c r="J58" i="12" s="1"/>
  <c r="I59" i="12"/>
  <c r="J59" i="12" s="1"/>
  <c r="I60" i="12"/>
  <c r="J60" i="12" s="1"/>
  <c r="I61" i="12"/>
  <c r="J61" i="12" s="1"/>
  <c r="I62" i="12"/>
  <c r="J62" i="12" s="1"/>
  <c r="I15" i="12"/>
  <c r="J15" i="12" s="1"/>
  <c r="I16" i="12"/>
  <c r="J16" i="12" s="1"/>
  <c r="I17" i="12"/>
  <c r="J17" i="12" s="1"/>
  <c r="I111" i="12"/>
  <c r="J111" i="12" s="1"/>
  <c r="I112" i="12"/>
  <c r="J112" i="12" s="1"/>
  <c r="I113" i="12"/>
  <c r="J113" i="12" s="1"/>
  <c r="I114" i="12"/>
  <c r="J114" i="12" s="1"/>
  <c r="I115" i="12"/>
  <c r="J115" i="12" s="1"/>
  <c r="I116" i="12"/>
  <c r="J116" i="12" s="1"/>
  <c r="I19" i="12"/>
  <c r="J19" i="12" s="1"/>
  <c r="I20" i="12"/>
  <c r="J20" i="12" s="1"/>
  <c r="I21" i="12"/>
  <c r="J21" i="12" s="1"/>
  <c r="I22" i="12"/>
  <c r="J22" i="12" s="1"/>
  <c r="I45" i="12"/>
  <c r="J45" i="12" s="1"/>
  <c r="I46" i="12"/>
  <c r="J46" i="12" s="1"/>
  <c r="I47" i="12"/>
  <c r="J47" i="12" s="1"/>
  <c r="I48" i="12"/>
  <c r="J48" i="12" s="1"/>
  <c r="I49" i="12"/>
  <c r="J49" i="12" s="1"/>
  <c r="I50" i="12"/>
  <c r="J50" i="12" s="1"/>
  <c r="I51" i="12"/>
  <c r="J51" i="12" s="1"/>
  <c r="I52" i="12"/>
  <c r="J52" i="12" s="1"/>
  <c r="I53" i="12"/>
  <c r="J53" i="12" s="1"/>
  <c r="I54" i="12"/>
  <c r="J54" i="12" s="1"/>
  <c r="I23" i="12"/>
  <c r="J23" i="12" s="1"/>
  <c r="I24" i="12"/>
  <c r="J24" i="12" s="1"/>
  <c r="I25" i="12"/>
  <c r="J25" i="12" s="1"/>
  <c r="I26" i="12"/>
  <c r="J26" i="12" s="1"/>
  <c r="I27" i="12"/>
  <c r="J27" i="12" s="1"/>
  <c r="I28" i="12"/>
  <c r="J28" i="12" s="1"/>
  <c r="I29" i="12"/>
  <c r="J29" i="12" s="1"/>
  <c r="I118" i="12"/>
  <c r="J118" i="12" s="1"/>
  <c r="I119" i="12"/>
  <c r="J119" i="12" s="1"/>
  <c r="I120" i="12"/>
  <c r="J120" i="12" s="1"/>
  <c r="I9" i="12"/>
  <c r="J9" i="12" s="1"/>
  <c r="H10" i="12"/>
  <c r="H11" i="12"/>
  <c r="H12" i="12"/>
  <c r="H84" i="12"/>
  <c r="H85" i="12"/>
  <c r="H86" i="12"/>
  <c r="H87" i="12"/>
  <c r="H88" i="12"/>
  <c r="H89" i="12"/>
  <c r="H91" i="12"/>
  <c r="H92" i="12"/>
  <c r="H93" i="12"/>
  <c r="H94" i="12"/>
  <c r="H95" i="12"/>
  <c r="H96" i="12"/>
  <c r="H97" i="12"/>
  <c r="H90" i="12"/>
  <c r="H98" i="12"/>
  <c r="H99" i="12"/>
  <c r="H100" i="12"/>
  <c r="H101" i="12"/>
  <c r="H102" i="12"/>
  <c r="H103" i="12"/>
  <c r="H104" i="12"/>
  <c r="H105" i="12"/>
  <c r="H106" i="12"/>
  <c r="H109" i="12"/>
  <c r="H110" i="12"/>
  <c r="H108" i="12"/>
  <c r="H34" i="12"/>
  <c r="H35" i="12"/>
  <c r="H41" i="12"/>
  <c r="H42" i="12"/>
  <c r="H43" i="12"/>
  <c r="H44" i="12"/>
  <c r="H36" i="12"/>
  <c r="H37" i="12"/>
  <c r="H38" i="12"/>
  <c r="H31" i="12"/>
  <c r="H32" i="12"/>
  <c r="H33" i="12"/>
  <c r="H39" i="12"/>
  <c r="H40" i="12"/>
  <c r="H122" i="12"/>
  <c r="H123" i="12"/>
  <c r="H124" i="12"/>
  <c r="H125" i="12"/>
  <c r="H126" i="12"/>
  <c r="H127" i="12"/>
  <c r="H128" i="12"/>
  <c r="H129" i="12"/>
  <c r="H130" i="12"/>
  <c r="H131" i="12"/>
  <c r="H132" i="12"/>
  <c r="H14" i="12"/>
  <c r="H76" i="12"/>
  <c r="H77" i="12"/>
  <c r="H78" i="12"/>
  <c r="H79" i="12"/>
  <c r="H80" i="12"/>
  <c r="H81" i="12"/>
  <c r="H82" i="12"/>
  <c r="H69" i="12"/>
  <c r="H70" i="12"/>
  <c r="H71" i="12"/>
  <c r="H72" i="12"/>
  <c r="H73" i="12"/>
  <c r="H74" i="12"/>
  <c r="H75" i="12"/>
  <c r="H63" i="12"/>
  <c r="H64" i="12"/>
  <c r="H65" i="12"/>
  <c r="H66" i="12"/>
  <c r="H67" i="12"/>
  <c r="H68" i="12"/>
  <c r="H56" i="12"/>
  <c r="H57" i="12"/>
  <c r="H58" i="12"/>
  <c r="H59" i="12"/>
  <c r="H60" i="12"/>
  <c r="H61" i="12"/>
  <c r="H62" i="12"/>
  <c r="H15" i="12"/>
  <c r="H16" i="12"/>
  <c r="H17" i="12"/>
  <c r="H111" i="12"/>
  <c r="H112" i="12"/>
  <c r="H113" i="12"/>
  <c r="H114" i="12"/>
  <c r="H115" i="12"/>
  <c r="H116" i="12"/>
  <c r="H19" i="12"/>
  <c r="H20" i="12"/>
  <c r="H21" i="12"/>
  <c r="H22" i="12"/>
  <c r="H45" i="12"/>
  <c r="H46" i="12"/>
  <c r="H47" i="12"/>
  <c r="H48" i="12"/>
  <c r="H49" i="12"/>
  <c r="H50" i="12"/>
  <c r="H51" i="12"/>
  <c r="H52" i="12"/>
  <c r="H53" i="12"/>
  <c r="H54" i="12"/>
  <c r="H23" i="12"/>
  <c r="H24" i="12"/>
  <c r="H25" i="12"/>
  <c r="H26" i="12"/>
  <c r="H27" i="12"/>
  <c r="H28" i="12"/>
  <c r="H29" i="12"/>
  <c r="H118" i="12"/>
  <c r="H119" i="12"/>
  <c r="H120" i="12"/>
  <c r="H9" i="12"/>
  <c r="G10" i="12"/>
  <c r="G11" i="12"/>
  <c r="G12" i="12"/>
  <c r="G84" i="12"/>
  <c r="G85" i="12"/>
  <c r="G86" i="12"/>
  <c r="G87" i="12"/>
  <c r="G88" i="12"/>
  <c r="G89" i="12"/>
  <c r="G91" i="12"/>
  <c r="G92" i="12"/>
  <c r="G93" i="12"/>
  <c r="G94" i="12"/>
  <c r="G95" i="12"/>
  <c r="G96" i="12"/>
  <c r="G97" i="12"/>
  <c r="G90" i="12"/>
  <c r="G98" i="12"/>
  <c r="G99" i="12"/>
  <c r="G100" i="12"/>
  <c r="G101" i="12"/>
  <c r="G102" i="12"/>
  <c r="G103" i="12"/>
  <c r="G104" i="12"/>
  <c r="G105" i="12"/>
  <c r="G106" i="12"/>
  <c r="G109" i="12"/>
  <c r="G110" i="12"/>
  <c r="G108" i="12"/>
  <c r="G34" i="12"/>
  <c r="G35" i="12"/>
  <c r="G41" i="12"/>
  <c r="G42" i="12"/>
  <c r="G43" i="12"/>
  <c r="G44" i="12"/>
  <c r="G36" i="12"/>
  <c r="G37" i="12"/>
  <c r="G38" i="12"/>
  <c r="G31" i="12"/>
  <c r="G32" i="12"/>
  <c r="G33" i="12"/>
  <c r="G39" i="12"/>
  <c r="G40" i="12"/>
  <c r="G122" i="12"/>
  <c r="G123" i="12"/>
  <c r="G124" i="12"/>
  <c r="G125" i="12"/>
  <c r="G126" i="12"/>
  <c r="G127" i="12"/>
  <c r="G128" i="12"/>
  <c r="G129" i="12"/>
  <c r="G130" i="12"/>
  <c r="G131" i="12"/>
  <c r="G132" i="12"/>
  <c r="G14" i="12"/>
  <c r="G76" i="12"/>
  <c r="G77" i="12"/>
  <c r="G78" i="12"/>
  <c r="G79" i="12"/>
  <c r="G80" i="12"/>
  <c r="G81" i="12"/>
  <c r="G82" i="12"/>
  <c r="G69" i="12"/>
  <c r="G70" i="12"/>
  <c r="G71" i="12"/>
  <c r="G72" i="12"/>
  <c r="G73" i="12"/>
  <c r="G74" i="12"/>
  <c r="G75" i="12"/>
  <c r="G63" i="12"/>
  <c r="G64" i="12"/>
  <c r="G65" i="12"/>
  <c r="G66" i="12"/>
  <c r="G67" i="12"/>
  <c r="G68" i="12"/>
  <c r="G56" i="12"/>
  <c r="G57" i="12"/>
  <c r="G58" i="12"/>
  <c r="G59" i="12"/>
  <c r="G60" i="12"/>
  <c r="G61" i="12"/>
  <c r="G62" i="12"/>
  <c r="G15" i="12"/>
  <c r="G16" i="12"/>
  <c r="G17" i="12"/>
  <c r="G111" i="12"/>
  <c r="G112" i="12"/>
  <c r="G113" i="12"/>
  <c r="G114" i="12"/>
  <c r="G115" i="12"/>
  <c r="G116" i="12"/>
  <c r="G19" i="12"/>
  <c r="G20" i="12"/>
  <c r="G21" i="12"/>
  <c r="G22" i="12"/>
  <c r="G45" i="12"/>
  <c r="G46" i="12"/>
  <c r="G47" i="12"/>
  <c r="G48" i="12"/>
  <c r="G49" i="12"/>
  <c r="G50" i="12"/>
  <c r="G51" i="12"/>
  <c r="G52" i="12"/>
  <c r="G53" i="12"/>
  <c r="G54" i="12"/>
  <c r="G23" i="12"/>
  <c r="G24" i="12"/>
  <c r="G25" i="12"/>
  <c r="G26" i="12"/>
  <c r="G27" i="12"/>
  <c r="G28" i="12"/>
  <c r="G29" i="12"/>
  <c r="G118" i="12"/>
  <c r="G119" i="12"/>
  <c r="G120" i="12"/>
  <c r="G9" i="12"/>
  <c r="F10" i="12"/>
  <c r="F11" i="12"/>
  <c r="F12" i="12"/>
  <c r="F84" i="12"/>
  <c r="F85" i="12"/>
  <c r="F86" i="12"/>
  <c r="F87" i="12"/>
  <c r="F88" i="12"/>
  <c r="F89" i="12"/>
  <c r="F91" i="12"/>
  <c r="F92" i="12"/>
  <c r="F93" i="12"/>
  <c r="F94" i="12"/>
  <c r="F95" i="12"/>
  <c r="F96" i="12"/>
  <c r="F97" i="12"/>
  <c r="F90" i="12"/>
  <c r="F98" i="12"/>
  <c r="F99" i="12"/>
  <c r="F100" i="12"/>
  <c r="F101" i="12"/>
  <c r="F102" i="12"/>
  <c r="F103" i="12"/>
  <c r="F104" i="12"/>
  <c r="F105" i="12"/>
  <c r="F106" i="12"/>
  <c r="F109" i="12"/>
  <c r="F110" i="12"/>
  <c r="F108" i="12"/>
  <c r="F34" i="12"/>
  <c r="F35" i="12"/>
  <c r="F41" i="12"/>
  <c r="F42" i="12"/>
  <c r="F43" i="12"/>
  <c r="F44" i="12"/>
  <c r="F36" i="12"/>
  <c r="F37" i="12"/>
  <c r="F38" i="12"/>
  <c r="F31" i="12"/>
  <c r="F32" i="12"/>
  <c r="F33" i="12"/>
  <c r="F39" i="12"/>
  <c r="F40" i="12"/>
  <c r="F122" i="12"/>
  <c r="F123" i="12"/>
  <c r="F124" i="12"/>
  <c r="F125" i="12"/>
  <c r="F126" i="12"/>
  <c r="F127" i="12"/>
  <c r="F128" i="12"/>
  <c r="F129" i="12"/>
  <c r="F130" i="12"/>
  <c r="F131" i="12"/>
  <c r="F132" i="12"/>
  <c r="F14" i="12"/>
  <c r="F76" i="12"/>
  <c r="F77" i="12"/>
  <c r="F78" i="12"/>
  <c r="F79" i="12"/>
  <c r="F80" i="12"/>
  <c r="F81" i="12"/>
  <c r="F82" i="12"/>
  <c r="F69" i="12"/>
  <c r="F70" i="12"/>
  <c r="F71" i="12"/>
  <c r="F72" i="12"/>
  <c r="F73" i="12"/>
  <c r="F74" i="12"/>
  <c r="F75" i="12"/>
  <c r="F63" i="12"/>
  <c r="F64" i="12"/>
  <c r="F65" i="12"/>
  <c r="F66" i="12"/>
  <c r="F67" i="12"/>
  <c r="F68" i="12"/>
  <c r="F56" i="12"/>
  <c r="F57" i="12"/>
  <c r="F58" i="12"/>
  <c r="F59" i="12"/>
  <c r="F60" i="12"/>
  <c r="F61" i="12"/>
  <c r="F62" i="12"/>
  <c r="F15" i="12"/>
  <c r="F16" i="12"/>
  <c r="F17" i="12"/>
  <c r="F113" i="12"/>
  <c r="F114" i="12"/>
  <c r="F115" i="12"/>
  <c r="F116" i="12"/>
  <c r="F19" i="12"/>
  <c r="F20" i="12"/>
  <c r="F21" i="12"/>
  <c r="F22" i="12"/>
  <c r="F45" i="12"/>
  <c r="F46" i="12"/>
  <c r="F47" i="12"/>
  <c r="F48" i="12"/>
  <c r="F49" i="12"/>
  <c r="F50" i="12"/>
  <c r="F51" i="12"/>
  <c r="F52" i="12"/>
  <c r="F53" i="12"/>
  <c r="F54" i="12"/>
  <c r="F23" i="12"/>
  <c r="F24" i="12"/>
  <c r="F25" i="12"/>
  <c r="F26" i="12"/>
  <c r="F27" i="12"/>
  <c r="F28" i="12"/>
  <c r="F29" i="12"/>
  <c r="F118" i="12"/>
  <c r="F119" i="12"/>
  <c r="F120" i="12"/>
  <c r="F9" i="12"/>
  <c r="D10" i="12"/>
  <c r="D11" i="12"/>
  <c r="D12" i="12"/>
  <c r="D84" i="12"/>
  <c r="D85" i="12"/>
  <c r="D86" i="12"/>
  <c r="D87" i="12"/>
  <c r="D88" i="12"/>
  <c r="D89" i="12"/>
  <c r="D91" i="12"/>
  <c r="D92" i="12"/>
  <c r="D93" i="12"/>
  <c r="D94" i="12"/>
  <c r="D95" i="12"/>
  <c r="D96" i="12"/>
  <c r="D97" i="12"/>
  <c r="D90" i="12"/>
  <c r="D98" i="12"/>
  <c r="D99" i="12"/>
  <c r="D100" i="12"/>
  <c r="D101" i="12"/>
  <c r="D102" i="12"/>
  <c r="D103" i="12"/>
  <c r="D104" i="12"/>
  <c r="D105" i="12"/>
  <c r="D106" i="12"/>
  <c r="D109" i="12"/>
  <c r="D110" i="12"/>
  <c r="D108" i="12"/>
  <c r="D34" i="12"/>
  <c r="D35" i="12"/>
  <c r="D41" i="12"/>
  <c r="D42" i="12"/>
  <c r="D43" i="12"/>
  <c r="D44" i="12"/>
  <c r="D36" i="12"/>
  <c r="D37" i="12"/>
  <c r="D38" i="12"/>
  <c r="D31" i="12"/>
  <c r="D32" i="12"/>
  <c r="D33" i="12"/>
  <c r="D39" i="12"/>
  <c r="D40" i="12"/>
  <c r="D122" i="12"/>
  <c r="D123" i="12"/>
  <c r="D124" i="12"/>
  <c r="D125" i="12"/>
  <c r="D126" i="12"/>
  <c r="D127" i="12"/>
  <c r="D128" i="12"/>
  <c r="D129" i="12"/>
  <c r="D130" i="12"/>
  <c r="D131" i="12"/>
  <c r="D132" i="12"/>
  <c r="D14" i="12"/>
  <c r="D76" i="12"/>
  <c r="D77" i="12"/>
  <c r="D78" i="12"/>
  <c r="D79" i="12"/>
  <c r="D80" i="12"/>
  <c r="D81" i="12"/>
  <c r="D82" i="12"/>
  <c r="D69" i="12"/>
  <c r="D70" i="12"/>
  <c r="D71" i="12"/>
  <c r="D72" i="12"/>
  <c r="D73" i="12"/>
  <c r="D74" i="12"/>
  <c r="D75" i="12"/>
  <c r="D63" i="12"/>
  <c r="D64" i="12"/>
  <c r="D65" i="12"/>
  <c r="D66" i="12"/>
  <c r="D67" i="12"/>
  <c r="D68" i="12"/>
  <c r="D56" i="12"/>
  <c r="D57" i="12"/>
  <c r="D58" i="12"/>
  <c r="D59" i="12"/>
  <c r="D60" i="12"/>
  <c r="D61" i="12"/>
  <c r="D62" i="12"/>
  <c r="D15" i="12"/>
  <c r="D16" i="12"/>
  <c r="D17" i="12"/>
  <c r="D111" i="12"/>
  <c r="D112" i="12"/>
  <c r="D113" i="12"/>
  <c r="D114" i="12"/>
  <c r="D115" i="12"/>
  <c r="D116" i="12"/>
  <c r="D19" i="12"/>
  <c r="D20" i="12"/>
  <c r="D21" i="12"/>
  <c r="D22" i="12"/>
  <c r="D45" i="12"/>
  <c r="D46" i="12"/>
  <c r="D47" i="12"/>
  <c r="D48" i="12"/>
  <c r="D49" i="12"/>
  <c r="D50" i="12"/>
  <c r="D51" i="12"/>
  <c r="D52" i="12"/>
  <c r="D53" i="12"/>
  <c r="D54" i="12"/>
  <c r="D23" i="12"/>
  <c r="D24" i="12"/>
  <c r="D25" i="12"/>
  <c r="D26" i="12"/>
  <c r="D27" i="12"/>
  <c r="D28" i="12"/>
  <c r="D29" i="12"/>
  <c r="D118" i="12"/>
  <c r="D119" i="12"/>
  <c r="D120" i="12"/>
  <c r="D9" i="12"/>
  <c r="AA10" i="28"/>
  <c r="AA11" i="28"/>
  <c r="AA12" i="28"/>
  <c r="AA13" i="28"/>
  <c r="AA14" i="28"/>
  <c r="AA15" i="28"/>
  <c r="AA16" i="28"/>
  <c r="AA17" i="28"/>
  <c r="AA18" i="28"/>
  <c r="AA19" i="28"/>
  <c r="AA20" i="28"/>
  <c r="AA21" i="28"/>
  <c r="AA22" i="28"/>
  <c r="AA23" i="28"/>
  <c r="AA24" i="28"/>
  <c r="AA25" i="28"/>
  <c r="AA26" i="28"/>
  <c r="AA28" i="28"/>
  <c r="AA29" i="28"/>
  <c r="AA30" i="28"/>
  <c r="AA31" i="28"/>
  <c r="AA32" i="28"/>
  <c r="AA33" i="28"/>
  <c r="AA34" i="28"/>
  <c r="AA35" i="28"/>
  <c r="AA36" i="28"/>
  <c r="AA37" i="28"/>
  <c r="AA38" i="28"/>
  <c r="AA39" i="28"/>
  <c r="AA40" i="28"/>
  <c r="AA41" i="28"/>
  <c r="AA42" i="28"/>
  <c r="AA43" i="28"/>
  <c r="AA44" i="28"/>
  <c r="AA45" i="28"/>
  <c r="AA47" i="28"/>
  <c r="AA48" i="28"/>
  <c r="AA50" i="28"/>
  <c r="AA51" i="28"/>
  <c r="AA52" i="28"/>
  <c r="AA53" i="28"/>
  <c r="AA54" i="28"/>
  <c r="AA55" i="28"/>
  <c r="AA56" i="28"/>
  <c r="AA57" i="28"/>
  <c r="AA58" i="28"/>
  <c r="AA60" i="28"/>
  <c r="AA61" i="28"/>
  <c r="AA62" i="28"/>
  <c r="AA63" i="28"/>
  <c r="AA64" i="28"/>
  <c r="AA65" i="28"/>
  <c r="AA66" i="28"/>
  <c r="AA67" i="28"/>
  <c r="AA69" i="28"/>
  <c r="AA70" i="28"/>
  <c r="AA72" i="28"/>
  <c r="AA73" i="28"/>
  <c r="AA74" i="28"/>
  <c r="AA76" i="28"/>
  <c r="AA77" i="28"/>
  <c r="AA79" i="28"/>
  <c r="AA80" i="28"/>
  <c r="AA82" i="28"/>
  <c r="AA83" i="28"/>
  <c r="AA84" i="28"/>
  <c r="AA85" i="28"/>
  <c r="AA86" i="28"/>
  <c r="AA87" i="28"/>
  <c r="AA89" i="28"/>
  <c r="AA90" i="28"/>
  <c r="AA91" i="28"/>
  <c r="AA9" i="28"/>
  <c r="Z11" i="28"/>
  <c r="Z12" i="28"/>
  <c r="Z13" i="28"/>
  <c r="Z14" i="28"/>
  <c r="Z15" i="28"/>
  <c r="Z16" i="28"/>
  <c r="Z17" i="28"/>
  <c r="Z18" i="28"/>
  <c r="Z19" i="28"/>
  <c r="Z20" i="28"/>
  <c r="Z21" i="28"/>
  <c r="Z22" i="28"/>
  <c r="Z23" i="28"/>
  <c r="Z24" i="28"/>
  <c r="Z25" i="28"/>
  <c r="Z26" i="28"/>
  <c r="Z28" i="28"/>
  <c r="Z29" i="28"/>
  <c r="Z30" i="28"/>
  <c r="Z31" i="28"/>
  <c r="Z32" i="28"/>
  <c r="Z33" i="28"/>
  <c r="Z34" i="28"/>
  <c r="Z35" i="28"/>
  <c r="Z36" i="28"/>
  <c r="Z37" i="28"/>
  <c r="Z38" i="28"/>
  <c r="Z39" i="28"/>
  <c r="Z40" i="28"/>
  <c r="Z41" i="28"/>
  <c r="Z42" i="28"/>
  <c r="Z43" i="28"/>
  <c r="Z44" i="28"/>
  <c r="Z45" i="28"/>
  <c r="Z47" i="28"/>
  <c r="Z48" i="28"/>
  <c r="Z50" i="28"/>
  <c r="Z51" i="28"/>
  <c r="Z52" i="28"/>
  <c r="Z53" i="28"/>
  <c r="Z54" i="28"/>
  <c r="Z55" i="28"/>
  <c r="Z56" i="28"/>
  <c r="Z57" i="28"/>
  <c r="Z58" i="28"/>
  <c r="Z60" i="28"/>
  <c r="Z61" i="28"/>
  <c r="Z62" i="28"/>
  <c r="Z63" i="28"/>
  <c r="Z64" i="28"/>
  <c r="Z65" i="28"/>
  <c r="Z66" i="28"/>
  <c r="Z67" i="28"/>
  <c r="Z69" i="28"/>
  <c r="Z70" i="28"/>
  <c r="Z72" i="28"/>
  <c r="Z73" i="28"/>
  <c r="Z74" i="28"/>
  <c r="Z76" i="28"/>
  <c r="Z77" i="28"/>
  <c r="Z79" i="28"/>
  <c r="Z80" i="28"/>
  <c r="Z82" i="28"/>
  <c r="Z83" i="28"/>
  <c r="Z84" i="28"/>
  <c r="Z85" i="28"/>
  <c r="Z86" i="28"/>
  <c r="Z87" i="28"/>
  <c r="Z89" i="28"/>
  <c r="Z90" i="28"/>
  <c r="Z91" i="28"/>
  <c r="Z10" i="28"/>
  <c r="Z9" i="28"/>
  <c r="Y10" i="28"/>
  <c r="Y11" i="28"/>
  <c r="Y12" i="28"/>
  <c r="Y13" i="28"/>
  <c r="Y14" i="28"/>
  <c r="Y15" i="28"/>
  <c r="Y16" i="28"/>
  <c r="Y17" i="28"/>
  <c r="Y18" i="28"/>
  <c r="Y19" i="28"/>
  <c r="Y20" i="28"/>
  <c r="Y21" i="28"/>
  <c r="Y22" i="28"/>
  <c r="Y23" i="28"/>
  <c r="Y24" i="28"/>
  <c r="Y25" i="28"/>
  <c r="Y26" i="28"/>
  <c r="Y28" i="28"/>
  <c r="Y29" i="28"/>
  <c r="Y30" i="28"/>
  <c r="Y31" i="28"/>
  <c r="Y32" i="28"/>
  <c r="Y33" i="28"/>
  <c r="Y34" i="28"/>
  <c r="Y35" i="28"/>
  <c r="Y36" i="28"/>
  <c r="Y37" i="28"/>
  <c r="Y38" i="28"/>
  <c r="Y39" i="28"/>
  <c r="Y40" i="28"/>
  <c r="Y41" i="28"/>
  <c r="Y42" i="28"/>
  <c r="Y43" i="28"/>
  <c r="Y44" i="28"/>
  <c r="Y45" i="28"/>
  <c r="Y47" i="28"/>
  <c r="Y48" i="28"/>
  <c r="Y50" i="28"/>
  <c r="Y51" i="28"/>
  <c r="Y52" i="28"/>
  <c r="Y53" i="28"/>
  <c r="Y54" i="28"/>
  <c r="Y55" i="28"/>
  <c r="Y56" i="28"/>
  <c r="Y57" i="28"/>
  <c r="Y58" i="28"/>
  <c r="Y60" i="28"/>
  <c r="Y61" i="28"/>
  <c r="Y62" i="28"/>
  <c r="Y63" i="28"/>
  <c r="Y64" i="28"/>
  <c r="Y65" i="28"/>
  <c r="Y66" i="28"/>
  <c r="Y67" i="28"/>
  <c r="Y69" i="28"/>
  <c r="Y70" i="28"/>
  <c r="Y72" i="28"/>
  <c r="Y73" i="28"/>
  <c r="Y74" i="28"/>
  <c r="Y76" i="28"/>
  <c r="Y77" i="28"/>
  <c r="Y79" i="28"/>
  <c r="Y80" i="28"/>
  <c r="Y82" i="28"/>
  <c r="Y83" i="28"/>
  <c r="Y84" i="28"/>
  <c r="Y85" i="28"/>
  <c r="Y86" i="28"/>
  <c r="Y87" i="28"/>
  <c r="Y89" i="28"/>
  <c r="Y90" i="28"/>
  <c r="Y91" i="28"/>
  <c r="Y9" i="28"/>
  <c r="X11" i="28"/>
  <c r="X12" i="28"/>
  <c r="X13" i="28"/>
  <c r="X14" i="28"/>
  <c r="X15" i="28"/>
  <c r="X16" i="28"/>
  <c r="X17" i="28"/>
  <c r="X18" i="28"/>
  <c r="X19" i="28"/>
  <c r="X20" i="28"/>
  <c r="X21" i="28"/>
  <c r="X22" i="28"/>
  <c r="X23" i="28"/>
  <c r="X24" i="28"/>
  <c r="X25" i="28"/>
  <c r="X26" i="28"/>
  <c r="X28" i="28"/>
  <c r="X29" i="28"/>
  <c r="X30" i="28"/>
  <c r="X31" i="28"/>
  <c r="X32" i="28"/>
  <c r="X33" i="28"/>
  <c r="X34" i="28"/>
  <c r="X35" i="28"/>
  <c r="X36" i="28"/>
  <c r="X37" i="28"/>
  <c r="X38" i="28"/>
  <c r="X39" i="28"/>
  <c r="X40" i="28"/>
  <c r="X41" i="28"/>
  <c r="X42" i="28"/>
  <c r="X43" i="28"/>
  <c r="X44" i="28"/>
  <c r="X45" i="28"/>
  <c r="X47" i="28"/>
  <c r="X48" i="28"/>
  <c r="X50" i="28"/>
  <c r="X51" i="28"/>
  <c r="X52" i="28"/>
  <c r="X53" i="28"/>
  <c r="X54" i="28"/>
  <c r="X55" i="28"/>
  <c r="X56" i="28"/>
  <c r="X57" i="28"/>
  <c r="X58" i="28"/>
  <c r="X60" i="28"/>
  <c r="X61" i="28"/>
  <c r="X62" i="28"/>
  <c r="X63" i="28"/>
  <c r="X64" i="28"/>
  <c r="X65" i="28"/>
  <c r="X66" i="28"/>
  <c r="X67" i="28"/>
  <c r="X69" i="28"/>
  <c r="X70" i="28"/>
  <c r="X72" i="28"/>
  <c r="X73" i="28"/>
  <c r="X74" i="28"/>
  <c r="X76" i="28"/>
  <c r="X77" i="28"/>
  <c r="X79" i="28"/>
  <c r="X80" i="28"/>
  <c r="X82" i="28"/>
  <c r="X83" i="28"/>
  <c r="X84" i="28"/>
  <c r="X85" i="28"/>
  <c r="X86" i="28"/>
  <c r="X87" i="28"/>
  <c r="X89" i="28"/>
  <c r="X90" i="28"/>
  <c r="X91" i="28"/>
  <c r="X10" i="28"/>
  <c r="X9" i="28"/>
  <c r="W11" i="28"/>
  <c r="W12" i="28"/>
  <c r="W13" i="28"/>
  <c r="W14" i="28"/>
  <c r="W15" i="28"/>
  <c r="W16" i="28"/>
  <c r="W17" i="28"/>
  <c r="W18" i="28"/>
  <c r="W19" i="28"/>
  <c r="W20" i="28"/>
  <c r="W21" i="28"/>
  <c r="W22" i="28"/>
  <c r="W23" i="28"/>
  <c r="W24" i="28"/>
  <c r="W25" i="28"/>
  <c r="W26" i="28"/>
  <c r="W28" i="28"/>
  <c r="W29" i="28"/>
  <c r="W30" i="28"/>
  <c r="W31" i="28"/>
  <c r="W32" i="28"/>
  <c r="W33" i="28"/>
  <c r="W34" i="28"/>
  <c r="W35" i="28"/>
  <c r="W36" i="28"/>
  <c r="W37" i="28"/>
  <c r="W38" i="28"/>
  <c r="W39" i="28"/>
  <c r="W40" i="28"/>
  <c r="W41" i="28"/>
  <c r="W42" i="28"/>
  <c r="W43" i="28"/>
  <c r="W44" i="28"/>
  <c r="W45" i="28"/>
  <c r="W47" i="28"/>
  <c r="W48" i="28"/>
  <c r="W50" i="28"/>
  <c r="W51" i="28"/>
  <c r="W52" i="28"/>
  <c r="W53" i="28"/>
  <c r="W54" i="28"/>
  <c r="W55" i="28"/>
  <c r="W56" i="28"/>
  <c r="W57" i="28"/>
  <c r="W58" i="28"/>
  <c r="W60" i="28"/>
  <c r="W61" i="28"/>
  <c r="W62" i="28"/>
  <c r="W63" i="28"/>
  <c r="W64" i="28"/>
  <c r="W65" i="28"/>
  <c r="W66" i="28"/>
  <c r="W67" i="28"/>
  <c r="W69" i="28"/>
  <c r="W70" i="28"/>
  <c r="W72" i="28"/>
  <c r="W73" i="28"/>
  <c r="W74" i="28"/>
  <c r="W76" i="28"/>
  <c r="W77" i="28"/>
  <c r="W79" i="28"/>
  <c r="W80" i="28"/>
  <c r="W82" i="28"/>
  <c r="W83" i="28"/>
  <c r="W84" i="28"/>
  <c r="W85" i="28"/>
  <c r="W86" i="28"/>
  <c r="W87" i="28"/>
  <c r="W89" i="28"/>
  <c r="W90" i="28"/>
  <c r="W91" i="28"/>
  <c r="W10" i="28"/>
  <c r="W9" i="28"/>
  <c r="V11" i="28"/>
  <c r="V12" i="28"/>
  <c r="V13" i="28"/>
  <c r="V14" i="28"/>
  <c r="V15" i="28"/>
  <c r="V16" i="28"/>
  <c r="V17" i="28"/>
  <c r="V18" i="28"/>
  <c r="V19" i="28"/>
  <c r="V20" i="28"/>
  <c r="V21" i="28"/>
  <c r="V22" i="28"/>
  <c r="V23" i="28"/>
  <c r="V24" i="28"/>
  <c r="V25" i="28"/>
  <c r="V26" i="28"/>
  <c r="V28" i="28"/>
  <c r="V29" i="28"/>
  <c r="V30" i="28"/>
  <c r="V31" i="28"/>
  <c r="V32" i="28"/>
  <c r="V33" i="28"/>
  <c r="V34" i="28"/>
  <c r="V35" i="28"/>
  <c r="V36" i="28"/>
  <c r="V37" i="28"/>
  <c r="V38" i="28"/>
  <c r="V39" i="28"/>
  <c r="V40" i="28"/>
  <c r="V41" i="28"/>
  <c r="V42" i="28"/>
  <c r="V43" i="28"/>
  <c r="V44" i="28"/>
  <c r="V45" i="28"/>
  <c r="V47" i="28"/>
  <c r="V48" i="28"/>
  <c r="V50" i="28"/>
  <c r="V51" i="28"/>
  <c r="V52" i="28"/>
  <c r="V53" i="28"/>
  <c r="V54" i="28"/>
  <c r="V55" i="28"/>
  <c r="V56" i="28"/>
  <c r="V57" i="28"/>
  <c r="V58" i="28"/>
  <c r="V60" i="28"/>
  <c r="V61" i="28"/>
  <c r="V62" i="28"/>
  <c r="V63" i="28"/>
  <c r="V64" i="28"/>
  <c r="V65" i="28"/>
  <c r="V66" i="28"/>
  <c r="V67" i="28"/>
  <c r="V69" i="28"/>
  <c r="V70" i="28"/>
  <c r="V72" i="28"/>
  <c r="V73" i="28"/>
  <c r="V74" i="28"/>
  <c r="V76" i="28"/>
  <c r="V77" i="28"/>
  <c r="V79" i="28"/>
  <c r="V80" i="28"/>
  <c r="V82" i="28"/>
  <c r="V83" i="28"/>
  <c r="V84" i="28"/>
  <c r="V85" i="28"/>
  <c r="V86" i="28"/>
  <c r="V87" i="28"/>
  <c r="V89" i="28"/>
  <c r="V90" i="28"/>
  <c r="V91" i="28"/>
  <c r="V10" i="28"/>
  <c r="V9" i="28"/>
  <c r="U10" i="28"/>
  <c r="U11" i="28"/>
  <c r="U12" i="28"/>
  <c r="U13" i="28"/>
  <c r="U14" i="28"/>
  <c r="U15" i="28"/>
  <c r="U16" i="28"/>
  <c r="U17" i="28"/>
  <c r="U18" i="28"/>
  <c r="U19" i="28"/>
  <c r="U20" i="28"/>
  <c r="U21" i="28"/>
  <c r="U22" i="28"/>
  <c r="U23" i="28"/>
  <c r="U24" i="28"/>
  <c r="U25" i="28"/>
  <c r="U26" i="28"/>
  <c r="U28" i="28"/>
  <c r="U29" i="28"/>
  <c r="U30" i="28"/>
  <c r="U31" i="28"/>
  <c r="U32" i="28"/>
  <c r="U33" i="28"/>
  <c r="U34" i="28"/>
  <c r="U35" i="28"/>
  <c r="U36" i="28"/>
  <c r="U37" i="28"/>
  <c r="U38" i="28"/>
  <c r="U39" i="28"/>
  <c r="U40" i="28"/>
  <c r="U41" i="28"/>
  <c r="U42" i="28"/>
  <c r="U43" i="28"/>
  <c r="U44" i="28"/>
  <c r="U45" i="28"/>
  <c r="U47" i="28"/>
  <c r="U48" i="28"/>
  <c r="U50" i="28"/>
  <c r="U51" i="28"/>
  <c r="U52" i="28"/>
  <c r="U53" i="28"/>
  <c r="U54" i="28"/>
  <c r="U55" i="28"/>
  <c r="U56" i="28"/>
  <c r="U57" i="28"/>
  <c r="U58" i="28"/>
  <c r="U60" i="28"/>
  <c r="U61" i="28"/>
  <c r="U62" i="28"/>
  <c r="U63" i="28"/>
  <c r="U64" i="28"/>
  <c r="U65" i="28"/>
  <c r="U66" i="28"/>
  <c r="U67" i="28"/>
  <c r="U69" i="28"/>
  <c r="U70" i="28"/>
  <c r="U72" i="28"/>
  <c r="U73" i="28"/>
  <c r="U74" i="28"/>
  <c r="U76" i="28"/>
  <c r="U77" i="28"/>
  <c r="U79" i="28"/>
  <c r="U80" i="28"/>
  <c r="U82" i="28"/>
  <c r="U83" i="28"/>
  <c r="U84" i="28"/>
  <c r="U85" i="28"/>
  <c r="U86" i="28"/>
  <c r="U87" i="28"/>
  <c r="U89" i="28"/>
  <c r="U90" i="28"/>
  <c r="U91" i="28"/>
  <c r="U9" i="28"/>
  <c r="T10" i="28"/>
  <c r="T11" i="28"/>
  <c r="T12" i="28"/>
  <c r="T13" i="28"/>
  <c r="T14" i="28"/>
  <c r="T15" i="28"/>
  <c r="T16" i="28"/>
  <c r="T17" i="28"/>
  <c r="T18" i="28"/>
  <c r="T19" i="28"/>
  <c r="T20" i="28"/>
  <c r="T21" i="28"/>
  <c r="T22" i="28"/>
  <c r="T23" i="28"/>
  <c r="T24" i="28"/>
  <c r="T25" i="28"/>
  <c r="T26" i="28"/>
  <c r="T28" i="28"/>
  <c r="T29" i="28"/>
  <c r="T30" i="28"/>
  <c r="T31" i="28"/>
  <c r="T32" i="28"/>
  <c r="T33" i="28"/>
  <c r="T34" i="28"/>
  <c r="T35" i="28"/>
  <c r="T36" i="28"/>
  <c r="T37" i="28"/>
  <c r="T38" i="28"/>
  <c r="T39" i="28"/>
  <c r="T40" i="28"/>
  <c r="T41" i="28"/>
  <c r="T42" i="28"/>
  <c r="T43" i="28"/>
  <c r="T44" i="28"/>
  <c r="T45" i="28"/>
  <c r="T47" i="28"/>
  <c r="T48" i="28"/>
  <c r="T50" i="28"/>
  <c r="T51" i="28"/>
  <c r="T52" i="28"/>
  <c r="T53" i="28"/>
  <c r="T54" i="28"/>
  <c r="T55" i="28"/>
  <c r="T56" i="28"/>
  <c r="T57" i="28"/>
  <c r="T58" i="28"/>
  <c r="T60" i="28"/>
  <c r="T61" i="28"/>
  <c r="T62" i="28"/>
  <c r="T63" i="28"/>
  <c r="T64" i="28"/>
  <c r="T65" i="28"/>
  <c r="T66" i="28"/>
  <c r="T67" i="28"/>
  <c r="T69" i="28"/>
  <c r="T70" i="28"/>
  <c r="T72" i="28"/>
  <c r="T73" i="28"/>
  <c r="T74" i="28"/>
  <c r="T76" i="28"/>
  <c r="T77" i="28"/>
  <c r="T79" i="28"/>
  <c r="T80" i="28"/>
  <c r="T82" i="28"/>
  <c r="T83" i="28"/>
  <c r="T84" i="28"/>
  <c r="T85" i="28"/>
  <c r="T86" i="28"/>
  <c r="T87" i="28"/>
  <c r="T89" i="28"/>
  <c r="T90" i="28"/>
  <c r="T91" i="28"/>
  <c r="T9" i="28"/>
  <c r="S10" i="28"/>
  <c r="S11" i="28"/>
  <c r="S12" i="28"/>
  <c r="S13" i="28"/>
  <c r="S14" i="28"/>
  <c r="S15" i="28"/>
  <c r="S16" i="28"/>
  <c r="S17" i="28"/>
  <c r="S18" i="28"/>
  <c r="S19" i="28"/>
  <c r="S20" i="28"/>
  <c r="S21" i="28"/>
  <c r="S22" i="28"/>
  <c r="S23" i="28"/>
  <c r="S24" i="28"/>
  <c r="S25" i="28"/>
  <c r="S28" i="28"/>
  <c r="S29" i="28"/>
  <c r="S30" i="28"/>
  <c r="S31" i="28"/>
  <c r="S32" i="28"/>
  <c r="S33" i="28"/>
  <c r="S34" i="28"/>
  <c r="S35" i="28"/>
  <c r="S36" i="28"/>
  <c r="S37" i="28"/>
  <c r="S38" i="28"/>
  <c r="S39" i="28"/>
  <c r="S40" i="28"/>
  <c r="S41" i="28"/>
  <c r="S42" i="28"/>
  <c r="S43" i="28"/>
  <c r="S44" i="28"/>
  <c r="S45" i="28"/>
  <c r="S47" i="28"/>
  <c r="S48" i="28"/>
  <c r="S50" i="28"/>
  <c r="S51" i="28"/>
  <c r="S52" i="28"/>
  <c r="S53" i="28"/>
  <c r="S54" i="28"/>
  <c r="S55" i="28"/>
  <c r="S56" i="28"/>
  <c r="S57" i="28"/>
  <c r="S58" i="28"/>
  <c r="S60" i="28"/>
  <c r="S61" i="28"/>
  <c r="S62" i="28"/>
  <c r="S63" i="28"/>
  <c r="S64" i="28"/>
  <c r="S65" i="28"/>
  <c r="S66" i="28"/>
  <c r="S67" i="28"/>
  <c r="S69" i="28"/>
  <c r="S70" i="28"/>
  <c r="S72" i="28"/>
  <c r="S73" i="28"/>
  <c r="S74" i="28"/>
  <c r="S76" i="28"/>
  <c r="S77" i="28"/>
  <c r="S79" i="28"/>
  <c r="S80" i="28"/>
  <c r="S82" i="28"/>
  <c r="S83" i="28"/>
  <c r="S84" i="28"/>
  <c r="S85" i="28"/>
  <c r="S86" i="28"/>
  <c r="S87" i="28"/>
  <c r="S89" i="28"/>
  <c r="S90" i="28"/>
  <c r="S91" i="28"/>
  <c r="S9" i="28"/>
  <c r="L17" i="28"/>
  <c r="L18" i="28"/>
  <c r="L19" i="28"/>
  <c r="L20" i="28"/>
  <c r="L21" i="28"/>
  <c r="L22" i="28"/>
  <c r="L23" i="28"/>
  <c r="L24" i="28"/>
  <c r="L25" i="28"/>
  <c r="L26" i="28"/>
  <c r="L28" i="28"/>
  <c r="L29" i="28"/>
  <c r="L30" i="28"/>
  <c r="L31" i="28"/>
  <c r="L32" i="28"/>
  <c r="L33" i="28"/>
  <c r="L34" i="28"/>
  <c r="L35" i="28"/>
  <c r="L36" i="28"/>
  <c r="L37" i="28"/>
  <c r="L38" i="28"/>
  <c r="L39" i="28"/>
  <c r="L40" i="28"/>
  <c r="L41" i="28"/>
  <c r="L42" i="28"/>
  <c r="L43" i="28"/>
  <c r="L44" i="28"/>
  <c r="L45" i="28"/>
  <c r="L47" i="28"/>
  <c r="L48" i="28"/>
  <c r="L50" i="28"/>
  <c r="L51" i="28"/>
  <c r="L52" i="28"/>
  <c r="L53" i="28"/>
  <c r="L54" i="28"/>
  <c r="L55" i="28"/>
  <c r="L56" i="28"/>
  <c r="L57" i="28"/>
  <c r="L58" i="28"/>
  <c r="L60" i="28"/>
  <c r="L61" i="28"/>
  <c r="L62" i="28"/>
  <c r="L63" i="28"/>
  <c r="L64" i="28"/>
  <c r="L65" i="28"/>
  <c r="L66" i="28"/>
  <c r="L67" i="28"/>
  <c r="L69" i="28"/>
  <c r="L70" i="28"/>
  <c r="L72" i="28"/>
  <c r="L73" i="28"/>
  <c r="L74" i="28"/>
  <c r="L76" i="28"/>
  <c r="L77" i="28"/>
  <c r="L79" i="28"/>
  <c r="L80" i="28"/>
  <c r="L82" i="28"/>
  <c r="L83" i="28"/>
  <c r="L84" i="28"/>
  <c r="L85" i="28"/>
  <c r="L86" i="28"/>
  <c r="L87" i="28"/>
  <c r="L89" i="28"/>
  <c r="L90" i="28"/>
  <c r="L91" i="28"/>
  <c r="L10" i="28"/>
  <c r="L11" i="28"/>
  <c r="L12" i="28"/>
  <c r="L13" i="28"/>
  <c r="L14" i="28"/>
  <c r="L15" i="28"/>
  <c r="L16" i="28"/>
  <c r="L9" i="28"/>
  <c r="K10" i="28"/>
  <c r="K11" i="28"/>
  <c r="K12" i="28"/>
  <c r="K13" i="28"/>
  <c r="K14" i="28"/>
  <c r="K15" i="28"/>
  <c r="K16" i="28"/>
  <c r="K17" i="28"/>
  <c r="K18" i="28"/>
  <c r="K19" i="28"/>
  <c r="K20" i="28"/>
  <c r="K21" i="28"/>
  <c r="K22" i="28"/>
  <c r="K23" i="28"/>
  <c r="K24" i="28"/>
  <c r="K25" i="28"/>
  <c r="K26" i="28"/>
  <c r="K28" i="28"/>
  <c r="K29" i="28"/>
  <c r="K30" i="28"/>
  <c r="K31" i="28"/>
  <c r="K32" i="28"/>
  <c r="K33" i="28"/>
  <c r="K34" i="28"/>
  <c r="K35" i="28"/>
  <c r="K36" i="28"/>
  <c r="K37" i="28"/>
  <c r="K38" i="28"/>
  <c r="K39" i="28"/>
  <c r="K40" i="28"/>
  <c r="K41" i="28"/>
  <c r="K42" i="28"/>
  <c r="K43" i="28"/>
  <c r="K44" i="28"/>
  <c r="K45" i="28"/>
  <c r="K47" i="28"/>
  <c r="K48" i="28"/>
  <c r="K50" i="28"/>
  <c r="K51" i="28"/>
  <c r="K52" i="28"/>
  <c r="K53" i="28"/>
  <c r="K54" i="28"/>
  <c r="K55" i="28"/>
  <c r="K56" i="28"/>
  <c r="K57" i="28"/>
  <c r="K58" i="28"/>
  <c r="K60" i="28"/>
  <c r="K61" i="28"/>
  <c r="K62" i="28"/>
  <c r="K63" i="28"/>
  <c r="K64" i="28"/>
  <c r="K65" i="28"/>
  <c r="K66" i="28"/>
  <c r="K67" i="28"/>
  <c r="K69" i="28"/>
  <c r="K70" i="28"/>
  <c r="K72" i="28"/>
  <c r="K73" i="28"/>
  <c r="K74" i="28"/>
  <c r="K76" i="28"/>
  <c r="K77" i="28"/>
  <c r="K79" i="28"/>
  <c r="K80" i="28"/>
  <c r="K82" i="28"/>
  <c r="K83" i="28"/>
  <c r="K84" i="28"/>
  <c r="K85" i="28"/>
  <c r="K86" i="28"/>
  <c r="K87" i="28"/>
  <c r="K89" i="28"/>
  <c r="K90" i="28"/>
  <c r="K91" i="28"/>
  <c r="K9" i="28"/>
  <c r="F10" i="28"/>
  <c r="F11" i="28"/>
  <c r="F12" i="28"/>
  <c r="F13" i="28"/>
  <c r="F14" i="28"/>
  <c r="F15" i="28"/>
  <c r="F16" i="28"/>
  <c r="F17" i="28"/>
  <c r="F18" i="28"/>
  <c r="F19" i="28"/>
  <c r="F20" i="28"/>
  <c r="F21" i="28"/>
  <c r="F22" i="28"/>
  <c r="F23" i="28"/>
  <c r="F24" i="28"/>
  <c r="F25" i="28"/>
  <c r="F26" i="28"/>
  <c r="F28" i="28"/>
  <c r="F29" i="28"/>
  <c r="F30" i="28"/>
  <c r="F31" i="28"/>
  <c r="F32" i="28"/>
  <c r="F33" i="28"/>
  <c r="F34" i="28"/>
  <c r="F35" i="28"/>
  <c r="F36" i="28"/>
  <c r="F37" i="28"/>
  <c r="F38" i="28"/>
  <c r="F39" i="28"/>
  <c r="F40" i="28"/>
  <c r="F41" i="28"/>
  <c r="F42" i="28"/>
  <c r="F43" i="28"/>
  <c r="F44" i="28"/>
  <c r="F45" i="28"/>
  <c r="F47" i="28"/>
  <c r="F48" i="28"/>
  <c r="F50" i="28"/>
  <c r="F51" i="28"/>
  <c r="F52" i="28"/>
  <c r="F53" i="28"/>
  <c r="F54" i="28"/>
  <c r="F55" i="28"/>
  <c r="F56" i="28"/>
  <c r="F57" i="28"/>
  <c r="F58" i="28"/>
  <c r="F60" i="28"/>
  <c r="F61" i="28"/>
  <c r="F62" i="28"/>
  <c r="F63" i="28"/>
  <c r="F64" i="28"/>
  <c r="F65" i="28"/>
  <c r="F66" i="28"/>
  <c r="F67" i="28"/>
  <c r="F69" i="28"/>
  <c r="F70" i="28"/>
  <c r="F72" i="28"/>
  <c r="F73" i="28"/>
  <c r="F74" i="28"/>
  <c r="F76" i="28"/>
  <c r="F77" i="28"/>
  <c r="F79" i="28"/>
  <c r="F80" i="28"/>
  <c r="F82" i="28"/>
  <c r="F83" i="28"/>
  <c r="F84" i="28"/>
  <c r="F85" i="28"/>
  <c r="F86" i="28"/>
  <c r="F87" i="28"/>
  <c r="F89" i="28"/>
  <c r="F90" i="28"/>
  <c r="F91" i="28"/>
  <c r="F9" i="28"/>
  <c r="D10" i="28"/>
  <c r="D11" i="28"/>
  <c r="D12" i="28"/>
  <c r="D13" i="28"/>
  <c r="D14" i="28"/>
  <c r="D15" i="28"/>
  <c r="D16" i="28"/>
  <c r="D17" i="28"/>
  <c r="D18" i="28"/>
  <c r="D19" i="28"/>
  <c r="D20" i="28"/>
  <c r="D21" i="28"/>
  <c r="D22" i="28"/>
  <c r="D23" i="28"/>
  <c r="D24" i="28"/>
  <c r="D25" i="28"/>
  <c r="D26" i="28"/>
  <c r="D28" i="28"/>
  <c r="D29" i="28"/>
  <c r="D30" i="28"/>
  <c r="D31" i="28"/>
  <c r="D32" i="28"/>
  <c r="D33" i="28"/>
  <c r="D34" i="28"/>
  <c r="D35" i="28"/>
  <c r="D36" i="28"/>
  <c r="D37" i="28"/>
  <c r="D38" i="28"/>
  <c r="D39" i="28"/>
  <c r="D40" i="28"/>
  <c r="D41" i="28"/>
  <c r="D42" i="28"/>
  <c r="D43" i="28"/>
  <c r="D44" i="28"/>
  <c r="D45" i="28"/>
  <c r="D47" i="28"/>
  <c r="D48" i="28"/>
  <c r="D50" i="28"/>
  <c r="D51" i="28"/>
  <c r="D52" i="28"/>
  <c r="D53" i="28"/>
  <c r="D54" i="28"/>
  <c r="D55" i="28"/>
  <c r="D56" i="28"/>
  <c r="D57" i="28"/>
  <c r="D58" i="28"/>
  <c r="D60" i="28"/>
  <c r="D61" i="28"/>
  <c r="D62" i="28"/>
  <c r="D63" i="28"/>
  <c r="D64" i="28"/>
  <c r="D65" i="28"/>
  <c r="D66" i="28"/>
  <c r="D67" i="28"/>
  <c r="D69" i="28"/>
  <c r="D70" i="28"/>
  <c r="D72" i="28"/>
  <c r="D73" i="28"/>
  <c r="D74" i="28"/>
  <c r="D76" i="28"/>
  <c r="D77" i="28"/>
  <c r="D79" i="28"/>
  <c r="D80" i="28"/>
  <c r="D82" i="28"/>
  <c r="D83" i="28"/>
  <c r="D84" i="28"/>
  <c r="D85" i="28"/>
  <c r="D86" i="28"/>
  <c r="D87" i="28"/>
  <c r="D89" i="28"/>
  <c r="D90" i="28"/>
  <c r="D91" i="28"/>
  <c r="D9" i="28"/>
  <c r="W180" i="32"/>
  <c r="W181" i="32"/>
  <c r="W182" i="32"/>
  <c r="W183" i="32"/>
  <c r="W184" i="32"/>
  <c r="W179" i="32"/>
  <c r="W171" i="32"/>
  <c r="W172" i="32"/>
  <c r="W173" i="32"/>
  <c r="W174" i="32"/>
  <c r="W175" i="32"/>
  <c r="W176" i="32"/>
  <c r="W177" i="32"/>
  <c r="W170" i="32"/>
  <c r="W164" i="32"/>
  <c r="W165" i="32"/>
  <c r="W166" i="32"/>
  <c r="W167" i="32"/>
  <c r="W168" i="32"/>
  <c r="W163" i="32"/>
  <c r="W157" i="32"/>
  <c r="W158" i="32"/>
  <c r="W159" i="32"/>
  <c r="W160" i="32"/>
  <c r="W161" i="32"/>
  <c r="W156" i="32"/>
  <c r="W150" i="32"/>
  <c r="W151" i="32"/>
  <c r="W152" i="32"/>
  <c r="W153" i="32"/>
  <c r="W154" i="32"/>
  <c r="W149" i="32"/>
  <c r="W134" i="32"/>
  <c r="W135" i="32"/>
  <c r="W136" i="32"/>
  <c r="W137" i="32"/>
  <c r="W138" i="32"/>
  <c r="W139" i="32"/>
  <c r="W140" i="32"/>
  <c r="W141" i="32"/>
  <c r="W142" i="32"/>
  <c r="W143" i="32"/>
  <c r="W144" i="32"/>
  <c r="W145" i="32"/>
  <c r="W146" i="32"/>
  <c r="W147" i="32"/>
  <c r="W133" i="32"/>
  <c r="W131" i="32"/>
  <c r="W130" i="32"/>
  <c r="W128" i="32"/>
  <c r="W120" i="32"/>
  <c r="W121" i="32"/>
  <c r="W122" i="32"/>
  <c r="W123" i="32"/>
  <c r="W124" i="32"/>
  <c r="W125" i="32"/>
  <c r="W126" i="32"/>
  <c r="W119" i="32"/>
  <c r="W113" i="32"/>
  <c r="W114" i="32"/>
  <c r="W115" i="32"/>
  <c r="W116" i="32"/>
  <c r="W117" i="32"/>
  <c r="W112" i="32"/>
  <c r="W110" i="32"/>
  <c r="W107" i="32"/>
  <c r="W108" i="32"/>
  <c r="W106" i="32"/>
  <c r="W103" i="32"/>
  <c r="W104" i="32"/>
  <c r="W102" i="32"/>
  <c r="W98" i="32"/>
  <c r="W99" i="32"/>
  <c r="W100" i="32"/>
  <c r="W97" i="32"/>
  <c r="W87" i="32"/>
  <c r="W88" i="32"/>
  <c r="W89" i="32"/>
  <c r="W90" i="32"/>
  <c r="W91" i="32"/>
  <c r="W92" i="32"/>
  <c r="W93" i="32"/>
  <c r="W94" i="32"/>
  <c r="W95" i="32"/>
  <c r="W86" i="32"/>
  <c r="W80" i="32"/>
  <c r="W81" i="32"/>
  <c r="W82" i="32"/>
  <c r="W83" i="32"/>
  <c r="W84" i="32"/>
  <c r="W79" i="32"/>
  <c r="W73" i="32"/>
  <c r="W74" i="32"/>
  <c r="W75" i="32"/>
  <c r="W76" i="32"/>
  <c r="W77" i="32"/>
  <c r="W72" i="32"/>
  <c r="W70" i="32"/>
  <c r="W69" i="32"/>
  <c r="W67" i="32"/>
  <c r="W61" i="32"/>
  <c r="W62" i="32"/>
  <c r="W63" i="32"/>
  <c r="W64" i="32"/>
  <c r="W65" i="32"/>
  <c r="W60" i="32"/>
  <c r="W56" i="32"/>
  <c r="W57" i="32"/>
  <c r="W58" i="32"/>
  <c r="W55" i="32"/>
  <c r="W53" i="32"/>
  <c r="W41" i="32"/>
  <c r="W42" i="32"/>
  <c r="W43" i="32"/>
  <c r="W44" i="32"/>
  <c r="W45" i="32"/>
  <c r="W46" i="32"/>
  <c r="W47" i="32"/>
  <c r="W48" i="32"/>
  <c r="W49" i="32"/>
  <c r="W50" i="32"/>
  <c r="W51" i="32"/>
  <c r="W40" i="32"/>
  <c r="W35" i="32"/>
  <c r="W36" i="32"/>
  <c r="W37" i="32"/>
  <c r="W38" i="32"/>
  <c r="W34" i="32"/>
  <c r="W32" i="32"/>
  <c r="W31" i="32"/>
  <c r="W28" i="32"/>
  <c r="W29" i="32"/>
  <c r="W27" i="32"/>
  <c r="W25" i="32"/>
  <c r="W17" i="32"/>
  <c r="W18" i="32"/>
  <c r="W19" i="32"/>
  <c r="W20" i="32"/>
  <c r="W21" i="32"/>
  <c r="W22" i="32"/>
  <c r="W23" i="32"/>
  <c r="W16" i="32"/>
  <c r="W10" i="32"/>
  <c r="W11" i="32"/>
  <c r="W12" i="32"/>
  <c r="W13" i="32"/>
  <c r="W14" i="32"/>
  <c r="W9" i="32"/>
  <c r="V180" i="32"/>
  <c r="V181" i="32"/>
  <c r="V182" i="32"/>
  <c r="V183" i="32"/>
  <c r="V184" i="32"/>
  <c r="V179" i="32"/>
  <c r="V171" i="32"/>
  <c r="V172" i="32"/>
  <c r="V173" i="32"/>
  <c r="V174" i="32"/>
  <c r="V175" i="32"/>
  <c r="V176" i="32"/>
  <c r="V177" i="32"/>
  <c r="V170" i="32"/>
  <c r="V164" i="32"/>
  <c r="V165" i="32"/>
  <c r="V166" i="32"/>
  <c r="V167" i="32"/>
  <c r="V168" i="32"/>
  <c r="V163" i="32"/>
  <c r="V157" i="32"/>
  <c r="V158" i="32"/>
  <c r="V159" i="32"/>
  <c r="V160" i="32"/>
  <c r="V161" i="32"/>
  <c r="V156" i="32"/>
  <c r="V150" i="32"/>
  <c r="V151" i="32"/>
  <c r="V152" i="32"/>
  <c r="V153" i="32"/>
  <c r="V154" i="32"/>
  <c r="V149" i="32"/>
  <c r="V134" i="32"/>
  <c r="V135" i="32"/>
  <c r="V136" i="32"/>
  <c r="V137" i="32"/>
  <c r="V138" i="32"/>
  <c r="V139" i="32"/>
  <c r="V140" i="32"/>
  <c r="V141" i="32"/>
  <c r="V142" i="32"/>
  <c r="V143" i="32"/>
  <c r="V144" i="32"/>
  <c r="V145" i="32"/>
  <c r="V146" i="32"/>
  <c r="V147" i="32"/>
  <c r="V133" i="32"/>
  <c r="V131" i="32"/>
  <c r="V130" i="32"/>
  <c r="V128" i="32"/>
  <c r="V120" i="32"/>
  <c r="V121" i="32"/>
  <c r="V122" i="32"/>
  <c r="V123" i="32"/>
  <c r="V124" i="32"/>
  <c r="V125" i="32"/>
  <c r="V126" i="32"/>
  <c r="V119" i="32"/>
  <c r="V113" i="32"/>
  <c r="V114" i="32"/>
  <c r="V115" i="32"/>
  <c r="V116" i="32"/>
  <c r="V117" i="32"/>
  <c r="V112" i="32"/>
  <c r="V110" i="32"/>
  <c r="V107" i="32"/>
  <c r="V108" i="32"/>
  <c r="V106" i="32"/>
  <c r="V103" i="32"/>
  <c r="V104" i="32"/>
  <c r="V102" i="32"/>
  <c r="V98" i="32"/>
  <c r="V99" i="32"/>
  <c r="V100" i="32"/>
  <c r="V97" i="32"/>
  <c r="V87" i="32"/>
  <c r="V88" i="32"/>
  <c r="V89" i="32"/>
  <c r="V90" i="32"/>
  <c r="V91" i="32"/>
  <c r="V92" i="32"/>
  <c r="V93" i="32"/>
  <c r="V94" i="32"/>
  <c r="V95" i="32"/>
  <c r="V86" i="32"/>
  <c r="V80" i="32"/>
  <c r="V81" i="32"/>
  <c r="V82" i="32"/>
  <c r="V83" i="32"/>
  <c r="V84" i="32"/>
  <c r="V79" i="32"/>
  <c r="V73" i="32"/>
  <c r="V74" i="32"/>
  <c r="V75" i="32"/>
  <c r="V76" i="32"/>
  <c r="V77" i="32"/>
  <c r="V72" i="32"/>
  <c r="V70" i="32"/>
  <c r="V69" i="32"/>
  <c r="V67" i="32"/>
  <c r="V61" i="32"/>
  <c r="V62" i="32"/>
  <c r="V63" i="32"/>
  <c r="V64" i="32"/>
  <c r="V65" i="32"/>
  <c r="V60" i="32"/>
  <c r="V56" i="32"/>
  <c r="V57" i="32"/>
  <c r="V58" i="32"/>
  <c r="V55" i="32"/>
  <c r="V53" i="32"/>
  <c r="V41" i="32"/>
  <c r="V42" i="32"/>
  <c r="V43" i="32"/>
  <c r="V44" i="32"/>
  <c r="V45" i="32"/>
  <c r="V46" i="32"/>
  <c r="V47" i="32"/>
  <c r="V48" i="32"/>
  <c r="V49" i="32"/>
  <c r="V50" i="32"/>
  <c r="V51" i="32"/>
  <c r="V40" i="32"/>
  <c r="V35" i="32"/>
  <c r="V36" i="32"/>
  <c r="V37" i="32"/>
  <c r="V38" i="32"/>
  <c r="V34" i="32"/>
  <c r="V32" i="32"/>
  <c r="V31" i="32"/>
  <c r="V28" i="32"/>
  <c r="V29" i="32"/>
  <c r="V27" i="32"/>
  <c r="V25" i="32"/>
  <c r="V17" i="32"/>
  <c r="V18" i="32"/>
  <c r="V19" i="32"/>
  <c r="V20" i="32"/>
  <c r="V21" i="32"/>
  <c r="V22" i="32"/>
  <c r="V23" i="32"/>
  <c r="V16" i="32"/>
  <c r="V10" i="32"/>
  <c r="V11" i="32"/>
  <c r="V12" i="32"/>
  <c r="V13" i="32"/>
  <c r="V14" i="32"/>
  <c r="V9" i="32"/>
  <c r="U180" i="32"/>
  <c r="U181" i="32"/>
  <c r="U182" i="32"/>
  <c r="U183" i="32"/>
  <c r="U184" i="32"/>
  <c r="U179" i="32"/>
  <c r="U171" i="32"/>
  <c r="U172" i="32"/>
  <c r="U173" i="32"/>
  <c r="U174" i="32"/>
  <c r="U175" i="32"/>
  <c r="U176" i="32"/>
  <c r="U177" i="32"/>
  <c r="U170" i="32"/>
  <c r="U164" i="32"/>
  <c r="U165" i="32"/>
  <c r="U166" i="32"/>
  <c r="U167" i="32"/>
  <c r="U168" i="32"/>
  <c r="U163" i="32"/>
  <c r="U157" i="32"/>
  <c r="U158" i="32"/>
  <c r="U159" i="32"/>
  <c r="U160" i="32"/>
  <c r="U161" i="32"/>
  <c r="U156" i="32"/>
  <c r="U150" i="32"/>
  <c r="U151" i="32"/>
  <c r="U152" i="32"/>
  <c r="U153" i="32"/>
  <c r="U154" i="32"/>
  <c r="U149" i="32"/>
  <c r="U134" i="32"/>
  <c r="U135" i="32"/>
  <c r="U136" i="32"/>
  <c r="U137" i="32"/>
  <c r="U138" i="32"/>
  <c r="U139" i="32"/>
  <c r="U140" i="32"/>
  <c r="U141" i="32"/>
  <c r="U142" i="32"/>
  <c r="U143" i="32"/>
  <c r="U144" i="32"/>
  <c r="U145" i="32"/>
  <c r="U146" i="32"/>
  <c r="U147" i="32"/>
  <c r="U133" i="32"/>
  <c r="U131" i="32"/>
  <c r="U130" i="32"/>
  <c r="U128" i="32"/>
  <c r="U120" i="32"/>
  <c r="U121" i="32"/>
  <c r="U122" i="32"/>
  <c r="U123" i="32"/>
  <c r="U124" i="32"/>
  <c r="U125" i="32"/>
  <c r="U126" i="32"/>
  <c r="U119" i="32"/>
  <c r="U113" i="32"/>
  <c r="U114" i="32"/>
  <c r="U115" i="32"/>
  <c r="U116" i="32"/>
  <c r="U117" i="32"/>
  <c r="U112" i="32"/>
  <c r="U110" i="32"/>
  <c r="U107" i="32"/>
  <c r="U108" i="32"/>
  <c r="U106" i="32"/>
  <c r="U103" i="32"/>
  <c r="U104" i="32"/>
  <c r="U102" i="32"/>
  <c r="U98" i="32"/>
  <c r="U99" i="32"/>
  <c r="U100" i="32"/>
  <c r="U97" i="32"/>
  <c r="U87" i="32"/>
  <c r="U88" i="32"/>
  <c r="U89" i="32"/>
  <c r="U90" i="32"/>
  <c r="U91" i="32"/>
  <c r="U92" i="32"/>
  <c r="U93" i="32"/>
  <c r="U94" i="32"/>
  <c r="U95" i="32"/>
  <c r="U86" i="32"/>
  <c r="U80" i="32"/>
  <c r="U81" i="32"/>
  <c r="U82" i="32"/>
  <c r="U83" i="32"/>
  <c r="U84" i="32"/>
  <c r="U79" i="32"/>
  <c r="U73" i="32"/>
  <c r="U74" i="32"/>
  <c r="U75" i="32"/>
  <c r="U76" i="32"/>
  <c r="U77" i="32"/>
  <c r="U72" i="32"/>
  <c r="U70" i="32"/>
  <c r="U69" i="32"/>
  <c r="U67" i="32"/>
  <c r="U61" i="32"/>
  <c r="U62" i="32"/>
  <c r="U63" i="32"/>
  <c r="U64" i="32"/>
  <c r="U65" i="32"/>
  <c r="U60" i="32"/>
  <c r="U56" i="32"/>
  <c r="U57" i="32"/>
  <c r="U58" i="32"/>
  <c r="U55" i="32"/>
  <c r="U53" i="32"/>
  <c r="U41" i="32"/>
  <c r="U42" i="32"/>
  <c r="U43" i="32"/>
  <c r="U44" i="32"/>
  <c r="U45" i="32"/>
  <c r="U46" i="32"/>
  <c r="U47" i="32"/>
  <c r="U48" i="32"/>
  <c r="U49" i="32"/>
  <c r="U50" i="32"/>
  <c r="U51" i="32"/>
  <c r="U40" i="32"/>
  <c r="U35" i="32"/>
  <c r="U36" i="32"/>
  <c r="U37" i="32"/>
  <c r="U38" i="32"/>
  <c r="U34" i="32"/>
  <c r="U32" i="32"/>
  <c r="U31" i="32"/>
  <c r="U28" i="32"/>
  <c r="U29" i="32"/>
  <c r="U27" i="32"/>
  <c r="U25" i="32"/>
  <c r="U17" i="32"/>
  <c r="U18" i="32"/>
  <c r="U19" i="32"/>
  <c r="U20" i="32"/>
  <c r="U21" i="32"/>
  <c r="U22" i="32"/>
  <c r="U23" i="32"/>
  <c r="U16" i="32"/>
  <c r="U10" i="32"/>
  <c r="U11" i="32"/>
  <c r="U12" i="32"/>
  <c r="U13" i="32"/>
  <c r="U14" i="32"/>
  <c r="U9" i="32"/>
  <c r="T180" i="32"/>
  <c r="T181" i="32"/>
  <c r="T182" i="32"/>
  <c r="T183" i="32"/>
  <c r="T184" i="32"/>
  <c r="T179" i="32"/>
  <c r="T171" i="32"/>
  <c r="T172" i="32"/>
  <c r="T173" i="32"/>
  <c r="T174" i="32"/>
  <c r="T175" i="32"/>
  <c r="T176" i="32"/>
  <c r="T177" i="32"/>
  <c r="T170" i="32"/>
  <c r="T164" i="32"/>
  <c r="T165" i="32"/>
  <c r="T166" i="32"/>
  <c r="T167" i="32"/>
  <c r="T168" i="32"/>
  <c r="T163" i="32"/>
  <c r="T157" i="32"/>
  <c r="T158" i="32"/>
  <c r="T159" i="32"/>
  <c r="T160" i="32"/>
  <c r="T161" i="32"/>
  <c r="T156" i="32"/>
  <c r="T150" i="32"/>
  <c r="T151" i="32"/>
  <c r="T152" i="32"/>
  <c r="T153" i="32"/>
  <c r="T154" i="32"/>
  <c r="T149" i="32"/>
  <c r="T134" i="32"/>
  <c r="T135" i="32"/>
  <c r="T136" i="32"/>
  <c r="T137" i="32"/>
  <c r="T138" i="32"/>
  <c r="T139" i="32"/>
  <c r="T140" i="32"/>
  <c r="T141" i="32"/>
  <c r="T142" i="32"/>
  <c r="T143" i="32"/>
  <c r="T144" i="32"/>
  <c r="T145" i="32"/>
  <c r="T146" i="32"/>
  <c r="T147" i="32"/>
  <c r="T133" i="32"/>
  <c r="T131" i="32"/>
  <c r="T130" i="32"/>
  <c r="T128" i="32"/>
  <c r="T120" i="32"/>
  <c r="T121" i="32"/>
  <c r="T122" i="32"/>
  <c r="T123" i="32"/>
  <c r="T124" i="32"/>
  <c r="T125" i="32"/>
  <c r="T126" i="32"/>
  <c r="T119" i="32"/>
  <c r="T113" i="32"/>
  <c r="T114" i="32"/>
  <c r="T115" i="32"/>
  <c r="T116" i="32"/>
  <c r="T117" i="32"/>
  <c r="T112" i="32"/>
  <c r="T110" i="32"/>
  <c r="T107" i="32"/>
  <c r="T108" i="32"/>
  <c r="T106" i="32"/>
  <c r="T103" i="32"/>
  <c r="T104" i="32"/>
  <c r="T102" i="32"/>
  <c r="T98" i="32"/>
  <c r="T99" i="32"/>
  <c r="T100" i="32"/>
  <c r="T97" i="32"/>
  <c r="T87" i="32"/>
  <c r="T88" i="32"/>
  <c r="T89" i="32"/>
  <c r="T90" i="32"/>
  <c r="T91" i="32"/>
  <c r="T92" i="32"/>
  <c r="T93" i="32"/>
  <c r="T94" i="32"/>
  <c r="T95" i="32"/>
  <c r="T86" i="32"/>
  <c r="T84" i="32"/>
  <c r="T80" i="32"/>
  <c r="T81" i="32"/>
  <c r="T82" i="32"/>
  <c r="T83" i="32"/>
  <c r="T79" i="32"/>
  <c r="T73" i="32"/>
  <c r="T74" i="32"/>
  <c r="T75" i="32"/>
  <c r="T76" i="32"/>
  <c r="T77" i="32"/>
  <c r="T72" i="32"/>
  <c r="T70" i="32"/>
  <c r="T69" i="32"/>
  <c r="T67" i="32"/>
  <c r="T61" i="32"/>
  <c r="T62" i="32"/>
  <c r="T63" i="32"/>
  <c r="T64" i="32"/>
  <c r="T65" i="32"/>
  <c r="T60" i="32"/>
  <c r="T56" i="32"/>
  <c r="T57" i="32"/>
  <c r="T58" i="32"/>
  <c r="T55" i="32"/>
  <c r="T53" i="32"/>
  <c r="T41" i="32"/>
  <c r="T42" i="32"/>
  <c r="T43" i="32"/>
  <c r="T44" i="32"/>
  <c r="T45" i="32"/>
  <c r="T46" i="32"/>
  <c r="T47" i="32"/>
  <c r="T48" i="32"/>
  <c r="T49" i="32"/>
  <c r="T50" i="32"/>
  <c r="T51" i="32"/>
  <c r="T40" i="32"/>
  <c r="T35" i="32"/>
  <c r="T36" i="32"/>
  <c r="T37" i="32"/>
  <c r="T38" i="32"/>
  <c r="T34" i="32"/>
  <c r="T32" i="32"/>
  <c r="T31" i="32"/>
  <c r="T28" i="32"/>
  <c r="T29" i="32"/>
  <c r="T27" i="32"/>
  <c r="T25" i="32"/>
  <c r="T17" i="32"/>
  <c r="T18" i="32"/>
  <c r="T19" i="32"/>
  <c r="T20" i="32"/>
  <c r="T21" i="32"/>
  <c r="T22" i="32"/>
  <c r="T23" i="32"/>
  <c r="T16" i="32"/>
  <c r="T10" i="32"/>
  <c r="T11" i="32"/>
  <c r="T12" i="32"/>
  <c r="T13" i="32"/>
  <c r="T14" i="32"/>
  <c r="T9" i="32"/>
  <c r="S180" i="32"/>
  <c r="S181" i="32"/>
  <c r="S182" i="32"/>
  <c r="S183" i="32"/>
  <c r="S184" i="32"/>
  <c r="S179" i="32"/>
  <c r="S171" i="32"/>
  <c r="S172" i="32"/>
  <c r="S173" i="32"/>
  <c r="S174" i="32"/>
  <c r="S175" i="32"/>
  <c r="S176" i="32"/>
  <c r="S177" i="32"/>
  <c r="S170" i="32"/>
  <c r="S164" i="32"/>
  <c r="S165" i="32"/>
  <c r="S166" i="32"/>
  <c r="S167" i="32"/>
  <c r="S168" i="32"/>
  <c r="S163" i="32"/>
  <c r="S157" i="32"/>
  <c r="S158" i="32"/>
  <c r="S159" i="32"/>
  <c r="S160" i="32"/>
  <c r="S161" i="32"/>
  <c r="S156" i="32"/>
  <c r="S150" i="32"/>
  <c r="S151" i="32"/>
  <c r="S152" i="32"/>
  <c r="S153" i="32"/>
  <c r="S154" i="32"/>
  <c r="S149" i="32"/>
  <c r="S134" i="32"/>
  <c r="S135" i="32"/>
  <c r="S136" i="32"/>
  <c r="S137" i="32"/>
  <c r="S138" i="32"/>
  <c r="S139" i="32"/>
  <c r="S140" i="32"/>
  <c r="S141" i="32"/>
  <c r="S142" i="32"/>
  <c r="S143" i="32"/>
  <c r="S144" i="32"/>
  <c r="S145" i="32"/>
  <c r="S146" i="32"/>
  <c r="S147" i="32"/>
  <c r="S133" i="32"/>
  <c r="S131" i="32"/>
  <c r="S130" i="32"/>
  <c r="S128" i="32"/>
  <c r="S120" i="32"/>
  <c r="S121" i="32"/>
  <c r="S122" i="32"/>
  <c r="S123" i="32"/>
  <c r="S124" i="32"/>
  <c r="S125" i="32"/>
  <c r="S126" i="32"/>
  <c r="S119" i="32"/>
  <c r="S113" i="32"/>
  <c r="S114" i="32"/>
  <c r="S115" i="32"/>
  <c r="S116" i="32"/>
  <c r="S117" i="32"/>
  <c r="S112" i="32"/>
  <c r="S110" i="32"/>
  <c r="S107" i="32"/>
  <c r="S108" i="32"/>
  <c r="S106" i="32"/>
  <c r="S103" i="32"/>
  <c r="S104" i="32"/>
  <c r="S102" i="32"/>
  <c r="S98" i="32"/>
  <c r="S99" i="32"/>
  <c r="S100" i="32"/>
  <c r="S97" i="32"/>
  <c r="S87" i="32"/>
  <c r="S88" i="32"/>
  <c r="S89" i="32"/>
  <c r="S90" i="32"/>
  <c r="S91" i="32"/>
  <c r="S92" i="32"/>
  <c r="S93" i="32"/>
  <c r="S94" i="32"/>
  <c r="S95" i="32"/>
  <c r="S86" i="32"/>
  <c r="S80" i="32"/>
  <c r="S81" i="32"/>
  <c r="S82" i="32"/>
  <c r="S83" i="32"/>
  <c r="S84" i="32"/>
  <c r="S79" i="32"/>
  <c r="S73" i="32"/>
  <c r="S74" i="32"/>
  <c r="S75" i="32"/>
  <c r="S76" i="32"/>
  <c r="S77" i="32"/>
  <c r="S72" i="32"/>
  <c r="S70" i="32"/>
  <c r="S69" i="32"/>
  <c r="S67" i="32"/>
  <c r="S61" i="32"/>
  <c r="S62" i="32"/>
  <c r="S63" i="32"/>
  <c r="S64" i="32"/>
  <c r="S65" i="32"/>
  <c r="S60" i="32"/>
  <c r="S56" i="32"/>
  <c r="S57" i="32"/>
  <c r="S58" i="32"/>
  <c r="S55" i="32"/>
  <c r="S53" i="32"/>
  <c r="S41" i="32"/>
  <c r="S42" i="32"/>
  <c r="S43" i="32"/>
  <c r="S44" i="32"/>
  <c r="S45" i="32"/>
  <c r="S46" i="32"/>
  <c r="S47" i="32"/>
  <c r="S48" i="32"/>
  <c r="S49" i="32"/>
  <c r="S50" i="32"/>
  <c r="S51" i="32"/>
  <c r="S40" i="32"/>
  <c r="S35" i="32"/>
  <c r="S36" i="32"/>
  <c r="S37" i="32"/>
  <c r="S38" i="32"/>
  <c r="S34" i="32"/>
  <c r="S32" i="32"/>
  <c r="S31" i="32"/>
  <c r="S28" i="32"/>
  <c r="S29" i="32"/>
  <c r="S27" i="32"/>
  <c r="S25" i="32"/>
  <c r="S17" i="32"/>
  <c r="S18" i="32"/>
  <c r="S19" i="32"/>
  <c r="S20" i="32"/>
  <c r="S21" i="32"/>
  <c r="S22" i="32"/>
  <c r="S23" i="32"/>
  <c r="S16" i="32"/>
  <c r="S10" i="32"/>
  <c r="S11" i="32"/>
  <c r="S12" i="32"/>
  <c r="S13" i="32"/>
  <c r="S14" i="32"/>
  <c r="S9" i="32"/>
  <c r="R180" i="32"/>
  <c r="R181" i="32"/>
  <c r="R182" i="32"/>
  <c r="R183" i="32"/>
  <c r="R184" i="32"/>
  <c r="R179" i="32"/>
  <c r="R171" i="32"/>
  <c r="R172" i="32"/>
  <c r="R173" i="32"/>
  <c r="R174" i="32"/>
  <c r="R175" i="32"/>
  <c r="R176" i="32"/>
  <c r="R177" i="32"/>
  <c r="R170" i="32"/>
  <c r="R164" i="32"/>
  <c r="R165" i="32"/>
  <c r="R166" i="32"/>
  <c r="R167" i="32"/>
  <c r="R168" i="32"/>
  <c r="R163" i="32"/>
  <c r="R157" i="32"/>
  <c r="R158" i="32"/>
  <c r="R159" i="32"/>
  <c r="R160" i="32"/>
  <c r="R161" i="32"/>
  <c r="R156" i="32"/>
  <c r="R150" i="32"/>
  <c r="R151" i="32"/>
  <c r="R152" i="32"/>
  <c r="R153" i="32"/>
  <c r="R154" i="32"/>
  <c r="R149" i="32"/>
  <c r="R134" i="32"/>
  <c r="R135" i="32"/>
  <c r="R136" i="32"/>
  <c r="R137" i="32"/>
  <c r="R138" i="32"/>
  <c r="R139" i="32"/>
  <c r="R140" i="32"/>
  <c r="R141" i="32"/>
  <c r="R142" i="32"/>
  <c r="R143" i="32"/>
  <c r="R144" i="32"/>
  <c r="R145" i="32"/>
  <c r="R146" i="32"/>
  <c r="R147" i="32"/>
  <c r="R133" i="32"/>
  <c r="R131" i="32"/>
  <c r="R130" i="32"/>
  <c r="R128" i="32"/>
  <c r="R120" i="32"/>
  <c r="R121" i="32"/>
  <c r="R122" i="32"/>
  <c r="R123" i="32"/>
  <c r="R124" i="32"/>
  <c r="R125" i="32"/>
  <c r="R126" i="32"/>
  <c r="R119" i="32"/>
  <c r="R113" i="32"/>
  <c r="R114" i="32"/>
  <c r="R115" i="32"/>
  <c r="R116" i="32"/>
  <c r="R117" i="32"/>
  <c r="R112" i="32"/>
  <c r="R110" i="32"/>
  <c r="R107" i="32"/>
  <c r="R108" i="32"/>
  <c r="R106" i="32"/>
  <c r="R103" i="32"/>
  <c r="R104" i="32"/>
  <c r="R102" i="32"/>
  <c r="R98" i="32"/>
  <c r="R99" i="32"/>
  <c r="R100" i="32"/>
  <c r="R97" i="32"/>
  <c r="R87" i="32"/>
  <c r="R88" i="32"/>
  <c r="R89" i="32"/>
  <c r="R90" i="32"/>
  <c r="R91" i="32"/>
  <c r="R92" i="32"/>
  <c r="R93" i="32"/>
  <c r="R94" i="32"/>
  <c r="R95" i="32"/>
  <c r="R86" i="32"/>
  <c r="R80" i="32"/>
  <c r="R81" i="32"/>
  <c r="R82" i="32"/>
  <c r="R83" i="32"/>
  <c r="R84" i="32"/>
  <c r="R79" i="32"/>
  <c r="R73" i="32"/>
  <c r="R74" i="32"/>
  <c r="R75" i="32"/>
  <c r="R76" i="32"/>
  <c r="R77" i="32"/>
  <c r="R72" i="32"/>
  <c r="R70" i="32"/>
  <c r="R69" i="32"/>
  <c r="R67" i="32"/>
  <c r="R61" i="32"/>
  <c r="R62" i="32"/>
  <c r="R63" i="32"/>
  <c r="R64" i="32"/>
  <c r="R65" i="32"/>
  <c r="R60" i="32"/>
  <c r="R56" i="32"/>
  <c r="R57" i="32"/>
  <c r="R58" i="32"/>
  <c r="R55" i="32"/>
  <c r="R53" i="32"/>
  <c r="R41" i="32"/>
  <c r="R42" i="32"/>
  <c r="R43" i="32"/>
  <c r="R44" i="32"/>
  <c r="R45" i="32"/>
  <c r="R46" i="32"/>
  <c r="R47" i="32"/>
  <c r="R48" i="32"/>
  <c r="R49" i="32"/>
  <c r="R50" i="32"/>
  <c r="R51" i="32"/>
  <c r="R40" i="32"/>
  <c r="R35" i="32"/>
  <c r="R36" i="32"/>
  <c r="R37" i="32"/>
  <c r="R38" i="32"/>
  <c r="R34" i="32"/>
  <c r="R32" i="32"/>
  <c r="R31" i="32"/>
  <c r="R28" i="32"/>
  <c r="R29" i="32"/>
  <c r="R27" i="32"/>
  <c r="R25" i="32"/>
  <c r="R17" i="32"/>
  <c r="R18" i="32"/>
  <c r="R19" i="32"/>
  <c r="R20" i="32"/>
  <c r="R21" i="32"/>
  <c r="R22" i="32"/>
  <c r="R23" i="32"/>
  <c r="R16" i="32"/>
  <c r="R10" i="32"/>
  <c r="R11" i="32"/>
  <c r="R12" i="32"/>
  <c r="R13" i="32"/>
  <c r="R14" i="32"/>
  <c r="R9" i="32"/>
  <c r="Q180" i="32"/>
  <c r="Q181" i="32"/>
  <c r="Q182" i="32"/>
  <c r="Q183" i="32"/>
  <c r="Q184" i="32"/>
  <c r="Q179" i="32"/>
  <c r="Q171" i="32"/>
  <c r="Q172" i="32"/>
  <c r="Q173" i="32"/>
  <c r="Q174" i="32"/>
  <c r="Q175" i="32"/>
  <c r="Q176" i="32"/>
  <c r="Q177" i="32"/>
  <c r="Q170" i="32"/>
  <c r="Q164" i="32"/>
  <c r="Q165" i="32"/>
  <c r="Q166" i="32"/>
  <c r="Q167" i="32"/>
  <c r="Q168" i="32"/>
  <c r="Q163" i="32"/>
  <c r="Q157" i="32"/>
  <c r="Q158" i="32"/>
  <c r="Q159" i="32"/>
  <c r="Q160" i="32"/>
  <c r="Q161" i="32"/>
  <c r="Q156" i="32"/>
  <c r="Q150" i="32"/>
  <c r="Q151" i="32"/>
  <c r="Q152" i="32"/>
  <c r="Q153" i="32"/>
  <c r="Q154" i="32"/>
  <c r="Q149" i="32"/>
  <c r="Q134" i="32"/>
  <c r="Q135" i="32"/>
  <c r="Q136" i="32"/>
  <c r="Q137" i="32"/>
  <c r="Q138" i="32"/>
  <c r="Q139" i="32"/>
  <c r="Q140" i="32"/>
  <c r="Q141" i="32"/>
  <c r="Q142" i="32"/>
  <c r="Q143" i="32"/>
  <c r="Q144" i="32"/>
  <c r="Q145" i="32"/>
  <c r="Q146" i="32"/>
  <c r="Q147" i="32"/>
  <c r="Q133" i="32"/>
  <c r="Q131" i="32"/>
  <c r="Q130" i="32"/>
  <c r="Q128" i="32"/>
  <c r="Q120" i="32"/>
  <c r="Q121" i="32"/>
  <c r="Q122" i="32"/>
  <c r="Q123" i="32"/>
  <c r="Q124" i="32"/>
  <c r="Q125" i="32"/>
  <c r="Q126" i="32"/>
  <c r="Q119" i="32"/>
  <c r="Q113" i="32"/>
  <c r="Q114" i="32"/>
  <c r="Q115" i="32"/>
  <c r="Q116" i="32"/>
  <c r="Q117" i="32"/>
  <c r="Q112" i="32"/>
  <c r="Q110" i="32"/>
  <c r="Q107" i="32"/>
  <c r="Q108" i="32"/>
  <c r="Q106" i="32"/>
  <c r="Q103" i="32"/>
  <c r="Q104" i="32"/>
  <c r="Q102" i="32"/>
  <c r="Q98" i="32"/>
  <c r="Q99" i="32"/>
  <c r="Q100" i="32"/>
  <c r="Q97" i="32"/>
  <c r="Q87" i="32"/>
  <c r="Q88" i="32"/>
  <c r="Q89" i="32"/>
  <c r="Q90" i="32"/>
  <c r="Q91" i="32"/>
  <c r="Q92" i="32"/>
  <c r="Q93" i="32"/>
  <c r="Q94" i="32"/>
  <c r="Q95" i="32"/>
  <c r="Q86" i="32"/>
  <c r="Q80" i="32"/>
  <c r="Q81" i="32"/>
  <c r="Q82" i="32"/>
  <c r="Q83" i="32"/>
  <c r="Q84" i="32"/>
  <c r="Q79" i="32"/>
  <c r="Q73" i="32"/>
  <c r="Q74" i="32"/>
  <c r="Q75" i="32"/>
  <c r="Q76" i="32"/>
  <c r="Q77" i="32"/>
  <c r="Q72" i="32"/>
  <c r="Q70" i="32"/>
  <c r="Q69" i="32"/>
  <c r="Q67" i="32"/>
  <c r="Q61" i="32"/>
  <c r="Q62" i="32"/>
  <c r="Q63" i="32"/>
  <c r="Q64" i="32"/>
  <c r="Q65" i="32"/>
  <c r="Q60" i="32"/>
  <c r="Q56" i="32"/>
  <c r="Q57" i="32"/>
  <c r="Q58" i="32"/>
  <c r="Q55" i="32"/>
  <c r="Q53" i="32"/>
  <c r="Q41" i="32"/>
  <c r="Q42" i="32"/>
  <c r="Q43" i="32"/>
  <c r="Q44" i="32"/>
  <c r="Q45" i="32"/>
  <c r="Q46" i="32"/>
  <c r="Q47" i="32"/>
  <c r="Q48" i="32"/>
  <c r="Q49" i="32"/>
  <c r="Q50" i="32"/>
  <c r="Q51" i="32"/>
  <c r="Q40" i="32"/>
  <c r="Q35" i="32"/>
  <c r="Q36" i="32"/>
  <c r="Q37" i="32"/>
  <c r="Q38" i="32"/>
  <c r="Q34" i="32"/>
  <c r="Q32" i="32"/>
  <c r="Q31" i="32"/>
  <c r="Q28" i="32"/>
  <c r="Q29" i="32"/>
  <c r="Q27" i="32"/>
  <c r="Q25" i="32"/>
  <c r="Q17" i="32"/>
  <c r="Q18" i="32"/>
  <c r="Q19" i="32"/>
  <c r="Q20" i="32"/>
  <c r="Q21" i="32"/>
  <c r="Q22" i="32"/>
  <c r="Q23" i="32"/>
  <c r="Q16" i="32"/>
  <c r="Q10" i="32"/>
  <c r="Q11" i="32"/>
  <c r="Q12" i="32"/>
  <c r="Q13" i="32"/>
  <c r="Q14" i="32"/>
  <c r="Q9" i="32"/>
  <c r="P180" i="32"/>
  <c r="P181" i="32"/>
  <c r="P182" i="32"/>
  <c r="P183" i="32"/>
  <c r="P184" i="32"/>
  <c r="P179" i="32"/>
  <c r="P171" i="32"/>
  <c r="P172" i="32"/>
  <c r="P173" i="32"/>
  <c r="P174" i="32"/>
  <c r="P175" i="32"/>
  <c r="P176" i="32"/>
  <c r="P177" i="32"/>
  <c r="P170" i="32"/>
  <c r="P164" i="32"/>
  <c r="P165" i="32"/>
  <c r="P166" i="32"/>
  <c r="P167" i="32"/>
  <c r="P168" i="32"/>
  <c r="P163" i="32"/>
  <c r="P157" i="32"/>
  <c r="P158" i="32"/>
  <c r="P159" i="32"/>
  <c r="P160" i="32"/>
  <c r="P161" i="32"/>
  <c r="P156" i="32"/>
  <c r="P150" i="32"/>
  <c r="P151" i="32"/>
  <c r="P152" i="32"/>
  <c r="P153" i="32"/>
  <c r="P154" i="32"/>
  <c r="P149" i="32"/>
  <c r="P134" i="32"/>
  <c r="P135" i="32"/>
  <c r="P136" i="32"/>
  <c r="P137" i="32"/>
  <c r="P138" i="32"/>
  <c r="P139" i="32"/>
  <c r="P140" i="32"/>
  <c r="P141" i="32"/>
  <c r="P142" i="32"/>
  <c r="P143" i="32"/>
  <c r="P144" i="32"/>
  <c r="P145" i="32"/>
  <c r="P146" i="32"/>
  <c r="P147" i="32"/>
  <c r="P133" i="32"/>
  <c r="P131" i="32"/>
  <c r="P130" i="32"/>
  <c r="P128" i="32"/>
  <c r="P120" i="32"/>
  <c r="P121" i="32"/>
  <c r="P122" i="32"/>
  <c r="P123" i="32"/>
  <c r="P124" i="32"/>
  <c r="P125" i="32"/>
  <c r="P126" i="32"/>
  <c r="P119" i="32"/>
  <c r="P113" i="32"/>
  <c r="P114" i="32"/>
  <c r="P115" i="32"/>
  <c r="P116" i="32"/>
  <c r="P117" i="32"/>
  <c r="P112" i="32"/>
  <c r="P110" i="32"/>
  <c r="P107" i="32"/>
  <c r="P108" i="32"/>
  <c r="P106" i="32"/>
  <c r="P103" i="32"/>
  <c r="P104" i="32"/>
  <c r="P102" i="32"/>
  <c r="P98" i="32"/>
  <c r="P99" i="32"/>
  <c r="P100" i="32"/>
  <c r="P97" i="32"/>
  <c r="P87" i="32"/>
  <c r="P88" i="32"/>
  <c r="P89" i="32"/>
  <c r="P90" i="32"/>
  <c r="P91" i="32"/>
  <c r="P92" i="32"/>
  <c r="P93" i="32"/>
  <c r="P94" i="32"/>
  <c r="P95" i="32"/>
  <c r="P86" i="32"/>
  <c r="P80" i="32"/>
  <c r="P81" i="32"/>
  <c r="P82" i="32"/>
  <c r="P83" i="32"/>
  <c r="P84" i="32"/>
  <c r="P79" i="32"/>
  <c r="P73" i="32"/>
  <c r="P74" i="32"/>
  <c r="P75" i="32"/>
  <c r="P76" i="32"/>
  <c r="P77" i="32"/>
  <c r="P72" i="32"/>
  <c r="P70" i="32"/>
  <c r="P69" i="32"/>
  <c r="P67" i="32"/>
  <c r="P61" i="32"/>
  <c r="P62" i="32"/>
  <c r="P63" i="32"/>
  <c r="P64" i="32"/>
  <c r="P65" i="32"/>
  <c r="P60" i="32"/>
  <c r="P56" i="32"/>
  <c r="P57" i="32"/>
  <c r="P58" i="32"/>
  <c r="P55" i="32"/>
  <c r="P53" i="32"/>
  <c r="P41" i="32"/>
  <c r="P42" i="32"/>
  <c r="P43" i="32"/>
  <c r="P44" i="32"/>
  <c r="P45" i="32"/>
  <c r="P46" i="32"/>
  <c r="P47" i="32"/>
  <c r="P48" i="32"/>
  <c r="P49" i="32"/>
  <c r="P50" i="32"/>
  <c r="P51" i="32"/>
  <c r="P40" i="32"/>
  <c r="P35" i="32"/>
  <c r="P36" i="32"/>
  <c r="P37" i="32"/>
  <c r="P38" i="32"/>
  <c r="P34" i="32"/>
  <c r="P32" i="32"/>
  <c r="P31" i="32"/>
  <c r="P28" i="32"/>
  <c r="P29" i="32"/>
  <c r="P27" i="32"/>
  <c r="P25" i="32"/>
  <c r="P17" i="32"/>
  <c r="P18" i="32"/>
  <c r="P19" i="32"/>
  <c r="P20" i="32"/>
  <c r="P21" i="32"/>
  <c r="P22" i="32"/>
  <c r="P23" i="32"/>
  <c r="P16" i="32"/>
  <c r="P10" i="32"/>
  <c r="P11" i="32"/>
  <c r="P12" i="32"/>
  <c r="P13" i="32"/>
  <c r="P14" i="32"/>
  <c r="P9" i="32"/>
  <c r="O180" i="32"/>
  <c r="O181" i="32"/>
  <c r="O182" i="32"/>
  <c r="O183" i="32"/>
  <c r="O184" i="32"/>
  <c r="O179" i="32"/>
  <c r="O171" i="32"/>
  <c r="O172" i="32"/>
  <c r="O173" i="32"/>
  <c r="O174" i="32"/>
  <c r="O175" i="32"/>
  <c r="O176" i="32"/>
  <c r="O177" i="32"/>
  <c r="O170" i="32"/>
  <c r="O164" i="32"/>
  <c r="O165" i="32"/>
  <c r="O166" i="32"/>
  <c r="O167" i="32"/>
  <c r="O168" i="32"/>
  <c r="O163" i="32"/>
  <c r="O157" i="32"/>
  <c r="O158" i="32"/>
  <c r="O159" i="32"/>
  <c r="O160" i="32"/>
  <c r="O161" i="32"/>
  <c r="O156" i="32"/>
  <c r="O150" i="32"/>
  <c r="O151" i="32"/>
  <c r="O152" i="32"/>
  <c r="O153" i="32"/>
  <c r="O154" i="32"/>
  <c r="O149" i="32"/>
  <c r="O134" i="32"/>
  <c r="O135" i="32"/>
  <c r="O136" i="32"/>
  <c r="O137" i="32"/>
  <c r="O138" i="32"/>
  <c r="O139" i="32"/>
  <c r="O140" i="32"/>
  <c r="O141" i="32"/>
  <c r="O142" i="32"/>
  <c r="O143" i="32"/>
  <c r="O144" i="32"/>
  <c r="O145" i="32"/>
  <c r="O146" i="32"/>
  <c r="O147" i="32"/>
  <c r="O133" i="32"/>
  <c r="O131" i="32"/>
  <c r="O130" i="32"/>
  <c r="O128" i="32"/>
  <c r="O120" i="32"/>
  <c r="O121" i="32"/>
  <c r="O122" i="32"/>
  <c r="O123" i="32"/>
  <c r="O124" i="32"/>
  <c r="O125" i="32"/>
  <c r="O126" i="32"/>
  <c r="O119" i="32"/>
  <c r="O113" i="32"/>
  <c r="O114" i="32"/>
  <c r="O115" i="32"/>
  <c r="O116" i="32"/>
  <c r="O117" i="32"/>
  <c r="O112" i="32"/>
  <c r="O110" i="32"/>
  <c r="O107" i="32"/>
  <c r="O108" i="32"/>
  <c r="O106" i="32"/>
  <c r="O104" i="32"/>
  <c r="O103" i="32"/>
  <c r="O102" i="32"/>
  <c r="O98" i="32"/>
  <c r="O99" i="32"/>
  <c r="O100" i="32"/>
  <c r="O97" i="32"/>
  <c r="O87" i="32"/>
  <c r="O88" i="32"/>
  <c r="O89" i="32"/>
  <c r="O90" i="32"/>
  <c r="O91" i="32"/>
  <c r="O92" i="32"/>
  <c r="O93" i="32"/>
  <c r="O94" i="32"/>
  <c r="O95" i="32"/>
  <c r="O86" i="32"/>
  <c r="O80" i="32"/>
  <c r="O81" i="32"/>
  <c r="O82" i="32"/>
  <c r="O83" i="32"/>
  <c r="O84" i="32"/>
  <c r="O79" i="32"/>
  <c r="O73" i="32"/>
  <c r="O74" i="32"/>
  <c r="O75" i="32"/>
  <c r="O76" i="32"/>
  <c r="O77" i="32"/>
  <c r="O72" i="32"/>
  <c r="O70" i="32"/>
  <c r="O69" i="32"/>
  <c r="O67" i="32"/>
  <c r="O61" i="32"/>
  <c r="O62" i="32"/>
  <c r="O63" i="32"/>
  <c r="O64" i="32"/>
  <c r="O65" i="32"/>
  <c r="O60" i="32"/>
  <c r="O56" i="32"/>
  <c r="O57" i="32"/>
  <c r="O58" i="32"/>
  <c r="O55" i="32"/>
  <c r="O53" i="32"/>
  <c r="O41" i="32"/>
  <c r="O42" i="32"/>
  <c r="O43" i="32"/>
  <c r="O44" i="32"/>
  <c r="O45" i="32"/>
  <c r="O46" i="32"/>
  <c r="O47" i="32"/>
  <c r="O48" i="32"/>
  <c r="O49" i="32"/>
  <c r="O50" i="32"/>
  <c r="O51" i="32"/>
  <c r="O40" i="32"/>
  <c r="O35" i="32"/>
  <c r="O36" i="32"/>
  <c r="O37" i="32"/>
  <c r="O38" i="32"/>
  <c r="O34" i="32"/>
  <c r="O32" i="32"/>
  <c r="O31" i="32"/>
  <c r="O28" i="32"/>
  <c r="O29" i="32"/>
  <c r="O27" i="32"/>
  <c r="O25" i="32"/>
  <c r="O17" i="32"/>
  <c r="O18" i="32"/>
  <c r="O19" i="32"/>
  <c r="O20" i="32"/>
  <c r="O21" i="32"/>
  <c r="O22" i="32"/>
  <c r="O23" i="32"/>
  <c r="O16" i="32"/>
  <c r="O10" i="32"/>
  <c r="O11" i="32"/>
  <c r="O12" i="32"/>
  <c r="O13" i="32"/>
  <c r="O14" i="32"/>
  <c r="O9" i="32"/>
  <c r="H180" i="32"/>
  <c r="H181" i="32"/>
  <c r="H182" i="32"/>
  <c r="H183" i="32"/>
  <c r="H184" i="32"/>
  <c r="H179" i="32"/>
  <c r="H171" i="32"/>
  <c r="H172" i="32"/>
  <c r="H173" i="32"/>
  <c r="H174" i="32"/>
  <c r="H175" i="32"/>
  <c r="H176" i="32"/>
  <c r="H177" i="32"/>
  <c r="H170" i="32"/>
  <c r="H164" i="32"/>
  <c r="H165" i="32"/>
  <c r="H166" i="32"/>
  <c r="H167" i="32"/>
  <c r="H168" i="32"/>
  <c r="H163" i="32"/>
  <c r="H157" i="32"/>
  <c r="H158" i="32"/>
  <c r="H159" i="32"/>
  <c r="H160" i="32"/>
  <c r="H161" i="32"/>
  <c r="H156" i="32"/>
  <c r="H150" i="32"/>
  <c r="H151" i="32"/>
  <c r="H152" i="32"/>
  <c r="H153" i="32"/>
  <c r="H154" i="32"/>
  <c r="H149" i="32"/>
  <c r="H134" i="32"/>
  <c r="H135" i="32"/>
  <c r="H136" i="32"/>
  <c r="H137" i="32"/>
  <c r="H138" i="32"/>
  <c r="H139" i="32"/>
  <c r="H140" i="32"/>
  <c r="H141" i="32"/>
  <c r="H142" i="32"/>
  <c r="H143" i="32"/>
  <c r="H144" i="32"/>
  <c r="H145" i="32"/>
  <c r="H146" i="32"/>
  <c r="H147" i="32"/>
  <c r="H133" i="32"/>
  <c r="H131" i="32"/>
  <c r="H130" i="32"/>
  <c r="H128" i="32"/>
  <c r="H120" i="32"/>
  <c r="H121" i="32"/>
  <c r="H122" i="32"/>
  <c r="H123" i="32"/>
  <c r="H124" i="32"/>
  <c r="H125" i="32"/>
  <c r="H126" i="32"/>
  <c r="H119" i="32"/>
  <c r="H113" i="32"/>
  <c r="H114" i="32"/>
  <c r="H115" i="32"/>
  <c r="H116" i="32"/>
  <c r="H117" i="32"/>
  <c r="H112" i="32"/>
  <c r="H110" i="32"/>
  <c r="H107" i="32"/>
  <c r="H108" i="32"/>
  <c r="H106" i="32"/>
  <c r="H103" i="32"/>
  <c r="H104" i="32"/>
  <c r="H102" i="32"/>
  <c r="H98" i="32"/>
  <c r="H99" i="32"/>
  <c r="H100" i="32"/>
  <c r="H97" i="32"/>
  <c r="H87" i="32"/>
  <c r="H88" i="32"/>
  <c r="H89" i="32"/>
  <c r="H90" i="32"/>
  <c r="H91" i="32"/>
  <c r="H92" i="32"/>
  <c r="H93" i="32"/>
  <c r="H94" i="32"/>
  <c r="H95" i="32"/>
  <c r="H86" i="32"/>
  <c r="H80" i="32"/>
  <c r="H81" i="32"/>
  <c r="H82" i="32"/>
  <c r="H83" i="32"/>
  <c r="H84" i="32"/>
  <c r="H79" i="32"/>
  <c r="H73" i="32"/>
  <c r="H74" i="32"/>
  <c r="H75" i="32"/>
  <c r="H76" i="32"/>
  <c r="H77" i="32"/>
  <c r="H72" i="32"/>
  <c r="H70" i="32"/>
  <c r="H69" i="32"/>
  <c r="H67" i="32"/>
  <c r="H61" i="32"/>
  <c r="H62" i="32"/>
  <c r="H63" i="32"/>
  <c r="H64" i="32"/>
  <c r="H65" i="32"/>
  <c r="H60" i="32"/>
  <c r="H56" i="32"/>
  <c r="H57" i="32"/>
  <c r="H58" i="32"/>
  <c r="H55" i="32"/>
  <c r="H53" i="32"/>
  <c r="H41" i="32"/>
  <c r="H42" i="32"/>
  <c r="H43" i="32"/>
  <c r="H44" i="32"/>
  <c r="H45" i="32"/>
  <c r="H46" i="32"/>
  <c r="H47" i="32"/>
  <c r="H48" i="32"/>
  <c r="H49" i="32"/>
  <c r="H50" i="32"/>
  <c r="H51" i="32"/>
  <c r="H40" i="32"/>
  <c r="H35" i="32"/>
  <c r="H36" i="32"/>
  <c r="H37" i="32"/>
  <c r="H38" i="32"/>
  <c r="H34" i="32"/>
  <c r="H32" i="32"/>
  <c r="H31" i="32"/>
  <c r="H28" i="32"/>
  <c r="H29" i="32"/>
  <c r="H27" i="32"/>
  <c r="H25" i="32"/>
  <c r="H17" i="32"/>
  <c r="H18" i="32"/>
  <c r="H19" i="32"/>
  <c r="H20" i="32"/>
  <c r="H21" i="32"/>
  <c r="H22" i="32"/>
  <c r="H23" i="32"/>
  <c r="H16" i="32"/>
  <c r="H10" i="32"/>
  <c r="H11" i="32"/>
  <c r="H12" i="32"/>
  <c r="H13" i="32"/>
  <c r="H14" i="32"/>
  <c r="H9" i="32"/>
  <c r="G180" i="32"/>
  <c r="G181" i="32"/>
  <c r="G182" i="32"/>
  <c r="G183" i="32"/>
  <c r="G184" i="32"/>
  <c r="G179" i="32"/>
  <c r="G171" i="32"/>
  <c r="G172" i="32"/>
  <c r="G173" i="32"/>
  <c r="G174" i="32"/>
  <c r="G175" i="32"/>
  <c r="G176" i="32"/>
  <c r="G177" i="32"/>
  <c r="G170" i="32"/>
  <c r="G164" i="32"/>
  <c r="G165" i="32"/>
  <c r="G166" i="32"/>
  <c r="G167" i="32"/>
  <c r="G168" i="32"/>
  <c r="G163" i="32"/>
  <c r="G157" i="32"/>
  <c r="G158" i="32"/>
  <c r="G159" i="32"/>
  <c r="G160" i="32"/>
  <c r="G161" i="32"/>
  <c r="G156" i="32"/>
  <c r="G150" i="32"/>
  <c r="G151" i="32"/>
  <c r="G152" i="32"/>
  <c r="G153" i="32"/>
  <c r="G154" i="32"/>
  <c r="G149" i="32"/>
  <c r="G134" i="32"/>
  <c r="G135" i="32"/>
  <c r="G136" i="32"/>
  <c r="G137" i="32"/>
  <c r="G138" i="32"/>
  <c r="G139" i="32"/>
  <c r="G140" i="32"/>
  <c r="G141" i="32"/>
  <c r="G142" i="32"/>
  <c r="G143" i="32"/>
  <c r="G144" i="32"/>
  <c r="G145" i="32"/>
  <c r="G146" i="32"/>
  <c r="G147" i="32"/>
  <c r="G133" i="32"/>
  <c r="G131" i="32"/>
  <c r="G130" i="32"/>
  <c r="G128" i="32"/>
  <c r="G120" i="32"/>
  <c r="G121" i="32"/>
  <c r="G122" i="32"/>
  <c r="G123" i="32"/>
  <c r="G124" i="32"/>
  <c r="G125" i="32"/>
  <c r="G126" i="32"/>
  <c r="G119" i="32"/>
  <c r="G113" i="32"/>
  <c r="G114" i="32"/>
  <c r="G115" i="32"/>
  <c r="G116" i="32"/>
  <c r="G117" i="32"/>
  <c r="G112" i="32"/>
  <c r="G110" i="32"/>
  <c r="G107" i="32"/>
  <c r="G108" i="32"/>
  <c r="G106" i="32"/>
  <c r="G103" i="32"/>
  <c r="G104" i="32"/>
  <c r="G102" i="32"/>
  <c r="G98" i="32"/>
  <c r="G99" i="32"/>
  <c r="G100" i="32"/>
  <c r="G97" i="32"/>
  <c r="G87" i="32"/>
  <c r="G88" i="32"/>
  <c r="G89" i="32"/>
  <c r="G90" i="32"/>
  <c r="G91" i="32"/>
  <c r="G92" i="32"/>
  <c r="G93" i="32"/>
  <c r="G94" i="32"/>
  <c r="G95" i="32"/>
  <c r="G86" i="32"/>
  <c r="G80" i="32"/>
  <c r="G81" i="32"/>
  <c r="G82" i="32"/>
  <c r="G83" i="32"/>
  <c r="G84" i="32"/>
  <c r="G79" i="32"/>
  <c r="G73" i="32"/>
  <c r="G74" i="32"/>
  <c r="G75" i="32"/>
  <c r="G76" i="32"/>
  <c r="G77" i="32"/>
  <c r="G72" i="32"/>
  <c r="G70" i="32"/>
  <c r="G69" i="32"/>
  <c r="G67" i="32"/>
  <c r="G61" i="32"/>
  <c r="G62" i="32"/>
  <c r="G63" i="32"/>
  <c r="G64" i="32"/>
  <c r="G65" i="32"/>
  <c r="G60" i="32"/>
  <c r="G56" i="32"/>
  <c r="G57" i="32"/>
  <c r="G58" i="32"/>
  <c r="G55" i="32"/>
  <c r="G53" i="32"/>
  <c r="G41" i="32"/>
  <c r="G42" i="32"/>
  <c r="G43" i="32"/>
  <c r="G44" i="32"/>
  <c r="G45" i="32"/>
  <c r="G46" i="32"/>
  <c r="G47" i="32"/>
  <c r="G48" i="32"/>
  <c r="G49" i="32"/>
  <c r="G50" i="32"/>
  <c r="G51" i="32"/>
  <c r="G40" i="32"/>
  <c r="G35" i="32"/>
  <c r="G36" i="32"/>
  <c r="G37" i="32"/>
  <c r="G38" i="32"/>
  <c r="G34" i="32"/>
  <c r="G32" i="32"/>
  <c r="G31" i="32"/>
  <c r="G28" i="32"/>
  <c r="G29" i="32"/>
  <c r="G27" i="32"/>
  <c r="G25" i="32"/>
  <c r="G17" i="32"/>
  <c r="G18" i="32"/>
  <c r="G19" i="32"/>
  <c r="G20" i="32"/>
  <c r="G21" i="32"/>
  <c r="G22" i="32"/>
  <c r="G23" i="32"/>
  <c r="G16" i="32"/>
  <c r="G10" i="32"/>
  <c r="G11" i="32"/>
  <c r="G12" i="32"/>
  <c r="G13" i="32"/>
  <c r="G14" i="32"/>
  <c r="G9" i="32"/>
  <c r="F10" i="32"/>
  <c r="F11" i="32"/>
  <c r="F12" i="32"/>
  <c r="F13" i="32"/>
  <c r="F14" i="32"/>
  <c r="F16" i="32"/>
  <c r="F17" i="32"/>
  <c r="F18" i="32"/>
  <c r="F19" i="32"/>
  <c r="F20" i="32"/>
  <c r="F21" i="32"/>
  <c r="F22" i="32"/>
  <c r="F23" i="32"/>
  <c r="F25" i="32"/>
  <c r="F27" i="32"/>
  <c r="F28" i="32"/>
  <c r="F29" i="32"/>
  <c r="F31" i="32"/>
  <c r="F32" i="32"/>
  <c r="F34" i="32"/>
  <c r="F35" i="32"/>
  <c r="F36" i="32"/>
  <c r="F37" i="32"/>
  <c r="F38" i="32"/>
  <c r="F40" i="32"/>
  <c r="F41" i="32"/>
  <c r="F42" i="32"/>
  <c r="F43" i="32"/>
  <c r="F44" i="32"/>
  <c r="F45" i="32"/>
  <c r="F46" i="32"/>
  <c r="F47" i="32"/>
  <c r="F48" i="32"/>
  <c r="F49" i="32"/>
  <c r="F50" i="32"/>
  <c r="F51" i="32"/>
  <c r="F53" i="32"/>
  <c r="F55" i="32"/>
  <c r="F56" i="32"/>
  <c r="F57" i="32"/>
  <c r="F58" i="32"/>
  <c r="F60" i="32"/>
  <c r="F61" i="32"/>
  <c r="F62" i="32"/>
  <c r="F63" i="32"/>
  <c r="F64" i="32"/>
  <c r="F65" i="32"/>
  <c r="F67" i="32"/>
  <c r="F69" i="32"/>
  <c r="F70" i="32"/>
  <c r="F72" i="32"/>
  <c r="F73" i="32"/>
  <c r="F74" i="32"/>
  <c r="F75" i="32"/>
  <c r="F76" i="32"/>
  <c r="F77" i="32"/>
  <c r="F79" i="32"/>
  <c r="F80" i="32"/>
  <c r="F81" i="32"/>
  <c r="F82" i="32"/>
  <c r="F83" i="32"/>
  <c r="F84" i="32"/>
  <c r="F86" i="32"/>
  <c r="F87" i="32"/>
  <c r="F88" i="32"/>
  <c r="F89" i="32"/>
  <c r="F90" i="32"/>
  <c r="F91" i="32"/>
  <c r="F92" i="32"/>
  <c r="F93" i="32"/>
  <c r="F94" i="32"/>
  <c r="F95" i="32"/>
  <c r="F97" i="32"/>
  <c r="F98" i="32"/>
  <c r="F99" i="32"/>
  <c r="F100" i="32"/>
  <c r="F102" i="32"/>
  <c r="F103" i="32"/>
  <c r="F104" i="32"/>
  <c r="F106" i="32"/>
  <c r="F107" i="32"/>
  <c r="F108" i="32"/>
  <c r="F110" i="32"/>
  <c r="F112" i="32"/>
  <c r="F113" i="32"/>
  <c r="F114" i="32"/>
  <c r="F115" i="32"/>
  <c r="F116" i="32"/>
  <c r="F117" i="32"/>
  <c r="F119" i="32"/>
  <c r="F120" i="32"/>
  <c r="F121" i="32"/>
  <c r="F122" i="32"/>
  <c r="F123" i="32"/>
  <c r="F124" i="32"/>
  <c r="F125" i="32"/>
  <c r="F126" i="32"/>
  <c r="F128" i="32"/>
  <c r="F130" i="32"/>
  <c r="F131" i="32"/>
  <c r="F133" i="32"/>
  <c r="F134" i="32"/>
  <c r="F135" i="32"/>
  <c r="F136" i="32"/>
  <c r="F137" i="32"/>
  <c r="F138" i="32"/>
  <c r="F139" i="32"/>
  <c r="F140" i="32"/>
  <c r="F141" i="32"/>
  <c r="F142" i="32"/>
  <c r="F143" i="32"/>
  <c r="F144" i="32"/>
  <c r="F145" i="32"/>
  <c r="F146" i="32"/>
  <c r="F147" i="32"/>
  <c r="F149" i="32"/>
  <c r="F150" i="32"/>
  <c r="F151" i="32"/>
  <c r="F152" i="32"/>
  <c r="F153" i="32"/>
  <c r="F154" i="32"/>
  <c r="F156" i="32"/>
  <c r="F157" i="32"/>
  <c r="F158" i="32"/>
  <c r="F159" i="32"/>
  <c r="F160" i="32"/>
  <c r="F161" i="32"/>
  <c r="F163" i="32"/>
  <c r="F164" i="32"/>
  <c r="F165" i="32"/>
  <c r="F166" i="32"/>
  <c r="F167" i="32"/>
  <c r="F168" i="32"/>
  <c r="F170" i="32"/>
  <c r="F171" i="32"/>
  <c r="F172" i="32"/>
  <c r="F173" i="32"/>
  <c r="F174" i="32"/>
  <c r="F175" i="32"/>
  <c r="F176" i="32"/>
  <c r="F177" i="32"/>
  <c r="F179" i="32"/>
  <c r="F180" i="32"/>
  <c r="F181" i="32"/>
  <c r="F182" i="32"/>
  <c r="F183" i="32"/>
  <c r="F184" i="32"/>
  <c r="F9" i="32"/>
  <c r="D20" i="32"/>
  <c r="D21" i="32"/>
  <c r="D22" i="32"/>
  <c r="D23" i="32"/>
  <c r="D25" i="32"/>
  <c r="D27" i="32"/>
  <c r="D28" i="32"/>
  <c r="D29" i="32"/>
  <c r="D31" i="32"/>
  <c r="D32" i="32"/>
  <c r="D34" i="32"/>
  <c r="D35" i="32"/>
  <c r="D36" i="32"/>
  <c r="D37" i="32"/>
  <c r="D38" i="32"/>
  <c r="D40" i="32"/>
  <c r="D41" i="32"/>
  <c r="D42" i="32"/>
  <c r="D43" i="32"/>
  <c r="D44" i="32"/>
  <c r="D45" i="32"/>
  <c r="D46" i="32"/>
  <c r="D47" i="32"/>
  <c r="D48" i="32"/>
  <c r="D49" i="32"/>
  <c r="D50" i="32"/>
  <c r="D51" i="32"/>
  <c r="D53" i="32"/>
  <c r="D55" i="32"/>
  <c r="D56" i="32"/>
  <c r="D57" i="32"/>
  <c r="D58" i="32"/>
  <c r="D60" i="32"/>
  <c r="D61" i="32"/>
  <c r="D62" i="32"/>
  <c r="D63" i="32"/>
  <c r="D64" i="32"/>
  <c r="D65" i="32"/>
  <c r="D67" i="32"/>
  <c r="D69" i="32"/>
  <c r="D70" i="32"/>
  <c r="D72" i="32"/>
  <c r="D73" i="32"/>
  <c r="D74" i="32"/>
  <c r="D75" i="32"/>
  <c r="D76" i="32"/>
  <c r="D77" i="32"/>
  <c r="D79" i="32"/>
  <c r="D80" i="32"/>
  <c r="D81" i="32"/>
  <c r="D82" i="32"/>
  <c r="D83" i="32"/>
  <c r="D84" i="32"/>
  <c r="D86" i="32"/>
  <c r="D87" i="32"/>
  <c r="D88" i="32"/>
  <c r="D89" i="32"/>
  <c r="D90" i="32"/>
  <c r="D91" i="32"/>
  <c r="D92" i="32"/>
  <c r="D93" i="32"/>
  <c r="D94" i="32"/>
  <c r="D95" i="32"/>
  <c r="D97" i="32"/>
  <c r="D98" i="32"/>
  <c r="D99" i="32"/>
  <c r="D100" i="32"/>
  <c r="D102" i="32"/>
  <c r="D103" i="32"/>
  <c r="D104" i="32"/>
  <c r="D106" i="32"/>
  <c r="D107" i="32"/>
  <c r="D108" i="32"/>
  <c r="D110" i="32"/>
  <c r="D112" i="32"/>
  <c r="D113" i="32"/>
  <c r="D114" i="32"/>
  <c r="D115" i="32"/>
  <c r="D116" i="32"/>
  <c r="D117" i="32"/>
  <c r="D119" i="32"/>
  <c r="D120" i="32"/>
  <c r="D121" i="32"/>
  <c r="D122" i="32"/>
  <c r="D123" i="32"/>
  <c r="D124" i="32"/>
  <c r="D125" i="32"/>
  <c r="D126" i="32"/>
  <c r="D128" i="32"/>
  <c r="D130" i="32"/>
  <c r="D131" i="32"/>
  <c r="D133" i="32"/>
  <c r="D134" i="32"/>
  <c r="D135" i="32"/>
  <c r="D136" i="32"/>
  <c r="D137" i="32"/>
  <c r="D138" i="32"/>
  <c r="D139" i="32"/>
  <c r="D140" i="32"/>
  <c r="D141" i="32"/>
  <c r="D142" i="32"/>
  <c r="D143" i="32"/>
  <c r="D144" i="32"/>
  <c r="D145" i="32"/>
  <c r="D146" i="32"/>
  <c r="D147" i="32"/>
  <c r="D149" i="32"/>
  <c r="D150" i="32"/>
  <c r="D151" i="32"/>
  <c r="D152" i="32"/>
  <c r="D153" i="32"/>
  <c r="D154" i="32"/>
  <c r="D156" i="32"/>
  <c r="D157" i="32"/>
  <c r="D158" i="32"/>
  <c r="D159" i="32"/>
  <c r="D160" i="32"/>
  <c r="D161" i="32"/>
  <c r="D163" i="32"/>
  <c r="D164" i="32"/>
  <c r="D165" i="32"/>
  <c r="D166" i="32"/>
  <c r="D167" i="32"/>
  <c r="D168" i="32"/>
  <c r="D170" i="32"/>
  <c r="D171" i="32"/>
  <c r="D172" i="32"/>
  <c r="D173" i="32"/>
  <c r="D174" i="32"/>
  <c r="D175" i="32"/>
  <c r="D176" i="32"/>
  <c r="D177" i="32"/>
  <c r="D179" i="32"/>
  <c r="D180" i="32"/>
  <c r="D181" i="32"/>
  <c r="D182" i="32"/>
  <c r="D183" i="32"/>
  <c r="D184" i="32"/>
  <c r="D10" i="32"/>
  <c r="D11" i="32"/>
  <c r="D12" i="32"/>
  <c r="D13" i="32"/>
  <c r="D14" i="32"/>
  <c r="D16" i="32"/>
  <c r="D17" i="32"/>
  <c r="D18" i="32"/>
  <c r="D19" i="32"/>
  <c r="D9" i="32"/>
  <c r="T11" i="21"/>
  <c r="T12" i="21"/>
  <c r="T13" i="21"/>
  <c r="T14" i="21"/>
  <c r="T15" i="21"/>
  <c r="T16" i="21"/>
  <c r="T17" i="21"/>
  <c r="T18" i="21"/>
  <c r="T19" i="21"/>
  <c r="T20" i="21"/>
  <c r="T21" i="21"/>
  <c r="T22" i="21"/>
  <c r="T24" i="21"/>
  <c r="T25" i="21"/>
  <c r="T26" i="21"/>
  <c r="T27" i="21"/>
  <c r="T28" i="21"/>
  <c r="T29" i="21"/>
  <c r="T30" i="21"/>
  <c r="T31" i="21"/>
  <c r="T32" i="21"/>
  <c r="T34" i="21"/>
  <c r="T35" i="21"/>
  <c r="T36" i="21"/>
  <c r="T37" i="21"/>
  <c r="T38" i="21"/>
  <c r="T39" i="21"/>
  <c r="T40" i="21"/>
  <c r="T41" i="21"/>
  <c r="T42" i="21"/>
  <c r="T43" i="21"/>
  <c r="T44" i="21"/>
  <c r="T45" i="21"/>
  <c r="T46" i="21"/>
  <c r="T47" i="21"/>
  <c r="T48" i="21"/>
  <c r="T50" i="21"/>
  <c r="T51" i="21"/>
  <c r="T52" i="21"/>
  <c r="T53" i="21"/>
  <c r="T54" i="21"/>
  <c r="T56" i="21"/>
  <c r="T57" i="21"/>
  <c r="T58" i="21"/>
  <c r="T59" i="21"/>
  <c r="T60" i="21"/>
  <c r="T61" i="21"/>
  <c r="T62" i="21"/>
  <c r="T63" i="21"/>
  <c r="T64" i="21"/>
  <c r="T65" i="21"/>
  <c r="T66" i="21"/>
  <c r="T67" i="21"/>
  <c r="T68" i="21"/>
  <c r="T69" i="21"/>
  <c r="T70" i="21"/>
  <c r="T71" i="21"/>
  <c r="T73" i="21"/>
  <c r="T74" i="21"/>
  <c r="T75" i="21"/>
  <c r="T76" i="21"/>
  <c r="T77" i="21"/>
  <c r="T78" i="21"/>
  <c r="T79" i="21"/>
  <c r="T80" i="21"/>
  <c r="T81" i="21"/>
  <c r="T82" i="21"/>
  <c r="T83" i="21"/>
  <c r="T84" i="21"/>
  <c r="T86" i="21"/>
  <c r="T87" i="21"/>
  <c r="T88" i="21"/>
  <c r="T89" i="21"/>
  <c r="T90" i="21"/>
  <c r="T91" i="21"/>
  <c r="T93" i="21"/>
  <c r="T94" i="21"/>
  <c r="T95" i="21"/>
  <c r="T96" i="21"/>
  <c r="T97" i="21"/>
  <c r="T98" i="21"/>
  <c r="T100" i="21"/>
  <c r="T101" i="21"/>
  <c r="T103" i="21"/>
  <c r="T104" i="21"/>
  <c r="T10" i="21"/>
  <c r="T9" i="21"/>
  <c r="S10" i="21"/>
  <c r="S11" i="21"/>
  <c r="S12" i="21"/>
  <c r="S13" i="21"/>
  <c r="S14" i="21"/>
  <c r="S15" i="21"/>
  <c r="S16" i="21"/>
  <c r="S17" i="21"/>
  <c r="S18" i="21"/>
  <c r="S19" i="21"/>
  <c r="S20" i="21"/>
  <c r="S21" i="21"/>
  <c r="S22" i="21"/>
  <c r="S24" i="21"/>
  <c r="S25" i="21"/>
  <c r="S26" i="21"/>
  <c r="S27" i="21"/>
  <c r="S28" i="21"/>
  <c r="S29" i="21"/>
  <c r="S30" i="21"/>
  <c r="S31" i="21"/>
  <c r="S32" i="21"/>
  <c r="S34" i="21"/>
  <c r="S35" i="21"/>
  <c r="S36" i="21"/>
  <c r="S37" i="21"/>
  <c r="S38" i="21"/>
  <c r="S39" i="21"/>
  <c r="S40" i="21"/>
  <c r="S41" i="21"/>
  <c r="S42" i="21"/>
  <c r="S43" i="21"/>
  <c r="S44" i="21"/>
  <c r="S45" i="21"/>
  <c r="S46" i="21"/>
  <c r="S47" i="21"/>
  <c r="S48" i="21"/>
  <c r="S50" i="21"/>
  <c r="S51" i="21"/>
  <c r="S52" i="21"/>
  <c r="S53" i="21"/>
  <c r="S54" i="21"/>
  <c r="S56" i="21"/>
  <c r="S57" i="21"/>
  <c r="S58" i="21"/>
  <c r="S59" i="21"/>
  <c r="S60" i="21"/>
  <c r="S61" i="21"/>
  <c r="S62" i="21"/>
  <c r="S63" i="21"/>
  <c r="S64" i="21"/>
  <c r="S65" i="21"/>
  <c r="S66" i="21"/>
  <c r="S67" i="21"/>
  <c r="S68" i="21"/>
  <c r="S69" i="21"/>
  <c r="S70" i="21"/>
  <c r="S71" i="21"/>
  <c r="S73" i="21"/>
  <c r="S74" i="21"/>
  <c r="S75" i="21"/>
  <c r="S76" i="21"/>
  <c r="S77" i="21"/>
  <c r="S78" i="21"/>
  <c r="S79" i="21"/>
  <c r="S80" i="21"/>
  <c r="S81" i="21"/>
  <c r="S82" i="21"/>
  <c r="S83" i="21"/>
  <c r="S84" i="21"/>
  <c r="S86" i="21"/>
  <c r="S87" i="21"/>
  <c r="S88" i="21"/>
  <c r="S89" i="21"/>
  <c r="S90" i="21"/>
  <c r="S91" i="21"/>
  <c r="S93" i="21"/>
  <c r="S94" i="21"/>
  <c r="S95" i="21"/>
  <c r="S96" i="21"/>
  <c r="S97" i="21"/>
  <c r="S98" i="21"/>
  <c r="S100" i="21"/>
  <c r="S101" i="21"/>
  <c r="S103" i="21"/>
  <c r="S104" i="21"/>
  <c r="S9" i="21"/>
  <c r="R10" i="21"/>
  <c r="R11" i="21"/>
  <c r="R12" i="21"/>
  <c r="R13" i="21"/>
  <c r="R14" i="21"/>
  <c r="R15" i="21"/>
  <c r="R16" i="21"/>
  <c r="R17" i="21"/>
  <c r="R18" i="21"/>
  <c r="R19" i="21"/>
  <c r="R20" i="21"/>
  <c r="R21" i="21"/>
  <c r="R22" i="21"/>
  <c r="R24" i="21"/>
  <c r="R25" i="21"/>
  <c r="R26" i="21"/>
  <c r="R27" i="21"/>
  <c r="R28" i="21"/>
  <c r="R29" i="21"/>
  <c r="R30" i="21"/>
  <c r="R31" i="21"/>
  <c r="R32" i="21"/>
  <c r="R34" i="21"/>
  <c r="R35" i="21"/>
  <c r="R36" i="21"/>
  <c r="R37" i="21"/>
  <c r="R38" i="21"/>
  <c r="R39" i="21"/>
  <c r="R40" i="21"/>
  <c r="R41" i="21"/>
  <c r="R42" i="21"/>
  <c r="R43" i="21"/>
  <c r="R44" i="21"/>
  <c r="R45" i="21"/>
  <c r="R46" i="21"/>
  <c r="R47" i="21"/>
  <c r="R48" i="21"/>
  <c r="R50" i="21"/>
  <c r="R51" i="21"/>
  <c r="R52" i="21"/>
  <c r="R53" i="21"/>
  <c r="R54" i="21"/>
  <c r="R56" i="21"/>
  <c r="R57" i="21"/>
  <c r="R58" i="21"/>
  <c r="R59" i="21"/>
  <c r="R60" i="21"/>
  <c r="R61" i="21"/>
  <c r="R62" i="21"/>
  <c r="R63" i="21"/>
  <c r="R64" i="21"/>
  <c r="R65" i="21"/>
  <c r="R66" i="21"/>
  <c r="R67" i="21"/>
  <c r="R68" i="21"/>
  <c r="R69" i="21"/>
  <c r="R70" i="21"/>
  <c r="R71" i="21"/>
  <c r="R73" i="21"/>
  <c r="R74" i="21"/>
  <c r="R75" i="21"/>
  <c r="R76" i="21"/>
  <c r="R77" i="21"/>
  <c r="R78" i="21"/>
  <c r="R79" i="21"/>
  <c r="R80" i="21"/>
  <c r="R81" i="21"/>
  <c r="R82" i="21"/>
  <c r="R83" i="21"/>
  <c r="R84" i="21"/>
  <c r="R86" i="21"/>
  <c r="R87" i="21"/>
  <c r="R88" i="21"/>
  <c r="R89" i="21"/>
  <c r="R90" i="21"/>
  <c r="R91" i="21"/>
  <c r="R93" i="21"/>
  <c r="R94" i="21"/>
  <c r="R95" i="21"/>
  <c r="R96" i="21"/>
  <c r="R97" i="21"/>
  <c r="R98" i="21"/>
  <c r="R100" i="21"/>
  <c r="R101" i="21"/>
  <c r="R103" i="21"/>
  <c r="R104" i="21"/>
  <c r="R9" i="21"/>
  <c r="Q10" i="21"/>
  <c r="Q11" i="21"/>
  <c r="Q12" i="21"/>
  <c r="Q13" i="21"/>
  <c r="Q14" i="21"/>
  <c r="Q15" i="21"/>
  <c r="Q16" i="21"/>
  <c r="Q17" i="21"/>
  <c r="Q18" i="21"/>
  <c r="Q19" i="21"/>
  <c r="Q20" i="21"/>
  <c r="Q21" i="21"/>
  <c r="Q22" i="21"/>
  <c r="Q24" i="21"/>
  <c r="Q25" i="21"/>
  <c r="Q26" i="21"/>
  <c r="Q27" i="21"/>
  <c r="Q28" i="21"/>
  <c r="Q29" i="21"/>
  <c r="Q30" i="21"/>
  <c r="Q31" i="21"/>
  <c r="Q32" i="21"/>
  <c r="Q34" i="21"/>
  <c r="Q35" i="21"/>
  <c r="Q36" i="21"/>
  <c r="Q37" i="21"/>
  <c r="Q38" i="21"/>
  <c r="Q39" i="21"/>
  <c r="Q40" i="21"/>
  <c r="Q41" i="21"/>
  <c r="Q42" i="21"/>
  <c r="Q43" i="21"/>
  <c r="Q44" i="21"/>
  <c r="Q45" i="21"/>
  <c r="Q46" i="21"/>
  <c r="Q47" i="21"/>
  <c r="Q48" i="21"/>
  <c r="Q50" i="21"/>
  <c r="Q51" i="21"/>
  <c r="Q52" i="21"/>
  <c r="Q53" i="21"/>
  <c r="Q54" i="21"/>
  <c r="Q56" i="21"/>
  <c r="Q57" i="21"/>
  <c r="Q58" i="21"/>
  <c r="Q59" i="21"/>
  <c r="Q60" i="21"/>
  <c r="Q61" i="21"/>
  <c r="Q62" i="21"/>
  <c r="Q63" i="21"/>
  <c r="Q64" i="21"/>
  <c r="Q65" i="21"/>
  <c r="Q66" i="21"/>
  <c r="Q67" i="21"/>
  <c r="Q68" i="21"/>
  <c r="Q69" i="21"/>
  <c r="Q70" i="21"/>
  <c r="Q71" i="21"/>
  <c r="Q73" i="21"/>
  <c r="Q74" i="21"/>
  <c r="Q75" i="21"/>
  <c r="Q76" i="21"/>
  <c r="Q77" i="21"/>
  <c r="Q78" i="21"/>
  <c r="Q79" i="21"/>
  <c r="Q80" i="21"/>
  <c r="Q81" i="21"/>
  <c r="Q82" i="21"/>
  <c r="Q83" i="21"/>
  <c r="Q84" i="21"/>
  <c r="Q86" i="21"/>
  <c r="Q87" i="21"/>
  <c r="Q88" i="21"/>
  <c r="Q89" i="21"/>
  <c r="Q90" i="21"/>
  <c r="Q91" i="21"/>
  <c r="Q93" i="21"/>
  <c r="Q94" i="21"/>
  <c r="Q95" i="21"/>
  <c r="Q96" i="21"/>
  <c r="Q97" i="21"/>
  <c r="Q98" i="21"/>
  <c r="Q100" i="21"/>
  <c r="Q101" i="21"/>
  <c r="Q103" i="21"/>
  <c r="Q104" i="21"/>
  <c r="Q9" i="21"/>
  <c r="P10" i="21"/>
  <c r="P11" i="21"/>
  <c r="P12" i="21"/>
  <c r="P13" i="21"/>
  <c r="P14" i="21"/>
  <c r="P15" i="21"/>
  <c r="P16" i="21"/>
  <c r="P17" i="21"/>
  <c r="P18" i="21"/>
  <c r="P19" i="21"/>
  <c r="P20" i="21"/>
  <c r="P21" i="21"/>
  <c r="P22" i="21"/>
  <c r="P24" i="21"/>
  <c r="P25" i="21"/>
  <c r="P26" i="21"/>
  <c r="P27" i="21"/>
  <c r="P28" i="21"/>
  <c r="P29" i="21"/>
  <c r="P30" i="21"/>
  <c r="P31" i="21"/>
  <c r="P32" i="21"/>
  <c r="P34" i="21"/>
  <c r="P35" i="21"/>
  <c r="P36" i="21"/>
  <c r="P37" i="21"/>
  <c r="P38" i="21"/>
  <c r="P39" i="21"/>
  <c r="P40" i="21"/>
  <c r="P41" i="21"/>
  <c r="P42" i="21"/>
  <c r="P43" i="21"/>
  <c r="P44" i="21"/>
  <c r="P45" i="21"/>
  <c r="P46" i="21"/>
  <c r="P47" i="21"/>
  <c r="P48" i="21"/>
  <c r="P50" i="21"/>
  <c r="P51" i="21"/>
  <c r="P52" i="21"/>
  <c r="P53" i="21"/>
  <c r="P54" i="21"/>
  <c r="P56" i="21"/>
  <c r="P57" i="21"/>
  <c r="P58" i="21"/>
  <c r="P59" i="21"/>
  <c r="P60" i="21"/>
  <c r="P61" i="21"/>
  <c r="P62" i="21"/>
  <c r="P63" i="21"/>
  <c r="P64" i="21"/>
  <c r="P65" i="21"/>
  <c r="P66" i="21"/>
  <c r="P67" i="21"/>
  <c r="P68" i="21"/>
  <c r="P69" i="21"/>
  <c r="P70" i="21"/>
  <c r="P71" i="21"/>
  <c r="P73" i="21"/>
  <c r="P74" i="21"/>
  <c r="P75" i="21"/>
  <c r="P76" i="21"/>
  <c r="P77" i="21"/>
  <c r="P78" i="21"/>
  <c r="P79" i="21"/>
  <c r="P80" i="21"/>
  <c r="P81" i="21"/>
  <c r="P82" i="21"/>
  <c r="P83" i="21"/>
  <c r="P84" i="21"/>
  <c r="P86" i="21"/>
  <c r="P87" i="21"/>
  <c r="P88" i="21"/>
  <c r="P89" i="21"/>
  <c r="P90" i="21"/>
  <c r="P91" i="21"/>
  <c r="P93" i="21"/>
  <c r="P94" i="21"/>
  <c r="P95" i="21"/>
  <c r="P96" i="21"/>
  <c r="P97" i="21"/>
  <c r="P98" i="21"/>
  <c r="P100" i="21"/>
  <c r="P101" i="21"/>
  <c r="P103" i="21"/>
  <c r="P104" i="21"/>
  <c r="P9" i="21"/>
  <c r="O10" i="21"/>
  <c r="O11" i="21"/>
  <c r="O12" i="21"/>
  <c r="O13" i="21"/>
  <c r="O14" i="21"/>
  <c r="O15" i="21"/>
  <c r="O16" i="21"/>
  <c r="O17" i="21"/>
  <c r="O18" i="21"/>
  <c r="O19" i="21"/>
  <c r="O20" i="21"/>
  <c r="O21" i="21"/>
  <c r="O22" i="21"/>
  <c r="O24" i="21"/>
  <c r="O25" i="21"/>
  <c r="O26" i="21"/>
  <c r="O27" i="21"/>
  <c r="O28" i="21"/>
  <c r="O29" i="21"/>
  <c r="O30" i="21"/>
  <c r="O31" i="21"/>
  <c r="O32" i="21"/>
  <c r="O34" i="21"/>
  <c r="O35" i="21"/>
  <c r="O36" i="21"/>
  <c r="O37" i="21"/>
  <c r="O38" i="21"/>
  <c r="O39" i="21"/>
  <c r="O40" i="21"/>
  <c r="O41" i="21"/>
  <c r="O42" i="21"/>
  <c r="O43" i="21"/>
  <c r="O44" i="21"/>
  <c r="O45" i="21"/>
  <c r="O46" i="21"/>
  <c r="O47" i="21"/>
  <c r="O48" i="21"/>
  <c r="O50" i="21"/>
  <c r="O51" i="21"/>
  <c r="O52" i="21"/>
  <c r="O53" i="21"/>
  <c r="O54" i="21"/>
  <c r="O56" i="21"/>
  <c r="O57" i="21"/>
  <c r="O58" i="21"/>
  <c r="O59" i="21"/>
  <c r="O60" i="21"/>
  <c r="O61" i="21"/>
  <c r="O62" i="21"/>
  <c r="O63" i="21"/>
  <c r="O64" i="21"/>
  <c r="O65" i="21"/>
  <c r="O66" i="21"/>
  <c r="O67" i="21"/>
  <c r="O68" i="21"/>
  <c r="O69" i="21"/>
  <c r="O70" i="21"/>
  <c r="O71" i="21"/>
  <c r="O73" i="21"/>
  <c r="O74" i="21"/>
  <c r="O75" i="21"/>
  <c r="O76" i="21"/>
  <c r="O77" i="21"/>
  <c r="O78" i="21"/>
  <c r="O79" i="21"/>
  <c r="O80" i="21"/>
  <c r="O81" i="21"/>
  <c r="O82" i="21"/>
  <c r="O83" i="21"/>
  <c r="O84" i="21"/>
  <c r="O86" i="21"/>
  <c r="O87" i="21"/>
  <c r="O88" i="21"/>
  <c r="O89" i="21"/>
  <c r="O90" i="21"/>
  <c r="O91" i="21"/>
  <c r="O93" i="21"/>
  <c r="O94" i="21"/>
  <c r="O95" i="21"/>
  <c r="O96" i="21"/>
  <c r="O97" i="21"/>
  <c r="O98" i="21"/>
  <c r="O100" i="21"/>
  <c r="O101" i="21"/>
  <c r="O103" i="21"/>
  <c r="O104" i="21"/>
  <c r="O9" i="21"/>
  <c r="K5" i="18"/>
  <c r="I104" i="21"/>
  <c r="J104" i="21" s="1"/>
  <c r="I103" i="21"/>
  <c r="J103" i="21" s="1"/>
  <c r="I101" i="21"/>
  <c r="J101" i="21" s="1"/>
  <c r="I100" i="21"/>
  <c r="J100" i="21" s="1"/>
  <c r="I98" i="21"/>
  <c r="J98" i="21" s="1"/>
  <c r="I97" i="21"/>
  <c r="J97" i="21" s="1"/>
  <c r="I96" i="21"/>
  <c r="J96" i="21" s="1"/>
  <c r="I95" i="21"/>
  <c r="J95" i="21" s="1"/>
  <c r="I84" i="21"/>
  <c r="J84" i="21" s="1"/>
  <c r="I83" i="21"/>
  <c r="J83" i="21" s="1"/>
  <c r="I82" i="21"/>
  <c r="J82" i="21" s="1"/>
  <c r="I81" i="21"/>
  <c r="J81" i="21" s="1"/>
  <c r="I80" i="21"/>
  <c r="J80" i="21" s="1"/>
  <c r="I79" i="21"/>
  <c r="J79" i="21" s="1"/>
  <c r="I78" i="21"/>
  <c r="J78" i="21" s="1"/>
  <c r="I77" i="21"/>
  <c r="J77" i="21" s="1"/>
  <c r="I76" i="21"/>
  <c r="J76" i="21" s="1"/>
  <c r="I75" i="21"/>
  <c r="J75" i="21" s="1"/>
  <c r="I74" i="21"/>
  <c r="J74" i="21" s="1"/>
  <c r="I73" i="21"/>
  <c r="J73" i="21" s="1"/>
  <c r="I64" i="21"/>
  <c r="J64" i="21" s="1"/>
  <c r="I63" i="21"/>
  <c r="J63" i="21" s="1"/>
  <c r="I61" i="21"/>
  <c r="J61" i="21" s="1"/>
  <c r="I60" i="21"/>
  <c r="J60" i="21" s="1"/>
  <c r="I59" i="21"/>
  <c r="J59" i="21" s="1"/>
  <c r="I58" i="21"/>
  <c r="J58" i="21" s="1"/>
  <c r="I57" i="21"/>
  <c r="J57" i="21" s="1"/>
  <c r="I56" i="21"/>
  <c r="J56" i="21" s="1"/>
  <c r="I52" i="21"/>
  <c r="J52" i="21" s="1"/>
  <c r="I51" i="21"/>
  <c r="J51" i="21" s="1"/>
  <c r="I47" i="21"/>
  <c r="J47" i="21" s="1"/>
  <c r="I46" i="21"/>
  <c r="J46" i="21" s="1"/>
  <c r="I45" i="21"/>
  <c r="J45" i="21" s="1"/>
  <c r="I43" i="21"/>
  <c r="J43" i="21" s="1"/>
  <c r="I41" i="21"/>
  <c r="J41" i="21" s="1"/>
  <c r="I40" i="21"/>
  <c r="J40" i="21" s="1"/>
  <c r="I39" i="21"/>
  <c r="J39" i="21" s="1"/>
  <c r="I38" i="21"/>
  <c r="J38" i="21" s="1"/>
  <c r="I37" i="21"/>
  <c r="J37" i="21" s="1"/>
  <c r="I36" i="21"/>
  <c r="J36" i="21" s="1"/>
  <c r="I35" i="21"/>
  <c r="J35" i="21" s="1"/>
  <c r="I34" i="21"/>
  <c r="J34" i="21" s="1"/>
  <c r="I32" i="21"/>
  <c r="J32" i="21" s="1"/>
  <c r="I31" i="21"/>
  <c r="J31" i="21" s="1"/>
  <c r="I30" i="21"/>
  <c r="J30" i="21" s="1"/>
  <c r="I29" i="21"/>
  <c r="J29" i="21" s="1"/>
  <c r="I26" i="21"/>
  <c r="J26" i="21" s="1"/>
  <c r="I24" i="21"/>
  <c r="J24" i="21" s="1"/>
  <c r="I21" i="21"/>
  <c r="J21" i="21" s="1"/>
  <c r="I20" i="21"/>
  <c r="J20" i="21" s="1"/>
  <c r="I19" i="21"/>
  <c r="J19" i="21" s="1"/>
  <c r="I18" i="21"/>
  <c r="J18" i="21" s="1"/>
  <c r="I17" i="21"/>
  <c r="J17" i="21" s="1"/>
  <c r="I16" i="21"/>
  <c r="J16" i="21" s="1"/>
  <c r="I15" i="21"/>
  <c r="J15" i="21" s="1"/>
  <c r="I14" i="21"/>
  <c r="J14" i="21" s="1"/>
  <c r="I13" i="21"/>
  <c r="J13" i="21" s="1"/>
  <c r="I12" i="21"/>
  <c r="J12" i="21" s="1"/>
  <c r="I9" i="21"/>
  <c r="J9" i="21" s="1"/>
  <c r="I10" i="21"/>
  <c r="J10" i="21" s="1"/>
  <c r="I22" i="21"/>
  <c r="J22" i="21" s="1"/>
  <c r="I25" i="21"/>
  <c r="J25" i="21" s="1"/>
  <c r="I27" i="21"/>
  <c r="J27" i="21" s="1"/>
  <c r="I28" i="21"/>
  <c r="J28" i="21" s="1"/>
  <c r="I42" i="21"/>
  <c r="J42" i="21" s="1"/>
  <c r="I44" i="21"/>
  <c r="J44" i="21" s="1"/>
  <c r="I48" i="21"/>
  <c r="J48" i="21" s="1"/>
  <c r="I50" i="21"/>
  <c r="J50" i="21" s="1"/>
  <c r="I53" i="21"/>
  <c r="J53" i="21" s="1"/>
  <c r="I54" i="21"/>
  <c r="J54" i="21" s="1"/>
  <c r="I62" i="21"/>
  <c r="J62" i="21" s="1"/>
  <c r="I65" i="21"/>
  <c r="J65" i="21" s="1"/>
  <c r="I66" i="21"/>
  <c r="J66" i="21" s="1"/>
  <c r="I67" i="21"/>
  <c r="J67" i="21" s="1"/>
  <c r="I68" i="21"/>
  <c r="J68" i="21" s="1"/>
  <c r="I69" i="21"/>
  <c r="J69" i="21" s="1"/>
  <c r="I70" i="21"/>
  <c r="J70" i="21" s="1"/>
  <c r="I71" i="21"/>
  <c r="J71" i="21" s="1"/>
  <c r="I86" i="21"/>
  <c r="J86" i="21" s="1"/>
  <c r="I87" i="21"/>
  <c r="J87" i="21" s="1"/>
  <c r="I88" i="21"/>
  <c r="J88" i="21" s="1"/>
  <c r="I89" i="21"/>
  <c r="J89" i="21" s="1"/>
  <c r="I90" i="21"/>
  <c r="J90" i="21" s="1"/>
  <c r="I91" i="21"/>
  <c r="J91" i="21" s="1"/>
  <c r="I93" i="21"/>
  <c r="J93" i="21" s="1"/>
  <c r="I94" i="21"/>
  <c r="J94" i="21" s="1"/>
  <c r="H10" i="21"/>
  <c r="H11" i="21"/>
  <c r="H12" i="21"/>
  <c r="H13" i="21"/>
  <c r="H14" i="21"/>
  <c r="H15" i="21"/>
  <c r="H16" i="21"/>
  <c r="H17" i="21"/>
  <c r="H18" i="21"/>
  <c r="H19" i="21"/>
  <c r="H20" i="21"/>
  <c r="H21" i="21"/>
  <c r="H22" i="21"/>
  <c r="H24" i="21"/>
  <c r="H25" i="21"/>
  <c r="H26" i="21"/>
  <c r="H27" i="21"/>
  <c r="H28" i="21"/>
  <c r="H29" i="21"/>
  <c r="H30" i="21"/>
  <c r="H31" i="21"/>
  <c r="H32" i="21"/>
  <c r="H34" i="21"/>
  <c r="H35" i="21"/>
  <c r="H36" i="21"/>
  <c r="H37" i="21"/>
  <c r="H38" i="21"/>
  <c r="H39" i="21"/>
  <c r="H40" i="21"/>
  <c r="H41" i="21"/>
  <c r="H42" i="21"/>
  <c r="H43" i="21"/>
  <c r="H44" i="21"/>
  <c r="H45" i="21"/>
  <c r="H46" i="21"/>
  <c r="H47" i="21"/>
  <c r="H48" i="21"/>
  <c r="H50" i="21"/>
  <c r="H51" i="21"/>
  <c r="H52" i="21"/>
  <c r="H53" i="21"/>
  <c r="H54" i="21"/>
  <c r="H56" i="21"/>
  <c r="H57" i="21"/>
  <c r="H58" i="21"/>
  <c r="H59" i="21"/>
  <c r="H60" i="21"/>
  <c r="H61" i="21"/>
  <c r="H62" i="21"/>
  <c r="H63" i="21"/>
  <c r="H64" i="21"/>
  <c r="H65" i="21"/>
  <c r="H66" i="21"/>
  <c r="H67" i="21"/>
  <c r="H68" i="21"/>
  <c r="H69" i="21"/>
  <c r="H70" i="21"/>
  <c r="H71" i="21"/>
  <c r="H73" i="21"/>
  <c r="H74" i="21"/>
  <c r="H75" i="21"/>
  <c r="H76" i="21"/>
  <c r="H77" i="21"/>
  <c r="H78" i="21"/>
  <c r="H79" i="21"/>
  <c r="H80" i="21"/>
  <c r="H81" i="21"/>
  <c r="H82" i="21"/>
  <c r="H83" i="21"/>
  <c r="H84" i="21"/>
  <c r="H86" i="21"/>
  <c r="H87" i="21"/>
  <c r="H88" i="21"/>
  <c r="H89" i="21"/>
  <c r="H90" i="21"/>
  <c r="H91" i="21"/>
  <c r="H93" i="21"/>
  <c r="H94" i="21"/>
  <c r="H95" i="21"/>
  <c r="H96" i="21"/>
  <c r="H97" i="21"/>
  <c r="H98" i="21"/>
  <c r="H100" i="21"/>
  <c r="H101" i="21"/>
  <c r="H103" i="21"/>
  <c r="H104" i="21"/>
  <c r="H9" i="21"/>
  <c r="G10" i="21"/>
  <c r="G11" i="21"/>
  <c r="G12" i="21"/>
  <c r="G13" i="21"/>
  <c r="G14" i="21"/>
  <c r="G15" i="21"/>
  <c r="G16" i="21"/>
  <c r="G17" i="21"/>
  <c r="G18" i="21"/>
  <c r="G19" i="21"/>
  <c r="G20" i="21"/>
  <c r="G21" i="21"/>
  <c r="G22" i="21"/>
  <c r="G24" i="21"/>
  <c r="G25" i="21"/>
  <c r="G26" i="21"/>
  <c r="G27" i="21"/>
  <c r="G28" i="21"/>
  <c r="G29" i="21"/>
  <c r="G30" i="21"/>
  <c r="G31" i="21"/>
  <c r="G32" i="21"/>
  <c r="G34" i="21"/>
  <c r="G35" i="21"/>
  <c r="G36" i="21"/>
  <c r="G37" i="21"/>
  <c r="G38" i="21"/>
  <c r="G39" i="21"/>
  <c r="G40" i="21"/>
  <c r="G41" i="21"/>
  <c r="G42" i="21"/>
  <c r="G43" i="21"/>
  <c r="G44" i="21"/>
  <c r="G45" i="21"/>
  <c r="G46" i="21"/>
  <c r="G47" i="21"/>
  <c r="G48" i="21"/>
  <c r="G50" i="21"/>
  <c r="G51" i="21"/>
  <c r="G52" i="21"/>
  <c r="G53" i="21"/>
  <c r="G54" i="21"/>
  <c r="G56" i="21"/>
  <c r="G57" i="21"/>
  <c r="G58" i="21"/>
  <c r="G59" i="21"/>
  <c r="G60" i="21"/>
  <c r="G61" i="21"/>
  <c r="G62" i="21"/>
  <c r="G63" i="21"/>
  <c r="G64" i="21"/>
  <c r="G65" i="21"/>
  <c r="G66" i="21"/>
  <c r="G67" i="21"/>
  <c r="G68" i="21"/>
  <c r="G69" i="21"/>
  <c r="G70" i="21"/>
  <c r="G71" i="21"/>
  <c r="G73" i="21"/>
  <c r="G74" i="21"/>
  <c r="G75" i="21"/>
  <c r="G76" i="21"/>
  <c r="G77" i="21"/>
  <c r="G78" i="21"/>
  <c r="G79" i="21"/>
  <c r="G80" i="21"/>
  <c r="G81" i="21"/>
  <c r="G82" i="21"/>
  <c r="G83" i="21"/>
  <c r="G84" i="21"/>
  <c r="G86" i="21"/>
  <c r="G87" i="21"/>
  <c r="G88" i="21"/>
  <c r="G89" i="21"/>
  <c r="G90" i="21"/>
  <c r="G91" i="21"/>
  <c r="G93" i="21"/>
  <c r="G94" i="21"/>
  <c r="G95" i="21"/>
  <c r="G96" i="21"/>
  <c r="G97" i="21"/>
  <c r="G98" i="21"/>
  <c r="G100" i="21"/>
  <c r="G101" i="21"/>
  <c r="G103" i="21"/>
  <c r="G104" i="21"/>
  <c r="G9" i="21"/>
  <c r="F10" i="21"/>
  <c r="F11" i="21"/>
  <c r="F12" i="21"/>
  <c r="F13" i="21"/>
  <c r="F14" i="21"/>
  <c r="F15" i="21"/>
  <c r="F16" i="21"/>
  <c r="F17" i="21"/>
  <c r="F18" i="21"/>
  <c r="F19" i="21"/>
  <c r="F20" i="21"/>
  <c r="F21" i="21"/>
  <c r="F22" i="21"/>
  <c r="F24" i="21"/>
  <c r="F25" i="21"/>
  <c r="F26" i="21"/>
  <c r="F27" i="21"/>
  <c r="F28" i="21"/>
  <c r="F29" i="21"/>
  <c r="F30" i="21"/>
  <c r="F31" i="21"/>
  <c r="F32" i="21"/>
  <c r="F34" i="21"/>
  <c r="F35" i="21"/>
  <c r="F36" i="21"/>
  <c r="F37" i="21"/>
  <c r="F38" i="21"/>
  <c r="F39" i="21"/>
  <c r="F40" i="21"/>
  <c r="F41" i="21"/>
  <c r="F42" i="21"/>
  <c r="F43" i="21"/>
  <c r="F44" i="21"/>
  <c r="F45" i="21"/>
  <c r="F46" i="21"/>
  <c r="F47" i="21"/>
  <c r="F48" i="21"/>
  <c r="F50" i="21"/>
  <c r="F51" i="21"/>
  <c r="F52" i="21"/>
  <c r="F53" i="21"/>
  <c r="F54" i="21"/>
  <c r="F56" i="21"/>
  <c r="F57" i="21"/>
  <c r="F58" i="21"/>
  <c r="F59" i="21"/>
  <c r="F60" i="21"/>
  <c r="F61" i="21"/>
  <c r="F62" i="21"/>
  <c r="F63" i="21"/>
  <c r="F64" i="21"/>
  <c r="F65" i="21"/>
  <c r="F66" i="21"/>
  <c r="F67" i="21"/>
  <c r="F68" i="21"/>
  <c r="F69" i="21"/>
  <c r="F70" i="21"/>
  <c r="F71" i="21"/>
  <c r="F73" i="21"/>
  <c r="F74" i="21"/>
  <c r="F75" i="21"/>
  <c r="F76" i="21"/>
  <c r="F77" i="21"/>
  <c r="F78" i="21"/>
  <c r="F79" i="21"/>
  <c r="F80" i="21"/>
  <c r="F81" i="21"/>
  <c r="F82" i="21"/>
  <c r="F83" i="21"/>
  <c r="F84" i="21"/>
  <c r="F86" i="21"/>
  <c r="F87" i="21"/>
  <c r="F88" i="21"/>
  <c r="F89" i="21"/>
  <c r="F90" i="21"/>
  <c r="F91" i="21"/>
  <c r="F93" i="21"/>
  <c r="F94" i="21"/>
  <c r="F95" i="21"/>
  <c r="F96" i="21"/>
  <c r="F97" i="21"/>
  <c r="F98" i="21"/>
  <c r="F100" i="21"/>
  <c r="F101" i="21"/>
  <c r="F103" i="21"/>
  <c r="F104" i="21"/>
  <c r="F9" i="21"/>
  <c r="D10" i="21"/>
  <c r="D11" i="21"/>
  <c r="D12" i="21"/>
  <c r="D13" i="21"/>
  <c r="D14" i="21"/>
  <c r="D15" i="21"/>
  <c r="D16" i="21"/>
  <c r="D17" i="21"/>
  <c r="D18" i="21"/>
  <c r="D19" i="21"/>
  <c r="D20" i="21"/>
  <c r="D21" i="21"/>
  <c r="D22" i="21"/>
  <c r="D24" i="21"/>
  <c r="D25" i="21"/>
  <c r="D26" i="21"/>
  <c r="D27" i="21"/>
  <c r="D28" i="21"/>
  <c r="D29" i="21"/>
  <c r="D30" i="21"/>
  <c r="D31" i="21"/>
  <c r="D32" i="21"/>
  <c r="D34" i="21"/>
  <c r="D35" i="21"/>
  <c r="D36" i="21"/>
  <c r="D37" i="21"/>
  <c r="D38" i="21"/>
  <c r="D39" i="21"/>
  <c r="D40" i="21"/>
  <c r="D41" i="21"/>
  <c r="D42" i="21"/>
  <c r="D43" i="21"/>
  <c r="D44" i="21"/>
  <c r="D45" i="21"/>
  <c r="D46" i="21"/>
  <c r="D47" i="21"/>
  <c r="D48" i="21"/>
  <c r="D50" i="21"/>
  <c r="D51" i="21"/>
  <c r="D52" i="21"/>
  <c r="D53" i="21"/>
  <c r="D54" i="21"/>
  <c r="D56" i="21"/>
  <c r="D57" i="21"/>
  <c r="D58" i="21"/>
  <c r="D59" i="21"/>
  <c r="D60" i="21"/>
  <c r="D61" i="21"/>
  <c r="D62" i="21"/>
  <c r="D63" i="21"/>
  <c r="D64" i="21"/>
  <c r="D65" i="21"/>
  <c r="D66" i="21"/>
  <c r="D67" i="21"/>
  <c r="D68" i="21"/>
  <c r="D69" i="21"/>
  <c r="D70" i="21"/>
  <c r="D71" i="21"/>
  <c r="D73" i="21"/>
  <c r="D74" i="21"/>
  <c r="D75" i="21"/>
  <c r="D76" i="21"/>
  <c r="D77" i="21"/>
  <c r="D78" i="21"/>
  <c r="D79" i="21"/>
  <c r="D80" i="21"/>
  <c r="D81" i="21"/>
  <c r="D82" i="21"/>
  <c r="D83" i="21"/>
  <c r="D84" i="21"/>
  <c r="D86" i="21"/>
  <c r="D87" i="21"/>
  <c r="D88" i="21"/>
  <c r="D89" i="21"/>
  <c r="D90" i="21"/>
  <c r="D91" i="21"/>
  <c r="D93" i="21"/>
  <c r="D94" i="21"/>
  <c r="D95" i="21"/>
  <c r="D96" i="21"/>
  <c r="D97" i="21"/>
  <c r="D98" i="21"/>
  <c r="D100" i="21"/>
  <c r="D101" i="21"/>
  <c r="D103" i="21"/>
  <c r="D104" i="21"/>
  <c r="D9" i="21"/>
  <c r="W9" i="25"/>
  <c r="W10" i="25"/>
  <c r="W11" i="25"/>
  <c r="W12" i="25"/>
  <c r="W13" i="25"/>
  <c r="W14" i="25"/>
  <c r="W15" i="25"/>
  <c r="W16" i="25"/>
  <c r="W8" i="25"/>
  <c r="V9" i="25"/>
  <c r="V10" i="25"/>
  <c r="V11" i="25"/>
  <c r="V12" i="25"/>
  <c r="V13" i="25"/>
  <c r="V14" i="25"/>
  <c r="V15" i="25"/>
  <c r="V16" i="25"/>
  <c r="V8" i="25"/>
  <c r="U9" i="25"/>
  <c r="U10" i="25"/>
  <c r="U11" i="25"/>
  <c r="U12" i="25"/>
  <c r="U13" i="25"/>
  <c r="U14" i="25"/>
  <c r="U15" i="25"/>
  <c r="U16" i="25"/>
  <c r="U8" i="25"/>
  <c r="T9" i="25"/>
  <c r="T10" i="25"/>
  <c r="T11" i="25"/>
  <c r="T12" i="25"/>
  <c r="T13" i="25"/>
  <c r="T14" i="25"/>
  <c r="T15" i="25"/>
  <c r="T16" i="25"/>
  <c r="T8" i="25"/>
  <c r="S9" i="25"/>
  <c r="S10" i="25"/>
  <c r="S11" i="25"/>
  <c r="S12" i="25"/>
  <c r="S13" i="25"/>
  <c r="S14" i="25"/>
  <c r="S15" i="25"/>
  <c r="S16" i="25"/>
  <c r="S8" i="25"/>
  <c r="R9" i="25"/>
  <c r="R10" i="25"/>
  <c r="R11" i="25"/>
  <c r="R12" i="25"/>
  <c r="R13" i="25"/>
  <c r="R14" i="25"/>
  <c r="R15" i="25"/>
  <c r="R16" i="25"/>
  <c r="R8" i="25"/>
  <c r="Q9" i="25"/>
  <c r="Q10" i="25"/>
  <c r="Q11" i="25"/>
  <c r="Q12" i="25"/>
  <c r="Q13" i="25"/>
  <c r="Q14" i="25"/>
  <c r="Q15" i="25"/>
  <c r="Q16" i="25"/>
  <c r="Q8" i="25"/>
  <c r="P9" i="25"/>
  <c r="P10" i="25"/>
  <c r="P11" i="25"/>
  <c r="P12" i="25"/>
  <c r="P13" i="25"/>
  <c r="P14" i="25"/>
  <c r="P15" i="25"/>
  <c r="P16" i="25"/>
  <c r="P8" i="25"/>
  <c r="O9" i="25"/>
  <c r="O10" i="25"/>
  <c r="O11" i="25"/>
  <c r="O12" i="25"/>
  <c r="O13" i="25"/>
  <c r="O14" i="25"/>
  <c r="O15" i="25"/>
  <c r="O16" i="25"/>
  <c r="O8" i="25"/>
  <c r="H9" i="25"/>
  <c r="H10" i="25"/>
  <c r="H11" i="25"/>
  <c r="H12" i="25"/>
  <c r="H13" i="25"/>
  <c r="H14" i="25"/>
  <c r="H15" i="25"/>
  <c r="H16" i="25"/>
  <c r="H8" i="25"/>
  <c r="G9" i="25"/>
  <c r="G10" i="25"/>
  <c r="G11" i="25"/>
  <c r="G12" i="25"/>
  <c r="G13" i="25"/>
  <c r="G14" i="25"/>
  <c r="G15" i="25"/>
  <c r="G16" i="25"/>
  <c r="G8" i="25"/>
  <c r="F9" i="25"/>
  <c r="F10" i="25"/>
  <c r="F11" i="25"/>
  <c r="F12" i="25"/>
  <c r="F13" i="25"/>
  <c r="F14" i="25"/>
  <c r="F15" i="25"/>
  <c r="F16" i="25"/>
  <c r="F8" i="25"/>
  <c r="D9" i="25"/>
  <c r="D10" i="25"/>
  <c r="D11" i="25"/>
  <c r="D12" i="25"/>
  <c r="D13" i="25"/>
  <c r="D14" i="25"/>
  <c r="D15" i="25"/>
  <c r="D16" i="25"/>
  <c r="D8" i="25"/>
  <c r="I9" i="25"/>
  <c r="I10" i="25"/>
  <c r="I11" i="25"/>
  <c r="I12" i="25"/>
  <c r="I13" i="25"/>
  <c r="I14" i="25"/>
  <c r="I15" i="25"/>
  <c r="I16" i="25"/>
  <c r="I8" i="25"/>
  <c r="W8" i="53"/>
  <c r="W9" i="53"/>
  <c r="W10" i="53"/>
  <c r="W11" i="53"/>
  <c r="W12" i="53"/>
  <c r="W13" i="53"/>
  <c r="W14" i="53"/>
  <c r="W15" i="53"/>
  <c r="W16" i="53"/>
  <c r="W17" i="53"/>
  <c r="W18" i="53"/>
  <c r="W19" i="53"/>
  <c r="W20" i="53"/>
  <c r="W21" i="53"/>
  <c r="W22" i="53"/>
  <c r="W23" i="53"/>
  <c r="W24" i="53"/>
  <c r="W25" i="53"/>
  <c r="W26" i="53"/>
  <c r="W27" i="53"/>
  <c r="W28" i="53"/>
  <c r="W29" i="53"/>
  <c r="W30" i="53"/>
  <c r="W31" i="53"/>
  <c r="W32" i="53"/>
  <c r="W33" i="53"/>
  <c r="W34" i="53"/>
  <c r="W35" i="53"/>
  <c r="W36" i="53"/>
  <c r="W37" i="53"/>
  <c r="W38" i="53"/>
  <c r="W39" i="53"/>
  <c r="W40" i="53"/>
  <c r="W41" i="53"/>
  <c r="W42" i="53"/>
  <c r="W43" i="53"/>
  <c r="W44" i="53"/>
  <c r="W45" i="53"/>
  <c r="W46" i="53"/>
  <c r="W47" i="53"/>
  <c r="W48" i="53"/>
  <c r="V8" i="53"/>
  <c r="V10" i="53"/>
  <c r="V11" i="53"/>
  <c r="V12" i="53"/>
  <c r="V13" i="53"/>
  <c r="V14" i="53"/>
  <c r="V15" i="53"/>
  <c r="V16" i="53"/>
  <c r="V17" i="53"/>
  <c r="V18" i="53"/>
  <c r="V19" i="53"/>
  <c r="V20" i="53"/>
  <c r="V21" i="53"/>
  <c r="V22" i="53"/>
  <c r="V23" i="53"/>
  <c r="V24" i="53"/>
  <c r="V25" i="53"/>
  <c r="V26" i="53"/>
  <c r="V27" i="53"/>
  <c r="V28" i="53"/>
  <c r="V29" i="53"/>
  <c r="V30" i="53"/>
  <c r="V31" i="53"/>
  <c r="V32" i="53"/>
  <c r="V33" i="53"/>
  <c r="V34" i="53"/>
  <c r="V35" i="53"/>
  <c r="V36" i="53"/>
  <c r="V37" i="53"/>
  <c r="V38" i="53"/>
  <c r="V39" i="53"/>
  <c r="V40" i="53"/>
  <c r="V41" i="53"/>
  <c r="V42" i="53"/>
  <c r="V43" i="53"/>
  <c r="V44" i="53"/>
  <c r="V45" i="53"/>
  <c r="V46" i="53"/>
  <c r="V47" i="53"/>
  <c r="V48" i="53"/>
  <c r="V9" i="53"/>
  <c r="T9" i="53"/>
  <c r="T10" i="53"/>
  <c r="T11" i="53"/>
  <c r="T12" i="53"/>
  <c r="T13" i="53"/>
  <c r="T14" i="53"/>
  <c r="T15" i="53"/>
  <c r="T16" i="53"/>
  <c r="T17" i="53"/>
  <c r="T18" i="53"/>
  <c r="T19" i="53"/>
  <c r="T20" i="53"/>
  <c r="T21" i="53"/>
  <c r="T22" i="53"/>
  <c r="T23" i="53"/>
  <c r="T24" i="53"/>
  <c r="T25" i="53"/>
  <c r="T26" i="53"/>
  <c r="T27" i="53"/>
  <c r="T28" i="53"/>
  <c r="T29" i="53"/>
  <c r="T30" i="53"/>
  <c r="T31" i="53"/>
  <c r="T32" i="53"/>
  <c r="T33" i="53"/>
  <c r="T34" i="53"/>
  <c r="T35" i="53"/>
  <c r="T36" i="53"/>
  <c r="T37" i="53"/>
  <c r="T38" i="53"/>
  <c r="T39" i="53"/>
  <c r="T40" i="53"/>
  <c r="T41" i="53"/>
  <c r="T42" i="53"/>
  <c r="T43" i="53"/>
  <c r="T44" i="53"/>
  <c r="T45" i="53"/>
  <c r="T46" i="53"/>
  <c r="T47" i="53"/>
  <c r="T48" i="53"/>
  <c r="T8" i="53"/>
  <c r="S9" i="53"/>
  <c r="S10" i="53"/>
  <c r="S11" i="53"/>
  <c r="S12" i="53"/>
  <c r="S13" i="53"/>
  <c r="S14" i="53"/>
  <c r="S15" i="53"/>
  <c r="S16" i="53"/>
  <c r="S17" i="53"/>
  <c r="S18" i="53"/>
  <c r="S19" i="53"/>
  <c r="S20" i="53"/>
  <c r="S21" i="53"/>
  <c r="S22" i="53"/>
  <c r="S23" i="53"/>
  <c r="S24" i="53"/>
  <c r="S25" i="53"/>
  <c r="S26" i="53"/>
  <c r="S27" i="53"/>
  <c r="S28" i="53"/>
  <c r="S29" i="53"/>
  <c r="S30" i="53"/>
  <c r="S31" i="53"/>
  <c r="S32" i="53"/>
  <c r="S33" i="53"/>
  <c r="S34" i="53"/>
  <c r="S35" i="53"/>
  <c r="S36" i="53"/>
  <c r="S37" i="53"/>
  <c r="S38" i="53"/>
  <c r="S39" i="53"/>
  <c r="S40" i="53"/>
  <c r="S41" i="53"/>
  <c r="S42" i="53"/>
  <c r="S43" i="53"/>
  <c r="S44" i="53"/>
  <c r="S45" i="53"/>
  <c r="S46" i="53"/>
  <c r="S47" i="53"/>
  <c r="S48" i="53"/>
  <c r="S8" i="53"/>
  <c r="R9" i="53"/>
  <c r="R10" i="53"/>
  <c r="R11" i="53"/>
  <c r="R12" i="53"/>
  <c r="R13" i="53"/>
  <c r="R14" i="53"/>
  <c r="R15" i="53"/>
  <c r="R16" i="53"/>
  <c r="R17" i="53"/>
  <c r="R18" i="53"/>
  <c r="R19" i="53"/>
  <c r="R20" i="53"/>
  <c r="R21" i="53"/>
  <c r="R22" i="53"/>
  <c r="R23" i="53"/>
  <c r="R24" i="53"/>
  <c r="R25" i="53"/>
  <c r="R26" i="53"/>
  <c r="R27" i="53"/>
  <c r="R28" i="53"/>
  <c r="R29" i="53"/>
  <c r="R30" i="53"/>
  <c r="R31" i="53"/>
  <c r="R32" i="53"/>
  <c r="R33" i="53"/>
  <c r="R34" i="53"/>
  <c r="R35" i="53"/>
  <c r="R36" i="53"/>
  <c r="R37" i="53"/>
  <c r="R38" i="53"/>
  <c r="R39" i="53"/>
  <c r="R40" i="53"/>
  <c r="R41" i="53"/>
  <c r="R42" i="53"/>
  <c r="R43" i="53"/>
  <c r="R44" i="53"/>
  <c r="R45" i="53"/>
  <c r="R46" i="53"/>
  <c r="R47" i="53"/>
  <c r="R48" i="53"/>
  <c r="R8" i="53"/>
  <c r="Q9" i="53"/>
  <c r="Q10" i="53"/>
  <c r="Q11" i="53"/>
  <c r="Q12" i="53"/>
  <c r="Q13" i="53"/>
  <c r="Q14" i="53"/>
  <c r="Q15" i="53"/>
  <c r="Q16" i="53"/>
  <c r="Q17" i="53"/>
  <c r="Q18" i="53"/>
  <c r="Q19" i="53"/>
  <c r="Q20" i="53"/>
  <c r="Q21" i="53"/>
  <c r="Q22" i="53"/>
  <c r="Q23" i="53"/>
  <c r="Q24" i="53"/>
  <c r="Q25" i="53"/>
  <c r="Q26" i="53"/>
  <c r="Q27" i="53"/>
  <c r="Q28" i="53"/>
  <c r="Q29" i="53"/>
  <c r="Q30" i="53"/>
  <c r="Q31" i="53"/>
  <c r="Q32" i="53"/>
  <c r="Q33" i="53"/>
  <c r="Q34" i="53"/>
  <c r="Q35" i="53"/>
  <c r="Q36" i="53"/>
  <c r="Q37" i="53"/>
  <c r="Q38" i="53"/>
  <c r="Q39" i="53"/>
  <c r="Q40" i="53"/>
  <c r="Q41" i="53"/>
  <c r="Q42" i="53"/>
  <c r="Q43" i="53"/>
  <c r="Q44" i="53"/>
  <c r="Q45" i="53"/>
  <c r="Q46" i="53"/>
  <c r="Q47" i="53"/>
  <c r="Q48" i="53"/>
  <c r="Q8" i="53"/>
  <c r="P9" i="53"/>
  <c r="P10" i="53"/>
  <c r="P11" i="53"/>
  <c r="P12" i="53"/>
  <c r="P13" i="53"/>
  <c r="P14" i="53"/>
  <c r="P15" i="53"/>
  <c r="P16" i="53"/>
  <c r="P17" i="53"/>
  <c r="P18" i="53"/>
  <c r="P19" i="53"/>
  <c r="P20" i="53"/>
  <c r="P21" i="53"/>
  <c r="P22" i="53"/>
  <c r="P23" i="53"/>
  <c r="P24" i="53"/>
  <c r="P25" i="53"/>
  <c r="P26" i="53"/>
  <c r="P27" i="53"/>
  <c r="P28" i="53"/>
  <c r="P29" i="53"/>
  <c r="P30" i="53"/>
  <c r="P31" i="53"/>
  <c r="P32" i="53"/>
  <c r="P33" i="53"/>
  <c r="P34" i="53"/>
  <c r="P35" i="53"/>
  <c r="P36" i="53"/>
  <c r="P37" i="53"/>
  <c r="P38" i="53"/>
  <c r="P39" i="53"/>
  <c r="P40" i="53"/>
  <c r="P41" i="53"/>
  <c r="P42" i="53"/>
  <c r="P43" i="53"/>
  <c r="P44" i="53"/>
  <c r="P45" i="53"/>
  <c r="P46" i="53"/>
  <c r="P47" i="53"/>
  <c r="P48" i="53"/>
  <c r="P8" i="53"/>
  <c r="O9" i="53"/>
  <c r="O10" i="53"/>
  <c r="O11" i="53"/>
  <c r="O12" i="53"/>
  <c r="O13" i="53"/>
  <c r="O14" i="53"/>
  <c r="O15" i="53"/>
  <c r="O16" i="53"/>
  <c r="O17" i="53"/>
  <c r="O18" i="53"/>
  <c r="O19" i="53"/>
  <c r="O20" i="53"/>
  <c r="O21" i="53"/>
  <c r="O22" i="53"/>
  <c r="O23" i="53"/>
  <c r="O24" i="53"/>
  <c r="O25" i="53"/>
  <c r="O26" i="53"/>
  <c r="O27" i="53"/>
  <c r="O28" i="53"/>
  <c r="O29" i="53"/>
  <c r="O30" i="53"/>
  <c r="O31" i="53"/>
  <c r="O32" i="53"/>
  <c r="O33" i="53"/>
  <c r="O34" i="53"/>
  <c r="O35" i="53"/>
  <c r="O36" i="53"/>
  <c r="O37" i="53"/>
  <c r="O38" i="53"/>
  <c r="O39" i="53"/>
  <c r="O40" i="53"/>
  <c r="O41" i="53"/>
  <c r="O42" i="53"/>
  <c r="O43" i="53"/>
  <c r="O44" i="53"/>
  <c r="O45" i="53"/>
  <c r="O46" i="53"/>
  <c r="O47" i="53"/>
  <c r="O48" i="53"/>
  <c r="O8" i="53"/>
  <c r="H9" i="53"/>
  <c r="H10" i="53"/>
  <c r="H11" i="53"/>
  <c r="H12" i="53"/>
  <c r="H13" i="53"/>
  <c r="H14" i="53"/>
  <c r="H15" i="53"/>
  <c r="H16" i="53"/>
  <c r="H17" i="53"/>
  <c r="H18" i="53"/>
  <c r="H19" i="53"/>
  <c r="H20" i="53"/>
  <c r="H21" i="53"/>
  <c r="H22" i="53"/>
  <c r="H23" i="53"/>
  <c r="H24" i="53"/>
  <c r="H25" i="53"/>
  <c r="H26" i="53"/>
  <c r="H27" i="53"/>
  <c r="H28" i="53"/>
  <c r="H29" i="53"/>
  <c r="H30" i="53"/>
  <c r="H31" i="53"/>
  <c r="H32" i="53"/>
  <c r="H33" i="53"/>
  <c r="H34" i="53"/>
  <c r="H35" i="53"/>
  <c r="H36" i="53"/>
  <c r="H37" i="53"/>
  <c r="H38" i="53"/>
  <c r="H39" i="53"/>
  <c r="H40" i="53"/>
  <c r="H41" i="53"/>
  <c r="H42" i="53"/>
  <c r="H43" i="53"/>
  <c r="H44" i="53"/>
  <c r="H45" i="53"/>
  <c r="H46" i="53"/>
  <c r="H47" i="53"/>
  <c r="H48" i="53"/>
  <c r="H8" i="53"/>
  <c r="G9" i="53"/>
  <c r="G10" i="53"/>
  <c r="G11" i="53"/>
  <c r="G12" i="53"/>
  <c r="G13" i="53"/>
  <c r="G14" i="53"/>
  <c r="G15" i="53"/>
  <c r="G16" i="53"/>
  <c r="G17" i="53"/>
  <c r="G18" i="53"/>
  <c r="G19" i="53"/>
  <c r="G20" i="53"/>
  <c r="G21" i="53"/>
  <c r="G22" i="53"/>
  <c r="G23" i="53"/>
  <c r="G24" i="53"/>
  <c r="G25" i="53"/>
  <c r="G26" i="53"/>
  <c r="G27" i="53"/>
  <c r="G28" i="53"/>
  <c r="G29" i="53"/>
  <c r="G30" i="53"/>
  <c r="G31" i="53"/>
  <c r="G32" i="53"/>
  <c r="G33" i="53"/>
  <c r="G34" i="53"/>
  <c r="G35" i="53"/>
  <c r="G36" i="53"/>
  <c r="G37" i="53"/>
  <c r="G38" i="53"/>
  <c r="G39" i="53"/>
  <c r="G40" i="53"/>
  <c r="G41" i="53"/>
  <c r="G42" i="53"/>
  <c r="G43" i="53"/>
  <c r="G44" i="53"/>
  <c r="G45" i="53"/>
  <c r="G46" i="53"/>
  <c r="G47" i="53"/>
  <c r="G48" i="53"/>
  <c r="G8" i="53"/>
  <c r="F9" i="53"/>
  <c r="U9" i="53" s="1"/>
  <c r="F10" i="53"/>
  <c r="U10" i="53" s="1"/>
  <c r="F11" i="53"/>
  <c r="U11" i="53" s="1"/>
  <c r="F12" i="53"/>
  <c r="U12" i="53" s="1"/>
  <c r="F13" i="53"/>
  <c r="U13" i="53" s="1"/>
  <c r="F14" i="53"/>
  <c r="U14" i="53" s="1"/>
  <c r="F15" i="53"/>
  <c r="U15" i="53" s="1"/>
  <c r="F16" i="53"/>
  <c r="U16" i="53" s="1"/>
  <c r="F17" i="53"/>
  <c r="U17" i="53" s="1"/>
  <c r="F18" i="53"/>
  <c r="U18" i="53" s="1"/>
  <c r="F19" i="53"/>
  <c r="U19" i="53" s="1"/>
  <c r="F20" i="53"/>
  <c r="U20" i="53" s="1"/>
  <c r="F21" i="53"/>
  <c r="U21" i="53" s="1"/>
  <c r="F22" i="53"/>
  <c r="U22" i="53" s="1"/>
  <c r="F23" i="53"/>
  <c r="U23" i="53" s="1"/>
  <c r="F24" i="53"/>
  <c r="U24" i="53" s="1"/>
  <c r="F25" i="53"/>
  <c r="U25" i="53" s="1"/>
  <c r="F26" i="53"/>
  <c r="U26" i="53" s="1"/>
  <c r="F27" i="53"/>
  <c r="U27" i="53" s="1"/>
  <c r="F28" i="53"/>
  <c r="U28" i="53" s="1"/>
  <c r="F29" i="53"/>
  <c r="U29" i="53" s="1"/>
  <c r="F30" i="53"/>
  <c r="U30" i="53" s="1"/>
  <c r="F31" i="53"/>
  <c r="U31" i="53" s="1"/>
  <c r="F32" i="53"/>
  <c r="U32" i="53" s="1"/>
  <c r="F33" i="53"/>
  <c r="U33" i="53" s="1"/>
  <c r="F34" i="53"/>
  <c r="U34" i="53" s="1"/>
  <c r="F35" i="53"/>
  <c r="U35" i="53" s="1"/>
  <c r="F36" i="53"/>
  <c r="U36" i="53" s="1"/>
  <c r="F37" i="53"/>
  <c r="U37" i="53" s="1"/>
  <c r="F38" i="53"/>
  <c r="U38" i="53" s="1"/>
  <c r="F39" i="53"/>
  <c r="U39" i="53" s="1"/>
  <c r="F40" i="53"/>
  <c r="U40" i="53" s="1"/>
  <c r="F41" i="53"/>
  <c r="U41" i="53" s="1"/>
  <c r="F42" i="53"/>
  <c r="U42" i="53" s="1"/>
  <c r="F43" i="53"/>
  <c r="U43" i="53" s="1"/>
  <c r="F44" i="53"/>
  <c r="U44" i="53" s="1"/>
  <c r="F45" i="53"/>
  <c r="U45" i="53" s="1"/>
  <c r="F46" i="53"/>
  <c r="U46" i="53" s="1"/>
  <c r="F47" i="53"/>
  <c r="U47" i="53" s="1"/>
  <c r="F48" i="53"/>
  <c r="U48" i="53" s="1"/>
  <c r="F8" i="53"/>
  <c r="U8" i="53" s="1"/>
  <c r="D9" i="53"/>
  <c r="D10" i="53"/>
  <c r="D11" i="53"/>
  <c r="D12" i="53"/>
  <c r="D13" i="53"/>
  <c r="D14" i="53"/>
  <c r="D15" i="53"/>
  <c r="D16" i="53"/>
  <c r="D17" i="53"/>
  <c r="D18" i="53"/>
  <c r="D19" i="53"/>
  <c r="D20" i="53"/>
  <c r="D21" i="53"/>
  <c r="D22" i="53"/>
  <c r="D23" i="53"/>
  <c r="D24" i="53"/>
  <c r="D25" i="53"/>
  <c r="D26" i="53"/>
  <c r="D27" i="53"/>
  <c r="D28" i="53"/>
  <c r="D29" i="53"/>
  <c r="D30" i="53"/>
  <c r="D31" i="53"/>
  <c r="D32" i="53"/>
  <c r="D33" i="53"/>
  <c r="D34" i="53"/>
  <c r="D35" i="53"/>
  <c r="D36" i="53"/>
  <c r="D37" i="53"/>
  <c r="D38" i="53"/>
  <c r="D39" i="53"/>
  <c r="D40" i="53"/>
  <c r="D41" i="53"/>
  <c r="D42" i="53"/>
  <c r="D43" i="53"/>
  <c r="D44" i="53"/>
  <c r="D45" i="53"/>
  <c r="D46" i="53"/>
  <c r="D47" i="53"/>
  <c r="D48" i="53"/>
  <c r="D8" i="53"/>
  <c r="I9" i="53"/>
  <c r="I10" i="53"/>
  <c r="I11" i="53"/>
  <c r="I12" i="53"/>
  <c r="I13" i="53"/>
  <c r="I14" i="53"/>
  <c r="I15" i="53"/>
  <c r="I16" i="53"/>
  <c r="I17" i="53"/>
  <c r="I18" i="53"/>
  <c r="I19" i="53"/>
  <c r="I20" i="53"/>
  <c r="I21" i="53"/>
  <c r="I22" i="53"/>
  <c r="I23" i="53"/>
  <c r="I24" i="53"/>
  <c r="I25" i="53"/>
  <c r="I26" i="53"/>
  <c r="I27" i="53"/>
  <c r="I28" i="53"/>
  <c r="I29" i="53"/>
  <c r="I30" i="53"/>
  <c r="I31" i="53"/>
  <c r="I32" i="53"/>
  <c r="I33" i="53"/>
  <c r="I34" i="53"/>
  <c r="I35" i="53"/>
  <c r="I36" i="53"/>
  <c r="I37" i="53"/>
  <c r="I38" i="53"/>
  <c r="I39" i="53"/>
  <c r="I40" i="53"/>
  <c r="I41" i="53"/>
  <c r="I42" i="53"/>
  <c r="I43" i="53"/>
  <c r="I44" i="53"/>
  <c r="I45" i="53"/>
  <c r="I46" i="53"/>
  <c r="I47" i="53"/>
  <c r="I48" i="53"/>
  <c r="I8" i="53"/>
  <c r="W9" i="24"/>
  <c r="W10" i="24"/>
  <c r="W11" i="24"/>
  <c r="W12" i="24"/>
  <c r="W13" i="24"/>
  <c r="W14" i="24"/>
  <c r="W15" i="24"/>
  <c r="W16" i="24"/>
  <c r="W17" i="24"/>
  <c r="W18" i="24"/>
  <c r="W19" i="24"/>
  <c r="W20" i="24"/>
  <c r="W21" i="24"/>
  <c r="W22" i="24"/>
  <c r="W23" i="24"/>
  <c r="W24" i="24"/>
  <c r="W25" i="24"/>
  <c r="W26" i="24"/>
  <c r="W27" i="24"/>
  <c r="W28" i="24"/>
  <c r="W29" i="24"/>
  <c r="W30" i="24"/>
  <c r="W31" i="24"/>
  <c r="W32" i="24"/>
  <c r="W33" i="24"/>
  <c r="W34" i="24"/>
  <c r="W35" i="24"/>
  <c r="W36" i="24"/>
  <c r="W37" i="24"/>
  <c r="W38" i="24"/>
  <c r="W39" i="24"/>
  <c r="W40" i="24"/>
  <c r="W41" i="24"/>
  <c r="W42" i="24"/>
  <c r="W43" i="24"/>
  <c r="W44" i="24"/>
  <c r="W45" i="24"/>
  <c r="W46" i="24"/>
  <c r="W47" i="24"/>
  <c r="W48" i="24"/>
  <c r="W49" i="24"/>
  <c r="W50" i="24"/>
  <c r="W51" i="24"/>
  <c r="W52" i="24"/>
  <c r="W53" i="24"/>
  <c r="W54" i="24"/>
  <c r="W55" i="24"/>
  <c r="W56" i="24"/>
  <c r="W57" i="24"/>
  <c r="W58" i="24"/>
  <c r="W59" i="24"/>
  <c r="W60" i="24"/>
  <c r="W61" i="24"/>
  <c r="W62" i="24"/>
  <c r="W63" i="24"/>
  <c r="W64" i="24"/>
  <c r="W65" i="24"/>
  <c r="W66" i="24"/>
  <c r="W67" i="24"/>
  <c r="W68" i="24"/>
  <c r="W69" i="24"/>
  <c r="W70" i="24"/>
  <c r="W71" i="24"/>
  <c r="W72" i="24"/>
  <c r="W73" i="24"/>
  <c r="W74" i="24"/>
  <c r="W75" i="24"/>
  <c r="W76" i="24"/>
  <c r="W77" i="24"/>
  <c r="W78" i="24"/>
  <c r="W79" i="24"/>
  <c r="W80" i="24"/>
  <c r="W81" i="24"/>
  <c r="W82" i="24"/>
  <c r="W83" i="24"/>
  <c r="W84" i="24"/>
  <c r="W85" i="24"/>
  <c r="W86" i="24"/>
  <c r="W87" i="24"/>
  <c r="W88" i="24"/>
  <c r="W89" i="24"/>
  <c r="W90" i="24"/>
  <c r="W91" i="24"/>
  <c r="W92" i="24"/>
  <c r="W93" i="24"/>
  <c r="W94" i="24"/>
  <c r="W95" i="24"/>
  <c r="W96" i="24"/>
  <c r="W97" i="24"/>
  <c r="W98" i="24"/>
  <c r="W99" i="24"/>
  <c r="W100" i="24"/>
  <c r="W101" i="24"/>
  <c r="W102" i="24"/>
  <c r="W103" i="24"/>
  <c r="W104" i="24"/>
  <c r="W105" i="24"/>
  <c r="W106" i="24"/>
  <c r="W107" i="24"/>
  <c r="W108" i="24"/>
  <c r="W109" i="24"/>
  <c r="W110" i="24"/>
  <c r="W111" i="24"/>
  <c r="W112" i="24"/>
  <c r="W113" i="24"/>
  <c r="W114" i="24"/>
  <c r="W115" i="24"/>
  <c r="W116" i="24"/>
  <c r="W117" i="24"/>
  <c r="W118" i="24"/>
  <c r="W119" i="24"/>
  <c r="W120" i="24"/>
  <c r="W121" i="24"/>
  <c r="W122" i="24"/>
  <c r="W123" i="24"/>
  <c r="W124" i="24"/>
  <c r="W125" i="24"/>
  <c r="W126" i="24"/>
  <c r="W127" i="24"/>
  <c r="W128" i="24"/>
  <c r="W129" i="24"/>
  <c r="W130" i="24"/>
  <c r="W131" i="24"/>
  <c r="W132" i="24"/>
  <c r="W133" i="24"/>
  <c r="W134" i="24"/>
  <c r="W135" i="24"/>
  <c r="W136" i="24"/>
  <c r="W137" i="24"/>
  <c r="W138" i="24"/>
  <c r="W139" i="24"/>
  <c r="W140" i="24"/>
  <c r="W141" i="24"/>
  <c r="W142" i="24"/>
  <c r="W143" i="24"/>
  <c r="W144" i="24"/>
  <c r="W145" i="24"/>
  <c r="W146" i="24"/>
  <c r="W147" i="24"/>
  <c r="W148" i="24"/>
  <c r="W149" i="24"/>
  <c r="W150" i="24"/>
  <c r="W151" i="24"/>
  <c r="W152" i="24"/>
  <c r="W153" i="24"/>
  <c r="W154" i="24"/>
  <c r="W155" i="24"/>
  <c r="W156" i="24"/>
  <c r="W157" i="24"/>
  <c r="W158" i="24"/>
  <c r="W159" i="24"/>
  <c r="W160" i="24"/>
  <c r="W161" i="24"/>
  <c r="W162" i="24"/>
  <c r="W163" i="24"/>
  <c r="W164" i="24"/>
  <c r="W165" i="24"/>
  <c r="W166" i="24"/>
  <c r="W167" i="24"/>
  <c r="W168" i="24"/>
  <c r="W169" i="24"/>
  <c r="W170" i="24"/>
  <c r="W171" i="24"/>
  <c r="W172" i="24"/>
  <c r="W173" i="24"/>
  <c r="W174" i="24"/>
  <c r="W175" i="24"/>
  <c r="W176" i="24"/>
  <c r="W177" i="24"/>
  <c r="W178" i="24"/>
  <c r="W179" i="24"/>
  <c r="W180" i="24"/>
  <c r="W181" i="24"/>
  <c r="W182" i="24"/>
  <c r="W183" i="24"/>
  <c r="W184" i="24"/>
  <c r="W185" i="24"/>
  <c r="W186" i="24"/>
  <c r="W187" i="24"/>
  <c r="W188" i="24"/>
  <c r="W189" i="24"/>
  <c r="W190" i="24"/>
  <c r="W191" i="24"/>
  <c r="W192" i="24"/>
  <c r="W193" i="24"/>
  <c r="W194" i="24"/>
  <c r="W195" i="24"/>
  <c r="W196" i="24"/>
  <c r="W197" i="24"/>
  <c r="W198" i="24"/>
  <c r="W199" i="24"/>
  <c r="W200" i="24"/>
  <c r="W201" i="24"/>
  <c r="W202" i="24"/>
  <c r="W203" i="24"/>
  <c r="W204" i="24"/>
  <c r="W205" i="24"/>
  <c r="W206" i="24"/>
  <c r="W207" i="24"/>
  <c r="W208" i="24"/>
  <c r="W209" i="24"/>
  <c r="W210" i="24"/>
  <c r="W211" i="24"/>
  <c r="W212" i="24"/>
  <c r="W213" i="24"/>
  <c r="W214" i="24"/>
  <c r="W215" i="24"/>
  <c r="W216" i="24"/>
  <c r="W217" i="24"/>
  <c r="W218" i="24"/>
  <c r="W219" i="24"/>
  <c r="W220" i="24"/>
  <c r="W221" i="24"/>
  <c r="W222" i="24"/>
  <c r="W223" i="24"/>
  <c r="W224" i="24"/>
  <c r="W225" i="24"/>
  <c r="W226" i="24"/>
  <c r="W227" i="24"/>
  <c r="W228" i="24"/>
  <c r="W229" i="24"/>
  <c r="W230" i="24"/>
  <c r="W231" i="24"/>
  <c r="W232" i="24"/>
  <c r="W233" i="24"/>
  <c r="W234" i="24"/>
  <c r="W235" i="24"/>
  <c r="W236" i="24"/>
  <c r="W237" i="24"/>
  <c r="W238" i="24"/>
  <c r="W239" i="24"/>
  <c r="W240" i="24"/>
  <c r="W241" i="24"/>
  <c r="W242" i="24"/>
  <c r="W243" i="24"/>
  <c r="W244" i="24"/>
  <c r="W245" i="24"/>
  <c r="W246" i="24"/>
  <c r="W247" i="24"/>
  <c r="W248" i="24"/>
  <c r="W249" i="24"/>
  <c r="W8" i="24"/>
  <c r="V9" i="24"/>
  <c r="V10" i="24"/>
  <c r="V11" i="24"/>
  <c r="V12" i="24"/>
  <c r="V13" i="24"/>
  <c r="V14" i="24"/>
  <c r="V15" i="24"/>
  <c r="V16" i="24"/>
  <c r="V17" i="24"/>
  <c r="V18" i="24"/>
  <c r="V19" i="24"/>
  <c r="V20" i="24"/>
  <c r="V21" i="24"/>
  <c r="V22" i="24"/>
  <c r="V23" i="24"/>
  <c r="V24" i="24"/>
  <c r="V25" i="24"/>
  <c r="V26" i="24"/>
  <c r="V27" i="24"/>
  <c r="V28" i="24"/>
  <c r="V29" i="24"/>
  <c r="V30" i="24"/>
  <c r="V31" i="24"/>
  <c r="V32" i="24"/>
  <c r="V33" i="24"/>
  <c r="V34" i="24"/>
  <c r="V35" i="24"/>
  <c r="V36" i="24"/>
  <c r="V37" i="24"/>
  <c r="V38" i="24"/>
  <c r="V39" i="24"/>
  <c r="V40" i="24"/>
  <c r="V41" i="24"/>
  <c r="V42" i="24"/>
  <c r="V43" i="24"/>
  <c r="V44" i="24"/>
  <c r="V45" i="24"/>
  <c r="V46" i="24"/>
  <c r="V47" i="24"/>
  <c r="V48" i="24"/>
  <c r="V49" i="24"/>
  <c r="V50" i="24"/>
  <c r="V51" i="24"/>
  <c r="V52" i="24"/>
  <c r="V53" i="24"/>
  <c r="V54" i="24"/>
  <c r="V55" i="24"/>
  <c r="V56" i="24"/>
  <c r="V57" i="24"/>
  <c r="V58" i="24"/>
  <c r="V59" i="24"/>
  <c r="V60" i="24"/>
  <c r="V61" i="24"/>
  <c r="V62" i="24"/>
  <c r="V63" i="24"/>
  <c r="V64" i="24"/>
  <c r="V65" i="24"/>
  <c r="V66" i="24"/>
  <c r="V67" i="24"/>
  <c r="V68" i="24"/>
  <c r="V69" i="24"/>
  <c r="V70" i="24"/>
  <c r="V71" i="24"/>
  <c r="V72" i="24"/>
  <c r="V73" i="24"/>
  <c r="V74" i="24"/>
  <c r="V75" i="24"/>
  <c r="V76" i="24"/>
  <c r="V77" i="24"/>
  <c r="V78" i="24"/>
  <c r="V79" i="24"/>
  <c r="V80" i="24"/>
  <c r="V81" i="24"/>
  <c r="V82" i="24"/>
  <c r="V83" i="24"/>
  <c r="V84" i="24"/>
  <c r="V85" i="24"/>
  <c r="V86" i="24"/>
  <c r="V87" i="24"/>
  <c r="V88" i="24"/>
  <c r="V89" i="24"/>
  <c r="V90" i="24"/>
  <c r="V91" i="24"/>
  <c r="V92" i="24"/>
  <c r="V93" i="24"/>
  <c r="V94" i="24"/>
  <c r="V95" i="24"/>
  <c r="V96" i="24"/>
  <c r="V97" i="24"/>
  <c r="V98" i="24"/>
  <c r="V99" i="24"/>
  <c r="V100" i="24"/>
  <c r="V101" i="24"/>
  <c r="V102" i="24"/>
  <c r="V103" i="24"/>
  <c r="V104" i="24"/>
  <c r="V105" i="24"/>
  <c r="V106" i="24"/>
  <c r="V107" i="24"/>
  <c r="V108" i="24"/>
  <c r="V109" i="24"/>
  <c r="V110" i="24"/>
  <c r="V111" i="24"/>
  <c r="V112" i="24"/>
  <c r="V113" i="24"/>
  <c r="V114" i="24"/>
  <c r="V115" i="24"/>
  <c r="V116" i="24"/>
  <c r="V117" i="24"/>
  <c r="V118" i="24"/>
  <c r="V119" i="24"/>
  <c r="V120" i="24"/>
  <c r="V121" i="24"/>
  <c r="V122" i="24"/>
  <c r="V123" i="24"/>
  <c r="V124" i="24"/>
  <c r="V125" i="24"/>
  <c r="V126" i="24"/>
  <c r="V127" i="24"/>
  <c r="V128" i="24"/>
  <c r="V129" i="24"/>
  <c r="V130" i="24"/>
  <c r="V131" i="24"/>
  <c r="V132" i="24"/>
  <c r="V133" i="24"/>
  <c r="V134" i="24"/>
  <c r="V135" i="24"/>
  <c r="V136" i="24"/>
  <c r="V137" i="24"/>
  <c r="V138" i="24"/>
  <c r="V139" i="24"/>
  <c r="V140" i="24"/>
  <c r="V141" i="24"/>
  <c r="V142" i="24"/>
  <c r="V143" i="24"/>
  <c r="V144" i="24"/>
  <c r="V145" i="24"/>
  <c r="V146" i="24"/>
  <c r="V147" i="24"/>
  <c r="V148" i="24"/>
  <c r="V149" i="24"/>
  <c r="V150" i="24"/>
  <c r="V151" i="24"/>
  <c r="V152" i="24"/>
  <c r="V153" i="24"/>
  <c r="V154" i="24"/>
  <c r="V155" i="24"/>
  <c r="V156" i="24"/>
  <c r="V157" i="24"/>
  <c r="V158" i="24"/>
  <c r="V159" i="24"/>
  <c r="V160" i="24"/>
  <c r="V161" i="24"/>
  <c r="V162" i="24"/>
  <c r="V163" i="24"/>
  <c r="V164" i="24"/>
  <c r="V165" i="24"/>
  <c r="V166" i="24"/>
  <c r="V167" i="24"/>
  <c r="V168" i="24"/>
  <c r="V169" i="24"/>
  <c r="V170" i="24"/>
  <c r="V171" i="24"/>
  <c r="V172" i="24"/>
  <c r="V173" i="24"/>
  <c r="V174" i="24"/>
  <c r="V175" i="24"/>
  <c r="V176" i="24"/>
  <c r="V177" i="24"/>
  <c r="V178" i="24"/>
  <c r="V179" i="24"/>
  <c r="V180" i="24"/>
  <c r="V181" i="24"/>
  <c r="V182" i="24"/>
  <c r="V183" i="24"/>
  <c r="V184" i="24"/>
  <c r="V185" i="24"/>
  <c r="V186" i="24"/>
  <c r="V187" i="24"/>
  <c r="V188" i="24"/>
  <c r="V189" i="24"/>
  <c r="V190" i="24"/>
  <c r="V191" i="24"/>
  <c r="V192" i="24"/>
  <c r="V193" i="24"/>
  <c r="V194" i="24"/>
  <c r="V195" i="24"/>
  <c r="V196" i="24"/>
  <c r="V197" i="24"/>
  <c r="V198" i="24"/>
  <c r="V199" i="24"/>
  <c r="V200" i="24"/>
  <c r="V201" i="24"/>
  <c r="V202" i="24"/>
  <c r="V203" i="24"/>
  <c r="V204" i="24"/>
  <c r="V205" i="24"/>
  <c r="V206" i="24"/>
  <c r="V207" i="24"/>
  <c r="V208" i="24"/>
  <c r="V209" i="24"/>
  <c r="V210" i="24"/>
  <c r="V211" i="24"/>
  <c r="V212" i="24"/>
  <c r="V213" i="24"/>
  <c r="V214" i="24"/>
  <c r="V215" i="24"/>
  <c r="V216" i="24"/>
  <c r="V217" i="24"/>
  <c r="V218" i="24"/>
  <c r="V219" i="24"/>
  <c r="V220" i="24"/>
  <c r="V221" i="24"/>
  <c r="V222" i="24"/>
  <c r="V223" i="24"/>
  <c r="V224" i="24"/>
  <c r="V225" i="24"/>
  <c r="V226" i="24"/>
  <c r="V227" i="24"/>
  <c r="V228" i="24"/>
  <c r="V229" i="24"/>
  <c r="V230" i="24"/>
  <c r="V231" i="24"/>
  <c r="V232" i="24"/>
  <c r="V233" i="24"/>
  <c r="V234" i="24"/>
  <c r="V235" i="24"/>
  <c r="V236" i="24"/>
  <c r="V237" i="24"/>
  <c r="V238" i="24"/>
  <c r="V239" i="24"/>
  <c r="V240" i="24"/>
  <c r="V241" i="24"/>
  <c r="V242" i="24"/>
  <c r="V243" i="24"/>
  <c r="V244" i="24"/>
  <c r="V245" i="24"/>
  <c r="V246" i="24"/>
  <c r="V247" i="24"/>
  <c r="V248" i="24"/>
  <c r="V249" i="24"/>
  <c r="V8" i="24"/>
  <c r="U9" i="24"/>
  <c r="U10" i="24"/>
  <c r="U11" i="24"/>
  <c r="U12" i="24"/>
  <c r="U13" i="24"/>
  <c r="U14" i="24"/>
  <c r="U15" i="24"/>
  <c r="U16" i="24"/>
  <c r="U17" i="24"/>
  <c r="U18" i="24"/>
  <c r="U19" i="24"/>
  <c r="U20" i="24"/>
  <c r="U21" i="24"/>
  <c r="U22" i="24"/>
  <c r="U23" i="24"/>
  <c r="U24" i="24"/>
  <c r="U25" i="24"/>
  <c r="U26" i="24"/>
  <c r="U27" i="24"/>
  <c r="U28" i="24"/>
  <c r="U29" i="24"/>
  <c r="U30" i="24"/>
  <c r="U31" i="24"/>
  <c r="U32" i="24"/>
  <c r="U33" i="24"/>
  <c r="U34" i="24"/>
  <c r="U35" i="24"/>
  <c r="U36" i="24"/>
  <c r="U37" i="24"/>
  <c r="U38" i="24"/>
  <c r="U39" i="24"/>
  <c r="U40" i="24"/>
  <c r="U41" i="24"/>
  <c r="U42" i="24"/>
  <c r="U43" i="24"/>
  <c r="U44" i="24"/>
  <c r="U45" i="24"/>
  <c r="U46" i="24"/>
  <c r="U47" i="24"/>
  <c r="U48" i="24"/>
  <c r="U49" i="24"/>
  <c r="U50" i="24"/>
  <c r="U51" i="24"/>
  <c r="U52" i="24"/>
  <c r="U53" i="24"/>
  <c r="U54" i="24"/>
  <c r="U55" i="24"/>
  <c r="U56" i="24"/>
  <c r="U57" i="24"/>
  <c r="U58" i="24"/>
  <c r="U59" i="24"/>
  <c r="U60" i="24"/>
  <c r="U61" i="24"/>
  <c r="U62" i="24"/>
  <c r="U63" i="24"/>
  <c r="U64" i="24"/>
  <c r="U65" i="24"/>
  <c r="U66" i="24"/>
  <c r="U67" i="24"/>
  <c r="U68" i="24"/>
  <c r="U69" i="24"/>
  <c r="U70" i="24"/>
  <c r="U71" i="24"/>
  <c r="U72" i="24"/>
  <c r="U73" i="24"/>
  <c r="U74" i="24"/>
  <c r="U75" i="24"/>
  <c r="U76" i="24"/>
  <c r="U77" i="24"/>
  <c r="U78" i="24"/>
  <c r="U79" i="24"/>
  <c r="U80" i="24"/>
  <c r="U81" i="24"/>
  <c r="U82" i="24"/>
  <c r="U83" i="24"/>
  <c r="U84" i="24"/>
  <c r="U85" i="24"/>
  <c r="U86" i="24"/>
  <c r="U87" i="24"/>
  <c r="U88" i="24"/>
  <c r="U89" i="24"/>
  <c r="U90" i="24"/>
  <c r="U91" i="24"/>
  <c r="U92" i="24"/>
  <c r="U93" i="24"/>
  <c r="U94" i="24"/>
  <c r="U95" i="24"/>
  <c r="U96" i="24"/>
  <c r="U97" i="24"/>
  <c r="U98" i="24"/>
  <c r="U99" i="24"/>
  <c r="U100" i="24"/>
  <c r="U101" i="24"/>
  <c r="U102" i="24"/>
  <c r="U103" i="24"/>
  <c r="U104" i="24"/>
  <c r="U105" i="24"/>
  <c r="U106" i="24"/>
  <c r="U107" i="24"/>
  <c r="U108" i="24"/>
  <c r="U109" i="24"/>
  <c r="U110" i="24"/>
  <c r="U111" i="24"/>
  <c r="U112" i="24"/>
  <c r="U113" i="24"/>
  <c r="U114" i="24"/>
  <c r="U115" i="24"/>
  <c r="U116" i="24"/>
  <c r="U117" i="24"/>
  <c r="U118" i="24"/>
  <c r="U119" i="24"/>
  <c r="U120" i="24"/>
  <c r="U121" i="24"/>
  <c r="U122" i="24"/>
  <c r="U123" i="24"/>
  <c r="U124" i="24"/>
  <c r="U125" i="24"/>
  <c r="U126" i="24"/>
  <c r="U127" i="24"/>
  <c r="U128" i="24"/>
  <c r="U129" i="24"/>
  <c r="U130" i="24"/>
  <c r="U131" i="24"/>
  <c r="U132" i="24"/>
  <c r="U133" i="24"/>
  <c r="U134" i="24"/>
  <c r="U135" i="24"/>
  <c r="U136" i="24"/>
  <c r="U137" i="24"/>
  <c r="U138" i="24"/>
  <c r="U139" i="24"/>
  <c r="U140" i="24"/>
  <c r="U141" i="24"/>
  <c r="U142" i="24"/>
  <c r="U143" i="24"/>
  <c r="U144" i="24"/>
  <c r="U145" i="24"/>
  <c r="U146" i="24"/>
  <c r="U147" i="24"/>
  <c r="U148" i="24"/>
  <c r="U149" i="24"/>
  <c r="U150" i="24"/>
  <c r="U151" i="24"/>
  <c r="U152" i="24"/>
  <c r="U153" i="24"/>
  <c r="U154" i="24"/>
  <c r="U155" i="24"/>
  <c r="U156" i="24"/>
  <c r="U157" i="24"/>
  <c r="U158" i="24"/>
  <c r="U159" i="24"/>
  <c r="U160" i="24"/>
  <c r="U161" i="24"/>
  <c r="U162" i="24"/>
  <c r="U163" i="24"/>
  <c r="U164" i="24"/>
  <c r="U165" i="24"/>
  <c r="U166" i="24"/>
  <c r="U167" i="24"/>
  <c r="U168" i="24"/>
  <c r="U169" i="24"/>
  <c r="U170" i="24"/>
  <c r="U171" i="24"/>
  <c r="U172" i="24"/>
  <c r="U173" i="24"/>
  <c r="U174" i="24"/>
  <c r="U175" i="24"/>
  <c r="U176" i="24"/>
  <c r="U177" i="24"/>
  <c r="U178" i="24"/>
  <c r="U179" i="24"/>
  <c r="U180" i="24"/>
  <c r="U181" i="24"/>
  <c r="U182" i="24"/>
  <c r="U183" i="24"/>
  <c r="U184" i="24"/>
  <c r="U185" i="24"/>
  <c r="U186" i="24"/>
  <c r="U187" i="24"/>
  <c r="U188" i="24"/>
  <c r="U189" i="24"/>
  <c r="U190" i="24"/>
  <c r="U191" i="24"/>
  <c r="U192" i="24"/>
  <c r="U193" i="24"/>
  <c r="U194" i="24"/>
  <c r="U195" i="24"/>
  <c r="U196" i="24"/>
  <c r="U197" i="24"/>
  <c r="U198" i="24"/>
  <c r="U199" i="24"/>
  <c r="U200" i="24"/>
  <c r="U201" i="24"/>
  <c r="U202" i="24"/>
  <c r="U203" i="24"/>
  <c r="U204" i="24"/>
  <c r="U205" i="24"/>
  <c r="U206" i="24"/>
  <c r="U207" i="24"/>
  <c r="U208" i="24"/>
  <c r="U209" i="24"/>
  <c r="U210" i="24"/>
  <c r="U211" i="24"/>
  <c r="U212" i="24"/>
  <c r="U213" i="24"/>
  <c r="U214" i="24"/>
  <c r="U215" i="24"/>
  <c r="U216" i="24"/>
  <c r="U217" i="24"/>
  <c r="U218" i="24"/>
  <c r="U219" i="24"/>
  <c r="U220" i="24"/>
  <c r="U221" i="24"/>
  <c r="U222" i="24"/>
  <c r="U223" i="24"/>
  <c r="U224" i="24"/>
  <c r="U225" i="24"/>
  <c r="U226" i="24"/>
  <c r="U227" i="24"/>
  <c r="U228" i="24"/>
  <c r="U229" i="24"/>
  <c r="U230" i="24"/>
  <c r="U231" i="24"/>
  <c r="U232" i="24"/>
  <c r="U233" i="24"/>
  <c r="U234" i="24"/>
  <c r="U235" i="24"/>
  <c r="U236" i="24"/>
  <c r="U237" i="24"/>
  <c r="U238" i="24"/>
  <c r="U239" i="24"/>
  <c r="U240" i="24"/>
  <c r="U241" i="24"/>
  <c r="U242" i="24"/>
  <c r="U243" i="24"/>
  <c r="U244" i="24"/>
  <c r="U245" i="24"/>
  <c r="U246" i="24"/>
  <c r="U247" i="24"/>
  <c r="U248" i="24"/>
  <c r="U249" i="24"/>
  <c r="U8" i="24"/>
  <c r="T9" i="24"/>
  <c r="T10" i="24"/>
  <c r="T11" i="24"/>
  <c r="T12" i="24"/>
  <c r="T13" i="24"/>
  <c r="T14" i="24"/>
  <c r="T15" i="24"/>
  <c r="T16" i="24"/>
  <c r="T17" i="24"/>
  <c r="T18" i="24"/>
  <c r="T19" i="24"/>
  <c r="T20" i="24"/>
  <c r="T21" i="24"/>
  <c r="T22" i="24"/>
  <c r="T23" i="24"/>
  <c r="T24" i="24"/>
  <c r="T25" i="24"/>
  <c r="T26" i="24"/>
  <c r="T27" i="24"/>
  <c r="T28" i="24"/>
  <c r="T29" i="24"/>
  <c r="T30" i="24"/>
  <c r="T31" i="24"/>
  <c r="T32" i="24"/>
  <c r="T33" i="24"/>
  <c r="T34" i="24"/>
  <c r="T35" i="24"/>
  <c r="T36" i="24"/>
  <c r="T37" i="24"/>
  <c r="T38" i="24"/>
  <c r="T39" i="24"/>
  <c r="T40" i="24"/>
  <c r="T41" i="24"/>
  <c r="T42" i="24"/>
  <c r="T43" i="24"/>
  <c r="T44" i="24"/>
  <c r="T45" i="24"/>
  <c r="T46" i="24"/>
  <c r="T47" i="24"/>
  <c r="T48" i="24"/>
  <c r="T49" i="24"/>
  <c r="T50" i="24"/>
  <c r="T51" i="24"/>
  <c r="T52" i="24"/>
  <c r="T53" i="24"/>
  <c r="T54" i="24"/>
  <c r="T55" i="24"/>
  <c r="T56" i="24"/>
  <c r="T57" i="24"/>
  <c r="T58" i="24"/>
  <c r="T59" i="24"/>
  <c r="T60" i="24"/>
  <c r="T61" i="24"/>
  <c r="T62" i="24"/>
  <c r="T63" i="24"/>
  <c r="T64" i="24"/>
  <c r="T65" i="24"/>
  <c r="T66" i="24"/>
  <c r="T67" i="24"/>
  <c r="T68" i="24"/>
  <c r="T69" i="24"/>
  <c r="T70" i="24"/>
  <c r="T71" i="24"/>
  <c r="T72" i="24"/>
  <c r="T73" i="24"/>
  <c r="T74" i="24"/>
  <c r="T75" i="24"/>
  <c r="T76" i="24"/>
  <c r="T77" i="24"/>
  <c r="T78" i="24"/>
  <c r="T79" i="24"/>
  <c r="T80" i="24"/>
  <c r="T81" i="24"/>
  <c r="T82" i="24"/>
  <c r="T83" i="24"/>
  <c r="T84" i="24"/>
  <c r="T85" i="24"/>
  <c r="T86" i="24"/>
  <c r="T87" i="24"/>
  <c r="T88" i="24"/>
  <c r="T89" i="24"/>
  <c r="T90" i="24"/>
  <c r="T91" i="24"/>
  <c r="T92" i="24"/>
  <c r="T93" i="24"/>
  <c r="T94" i="24"/>
  <c r="T95" i="24"/>
  <c r="T96" i="24"/>
  <c r="T97" i="24"/>
  <c r="T98" i="24"/>
  <c r="T99" i="24"/>
  <c r="T100" i="24"/>
  <c r="T101" i="24"/>
  <c r="T102" i="24"/>
  <c r="T103" i="24"/>
  <c r="T104" i="24"/>
  <c r="T105" i="24"/>
  <c r="T106" i="24"/>
  <c r="T107" i="24"/>
  <c r="T108" i="24"/>
  <c r="T109" i="24"/>
  <c r="T110" i="24"/>
  <c r="T111" i="24"/>
  <c r="T112" i="24"/>
  <c r="T113" i="24"/>
  <c r="T114" i="24"/>
  <c r="T115" i="24"/>
  <c r="T116" i="24"/>
  <c r="T117" i="24"/>
  <c r="T118" i="24"/>
  <c r="T119" i="24"/>
  <c r="T120" i="24"/>
  <c r="T121" i="24"/>
  <c r="T122" i="24"/>
  <c r="T123" i="24"/>
  <c r="T124" i="24"/>
  <c r="T125" i="24"/>
  <c r="T126" i="24"/>
  <c r="T127" i="24"/>
  <c r="T128" i="24"/>
  <c r="T129" i="24"/>
  <c r="T130" i="24"/>
  <c r="T131" i="24"/>
  <c r="T132" i="24"/>
  <c r="T133" i="24"/>
  <c r="T134" i="24"/>
  <c r="T135" i="24"/>
  <c r="T136" i="24"/>
  <c r="T137" i="24"/>
  <c r="T138" i="24"/>
  <c r="T139" i="24"/>
  <c r="T140" i="24"/>
  <c r="T141" i="24"/>
  <c r="T142" i="24"/>
  <c r="T143" i="24"/>
  <c r="T144" i="24"/>
  <c r="T145" i="24"/>
  <c r="T146" i="24"/>
  <c r="T147" i="24"/>
  <c r="T148" i="24"/>
  <c r="T149" i="24"/>
  <c r="T150" i="24"/>
  <c r="T151" i="24"/>
  <c r="T152" i="24"/>
  <c r="T153" i="24"/>
  <c r="T154" i="24"/>
  <c r="T155" i="24"/>
  <c r="T156" i="24"/>
  <c r="T157" i="24"/>
  <c r="T158" i="24"/>
  <c r="T159" i="24"/>
  <c r="T160" i="24"/>
  <c r="T161" i="24"/>
  <c r="T162" i="24"/>
  <c r="T163" i="24"/>
  <c r="T164" i="24"/>
  <c r="T165" i="24"/>
  <c r="T166" i="24"/>
  <c r="T167" i="24"/>
  <c r="T168" i="24"/>
  <c r="T169" i="24"/>
  <c r="T170" i="24"/>
  <c r="T171" i="24"/>
  <c r="T172" i="24"/>
  <c r="T173" i="24"/>
  <c r="T174" i="24"/>
  <c r="T175" i="24"/>
  <c r="T176" i="24"/>
  <c r="T177" i="24"/>
  <c r="T178" i="24"/>
  <c r="T179" i="24"/>
  <c r="T180" i="24"/>
  <c r="T181" i="24"/>
  <c r="T182" i="24"/>
  <c r="T183" i="24"/>
  <c r="T184" i="24"/>
  <c r="T185" i="24"/>
  <c r="T186" i="24"/>
  <c r="T187" i="24"/>
  <c r="T188" i="24"/>
  <c r="T189" i="24"/>
  <c r="T190" i="24"/>
  <c r="T191" i="24"/>
  <c r="T192" i="24"/>
  <c r="T193" i="24"/>
  <c r="T194" i="24"/>
  <c r="T195" i="24"/>
  <c r="T196" i="24"/>
  <c r="T197" i="24"/>
  <c r="T198" i="24"/>
  <c r="T199" i="24"/>
  <c r="T200" i="24"/>
  <c r="T201" i="24"/>
  <c r="T202" i="24"/>
  <c r="T203" i="24"/>
  <c r="T204" i="24"/>
  <c r="T205" i="24"/>
  <c r="T206" i="24"/>
  <c r="T207" i="24"/>
  <c r="T208" i="24"/>
  <c r="T209" i="24"/>
  <c r="T210" i="24"/>
  <c r="T211" i="24"/>
  <c r="T212" i="24"/>
  <c r="T213" i="24"/>
  <c r="T214" i="24"/>
  <c r="T215" i="24"/>
  <c r="T216" i="24"/>
  <c r="T217" i="24"/>
  <c r="T218" i="24"/>
  <c r="T219" i="24"/>
  <c r="T220" i="24"/>
  <c r="T221" i="24"/>
  <c r="T222" i="24"/>
  <c r="T223" i="24"/>
  <c r="T224" i="24"/>
  <c r="T225" i="24"/>
  <c r="T226" i="24"/>
  <c r="T227" i="24"/>
  <c r="T228" i="24"/>
  <c r="T229" i="24"/>
  <c r="T230" i="24"/>
  <c r="T231" i="24"/>
  <c r="T232" i="24"/>
  <c r="T233" i="24"/>
  <c r="T234" i="24"/>
  <c r="T235" i="24"/>
  <c r="T236" i="24"/>
  <c r="T237" i="24"/>
  <c r="T238" i="24"/>
  <c r="T239" i="24"/>
  <c r="T240" i="24"/>
  <c r="T241" i="24"/>
  <c r="T242" i="24"/>
  <c r="T243" i="24"/>
  <c r="T244" i="24"/>
  <c r="T245" i="24"/>
  <c r="T246" i="24"/>
  <c r="T247" i="24"/>
  <c r="T248" i="24"/>
  <c r="T249" i="24"/>
  <c r="T8" i="24"/>
  <c r="S9" i="24"/>
  <c r="S10" i="24"/>
  <c r="S11" i="24"/>
  <c r="S12" i="24"/>
  <c r="S13" i="24"/>
  <c r="S14" i="24"/>
  <c r="S15" i="24"/>
  <c r="S16" i="24"/>
  <c r="S17" i="24"/>
  <c r="S18" i="24"/>
  <c r="S19" i="24"/>
  <c r="S20" i="24"/>
  <c r="S21" i="24"/>
  <c r="S22" i="24"/>
  <c r="S23" i="24"/>
  <c r="S24" i="24"/>
  <c r="S25" i="24"/>
  <c r="S26" i="24"/>
  <c r="S27" i="24"/>
  <c r="S28" i="24"/>
  <c r="S29" i="24"/>
  <c r="S30" i="24"/>
  <c r="S31" i="24"/>
  <c r="S32" i="24"/>
  <c r="S33" i="24"/>
  <c r="S34" i="24"/>
  <c r="S35" i="24"/>
  <c r="S36" i="24"/>
  <c r="S37" i="24"/>
  <c r="S38" i="24"/>
  <c r="S39" i="24"/>
  <c r="S40" i="24"/>
  <c r="S41" i="24"/>
  <c r="S42" i="24"/>
  <c r="S43" i="24"/>
  <c r="S44" i="24"/>
  <c r="S45" i="24"/>
  <c r="S46" i="24"/>
  <c r="S47" i="24"/>
  <c r="S48" i="24"/>
  <c r="S49" i="24"/>
  <c r="S50" i="24"/>
  <c r="S51" i="24"/>
  <c r="S52" i="24"/>
  <c r="S53" i="24"/>
  <c r="S54" i="24"/>
  <c r="S55" i="24"/>
  <c r="S56" i="24"/>
  <c r="S57" i="24"/>
  <c r="S58" i="24"/>
  <c r="S59" i="24"/>
  <c r="S60" i="24"/>
  <c r="S61" i="24"/>
  <c r="S62" i="24"/>
  <c r="S63" i="24"/>
  <c r="S64" i="24"/>
  <c r="S65" i="24"/>
  <c r="S66" i="24"/>
  <c r="S67" i="24"/>
  <c r="S68" i="24"/>
  <c r="S69" i="24"/>
  <c r="S70" i="24"/>
  <c r="S71" i="24"/>
  <c r="S72" i="24"/>
  <c r="S73" i="24"/>
  <c r="S74" i="24"/>
  <c r="S75" i="24"/>
  <c r="S76" i="24"/>
  <c r="S77" i="24"/>
  <c r="S78" i="24"/>
  <c r="S79" i="24"/>
  <c r="S80" i="24"/>
  <c r="S81" i="24"/>
  <c r="S82" i="24"/>
  <c r="S83" i="24"/>
  <c r="S84" i="24"/>
  <c r="S85" i="24"/>
  <c r="S86" i="24"/>
  <c r="S87" i="24"/>
  <c r="S88" i="24"/>
  <c r="S89" i="24"/>
  <c r="S90" i="24"/>
  <c r="S91" i="24"/>
  <c r="S92" i="24"/>
  <c r="S93" i="24"/>
  <c r="S94" i="24"/>
  <c r="S95" i="24"/>
  <c r="S96" i="24"/>
  <c r="S97" i="24"/>
  <c r="S98" i="24"/>
  <c r="S99" i="24"/>
  <c r="S100" i="24"/>
  <c r="S101" i="24"/>
  <c r="S102" i="24"/>
  <c r="S103" i="24"/>
  <c r="S104" i="24"/>
  <c r="S105" i="24"/>
  <c r="S106" i="24"/>
  <c r="S107" i="24"/>
  <c r="S108" i="24"/>
  <c r="S109" i="24"/>
  <c r="S110" i="24"/>
  <c r="S111" i="24"/>
  <c r="S112" i="24"/>
  <c r="S113" i="24"/>
  <c r="S114" i="24"/>
  <c r="S115" i="24"/>
  <c r="S116" i="24"/>
  <c r="S117" i="24"/>
  <c r="S118" i="24"/>
  <c r="S119" i="24"/>
  <c r="S120" i="24"/>
  <c r="S121" i="24"/>
  <c r="S122" i="24"/>
  <c r="S123" i="24"/>
  <c r="S124" i="24"/>
  <c r="S125" i="24"/>
  <c r="S126" i="24"/>
  <c r="S127" i="24"/>
  <c r="S128" i="24"/>
  <c r="S129" i="24"/>
  <c r="S130" i="24"/>
  <c r="S131" i="24"/>
  <c r="S132" i="24"/>
  <c r="S133" i="24"/>
  <c r="S134" i="24"/>
  <c r="S135" i="24"/>
  <c r="S136" i="24"/>
  <c r="S137" i="24"/>
  <c r="S138" i="24"/>
  <c r="S139" i="24"/>
  <c r="S140" i="24"/>
  <c r="S141" i="24"/>
  <c r="S142" i="24"/>
  <c r="S143" i="24"/>
  <c r="S144" i="24"/>
  <c r="S145" i="24"/>
  <c r="S146" i="24"/>
  <c r="S147" i="24"/>
  <c r="S148" i="24"/>
  <c r="S149" i="24"/>
  <c r="S150" i="24"/>
  <c r="S151" i="24"/>
  <c r="S152" i="24"/>
  <c r="S153" i="24"/>
  <c r="S154" i="24"/>
  <c r="S155" i="24"/>
  <c r="S156" i="24"/>
  <c r="S157" i="24"/>
  <c r="S158" i="24"/>
  <c r="S159" i="24"/>
  <c r="S160" i="24"/>
  <c r="S161" i="24"/>
  <c r="S162" i="24"/>
  <c r="S163" i="24"/>
  <c r="S164" i="24"/>
  <c r="S165" i="24"/>
  <c r="S166" i="24"/>
  <c r="S167" i="24"/>
  <c r="S168" i="24"/>
  <c r="S169" i="24"/>
  <c r="S170" i="24"/>
  <c r="S171" i="24"/>
  <c r="S172" i="24"/>
  <c r="S173" i="24"/>
  <c r="S174" i="24"/>
  <c r="S175" i="24"/>
  <c r="S176" i="24"/>
  <c r="S177" i="24"/>
  <c r="S178" i="24"/>
  <c r="S179" i="24"/>
  <c r="S180" i="24"/>
  <c r="S181" i="24"/>
  <c r="S182" i="24"/>
  <c r="S183" i="24"/>
  <c r="S184" i="24"/>
  <c r="S185" i="24"/>
  <c r="S186" i="24"/>
  <c r="S187" i="24"/>
  <c r="S188" i="24"/>
  <c r="S189" i="24"/>
  <c r="S190" i="24"/>
  <c r="S191" i="24"/>
  <c r="S192" i="24"/>
  <c r="S193" i="24"/>
  <c r="S194" i="24"/>
  <c r="S195" i="24"/>
  <c r="S196" i="24"/>
  <c r="S197" i="24"/>
  <c r="S198" i="24"/>
  <c r="S199" i="24"/>
  <c r="S200" i="24"/>
  <c r="S201" i="24"/>
  <c r="S202" i="24"/>
  <c r="S203" i="24"/>
  <c r="S204" i="24"/>
  <c r="S205" i="24"/>
  <c r="S206" i="24"/>
  <c r="S207" i="24"/>
  <c r="S208" i="24"/>
  <c r="S209" i="24"/>
  <c r="S210" i="24"/>
  <c r="S211" i="24"/>
  <c r="S212" i="24"/>
  <c r="S213" i="24"/>
  <c r="S214" i="24"/>
  <c r="S215" i="24"/>
  <c r="S216" i="24"/>
  <c r="S217" i="24"/>
  <c r="S218" i="24"/>
  <c r="S219" i="24"/>
  <c r="S220" i="24"/>
  <c r="S221" i="24"/>
  <c r="S222" i="24"/>
  <c r="S223" i="24"/>
  <c r="S224" i="24"/>
  <c r="S225" i="24"/>
  <c r="S226" i="24"/>
  <c r="S227" i="24"/>
  <c r="S228" i="24"/>
  <c r="S229" i="24"/>
  <c r="S230" i="24"/>
  <c r="S231" i="24"/>
  <c r="S232" i="24"/>
  <c r="S233" i="24"/>
  <c r="S234" i="24"/>
  <c r="S235" i="24"/>
  <c r="S236" i="24"/>
  <c r="S237" i="24"/>
  <c r="S238" i="24"/>
  <c r="S239" i="24"/>
  <c r="S240" i="24"/>
  <c r="S241" i="24"/>
  <c r="S242" i="24"/>
  <c r="S243" i="24"/>
  <c r="S244" i="24"/>
  <c r="S245" i="24"/>
  <c r="S246" i="24"/>
  <c r="S247" i="24"/>
  <c r="S248" i="24"/>
  <c r="S249" i="24"/>
  <c r="S8" i="24"/>
  <c r="R10" i="24"/>
  <c r="R11" i="24"/>
  <c r="R12" i="24"/>
  <c r="R13" i="24"/>
  <c r="R14" i="24"/>
  <c r="R15" i="24"/>
  <c r="R16" i="24"/>
  <c r="R17" i="24"/>
  <c r="R18" i="24"/>
  <c r="R19" i="24"/>
  <c r="R20" i="24"/>
  <c r="R21" i="24"/>
  <c r="R22" i="24"/>
  <c r="R23" i="24"/>
  <c r="R24" i="24"/>
  <c r="R25" i="24"/>
  <c r="R26" i="24"/>
  <c r="R27" i="24"/>
  <c r="R28" i="24"/>
  <c r="R29" i="24"/>
  <c r="R30" i="24"/>
  <c r="R31" i="24"/>
  <c r="R32" i="24"/>
  <c r="R33" i="24"/>
  <c r="R34" i="24"/>
  <c r="R35" i="24"/>
  <c r="R36" i="24"/>
  <c r="R37" i="24"/>
  <c r="R38" i="24"/>
  <c r="R39" i="24"/>
  <c r="R40" i="24"/>
  <c r="R41" i="24"/>
  <c r="R42" i="24"/>
  <c r="R43" i="24"/>
  <c r="R44" i="24"/>
  <c r="R45" i="24"/>
  <c r="R46" i="24"/>
  <c r="R47" i="24"/>
  <c r="R48" i="24"/>
  <c r="R49" i="24"/>
  <c r="R50" i="24"/>
  <c r="R51" i="24"/>
  <c r="R52" i="24"/>
  <c r="R53" i="24"/>
  <c r="R54" i="24"/>
  <c r="R55" i="24"/>
  <c r="R56" i="24"/>
  <c r="R57" i="24"/>
  <c r="R58" i="24"/>
  <c r="R59" i="24"/>
  <c r="R60" i="24"/>
  <c r="R61" i="24"/>
  <c r="R62" i="24"/>
  <c r="R63" i="24"/>
  <c r="R64" i="24"/>
  <c r="R65" i="24"/>
  <c r="R66" i="24"/>
  <c r="R67" i="24"/>
  <c r="R68" i="24"/>
  <c r="R69" i="24"/>
  <c r="R70" i="24"/>
  <c r="R71" i="24"/>
  <c r="R72" i="24"/>
  <c r="R73" i="24"/>
  <c r="R74" i="24"/>
  <c r="R75" i="24"/>
  <c r="R76" i="24"/>
  <c r="R77" i="24"/>
  <c r="R78" i="24"/>
  <c r="R79" i="24"/>
  <c r="R80" i="24"/>
  <c r="R81" i="24"/>
  <c r="R82" i="24"/>
  <c r="R83" i="24"/>
  <c r="R84" i="24"/>
  <c r="R85" i="24"/>
  <c r="R86" i="24"/>
  <c r="R87" i="24"/>
  <c r="R88" i="24"/>
  <c r="R89" i="24"/>
  <c r="R90" i="24"/>
  <c r="R91" i="24"/>
  <c r="R92" i="24"/>
  <c r="R93" i="24"/>
  <c r="R94" i="24"/>
  <c r="R95" i="24"/>
  <c r="R96" i="24"/>
  <c r="R97" i="24"/>
  <c r="R98" i="24"/>
  <c r="R99" i="24"/>
  <c r="R100" i="24"/>
  <c r="R101" i="24"/>
  <c r="R102" i="24"/>
  <c r="R103" i="24"/>
  <c r="R104" i="24"/>
  <c r="R105" i="24"/>
  <c r="R106" i="24"/>
  <c r="R107" i="24"/>
  <c r="R108" i="24"/>
  <c r="R109" i="24"/>
  <c r="R110" i="24"/>
  <c r="R111" i="24"/>
  <c r="R112" i="24"/>
  <c r="R113" i="24"/>
  <c r="R114" i="24"/>
  <c r="R115" i="24"/>
  <c r="R116" i="24"/>
  <c r="R117" i="24"/>
  <c r="R118" i="24"/>
  <c r="R119" i="24"/>
  <c r="R120" i="24"/>
  <c r="R121" i="24"/>
  <c r="R122" i="24"/>
  <c r="R123" i="24"/>
  <c r="R124" i="24"/>
  <c r="R125" i="24"/>
  <c r="R126" i="24"/>
  <c r="R127" i="24"/>
  <c r="R128" i="24"/>
  <c r="R129" i="24"/>
  <c r="R130" i="24"/>
  <c r="R131" i="24"/>
  <c r="R132" i="24"/>
  <c r="R133" i="24"/>
  <c r="R134" i="24"/>
  <c r="R135" i="24"/>
  <c r="R136" i="24"/>
  <c r="R137" i="24"/>
  <c r="R138" i="24"/>
  <c r="R139" i="24"/>
  <c r="R140" i="24"/>
  <c r="R141" i="24"/>
  <c r="R142" i="24"/>
  <c r="R143" i="24"/>
  <c r="R144" i="24"/>
  <c r="R145" i="24"/>
  <c r="R146" i="24"/>
  <c r="R147" i="24"/>
  <c r="R148" i="24"/>
  <c r="R149" i="24"/>
  <c r="R150" i="24"/>
  <c r="R151" i="24"/>
  <c r="R152" i="24"/>
  <c r="R153" i="24"/>
  <c r="R154" i="24"/>
  <c r="R155" i="24"/>
  <c r="R156" i="24"/>
  <c r="R157" i="24"/>
  <c r="R158" i="24"/>
  <c r="R159" i="24"/>
  <c r="R160" i="24"/>
  <c r="R161" i="24"/>
  <c r="R162" i="24"/>
  <c r="R163" i="24"/>
  <c r="R164" i="24"/>
  <c r="R165" i="24"/>
  <c r="R166" i="24"/>
  <c r="R167" i="24"/>
  <c r="R168" i="24"/>
  <c r="R169" i="24"/>
  <c r="R170" i="24"/>
  <c r="R171" i="24"/>
  <c r="R172" i="24"/>
  <c r="R173" i="24"/>
  <c r="R174" i="24"/>
  <c r="R175" i="24"/>
  <c r="R176" i="24"/>
  <c r="R177" i="24"/>
  <c r="R178" i="24"/>
  <c r="R179" i="24"/>
  <c r="R180" i="24"/>
  <c r="R181" i="24"/>
  <c r="R182" i="24"/>
  <c r="R183" i="24"/>
  <c r="R184" i="24"/>
  <c r="R185" i="24"/>
  <c r="R186" i="24"/>
  <c r="R187" i="24"/>
  <c r="R188" i="24"/>
  <c r="R189" i="24"/>
  <c r="R190" i="24"/>
  <c r="R191" i="24"/>
  <c r="R192" i="24"/>
  <c r="R193" i="24"/>
  <c r="R194" i="24"/>
  <c r="R195" i="24"/>
  <c r="R196" i="24"/>
  <c r="R197" i="24"/>
  <c r="R198" i="24"/>
  <c r="R199" i="24"/>
  <c r="R200" i="24"/>
  <c r="R201" i="24"/>
  <c r="R202" i="24"/>
  <c r="R203" i="24"/>
  <c r="R204" i="24"/>
  <c r="R205" i="24"/>
  <c r="R206" i="24"/>
  <c r="R207" i="24"/>
  <c r="R208" i="24"/>
  <c r="R209" i="24"/>
  <c r="R210" i="24"/>
  <c r="R211" i="24"/>
  <c r="R212" i="24"/>
  <c r="R213" i="24"/>
  <c r="R214" i="24"/>
  <c r="R215" i="24"/>
  <c r="R216" i="24"/>
  <c r="R217" i="24"/>
  <c r="R218" i="24"/>
  <c r="R219" i="24"/>
  <c r="R220" i="24"/>
  <c r="R221" i="24"/>
  <c r="R222" i="24"/>
  <c r="R223" i="24"/>
  <c r="R224" i="24"/>
  <c r="R225" i="24"/>
  <c r="R226" i="24"/>
  <c r="R227" i="24"/>
  <c r="R228" i="24"/>
  <c r="R229" i="24"/>
  <c r="R230" i="24"/>
  <c r="R231" i="24"/>
  <c r="R232" i="24"/>
  <c r="R233" i="24"/>
  <c r="R234" i="24"/>
  <c r="R235" i="24"/>
  <c r="R236" i="24"/>
  <c r="R237" i="24"/>
  <c r="R238" i="24"/>
  <c r="R239" i="24"/>
  <c r="R240" i="24"/>
  <c r="R241" i="24"/>
  <c r="R242" i="24"/>
  <c r="R243" i="24"/>
  <c r="R244" i="24"/>
  <c r="R245" i="24"/>
  <c r="R246" i="24"/>
  <c r="R247" i="24"/>
  <c r="R248" i="24"/>
  <c r="R249" i="24"/>
  <c r="R9" i="24"/>
  <c r="R8" i="24"/>
  <c r="Q9" i="24"/>
  <c r="Q10" i="24"/>
  <c r="Q11" i="24"/>
  <c r="Q12" i="24"/>
  <c r="Q13" i="24"/>
  <c r="Q14" i="24"/>
  <c r="Q15" i="24"/>
  <c r="Q16" i="24"/>
  <c r="Q17" i="24"/>
  <c r="Q18" i="24"/>
  <c r="Q19" i="24"/>
  <c r="Q20" i="24"/>
  <c r="Q21" i="24"/>
  <c r="Q22" i="24"/>
  <c r="Q23" i="24"/>
  <c r="Q24" i="24"/>
  <c r="Q25" i="24"/>
  <c r="Q26" i="24"/>
  <c r="Q27" i="24"/>
  <c r="Q28" i="24"/>
  <c r="Q29" i="24"/>
  <c r="Q30" i="24"/>
  <c r="Q31" i="24"/>
  <c r="Q32" i="24"/>
  <c r="Q33" i="24"/>
  <c r="Q34" i="24"/>
  <c r="Q35" i="24"/>
  <c r="Q36" i="24"/>
  <c r="Q37" i="24"/>
  <c r="Q38" i="24"/>
  <c r="Q39" i="24"/>
  <c r="Q40" i="24"/>
  <c r="Q41" i="24"/>
  <c r="Q42" i="24"/>
  <c r="Q43" i="24"/>
  <c r="Q44" i="24"/>
  <c r="Q45" i="24"/>
  <c r="Q46" i="24"/>
  <c r="Q47" i="24"/>
  <c r="Q48" i="24"/>
  <c r="Q49" i="24"/>
  <c r="Q50" i="24"/>
  <c r="Q51" i="24"/>
  <c r="Q52" i="24"/>
  <c r="Q53" i="24"/>
  <c r="Q54" i="24"/>
  <c r="Q55" i="24"/>
  <c r="Q56" i="24"/>
  <c r="Q57" i="24"/>
  <c r="Q58" i="24"/>
  <c r="Q59" i="24"/>
  <c r="Q60" i="24"/>
  <c r="Q61" i="24"/>
  <c r="Q62" i="24"/>
  <c r="Q63" i="24"/>
  <c r="Q64" i="24"/>
  <c r="Q65" i="24"/>
  <c r="Q66" i="24"/>
  <c r="Q67" i="24"/>
  <c r="Q68" i="24"/>
  <c r="Q69" i="24"/>
  <c r="Q70" i="24"/>
  <c r="Q71" i="24"/>
  <c r="Q72" i="24"/>
  <c r="Q73" i="24"/>
  <c r="Q74" i="24"/>
  <c r="Q75" i="24"/>
  <c r="Q76" i="24"/>
  <c r="Q77" i="24"/>
  <c r="Q78" i="24"/>
  <c r="Q79" i="24"/>
  <c r="Q80" i="24"/>
  <c r="Q81" i="24"/>
  <c r="Q82" i="24"/>
  <c r="Q83" i="24"/>
  <c r="Q84" i="24"/>
  <c r="Q85" i="24"/>
  <c r="Q86" i="24"/>
  <c r="Q87" i="24"/>
  <c r="Q88" i="24"/>
  <c r="Q89" i="24"/>
  <c r="Q90" i="24"/>
  <c r="Q91" i="24"/>
  <c r="Q92" i="24"/>
  <c r="Q93" i="24"/>
  <c r="Q94" i="24"/>
  <c r="Q95" i="24"/>
  <c r="Q96" i="24"/>
  <c r="Q97" i="24"/>
  <c r="Q98" i="24"/>
  <c r="Q99" i="24"/>
  <c r="Q100" i="24"/>
  <c r="Q101" i="24"/>
  <c r="Q102" i="24"/>
  <c r="Q103" i="24"/>
  <c r="Q104" i="24"/>
  <c r="Q105" i="24"/>
  <c r="Q106" i="24"/>
  <c r="Q107" i="24"/>
  <c r="Q108" i="24"/>
  <c r="Q109" i="24"/>
  <c r="Q110" i="24"/>
  <c r="Q111" i="24"/>
  <c r="Q112" i="24"/>
  <c r="Q113" i="24"/>
  <c r="Q114" i="24"/>
  <c r="Q115" i="24"/>
  <c r="Q116" i="24"/>
  <c r="Q117" i="24"/>
  <c r="Q118" i="24"/>
  <c r="Q119" i="24"/>
  <c r="Q120" i="24"/>
  <c r="Q121" i="24"/>
  <c r="Q122" i="24"/>
  <c r="Q123" i="24"/>
  <c r="Q124" i="24"/>
  <c r="Q125" i="24"/>
  <c r="Q126" i="24"/>
  <c r="Q127" i="24"/>
  <c r="Q128" i="24"/>
  <c r="Q129" i="24"/>
  <c r="Q130" i="24"/>
  <c r="Q131" i="24"/>
  <c r="Q132" i="24"/>
  <c r="Q133" i="24"/>
  <c r="Q134" i="24"/>
  <c r="Q135" i="24"/>
  <c r="Q136" i="24"/>
  <c r="Q137" i="24"/>
  <c r="Q138" i="24"/>
  <c r="Q139" i="24"/>
  <c r="Q140" i="24"/>
  <c r="Q141" i="24"/>
  <c r="Q142" i="24"/>
  <c r="Q143" i="24"/>
  <c r="Q144" i="24"/>
  <c r="Q145" i="24"/>
  <c r="Q146" i="24"/>
  <c r="Q147" i="24"/>
  <c r="Q148" i="24"/>
  <c r="Q149" i="24"/>
  <c r="Q150" i="24"/>
  <c r="Q151" i="24"/>
  <c r="Q152" i="24"/>
  <c r="Q153" i="24"/>
  <c r="Q154" i="24"/>
  <c r="Q155" i="24"/>
  <c r="Q156" i="24"/>
  <c r="Q157" i="24"/>
  <c r="Q158" i="24"/>
  <c r="Q159" i="24"/>
  <c r="Q160" i="24"/>
  <c r="Q161" i="24"/>
  <c r="Q162" i="24"/>
  <c r="Q163" i="24"/>
  <c r="Q164" i="24"/>
  <c r="Q165" i="24"/>
  <c r="Q166" i="24"/>
  <c r="Q167" i="24"/>
  <c r="Q168" i="24"/>
  <c r="Q169" i="24"/>
  <c r="Q170" i="24"/>
  <c r="Q171" i="24"/>
  <c r="Q172" i="24"/>
  <c r="Q173" i="24"/>
  <c r="Q174" i="24"/>
  <c r="Q175" i="24"/>
  <c r="Q176" i="24"/>
  <c r="Q177" i="24"/>
  <c r="Q178" i="24"/>
  <c r="Q179" i="24"/>
  <c r="Q180" i="24"/>
  <c r="Q181" i="24"/>
  <c r="Q182" i="24"/>
  <c r="Q183" i="24"/>
  <c r="Q184" i="24"/>
  <c r="Q185" i="24"/>
  <c r="Q186" i="24"/>
  <c r="Q187" i="24"/>
  <c r="Q188" i="24"/>
  <c r="Q189" i="24"/>
  <c r="Q190" i="24"/>
  <c r="Q191" i="24"/>
  <c r="Q192" i="24"/>
  <c r="Q193" i="24"/>
  <c r="Q194" i="24"/>
  <c r="Q195" i="24"/>
  <c r="Q196" i="24"/>
  <c r="Q197" i="24"/>
  <c r="Q198" i="24"/>
  <c r="Q199" i="24"/>
  <c r="Q200" i="24"/>
  <c r="Q201" i="24"/>
  <c r="Q202" i="24"/>
  <c r="Q203" i="24"/>
  <c r="Q204" i="24"/>
  <c r="Q205" i="24"/>
  <c r="Q206" i="24"/>
  <c r="Q207" i="24"/>
  <c r="Q208" i="24"/>
  <c r="Q209" i="24"/>
  <c r="Q210" i="24"/>
  <c r="Q211" i="24"/>
  <c r="Q212" i="24"/>
  <c r="Q213" i="24"/>
  <c r="Q214" i="24"/>
  <c r="Q215" i="24"/>
  <c r="Q216" i="24"/>
  <c r="Q217" i="24"/>
  <c r="Q218" i="24"/>
  <c r="Q219" i="24"/>
  <c r="Q220" i="24"/>
  <c r="Q221" i="24"/>
  <c r="Q222" i="24"/>
  <c r="Q223" i="24"/>
  <c r="Q224" i="24"/>
  <c r="Q225" i="24"/>
  <c r="Q226" i="24"/>
  <c r="Q227" i="24"/>
  <c r="Q228" i="24"/>
  <c r="Q229" i="24"/>
  <c r="Q230" i="24"/>
  <c r="Q231" i="24"/>
  <c r="Q232" i="24"/>
  <c r="Q233" i="24"/>
  <c r="Q234" i="24"/>
  <c r="Q235" i="24"/>
  <c r="Q236" i="24"/>
  <c r="Q237" i="24"/>
  <c r="Q238" i="24"/>
  <c r="Q239" i="24"/>
  <c r="Q240" i="24"/>
  <c r="Q241" i="24"/>
  <c r="Q242" i="24"/>
  <c r="Q243" i="24"/>
  <c r="Q244" i="24"/>
  <c r="Q245" i="24"/>
  <c r="Q246" i="24"/>
  <c r="Q247" i="24"/>
  <c r="Q248" i="24"/>
  <c r="Q249" i="24"/>
  <c r="Q8" i="24"/>
  <c r="P9" i="24"/>
  <c r="P10" i="24"/>
  <c r="P11" i="24"/>
  <c r="P12" i="24"/>
  <c r="P13" i="24"/>
  <c r="P14" i="24"/>
  <c r="P15" i="24"/>
  <c r="P16" i="24"/>
  <c r="P17" i="24"/>
  <c r="P18" i="24"/>
  <c r="P19" i="24"/>
  <c r="P20" i="24"/>
  <c r="P21" i="24"/>
  <c r="P22" i="24"/>
  <c r="P23" i="24"/>
  <c r="P24" i="24"/>
  <c r="P25" i="24"/>
  <c r="P26" i="24"/>
  <c r="P27" i="24"/>
  <c r="P28" i="24"/>
  <c r="P29" i="24"/>
  <c r="P30" i="24"/>
  <c r="P31" i="24"/>
  <c r="P32" i="24"/>
  <c r="P33" i="24"/>
  <c r="P34" i="24"/>
  <c r="P35" i="24"/>
  <c r="P36" i="24"/>
  <c r="P37" i="24"/>
  <c r="P38" i="24"/>
  <c r="P39" i="24"/>
  <c r="P40" i="24"/>
  <c r="P41" i="24"/>
  <c r="P42" i="24"/>
  <c r="P43" i="24"/>
  <c r="P44" i="24"/>
  <c r="P45" i="24"/>
  <c r="P46" i="24"/>
  <c r="P47" i="24"/>
  <c r="P48" i="24"/>
  <c r="P49" i="24"/>
  <c r="P50" i="24"/>
  <c r="P51" i="24"/>
  <c r="P52" i="24"/>
  <c r="P53" i="24"/>
  <c r="P54" i="24"/>
  <c r="P55" i="24"/>
  <c r="P56" i="24"/>
  <c r="P57" i="24"/>
  <c r="P58" i="24"/>
  <c r="P59" i="24"/>
  <c r="P60" i="24"/>
  <c r="P61" i="24"/>
  <c r="P62" i="24"/>
  <c r="P63" i="24"/>
  <c r="P64" i="24"/>
  <c r="P65" i="24"/>
  <c r="P66" i="24"/>
  <c r="P67" i="24"/>
  <c r="P68" i="24"/>
  <c r="P69" i="24"/>
  <c r="P70" i="24"/>
  <c r="P71" i="24"/>
  <c r="P72" i="24"/>
  <c r="P73" i="24"/>
  <c r="P74" i="24"/>
  <c r="P75" i="24"/>
  <c r="P76" i="24"/>
  <c r="P77" i="24"/>
  <c r="P78" i="24"/>
  <c r="P79" i="24"/>
  <c r="P80" i="24"/>
  <c r="P81" i="24"/>
  <c r="P82" i="24"/>
  <c r="P83" i="24"/>
  <c r="P84" i="24"/>
  <c r="P85" i="24"/>
  <c r="P86" i="24"/>
  <c r="P87" i="24"/>
  <c r="P88" i="24"/>
  <c r="P89" i="24"/>
  <c r="P90" i="24"/>
  <c r="P91" i="24"/>
  <c r="P92" i="24"/>
  <c r="P93" i="24"/>
  <c r="P94" i="24"/>
  <c r="P95" i="24"/>
  <c r="P96" i="24"/>
  <c r="P97" i="24"/>
  <c r="P98" i="24"/>
  <c r="P99" i="24"/>
  <c r="P100" i="24"/>
  <c r="P101" i="24"/>
  <c r="P102" i="24"/>
  <c r="P103" i="24"/>
  <c r="P104" i="24"/>
  <c r="P105" i="24"/>
  <c r="P106" i="24"/>
  <c r="P107" i="24"/>
  <c r="P108" i="24"/>
  <c r="P109" i="24"/>
  <c r="P110" i="24"/>
  <c r="P111" i="24"/>
  <c r="P112" i="24"/>
  <c r="P113" i="24"/>
  <c r="P114" i="24"/>
  <c r="P115" i="24"/>
  <c r="P116" i="24"/>
  <c r="P117" i="24"/>
  <c r="P118" i="24"/>
  <c r="P119" i="24"/>
  <c r="P120" i="24"/>
  <c r="P121" i="24"/>
  <c r="P122" i="24"/>
  <c r="P123" i="24"/>
  <c r="P124" i="24"/>
  <c r="P125" i="24"/>
  <c r="P126" i="24"/>
  <c r="P127" i="24"/>
  <c r="P128" i="24"/>
  <c r="P129" i="24"/>
  <c r="P130" i="24"/>
  <c r="P131" i="24"/>
  <c r="P132" i="24"/>
  <c r="P133" i="24"/>
  <c r="P134" i="24"/>
  <c r="P135" i="24"/>
  <c r="P136" i="24"/>
  <c r="P137" i="24"/>
  <c r="P138" i="24"/>
  <c r="P139" i="24"/>
  <c r="P140" i="24"/>
  <c r="P141" i="24"/>
  <c r="P142" i="24"/>
  <c r="P143" i="24"/>
  <c r="P144" i="24"/>
  <c r="P145" i="24"/>
  <c r="P146" i="24"/>
  <c r="P147" i="24"/>
  <c r="P148" i="24"/>
  <c r="P149" i="24"/>
  <c r="P150" i="24"/>
  <c r="P151" i="24"/>
  <c r="P152" i="24"/>
  <c r="P153" i="24"/>
  <c r="P154" i="24"/>
  <c r="P155" i="24"/>
  <c r="P156" i="24"/>
  <c r="P157" i="24"/>
  <c r="P158" i="24"/>
  <c r="P159" i="24"/>
  <c r="P160" i="24"/>
  <c r="P161" i="24"/>
  <c r="P162" i="24"/>
  <c r="P163" i="24"/>
  <c r="P164" i="24"/>
  <c r="P165" i="24"/>
  <c r="P166" i="24"/>
  <c r="P167" i="24"/>
  <c r="P168" i="24"/>
  <c r="P169" i="24"/>
  <c r="P170" i="24"/>
  <c r="P171" i="24"/>
  <c r="P172" i="24"/>
  <c r="P173" i="24"/>
  <c r="P174" i="24"/>
  <c r="P175" i="24"/>
  <c r="P176" i="24"/>
  <c r="P177" i="24"/>
  <c r="P178" i="24"/>
  <c r="P179" i="24"/>
  <c r="P180" i="24"/>
  <c r="P181" i="24"/>
  <c r="P182" i="24"/>
  <c r="P183" i="24"/>
  <c r="P184" i="24"/>
  <c r="P185" i="24"/>
  <c r="P186" i="24"/>
  <c r="P187" i="24"/>
  <c r="P188" i="24"/>
  <c r="P189" i="24"/>
  <c r="P190" i="24"/>
  <c r="P191" i="24"/>
  <c r="P192" i="24"/>
  <c r="P193" i="24"/>
  <c r="P194" i="24"/>
  <c r="P195" i="24"/>
  <c r="P196" i="24"/>
  <c r="P197" i="24"/>
  <c r="P198" i="24"/>
  <c r="P199" i="24"/>
  <c r="P200" i="24"/>
  <c r="P201" i="24"/>
  <c r="P202" i="24"/>
  <c r="P203" i="24"/>
  <c r="P204" i="24"/>
  <c r="P205" i="24"/>
  <c r="P206" i="24"/>
  <c r="P207" i="24"/>
  <c r="P208" i="24"/>
  <c r="P209" i="24"/>
  <c r="P210" i="24"/>
  <c r="P211" i="24"/>
  <c r="P212" i="24"/>
  <c r="P213" i="24"/>
  <c r="P214" i="24"/>
  <c r="P215" i="24"/>
  <c r="P216" i="24"/>
  <c r="P217" i="24"/>
  <c r="P218" i="24"/>
  <c r="P219" i="24"/>
  <c r="P220" i="24"/>
  <c r="P221" i="24"/>
  <c r="P222" i="24"/>
  <c r="P223" i="24"/>
  <c r="P224" i="24"/>
  <c r="P225" i="24"/>
  <c r="P226" i="24"/>
  <c r="P227" i="24"/>
  <c r="P228" i="24"/>
  <c r="P229" i="24"/>
  <c r="P230" i="24"/>
  <c r="P231" i="24"/>
  <c r="P232" i="24"/>
  <c r="P233" i="24"/>
  <c r="P234" i="24"/>
  <c r="P235" i="24"/>
  <c r="P236" i="24"/>
  <c r="P237" i="24"/>
  <c r="P238" i="24"/>
  <c r="P239" i="24"/>
  <c r="P240" i="24"/>
  <c r="P241" i="24"/>
  <c r="P242" i="24"/>
  <c r="P243" i="24"/>
  <c r="P244" i="24"/>
  <c r="P245" i="24"/>
  <c r="P246" i="24"/>
  <c r="P247" i="24"/>
  <c r="P248" i="24"/>
  <c r="P249" i="24"/>
  <c r="P8" i="24"/>
  <c r="O9" i="24"/>
  <c r="O10" i="24"/>
  <c r="O11" i="24"/>
  <c r="O12" i="24"/>
  <c r="O13" i="24"/>
  <c r="O14" i="24"/>
  <c r="O15" i="24"/>
  <c r="O16" i="24"/>
  <c r="O17" i="24"/>
  <c r="O18" i="24"/>
  <c r="O19" i="24"/>
  <c r="O20" i="24"/>
  <c r="O21" i="24"/>
  <c r="O22" i="24"/>
  <c r="O23" i="24"/>
  <c r="O24" i="24"/>
  <c r="O25" i="24"/>
  <c r="O26" i="24"/>
  <c r="O27" i="24"/>
  <c r="O28" i="24"/>
  <c r="O29" i="24"/>
  <c r="O30" i="24"/>
  <c r="O31" i="24"/>
  <c r="O32" i="24"/>
  <c r="O33" i="24"/>
  <c r="O34" i="24"/>
  <c r="O35" i="24"/>
  <c r="O36" i="24"/>
  <c r="O37" i="24"/>
  <c r="O38" i="24"/>
  <c r="O39" i="24"/>
  <c r="O40" i="24"/>
  <c r="O41" i="24"/>
  <c r="O42" i="24"/>
  <c r="O43" i="24"/>
  <c r="O44" i="24"/>
  <c r="O45" i="24"/>
  <c r="O46" i="24"/>
  <c r="O47" i="24"/>
  <c r="O48" i="24"/>
  <c r="O49" i="24"/>
  <c r="O50" i="24"/>
  <c r="O51" i="24"/>
  <c r="O52" i="24"/>
  <c r="O53" i="24"/>
  <c r="O54" i="24"/>
  <c r="O55" i="24"/>
  <c r="O56" i="24"/>
  <c r="O57" i="24"/>
  <c r="O58" i="24"/>
  <c r="O59" i="24"/>
  <c r="O60" i="24"/>
  <c r="O61" i="24"/>
  <c r="O62" i="24"/>
  <c r="O63" i="24"/>
  <c r="O64" i="24"/>
  <c r="O65" i="24"/>
  <c r="O66" i="24"/>
  <c r="O67" i="24"/>
  <c r="O68" i="24"/>
  <c r="O69" i="24"/>
  <c r="O70" i="24"/>
  <c r="O71" i="24"/>
  <c r="O72" i="24"/>
  <c r="O73" i="24"/>
  <c r="O74" i="24"/>
  <c r="O75" i="24"/>
  <c r="O76" i="24"/>
  <c r="O77" i="24"/>
  <c r="O78" i="24"/>
  <c r="O79" i="24"/>
  <c r="O80" i="24"/>
  <c r="O81" i="24"/>
  <c r="O82" i="24"/>
  <c r="O83" i="24"/>
  <c r="O84" i="24"/>
  <c r="O85" i="24"/>
  <c r="O86" i="24"/>
  <c r="O87" i="24"/>
  <c r="O88" i="24"/>
  <c r="O89" i="24"/>
  <c r="O90" i="24"/>
  <c r="O91" i="24"/>
  <c r="O92" i="24"/>
  <c r="O93" i="24"/>
  <c r="O94" i="24"/>
  <c r="O95" i="24"/>
  <c r="O96" i="24"/>
  <c r="O97" i="24"/>
  <c r="O98" i="24"/>
  <c r="O99" i="24"/>
  <c r="O100" i="24"/>
  <c r="O101" i="24"/>
  <c r="O102" i="24"/>
  <c r="O103" i="24"/>
  <c r="O104" i="24"/>
  <c r="O105" i="24"/>
  <c r="O106" i="24"/>
  <c r="O107" i="24"/>
  <c r="O108" i="24"/>
  <c r="O109" i="24"/>
  <c r="O110" i="24"/>
  <c r="O111" i="24"/>
  <c r="O112" i="24"/>
  <c r="O113" i="24"/>
  <c r="O114" i="24"/>
  <c r="O115" i="24"/>
  <c r="O116" i="24"/>
  <c r="O117" i="24"/>
  <c r="O118" i="24"/>
  <c r="O119" i="24"/>
  <c r="O120" i="24"/>
  <c r="O121" i="24"/>
  <c r="O122" i="24"/>
  <c r="O123" i="24"/>
  <c r="O124" i="24"/>
  <c r="O125" i="24"/>
  <c r="O126" i="24"/>
  <c r="O127" i="24"/>
  <c r="O128" i="24"/>
  <c r="O129" i="24"/>
  <c r="O130" i="24"/>
  <c r="O131" i="24"/>
  <c r="O132" i="24"/>
  <c r="O133" i="24"/>
  <c r="O134" i="24"/>
  <c r="O135" i="24"/>
  <c r="O136" i="24"/>
  <c r="O137" i="24"/>
  <c r="O138" i="24"/>
  <c r="O139" i="24"/>
  <c r="O140" i="24"/>
  <c r="O141" i="24"/>
  <c r="O142" i="24"/>
  <c r="O143" i="24"/>
  <c r="O144" i="24"/>
  <c r="O145" i="24"/>
  <c r="O146" i="24"/>
  <c r="O147" i="24"/>
  <c r="O148" i="24"/>
  <c r="O149" i="24"/>
  <c r="O150" i="24"/>
  <c r="O151" i="24"/>
  <c r="O152" i="24"/>
  <c r="O153" i="24"/>
  <c r="O154" i="24"/>
  <c r="O155" i="24"/>
  <c r="O156" i="24"/>
  <c r="O157" i="24"/>
  <c r="O158" i="24"/>
  <c r="O159" i="24"/>
  <c r="O160" i="24"/>
  <c r="O161" i="24"/>
  <c r="O162" i="24"/>
  <c r="O163" i="24"/>
  <c r="O164" i="24"/>
  <c r="O165" i="24"/>
  <c r="O166" i="24"/>
  <c r="O167" i="24"/>
  <c r="O168" i="24"/>
  <c r="O169" i="24"/>
  <c r="O170" i="24"/>
  <c r="O171" i="24"/>
  <c r="O172" i="24"/>
  <c r="O173" i="24"/>
  <c r="O174" i="24"/>
  <c r="O175" i="24"/>
  <c r="O176" i="24"/>
  <c r="O177" i="24"/>
  <c r="O178" i="24"/>
  <c r="O179" i="24"/>
  <c r="O180" i="24"/>
  <c r="O181" i="24"/>
  <c r="O182" i="24"/>
  <c r="O183" i="24"/>
  <c r="O184" i="24"/>
  <c r="O185" i="24"/>
  <c r="O186" i="24"/>
  <c r="O187" i="24"/>
  <c r="O188" i="24"/>
  <c r="O189" i="24"/>
  <c r="O190" i="24"/>
  <c r="O191" i="24"/>
  <c r="O192" i="24"/>
  <c r="O193" i="24"/>
  <c r="O194" i="24"/>
  <c r="O195" i="24"/>
  <c r="O196" i="24"/>
  <c r="O197" i="24"/>
  <c r="O198" i="24"/>
  <c r="O199" i="24"/>
  <c r="O200" i="24"/>
  <c r="O201" i="24"/>
  <c r="O202" i="24"/>
  <c r="O203" i="24"/>
  <c r="O204" i="24"/>
  <c r="O205" i="24"/>
  <c r="O206" i="24"/>
  <c r="O207" i="24"/>
  <c r="O208" i="24"/>
  <c r="O209" i="24"/>
  <c r="O210" i="24"/>
  <c r="O211" i="24"/>
  <c r="O212" i="24"/>
  <c r="O213" i="24"/>
  <c r="O214" i="24"/>
  <c r="O215" i="24"/>
  <c r="O216" i="24"/>
  <c r="O217" i="24"/>
  <c r="O218" i="24"/>
  <c r="O219" i="24"/>
  <c r="O220" i="24"/>
  <c r="O221" i="24"/>
  <c r="O222" i="24"/>
  <c r="O223" i="24"/>
  <c r="O224" i="24"/>
  <c r="O225" i="24"/>
  <c r="O226" i="24"/>
  <c r="O227" i="24"/>
  <c r="O228" i="24"/>
  <c r="O229" i="24"/>
  <c r="O230" i="24"/>
  <c r="O231" i="24"/>
  <c r="O232" i="24"/>
  <c r="O233" i="24"/>
  <c r="O234" i="24"/>
  <c r="O235" i="24"/>
  <c r="O236" i="24"/>
  <c r="O237" i="24"/>
  <c r="O238" i="24"/>
  <c r="O239" i="24"/>
  <c r="O240" i="24"/>
  <c r="O241" i="24"/>
  <c r="O242" i="24"/>
  <c r="O243" i="24"/>
  <c r="O244" i="24"/>
  <c r="O245" i="24"/>
  <c r="O246" i="24"/>
  <c r="O247" i="24"/>
  <c r="O248" i="24"/>
  <c r="O249" i="24"/>
  <c r="I9" i="24"/>
  <c r="I10" i="24"/>
  <c r="I11" i="24"/>
  <c r="I12" i="24"/>
  <c r="I13" i="24"/>
  <c r="I14" i="24"/>
  <c r="I15" i="24"/>
  <c r="I16" i="24"/>
  <c r="I17" i="24"/>
  <c r="I18" i="24"/>
  <c r="I19" i="24"/>
  <c r="I20" i="24"/>
  <c r="I21" i="24"/>
  <c r="I22" i="24"/>
  <c r="I23" i="24"/>
  <c r="I24" i="24"/>
  <c r="I25" i="24"/>
  <c r="I26" i="24"/>
  <c r="I27" i="24"/>
  <c r="I28" i="24"/>
  <c r="I29" i="24"/>
  <c r="I30" i="24"/>
  <c r="I31" i="24"/>
  <c r="I32" i="24"/>
  <c r="I33" i="24"/>
  <c r="I34" i="24"/>
  <c r="I35" i="24"/>
  <c r="I36" i="24"/>
  <c r="I37" i="24"/>
  <c r="I38" i="24"/>
  <c r="I39" i="24"/>
  <c r="I40" i="24"/>
  <c r="I41" i="24"/>
  <c r="I42" i="24"/>
  <c r="I43" i="24"/>
  <c r="I44" i="24"/>
  <c r="I45" i="24"/>
  <c r="I46" i="24"/>
  <c r="I47" i="24"/>
  <c r="I48" i="24"/>
  <c r="I49" i="24"/>
  <c r="I50" i="24"/>
  <c r="I51" i="24"/>
  <c r="I52" i="24"/>
  <c r="I53" i="24"/>
  <c r="I54" i="24"/>
  <c r="I55" i="24"/>
  <c r="I56" i="24"/>
  <c r="I57" i="24"/>
  <c r="I58" i="24"/>
  <c r="I59" i="24"/>
  <c r="I60" i="24"/>
  <c r="I61" i="24"/>
  <c r="I62" i="24"/>
  <c r="I63" i="24"/>
  <c r="I64" i="24"/>
  <c r="I65" i="24"/>
  <c r="I66" i="24"/>
  <c r="I67" i="24"/>
  <c r="I68" i="24"/>
  <c r="I69" i="24"/>
  <c r="I70" i="24"/>
  <c r="I71" i="24"/>
  <c r="I72" i="24"/>
  <c r="I73" i="24"/>
  <c r="I74" i="24"/>
  <c r="I75" i="24"/>
  <c r="I76" i="24"/>
  <c r="I77" i="24"/>
  <c r="I78" i="24"/>
  <c r="I79" i="24"/>
  <c r="I80" i="24"/>
  <c r="I81" i="24"/>
  <c r="I82" i="24"/>
  <c r="I83" i="24"/>
  <c r="I84" i="24"/>
  <c r="I85" i="24"/>
  <c r="I86" i="24"/>
  <c r="I87" i="24"/>
  <c r="I88" i="24"/>
  <c r="I89" i="24"/>
  <c r="I90" i="24"/>
  <c r="I91" i="24"/>
  <c r="I92" i="24"/>
  <c r="I93" i="24"/>
  <c r="I94" i="24"/>
  <c r="I95" i="24"/>
  <c r="I96" i="24"/>
  <c r="I97" i="24"/>
  <c r="I98" i="24"/>
  <c r="I99" i="24"/>
  <c r="I100" i="24"/>
  <c r="I101" i="24"/>
  <c r="I102" i="24"/>
  <c r="I103" i="24"/>
  <c r="I104" i="24"/>
  <c r="I105" i="24"/>
  <c r="I106" i="24"/>
  <c r="I107" i="24"/>
  <c r="I108" i="24"/>
  <c r="I109" i="24"/>
  <c r="I110" i="24"/>
  <c r="I111" i="24"/>
  <c r="I112" i="24"/>
  <c r="I113" i="24"/>
  <c r="I114" i="24"/>
  <c r="I115" i="24"/>
  <c r="I116" i="24"/>
  <c r="I117" i="24"/>
  <c r="I118" i="24"/>
  <c r="I119" i="24"/>
  <c r="I120" i="24"/>
  <c r="I121" i="24"/>
  <c r="I122" i="24"/>
  <c r="I123" i="24"/>
  <c r="I124" i="24"/>
  <c r="I125" i="24"/>
  <c r="I126" i="24"/>
  <c r="I127" i="24"/>
  <c r="I128" i="24"/>
  <c r="I129" i="24"/>
  <c r="I130" i="24"/>
  <c r="I131" i="24"/>
  <c r="I132" i="24"/>
  <c r="I133" i="24"/>
  <c r="I134" i="24"/>
  <c r="I135" i="24"/>
  <c r="I136" i="24"/>
  <c r="I137" i="24"/>
  <c r="I138" i="24"/>
  <c r="I139" i="24"/>
  <c r="I140" i="24"/>
  <c r="I141" i="24"/>
  <c r="I142" i="24"/>
  <c r="I143" i="24"/>
  <c r="I144" i="24"/>
  <c r="I145" i="24"/>
  <c r="I146" i="24"/>
  <c r="I147" i="24"/>
  <c r="I148" i="24"/>
  <c r="I149" i="24"/>
  <c r="I150" i="24"/>
  <c r="I151" i="24"/>
  <c r="I152" i="24"/>
  <c r="I153" i="24"/>
  <c r="I154" i="24"/>
  <c r="I155" i="24"/>
  <c r="I156" i="24"/>
  <c r="I157" i="24"/>
  <c r="I158" i="24"/>
  <c r="I159" i="24"/>
  <c r="I160" i="24"/>
  <c r="I161" i="24"/>
  <c r="I162" i="24"/>
  <c r="I163" i="24"/>
  <c r="I164" i="24"/>
  <c r="I165" i="24"/>
  <c r="I166" i="24"/>
  <c r="I167" i="24"/>
  <c r="I168" i="24"/>
  <c r="I169" i="24"/>
  <c r="I170" i="24"/>
  <c r="I171" i="24"/>
  <c r="I172" i="24"/>
  <c r="I173" i="24"/>
  <c r="I174" i="24"/>
  <c r="I175" i="24"/>
  <c r="I176" i="24"/>
  <c r="I177" i="24"/>
  <c r="I178" i="24"/>
  <c r="I179" i="24"/>
  <c r="I180" i="24"/>
  <c r="I181" i="24"/>
  <c r="I182" i="24"/>
  <c r="I183" i="24"/>
  <c r="I184" i="24"/>
  <c r="I185" i="24"/>
  <c r="I186" i="24"/>
  <c r="I187" i="24"/>
  <c r="I188" i="24"/>
  <c r="I189" i="24"/>
  <c r="I190" i="24"/>
  <c r="I191" i="24"/>
  <c r="I192" i="24"/>
  <c r="I193" i="24"/>
  <c r="I194" i="24"/>
  <c r="I195" i="24"/>
  <c r="I196" i="24"/>
  <c r="I197" i="24"/>
  <c r="I198" i="24"/>
  <c r="I199" i="24"/>
  <c r="I200" i="24"/>
  <c r="I201" i="24"/>
  <c r="I202" i="24"/>
  <c r="I203" i="24"/>
  <c r="I204" i="24"/>
  <c r="I205" i="24"/>
  <c r="I206" i="24"/>
  <c r="I207" i="24"/>
  <c r="I208" i="24"/>
  <c r="I209" i="24"/>
  <c r="I210" i="24"/>
  <c r="I211" i="24"/>
  <c r="I212" i="24"/>
  <c r="I213" i="24"/>
  <c r="I214" i="24"/>
  <c r="I215" i="24"/>
  <c r="I216" i="24"/>
  <c r="I217" i="24"/>
  <c r="I218" i="24"/>
  <c r="I219" i="24"/>
  <c r="I220" i="24"/>
  <c r="I221" i="24"/>
  <c r="I222" i="24"/>
  <c r="I223" i="24"/>
  <c r="I224" i="24"/>
  <c r="I225" i="24"/>
  <c r="I226" i="24"/>
  <c r="I227" i="24"/>
  <c r="I228" i="24"/>
  <c r="I229" i="24"/>
  <c r="I230" i="24"/>
  <c r="I231" i="24"/>
  <c r="I232" i="24"/>
  <c r="I233" i="24"/>
  <c r="I234" i="24"/>
  <c r="I235" i="24"/>
  <c r="I236" i="24"/>
  <c r="I237" i="24"/>
  <c r="I238" i="24"/>
  <c r="I239" i="24"/>
  <c r="I240" i="24"/>
  <c r="I241" i="24"/>
  <c r="I242" i="24"/>
  <c r="I243" i="24"/>
  <c r="I244" i="24"/>
  <c r="I245" i="24"/>
  <c r="I246" i="24"/>
  <c r="I247" i="24"/>
  <c r="I248" i="24"/>
  <c r="I249" i="24"/>
  <c r="I8" i="24"/>
  <c r="O8" i="24"/>
  <c r="H9" i="24"/>
  <c r="H10" i="24"/>
  <c r="H11" i="24"/>
  <c r="H12" i="24"/>
  <c r="H13" i="24"/>
  <c r="H14" i="24"/>
  <c r="H15" i="24"/>
  <c r="H16" i="24"/>
  <c r="H17" i="24"/>
  <c r="H18" i="24"/>
  <c r="H19" i="24"/>
  <c r="H20" i="24"/>
  <c r="H21" i="24"/>
  <c r="H22" i="24"/>
  <c r="H23" i="24"/>
  <c r="H24" i="24"/>
  <c r="H25" i="24"/>
  <c r="H26" i="24"/>
  <c r="H27" i="24"/>
  <c r="H28" i="24"/>
  <c r="H29" i="24"/>
  <c r="H30" i="24"/>
  <c r="H31" i="24"/>
  <c r="H32" i="24"/>
  <c r="H33" i="24"/>
  <c r="H34" i="24"/>
  <c r="H35" i="24"/>
  <c r="H36" i="24"/>
  <c r="H37" i="24"/>
  <c r="H38" i="24"/>
  <c r="H39" i="24"/>
  <c r="H40" i="24"/>
  <c r="H41" i="24"/>
  <c r="H42" i="24"/>
  <c r="H43" i="24"/>
  <c r="H44" i="24"/>
  <c r="H45" i="24"/>
  <c r="H46" i="24"/>
  <c r="H47" i="24"/>
  <c r="H48" i="24"/>
  <c r="H49" i="24"/>
  <c r="H50" i="24"/>
  <c r="H51" i="24"/>
  <c r="H52" i="24"/>
  <c r="H53" i="24"/>
  <c r="H54" i="24"/>
  <c r="H55" i="24"/>
  <c r="H56" i="24"/>
  <c r="H57" i="24"/>
  <c r="H58" i="24"/>
  <c r="H59" i="24"/>
  <c r="H60" i="24"/>
  <c r="H61" i="24"/>
  <c r="H62" i="24"/>
  <c r="H63" i="24"/>
  <c r="H64" i="24"/>
  <c r="H65" i="24"/>
  <c r="H66" i="24"/>
  <c r="H67" i="24"/>
  <c r="H68" i="24"/>
  <c r="H69" i="24"/>
  <c r="H70" i="24"/>
  <c r="H71" i="24"/>
  <c r="H72" i="24"/>
  <c r="H73" i="24"/>
  <c r="H74" i="24"/>
  <c r="H75" i="24"/>
  <c r="H76" i="24"/>
  <c r="H77" i="24"/>
  <c r="H78" i="24"/>
  <c r="H79" i="24"/>
  <c r="H80" i="24"/>
  <c r="H81" i="24"/>
  <c r="H82" i="24"/>
  <c r="H83" i="24"/>
  <c r="H84" i="24"/>
  <c r="H85" i="24"/>
  <c r="H86" i="24"/>
  <c r="H87" i="24"/>
  <c r="H88" i="24"/>
  <c r="H89" i="24"/>
  <c r="H90" i="24"/>
  <c r="H91" i="24"/>
  <c r="H92" i="24"/>
  <c r="H93" i="24"/>
  <c r="H94" i="24"/>
  <c r="H95" i="24"/>
  <c r="H96" i="24"/>
  <c r="H97" i="24"/>
  <c r="H98" i="24"/>
  <c r="H99" i="24"/>
  <c r="H100" i="24"/>
  <c r="H101" i="24"/>
  <c r="H102" i="24"/>
  <c r="H103" i="24"/>
  <c r="H104" i="24"/>
  <c r="H105" i="24"/>
  <c r="H106" i="24"/>
  <c r="H107" i="24"/>
  <c r="H108" i="24"/>
  <c r="H109" i="24"/>
  <c r="H110" i="24"/>
  <c r="H111" i="24"/>
  <c r="H112" i="24"/>
  <c r="H113" i="24"/>
  <c r="H114" i="24"/>
  <c r="H115" i="24"/>
  <c r="H116" i="24"/>
  <c r="H117" i="24"/>
  <c r="H118" i="24"/>
  <c r="H119" i="24"/>
  <c r="H120" i="24"/>
  <c r="H121" i="24"/>
  <c r="H122" i="24"/>
  <c r="H123" i="24"/>
  <c r="H124" i="24"/>
  <c r="H125" i="24"/>
  <c r="H126" i="24"/>
  <c r="H127" i="24"/>
  <c r="H128" i="24"/>
  <c r="H129" i="24"/>
  <c r="H130" i="24"/>
  <c r="H131" i="24"/>
  <c r="H132" i="24"/>
  <c r="H133" i="24"/>
  <c r="H134" i="24"/>
  <c r="H135" i="24"/>
  <c r="H136" i="24"/>
  <c r="H137" i="24"/>
  <c r="H138" i="24"/>
  <c r="H139" i="24"/>
  <c r="H140" i="24"/>
  <c r="H141" i="24"/>
  <c r="H142" i="24"/>
  <c r="H143" i="24"/>
  <c r="H144" i="24"/>
  <c r="H145" i="24"/>
  <c r="H146" i="24"/>
  <c r="H147" i="24"/>
  <c r="H148" i="24"/>
  <c r="H149" i="24"/>
  <c r="H150" i="24"/>
  <c r="H151" i="24"/>
  <c r="H152" i="24"/>
  <c r="H153" i="24"/>
  <c r="H154" i="24"/>
  <c r="H155" i="24"/>
  <c r="H156" i="24"/>
  <c r="H157" i="24"/>
  <c r="H158" i="24"/>
  <c r="H159" i="24"/>
  <c r="H160" i="24"/>
  <c r="H161" i="24"/>
  <c r="H162" i="24"/>
  <c r="H163" i="24"/>
  <c r="H164" i="24"/>
  <c r="H165" i="24"/>
  <c r="H166" i="24"/>
  <c r="H167" i="24"/>
  <c r="H168" i="24"/>
  <c r="H169" i="24"/>
  <c r="H170" i="24"/>
  <c r="H171" i="24"/>
  <c r="H172" i="24"/>
  <c r="H173" i="24"/>
  <c r="H174" i="24"/>
  <c r="H175" i="24"/>
  <c r="H176" i="24"/>
  <c r="H177" i="24"/>
  <c r="H178" i="24"/>
  <c r="H179" i="24"/>
  <c r="H180" i="24"/>
  <c r="H181" i="24"/>
  <c r="H182" i="24"/>
  <c r="H183" i="24"/>
  <c r="H184" i="24"/>
  <c r="H185" i="24"/>
  <c r="H186" i="24"/>
  <c r="H187" i="24"/>
  <c r="H188" i="24"/>
  <c r="H189" i="24"/>
  <c r="H190" i="24"/>
  <c r="H191" i="24"/>
  <c r="H192" i="24"/>
  <c r="H193" i="24"/>
  <c r="H194" i="24"/>
  <c r="H195" i="24"/>
  <c r="H196" i="24"/>
  <c r="H197" i="24"/>
  <c r="H198" i="24"/>
  <c r="H199" i="24"/>
  <c r="H200" i="24"/>
  <c r="H201" i="24"/>
  <c r="H202" i="24"/>
  <c r="H203" i="24"/>
  <c r="H204" i="24"/>
  <c r="H205" i="24"/>
  <c r="H206" i="24"/>
  <c r="H207" i="24"/>
  <c r="H208" i="24"/>
  <c r="H209" i="24"/>
  <c r="H210" i="24"/>
  <c r="H211" i="24"/>
  <c r="H212" i="24"/>
  <c r="H213" i="24"/>
  <c r="H214" i="24"/>
  <c r="H215" i="24"/>
  <c r="H216" i="24"/>
  <c r="H217" i="24"/>
  <c r="H218" i="24"/>
  <c r="H219" i="24"/>
  <c r="H220" i="24"/>
  <c r="H221" i="24"/>
  <c r="H222" i="24"/>
  <c r="H223" i="24"/>
  <c r="H224" i="24"/>
  <c r="H225" i="24"/>
  <c r="H226" i="24"/>
  <c r="H227" i="24"/>
  <c r="H228" i="24"/>
  <c r="H229" i="24"/>
  <c r="H230" i="24"/>
  <c r="H231" i="24"/>
  <c r="H232" i="24"/>
  <c r="H233" i="24"/>
  <c r="H234" i="24"/>
  <c r="H235" i="24"/>
  <c r="H236" i="24"/>
  <c r="H237" i="24"/>
  <c r="H238" i="24"/>
  <c r="H239" i="24"/>
  <c r="H240" i="24"/>
  <c r="H241" i="24"/>
  <c r="H242" i="24"/>
  <c r="H243" i="24"/>
  <c r="H244" i="24"/>
  <c r="H245" i="24"/>
  <c r="H246" i="24"/>
  <c r="H247" i="24"/>
  <c r="H248" i="24"/>
  <c r="H249" i="24"/>
  <c r="H8" i="24"/>
  <c r="G9" i="24"/>
  <c r="G10"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G46" i="24"/>
  <c r="G47" i="24"/>
  <c r="G48" i="24"/>
  <c r="G49" i="24"/>
  <c r="G50" i="24"/>
  <c r="G51" i="24"/>
  <c r="G52" i="24"/>
  <c r="G53" i="24"/>
  <c r="G54" i="24"/>
  <c r="G55" i="24"/>
  <c r="G56" i="24"/>
  <c r="G57" i="24"/>
  <c r="G58" i="24"/>
  <c r="G59" i="24"/>
  <c r="G60" i="24"/>
  <c r="G61" i="24"/>
  <c r="G62" i="24"/>
  <c r="G63" i="24"/>
  <c r="G64" i="24"/>
  <c r="G65" i="24"/>
  <c r="G66" i="24"/>
  <c r="G67" i="24"/>
  <c r="G68" i="24"/>
  <c r="G69" i="24"/>
  <c r="G70" i="24"/>
  <c r="G71" i="24"/>
  <c r="G72" i="24"/>
  <c r="G73" i="24"/>
  <c r="G74" i="24"/>
  <c r="G75" i="24"/>
  <c r="G76" i="24"/>
  <c r="G77" i="24"/>
  <c r="G78" i="24"/>
  <c r="G79" i="24"/>
  <c r="G80" i="24"/>
  <c r="G81" i="24"/>
  <c r="G82" i="24"/>
  <c r="G83" i="24"/>
  <c r="G84" i="24"/>
  <c r="G85" i="24"/>
  <c r="G86" i="24"/>
  <c r="G87" i="24"/>
  <c r="G88" i="24"/>
  <c r="G89" i="24"/>
  <c r="G90" i="24"/>
  <c r="G91" i="24"/>
  <c r="G92" i="24"/>
  <c r="G93" i="24"/>
  <c r="G94" i="24"/>
  <c r="G95" i="24"/>
  <c r="G96" i="24"/>
  <c r="G97" i="24"/>
  <c r="G98" i="24"/>
  <c r="G99" i="24"/>
  <c r="G100" i="24"/>
  <c r="G101" i="24"/>
  <c r="G102" i="24"/>
  <c r="G103" i="24"/>
  <c r="G104" i="24"/>
  <c r="G105" i="24"/>
  <c r="G106" i="24"/>
  <c r="G107" i="24"/>
  <c r="G108" i="24"/>
  <c r="G109" i="24"/>
  <c r="G110" i="24"/>
  <c r="G111" i="24"/>
  <c r="G112" i="24"/>
  <c r="G113" i="24"/>
  <c r="G114" i="24"/>
  <c r="G115" i="24"/>
  <c r="G116" i="24"/>
  <c r="G117" i="24"/>
  <c r="G118" i="24"/>
  <c r="G119" i="24"/>
  <c r="G120" i="24"/>
  <c r="G121" i="24"/>
  <c r="G122" i="24"/>
  <c r="G123" i="24"/>
  <c r="G124" i="24"/>
  <c r="G125" i="24"/>
  <c r="G126" i="24"/>
  <c r="G127" i="24"/>
  <c r="G128" i="24"/>
  <c r="G129" i="24"/>
  <c r="G130" i="24"/>
  <c r="G131" i="24"/>
  <c r="G132" i="24"/>
  <c r="G133" i="24"/>
  <c r="G134" i="24"/>
  <c r="G135" i="24"/>
  <c r="G136" i="24"/>
  <c r="G137" i="24"/>
  <c r="G138" i="24"/>
  <c r="G139" i="24"/>
  <c r="G140" i="24"/>
  <c r="G141" i="24"/>
  <c r="G142" i="24"/>
  <c r="G143" i="24"/>
  <c r="G144" i="24"/>
  <c r="G145" i="24"/>
  <c r="G146" i="24"/>
  <c r="G147" i="24"/>
  <c r="G148" i="24"/>
  <c r="G149" i="24"/>
  <c r="G150" i="24"/>
  <c r="G151" i="24"/>
  <c r="G152" i="24"/>
  <c r="G153" i="24"/>
  <c r="G154" i="24"/>
  <c r="G155" i="24"/>
  <c r="G156" i="24"/>
  <c r="G157" i="24"/>
  <c r="G158" i="24"/>
  <c r="G159" i="24"/>
  <c r="G160" i="24"/>
  <c r="G161" i="24"/>
  <c r="G162" i="24"/>
  <c r="G163" i="24"/>
  <c r="G164" i="24"/>
  <c r="G165" i="24"/>
  <c r="G166" i="24"/>
  <c r="G167" i="24"/>
  <c r="G168" i="24"/>
  <c r="G169" i="24"/>
  <c r="G170" i="24"/>
  <c r="G171" i="24"/>
  <c r="G172" i="24"/>
  <c r="G173" i="24"/>
  <c r="G174" i="24"/>
  <c r="G175" i="24"/>
  <c r="G176" i="24"/>
  <c r="G177" i="24"/>
  <c r="G178" i="24"/>
  <c r="G179" i="24"/>
  <c r="G180" i="24"/>
  <c r="G181" i="24"/>
  <c r="G182" i="24"/>
  <c r="G183" i="24"/>
  <c r="G184" i="24"/>
  <c r="G185" i="24"/>
  <c r="G186" i="24"/>
  <c r="G187" i="24"/>
  <c r="G188" i="24"/>
  <c r="G189" i="24"/>
  <c r="G190" i="24"/>
  <c r="G191" i="24"/>
  <c r="G192" i="24"/>
  <c r="G193" i="24"/>
  <c r="G194" i="24"/>
  <c r="G195" i="24"/>
  <c r="G196" i="24"/>
  <c r="G197" i="24"/>
  <c r="G198" i="24"/>
  <c r="G199" i="24"/>
  <c r="G200" i="24"/>
  <c r="G201" i="24"/>
  <c r="G202" i="24"/>
  <c r="G203" i="24"/>
  <c r="G204" i="24"/>
  <c r="G205" i="24"/>
  <c r="G206" i="24"/>
  <c r="G207" i="24"/>
  <c r="G208" i="24"/>
  <c r="G209" i="24"/>
  <c r="G210" i="24"/>
  <c r="G211" i="24"/>
  <c r="G212" i="24"/>
  <c r="G213" i="24"/>
  <c r="G214" i="24"/>
  <c r="G215" i="24"/>
  <c r="G216" i="24"/>
  <c r="G217" i="24"/>
  <c r="G218" i="24"/>
  <c r="G219" i="24"/>
  <c r="G220" i="24"/>
  <c r="G221" i="24"/>
  <c r="G222" i="24"/>
  <c r="G223" i="24"/>
  <c r="G224" i="24"/>
  <c r="G225" i="24"/>
  <c r="G226" i="24"/>
  <c r="G227" i="24"/>
  <c r="G228" i="24"/>
  <c r="G229" i="24"/>
  <c r="G230" i="24"/>
  <c r="G231" i="24"/>
  <c r="G232" i="24"/>
  <c r="G233" i="24"/>
  <c r="G234" i="24"/>
  <c r="G235" i="24"/>
  <c r="G236" i="24"/>
  <c r="G237" i="24"/>
  <c r="G238" i="24"/>
  <c r="G239" i="24"/>
  <c r="G240" i="24"/>
  <c r="G241" i="24"/>
  <c r="G242" i="24"/>
  <c r="G243" i="24"/>
  <c r="G244" i="24"/>
  <c r="G245" i="24"/>
  <c r="G246" i="24"/>
  <c r="G247" i="24"/>
  <c r="G248" i="24"/>
  <c r="G249" i="24"/>
  <c r="G8" i="24"/>
  <c r="F9" i="24"/>
  <c r="F10" i="24"/>
  <c r="F11" i="24"/>
  <c r="F12" i="24"/>
  <c r="F13" i="24"/>
  <c r="F14" i="24"/>
  <c r="F15" i="24"/>
  <c r="F16" i="24"/>
  <c r="F17" i="24"/>
  <c r="F18" i="24"/>
  <c r="F19" i="24"/>
  <c r="F20" i="24"/>
  <c r="F21" i="24"/>
  <c r="F22" i="24"/>
  <c r="F23" i="24"/>
  <c r="F24" i="24"/>
  <c r="F25" i="24"/>
  <c r="F26" i="24"/>
  <c r="F27" i="24"/>
  <c r="F28" i="24"/>
  <c r="F29" i="24"/>
  <c r="F30" i="24"/>
  <c r="F31" i="24"/>
  <c r="F32" i="24"/>
  <c r="F33" i="24"/>
  <c r="F34" i="24"/>
  <c r="F35" i="24"/>
  <c r="F36" i="24"/>
  <c r="F37" i="24"/>
  <c r="F38" i="24"/>
  <c r="F39" i="24"/>
  <c r="F40" i="24"/>
  <c r="F41" i="24"/>
  <c r="F42" i="24"/>
  <c r="F43" i="24"/>
  <c r="F44" i="24"/>
  <c r="F45" i="24"/>
  <c r="F46" i="24"/>
  <c r="F47" i="24"/>
  <c r="F48" i="24"/>
  <c r="F49" i="24"/>
  <c r="F50" i="24"/>
  <c r="F51" i="24"/>
  <c r="F52" i="24"/>
  <c r="F53" i="24"/>
  <c r="F54" i="24"/>
  <c r="F55" i="24"/>
  <c r="F56" i="24"/>
  <c r="F57" i="24"/>
  <c r="F58" i="24"/>
  <c r="F59" i="24"/>
  <c r="F60" i="24"/>
  <c r="F61" i="24"/>
  <c r="F62" i="24"/>
  <c r="F63" i="24"/>
  <c r="F64" i="24"/>
  <c r="F65" i="24"/>
  <c r="F66" i="24"/>
  <c r="F67" i="24"/>
  <c r="F68" i="24"/>
  <c r="F69" i="24"/>
  <c r="F70" i="24"/>
  <c r="F71" i="24"/>
  <c r="F72" i="24"/>
  <c r="F73" i="24"/>
  <c r="F74" i="24"/>
  <c r="F75" i="24"/>
  <c r="F76" i="24"/>
  <c r="F77" i="24"/>
  <c r="F78" i="24"/>
  <c r="F79" i="24"/>
  <c r="F80" i="24"/>
  <c r="F81" i="24"/>
  <c r="F82" i="24"/>
  <c r="F83" i="24"/>
  <c r="F84" i="24"/>
  <c r="F85" i="24"/>
  <c r="F86" i="24"/>
  <c r="F87" i="24"/>
  <c r="F88" i="24"/>
  <c r="F89" i="24"/>
  <c r="F90" i="24"/>
  <c r="F91" i="24"/>
  <c r="F92" i="24"/>
  <c r="F93" i="24"/>
  <c r="F94" i="24"/>
  <c r="F95" i="24"/>
  <c r="F96" i="24"/>
  <c r="F97" i="24"/>
  <c r="F98" i="24"/>
  <c r="F99" i="24"/>
  <c r="F100" i="24"/>
  <c r="F101" i="24"/>
  <c r="F102" i="24"/>
  <c r="F103" i="24"/>
  <c r="F104" i="24"/>
  <c r="F105" i="24"/>
  <c r="F106" i="24"/>
  <c r="F107" i="24"/>
  <c r="F108" i="24"/>
  <c r="F109" i="24"/>
  <c r="F110" i="24"/>
  <c r="F111" i="24"/>
  <c r="F112" i="24"/>
  <c r="F113" i="24"/>
  <c r="F114" i="24"/>
  <c r="F115" i="24"/>
  <c r="F116" i="24"/>
  <c r="F117" i="24"/>
  <c r="F118" i="24"/>
  <c r="F119" i="24"/>
  <c r="F120" i="24"/>
  <c r="F121" i="24"/>
  <c r="F122" i="24"/>
  <c r="F123" i="24"/>
  <c r="F124" i="24"/>
  <c r="F125" i="24"/>
  <c r="F126" i="24"/>
  <c r="F127" i="24"/>
  <c r="F128" i="24"/>
  <c r="F129" i="24"/>
  <c r="F130" i="24"/>
  <c r="F131" i="24"/>
  <c r="F132" i="24"/>
  <c r="F133" i="24"/>
  <c r="F134" i="24"/>
  <c r="F135" i="24"/>
  <c r="F136" i="24"/>
  <c r="F137" i="24"/>
  <c r="F138" i="24"/>
  <c r="F139" i="24"/>
  <c r="F140" i="24"/>
  <c r="F141" i="24"/>
  <c r="F142" i="24"/>
  <c r="F143" i="24"/>
  <c r="F144" i="24"/>
  <c r="F145" i="24"/>
  <c r="F146" i="24"/>
  <c r="F147" i="24"/>
  <c r="F148" i="24"/>
  <c r="F149" i="24"/>
  <c r="F150" i="24"/>
  <c r="F151" i="24"/>
  <c r="F152" i="24"/>
  <c r="F153" i="24"/>
  <c r="F154" i="24"/>
  <c r="F155" i="24"/>
  <c r="F156" i="24"/>
  <c r="F157" i="24"/>
  <c r="F158" i="24"/>
  <c r="F159" i="24"/>
  <c r="F160" i="24"/>
  <c r="F161" i="24"/>
  <c r="F162" i="24"/>
  <c r="F163" i="24"/>
  <c r="F164" i="24"/>
  <c r="F165" i="24"/>
  <c r="F166" i="24"/>
  <c r="F167" i="24"/>
  <c r="F168" i="24"/>
  <c r="F169" i="24"/>
  <c r="F170" i="24"/>
  <c r="F171" i="24"/>
  <c r="F172" i="24"/>
  <c r="F173" i="24"/>
  <c r="F174" i="24"/>
  <c r="F175" i="24"/>
  <c r="F176" i="24"/>
  <c r="F177" i="24"/>
  <c r="F178" i="24"/>
  <c r="F179" i="24"/>
  <c r="F180" i="24"/>
  <c r="F181" i="24"/>
  <c r="F182" i="24"/>
  <c r="F183" i="24"/>
  <c r="F184" i="24"/>
  <c r="F185" i="24"/>
  <c r="F186" i="24"/>
  <c r="F187" i="24"/>
  <c r="F188" i="24"/>
  <c r="F189" i="24"/>
  <c r="F190" i="24"/>
  <c r="F191" i="24"/>
  <c r="F192" i="24"/>
  <c r="F193" i="24"/>
  <c r="F194" i="24"/>
  <c r="F195" i="24"/>
  <c r="F196" i="24"/>
  <c r="F197" i="24"/>
  <c r="F198" i="24"/>
  <c r="F199" i="24"/>
  <c r="F200" i="24"/>
  <c r="F201" i="24"/>
  <c r="F202" i="24"/>
  <c r="F203" i="24"/>
  <c r="F204" i="24"/>
  <c r="F205" i="24"/>
  <c r="F206" i="24"/>
  <c r="F207" i="24"/>
  <c r="F208" i="24"/>
  <c r="F209" i="24"/>
  <c r="F210" i="24"/>
  <c r="F211" i="24"/>
  <c r="F212" i="24"/>
  <c r="F213" i="24"/>
  <c r="F214" i="24"/>
  <c r="F215" i="24"/>
  <c r="F216" i="24"/>
  <c r="F217" i="24"/>
  <c r="F218" i="24"/>
  <c r="F219" i="24"/>
  <c r="F220" i="24"/>
  <c r="F221" i="24"/>
  <c r="F222" i="24"/>
  <c r="F223" i="24"/>
  <c r="F224" i="24"/>
  <c r="F225" i="24"/>
  <c r="F226" i="24"/>
  <c r="F227" i="24"/>
  <c r="F228" i="24"/>
  <c r="F229" i="24"/>
  <c r="F230" i="24"/>
  <c r="F231" i="24"/>
  <c r="F232" i="24"/>
  <c r="F233" i="24"/>
  <c r="F234" i="24"/>
  <c r="F235" i="24"/>
  <c r="F236" i="24"/>
  <c r="F237" i="24"/>
  <c r="F238" i="24"/>
  <c r="F239" i="24"/>
  <c r="F240" i="24"/>
  <c r="F241" i="24"/>
  <c r="F242" i="24"/>
  <c r="F243" i="24"/>
  <c r="F244" i="24"/>
  <c r="F245" i="24"/>
  <c r="F246" i="24"/>
  <c r="F247" i="24"/>
  <c r="F248" i="24"/>
  <c r="F249" i="24"/>
  <c r="F8" i="24"/>
  <c r="D9" i="24"/>
  <c r="D10" i="24"/>
  <c r="D11" i="24"/>
  <c r="D12" i="24"/>
  <c r="D13" i="24"/>
  <c r="D14" i="24"/>
  <c r="D15" i="24"/>
  <c r="D16" i="24"/>
  <c r="D17" i="24"/>
  <c r="D18" i="24"/>
  <c r="D19" i="24"/>
  <c r="D20" i="24"/>
  <c r="D21" i="24"/>
  <c r="D22" i="24"/>
  <c r="D23" i="24"/>
  <c r="D24" i="24"/>
  <c r="D25" i="24"/>
  <c r="D26" i="24"/>
  <c r="D27" i="24"/>
  <c r="D28" i="24"/>
  <c r="D29" i="24"/>
  <c r="D30" i="24"/>
  <c r="D31" i="24"/>
  <c r="D32" i="24"/>
  <c r="D33" i="24"/>
  <c r="D34" i="24"/>
  <c r="D35" i="24"/>
  <c r="D36" i="24"/>
  <c r="D37" i="24"/>
  <c r="D38" i="24"/>
  <c r="D39" i="24"/>
  <c r="D40" i="24"/>
  <c r="D41" i="24"/>
  <c r="D42" i="24"/>
  <c r="D43" i="24"/>
  <c r="D44" i="24"/>
  <c r="D45" i="24"/>
  <c r="D46" i="24"/>
  <c r="D47" i="24"/>
  <c r="D48" i="24"/>
  <c r="D49" i="24"/>
  <c r="D50" i="24"/>
  <c r="D51" i="24"/>
  <c r="D52" i="24"/>
  <c r="D53" i="24"/>
  <c r="D54" i="24"/>
  <c r="D55" i="24"/>
  <c r="D56" i="24"/>
  <c r="D57" i="24"/>
  <c r="D58" i="24"/>
  <c r="D59" i="24"/>
  <c r="D60" i="24"/>
  <c r="D61" i="24"/>
  <c r="D62" i="24"/>
  <c r="D63" i="24"/>
  <c r="D64" i="24"/>
  <c r="D65" i="24"/>
  <c r="D66" i="24"/>
  <c r="D67" i="24"/>
  <c r="D68" i="24"/>
  <c r="D69" i="24"/>
  <c r="D70" i="24"/>
  <c r="D71" i="24"/>
  <c r="D72" i="24"/>
  <c r="D73" i="24"/>
  <c r="D74" i="24"/>
  <c r="D75" i="24"/>
  <c r="D76" i="24"/>
  <c r="D77" i="24"/>
  <c r="D78" i="24"/>
  <c r="D79" i="24"/>
  <c r="D80" i="24"/>
  <c r="D81" i="24"/>
  <c r="D82" i="24"/>
  <c r="D83" i="24"/>
  <c r="D84" i="24"/>
  <c r="D85" i="24"/>
  <c r="D86" i="24"/>
  <c r="D87" i="24"/>
  <c r="D88" i="24"/>
  <c r="D89" i="24"/>
  <c r="D90" i="24"/>
  <c r="D91" i="24"/>
  <c r="D92" i="24"/>
  <c r="D93" i="24"/>
  <c r="D94" i="24"/>
  <c r="D95" i="24"/>
  <c r="D96" i="24"/>
  <c r="D97" i="24"/>
  <c r="D98" i="24"/>
  <c r="D99" i="24"/>
  <c r="D100" i="24"/>
  <c r="D101" i="24"/>
  <c r="D102" i="24"/>
  <c r="D103" i="24"/>
  <c r="D104" i="24"/>
  <c r="D105" i="24"/>
  <c r="D106" i="24"/>
  <c r="D107" i="24"/>
  <c r="D108" i="24"/>
  <c r="D109" i="24"/>
  <c r="D110" i="24"/>
  <c r="D111" i="24"/>
  <c r="D112" i="24"/>
  <c r="D113" i="24"/>
  <c r="D114" i="24"/>
  <c r="D115" i="24"/>
  <c r="D116" i="24"/>
  <c r="D117" i="24"/>
  <c r="D118" i="24"/>
  <c r="D119" i="24"/>
  <c r="D120" i="24"/>
  <c r="D121" i="24"/>
  <c r="D122" i="24"/>
  <c r="D123" i="24"/>
  <c r="D124" i="24"/>
  <c r="D125" i="24"/>
  <c r="D126" i="24"/>
  <c r="D127" i="24"/>
  <c r="D128" i="24"/>
  <c r="D129" i="24"/>
  <c r="D130" i="24"/>
  <c r="D131" i="24"/>
  <c r="D132" i="24"/>
  <c r="D133" i="24"/>
  <c r="D134" i="24"/>
  <c r="D135" i="24"/>
  <c r="D136" i="24"/>
  <c r="D137" i="24"/>
  <c r="D138" i="24"/>
  <c r="D139" i="24"/>
  <c r="D140" i="24"/>
  <c r="D141" i="24"/>
  <c r="D142" i="24"/>
  <c r="D143" i="24"/>
  <c r="D144" i="24"/>
  <c r="D145" i="24"/>
  <c r="D146" i="24"/>
  <c r="D147" i="24"/>
  <c r="D148" i="24"/>
  <c r="D149" i="24"/>
  <c r="D150" i="24"/>
  <c r="D151" i="24"/>
  <c r="D152" i="24"/>
  <c r="D153" i="24"/>
  <c r="D154" i="24"/>
  <c r="D155" i="24"/>
  <c r="D156" i="24"/>
  <c r="D157" i="24"/>
  <c r="D158" i="24"/>
  <c r="D159" i="24"/>
  <c r="D160" i="24"/>
  <c r="D161" i="24"/>
  <c r="D162" i="24"/>
  <c r="D163" i="24"/>
  <c r="D164" i="24"/>
  <c r="D165" i="24"/>
  <c r="D166" i="24"/>
  <c r="D167" i="24"/>
  <c r="D168" i="24"/>
  <c r="D169" i="24"/>
  <c r="D170" i="24"/>
  <c r="D171" i="24"/>
  <c r="D172" i="24"/>
  <c r="D173" i="24"/>
  <c r="D174" i="24"/>
  <c r="D175" i="24"/>
  <c r="D176" i="24"/>
  <c r="D177" i="24"/>
  <c r="D178" i="24"/>
  <c r="D179" i="24"/>
  <c r="D180" i="24"/>
  <c r="D181" i="24"/>
  <c r="D182" i="24"/>
  <c r="D183" i="24"/>
  <c r="D184" i="24"/>
  <c r="D185" i="24"/>
  <c r="D186" i="24"/>
  <c r="D187" i="24"/>
  <c r="D188" i="24"/>
  <c r="D189" i="24"/>
  <c r="D190" i="24"/>
  <c r="D191" i="24"/>
  <c r="D192" i="24"/>
  <c r="D193" i="24"/>
  <c r="D194" i="24"/>
  <c r="D195" i="24"/>
  <c r="D196" i="24"/>
  <c r="D197" i="24"/>
  <c r="D198" i="24"/>
  <c r="D199" i="24"/>
  <c r="D200" i="24"/>
  <c r="D201" i="24"/>
  <c r="D202" i="24"/>
  <c r="D203" i="24"/>
  <c r="D204" i="24"/>
  <c r="D205" i="24"/>
  <c r="D206" i="24"/>
  <c r="D207" i="24"/>
  <c r="D208" i="24"/>
  <c r="D209" i="24"/>
  <c r="D210" i="24"/>
  <c r="D211" i="24"/>
  <c r="D212" i="24"/>
  <c r="D213" i="24"/>
  <c r="D214" i="24"/>
  <c r="D215" i="24"/>
  <c r="D216" i="24"/>
  <c r="D217" i="24"/>
  <c r="D218" i="24"/>
  <c r="D219" i="24"/>
  <c r="D220" i="24"/>
  <c r="D221" i="24"/>
  <c r="D222" i="24"/>
  <c r="D223" i="24"/>
  <c r="D224" i="24"/>
  <c r="D225" i="24"/>
  <c r="D226" i="24"/>
  <c r="D227" i="24"/>
  <c r="D228" i="24"/>
  <c r="D229" i="24"/>
  <c r="D230" i="24"/>
  <c r="D231" i="24"/>
  <c r="D232" i="24"/>
  <c r="D233" i="24"/>
  <c r="D234" i="24"/>
  <c r="D235" i="24"/>
  <c r="D236" i="24"/>
  <c r="D237" i="24"/>
  <c r="D238" i="24"/>
  <c r="D239" i="24"/>
  <c r="D240" i="24"/>
  <c r="D241" i="24"/>
  <c r="D242" i="24"/>
  <c r="D243" i="24"/>
  <c r="D244" i="24"/>
  <c r="D245" i="24"/>
  <c r="D246" i="24"/>
  <c r="D247" i="24"/>
  <c r="D248" i="24"/>
  <c r="D249" i="24"/>
  <c r="D8" i="24"/>
  <c r="W9" i="51"/>
  <c r="W10" i="51"/>
  <c r="W8" i="51"/>
  <c r="V9" i="51"/>
  <c r="V10" i="51"/>
  <c r="V8" i="51"/>
  <c r="U9" i="51"/>
  <c r="U10" i="51"/>
  <c r="U8" i="51"/>
  <c r="T9" i="51"/>
  <c r="T10" i="51"/>
  <c r="T8" i="51"/>
  <c r="S10" i="51"/>
  <c r="S9" i="51"/>
  <c r="S8" i="51"/>
  <c r="H8" i="51"/>
  <c r="I9" i="51"/>
  <c r="I10" i="51"/>
  <c r="I8" i="51"/>
  <c r="O9" i="51"/>
  <c r="O10" i="51"/>
  <c r="O8" i="51"/>
  <c r="P9" i="51"/>
  <c r="P10" i="51"/>
  <c r="P8" i="51"/>
  <c r="Q9" i="51"/>
  <c r="Q10" i="51"/>
  <c r="Q8" i="51"/>
  <c r="R9" i="51"/>
  <c r="R10" i="51"/>
  <c r="R8" i="51"/>
  <c r="H9" i="51"/>
  <c r="H10" i="51"/>
  <c r="G9" i="51"/>
  <c r="G10" i="51"/>
  <c r="G8" i="51"/>
  <c r="F9" i="51"/>
  <c r="F10" i="51"/>
  <c r="F8" i="51"/>
  <c r="D9" i="51"/>
  <c r="D10" i="51"/>
  <c r="D8" i="51"/>
  <c r="W9" i="52"/>
  <c r="W10" i="52"/>
  <c r="W11" i="52"/>
  <c r="W8" i="52"/>
  <c r="V9" i="52"/>
  <c r="V10" i="52"/>
  <c r="V11" i="52"/>
  <c r="V8" i="52"/>
  <c r="U9" i="52"/>
  <c r="U10" i="52"/>
  <c r="U11" i="52"/>
  <c r="U8" i="52"/>
  <c r="T9" i="52"/>
  <c r="T10" i="52"/>
  <c r="T11" i="52"/>
  <c r="S9" i="52"/>
  <c r="S10" i="52"/>
  <c r="S11" i="52"/>
  <c r="S8" i="52"/>
  <c r="T8" i="52"/>
  <c r="R9" i="52"/>
  <c r="R10" i="52"/>
  <c r="R11" i="52"/>
  <c r="R8" i="52"/>
  <c r="Q9" i="52"/>
  <c r="Q10" i="52"/>
  <c r="Q11" i="52"/>
  <c r="Q8" i="52"/>
  <c r="P9" i="52"/>
  <c r="P10" i="52"/>
  <c r="P11" i="52"/>
  <c r="P8" i="52"/>
  <c r="O9" i="52"/>
  <c r="O10" i="52"/>
  <c r="O11" i="52"/>
  <c r="O8" i="52"/>
  <c r="I9" i="52"/>
  <c r="I10" i="52"/>
  <c r="I11" i="52"/>
  <c r="I8" i="52"/>
  <c r="H9" i="52"/>
  <c r="H10" i="52"/>
  <c r="H11" i="52"/>
  <c r="H8" i="52"/>
  <c r="G9" i="52"/>
  <c r="G10" i="52"/>
  <c r="G11" i="52"/>
  <c r="G8" i="52"/>
  <c r="F9" i="52"/>
  <c r="F10" i="52"/>
  <c r="F11" i="52"/>
  <c r="F8" i="52"/>
  <c r="D10" i="52"/>
  <c r="D11" i="52"/>
  <c r="D9" i="52"/>
  <c r="D8" i="52"/>
  <c r="W10" i="47"/>
  <c r="W11" i="47"/>
  <c r="W12" i="47"/>
  <c r="W13" i="47"/>
  <c r="W14" i="47"/>
  <c r="W15" i="47"/>
  <c r="W16" i="47"/>
  <c r="W17" i="47"/>
  <c r="W18" i="47"/>
  <c r="W19" i="47"/>
  <c r="W20" i="47"/>
  <c r="W21" i="47"/>
  <c r="W9" i="47"/>
  <c r="W8" i="47"/>
  <c r="V9" i="47"/>
  <c r="V10" i="47"/>
  <c r="V11" i="47"/>
  <c r="V12" i="47"/>
  <c r="V13" i="47"/>
  <c r="V14" i="47"/>
  <c r="V15" i="47"/>
  <c r="V16" i="47"/>
  <c r="V17" i="47"/>
  <c r="V18" i="47"/>
  <c r="V19" i="47"/>
  <c r="V20" i="47"/>
  <c r="V21" i="47"/>
  <c r="V8" i="47"/>
  <c r="U9" i="47"/>
  <c r="U10" i="47"/>
  <c r="U11" i="47"/>
  <c r="U12" i="47"/>
  <c r="U13" i="47"/>
  <c r="U14" i="47"/>
  <c r="U15" i="47"/>
  <c r="U16" i="47"/>
  <c r="U17" i="47"/>
  <c r="U18" i="47"/>
  <c r="U19" i="47"/>
  <c r="U20" i="47"/>
  <c r="U21" i="47"/>
  <c r="U8" i="47"/>
  <c r="T10" i="47"/>
  <c r="T11" i="47"/>
  <c r="T12" i="47"/>
  <c r="T13" i="47"/>
  <c r="T14" i="47"/>
  <c r="T15" i="47"/>
  <c r="T16" i="47"/>
  <c r="T17" i="47"/>
  <c r="T18" i="47"/>
  <c r="T19" i="47"/>
  <c r="T20" i="47"/>
  <c r="T21" i="47"/>
  <c r="T9" i="47"/>
  <c r="T8" i="47"/>
  <c r="S9" i="47"/>
  <c r="S10" i="47"/>
  <c r="S11" i="47"/>
  <c r="S12" i="47"/>
  <c r="S13" i="47"/>
  <c r="S14" i="47"/>
  <c r="S15" i="47"/>
  <c r="S16" i="47"/>
  <c r="S17" i="47"/>
  <c r="S18" i="47"/>
  <c r="S19" i="47"/>
  <c r="S20" i="47"/>
  <c r="S21" i="47"/>
  <c r="S8" i="47"/>
  <c r="R9" i="47"/>
  <c r="R10" i="47"/>
  <c r="R11" i="47"/>
  <c r="R12" i="47"/>
  <c r="R13" i="47"/>
  <c r="R14" i="47"/>
  <c r="R15" i="47"/>
  <c r="R16" i="47"/>
  <c r="R17" i="47"/>
  <c r="R18" i="47"/>
  <c r="R19" i="47"/>
  <c r="R20" i="47"/>
  <c r="R21" i="47"/>
  <c r="R8" i="47"/>
  <c r="Q9" i="47"/>
  <c r="Q10" i="47"/>
  <c r="Q11" i="47"/>
  <c r="Q12" i="47"/>
  <c r="Q13" i="47"/>
  <c r="Q14" i="47"/>
  <c r="Q15" i="47"/>
  <c r="Q16" i="47"/>
  <c r="Q17" i="47"/>
  <c r="Q18" i="47"/>
  <c r="Q19" i="47"/>
  <c r="Q20" i="47"/>
  <c r="Q21" i="47"/>
  <c r="Q8" i="47"/>
  <c r="P9" i="47"/>
  <c r="P10" i="47"/>
  <c r="P11" i="47"/>
  <c r="P12" i="47"/>
  <c r="P13" i="47"/>
  <c r="P14" i="47"/>
  <c r="P15" i="47"/>
  <c r="P16" i="47"/>
  <c r="P17" i="47"/>
  <c r="P18" i="47"/>
  <c r="P19" i="47"/>
  <c r="P20" i="47"/>
  <c r="P21" i="47"/>
  <c r="P8" i="47"/>
  <c r="O9" i="47"/>
  <c r="O10" i="47"/>
  <c r="O11" i="47"/>
  <c r="O12" i="47"/>
  <c r="O13" i="47"/>
  <c r="O14" i="47"/>
  <c r="O15" i="47"/>
  <c r="O16" i="47"/>
  <c r="O17" i="47"/>
  <c r="O18" i="47"/>
  <c r="O19" i="47"/>
  <c r="O20" i="47"/>
  <c r="O21" i="47"/>
  <c r="O8" i="47"/>
  <c r="I9" i="47"/>
  <c r="I10" i="47"/>
  <c r="I11" i="47"/>
  <c r="I12" i="47"/>
  <c r="I13" i="47"/>
  <c r="I14" i="47"/>
  <c r="I15" i="47"/>
  <c r="I16" i="47"/>
  <c r="I17" i="47"/>
  <c r="I18" i="47"/>
  <c r="I19" i="47"/>
  <c r="I20" i="47"/>
  <c r="I21" i="47"/>
  <c r="I8" i="47"/>
  <c r="H9" i="47"/>
  <c r="H10" i="47"/>
  <c r="H11" i="47"/>
  <c r="H12" i="47"/>
  <c r="H13" i="47"/>
  <c r="H14" i="47"/>
  <c r="H15" i="47"/>
  <c r="H16" i="47"/>
  <c r="H17" i="47"/>
  <c r="H18" i="47"/>
  <c r="H19" i="47"/>
  <c r="H20" i="47"/>
  <c r="H21" i="47"/>
  <c r="H8" i="47"/>
  <c r="G9" i="47"/>
  <c r="G10" i="47"/>
  <c r="G11" i="47"/>
  <c r="G12" i="47"/>
  <c r="M12" i="47" s="1"/>
  <c r="G13" i="47"/>
  <c r="M13" i="47" s="1"/>
  <c r="G14" i="47"/>
  <c r="G15" i="47"/>
  <c r="G16" i="47"/>
  <c r="G17" i="47"/>
  <c r="G18" i="47"/>
  <c r="G19" i="47"/>
  <c r="G20" i="47"/>
  <c r="G21" i="47"/>
  <c r="G8" i="47"/>
  <c r="F9" i="47"/>
  <c r="F10" i="47"/>
  <c r="F11" i="47"/>
  <c r="F12" i="47"/>
  <c r="F13" i="47"/>
  <c r="F14" i="47"/>
  <c r="F15" i="47"/>
  <c r="F16" i="47"/>
  <c r="F17" i="47"/>
  <c r="F18" i="47"/>
  <c r="F19" i="47"/>
  <c r="F20" i="47"/>
  <c r="F21" i="47"/>
  <c r="F8" i="47"/>
  <c r="D8" i="47"/>
  <c r="D10" i="47"/>
  <c r="D11" i="47"/>
  <c r="D12" i="47"/>
  <c r="D13" i="47"/>
  <c r="D14" i="47"/>
  <c r="D15" i="47"/>
  <c r="D16" i="47"/>
  <c r="D17" i="47"/>
  <c r="D18" i="47"/>
  <c r="D19" i="47"/>
  <c r="D20" i="47"/>
  <c r="D21" i="47"/>
  <c r="D9" i="47"/>
  <c r="W9" i="9"/>
  <c r="W10" i="9"/>
  <c r="W12" i="9"/>
  <c r="W13" i="9"/>
  <c r="W14" i="9"/>
  <c r="W15" i="9"/>
  <c r="W16" i="9"/>
  <c r="W17" i="9"/>
  <c r="W18" i="9"/>
  <c r="W19" i="9"/>
  <c r="W20" i="9"/>
  <c r="W21" i="9"/>
  <c r="W22" i="9"/>
  <c r="W23" i="9"/>
  <c r="W27" i="9"/>
  <c r="W28" i="9"/>
  <c r="W36" i="9"/>
  <c r="W37" i="9"/>
  <c r="W38" i="9"/>
  <c r="W39" i="9"/>
  <c r="W40" i="9"/>
  <c r="W41" i="9"/>
  <c r="W42" i="9"/>
  <c r="W43" i="9"/>
  <c r="W44" i="9"/>
  <c r="W45" i="9"/>
  <c r="W46" i="9"/>
  <c r="W47" i="9"/>
  <c r="W48" i="9"/>
  <c r="W49" i="9"/>
  <c r="W50" i="9"/>
  <c r="W51" i="9"/>
  <c r="W52" i="9"/>
  <c r="W53" i="9"/>
  <c r="W54" i="9"/>
  <c r="W55" i="9"/>
  <c r="W56" i="9"/>
  <c r="W57" i="9"/>
  <c r="W58" i="9"/>
  <c r="W59" i="9"/>
  <c r="W60" i="9"/>
  <c r="W61" i="9"/>
  <c r="W62" i="9"/>
  <c r="W63" i="9"/>
  <c r="W65" i="9"/>
  <c r="W66" i="9"/>
  <c r="W67" i="9"/>
  <c r="W68" i="9"/>
  <c r="W69" i="9"/>
  <c r="W70" i="9"/>
  <c r="W71" i="9"/>
  <c r="W72" i="9"/>
  <c r="W89" i="9"/>
  <c r="W90" i="9"/>
  <c r="W91" i="9"/>
  <c r="W92" i="9"/>
  <c r="W93" i="9"/>
  <c r="W94" i="9"/>
  <c r="W95" i="9"/>
  <c r="W96" i="9"/>
  <c r="W97" i="9"/>
  <c r="W98" i="9"/>
  <c r="W99" i="9"/>
  <c r="W100" i="9"/>
  <c r="W101" i="9"/>
  <c r="W102" i="9"/>
  <c r="W103" i="9"/>
  <c r="W104" i="9"/>
  <c r="W105" i="9"/>
  <c r="W106" i="9"/>
  <c r="W107" i="9"/>
  <c r="W108" i="9"/>
  <c r="W109" i="9"/>
  <c r="W110" i="9"/>
  <c r="W111" i="9"/>
  <c r="W112" i="9"/>
  <c r="W113" i="9"/>
  <c r="W114" i="9"/>
  <c r="W116" i="9"/>
  <c r="W117" i="9"/>
  <c r="W118" i="9"/>
  <c r="W120" i="9"/>
  <c r="W121" i="9"/>
  <c r="W122" i="9"/>
  <c r="W123" i="9"/>
  <c r="W124" i="9"/>
  <c r="W125" i="9"/>
  <c r="W126" i="9"/>
  <c r="W128" i="9"/>
  <c r="W129" i="9"/>
  <c r="W130" i="9"/>
  <c r="W132" i="9"/>
  <c r="W133" i="9"/>
  <c r="W134" i="9"/>
  <c r="W135" i="9"/>
  <c r="W136" i="9"/>
  <c r="W137" i="9"/>
  <c r="W138" i="9"/>
  <c r="W139" i="9"/>
  <c r="W140" i="9"/>
  <c r="W141" i="9"/>
  <c r="W142" i="9"/>
  <c r="W143" i="9"/>
  <c r="W144" i="9"/>
  <c r="W145" i="9"/>
  <c r="W146" i="9"/>
  <c r="W148" i="9"/>
  <c r="W149" i="9"/>
  <c r="W150" i="9"/>
  <c r="W151" i="9"/>
  <c r="W152" i="9"/>
  <c r="W154" i="9"/>
  <c r="W155" i="9"/>
  <c r="W156" i="9"/>
  <c r="W157" i="9"/>
  <c r="W158" i="9"/>
  <c r="W159" i="9"/>
  <c r="W160" i="9"/>
  <c r="W161" i="9"/>
  <c r="W162" i="9"/>
  <c r="W163" i="9"/>
  <c r="W164" i="9"/>
  <c r="W165" i="9"/>
  <c r="W166" i="9"/>
  <c r="W167" i="9"/>
  <c r="W168" i="9"/>
  <c r="W169" i="9"/>
  <c r="W170" i="9"/>
  <c r="W171" i="9"/>
  <c r="W172" i="9"/>
  <c r="W173" i="9"/>
  <c r="W174" i="9"/>
  <c r="W176" i="9"/>
  <c r="W178" i="9"/>
  <c r="W179" i="9"/>
  <c r="W180" i="9"/>
  <c r="W181" i="9"/>
  <c r="W182" i="9"/>
  <c r="W183" i="9"/>
  <c r="W184" i="9"/>
  <c r="W185" i="9"/>
  <c r="W186" i="9"/>
  <c r="W187" i="9"/>
  <c r="W188" i="9"/>
  <c r="W189" i="9"/>
  <c r="W190" i="9"/>
  <c r="W191" i="9"/>
  <c r="W192" i="9"/>
  <c r="W193" i="9"/>
  <c r="W194" i="9"/>
  <c r="W195" i="9"/>
  <c r="W201" i="9"/>
  <c r="W202" i="9"/>
  <c r="W203" i="9"/>
  <c r="W204" i="9"/>
  <c r="W205" i="9"/>
  <c r="W206" i="9"/>
  <c r="W207" i="9"/>
  <c r="W208" i="9"/>
  <c r="W209" i="9"/>
  <c r="W210" i="9"/>
  <c r="W211" i="9"/>
  <c r="W212" i="9"/>
  <c r="W213" i="9"/>
  <c r="W214" i="9"/>
  <c r="W216" i="9"/>
  <c r="W217" i="9"/>
  <c r="W218" i="9"/>
  <c r="W219" i="9"/>
  <c r="W221" i="9"/>
  <c r="W222" i="9"/>
  <c r="W223" i="9"/>
  <c r="W224" i="9"/>
  <c r="W225" i="9"/>
  <c r="W226" i="9"/>
  <c r="W227" i="9"/>
  <c r="W228" i="9"/>
  <c r="W229" i="9"/>
  <c r="W230" i="9"/>
  <c r="W231" i="9"/>
  <c r="W232" i="9"/>
  <c r="W233" i="9"/>
  <c r="W234" i="9"/>
  <c r="W235" i="9"/>
  <c r="W240" i="9"/>
  <c r="W241" i="9"/>
  <c r="W242" i="9"/>
  <c r="W243" i="9"/>
  <c r="W244" i="9"/>
  <c r="W245" i="9"/>
  <c r="W246" i="9"/>
  <c r="W247" i="9"/>
  <c r="W248" i="9"/>
  <c r="W249" i="9"/>
  <c r="W250" i="9"/>
  <c r="W251" i="9"/>
  <c r="W252" i="9"/>
  <c r="W253" i="9"/>
  <c r="W264" i="9"/>
  <c r="W265" i="9"/>
  <c r="W266" i="9"/>
  <c r="W267" i="9"/>
  <c r="W268" i="9"/>
  <c r="W269" i="9"/>
  <c r="W288" i="9"/>
  <c r="W289" i="9"/>
  <c r="W290" i="9"/>
  <c r="W291" i="9"/>
  <c r="W292" i="9"/>
  <c r="W293" i="9"/>
  <c r="W294" i="9"/>
  <c r="W295" i="9"/>
  <c r="W296" i="9"/>
  <c r="W297" i="9"/>
  <c r="W298" i="9"/>
  <c r="W299" i="9"/>
  <c r="W300" i="9"/>
  <c r="W301" i="9"/>
  <c r="W302" i="9"/>
  <c r="W303" i="9"/>
  <c r="W304" i="9"/>
  <c r="W305" i="9"/>
  <c r="W306" i="9"/>
  <c r="W307" i="9"/>
  <c r="W308" i="9"/>
  <c r="W309" i="9"/>
  <c r="W310" i="9"/>
  <c r="W311" i="9"/>
  <c r="W312" i="9"/>
  <c r="W313" i="9"/>
  <c r="W314" i="9"/>
  <c r="W315" i="9"/>
  <c r="W316" i="9"/>
  <c r="W317" i="9"/>
  <c r="W318" i="9"/>
  <c r="W319" i="9"/>
  <c r="W320" i="9"/>
  <c r="W321" i="9"/>
  <c r="W328" i="9"/>
  <c r="W329" i="9"/>
  <c r="W330" i="9"/>
  <c r="W331" i="9"/>
  <c r="W332" i="9"/>
  <c r="W333" i="9"/>
  <c r="W334" i="9"/>
  <c r="W336" i="9"/>
  <c r="W337" i="9"/>
  <c r="W338" i="9"/>
  <c r="W339" i="9"/>
  <c r="W340" i="9"/>
  <c r="W341" i="9"/>
  <c r="W342" i="9"/>
  <c r="W343" i="9"/>
  <c r="W344" i="9"/>
  <c r="W345" i="9"/>
  <c r="W346" i="9"/>
  <c r="W347" i="9"/>
  <c r="W348" i="9"/>
  <c r="W349" i="9"/>
  <c r="W350" i="9"/>
  <c r="W351" i="9"/>
  <c r="W352" i="9"/>
  <c r="W353" i="9"/>
  <c r="W354" i="9"/>
  <c r="W355" i="9"/>
  <c r="W356" i="9"/>
  <c r="W357" i="9"/>
  <c r="W358" i="9"/>
  <c r="W359" i="9"/>
  <c r="W360" i="9"/>
  <c r="W361" i="9"/>
  <c r="W362" i="9"/>
  <c r="W363" i="9"/>
  <c r="W364" i="9"/>
  <c r="W365" i="9"/>
  <c r="W366" i="9"/>
  <c r="W368" i="9"/>
  <c r="W369" i="9"/>
  <c r="W370" i="9"/>
  <c r="W371" i="9"/>
  <c r="W372" i="9"/>
  <c r="W373" i="9"/>
  <c r="W374" i="9"/>
  <c r="W375" i="9"/>
  <c r="W376" i="9"/>
  <c r="W377" i="9"/>
  <c r="W378" i="9"/>
  <c r="W379" i="9"/>
  <c r="W380" i="9"/>
  <c r="W381" i="9"/>
  <c r="W382" i="9"/>
  <c r="W383" i="9"/>
  <c r="W384" i="9"/>
  <c r="W385" i="9"/>
  <c r="W386" i="9"/>
  <c r="W387" i="9"/>
  <c r="W388" i="9"/>
  <c r="W389" i="9"/>
  <c r="W390" i="9"/>
  <c r="W391" i="9"/>
  <c r="W392" i="9"/>
  <c r="W393" i="9"/>
  <c r="W394" i="9"/>
  <c r="W396" i="9"/>
  <c r="W397" i="9"/>
  <c r="W398" i="9"/>
  <c r="W399" i="9"/>
  <c r="W401" i="9"/>
  <c r="W402" i="9"/>
  <c r="W403" i="9"/>
  <c r="W404" i="9"/>
  <c r="W405" i="9"/>
  <c r="W406" i="9"/>
  <c r="W407" i="9"/>
  <c r="W408" i="9"/>
  <c r="W409" i="9"/>
  <c r="W410" i="9"/>
  <c r="W411" i="9"/>
  <c r="W412" i="9"/>
  <c r="W413" i="9"/>
  <c r="W414" i="9"/>
  <c r="W415" i="9"/>
  <c r="W416" i="9"/>
  <c r="W418" i="9"/>
  <c r="W419" i="9"/>
  <c r="W420" i="9"/>
  <c r="W421" i="9"/>
  <c r="W422" i="9"/>
  <c r="W423" i="9"/>
  <c r="W424" i="9"/>
  <c r="W8" i="9"/>
  <c r="V9" i="9"/>
  <c r="V10" i="9"/>
  <c r="V12" i="9"/>
  <c r="V13" i="9"/>
  <c r="V14" i="9"/>
  <c r="V15" i="9"/>
  <c r="V16" i="9"/>
  <c r="V17" i="9"/>
  <c r="V18" i="9"/>
  <c r="V19" i="9"/>
  <c r="V20" i="9"/>
  <c r="V21" i="9"/>
  <c r="V22" i="9"/>
  <c r="V23" i="9"/>
  <c r="V27" i="9"/>
  <c r="V28" i="9"/>
  <c r="V36" i="9"/>
  <c r="V37" i="9"/>
  <c r="V38" i="9"/>
  <c r="V39" i="9"/>
  <c r="V40" i="9"/>
  <c r="V41" i="9"/>
  <c r="V42" i="9"/>
  <c r="V43" i="9"/>
  <c r="V44" i="9"/>
  <c r="V45" i="9"/>
  <c r="V46" i="9"/>
  <c r="V47" i="9"/>
  <c r="V48" i="9"/>
  <c r="V49" i="9"/>
  <c r="V50" i="9"/>
  <c r="V51" i="9"/>
  <c r="V52" i="9"/>
  <c r="V53" i="9"/>
  <c r="V54" i="9"/>
  <c r="V55" i="9"/>
  <c r="V56" i="9"/>
  <c r="V57" i="9"/>
  <c r="V58" i="9"/>
  <c r="V59" i="9"/>
  <c r="V60" i="9"/>
  <c r="V61" i="9"/>
  <c r="V62" i="9"/>
  <c r="V63" i="9"/>
  <c r="V65" i="9"/>
  <c r="V66" i="9"/>
  <c r="V67" i="9"/>
  <c r="V68" i="9"/>
  <c r="V69" i="9"/>
  <c r="V70" i="9"/>
  <c r="V71" i="9"/>
  <c r="V72" i="9"/>
  <c r="V89" i="9"/>
  <c r="V90" i="9"/>
  <c r="V91" i="9"/>
  <c r="V92" i="9"/>
  <c r="V93" i="9"/>
  <c r="V94" i="9"/>
  <c r="V95" i="9"/>
  <c r="V96" i="9"/>
  <c r="V97" i="9"/>
  <c r="V98" i="9"/>
  <c r="V99" i="9"/>
  <c r="V100" i="9"/>
  <c r="V101" i="9"/>
  <c r="V102" i="9"/>
  <c r="V103" i="9"/>
  <c r="V104" i="9"/>
  <c r="V105" i="9"/>
  <c r="V106" i="9"/>
  <c r="V107" i="9"/>
  <c r="V108" i="9"/>
  <c r="V109" i="9"/>
  <c r="V110" i="9"/>
  <c r="V111" i="9"/>
  <c r="V112" i="9"/>
  <c r="V113" i="9"/>
  <c r="V114" i="9"/>
  <c r="V116" i="9"/>
  <c r="V117" i="9"/>
  <c r="V118" i="9"/>
  <c r="V120" i="9"/>
  <c r="V121" i="9"/>
  <c r="V122" i="9"/>
  <c r="V123" i="9"/>
  <c r="V124" i="9"/>
  <c r="V125" i="9"/>
  <c r="V126" i="9"/>
  <c r="V128" i="9"/>
  <c r="V129" i="9"/>
  <c r="V130" i="9"/>
  <c r="V132" i="9"/>
  <c r="V133" i="9"/>
  <c r="V134" i="9"/>
  <c r="V135" i="9"/>
  <c r="V136" i="9"/>
  <c r="V137" i="9"/>
  <c r="V138" i="9"/>
  <c r="V139" i="9"/>
  <c r="V140" i="9"/>
  <c r="V141" i="9"/>
  <c r="V142" i="9"/>
  <c r="V143" i="9"/>
  <c r="V144" i="9"/>
  <c r="V145" i="9"/>
  <c r="V146" i="9"/>
  <c r="V148" i="9"/>
  <c r="V149" i="9"/>
  <c r="V150" i="9"/>
  <c r="V151" i="9"/>
  <c r="V152" i="9"/>
  <c r="V154" i="9"/>
  <c r="V155" i="9"/>
  <c r="V156" i="9"/>
  <c r="V157" i="9"/>
  <c r="V158" i="9"/>
  <c r="V159" i="9"/>
  <c r="V160" i="9"/>
  <c r="V161" i="9"/>
  <c r="V162" i="9"/>
  <c r="V163" i="9"/>
  <c r="V164" i="9"/>
  <c r="V165" i="9"/>
  <c r="V166" i="9"/>
  <c r="V167" i="9"/>
  <c r="V168" i="9"/>
  <c r="V169" i="9"/>
  <c r="V170" i="9"/>
  <c r="V171" i="9"/>
  <c r="V172" i="9"/>
  <c r="V173" i="9"/>
  <c r="V174" i="9"/>
  <c r="V176" i="9"/>
  <c r="V178" i="9"/>
  <c r="V179" i="9"/>
  <c r="V180" i="9"/>
  <c r="V181" i="9"/>
  <c r="V182" i="9"/>
  <c r="V183" i="9"/>
  <c r="V184" i="9"/>
  <c r="V185" i="9"/>
  <c r="V186" i="9"/>
  <c r="V187" i="9"/>
  <c r="V188" i="9"/>
  <c r="V189" i="9"/>
  <c r="V190" i="9"/>
  <c r="V191" i="9"/>
  <c r="V192" i="9"/>
  <c r="V193" i="9"/>
  <c r="V194" i="9"/>
  <c r="V195" i="9"/>
  <c r="V201" i="9"/>
  <c r="V202" i="9"/>
  <c r="V203" i="9"/>
  <c r="V204" i="9"/>
  <c r="V205" i="9"/>
  <c r="V206" i="9"/>
  <c r="V207" i="9"/>
  <c r="V208" i="9"/>
  <c r="V209" i="9"/>
  <c r="V210" i="9"/>
  <c r="V211" i="9"/>
  <c r="V212" i="9"/>
  <c r="V213" i="9"/>
  <c r="V214" i="9"/>
  <c r="V216" i="9"/>
  <c r="V217" i="9"/>
  <c r="V218" i="9"/>
  <c r="V219" i="9"/>
  <c r="V221" i="9"/>
  <c r="V222" i="9"/>
  <c r="V223" i="9"/>
  <c r="V224" i="9"/>
  <c r="V225" i="9"/>
  <c r="V226" i="9"/>
  <c r="V227" i="9"/>
  <c r="V228" i="9"/>
  <c r="V229" i="9"/>
  <c r="V230" i="9"/>
  <c r="V231" i="9"/>
  <c r="V232" i="9"/>
  <c r="V233" i="9"/>
  <c r="V234" i="9"/>
  <c r="V235" i="9"/>
  <c r="V240" i="9"/>
  <c r="V241" i="9"/>
  <c r="V242" i="9"/>
  <c r="V243" i="9"/>
  <c r="V244" i="9"/>
  <c r="V245" i="9"/>
  <c r="V246" i="9"/>
  <c r="V247" i="9"/>
  <c r="V248" i="9"/>
  <c r="V249" i="9"/>
  <c r="V250" i="9"/>
  <c r="V251" i="9"/>
  <c r="V252" i="9"/>
  <c r="V253" i="9"/>
  <c r="V264" i="9"/>
  <c r="V265" i="9"/>
  <c r="V266" i="9"/>
  <c r="V267" i="9"/>
  <c r="V268" i="9"/>
  <c r="V269" i="9"/>
  <c r="V288" i="9"/>
  <c r="V289" i="9"/>
  <c r="V290" i="9"/>
  <c r="V291" i="9"/>
  <c r="V292" i="9"/>
  <c r="V293" i="9"/>
  <c r="V294" i="9"/>
  <c r="V295" i="9"/>
  <c r="V296" i="9"/>
  <c r="V297" i="9"/>
  <c r="V298" i="9"/>
  <c r="V299" i="9"/>
  <c r="V300" i="9"/>
  <c r="V301" i="9"/>
  <c r="V302" i="9"/>
  <c r="V303" i="9"/>
  <c r="V304" i="9"/>
  <c r="V305" i="9"/>
  <c r="V306" i="9"/>
  <c r="V307" i="9"/>
  <c r="V308" i="9"/>
  <c r="V309" i="9"/>
  <c r="V310" i="9"/>
  <c r="V311" i="9"/>
  <c r="V312" i="9"/>
  <c r="V313" i="9"/>
  <c r="V314" i="9"/>
  <c r="V315" i="9"/>
  <c r="V316" i="9"/>
  <c r="V317" i="9"/>
  <c r="V318" i="9"/>
  <c r="V319" i="9"/>
  <c r="V320" i="9"/>
  <c r="V321" i="9"/>
  <c r="V328" i="9"/>
  <c r="V329" i="9"/>
  <c r="V330" i="9"/>
  <c r="V331" i="9"/>
  <c r="V332" i="9"/>
  <c r="V333" i="9"/>
  <c r="V334" i="9"/>
  <c r="V336" i="9"/>
  <c r="V337" i="9"/>
  <c r="V338" i="9"/>
  <c r="V339" i="9"/>
  <c r="V340" i="9"/>
  <c r="V341" i="9"/>
  <c r="V342" i="9"/>
  <c r="V343" i="9"/>
  <c r="V344" i="9"/>
  <c r="V345" i="9"/>
  <c r="V346" i="9"/>
  <c r="V347" i="9"/>
  <c r="V348" i="9"/>
  <c r="V349" i="9"/>
  <c r="V350" i="9"/>
  <c r="V351" i="9"/>
  <c r="V352" i="9"/>
  <c r="V353" i="9"/>
  <c r="V354" i="9"/>
  <c r="V355" i="9"/>
  <c r="V356" i="9"/>
  <c r="V357" i="9"/>
  <c r="V358" i="9"/>
  <c r="V359" i="9"/>
  <c r="V360" i="9"/>
  <c r="V361" i="9"/>
  <c r="V362" i="9"/>
  <c r="V363" i="9"/>
  <c r="V364" i="9"/>
  <c r="V365" i="9"/>
  <c r="V366" i="9"/>
  <c r="V368" i="9"/>
  <c r="V369" i="9"/>
  <c r="V370" i="9"/>
  <c r="V371" i="9"/>
  <c r="V372" i="9"/>
  <c r="V373" i="9"/>
  <c r="V374" i="9"/>
  <c r="V375" i="9"/>
  <c r="V376" i="9"/>
  <c r="V377" i="9"/>
  <c r="V378" i="9"/>
  <c r="V379" i="9"/>
  <c r="V380" i="9"/>
  <c r="V381" i="9"/>
  <c r="V382" i="9"/>
  <c r="V383" i="9"/>
  <c r="V384" i="9"/>
  <c r="V385" i="9"/>
  <c r="V386" i="9"/>
  <c r="V387" i="9"/>
  <c r="V388" i="9"/>
  <c r="V389" i="9"/>
  <c r="V390" i="9"/>
  <c r="V391" i="9"/>
  <c r="V392" i="9"/>
  <c r="V393" i="9"/>
  <c r="V394" i="9"/>
  <c r="V396" i="9"/>
  <c r="V397" i="9"/>
  <c r="V398" i="9"/>
  <c r="V399" i="9"/>
  <c r="V401" i="9"/>
  <c r="V402" i="9"/>
  <c r="V403" i="9"/>
  <c r="V404" i="9"/>
  <c r="V405" i="9"/>
  <c r="V406" i="9"/>
  <c r="V407" i="9"/>
  <c r="V408" i="9"/>
  <c r="V409" i="9"/>
  <c r="V410" i="9"/>
  <c r="V411" i="9"/>
  <c r="V412" i="9"/>
  <c r="V413" i="9"/>
  <c r="V414" i="9"/>
  <c r="V415" i="9"/>
  <c r="V416" i="9"/>
  <c r="V418" i="9"/>
  <c r="V419" i="9"/>
  <c r="V420" i="9"/>
  <c r="V421" i="9"/>
  <c r="V422" i="9"/>
  <c r="V423" i="9"/>
  <c r="V424" i="9"/>
  <c r="V8" i="9"/>
  <c r="U9" i="9"/>
  <c r="U10" i="9"/>
  <c r="U12" i="9"/>
  <c r="U13" i="9"/>
  <c r="U14" i="9"/>
  <c r="U15" i="9"/>
  <c r="U16" i="9"/>
  <c r="U17" i="9"/>
  <c r="U18" i="9"/>
  <c r="U19" i="9"/>
  <c r="U20" i="9"/>
  <c r="U21" i="9"/>
  <c r="U22" i="9"/>
  <c r="U23" i="9"/>
  <c r="U27" i="9"/>
  <c r="U28" i="9"/>
  <c r="U36" i="9"/>
  <c r="U37" i="9"/>
  <c r="U38" i="9"/>
  <c r="U39" i="9"/>
  <c r="U40" i="9"/>
  <c r="U41" i="9"/>
  <c r="U42" i="9"/>
  <c r="U43" i="9"/>
  <c r="U44" i="9"/>
  <c r="U45" i="9"/>
  <c r="U46" i="9"/>
  <c r="U47" i="9"/>
  <c r="U48" i="9"/>
  <c r="U49" i="9"/>
  <c r="U50" i="9"/>
  <c r="U51" i="9"/>
  <c r="U52" i="9"/>
  <c r="U53" i="9"/>
  <c r="U54" i="9"/>
  <c r="U55" i="9"/>
  <c r="U56" i="9"/>
  <c r="U57" i="9"/>
  <c r="U58" i="9"/>
  <c r="U59" i="9"/>
  <c r="U60" i="9"/>
  <c r="U61" i="9"/>
  <c r="U62" i="9"/>
  <c r="U63" i="9"/>
  <c r="U65" i="9"/>
  <c r="U66" i="9"/>
  <c r="U67" i="9"/>
  <c r="U68" i="9"/>
  <c r="U69" i="9"/>
  <c r="U70" i="9"/>
  <c r="U71" i="9"/>
  <c r="U72" i="9"/>
  <c r="U89" i="9"/>
  <c r="U90" i="9"/>
  <c r="U91" i="9"/>
  <c r="U92" i="9"/>
  <c r="U93" i="9"/>
  <c r="U94" i="9"/>
  <c r="U95" i="9"/>
  <c r="U96" i="9"/>
  <c r="U97" i="9"/>
  <c r="U98" i="9"/>
  <c r="U99" i="9"/>
  <c r="U100" i="9"/>
  <c r="U101" i="9"/>
  <c r="U102" i="9"/>
  <c r="U103" i="9"/>
  <c r="U104" i="9"/>
  <c r="U105" i="9"/>
  <c r="U106" i="9"/>
  <c r="U107" i="9"/>
  <c r="U108" i="9"/>
  <c r="U109" i="9"/>
  <c r="U110" i="9"/>
  <c r="U111" i="9"/>
  <c r="U112" i="9"/>
  <c r="U113" i="9"/>
  <c r="U114" i="9"/>
  <c r="U116" i="9"/>
  <c r="U117" i="9"/>
  <c r="U118" i="9"/>
  <c r="U120" i="9"/>
  <c r="U121" i="9"/>
  <c r="U122" i="9"/>
  <c r="U123" i="9"/>
  <c r="U124" i="9"/>
  <c r="U125" i="9"/>
  <c r="U126" i="9"/>
  <c r="U128" i="9"/>
  <c r="U129" i="9"/>
  <c r="U130" i="9"/>
  <c r="U132" i="9"/>
  <c r="U133" i="9"/>
  <c r="U134" i="9"/>
  <c r="U135" i="9"/>
  <c r="U136" i="9"/>
  <c r="U137" i="9"/>
  <c r="U138" i="9"/>
  <c r="U139" i="9"/>
  <c r="U140" i="9"/>
  <c r="U141" i="9"/>
  <c r="U142" i="9"/>
  <c r="U143" i="9"/>
  <c r="U144" i="9"/>
  <c r="U145" i="9"/>
  <c r="U146" i="9"/>
  <c r="U148" i="9"/>
  <c r="U149" i="9"/>
  <c r="U150" i="9"/>
  <c r="U151" i="9"/>
  <c r="U152" i="9"/>
  <c r="U154" i="9"/>
  <c r="U155" i="9"/>
  <c r="U156" i="9"/>
  <c r="U157" i="9"/>
  <c r="U158" i="9"/>
  <c r="U159" i="9"/>
  <c r="U160" i="9"/>
  <c r="U161" i="9"/>
  <c r="U162" i="9"/>
  <c r="U163" i="9"/>
  <c r="U164" i="9"/>
  <c r="U165" i="9"/>
  <c r="U166" i="9"/>
  <c r="U167" i="9"/>
  <c r="U168" i="9"/>
  <c r="U169" i="9"/>
  <c r="U170" i="9"/>
  <c r="U171" i="9"/>
  <c r="U172" i="9"/>
  <c r="U173" i="9"/>
  <c r="U174" i="9"/>
  <c r="U176" i="9"/>
  <c r="U178" i="9"/>
  <c r="U179" i="9"/>
  <c r="U180" i="9"/>
  <c r="U181" i="9"/>
  <c r="U182" i="9"/>
  <c r="U183" i="9"/>
  <c r="U184" i="9"/>
  <c r="U185" i="9"/>
  <c r="U186" i="9"/>
  <c r="U187" i="9"/>
  <c r="U188" i="9"/>
  <c r="U189" i="9"/>
  <c r="U190" i="9"/>
  <c r="U191" i="9"/>
  <c r="U192" i="9"/>
  <c r="U193" i="9"/>
  <c r="U194" i="9"/>
  <c r="U195" i="9"/>
  <c r="U201" i="9"/>
  <c r="U202" i="9"/>
  <c r="U203" i="9"/>
  <c r="U204" i="9"/>
  <c r="U205" i="9"/>
  <c r="U206" i="9"/>
  <c r="U207" i="9"/>
  <c r="U208" i="9"/>
  <c r="U209" i="9"/>
  <c r="U210" i="9"/>
  <c r="U211" i="9"/>
  <c r="U212" i="9"/>
  <c r="U213" i="9"/>
  <c r="U214" i="9"/>
  <c r="U216" i="9"/>
  <c r="U217" i="9"/>
  <c r="U218" i="9"/>
  <c r="U219" i="9"/>
  <c r="U221" i="9"/>
  <c r="U222" i="9"/>
  <c r="U223" i="9"/>
  <c r="U224" i="9"/>
  <c r="U225" i="9"/>
  <c r="U226" i="9"/>
  <c r="U227" i="9"/>
  <c r="U228" i="9"/>
  <c r="U229" i="9"/>
  <c r="U230" i="9"/>
  <c r="U231" i="9"/>
  <c r="U232" i="9"/>
  <c r="U233" i="9"/>
  <c r="U234" i="9"/>
  <c r="U235" i="9"/>
  <c r="U240" i="9"/>
  <c r="U241" i="9"/>
  <c r="U242" i="9"/>
  <c r="U243" i="9"/>
  <c r="U244" i="9"/>
  <c r="U245" i="9"/>
  <c r="U246" i="9"/>
  <c r="U247" i="9"/>
  <c r="U248" i="9"/>
  <c r="U249" i="9"/>
  <c r="U250" i="9"/>
  <c r="U251" i="9"/>
  <c r="U252" i="9"/>
  <c r="U253" i="9"/>
  <c r="U264" i="9"/>
  <c r="U265" i="9"/>
  <c r="U266" i="9"/>
  <c r="U267" i="9"/>
  <c r="U268" i="9"/>
  <c r="U269" i="9"/>
  <c r="U288" i="9"/>
  <c r="U289" i="9"/>
  <c r="U290" i="9"/>
  <c r="U291" i="9"/>
  <c r="U292" i="9"/>
  <c r="U293" i="9"/>
  <c r="U294" i="9"/>
  <c r="U295" i="9"/>
  <c r="U296" i="9"/>
  <c r="U297" i="9"/>
  <c r="U298" i="9"/>
  <c r="U299" i="9"/>
  <c r="U300" i="9"/>
  <c r="U301" i="9"/>
  <c r="U302" i="9"/>
  <c r="U303" i="9"/>
  <c r="U304" i="9"/>
  <c r="U305" i="9"/>
  <c r="U306" i="9"/>
  <c r="U307" i="9"/>
  <c r="U308" i="9"/>
  <c r="U309" i="9"/>
  <c r="U310" i="9"/>
  <c r="U311" i="9"/>
  <c r="U312" i="9"/>
  <c r="U313" i="9"/>
  <c r="U314" i="9"/>
  <c r="U315" i="9"/>
  <c r="U316" i="9"/>
  <c r="U317" i="9"/>
  <c r="U318" i="9"/>
  <c r="U319" i="9"/>
  <c r="U320" i="9"/>
  <c r="U321" i="9"/>
  <c r="U328" i="9"/>
  <c r="U329" i="9"/>
  <c r="U330" i="9"/>
  <c r="U331" i="9"/>
  <c r="U332" i="9"/>
  <c r="U333" i="9"/>
  <c r="U334" i="9"/>
  <c r="U336" i="9"/>
  <c r="U337" i="9"/>
  <c r="U338" i="9"/>
  <c r="U339" i="9"/>
  <c r="U340" i="9"/>
  <c r="U341" i="9"/>
  <c r="U342" i="9"/>
  <c r="U343" i="9"/>
  <c r="U344" i="9"/>
  <c r="U345" i="9"/>
  <c r="U346" i="9"/>
  <c r="U347" i="9"/>
  <c r="U348" i="9"/>
  <c r="U349" i="9"/>
  <c r="U350" i="9"/>
  <c r="U351" i="9"/>
  <c r="U352" i="9"/>
  <c r="U353" i="9"/>
  <c r="U354" i="9"/>
  <c r="U355" i="9"/>
  <c r="U356" i="9"/>
  <c r="U357" i="9"/>
  <c r="U358" i="9"/>
  <c r="U359" i="9"/>
  <c r="U360" i="9"/>
  <c r="U361" i="9"/>
  <c r="U362" i="9"/>
  <c r="U363" i="9"/>
  <c r="U364" i="9"/>
  <c r="U365" i="9"/>
  <c r="U366" i="9"/>
  <c r="U368" i="9"/>
  <c r="U369" i="9"/>
  <c r="U370" i="9"/>
  <c r="U371" i="9"/>
  <c r="U372" i="9"/>
  <c r="U373" i="9"/>
  <c r="U374" i="9"/>
  <c r="U375" i="9"/>
  <c r="U376" i="9"/>
  <c r="U377" i="9"/>
  <c r="U378" i="9"/>
  <c r="U379" i="9"/>
  <c r="U380" i="9"/>
  <c r="U381" i="9"/>
  <c r="U382" i="9"/>
  <c r="U383" i="9"/>
  <c r="U384" i="9"/>
  <c r="U385" i="9"/>
  <c r="U386" i="9"/>
  <c r="U387" i="9"/>
  <c r="U388" i="9"/>
  <c r="U389" i="9"/>
  <c r="U390" i="9"/>
  <c r="U391" i="9"/>
  <c r="U392" i="9"/>
  <c r="U393" i="9"/>
  <c r="U394" i="9"/>
  <c r="U396" i="9"/>
  <c r="U397" i="9"/>
  <c r="U398" i="9"/>
  <c r="U399" i="9"/>
  <c r="U401" i="9"/>
  <c r="U402" i="9"/>
  <c r="U403" i="9"/>
  <c r="U404" i="9"/>
  <c r="U405" i="9"/>
  <c r="U406" i="9"/>
  <c r="U407" i="9"/>
  <c r="U408" i="9"/>
  <c r="U409" i="9"/>
  <c r="U410" i="9"/>
  <c r="U411" i="9"/>
  <c r="U412" i="9"/>
  <c r="U413" i="9"/>
  <c r="U414" i="9"/>
  <c r="U415" i="9"/>
  <c r="U416" i="9"/>
  <c r="U418" i="9"/>
  <c r="U419" i="9"/>
  <c r="U420" i="9"/>
  <c r="U421" i="9"/>
  <c r="U422" i="9"/>
  <c r="U423" i="9"/>
  <c r="U424" i="9"/>
  <c r="U8" i="9"/>
  <c r="T9" i="9"/>
  <c r="T10" i="9"/>
  <c r="T12" i="9"/>
  <c r="T13" i="9"/>
  <c r="T14" i="9"/>
  <c r="T15" i="9"/>
  <c r="T16" i="9"/>
  <c r="T17" i="9"/>
  <c r="T18" i="9"/>
  <c r="T19" i="9"/>
  <c r="T20" i="9"/>
  <c r="T21" i="9"/>
  <c r="T22" i="9"/>
  <c r="T23" i="9"/>
  <c r="T27" i="9"/>
  <c r="T28" i="9"/>
  <c r="T36" i="9"/>
  <c r="T37" i="9"/>
  <c r="T38" i="9"/>
  <c r="T39" i="9"/>
  <c r="T40" i="9"/>
  <c r="T41" i="9"/>
  <c r="T42" i="9"/>
  <c r="T43" i="9"/>
  <c r="T44" i="9"/>
  <c r="T45" i="9"/>
  <c r="T46" i="9"/>
  <c r="T47" i="9"/>
  <c r="T48" i="9"/>
  <c r="T49" i="9"/>
  <c r="T50" i="9"/>
  <c r="T51" i="9"/>
  <c r="T52" i="9"/>
  <c r="T53" i="9"/>
  <c r="T54" i="9"/>
  <c r="T55" i="9"/>
  <c r="T56" i="9"/>
  <c r="T57" i="9"/>
  <c r="T58" i="9"/>
  <c r="T59" i="9"/>
  <c r="T60" i="9"/>
  <c r="T61" i="9"/>
  <c r="T62" i="9"/>
  <c r="T63" i="9"/>
  <c r="T65" i="9"/>
  <c r="T66" i="9"/>
  <c r="T67" i="9"/>
  <c r="T68" i="9"/>
  <c r="T69" i="9"/>
  <c r="T70" i="9"/>
  <c r="T71" i="9"/>
  <c r="T72" i="9"/>
  <c r="T89" i="9"/>
  <c r="T90" i="9"/>
  <c r="T91" i="9"/>
  <c r="T92" i="9"/>
  <c r="T93" i="9"/>
  <c r="T94" i="9"/>
  <c r="T95" i="9"/>
  <c r="T96" i="9"/>
  <c r="T97" i="9"/>
  <c r="T98" i="9"/>
  <c r="T99" i="9"/>
  <c r="T100" i="9"/>
  <c r="T101" i="9"/>
  <c r="T102" i="9"/>
  <c r="T103" i="9"/>
  <c r="T104" i="9"/>
  <c r="T105" i="9"/>
  <c r="T106" i="9"/>
  <c r="T107" i="9"/>
  <c r="T108" i="9"/>
  <c r="T109" i="9"/>
  <c r="T110" i="9"/>
  <c r="T111" i="9"/>
  <c r="T112" i="9"/>
  <c r="T113" i="9"/>
  <c r="T114" i="9"/>
  <c r="T116" i="9"/>
  <c r="T117" i="9"/>
  <c r="T118" i="9"/>
  <c r="T120" i="9"/>
  <c r="T121" i="9"/>
  <c r="T122" i="9"/>
  <c r="T123" i="9"/>
  <c r="T124" i="9"/>
  <c r="T125" i="9"/>
  <c r="T126" i="9"/>
  <c r="T128" i="9"/>
  <c r="T129" i="9"/>
  <c r="T130" i="9"/>
  <c r="T132" i="9"/>
  <c r="T133" i="9"/>
  <c r="T134" i="9"/>
  <c r="T135" i="9"/>
  <c r="T136" i="9"/>
  <c r="T137" i="9"/>
  <c r="T138" i="9"/>
  <c r="T139" i="9"/>
  <c r="T140" i="9"/>
  <c r="T141" i="9"/>
  <c r="T142" i="9"/>
  <c r="T143" i="9"/>
  <c r="T144" i="9"/>
  <c r="T145" i="9"/>
  <c r="T146" i="9"/>
  <c r="T148" i="9"/>
  <c r="T149" i="9"/>
  <c r="T150" i="9"/>
  <c r="T151" i="9"/>
  <c r="T152" i="9"/>
  <c r="T154" i="9"/>
  <c r="T155" i="9"/>
  <c r="T156" i="9"/>
  <c r="T157" i="9"/>
  <c r="T158" i="9"/>
  <c r="T159" i="9"/>
  <c r="T160" i="9"/>
  <c r="T161" i="9"/>
  <c r="T162" i="9"/>
  <c r="T163" i="9"/>
  <c r="T164" i="9"/>
  <c r="T165" i="9"/>
  <c r="T166" i="9"/>
  <c r="T167" i="9"/>
  <c r="T168" i="9"/>
  <c r="T169" i="9"/>
  <c r="T170" i="9"/>
  <c r="T171" i="9"/>
  <c r="T172" i="9"/>
  <c r="T173" i="9"/>
  <c r="T174" i="9"/>
  <c r="T176" i="9"/>
  <c r="T178" i="9"/>
  <c r="T179" i="9"/>
  <c r="T180" i="9"/>
  <c r="T181" i="9"/>
  <c r="T182" i="9"/>
  <c r="T183" i="9"/>
  <c r="T184" i="9"/>
  <c r="T185" i="9"/>
  <c r="T186" i="9"/>
  <c r="T187" i="9"/>
  <c r="T188" i="9"/>
  <c r="T189" i="9"/>
  <c r="T190" i="9"/>
  <c r="T191" i="9"/>
  <c r="T192" i="9"/>
  <c r="T193" i="9"/>
  <c r="T194" i="9"/>
  <c r="T195" i="9"/>
  <c r="T201" i="9"/>
  <c r="T202" i="9"/>
  <c r="T203" i="9"/>
  <c r="T204" i="9"/>
  <c r="T205" i="9"/>
  <c r="T206" i="9"/>
  <c r="T207" i="9"/>
  <c r="T208" i="9"/>
  <c r="T209" i="9"/>
  <c r="T210" i="9"/>
  <c r="T211" i="9"/>
  <c r="T212" i="9"/>
  <c r="T213" i="9"/>
  <c r="T214" i="9"/>
  <c r="T216" i="9"/>
  <c r="T217" i="9"/>
  <c r="T218" i="9"/>
  <c r="T219" i="9"/>
  <c r="T221" i="9"/>
  <c r="T222" i="9"/>
  <c r="T223" i="9"/>
  <c r="T224" i="9"/>
  <c r="T225" i="9"/>
  <c r="T226" i="9"/>
  <c r="T227" i="9"/>
  <c r="T228" i="9"/>
  <c r="T229" i="9"/>
  <c r="T230" i="9"/>
  <c r="T231" i="9"/>
  <c r="T232" i="9"/>
  <c r="T233" i="9"/>
  <c r="T234" i="9"/>
  <c r="T235" i="9"/>
  <c r="T240" i="9"/>
  <c r="T241" i="9"/>
  <c r="T242" i="9"/>
  <c r="T243" i="9"/>
  <c r="T244" i="9"/>
  <c r="T245" i="9"/>
  <c r="T246" i="9"/>
  <c r="T247" i="9"/>
  <c r="T248" i="9"/>
  <c r="T249" i="9"/>
  <c r="T250" i="9"/>
  <c r="T251" i="9"/>
  <c r="T252" i="9"/>
  <c r="T253" i="9"/>
  <c r="T264" i="9"/>
  <c r="T265" i="9"/>
  <c r="T266" i="9"/>
  <c r="T267" i="9"/>
  <c r="T268" i="9"/>
  <c r="T269" i="9"/>
  <c r="T288" i="9"/>
  <c r="T289" i="9"/>
  <c r="T290" i="9"/>
  <c r="T291" i="9"/>
  <c r="T292" i="9"/>
  <c r="T293" i="9"/>
  <c r="T294" i="9"/>
  <c r="T295" i="9"/>
  <c r="T296" i="9"/>
  <c r="T297" i="9"/>
  <c r="T298" i="9"/>
  <c r="T299" i="9"/>
  <c r="T300" i="9"/>
  <c r="T301" i="9"/>
  <c r="T302" i="9"/>
  <c r="T303" i="9"/>
  <c r="T304" i="9"/>
  <c r="T305" i="9"/>
  <c r="T306" i="9"/>
  <c r="T307" i="9"/>
  <c r="T308" i="9"/>
  <c r="T309" i="9"/>
  <c r="T310" i="9"/>
  <c r="T311" i="9"/>
  <c r="T312" i="9"/>
  <c r="T313" i="9"/>
  <c r="T314" i="9"/>
  <c r="T315" i="9"/>
  <c r="T316" i="9"/>
  <c r="T317" i="9"/>
  <c r="T318" i="9"/>
  <c r="T319" i="9"/>
  <c r="T320" i="9"/>
  <c r="T321" i="9"/>
  <c r="T328" i="9"/>
  <c r="T329" i="9"/>
  <c r="T330" i="9"/>
  <c r="T331" i="9"/>
  <c r="T332" i="9"/>
  <c r="T333" i="9"/>
  <c r="T334" i="9"/>
  <c r="T336" i="9"/>
  <c r="T337" i="9"/>
  <c r="T338" i="9"/>
  <c r="T339" i="9"/>
  <c r="T340" i="9"/>
  <c r="T341" i="9"/>
  <c r="T342" i="9"/>
  <c r="T343" i="9"/>
  <c r="T344" i="9"/>
  <c r="T345" i="9"/>
  <c r="T346" i="9"/>
  <c r="T347" i="9"/>
  <c r="T348" i="9"/>
  <c r="T349" i="9"/>
  <c r="T350" i="9"/>
  <c r="T351" i="9"/>
  <c r="T352" i="9"/>
  <c r="T353" i="9"/>
  <c r="T354" i="9"/>
  <c r="T355" i="9"/>
  <c r="T356" i="9"/>
  <c r="T357" i="9"/>
  <c r="T358" i="9"/>
  <c r="T359" i="9"/>
  <c r="T360" i="9"/>
  <c r="T361" i="9"/>
  <c r="T362" i="9"/>
  <c r="T363" i="9"/>
  <c r="T364" i="9"/>
  <c r="T365" i="9"/>
  <c r="T366" i="9"/>
  <c r="T368" i="9"/>
  <c r="T369" i="9"/>
  <c r="T370" i="9"/>
  <c r="T371" i="9"/>
  <c r="T372" i="9"/>
  <c r="T373" i="9"/>
  <c r="T374" i="9"/>
  <c r="T375" i="9"/>
  <c r="T376" i="9"/>
  <c r="T377" i="9"/>
  <c r="T378" i="9"/>
  <c r="T379" i="9"/>
  <c r="T380" i="9"/>
  <c r="T381" i="9"/>
  <c r="T382" i="9"/>
  <c r="T383" i="9"/>
  <c r="T384" i="9"/>
  <c r="T385" i="9"/>
  <c r="T386" i="9"/>
  <c r="T387" i="9"/>
  <c r="T388" i="9"/>
  <c r="T389" i="9"/>
  <c r="T390" i="9"/>
  <c r="T391" i="9"/>
  <c r="T392" i="9"/>
  <c r="T393" i="9"/>
  <c r="T394" i="9"/>
  <c r="T396" i="9"/>
  <c r="T397" i="9"/>
  <c r="T398" i="9"/>
  <c r="T399" i="9"/>
  <c r="T401" i="9"/>
  <c r="T402" i="9"/>
  <c r="T403" i="9"/>
  <c r="T404" i="9"/>
  <c r="T405" i="9"/>
  <c r="T406" i="9"/>
  <c r="T407" i="9"/>
  <c r="T408" i="9"/>
  <c r="T409" i="9"/>
  <c r="T410" i="9"/>
  <c r="T411" i="9"/>
  <c r="T412" i="9"/>
  <c r="T413" i="9"/>
  <c r="T414" i="9"/>
  <c r="T415" i="9"/>
  <c r="T416" i="9"/>
  <c r="T418" i="9"/>
  <c r="T419" i="9"/>
  <c r="T420" i="9"/>
  <c r="T421" i="9"/>
  <c r="T422" i="9"/>
  <c r="T423" i="9"/>
  <c r="T424" i="9"/>
  <c r="T8" i="9"/>
  <c r="S10" i="9"/>
  <c r="S12" i="9"/>
  <c r="S13" i="9"/>
  <c r="S14" i="9"/>
  <c r="S15" i="9"/>
  <c r="S16" i="9"/>
  <c r="S17" i="9"/>
  <c r="S18" i="9"/>
  <c r="S19" i="9"/>
  <c r="S20" i="9"/>
  <c r="S21" i="9"/>
  <c r="S22" i="9"/>
  <c r="S23" i="9"/>
  <c r="S27" i="9"/>
  <c r="S28" i="9"/>
  <c r="S36" i="9"/>
  <c r="S37" i="9"/>
  <c r="S38" i="9"/>
  <c r="S39" i="9"/>
  <c r="S40" i="9"/>
  <c r="S41" i="9"/>
  <c r="S42" i="9"/>
  <c r="S43" i="9"/>
  <c r="S44" i="9"/>
  <c r="S45" i="9"/>
  <c r="S46" i="9"/>
  <c r="S47" i="9"/>
  <c r="S48" i="9"/>
  <c r="S49" i="9"/>
  <c r="S50" i="9"/>
  <c r="S51" i="9"/>
  <c r="S52" i="9"/>
  <c r="S53" i="9"/>
  <c r="S54" i="9"/>
  <c r="S55" i="9"/>
  <c r="S56" i="9"/>
  <c r="S57" i="9"/>
  <c r="S58" i="9"/>
  <c r="S59" i="9"/>
  <c r="S60" i="9"/>
  <c r="S61" i="9"/>
  <c r="S62" i="9"/>
  <c r="S63" i="9"/>
  <c r="S65" i="9"/>
  <c r="S66" i="9"/>
  <c r="S67" i="9"/>
  <c r="S68" i="9"/>
  <c r="S69" i="9"/>
  <c r="S70" i="9"/>
  <c r="S71" i="9"/>
  <c r="S72" i="9"/>
  <c r="S89" i="9"/>
  <c r="S90" i="9"/>
  <c r="S91" i="9"/>
  <c r="S92" i="9"/>
  <c r="S93" i="9"/>
  <c r="S94" i="9"/>
  <c r="S95" i="9"/>
  <c r="S96" i="9"/>
  <c r="S97" i="9"/>
  <c r="S98" i="9"/>
  <c r="S99" i="9"/>
  <c r="S100" i="9"/>
  <c r="S101" i="9"/>
  <c r="S102" i="9"/>
  <c r="S103" i="9"/>
  <c r="S104" i="9"/>
  <c r="S105" i="9"/>
  <c r="S106" i="9"/>
  <c r="S107" i="9"/>
  <c r="S108" i="9"/>
  <c r="S109" i="9"/>
  <c r="S110" i="9"/>
  <c r="S111" i="9"/>
  <c r="S112" i="9"/>
  <c r="S113" i="9"/>
  <c r="S114" i="9"/>
  <c r="S116" i="9"/>
  <c r="S117" i="9"/>
  <c r="S118" i="9"/>
  <c r="S120" i="9"/>
  <c r="S121" i="9"/>
  <c r="S122" i="9"/>
  <c r="S123" i="9"/>
  <c r="S124" i="9"/>
  <c r="S125" i="9"/>
  <c r="S126" i="9"/>
  <c r="S128" i="9"/>
  <c r="S129" i="9"/>
  <c r="S130" i="9"/>
  <c r="S132" i="9"/>
  <c r="S133" i="9"/>
  <c r="S134" i="9"/>
  <c r="S135" i="9"/>
  <c r="S136" i="9"/>
  <c r="S137" i="9"/>
  <c r="S138" i="9"/>
  <c r="S139" i="9"/>
  <c r="S140" i="9"/>
  <c r="S141" i="9"/>
  <c r="S142" i="9"/>
  <c r="S143" i="9"/>
  <c r="S144" i="9"/>
  <c r="S145" i="9"/>
  <c r="S146" i="9"/>
  <c r="S148" i="9"/>
  <c r="S149" i="9"/>
  <c r="S150" i="9"/>
  <c r="S151" i="9"/>
  <c r="S152" i="9"/>
  <c r="S154" i="9"/>
  <c r="S155" i="9"/>
  <c r="S156" i="9"/>
  <c r="S157" i="9"/>
  <c r="S158" i="9"/>
  <c r="S159" i="9"/>
  <c r="S160" i="9"/>
  <c r="S161" i="9"/>
  <c r="S162" i="9"/>
  <c r="S163" i="9"/>
  <c r="S164" i="9"/>
  <c r="S165" i="9"/>
  <c r="S166" i="9"/>
  <c r="S167" i="9"/>
  <c r="S168" i="9"/>
  <c r="S169" i="9"/>
  <c r="S170" i="9"/>
  <c r="S171" i="9"/>
  <c r="S172" i="9"/>
  <c r="S173" i="9"/>
  <c r="S174" i="9"/>
  <c r="S176" i="9"/>
  <c r="S178" i="9"/>
  <c r="S179" i="9"/>
  <c r="S180" i="9"/>
  <c r="S181" i="9"/>
  <c r="S182" i="9"/>
  <c r="S183" i="9"/>
  <c r="S184" i="9"/>
  <c r="S185" i="9"/>
  <c r="S186" i="9"/>
  <c r="S187" i="9"/>
  <c r="S188" i="9"/>
  <c r="S189" i="9"/>
  <c r="S190" i="9"/>
  <c r="S191" i="9"/>
  <c r="S192" i="9"/>
  <c r="S193" i="9"/>
  <c r="S194" i="9"/>
  <c r="S195" i="9"/>
  <c r="S201" i="9"/>
  <c r="S202" i="9"/>
  <c r="S203" i="9"/>
  <c r="S204" i="9"/>
  <c r="S205" i="9"/>
  <c r="S206" i="9"/>
  <c r="S207" i="9"/>
  <c r="S208" i="9"/>
  <c r="S209" i="9"/>
  <c r="S210" i="9"/>
  <c r="S211" i="9"/>
  <c r="S212" i="9"/>
  <c r="S213" i="9"/>
  <c r="S214" i="9"/>
  <c r="S216" i="9"/>
  <c r="S217" i="9"/>
  <c r="S218" i="9"/>
  <c r="S219" i="9"/>
  <c r="S221" i="9"/>
  <c r="S222" i="9"/>
  <c r="S223" i="9"/>
  <c r="S224" i="9"/>
  <c r="S225" i="9"/>
  <c r="S226" i="9"/>
  <c r="S227" i="9"/>
  <c r="S228" i="9"/>
  <c r="S229" i="9"/>
  <c r="S230" i="9"/>
  <c r="S231" i="9"/>
  <c r="S232" i="9"/>
  <c r="S233" i="9"/>
  <c r="S234" i="9"/>
  <c r="S235" i="9"/>
  <c r="S240" i="9"/>
  <c r="S241" i="9"/>
  <c r="S242" i="9"/>
  <c r="S243" i="9"/>
  <c r="S244" i="9"/>
  <c r="S245" i="9"/>
  <c r="S246" i="9"/>
  <c r="S247" i="9"/>
  <c r="S248" i="9"/>
  <c r="S249" i="9"/>
  <c r="S250" i="9"/>
  <c r="S251" i="9"/>
  <c r="S252" i="9"/>
  <c r="S253" i="9"/>
  <c r="S264" i="9"/>
  <c r="S265" i="9"/>
  <c r="S266" i="9"/>
  <c r="S267" i="9"/>
  <c r="S268" i="9"/>
  <c r="S269" i="9"/>
  <c r="S288" i="9"/>
  <c r="S289" i="9"/>
  <c r="S290" i="9"/>
  <c r="S291" i="9"/>
  <c r="S292" i="9"/>
  <c r="S293" i="9"/>
  <c r="S294" i="9"/>
  <c r="S295" i="9"/>
  <c r="S296" i="9"/>
  <c r="S297" i="9"/>
  <c r="S298" i="9"/>
  <c r="S299" i="9"/>
  <c r="S300" i="9"/>
  <c r="S301" i="9"/>
  <c r="S302" i="9"/>
  <c r="S303" i="9"/>
  <c r="S304" i="9"/>
  <c r="S305" i="9"/>
  <c r="S306" i="9"/>
  <c r="S307" i="9"/>
  <c r="S308" i="9"/>
  <c r="S309" i="9"/>
  <c r="S310" i="9"/>
  <c r="S311" i="9"/>
  <c r="S312" i="9"/>
  <c r="S313" i="9"/>
  <c r="S314" i="9"/>
  <c r="S315" i="9"/>
  <c r="S316" i="9"/>
  <c r="S317" i="9"/>
  <c r="S318" i="9"/>
  <c r="S319" i="9"/>
  <c r="S320" i="9"/>
  <c r="S321" i="9"/>
  <c r="S328" i="9"/>
  <c r="S329" i="9"/>
  <c r="S330" i="9"/>
  <c r="S331" i="9"/>
  <c r="S332" i="9"/>
  <c r="S333" i="9"/>
  <c r="S334" i="9"/>
  <c r="S336" i="9"/>
  <c r="S337" i="9"/>
  <c r="S338" i="9"/>
  <c r="S339" i="9"/>
  <c r="S340" i="9"/>
  <c r="S341" i="9"/>
  <c r="S342" i="9"/>
  <c r="S343" i="9"/>
  <c r="S344" i="9"/>
  <c r="S345" i="9"/>
  <c r="S346" i="9"/>
  <c r="S347" i="9"/>
  <c r="S348" i="9"/>
  <c r="S349" i="9"/>
  <c r="S350" i="9"/>
  <c r="S351" i="9"/>
  <c r="S352" i="9"/>
  <c r="S353" i="9"/>
  <c r="S354" i="9"/>
  <c r="S355" i="9"/>
  <c r="S356" i="9"/>
  <c r="S357" i="9"/>
  <c r="S358" i="9"/>
  <c r="S359" i="9"/>
  <c r="S360" i="9"/>
  <c r="S361" i="9"/>
  <c r="S362" i="9"/>
  <c r="S363" i="9"/>
  <c r="S364" i="9"/>
  <c r="S365" i="9"/>
  <c r="S366" i="9"/>
  <c r="S368" i="9"/>
  <c r="S369" i="9"/>
  <c r="S370" i="9"/>
  <c r="S371" i="9"/>
  <c r="S372" i="9"/>
  <c r="S373" i="9"/>
  <c r="S374" i="9"/>
  <c r="S375" i="9"/>
  <c r="S376" i="9"/>
  <c r="S377" i="9"/>
  <c r="S378" i="9"/>
  <c r="S379" i="9"/>
  <c r="S380" i="9"/>
  <c r="S381" i="9"/>
  <c r="S382" i="9"/>
  <c r="S383" i="9"/>
  <c r="S384" i="9"/>
  <c r="S385" i="9"/>
  <c r="S386" i="9"/>
  <c r="S387" i="9"/>
  <c r="S388" i="9"/>
  <c r="S389" i="9"/>
  <c r="S390" i="9"/>
  <c r="S391" i="9"/>
  <c r="S392" i="9"/>
  <c r="S393" i="9"/>
  <c r="S394" i="9"/>
  <c r="S396" i="9"/>
  <c r="S397" i="9"/>
  <c r="S398" i="9"/>
  <c r="S399" i="9"/>
  <c r="S401" i="9"/>
  <c r="S402" i="9"/>
  <c r="S403" i="9"/>
  <c r="S404" i="9"/>
  <c r="S405" i="9"/>
  <c r="S406" i="9"/>
  <c r="S407" i="9"/>
  <c r="S408" i="9"/>
  <c r="S409" i="9"/>
  <c r="S410" i="9"/>
  <c r="S411" i="9"/>
  <c r="S412" i="9"/>
  <c r="S413" i="9"/>
  <c r="S414" i="9"/>
  <c r="S415" i="9"/>
  <c r="S416" i="9"/>
  <c r="S418" i="9"/>
  <c r="S419" i="9"/>
  <c r="S420" i="9"/>
  <c r="S421" i="9"/>
  <c r="S422" i="9"/>
  <c r="S423" i="9"/>
  <c r="S424" i="9"/>
  <c r="S9" i="9"/>
  <c r="S8" i="9"/>
  <c r="R10" i="9"/>
  <c r="R12" i="9"/>
  <c r="R13" i="9"/>
  <c r="R14" i="9"/>
  <c r="R15" i="9"/>
  <c r="R16" i="9"/>
  <c r="R17" i="9"/>
  <c r="R18" i="9"/>
  <c r="R19" i="9"/>
  <c r="R20" i="9"/>
  <c r="R21" i="9"/>
  <c r="R22" i="9"/>
  <c r="R23" i="9"/>
  <c r="R27" i="9"/>
  <c r="R28" i="9"/>
  <c r="R36" i="9"/>
  <c r="R37" i="9"/>
  <c r="R38" i="9"/>
  <c r="R39" i="9"/>
  <c r="R40" i="9"/>
  <c r="R41" i="9"/>
  <c r="R42" i="9"/>
  <c r="R43" i="9"/>
  <c r="R44" i="9"/>
  <c r="R45" i="9"/>
  <c r="R46" i="9"/>
  <c r="R47" i="9"/>
  <c r="R48" i="9"/>
  <c r="R49" i="9"/>
  <c r="R50" i="9"/>
  <c r="R51" i="9"/>
  <c r="R52" i="9"/>
  <c r="R53" i="9"/>
  <c r="R54" i="9"/>
  <c r="R55" i="9"/>
  <c r="R56" i="9"/>
  <c r="R57" i="9"/>
  <c r="R58" i="9"/>
  <c r="R59" i="9"/>
  <c r="R60" i="9"/>
  <c r="R61" i="9"/>
  <c r="R62" i="9"/>
  <c r="R63" i="9"/>
  <c r="R65" i="9"/>
  <c r="R66" i="9"/>
  <c r="R67" i="9"/>
  <c r="R68" i="9"/>
  <c r="R69" i="9"/>
  <c r="R70" i="9"/>
  <c r="R71" i="9"/>
  <c r="R72" i="9"/>
  <c r="R89" i="9"/>
  <c r="R90" i="9"/>
  <c r="R91" i="9"/>
  <c r="R92" i="9"/>
  <c r="R93" i="9"/>
  <c r="R94" i="9"/>
  <c r="R95" i="9"/>
  <c r="R96" i="9"/>
  <c r="R97" i="9"/>
  <c r="R98" i="9"/>
  <c r="R99" i="9"/>
  <c r="R100" i="9"/>
  <c r="R101" i="9"/>
  <c r="R102" i="9"/>
  <c r="R103" i="9"/>
  <c r="R104" i="9"/>
  <c r="R105" i="9"/>
  <c r="R106" i="9"/>
  <c r="R107" i="9"/>
  <c r="R108" i="9"/>
  <c r="R109" i="9"/>
  <c r="R110" i="9"/>
  <c r="R111" i="9"/>
  <c r="R112" i="9"/>
  <c r="R113" i="9"/>
  <c r="R114" i="9"/>
  <c r="R116" i="9"/>
  <c r="R117" i="9"/>
  <c r="R118" i="9"/>
  <c r="R120" i="9"/>
  <c r="R121" i="9"/>
  <c r="R122" i="9"/>
  <c r="R123" i="9"/>
  <c r="R124" i="9"/>
  <c r="R125" i="9"/>
  <c r="R126" i="9"/>
  <c r="R128" i="9"/>
  <c r="R129" i="9"/>
  <c r="R130" i="9"/>
  <c r="R132" i="9"/>
  <c r="R133" i="9"/>
  <c r="R134" i="9"/>
  <c r="R135" i="9"/>
  <c r="R136" i="9"/>
  <c r="R137" i="9"/>
  <c r="R138" i="9"/>
  <c r="R139" i="9"/>
  <c r="R140" i="9"/>
  <c r="R141" i="9"/>
  <c r="R142" i="9"/>
  <c r="R143" i="9"/>
  <c r="R144" i="9"/>
  <c r="R145" i="9"/>
  <c r="R146" i="9"/>
  <c r="R148" i="9"/>
  <c r="R149" i="9"/>
  <c r="R150" i="9"/>
  <c r="R151" i="9"/>
  <c r="R152" i="9"/>
  <c r="R154" i="9"/>
  <c r="R155" i="9"/>
  <c r="R156" i="9"/>
  <c r="R157" i="9"/>
  <c r="R158" i="9"/>
  <c r="R159" i="9"/>
  <c r="R160" i="9"/>
  <c r="R161" i="9"/>
  <c r="R162" i="9"/>
  <c r="R163" i="9"/>
  <c r="R164" i="9"/>
  <c r="R165" i="9"/>
  <c r="R166" i="9"/>
  <c r="R167" i="9"/>
  <c r="R168" i="9"/>
  <c r="R169" i="9"/>
  <c r="R170" i="9"/>
  <c r="R171" i="9"/>
  <c r="R172" i="9"/>
  <c r="R173" i="9"/>
  <c r="R174" i="9"/>
  <c r="R176" i="9"/>
  <c r="R178" i="9"/>
  <c r="R179" i="9"/>
  <c r="R180" i="9"/>
  <c r="R181" i="9"/>
  <c r="R182" i="9"/>
  <c r="R183" i="9"/>
  <c r="R184" i="9"/>
  <c r="R185" i="9"/>
  <c r="R186" i="9"/>
  <c r="R187" i="9"/>
  <c r="R188" i="9"/>
  <c r="R189" i="9"/>
  <c r="R190" i="9"/>
  <c r="R191" i="9"/>
  <c r="R192" i="9"/>
  <c r="R193" i="9"/>
  <c r="R194" i="9"/>
  <c r="R195" i="9"/>
  <c r="R201" i="9"/>
  <c r="R202" i="9"/>
  <c r="R203" i="9"/>
  <c r="R204" i="9"/>
  <c r="R205" i="9"/>
  <c r="R206" i="9"/>
  <c r="R207" i="9"/>
  <c r="R208" i="9"/>
  <c r="R209" i="9"/>
  <c r="R210" i="9"/>
  <c r="R211" i="9"/>
  <c r="R212" i="9"/>
  <c r="R213" i="9"/>
  <c r="R214" i="9"/>
  <c r="R216" i="9"/>
  <c r="R217" i="9"/>
  <c r="R218" i="9"/>
  <c r="R219" i="9"/>
  <c r="R221" i="9"/>
  <c r="R222" i="9"/>
  <c r="R223" i="9"/>
  <c r="R224" i="9"/>
  <c r="R225" i="9"/>
  <c r="R226" i="9"/>
  <c r="R227" i="9"/>
  <c r="R228" i="9"/>
  <c r="R229" i="9"/>
  <c r="R230" i="9"/>
  <c r="R231" i="9"/>
  <c r="R232" i="9"/>
  <c r="R233" i="9"/>
  <c r="R234" i="9"/>
  <c r="R235" i="9"/>
  <c r="R240" i="9"/>
  <c r="R241" i="9"/>
  <c r="R242" i="9"/>
  <c r="R243" i="9"/>
  <c r="R244" i="9"/>
  <c r="R245" i="9"/>
  <c r="R246" i="9"/>
  <c r="R247" i="9"/>
  <c r="R248" i="9"/>
  <c r="R249" i="9"/>
  <c r="R250" i="9"/>
  <c r="R251" i="9"/>
  <c r="R252" i="9"/>
  <c r="R253" i="9"/>
  <c r="R264" i="9"/>
  <c r="R265" i="9"/>
  <c r="R266" i="9"/>
  <c r="R267" i="9"/>
  <c r="R268" i="9"/>
  <c r="R269" i="9"/>
  <c r="R288" i="9"/>
  <c r="R289" i="9"/>
  <c r="R290" i="9"/>
  <c r="R291" i="9"/>
  <c r="R292" i="9"/>
  <c r="R293" i="9"/>
  <c r="R294" i="9"/>
  <c r="R295" i="9"/>
  <c r="R296" i="9"/>
  <c r="R297" i="9"/>
  <c r="R298" i="9"/>
  <c r="R299" i="9"/>
  <c r="R300" i="9"/>
  <c r="R301" i="9"/>
  <c r="R302" i="9"/>
  <c r="R303" i="9"/>
  <c r="R304" i="9"/>
  <c r="R305" i="9"/>
  <c r="R306" i="9"/>
  <c r="R307" i="9"/>
  <c r="R308" i="9"/>
  <c r="R309" i="9"/>
  <c r="R310" i="9"/>
  <c r="R311" i="9"/>
  <c r="R312" i="9"/>
  <c r="R313" i="9"/>
  <c r="R314" i="9"/>
  <c r="R315" i="9"/>
  <c r="R316" i="9"/>
  <c r="R317" i="9"/>
  <c r="R318" i="9"/>
  <c r="R319" i="9"/>
  <c r="R320" i="9"/>
  <c r="R321" i="9"/>
  <c r="R328" i="9"/>
  <c r="R329" i="9"/>
  <c r="R330" i="9"/>
  <c r="R331" i="9"/>
  <c r="R332" i="9"/>
  <c r="R333" i="9"/>
  <c r="R334" i="9"/>
  <c r="R336" i="9"/>
  <c r="R338" i="9"/>
  <c r="R339" i="9"/>
  <c r="R340" i="9"/>
  <c r="R341" i="9"/>
  <c r="R342" i="9"/>
  <c r="R343" i="9"/>
  <c r="R344" i="9"/>
  <c r="R345" i="9"/>
  <c r="R346" i="9"/>
  <c r="R347" i="9"/>
  <c r="R348" i="9"/>
  <c r="R349" i="9"/>
  <c r="R350" i="9"/>
  <c r="R351" i="9"/>
  <c r="R352" i="9"/>
  <c r="R353" i="9"/>
  <c r="R354" i="9"/>
  <c r="R355" i="9"/>
  <c r="R356" i="9"/>
  <c r="R357" i="9"/>
  <c r="R358" i="9"/>
  <c r="R359" i="9"/>
  <c r="R360" i="9"/>
  <c r="R361" i="9"/>
  <c r="R362" i="9"/>
  <c r="R363" i="9"/>
  <c r="R364" i="9"/>
  <c r="R365" i="9"/>
  <c r="R366" i="9"/>
  <c r="R368" i="9"/>
  <c r="R369" i="9"/>
  <c r="R370" i="9"/>
  <c r="R371" i="9"/>
  <c r="R372" i="9"/>
  <c r="R373" i="9"/>
  <c r="R374" i="9"/>
  <c r="R375" i="9"/>
  <c r="R376" i="9"/>
  <c r="R377" i="9"/>
  <c r="R378" i="9"/>
  <c r="R379" i="9"/>
  <c r="R380" i="9"/>
  <c r="R381" i="9"/>
  <c r="R382" i="9"/>
  <c r="R383" i="9"/>
  <c r="R384" i="9"/>
  <c r="R385" i="9"/>
  <c r="R386" i="9"/>
  <c r="R387" i="9"/>
  <c r="R388" i="9"/>
  <c r="R389" i="9"/>
  <c r="R390" i="9"/>
  <c r="R391" i="9"/>
  <c r="R392" i="9"/>
  <c r="R393" i="9"/>
  <c r="R394" i="9"/>
  <c r="R396" i="9"/>
  <c r="R397" i="9"/>
  <c r="R398" i="9"/>
  <c r="R399" i="9"/>
  <c r="R401" i="9"/>
  <c r="R402" i="9"/>
  <c r="R403" i="9"/>
  <c r="R404" i="9"/>
  <c r="R405" i="9"/>
  <c r="R406" i="9"/>
  <c r="R407" i="9"/>
  <c r="R408" i="9"/>
  <c r="R409" i="9"/>
  <c r="R410" i="9"/>
  <c r="R411" i="9"/>
  <c r="R412" i="9"/>
  <c r="R413" i="9"/>
  <c r="R414" i="9"/>
  <c r="R415" i="9"/>
  <c r="R416" i="9"/>
  <c r="R418" i="9"/>
  <c r="R419" i="9"/>
  <c r="R420" i="9"/>
  <c r="R421" i="9"/>
  <c r="R422" i="9"/>
  <c r="R423" i="9"/>
  <c r="R424" i="9"/>
  <c r="R9" i="9"/>
  <c r="R8" i="9"/>
  <c r="Q423" i="9"/>
  <c r="Q10" i="9"/>
  <c r="Q12" i="9"/>
  <c r="Q13" i="9"/>
  <c r="Q14" i="9"/>
  <c r="Q15" i="9"/>
  <c r="Q16" i="9"/>
  <c r="Q17" i="9"/>
  <c r="Q18" i="9"/>
  <c r="Q19" i="9"/>
  <c r="Q20" i="9"/>
  <c r="Q21" i="9"/>
  <c r="Q22" i="9"/>
  <c r="Q23" i="9"/>
  <c r="Q27" i="9"/>
  <c r="Q28" i="9"/>
  <c r="Q36" i="9"/>
  <c r="Q37" i="9"/>
  <c r="Q38" i="9"/>
  <c r="Q39" i="9"/>
  <c r="Q40" i="9"/>
  <c r="Q41" i="9"/>
  <c r="Q42" i="9"/>
  <c r="Q43" i="9"/>
  <c r="Q44" i="9"/>
  <c r="Q45" i="9"/>
  <c r="Q46" i="9"/>
  <c r="Q47" i="9"/>
  <c r="Q48" i="9"/>
  <c r="Q49" i="9"/>
  <c r="Q50" i="9"/>
  <c r="Q51" i="9"/>
  <c r="Q52" i="9"/>
  <c r="Q53" i="9"/>
  <c r="Q54" i="9"/>
  <c r="Q55" i="9"/>
  <c r="Q56" i="9"/>
  <c r="Q57" i="9"/>
  <c r="Q58" i="9"/>
  <c r="Q59" i="9"/>
  <c r="Q60" i="9"/>
  <c r="Q61" i="9"/>
  <c r="Q62" i="9"/>
  <c r="Q63" i="9"/>
  <c r="Q65" i="9"/>
  <c r="Q66" i="9"/>
  <c r="Q67" i="9"/>
  <c r="Q68" i="9"/>
  <c r="Q69" i="9"/>
  <c r="Q70" i="9"/>
  <c r="Q71" i="9"/>
  <c r="Q72" i="9"/>
  <c r="Q89" i="9"/>
  <c r="Q90" i="9"/>
  <c r="Q91" i="9"/>
  <c r="Q92" i="9"/>
  <c r="Q93" i="9"/>
  <c r="Q94" i="9"/>
  <c r="Q95" i="9"/>
  <c r="Q96" i="9"/>
  <c r="Q97" i="9"/>
  <c r="Q98" i="9"/>
  <c r="Q99" i="9"/>
  <c r="Q100" i="9"/>
  <c r="Q101" i="9"/>
  <c r="Q102" i="9"/>
  <c r="Q103" i="9"/>
  <c r="Q104" i="9"/>
  <c r="Q105" i="9"/>
  <c r="Q106" i="9"/>
  <c r="Q107" i="9"/>
  <c r="Q108" i="9"/>
  <c r="Q109" i="9"/>
  <c r="Q110" i="9"/>
  <c r="Q111" i="9"/>
  <c r="Q112" i="9"/>
  <c r="Q113" i="9"/>
  <c r="Q114" i="9"/>
  <c r="Q116" i="9"/>
  <c r="Q117" i="9"/>
  <c r="Q118" i="9"/>
  <c r="Q120" i="9"/>
  <c r="Q121" i="9"/>
  <c r="Q122" i="9"/>
  <c r="Q123" i="9"/>
  <c r="Q124" i="9"/>
  <c r="Q125" i="9"/>
  <c r="Q126" i="9"/>
  <c r="Q128" i="9"/>
  <c r="Q129" i="9"/>
  <c r="Q130" i="9"/>
  <c r="Q132" i="9"/>
  <c r="Q133" i="9"/>
  <c r="Q134" i="9"/>
  <c r="Q135" i="9"/>
  <c r="Q136" i="9"/>
  <c r="Q137" i="9"/>
  <c r="Q138" i="9"/>
  <c r="Q139" i="9"/>
  <c r="Q140" i="9"/>
  <c r="Q141" i="9"/>
  <c r="Q142" i="9"/>
  <c r="Q143" i="9"/>
  <c r="Q144" i="9"/>
  <c r="Q145" i="9"/>
  <c r="Q146" i="9"/>
  <c r="Q148" i="9"/>
  <c r="Q149" i="9"/>
  <c r="Q150" i="9"/>
  <c r="Q151" i="9"/>
  <c r="Q152" i="9"/>
  <c r="Q154" i="9"/>
  <c r="Q155" i="9"/>
  <c r="Q156" i="9"/>
  <c r="Q157" i="9"/>
  <c r="Q158" i="9"/>
  <c r="Q159" i="9"/>
  <c r="Q160" i="9"/>
  <c r="Q161" i="9"/>
  <c r="Q162" i="9"/>
  <c r="Q163" i="9"/>
  <c r="Q164" i="9"/>
  <c r="Q165" i="9"/>
  <c r="Q166" i="9"/>
  <c r="Q167" i="9"/>
  <c r="Q168" i="9"/>
  <c r="Q169" i="9"/>
  <c r="Q170" i="9"/>
  <c r="Q171" i="9"/>
  <c r="Q172" i="9"/>
  <c r="Q173" i="9"/>
  <c r="Q174" i="9"/>
  <c r="Q176" i="9"/>
  <c r="Q178" i="9"/>
  <c r="Q179" i="9"/>
  <c r="Q180" i="9"/>
  <c r="Q181" i="9"/>
  <c r="Q182" i="9"/>
  <c r="Q183" i="9"/>
  <c r="Q184" i="9"/>
  <c r="Q185" i="9"/>
  <c r="Q186" i="9"/>
  <c r="Q187" i="9"/>
  <c r="Q188" i="9"/>
  <c r="Q189" i="9"/>
  <c r="Q190" i="9"/>
  <c r="Q191" i="9"/>
  <c r="Q192" i="9"/>
  <c r="Q193" i="9"/>
  <c r="Q194" i="9"/>
  <c r="Q195" i="9"/>
  <c r="Q201" i="9"/>
  <c r="Q202" i="9"/>
  <c r="Q203" i="9"/>
  <c r="Q204" i="9"/>
  <c r="Q205" i="9"/>
  <c r="Q206" i="9"/>
  <c r="Q207" i="9"/>
  <c r="Q208" i="9"/>
  <c r="Q209" i="9"/>
  <c r="Q210" i="9"/>
  <c r="Q211" i="9"/>
  <c r="Q212" i="9"/>
  <c r="Q213" i="9"/>
  <c r="Q214" i="9"/>
  <c r="Q216" i="9"/>
  <c r="Q217" i="9"/>
  <c r="Q218" i="9"/>
  <c r="Q219" i="9"/>
  <c r="Q221" i="9"/>
  <c r="Q222" i="9"/>
  <c r="Q223" i="9"/>
  <c r="Q224" i="9"/>
  <c r="Q225" i="9"/>
  <c r="Q226" i="9"/>
  <c r="Q227" i="9"/>
  <c r="Q228" i="9"/>
  <c r="Q229" i="9"/>
  <c r="Q230" i="9"/>
  <c r="Q231" i="9"/>
  <c r="Q232" i="9"/>
  <c r="Q233" i="9"/>
  <c r="Q234" i="9"/>
  <c r="Q235" i="9"/>
  <c r="Q240" i="9"/>
  <c r="Q241" i="9"/>
  <c r="Q242" i="9"/>
  <c r="Q243" i="9"/>
  <c r="Q244" i="9"/>
  <c r="Q245" i="9"/>
  <c r="Q246" i="9"/>
  <c r="Q247" i="9"/>
  <c r="Q248" i="9"/>
  <c r="Q249" i="9"/>
  <c r="Q250" i="9"/>
  <c r="Q251" i="9"/>
  <c r="Q252" i="9"/>
  <c r="Q253" i="9"/>
  <c r="Q264" i="9"/>
  <c r="Q265" i="9"/>
  <c r="Q266" i="9"/>
  <c r="Q267" i="9"/>
  <c r="Q268" i="9"/>
  <c r="Q269" i="9"/>
  <c r="Q288" i="9"/>
  <c r="Q289" i="9"/>
  <c r="Q290" i="9"/>
  <c r="Q291" i="9"/>
  <c r="Q292" i="9"/>
  <c r="Q293" i="9"/>
  <c r="Q294" i="9"/>
  <c r="Q295" i="9"/>
  <c r="Q296" i="9"/>
  <c r="Q297" i="9"/>
  <c r="Q298" i="9"/>
  <c r="Q299" i="9"/>
  <c r="Q300" i="9"/>
  <c r="Q301" i="9"/>
  <c r="Q302" i="9"/>
  <c r="Q303" i="9"/>
  <c r="Q304" i="9"/>
  <c r="Q305" i="9"/>
  <c r="Q306" i="9"/>
  <c r="Q307" i="9"/>
  <c r="Q308" i="9"/>
  <c r="Q309" i="9"/>
  <c r="Q310" i="9"/>
  <c r="Q311" i="9"/>
  <c r="Q312" i="9"/>
  <c r="Q313" i="9"/>
  <c r="Q314" i="9"/>
  <c r="Q315" i="9"/>
  <c r="Q316" i="9"/>
  <c r="Q317" i="9"/>
  <c r="Q318" i="9"/>
  <c r="Q319" i="9"/>
  <c r="Q320" i="9"/>
  <c r="Q321" i="9"/>
  <c r="Q328" i="9"/>
  <c r="Q329" i="9"/>
  <c r="Q330" i="9"/>
  <c r="Q331" i="9"/>
  <c r="Q332" i="9"/>
  <c r="Q333" i="9"/>
  <c r="Q334" i="9"/>
  <c r="Q336" i="9"/>
  <c r="Q337" i="9"/>
  <c r="Q338" i="9"/>
  <c r="Q339" i="9"/>
  <c r="Q340" i="9"/>
  <c r="Q341" i="9"/>
  <c r="Q342" i="9"/>
  <c r="Q343" i="9"/>
  <c r="Q344" i="9"/>
  <c r="Q345" i="9"/>
  <c r="Q346" i="9"/>
  <c r="Q347" i="9"/>
  <c r="Q348" i="9"/>
  <c r="Q349" i="9"/>
  <c r="Q350" i="9"/>
  <c r="Q351" i="9"/>
  <c r="Q352" i="9"/>
  <c r="Q353" i="9"/>
  <c r="Q354" i="9"/>
  <c r="Q355" i="9"/>
  <c r="Q356" i="9"/>
  <c r="Q357" i="9"/>
  <c r="Q358" i="9"/>
  <c r="Q359" i="9"/>
  <c r="Q360" i="9"/>
  <c r="Q361" i="9"/>
  <c r="Q362" i="9"/>
  <c r="Q363" i="9"/>
  <c r="Q364" i="9"/>
  <c r="Q365" i="9"/>
  <c r="Q366" i="9"/>
  <c r="Q368" i="9"/>
  <c r="Q369" i="9"/>
  <c r="Q370" i="9"/>
  <c r="Q371" i="9"/>
  <c r="Q372" i="9"/>
  <c r="Q373" i="9"/>
  <c r="Q374" i="9"/>
  <c r="Q375" i="9"/>
  <c r="Q376" i="9"/>
  <c r="Q377" i="9"/>
  <c r="Q378" i="9"/>
  <c r="Q379" i="9"/>
  <c r="Q380" i="9"/>
  <c r="Q381" i="9"/>
  <c r="Q382" i="9"/>
  <c r="Q383" i="9"/>
  <c r="Q384" i="9"/>
  <c r="Q385" i="9"/>
  <c r="Q386" i="9"/>
  <c r="Q387" i="9"/>
  <c r="Q388" i="9"/>
  <c r="Q389" i="9"/>
  <c r="Q390" i="9"/>
  <c r="Q391" i="9"/>
  <c r="Q392" i="9"/>
  <c r="Q393" i="9"/>
  <c r="Q394" i="9"/>
  <c r="Q396" i="9"/>
  <c r="Q397" i="9"/>
  <c r="Q398" i="9"/>
  <c r="Q399" i="9"/>
  <c r="Q401" i="9"/>
  <c r="Q402" i="9"/>
  <c r="Q403" i="9"/>
  <c r="Q404" i="9"/>
  <c r="Q405" i="9"/>
  <c r="Q406" i="9"/>
  <c r="Q407" i="9"/>
  <c r="Q408" i="9"/>
  <c r="Q409" i="9"/>
  <c r="Q410" i="9"/>
  <c r="Q411" i="9"/>
  <c r="Q412" i="9"/>
  <c r="Q413" i="9"/>
  <c r="Q414" i="9"/>
  <c r="Q415" i="9"/>
  <c r="Q416" i="9"/>
  <c r="Q418" i="9"/>
  <c r="Q419" i="9"/>
  <c r="Q420" i="9"/>
  <c r="Q421" i="9"/>
  <c r="Q422" i="9"/>
  <c r="Q424" i="9"/>
  <c r="Q9" i="9"/>
  <c r="Q8" i="9"/>
  <c r="P9" i="9"/>
  <c r="P10" i="9"/>
  <c r="P12" i="9"/>
  <c r="P13" i="9"/>
  <c r="P14" i="9"/>
  <c r="P15" i="9"/>
  <c r="P16" i="9"/>
  <c r="P17" i="9"/>
  <c r="P18" i="9"/>
  <c r="P19" i="9"/>
  <c r="P20" i="9"/>
  <c r="P21" i="9"/>
  <c r="P22" i="9"/>
  <c r="P23" i="9"/>
  <c r="P27" i="9"/>
  <c r="P28" i="9"/>
  <c r="P36" i="9"/>
  <c r="P37" i="9"/>
  <c r="P38" i="9"/>
  <c r="P39" i="9"/>
  <c r="P40" i="9"/>
  <c r="P41" i="9"/>
  <c r="P42" i="9"/>
  <c r="P43" i="9"/>
  <c r="P44" i="9"/>
  <c r="P45" i="9"/>
  <c r="P46" i="9"/>
  <c r="P47" i="9"/>
  <c r="P48" i="9"/>
  <c r="P49" i="9"/>
  <c r="P50" i="9"/>
  <c r="P51" i="9"/>
  <c r="P52" i="9"/>
  <c r="P53" i="9"/>
  <c r="P54" i="9"/>
  <c r="P55" i="9"/>
  <c r="P56" i="9"/>
  <c r="P57" i="9"/>
  <c r="P58" i="9"/>
  <c r="P59" i="9"/>
  <c r="P60" i="9"/>
  <c r="P61" i="9"/>
  <c r="P62" i="9"/>
  <c r="P63" i="9"/>
  <c r="P65" i="9"/>
  <c r="P66" i="9"/>
  <c r="P67" i="9"/>
  <c r="P68" i="9"/>
  <c r="P69" i="9"/>
  <c r="P70" i="9"/>
  <c r="P71" i="9"/>
  <c r="P72" i="9"/>
  <c r="P89" i="9"/>
  <c r="P90" i="9"/>
  <c r="P91" i="9"/>
  <c r="P92" i="9"/>
  <c r="P93" i="9"/>
  <c r="P94" i="9"/>
  <c r="P95" i="9"/>
  <c r="P96" i="9"/>
  <c r="P97" i="9"/>
  <c r="P98" i="9"/>
  <c r="P99" i="9"/>
  <c r="P100" i="9"/>
  <c r="P101" i="9"/>
  <c r="P102" i="9"/>
  <c r="P103" i="9"/>
  <c r="P104" i="9"/>
  <c r="P105" i="9"/>
  <c r="P106" i="9"/>
  <c r="P107" i="9"/>
  <c r="P108" i="9"/>
  <c r="P109" i="9"/>
  <c r="P110" i="9"/>
  <c r="P111" i="9"/>
  <c r="P112" i="9"/>
  <c r="P113" i="9"/>
  <c r="P114" i="9"/>
  <c r="P116" i="9"/>
  <c r="P117" i="9"/>
  <c r="P118" i="9"/>
  <c r="P120" i="9"/>
  <c r="P121" i="9"/>
  <c r="P122" i="9"/>
  <c r="P123" i="9"/>
  <c r="P124" i="9"/>
  <c r="P125" i="9"/>
  <c r="P126" i="9"/>
  <c r="P128" i="9"/>
  <c r="P129" i="9"/>
  <c r="P130" i="9"/>
  <c r="P132" i="9"/>
  <c r="P133" i="9"/>
  <c r="P134" i="9"/>
  <c r="P135" i="9"/>
  <c r="P136" i="9"/>
  <c r="P137" i="9"/>
  <c r="P138" i="9"/>
  <c r="P139" i="9"/>
  <c r="P140" i="9"/>
  <c r="P141" i="9"/>
  <c r="P142" i="9"/>
  <c r="P143" i="9"/>
  <c r="P144" i="9"/>
  <c r="P145" i="9"/>
  <c r="P146" i="9"/>
  <c r="P148" i="9"/>
  <c r="P149" i="9"/>
  <c r="P150" i="9"/>
  <c r="P151" i="9"/>
  <c r="P152" i="9"/>
  <c r="P154" i="9"/>
  <c r="P155" i="9"/>
  <c r="P156" i="9"/>
  <c r="P157" i="9"/>
  <c r="P158" i="9"/>
  <c r="P159" i="9"/>
  <c r="P160" i="9"/>
  <c r="P161" i="9"/>
  <c r="P162" i="9"/>
  <c r="P163" i="9"/>
  <c r="P164" i="9"/>
  <c r="P165" i="9"/>
  <c r="P166" i="9"/>
  <c r="P167" i="9"/>
  <c r="P168" i="9"/>
  <c r="P169" i="9"/>
  <c r="P170" i="9"/>
  <c r="P171" i="9"/>
  <c r="P172" i="9"/>
  <c r="P173" i="9"/>
  <c r="P174" i="9"/>
  <c r="P176" i="9"/>
  <c r="P178" i="9"/>
  <c r="P179" i="9"/>
  <c r="P180" i="9"/>
  <c r="P181" i="9"/>
  <c r="P182" i="9"/>
  <c r="P183" i="9"/>
  <c r="P184" i="9"/>
  <c r="P185" i="9"/>
  <c r="P186" i="9"/>
  <c r="P187" i="9"/>
  <c r="P188" i="9"/>
  <c r="P189" i="9"/>
  <c r="P190" i="9"/>
  <c r="P191" i="9"/>
  <c r="P192" i="9"/>
  <c r="P193" i="9"/>
  <c r="P194" i="9"/>
  <c r="P195" i="9"/>
  <c r="P201" i="9"/>
  <c r="P202" i="9"/>
  <c r="P203" i="9"/>
  <c r="P204" i="9"/>
  <c r="P205" i="9"/>
  <c r="P206" i="9"/>
  <c r="P207" i="9"/>
  <c r="P208" i="9"/>
  <c r="P209" i="9"/>
  <c r="P210" i="9"/>
  <c r="P211" i="9"/>
  <c r="P212" i="9"/>
  <c r="P213" i="9"/>
  <c r="P214" i="9"/>
  <c r="P216" i="9"/>
  <c r="P217" i="9"/>
  <c r="P218" i="9"/>
  <c r="P219" i="9"/>
  <c r="P221" i="9"/>
  <c r="P222" i="9"/>
  <c r="P223" i="9"/>
  <c r="P224" i="9"/>
  <c r="P225" i="9"/>
  <c r="P226" i="9"/>
  <c r="P227" i="9"/>
  <c r="P228" i="9"/>
  <c r="P229" i="9"/>
  <c r="P230" i="9"/>
  <c r="P231" i="9"/>
  <c r="P232" i="9"/>
  <c r="P233" i="9"/>
  <c r="P234" i="9"/>
  <c r="P235" i="9"/>
  <c r="P240" i="9"/>
  <c r="P241" i="9"/>
  <c r="P242" i="9"/>
  <c r="P243" i="9"/>
  <c r="P244" i="9"/>
  <c r="P245" i="9"/>
  <c r="P246" i="9"/>
  <c r="P247" i="9"/>
  <c r="P248" i="9"/>
  <c r="P249" i="9"/>
  <c r="P250" i="9"/>
  <c r="P251" i="9"/>
  <c r="P252" i="9"/>
  <c r="P253" i="9"/>
  <c r="P264" i="9"/>
  <c r="P265" i="9"/>
  <c r="P266" i="9"/>
  <c r="P267" i="9"/>
  <c r="P268" i="9"/>
  <c r="P269" i="9"/>
  <c r="P288" i="9"/>
  <c r="P289" i="9"/>
  <c r="P290" i="9"/>
  <c r="P291" i="9"/>
  <c r="P292" i="9"/>
  <c r="P293" i="9"/>
  <c r="P294" i="9"/>
  <c r="P295" i="9"/>
  <c r="P296" i="9"/>
  <c r="P297" i="9"/>
  <c r="P298" i="9"/>
  <c r="P299" i="9"/>
  <c r="P300" i="9"/>
  <c r="P301" i="9"/>
  <c r="P302" i="9"/>
  <c r="P303" i="9"/>
  <c r="P304" i="9"/>
  <c r="P305" i="9"/>
  <c r="P306" i="9"/>
  <c r="P307" i="9"/>
  <c r="P308" i="9"/>
  <c r="P309" i="9"/>
  <c r="P310" i="9"/>
  <c r="P311" i="9"/>
  <c r="P312" i="9"/>
  <c r="P313" i="9"/>
  <c r="P314" i="9"/>
  <c r="P315" i="9"/>
  <c r="P316" i="9"/>
  <c r="P317" i="9"/>
  <c r="P318" i="9"/>
  <c r="P319" i="9"/>
  <c r="P320" i="9"/>
  <c r="P321" i="9"/>
  <c r="P328" i="9"/>
  <c r="P329" i="9"/>
  <c r="P330" i="9"/>
  <c r="P331" i="9"/>
  <c r="P332" i="9"/>
  <c r="P333" i="9"/>
  <c r="P334" i="9"/>
  <c r="P336" i="9"/>
  <c r="P337" i="9"/>
  <c r="P338" i="9"/>
  <c r="P339" i="9"/>
  <c r="P340" i="9"/>
  <c r="P341" i="9"/>
  <c r="P342" i="9"/>
  <c r="P343" i="9"/>
  <c r="P344" i="9"/>
  <c r="P345" i="9"/>
  <c r="P346" i="9"/>
  <c r="P347" i="9"/>
  <c r="P348" i="9"/>
  <c r="P349" i="9"/>
  <c r="P350" i="9"/>
  <c r="P351" i="9"/>
  <c r="P352" i="9"/>
  <c r="P353" i="9"/>
  <c r="P354" i="9"/>
  <c r="P355" i="9"/>
  <c r="P356" i="9"/>
  <c r="P357" i="9"/>
  <c r="P358" i="9"/>
  <c r="P359" i="9"/>
  <c r="P360" i="9"/>
  <c r="P361" i="9"/>
  <c r="P362" i="9"/>
  <c r="P363" i="9"/>
  <c r="P364" i="9"/>
  <c r="P365" i="9"/>
  <c r="P366" i="9"/>
  <c r="P368" i="9"/>
  <c r="P369" i="9"/>
  <c r="P370" i="9"/>
  <c r="P371" i="9"/>
  <c r="P372" i="9"/>
  <c r="P373" i="9"/>
  <c r="P374" i="9"/>
  <c r="P375" i="9"/>
  <c r="P376" i="9"/>
  <c r="P377" i="9"/>
  <c r="P378" i="9"/>
  <c r="P379" i="9"/>
  <c r="P380" i="9"/>
  <c r="P381" i="9"/>
  <c r="P382" i="9"/>
  <c r="P383" i="9"/>
  <c r="P384" i="9"/>
  <c r="P385" i="9"/>
  <c r="P386" i="9"/>
  <c r="P387" i="9"/>
  <c r="P388" i="9"/>
  <c r="P389" i="9"/>
  <c r="P390" i="9"/>
  <c r="P391" i="9"/>
  <c r="P392" i="9"/>
  <c r="P393" i="9"/>
  <c r="P394" i="9"/>
  <c r="P396" i="9"/>
  <c r="P397" i="9"/>
  <c r="P398" i="9"/>
  <c r="P399" i="9"/>
  <c r="P401" i="9"/>
  <c r="P402" i="9"/>
  <c r="P403" i="9"/>
  <c r="P404" i="9"/>
  <c r="P405" i="9"/>
  <c r="P406" i="9"/>
  <c r="P407" i="9"/>
  <c r="P408" i="9"/>
  <c r="P409" i="9"/>
  <c r="P410" i="9"/>
  <c r="P411" i="9"/>
  <c r="P412" i="9"/>
  <c r="P413" i="9"/>
  <c r="P414" i="9"/>
  <c r="P415" i="9"/>
  <c r="P416" i="9"/>
  <c r="P418" i="9"/>
  <c r="P419" i="9"/>
  <c r="P420" i="9"/>
  <c r="P421" i="9"/>
  <c r="P422" i="9"/>
  <c r="P423" i="9"/>
  <c r="P424" i="9"/>
  <c r="P8" i="9"/>
  <c r="O9" i="9"/>
  <c r="O10" i="9"/>
  <c r="O12" i="9"/>
  <c r="O13" i="9"/>
  <c r="O14" i="9"/>
  <c r="O15" i="9"/>
  <c r="O16" i="9"/>
  <c r="O17" i="9"/>
  <c r="O18" i="9"/>
  <c r="O19" i="9"/>
  <c r="O20" i="9"/>
  <c r="O21" i="9"/>
  <c r="O22" i="9"/>
  <c r="O23" i="9"/>
  <c r="O27" i="9"/>
  <c r="O28" i="9"/>
  <c r="O36" i="9"/>
  <c r="O37" i="9"/>
  <c r="O38" i="9"/>
  <c r="O39" i="9"/>
  <c r="O40" i="9"/>
  <c r="O41" i="9"/>
  <c r="O42" i="9"/>
  <c r="O43" i="9"/>
  <c r="O44" i="9"/>
  <c r="O45" i="9"/>
  <c r="O46" i="9"/>
  <c r="O47" i="9"/>
  <c r="O48" i="9"/>
  <c r="O49" i="9"/>
  <c r="O50" i="9"/>
  <c r="O51" i="9"/>
  <c r="O52" i="9"/>
  <c r="O53" i="9"/>
  <c r="O54" i="9"/>
  <c r="O55" i="9"/>
  <c r="O56" i="9"/>
  <c r="O57" i="9"/>
  <c r="O58" i="9"/>
  <c r="O59" i="9"/>
  <c r="O60" i="9"/>
  <c r="O61" i="9"/>
  <c r="O62" i="9"/>
  <c r="O63" i="9"/>
  <c r="O65" i="9"/>
  <c r="O66" i="9"/>
  <c r="O67" i="9"/>
  <c r="O68" i="9"/>
  <c r="O69" i="9"/>
  <c r="O70" i="9"/>
  <c r="O71" i="9"/>
  <c r="O72" i="9"/>
  <c r="O89" i="9"/>
  <c r="O90" i="9"/>
  <c r="O91" i="9"/>
  <c r="O92" i="9"/>
  <c r="O93" i="9"/>
  <c r="O94" i="9"/>
  <c r="O95" i="9"/>
  <c r="O96" i="9"/>
  <c r="O97" i="9"/>
  <c r="O98" i="9"/>
  <c r="O99" i="9"/>
  <c r="O100" i="9"/>
  <c r="O101" i="9"/>
  <c r="O102" i="9"/>
  <c r="O103" i="9"/>
  <c r="O104" i="9"/>
  <c r="O105" i="9"/>
  <c r="O106" i="9"/>
  <c r="O107" i="9"/>
  <c r="O108" i="9"/>
  <c r="O109" i="9"/>
  <c r="O110" i="9"/>
  <c r="O111" i="9"/>
  <c r="O112" i="9"/>
  <c r="O113" i="9"/>
  <c r="O114" i="9"/>
  <c r="O116" i="9"/>
  <c r="O117" i="9"/>
  <c r="O118" i="9"/>
  <c r="O120" i="9"/>
  <c r="O121" i="9"/>
  <c r="O122" i="9"/>
  <c r="O123" i="9"/>
  <c r="O124" i="9"/>
  <c r="O125" i="9"/>
  <c r="O126" i="9"/>
  <c r="O128" i="9"/>
  <c r="O129" i="9"/>
  <c r="O130" i="9"/>
  <c r="O132" i="9"/>
  <c r="O133" i="9"/>
  <c r="O134" i="9"/>
  <c r="O135" i="9"/>
  <c r="O136" i="9"/>
  <c r="O137" i="9"/>
  <c r="O138" i="9"/>
  <c r="O139" i="9"/>
  <c r="O140" i="9"/>
  <c r="O141" i="9"/>
  <c r="O142" i="9"/>
  <c r="O143" i="9"/>
  <c r="O144" i="9"/>
  <c r="O145" i="9"/>
  <c r="O146" i="9"/>
  <c r="O148" i="9"/>
  <c r="O149" i="9"/>
  <c r="O150" i="9"/>
  <c r="O151" i="9"/>
  <c r="O152" i="9"/>
  <c r="O154" i="9"/>
  <c r="O155" i="9"/>
  <c r="O156" i="9"/>
  <c r="O157" i="9"/>
  <c r="O158" i="9"/>
  <c r="O159" i="9"/>
  <c r="O160" i="9"/>
  <c r="O161" i="9"/>
  <c r="O162" i="9"/>
  <c r="O163" i="9"/>
  <c r="O164" i="9"/>
  <c r="O165" i="9"/>
  <c r="O166" i="9"/>
  <c r="O167" i="9"/>
  <c r="O168" i="9"/>
  <c r="O169" i="9"/>
  <c r="O170" i="9"/>
  <c r="O171" i="9"/>
  <c r="O172" i="9"/>
  <c r="O173" i="9"/>
  <c r="O174" i="9"/>
  <c r="O176" i="9"/>
  <c r="O178" i="9"/>
  <c r="O179" i="9"/>
  <c r="O180" i="9"/>
  <c r="O181" i="9"/>
  <c r="O182" i="9"/>
  <c r="O183" i="9"/>
  <c r="O184" i="9"/>
  <c r="O185" i="9"/>
  <c r="O186" i="9"/>
  <c r="O187" i="9"/>
  <c r="O188" i="9"/>
  <c r="O189" i="9"/>
  <c r="O190" i="9"/>
  <c r="O191" i="9"/>
  <c r="O192" i="9"/>
  <c r="O193" i="9"/>
  <c r="O194" i="9"/>
  <c r="O195" i="9"/>
  <c r="O201" i="9"/>
  <c r="O202" i="9"/>
  <c r="O203" i="9"/>
  <c r="O204" i="9"/>
  <c r="O205" i="9"/>
  <c r="O206" i="9"/>
  <c r="O207" i="9"/>
  <c r="O208" i="9"/>
  <c r="O209" i="9"/>
  <c r="O210" i="9"/>
  <c r="O211" i="9"/>
  <c r="O212" i="9"/>
  <c r="O213" i="9"/>
  <c r="O214" i="9"/>
  <c r="O216" i="9"/>
  <c r="O217" i="9"/>
  <c r="O218" i="9"/>
  <c r="O219" i="9"/>
  <c r="O221" i="9"/>
  <c r="O222" i="9"/>
  <c r="O223" i="9"/>
  <c r="O224" i="9"/>
  <c r="O225" i="9"/>
  <c r="O226" i="9"/>
  <c r="O227" i="9"/>
  <c r="O228" i="9"/>
  <c r="O229" i="9"/>
  <c r="O230" i="9"/>
  <c r="O231" i="9"/>
  <c r="O232" i="9"/>
  <c r="O233" i="9"/>
  <c r="O234" i="9"/>
  <c r="O235" i="9"/>
  <c r="O240" i="9"/>
  <c r="O241" i="9"/>
  <c r="O242" i="9"/>
  <c r="O243" i="9"/>
  <c r="O244" i="9"/>
  <c r="O245" i="9"/>
  <c r="O246" i="9"/>
  <c r="O247" i="9"/>
  <c r="O248" i="9"/>
  <c r="O249" i="9"/>
  <c r="O250" i="9"/>
  <c r="O251" i="9"/>
  <c r="O252" i="9"/>
  <c r="O253" i="9"/>
  <c r="O264" i="9"/>
  <c r="O265" i="9"/>
  <c r="O266" i="9"/>
  <c r="O267" i="9"/>
  <c r="O268" i="9"/>
  <c r="O269" i="9"/>
  <c r="O288" i="9"/>
  <c r="O289" i="9"/>
  <c r="O290" i="9"/>
  <c r="O291" i="9"/>
  <c r="O292" i="9"/>
  <c r="O293" i="9"/>
  <c r="O294" i="9"/>
  <c r="O295" i="9"/>
  <c r="O296" i="9"/>
  <c r="O297" i="9"/>
  <c r="O298" i="9"/>
  <c r="O299" i="9"/>
  <c r="O300" i="9"/>
  <c r="O301" i="9"/>
  <c r="O302" i="9"/>
  <c r="O303" i="9"/>
  <c r="O304" i="9"/>
  <c r="O305" i="9"/>
  <c r="O306" i="9"/>
  <c r="O307" i="9"/>
  <c r="O308" i="9"/>
  <c r="O309" i="9"/>
  <c r="O310" i="9"/>
  <c r="O311" i="9"/>
  <c r="O312" i="9"/>
  <c r="O313" i="9"/>
  <c r="O314" i="9"/>
  <c r="O315" i="9"/>
  <c r="O316" i="9"/>
  <c r="O317" i="9"/>
  <c r="O318" i="9"/>
  <c r="O319" i="9"/>
  <c r="O320" i="9"/>
  <c r="O321" i="9"/>
  <c r="O328" i="9"/>
  <c r="O329" i="9"/>
  <c r="O330" i="9"/>
  <c r="O331" i="9"/>
  <c r="O332" i="9"/>
  <c r="O333" i="9"/>
  <c r="O334" i="9"/>
  <c r="O336" i="9"/>
  <c r="O337" i="9"/>
  <c r="O338" i="9"/>
  <c r="O339" i="9"/>
  <c r="O340" i="9"/>
  <c r="O341" i="9"/>
  <c r="O342" i="9"/>
  <c r="O343" i="9"/>
  <c r="O344" i="9"/>
  <c r="O345" i="9"/>
  <c r="O346" i="9"/>
  <c r="O347" i="9"/>
  <c r="O348" i="9"/>
  <c r="O349" i="9"/>
  <c r="O350" i="9"/>
  <c r="O351" i="9"/>
  <c r="O352" i="9"/>
  <c r="O353" i="9"/>
  <c r="O354" i="9"/>
  <c r="O355" i="9"/>
  <c r="O356" i="9"/>
  <c r="O357" i="9"/>
  <c r="O358" i="9"/>
  <c r="O359" i="9"/>
  <c r="O360" i="9"/>
  <c r="O361" i="9"/>
  <c r="O362" i="9"/>
  <c r="O363" i="9"/>
  <c r="O364" i="9"/>
  <c r="O365" i="9"/>
  <c r="O366" i="9"/>
  <c r="O368" i="9"/>
  <c r="O369" i="9"/>
  <c r="O370" i="9"/>
  <c r="O371" i="9"/>
  <c r="O372" i="9"/>
  <c r="O373" i="9"/>
  <c r="O374" i="9"/>
  <c r="O375" i="9"/>
  <c r="O376" i="9"/>
  <c r="O377" i="9"/>
  <c r="O378" i="9"/>
  <c r="O379" i="9"/>
  <c r="O380" i="9"/>
  <c r="O381" i="9"/>
  <c r="O382" i="9"/>
  <c r="O383" i="9"/>
  <c r="O384" i="9"/>
  <c r="O385" i="9"/>
  <c r="O386" i="9"/>
  <c r="O387" i="9"/>
  <c r="O388" i="9"/>
  <c r="O389" i="9"/>
  <c r="O390" i="9"/>
  <c r="O391" i="9"/>
  <c r="O392" i="9"/>
  <c r="O393" i="9"/>
  <c r="O394" i="9"/>
  <c r="O396" i="9"/>
  <c r="O397" i="9"/>
  <c r="O398" i="9"/>
  <c r="O399" i="9"/>
  <c r="O401" i="9"/>
  <c r="O402" i="9"/>
  <c r="O403" i="9"/>
  <c r="O404" i="9"/>
  <c r="O405" i="9"/>
  <c r="O406" i="9"/>
  <c r="O407" i="9"/>
  <c r="O408" i="9"/>
  <c r="O409" i="9"/>
  <c r="O410" i="9"/>
  <c r="O411" i="9"/>
  <c r="O412" i="9"/>
  <c r="O413" i="9"/>
  <c r="O414" i="9"/>
  <c r="O415" i="9"/>
  <c r="O416" i="9"/>
  <c r="O418" i="9"/>
  <c r="O419" i="9"/>
  <c r="O420" i="9"/>
  <c r="O421" i="9"/>
  <c r="O422" i="9"/>
  <c r="O423" i="9"/>
  <c r="O424" i="9"/>
  <c r="O8" i="9"/>
  <c r="I9" i="9" l="1"/>
  <c r="J9" i="9" s="1"/>
  <c r="I10" i="9"/>
  <c r="J10" i="9" s="1"/>
  <c r="I12" i="9"/>
  <c r="J12" i="9" s="1"/>
  <c r="I13" i="9"/>
  <c r="J13" i="9" s="1"/>
  <c r="I14" i="9"/>
  <c r="J14" i="9" s="1"/>
  <c r="I15" i="9"/>
  <c r="J15" i="9" s="1"/>
  <c r="I16" i="9"/>
  <c r="J16" i="9" s="1"/>
  <c r="I17" i="9"/>
  <c r="J17" i="9" s="1"/>
  <c r="I18" i="9"/>
  <c r="J18" i="9" s="1"/>
  <c r="I19" i="9"/>
  <c r="J19" i="9" s="1"/>
  <c r="I20" i="9"/>
  <c r="J20" i="9" s="1"/>
  <c r="I21" i="9"/>
  <c r="J21" i="9" s="1"/>
  <c r="I22" i="9"/>
  <c r="J22" i="9" s="1"/>
  <c r="I23" i="9"/>
  <c r="J23" i="9" s="1"/>
  <c r="I27" i="9"/>
  <c r="J27" i="9" s="1"/>
  <c r="I28" i="9"/>
  <c r="J28" i="9" s="1"/>
  <c r="I36" i="9"/>
  <c r="J36" i="9" s="1"/>
  <c r="I37" i="9"/>
  <c r="J37" i="9" s="1"/>
  <c r="I38" i="9"/>
  <c r="J38" i="9" s="1"/>
  <c r="I39" i="9"/>
  <c r="J39" i="9" s="1"/>
  <c r="I40" i="9"/>
  <c r="J40" i="9" s="1"/>
  <c r="I41" i="9"/>
  <c r="J41" i="9" s="1"/>
  <c r="I42" i="9"/>
  <c r="J42" i="9" s="1"/>
  <c r="I43" i="9"/>
  <c r="J43" i="9" s="1"/>
  <c r="I44" i="9"/>
  <c r="J44" i="9" s="1"/>
  <c r="I45" i="9"/>
  <c r="J45" i="9" s="1"/>
  <c r="I46" i="9"/>
  <c r="J46" i="9" s="1"/>
  <c r="I47" i="9"/>
  <c r="J47" i="9" s="1"/>
  <c r="I48" i="9"/>
  <c r="J48" i="9" s="1"/>
  <c r="I49" i="9"/>
  <c r="J49" i="9" s="1"/>
  <c r="I50" i="9"/>
  <c r="J50" i="9" s="1"/>
  <c r="I51" i="9"/>
  <c r="J51" i="9" s="1"/>
  <c r="I52" i="9"/>
  <c r="J52" i="9" s="1"/>
  <c r="I53" i="9"/>
  <c r="J53" i="9" s="1"/>
  <c r="I54" i="9"/>
  <c r="J54" i="9" s="1"/>
  <c r="I55" i="9"/>
  <c r="J55" i="9" s="1"/>
  <c r="I56" i="9"/>
  <c r="J56" i="9" s="1"/>
  <c r="I57" i="9"/>
  <c r="J57" i="9" s="1"/>
  <c r="I58" i="9"/>
  <c r="J58" i="9" s="1"/>
  <c r="I59" i="9"/>
  <c r="J59" i="9" s="1"/>
  <c r="I60" i="9"/>
  <c r="J60" i="9" s="1"/>
  <c r="I61" i="9"/>
  <c r="J61" i="9" s="1"/>
  <c r="I62" i="9"/>
  <c r="J62" i="9" s="1"/>
  <c r="I63" i="9"/>
  <c r="J63" i="9" s="1"/>
  <c r="I65" i="9"/>
  <c r="J65" i="9" s="1"/>
  <c r="I66" i="9"/>
  <c r="J66" i="9" s="1"/>
  <c r="I67" i="9"/>
  <c r="J67" i="9" s="1"/>
  <c r="I68" i="9"/>
  <c r="J68" i="9" s="1"/>
  <c r="I69" i="9"/>
  <c r="J69" i="9" s="1"/>
  <c r="I70" i="9"/>
  <c r="J70" i="9" s="1"/>
  <c r="I71" i="9"/>
  <c r="J71" i="9" s="1"/>
  <c r="I72" i="9"/>
  <c r="J72" i="9" s="1"/>
  <c r="I89" i="9"/>
  <c r="J89" i="9" s="1"/>
  <c r="I90" i="9"/>
  <c r="J90" i="9" s="1"/>
  <c r="I91" i="9"/>
  <c r="J91" i="9" s="1"/>
  <c r="I92" i="9"/>
  <c r="J92" i="9" s="1"/>
  <c r="I93" i="9"/>
  <c r="J93" i="9" s="1"/>
  <c r="I94" i="9"/>
  <c r="J94" i="9" s="1"/>
  <c r="I95" i="9"/>
  <c r="J95" i="9" s="1"/>
  <c r="I96" i="9"/>
  <c r="J96" i="9" s="1"/>
  <c r="I97" i="9"/>
  <c r="J97" i="9" s="1"/>
  <c r="I98" i="9"/>
  <c r="J98" i="9" s="1"/>
  <c r="I99" i="9"/>
  <c r="J99" i="9" s="1"/>
  <c r="I100" i="9"/>
  <c r="J100" i="9" s="1"/>
  <c r="I101" i="9"/>
  <c r="J101" i="9" s="1"/>
  <c r="I102" i="9"/>
  <c r="J102" i="9" s="1"/>
  <c r="I103" i="9"/>
  <c r="J103" i="9" s="1"/>
  <c r="I104" i="9"/>
  <c r="J104" i="9" s="1"/>
  <c r="I105" i="9"/>
  <c r="J105" i="9" s="1"/>
  <c r="I106" i="9"/>
  <c r="J106" i="9" s="1"/>
  <c r="I107" i="9"/>
  <c r="J107" i="9" s="1"/>
  <c r="I108" i="9"/>
  <c r="J108" i="9" s="1"/>
  <c r="I109" i="9"/>
  <c r="J109" i="9" s="1"/>
  <c r="I110" i="9"/>
  <c r="J110" i="9" s="1"/>
  <c r="I111" i="9"/>
  <c r="J111" i="9" s="1"/>
  <c r="I112" i="9"/>
  <c r="J112" i="9" s="1"/>
  <c r="I113" i="9"/>
  <c r="J113" i="9" s="1"/>
  <c r="I114" i="9"/>
  <c r="J114" i="9" s="1"/>
  <c r="I116" i="9"/>
  <c r="J116" i="9" s="1"/>
  <c r="I117" i="9"/>
  <c r="J117" i="9" s="1"/>
  <c r="I118" i="9"/>
  <c r="J118" i="9" s="1"/>
  <c r="I120" i="9"/>
  <c r="J120" i="9" s="1"/>
  <c r="I121" i="9"/>
  <c r="J121" i="9" s="1"/>
  <c r="I122" i="9"/>
  <c r="J122" i="9" s="1"/>
  <c r="I123" i="9"/>
  <c r="J123" i="9" s="1"/>
  <c r="I124" i="9"/>
  <c r="J124" i="9" s="1"/>
  <c r="I125" i="9"/>
  <c r="J125" i="9" s="1"/>
  <c r="I126" i="9"/>
  <c r="J126" i="9" s="1"/>
  <c r="I128" i="9"/>
  <c r="J128" i="9" s="1"/>
  <c r="I129" i="9"/>
  <c r="J129" i="9" s="1"/>
  <c r="I130" i="9"/>
  <c r="J130" i="9" s="1"/>
  <c r="I132" i="9"/>
  <c r="J132" i="9" s="1"/>
  <c r="I133" i="9"/>
  <c r="J133" i="9" s="1"/>
  <c r="I134" i="9"/>
  <c r="J134" i="9" s="1"/>
  <c r="I135" i="9"/>
  <c r="J135" i="9" s="1"/>
  <c r="I136" i="9"/>
  <c r="J136" i="9" s="1"/>
  <c r="I137" i="9"/>
  <c r="J137" i="9" s="1"/>
  <c r="I138" i="9"/>
  <c r="J138" i="9" s="1"/>
  <c r="I139" i="9"/>
  <c r="J139" i="9" s="1"/>
  <c r="I140" i="9"/>
  <c r="J140" i="9" s="1"/>
  <c r="I141" i="9"/>
  <c r="J141" i="9" s="1"/>
  <c r="I142" i="9"/>
  <c r="J142" i="9" s="1"/>
  <c r="I143" i="9"/>
  <c r="J143" i="9" s="1"/>
  <c r="I144" i="9"/>
  <c r="J144" i="9" s="1"/>
  <c r="I145" i="9"/>
  <c r="J145" i="9" s="1"/>
  <c r="I146" i="9"/>
  <c r="J146" i="9" s="1"/>
  <c r="I148" i="9"/>
  <c r="J148" i="9" s="1"/>
  <c r="I149" i="9"/>
  <c r="J149" i="9" s="1"/>
  <c r="I150" i="9"/>
  <c r="J150" i="9" s="1"/>
  <c r="I151" i="9"/>
  <c r="J151" i="9" s="1"/>
  <c r="I152" i="9"/>
  <c r="J152" i="9" s="1"/>
  <c r="I154" i="9"/>
  <c r="J154" i="9" s="1"/>
  <c r="I155" i="9"/>
  <c r="J155" i="9" s="1"/>
  <c r="I156" i="9"/>
  <c r="J156" i="9" s="1"/>
  <c r="I157" i="9"/>
  <c r="J157" i="9" s="1"/>
  <c r="I158" i="9"/>
  <c r="J158" i="9" s="1"/>
  <c r="I159" i="9"/>
  <c r="J159" i="9" s="1"/>
  <c r="I160" i="9"/>
  <c r="J160" i="9" s="1"/>
  <c r="I161" i="9"/>
  <c r="J161" i="9" s="1"/>
  <c r="I162" i="9"/>
  <c r="J162" i="9" s="1"/>
  <c r="I163" i="9"/>
  <c r="J163" i="9" s="1"/>
  <c r="I164" i="9"/>
  <c r="J164" i="9" s="1"/>
  <c r="I165" i="9"/>
  <c r="J165" i="9" s="1"/>
  <c r="I166" i="9"/>
  <c r="J166" i="9" s="1"/>
  <c r="I167" i="9"/>
  <c r="J167" i="9" s="1"/>
  <c r="I168" i="9"/>
  <c r="J168" i="9" s="1"/>
  <c r="I169" i="9"/>
  <c r="J169" i="9" s="1"/>
  <c r="I170" i="9"/>
  <c r="J170" i="9" s="1"/>
  <c r="I171" i="9"/>
  <c r="J171" i="9" s="1"/>
  <c r="I172" i="9"/>
  <c r="J172" i="9" s="1"/>
  <c r="I173" i="9"/>
  <c r="J173" i="9" s="1"/>
  <c r="I174" i="9"/>
  <c r="J174" i="9" s="1"/>
  <c r="I176" i="9"/>
  <c r="J176" i="9" s="1"/>
  <c r="I178" i="9"/>
  <c r="J178" i="9" s="1"/>
  <c r="I179" i="9"/>
  <c r="J179" i="9" s="1"/>
  <c r="I180" i="9"/>
  <c r="J180" i="9" s="1"/>
  <c r="I181" i="9"/>
  <c r="J181" i="9" s="1"/>
  <c r="I182" i="9"/>
  <c r="J182" i="9" s="1"/>
  <c r="I183" i="9"/>
  <c r="J183" i="9" s="1"/>
  <c r="I184" i="9"/>
  <c r="J184" i="9" s="1"/>
  <c r="I185" i="9"/>
  <c r="J185" i="9" s="1"/>
  <c r="I186" i="9"/>
  <c r="J186" i="9" s="1"/>
  <c r="I187" i="9"/>
  <c r="J187" i="9" s="1"/>
  <c r="I188" i="9"/>
  <c r="J188" i="9" s="1"/>
  <c r="I189" i="9"/>
  <c r="J189" i="9" s="1"/>
  <c r="I190" i="9"/>
  <c r="J190" i="9" s="1"/>
  <c r="I191" i="9"/>
  <c r="J191" i="9" s="1"/>
  <c r="I192" i="9"/>
  <c r="J192" i="9" s="1"/>
  <c r="I193" i="9"/>
  <c r="J193" i="9" s="1"/>
  <c r="I194" i="9"/>
  <c r="J194" i="9" s="1"/>
  <c r="I195" i="9"/>
  <c r="J195" i="9" s="1"/>
  <c r="I201" i="9"/>
  <c r="J201" i="9" s="1"/>
  <c r="I202" i="9"/>
  <c r="J202" i="9" s="1"/>
  <c r="I203" i="9"/>
  <c r="J203" i="9" s="1"/>
  <c r="I204" i="9"/>
  <c r="J204" i="9" s="1"/>
  <c r="I205" i="9"/>
  <c r="J205" i="9" s="1"/>
  <c r="I206" i="9"/>
  <c r="J206" i="9" s="1"/>
  <c r="I207" i="9"/>
  <c r="J207" i="9" s="1"/>
  <c r="I208" i="9"/>
  <c r="J208" i="9" s="1"/>
  <c r="I209" i="9"/>
  <c r="J209" i="9" s="1"/>
  <c r="I210" i="9"/>
  <c r="J210" i="9" s="1"/>
  <c r="I211" i="9"/>
  <c r="J211" i="9" s="1"/>
  <c r="I212" i="9"/>
  <c r="J212" i="9" s="1"/>
  <c r="I213" i="9"/>
  <c r="J213" i="9" s="1"/>
  <c r="I214" i="9"/>
  <c r="J214" i="9" s="1"/>
  <c r="I216" i="9"/>
  <c r="J216" i="9" s="1"/>
  <c r="I217" i="9"/>
  <c r="J217" i="9" s="1"/>
  <c r="I218" i="9"/>
  <c r="J218" i="9" s="1"/>
  <c r="I219" i="9"/>
  <c r="J219" i="9" s="1"/>
  <c r="I221" i="9"/>
  <c r="J221" i="9" s="1"/>
  <c r="I222" i="9"/>
  <c r="J222" i="9" s="1"/>
  <c r="I223" i="9"/>
  <c r="J223" i="9" s="1"/>
  <c r="I224" i="9"/>
  <c r="J224" i="9" s="1"/>
  <c r="I225" i="9"/>
  <c r="J225" i="9" s="1"/>
  <c r="I226" i="9"/>
  <c r="J226" i="9" s="1"/>
  <c r="I227" i="9"/>
  <c r="J227" i="9" s="1"/>
  <c r="I228" i="9"/>
  <c r="J228" i="9" s="1"/>
  <c r="I229" i="9"/>
  <c r="J229" i="9" s="1"/>
  <c r="I230" i="9"/>
  <c r="J230" i="9" s="1"/>
  <c r="I231" i="9"/>
  <c r="J231" i="9" s="1"/>
  <c r="I232" i="9"/>
  <c r="J232" i="9" s="1"/>
  <c r="I233" i="9"/>
  <c r="J233" i="9" s="1"/>
  <c r="I234" i="9"/>
  <c r="J234" i="9" s="1"/>
  <c r="I235" i="9"/>
  <c r="J235" i="9" s="1"/>
  <c r="I240" i="9"/>
  <c r="J240" i="9" s="1"/>
  <c r="I241" i="9"/>
  <c r="J241" i="9" s="1"/>
  <c r="I242" i="9"/>
  <c r="J242" i="9" s="1"/>
  <c r="I243" i="9"/>
  <c r="J243" i="9" s="1"/>
  <c r="I244" i="9"/>
  <c r="J244" i="9" s="1"/>
  <c r="I245" i="9"/>
  <c r="J245" i="9" s="1"/>
  <c r="I246" i="9"/>
  <c r="J246" i="9" s="1"/>
  <c r="I247" i="9"/>
  <c r="J247" i="9" s="1"/>
  <c r="I248" i="9"/>
  <c r="J248" i="9" s="1"/>
  <c r="I249" i="9"/>
  <c r="J249" i="9" s="1"/>
  <c r="I250" i="9"/>
  <c r="J250" i="9" s="1"/>
  <c r="I251" i="9"/>
  <c r="J251" i="9" s="1"/>
  <c r="I252" i="9"/>
  <c r="J252" i="9" s="1"/>
  <c r="I253" i="9"/>
  <c r="J253" i="9" s="1"/>
  <c r="I264" i="9"/>
  <c r="J264" i="9" s="1"/>
  <c r="I265" i="9"/>
  <c r="J265" i="9" s="1"/>
  <c r="I266" i="9"/>
  <c r="J266" i="9" s="1"/>
  <c r="I267" i="9"/>
  <c r="J267" i="9" s="1"/>
  <c r="I268" i="9"/>
  <c r="J268" i="9" s="1"/>
  <c r="I269" i="9"/>
  <c r="J269" i="9" s="1"/>
  <c r="I288" i="9"/>
  <c r="J288" i="9" s="1"/>
  <c r="I289" i="9"/>
  <c r="J289" i="9" s="1"/>
  <c r="I290" i="9"/>
  <c r="J290" i="9" s="1"/>
  <c r="I291" i="9"/>
  <c r="J291" i="9" s="1"/>
  <c r="I292" i="9"/>
  <c r="J292" i="9" s="1"/>
  <c r="I293" i="9"/>
  <c r="J293" i="9" s="1"/>
  <c r="I294" i="9"/>
  <c r="J294" i="9" s="1"/>
  <c r="I295" i="9"/>
  <c r="J295" i="9" s="1"/>
  <c r="I296" i="9"/>
  <c r="J296" i="9" s="1"/>
  <c r="I297" i="9"/>
  <c r="J297" i="9" s="1"/>
  <c r="I298" i="9"/>
  <c r="J298" i="9" s="1"/>
  <c r="I299" i="9"/>
  <c r="J299" i="9" s="1"/>
  <c r="I300" i="9"/>
  <c r="J300" i="9" s="1"/>
  <c r="I301" i="9"/>
  <c r="J301" i="9" s="1"/>
  <c r="I302" i="9"/>
  <c r="J302" i="9" s="1"/>
  <c r="I303" i="9"/>
  <c r="J303" i="9" s="1"/>
  <c r="I304" i="9"/>
  <c r="J304" i="9" s="1"/>
  <c r="I305" i="9"/>
  <c r="J305" i="9" s="1"/>
  <c r="I306" i="9"/>
  <c r="J306" i="9" s="1"/>
  <c r="I307" i="9"/>
  <c r="J307" i="9" s="1"/>
  <c r="I308" i="9"/>
  <c r="J308" i="9" s="1"/>
  <c r="I309" i="9"/>
  <c r="J309" i="9" s="1"/>
  <c r="I310" i="9"/>
  <c r="J310" i="9" s="1"/>
  <c r="I311" i="9"/>
  <c r="J311" i="9" s="1"/>
  <c r="I312" i="9"/>
  <c r="J312" i="9" s="1"/>
  <c r="I313" i="9"/>
  <c r="J313" i="9" s="1"/>
  <c r="I314" i="9"/>
  <c r="J314" i="9" s="1"/>
  <c r="I315" i="9"/>
  <c r="J315" i="9" s="1"/>
  <c r="I316" i="9"/>
  <c r="J316" i="9" s="1"/>
  <c r="I317" i="9"/>
  <c r="J317" i="9" s="1"/>
  <c r="I318" i="9"/>
  <c r="J318" i="9" s="1"/>
  <c r="I319" i="9"/>
  <c r="J319" i="9" s="1"/>
  <c r="I320" i="9"/>
  <c r="J320" i="9" s="1"/>
  <c r="I321" i="9"/>
  <c r="J321" i="9" s="1"/>
  <c r="I328" i="9"/>
  <c r="J328" i="9" s="1"/>
  <c r="I329" i="9"/>
  <c r="J329" i="9" s="1"/>
  <c r="I330" i="9"/>
  <c r="J330" i="9" s="1"/>
  <c r="I331" i="9"/>
  <c r="J331" i="9" s="1"/>
  <c r="I332" i="9"/>
  <c r="J332" i="9" s="1"/>
  <c r="I333" i="9"/>
  <c r="J333" i="9" s="1"/>
  <c r="I334" i="9"/>
  <c r="J334" i="9" s="1"/>
  <c r="I336" i="9"/>
  <c r="J336" i="9" s="1"/>
  <c r="I337" i="9"/>
  <c r="J337" i="9" s="1"/>
  <c r="I338" i="9"/>
  <c r="J338" i="9" s="1"/>
  <c r="I339" i="9"/>
  <c r="J339" i="9" s="1"/>
  <c r="I340" i="9"/>
  <c r="J340" i="9" s="1"/>
  <c r="I341" i="9"/>
  <c r="J341" i="9" s="1"/>
  <c r="I342" i="9"/>
  <c r="J342" i="9" s="1"/>
  <c r="I343" i="9"/>
  <c r="J343" i="9" s="1"/>
  <c r="I344" i="9"/>
  <c r="J344" i="9" s="1"/>
  <c r="I345" i="9"/>
  <c r="J345" i="9" s="1"/>
  <c r="I346" i="9"/>
  <c r="J346" i="9" s="1"/>
  <c r="I347" i="9"/>
  <c r="J347" i="9" s="1"/>
  <c r="I348" i="9"/>
  <c r="J348" i="9" s="1"/>
  <c r="I349" i="9"/>
  <c r="J349" i="9" s="1"/>
  <c r="I350" i="9"/>
  <c r="J350" i="9" s="1"/>
  <c r="I351" i="9"/>
  <c r="J351" i="9" s="1"/>
  <c r="I352" i="9"/>
  <c r="J352" i="9" s="1"/>
  <c r="I353" i="9"/>
  <c r="J353" i="9" s="1"/>
  <c r="I354" i="9"/>
  <c r="J354" i="9" s="1"/>
  <c r="I355" i="9"/>
  <c r="J355" i="9" s="1"/>
  <c r="I356" i="9"/>
  <c r="J356" i="9" s="1"/>
  <c r="I357" i="9"/>
  <c r="J357" i="9" s="1"/>
  <c r="I358" i="9"/>
  <c r="J358" i="9" s="1"/>
  <c r="I359" i="9"/>
  <c r="J359" i="9" s="1"/>
  <c r="I360" i="9"/>
  <c r="J360" i="9" s="1"/>
  <c r="I361" i="9"/>
  <c r="J361" i="9" s="1"/>
  <c r="I362" i="9"/>
  <c r="J362" i="9" s="1"/>
  <c r="I363" i="9"/>
  <c r="J363" i="9" s="1"/>
  <c r="I364" i="9"/>
  <c r="J364" i="9" s="1"/>
  <c r="I365" i="9"/>
  <c r="J365" i="9" s="1"/>
  <c r="I366" i="9"/>
  <c r="J366" i="9" s="1"/>
  <c r="I368" i="9"/>
  <c r="J368" i="9" s="1"/>
  <c r="I369" i="9"/>
  <c r="J369" i="9" s="1"/>
  <c r="I370" i="9"/>
  <c r="J370" i="9" s="1"/>
  <c r="I371" i="9"/>
  <c r="J371" i="9" s="1"/>
  <c r="I372" i="9"/>
  <c r="J372" i="9" s="1"/>
  <c r="I373" i="9"/>
  <c r="J373" i="9" s="1"/>
  <c r="I374" i="9"/>
  <c r="J374" i="9" s="1"/>
  <c r="I375" i="9"/>
  <c r="J375" i="9" s="1"/>
  <c r="I376" i="9"/>
  <c r="J376" i="9" s="1"/>
  <c r="I377" i="9"/>
  <c r="J377" i="9" s="1"/>
  <c r="I378" i="9"/>
  <c r="J378" i="9" s="1"/>
  <c r="I379" i="9"/>
  <c r="J379" i="9" s="1"/>
  <c r="I380" i="9"/>
  <c r="J380" i="9" s="1"/>
  <c r="I381" i="9"/>
  <c r="J381" i="9" s="1"/>
  <c r="I382" i="9"/>
  <c r="J382" i="9" s="1"/>
  <c r="I383" i="9"/>
  <c r="J383" i="9" s="1"/>
  <c r="I384" i="9"/>
  <c r="J384" i="9" s="1"/>
  <c r="I385" i="9"/>
  <c r="J385" i="9" s="1"/>
  <c r="I386" i="9"/>
  <c r="J386" i="9" s="1"/>
  <c r="I387" i="9"/>
  <c r="J387" i="9" s="1"/>
  <c r="I388" i="9"/>
  <c r="J388" i="9" s="1"/>
  <c r="I389" i="9"/>
  <c r="J389" i="9" s="1"/>
  <c r="I390" i="9"/>
  <c r="J390" i="9" s="1"/>
  <c r="I391" i="9"/>
  <c r="J391" i="9" s="1"/>
  <c r="I392" i="9"/>
  <c r="J392" i="9" s="1"/>
  <c r="I393" i="9"/>
  <c r="J393" i="9" s="1"/>
  <c r="I394" i="9"/>
  <c r="J394" i="9" s="1"/>
  <c r="I396" i="9"/>
  <c r="J396" i="9" s="1"/>
  <c r="I397" i="9"/>
  <c r="J397" i="9" s="1"/>
  <c r="I398" i="9"/>
  <c r="J398" i="9" s="1"/>
  <c r="I399" i="9"/>
  <c r="J399" i="9" s="1"/>
  <c r="I401" i="9"/>
  <c r="J401" i="9" s="1"/>
  <c r="I402" i="9"/>
  <c r="J402" i="9" s="1"/>
  <c r="I403" i="9"/>
  <c r="J403" i="9" s="1"/>
  <c r="I404" i="9"/>
  <c r="J404" i="9" s="1"/>
  <c r="I405" i="9"/>
  <c r="J405" i="9" s="1"/>
  <c r="I406" i="9"/>
  <c r="J406" i="9" s="1"/>
  <c r="I407" i="9"/>
  <c r="J407" i="9" s="1"/>
  <c r="I408" i="9"/>
  <c r="J408" i="9" s="1"/>
  <c r="I409" i="9"/>
  <c r="J409" i="9" s="1"/>
  <c r="I410" i="9"/>
  <c r="J410" i="9" s="1"/>
  <c r="I411" i="9"/>
  <c r="J411" i="9" s="1"/>
  <c r="I412" i="9"/>
  <c r="J412" i="9" s="1"/>
  <c r="I413" i="9"/>
  <c r="J413" i="9" s="1"/>
  <c r="I414" i="9"/>
  <c r="J414" i="9" s="1"/>
  <c r="I415" i="9"/>
  <c r="J415" i="9" s="1"/>
  <c r="I416" i="9"/>
  <c r="J416" i="9" s="1"/>
  <c r="I418" i="9"/>
  <c r="J418" i="9" s="1"/>
  <c r="I419" i="9"/>
  <c r="J419" i="9" s="1"/>
  <c r="I420" i="9"/>
  <c r="J420" i="9" s="1"/>
  <c r="I421" i="9"/>
  <c r="J421" i="9" s="1"/>
  <c r="I422" i="9"/>
  <c r="J422" i="9" s="1"/>
  <c r="I423" i="9"/>
  <c r="J423" i="9" s="1"/>
  <c r="I424" i="9"/>
  <c r="J424" i="9" s="1"/>
  <c r="I8" i="9"/>
  <c r="J8" i="9" s="1"/>
  <c r="H8" i="9"/>
  <c r="H10" i="9"/>
  <c r="H12" i="9"/>
  <c r="H13" i="9"/>
  <c r="H14" i="9"/>
  <c r="H15" i="9"/>
  <c r="H16" i="9"/>
  <c r="H17" i="9"/>
  <c r="H18" i="9"/>
  <c r="H19" i="9"/>
  <c r="H20" i="9"/>
  <c r="H21" i="9"/>
  <c r="H22" i="9"/>
  <c r="H23" i="9"/>
  <c r="H27" i="9"/>
  <c r="H28" i="9"/>
  <c r="H36" i="9"/>
  <c r="H37" i="9"/>
  <c r="H38" i="9"/>
  <c r="H39" i="9"/>
  <c r="H40" i="9"/>
  <c r="H41" i="9"/>
  <c r="H42" i="9"/>
  <c r="H43" i="9"/>
  <c r="H44" i="9"/>
  <c r="H45" i="9"/>
  <c r="H46" i="9"/>
  <c r="H47" i="9"/>
  <c r="H48" i="9"/>
  <c r="H49" i="9"/>
  <c r="H50" i="9"/>
  <c r="H51" i="9"/>
  <c r="H52" i="9"/>
  <c r="H53" i="9"/>
  <c r="H54" i="9"/>
  <c r="H55" i="9"/>
  <c r="H56" i="9"/>
  <c r="H57" i="9"/>
  <c r="H58" i="9"/>
  <c r="H59" i="9"/>
  <c r="H60" i="9"/>
  <c r="H61" i="9"/>
  <c r="H62" i="9"/>
  <c r="H63" i="9"/>
  <c r="H65" i="9"/>
  <c r="H66" i="9"/>
  <c r="H67" i="9"/>
  <c r="H68" i="9"/>
  <c r="H69" i="9"/>
  <c r="H70" i="9"/>
  <c r="H71" i="9"/>
  <c r="H72" i="9"/>
  <c r="H89" i="9"/>
  <c r="H90" i="9"/>
  <c r="H91" i="9"/>
  <c r="H92" i="9"/>
  <c r="H93" i="9"/>
  <c r="H94" i="9"/>
  <c r="H95" i="9"/>
  <c r="H96" i="9"/>
  <c r="H97" i="9"/>
  <c r="H98" i="9"/>
  <c r="H99" i="9"/>
  <c r="H100" i="9"/>
  <c r="H101" i="9"/>
  <c r="H102" i="9"/>
  <c r="H103" i="9"/>
  <c r="H104" i="9"/>
  <c r="H105" i="9"/>
  <c r="H106" i="9"/>
  <c r="H107" i="9"/>
  <c r="H108" i="9"/>
  <c r="H109" i="9"/>
  <c r="H110" i="9"/>
  <c r="H111" i="9"/>
  <c r="H112" i="9"/>
  <c r="H113" i="9"/>
  <c r="H114" i="9"/>
  <c r="H116" i="9"/>
  <c r="H117" i="9"/>
  <c r="H118" i="9"/>
  <c r="H120" i="9"/>
  <c r="H121" i="9"/>
  <c r="H122" i="9"/>
  <c r="H123" i="9"/>
  <c r="H124" i="9"/>
  <c r="H125" i="9"/>
  <c r="H126" i="9"/>
  <c r="H128" i="9"/>
  <c r="H129" i="9"/>
  <c r="H130" i="9"/>
  <c r="H132" i="9"/>
  <c r="H133" i="9"/>
  <c r="H134" i="9"/>
  <c r="H135" i="9"/>
  <c r="H136" i="9"/>
  <c r="H137" i="9"/>
  <c r="H138" i="9"/>
  <c r="H139" i="9"/>
  <c r="H140" i="9"/>
  <c r="H141" i="9"/>
  <c r="H142" i="9"/>
  <c r="H143" i="9"/>
  <c r="H144" i="9"/>
  <c r="H145" i="9"/>
  <c r="H146" i="9"/>
  <c r="H148" i="9"/>
  <c r="H149" i="9"/>
  <c r="H150" i="9"/>
  <c r="H151" i="9"/>
  <c r="H152" i="9"/>
  <c r="H154" i="9"/>
  <c r="H155" i="9"/>
  <c r="H156" i="9"/>
  <c r="H157" i="9"/>
  <c r="H158" i="9"/>
  <c r="H159" i="9"/>
  <c r="H160" i="9"/>
  <c r="H161" i="9"/>
  <c r="H162" i="9"/>
  <c r="H163" i="9"/>
  <c r="H164" i="9"/>
  <c r="H165" i="9"/>
  <c r="H166" i="9"/>
  <c r="H167" i="9"/>
  <c r="H168" i="9"/>
  <c r="H169" i="9"/>
  <c r="H170" i="9"/>
  <c r="H171" i="9"/>
  <c r="H172" i="9"/>
  <c r="H173" i="9"/>
  <c r="H174" i="9"/>
  <c r="H176" i="9"/>
  <c r="H178" i="9"/>
  <c r="H179" i="9"/>
  <c r="H180" i="9"/>
  <c r="H181" i="9"/>
  <c r="H182" i="9"/>
  <c r="H183" i="9"/>
  <c r="H184" i="9"/>
  <c r="H185" i="9"/>
  <c r="H186" i="9"/>
  <c r="H187" i="9"/>
  <c r="H188" i="9"/>
  <c r="H189" i="9"/>
  <c r="H190" i="9"/>
  <c r="H191" i="9"/>
  <c r="H192" i="9"/>
  <c r="H193" i="9"/>
  <c r="H194" i="9"/>
  <c r="H195" i="9"/>
  <c r="H201" i="9"/>
  <c r="H202" i="9"/>
  <c r="H203" i="9"/>
  <c r="H204" i="9"/>
  <c r="H205" i="9"/>
  <c r="H206" i="9"/>
  <c r="H207" i="9"/>
  <c r="H208" i="9"/>
  <c r="H209" i="9"/>
  <c r="H210" i="9"/>
  <c r="H211" i="9"/>
  <c r="H212" i="9"/>
  <c r="H213" i="9"/>
  <c r="H214" i="9"/>
  <c r="H216" i="9"/>
  <c r="H217" i="9"/>
  <c r="H218" i="9"/>
  <c r="H219" i="9"/>
  <c r="H221" i="9"/>
  <c r="H222" i="9"/>
  <c r="H223" i="9"/>
  <c r="H224" i="9"/>
  <c r="H225" i="9"/>
  <c r="H226" i="9"/>
  <c r="H227" i="9"/>
  <c r="H228" i="9"/>
  <c r="H229" i="9"/>
  <c r="H230" i="9"/>
  <c r="H231" i="9"/>
  <c r="H232" i="9"/>
  <c r="H233" i="9"/>
  <c r="H234" i="9"/>
  <c r="H235" i="9"/>
  <c r="H240" i="9"/>
  <c r="H241" i="9"/>
  <c r="H242" i="9"/>
  <c r="H243" i="9"/>
  <c r="H244" i="9"/>
  <c r="H245" i="9"/>
  <c r="H246" i="9"/>
  <c r="H247" i="9"/>
  <c r="H248" i="9"/>
  <c r="H249" i="9"/>
  <c r="H250" i="9"/>
  <c r="H251" i="9"/>
  <c r="H252" i="9"/>
  <c r="H253" i="9"/>
  <c r="H264" i="9"/>
  <c r="H265" i="9"/>
  <c r="H266" i="9"/>
  <c r="H267" i="9"/>
  <c r="H268" i="9"/>
  <c r="H269" i="9"/>
  <c r="H288" i="9"/>
  <c r="H289" i="9"/>
  <c r="H290" i="9"/>
  <c r="H291" i="9"/>
  <c r="H292" i="9"/>
  <c r="H293" i="9"/>
  <c r="H294" i="9"/>
  <c r="H295" i="9"/>
  <c r="H296" i="9"/>
  <c r="H297" i="9"/>
  <c r="H298" i="9"/>
  <c r="H299" i="9"/>
  <c r="H300" i="9"/>
  <c r="H301" i="9"/>
  <c r="H302" i="9"/>
  <c r="H303" i="9"/>
  <c r="H304" i="9"/>
  <c r="H305" i="9"/>
  <c r="H306" i="9"/>
  <c r="H307" i="9"/>
  <c r="H308" i="9"/>
  <c r="H309" i="9"/>
  <c r="H310" i="9"/>
  <c r="H311" i="9"/>
  <c r="H312" i="9"/>
  <c r="H313" i="9"/>
  <c r="H314" i="9"/>
  <c r="H315" i="9"/>
  <c r="H316" i="9"/>
  <c r="H317" i="9"/>
  <c r="H318" i="9"/>
  <c r="H319" i="9"/>
  <c r="H320" i="9"/>
  <c r="H321" i="9"/>
  <c r="H328" i="9"/>
  <c r="H329" i="9"/>
  <c r="H330" i="9"/>
  <c r="H331" i="9"/>
  <c r="H332" i="9"/>
  <c r="H333" i="9"/>
  <c r="H334" i="9"/>
  <c r="H336" i="9"/>
  <c r="H337" i="9"/>
  <c r="H338" i="9"/>
  <c r="H339" i="9"/>
  <c r="H340" i="9"/>
  <c r="H341" i="9"/>
  <c r="H342" i="9"/>
  <c r="H343" i="9"/>
  <c r="H344" i="9"/>
  <c r="H345" i="9"/>
  <c r="H346" i="9"/>
  <c r="H347" i="9"/>
  <c r="H348" i="9"/>
  <c r="H349" i="9"/>
  <c r="H350" i="9"/>
  <c r="H351" i="9"/>
  <c r="H352" i="9"/>
  <c r="H353" i="9"/>
  <c r="H354" i="9"/>
  <c r="H355" i="9"/>
  <c r="H356" i="9"/>
  <c r="H357" i="9"/>
  <c r="H358" i="9"/>
  <c r="H359" i="9"/>
  <c r="H360" i="9"/>
  <c r="H361" i="9"/>
  <c r="H362" i="9"/>
  <c r="H363" i="9"/>
  <c r="H364" i="9"/>
  <c r="H365" i="9"/>
  <c r="H366" i="9"/>
  <c r="H368" i="9"/>
  <c r="H369" i="9"/>
  <c r="H370" i="9"/>
  <c r="H371" i="9"/>
  <c r="H372" i="9"/>
  <c r="H373" i="9"/>
  <c r="H374" i="9"/>
  <c r="H375" i="9"/>
  <c r="H376" i="9"/>
  <c r="H377" i="9"/>
  <c r="H378" i="9"/>
  <c r="H379" i="9"/>
  <c r="H380" i="9"/>
  <c r="H381" i="9"/>
  <c r="H382" i="9"/>
  <c r="H383" i="9"/>
  <c r="H384" i="9"/>
  <c r="H385" i="9"/>
  <c r="H386" i="9"/>
  <c r="H387" i="9"/>
  <c r="H388" i="9"/>
  <c r="H389" i="9"/>
  <c r="H390" i="9"/>
  <c r="H391" i="9"/>
  <c r="H392" i="9"/>
  <c r="H393" i="9"/>
  <c r="H394" i="9"/>
  <c r="H396" i="9"/>
  <c r="H397" i="9"/>
  <c r="H398" i="9"/>
  <c r="H399" i="9"/>
  <c r="H401" i="9"/>
  <c r="H402" i="9"/>
  <c r="H403" i="9"/>
  <c r="H404" i="9"/>
  <c r="H405" i="9"/>
  <c r="H406" i="9"/>
  <c r="H407" i="9"/>
  <c r="H408" i="9"/>
  <c r="H409" i="9"/>
  <c r="H410" i="9"/>
  <c r="H411" i="9"/>
  <c r="H412" i="9"/>
  <c r="H413" i="9"/>
  <c r="H414" i="9"/>
  <c r="H415" i="9"/>
  <c r="H416" i="9"/>
  <c r="H418" i="9"/>
  <c r="H419" i="9"/>
  <c r="H420" i="9"/>
  <c r="H421" i="9"/>
  <c r="H422" i="9"/>
  <c r="H423" i="9"/>
  <c r="H424" i="9"/>
  <c r="H9" i="9"/>
  <c r="G9" i="9"/>
  <c r="G10" i="9"/>
  <c r="G12" i="9"/>
  <c r="G13" i="9"/>
  <c r="G14" i="9"/>
  <c r="G15" i="9"/>
  <c r="G16" i="9"/>
  <c r="G17" i="9"/>
  <c r="G18" i="9"/>
  <c r="G19" i="9"/>
  <c r="G20" i="9"/>
  <c r="G21" i="9"/>
  <c r="G22" i="9"/>
  <c r="G23" i="9"/>
  <c r="G27" i="9"/>
  <c r="G28"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5" i="9"/>
  <c r="G66" i="9"/>
  <c r="G67" i="9"/>
  <c r="G68" i="9"/>
  <c r="G69" i="9"/>
  <c r="G70" i="9"/>
  <c r="G71" i="9"/>
  <c r="G72" i="9"/>
  <c r="G89" i="9"/>
  <c r="G90" i="9"/>
  <c r="G91" i="9"/>
  <c r="G92" i="9"/>
  <c r="G93" i="9"/>
  <c r="G94" i="9"/>
  <c r="G95" i="9"/>
  <c r="G96" i="9"/>
  <c r="G97" i="9"/>
  <c r="G98" i="9"/>
  <c r="G99" i="9"/>
  <c r="G100" i="9"/>
  <c r="G101" i="9"/>
  <c r="G102" i="9"/>
  <c r="G103" i="9"/>
  <c r="G104" i="9"/>
  <c r="G105" i="9"/>
  <c r="G106" i="9"/>
  <c r="G107" i="9"/>
  <c r="G108" i="9"/>
  <c r="G109" i="9"/>
  <c r="G110" i="9"/>
  <c r="G111" i="9"/>
  <c r="G112" i="9"/>
  <c r="G113" i="9"/>
  <c r="G114" i="9"/>
  <c r="G116" i="9"/>
  <c r="G117" i="9"/>
  <c r="G118" i="9"/>
  <c r="G120" i="9"/>
  <c r="G121" i="9"/>
  <c r="G122" i="9"/>
  <c r="G123" i="9"/>
  <c r="G124" i="9"/>
  <c r="G125" i="9"/>
  <c r="G126" i="9"/>
  <c r="G128" i="9"/>
  <c r="G129" i="9"/>
  <c r="G130" i="9"/>
  <c r="G132" i="9"/>
  <c r="G133" i="9"/>
  <c r="G134" i="9"/>
  <c r="G135" i="9"/>
  <c r="G136" i="9"/>
  <c r="G137" i="9"/>
  <c r="G138" i="9"/>
  <c r="G139" i="9"/>
  <c r="G140" i="9"/>
  <c r="G141" i="9"/>
  <c r="G142" i="9"/>
  <c r="G143" i="9"/>
  <c r="G144" i="9"/>
  <c r="G145" i="9"/>
  <c r="G146" i="9"/>
  <c r="G148" i="9"/>
  <c r="G149" i="9"/>
  <c r="G150" i="9"/>
  <c r="G151" i="9"/>
  <c r="G152" i="9"/>
  <c r="G154" i="9"/>
  <c r="G155" i="9"/>
  <c r="G156" i="9"/>
  <c r="G157" i="9"/>
  <c r="G158" i="9"/>
  <c r="G159" i="9"/>
  <c r="G160" i="9"/>
  <c r="G161" i="9"/>
  <c r="G162" i="9"/>
  <c r="G163" i="9"/>
  <c r="G164" i="9"/>
  <c r="G165" i="9"/>
  <c r="G166" i="9"/>
  <c r="G167" i="9"/>
  <c r="G168" i="9"/>
  <c r="G169" i="9"/>
  <c r="G170" i="9"/>
  <c r="G171" i="9"/>
  <c r="G172" i="9"/>
  <c r="G173" i="9"/>
  <c r="G174" i="9"/>
  <c r="G176" i="9"/>
  <c r="G178" i="9"/>
  <c r="G179" i="9"/>
  <c r="G180" i="9"/>
  <c r="G181" i="9"/>
  <c r="G182" i="9"/>
  <c r="G183" i="9"/>
  <c r="G184" i="9"/>
  <c r="G185" i="9"/>
  <c r="G186" i="9"/>
  <c r="G187" i="9"/>
  <c r="G188" i="9"/>
  <c r="G189" i="9"/>
  <c r="G190" i="9"/>
  <c r="G191" i="9"/>
  <c r="G192" i="9"/>
  <c r="G193" i="9"/>
  <c r="G194" i="9"/>
  <c r="G195" i="9"/>
  <c r="G201" i="9"/>
  <c r="G202" i="9"/>
  <c r="G203" i="9"/>
  <c r="G204" i="9"/>
  <c r="G205" i="9"/>
  <c r="G206" i="9"/>
  <c r="G207" i="9"/>
  <c r="G208" i="9"/>
  <c r="G209" i="9"/>
  <c r="G210" i="9"/>
  <c r="G211" i="9"/>
  <c r="G212" i="9"/>
  <c r="G213" i="9"/>
  <c r="G214" i="9"/>
  <c r="G216" i="9"/>
  <c r="G217" i="9"/>
  <c r="G218" i="9"/>
  <c r="G219" i="9"/>
  <c r="G221" i="9"/>
  <c r="G222" i="9"/>
  <c r="G223" i="9"/>
  <c r="G224" i="9"/>
  <c r="G225" i="9"/>
  <c r="G226" i="9"/>
  <c r="G227" i="9"/>
  <c r="G228" i="9"/>
  <c r="G229" i="9"/>
  <c r="G230" i="9"/>
  <c r="G231" i="9"/>
  <c r="G232" i="9"/>
  <c r="G233" i="9"/>
  <c r="G234" i="9"/>
  <c r="G235" i="9"/>
  <c r="G240" i="9"/>
  <c r="G241" i="9"/>
  <c r="G242" i="9"/>
  <c r="G243" i="9"/>
  <c r="G244" i="9"/>
  <c r="G245" i="9"/>
  <c r="G246" i="9"/>
  <c r="G247" i="9"/>
  <c r="G248" i="9"/>
  <c r="G249" i="9"/>
  <c r="G250" i="9"/>
  <c r="G251" i="9"/>
  <c r="G252" i="9"/>
  <c r="G253" i="9"/>
  <c r="G264" i="9"/>
  <c r="G265" i="9"/>
  <c r="G266" i="9"/>
  <c r="G267" i="9"/>
  <c r="G268" i="9"/>
  <c r="G269" i="9"/>
  <c r="G288" i="9"/>
  <c r="G289" i="9"/>
  <c r="G290" i="9"/>
  <c r="G291" i="9"/>
  <c r="G292" i="9"/>
  <c r="G293" i="9"/>
  <c r="G294" i="9"/>
  <c r="G295" i="9"/>
  <c r="G296" i="9"/>
  <c r="G297" i="9"/>
  <c r="G298" i="9"/>
  <c r="G299" i="9"/>
  <c r="G300" i="9"/>
  <c r="G301" i="9"/>
  <c r="G302" i="9"/>
  <c r="G303" i="9"/>
  <c r="G304" i="9"/>
  <c r="G305" i="9"/>
  <c r="G306" i="9"/>
  <c r="G307" i="9"/>
  <c r="G308" i="9"/>
  <c r="G309" i="9"/>
  <c r="G310" i="9"/>
  <c r="G311" i="9"/>
  <c r="G312" i="9"/>
  <c r="G313" i="9"/>
  <c r="G314" i="9"/>
  <c r="G315" i="9"/>
  <c r="G316" i="9"/>
  <c r="G317" i="9"/>
  <c r="G318" i="9"/>
  <c r="G319" i="9"/>
  <c r="G320" i="9"/>
  <c r="G321" i="9"/>
  <c r="G328" i="9"/>
  <c r="G329" i="9"/>
  <c r="G330" i="9"/>
  <c r="G331" i="9"/>
  <c r="G332" i="9"/>
  <c r="G333" i="9"/>
  <c r="G334" i="9"/>
  <c r="G336" i="9"/>
  <c r="G337" i="9"/>
  <c r="G338" i="9"/>
  <c r="G339" i="9"/>
  <c r="G340" i="9"/>
  <c r="G341" i="9"/>
  <c r="G342" i="9"/>
  <c r="G343" i="9"/>
  <c r="G344" i="9"/>
  <c r="G345" i="9"/>
  <c r="G346" i="9"/>
  <c r="G347" i="9"/>
  <c r="G348" i="9"/>
  <c r="G349" i="9"/>
  <c r="G350" i="9"/>
  <c r="G351" i="9"/>
  <c r="G352" i="9"/>
  <c r="G353" i="9"/>
  <c r="G354" i="9"/>
  <c r="G355" i="9"/>
  <c r="G356" i="9"/>
  <c r="G357" i="9"/>
  <c r="G358" i="9"/>
  <c r="G359" i="9"/>
  <c r="G360" i="9"/>
  <c r="G361" i="9"/>
  <c r="G362" i="9"/>
  <c r="G363" i="9"/>
  <c r="G364" i="9"/>
  <c r="G365" i="9"/>
  <c r="G366" i="9"/>
  <c r="G368" i="9"/>
  <c r="G369" i="9"/>
  <c r="G370" i="9"/>
  <c r="G371" i="9"/>
  <c r="G372" i="9"/>
  <c r="G373" i="9"/>
  <c r="G374" i="9"/>
  <c r="G375" i="9"/>
  <c r="G376" i="9"/>
  <c r="G377" i="9"/>
  <c r="G378" i="9"/>
  <c r="G379" i="9"/>
  <c r="G380" i="9"/>
  <c r="G381" i="9"/>
  <c r="G382" i="9"/>
  <c r="G383" i="9"/>
  <c r="G384" i="9"/>
  <c r="G385" i="9"/>
  <c r="G386" i="9"/>
  <c r="G387" i="9"/>
  <c r="G388" i="9"/>
  <c r="G389" i="9"/>
  <c r="G390" i="9"/>
  <c r="G391" i="9"/>
  <c r="G392" i="9"/>
  <c r="G393" i="9"/>
  <c r="G394" i="9"/>
  <c r="G396" i="9"/>
  <c r="G397" i="9"/>
  <c r="G398" i="9"/>
  <c r="G399" i="9"/>
  <c r="G401" i="9"/>
  <c r="G402" i="9"/>
  <c r="G403" i="9"/>
  <c r="G404" i="9"/>
  <c r="G405" i="9"/>
  <c r="G406" i="9"/>
  <c r="G407" i="9"/>
  <c r="G408" i="9"/>
  <c r="G409" i="9"/>
  <c r="G410" i="9"/>
  <c r="G411" i="9"/>
  <c r="G412" i="9"/>
  <c r="G413" i="9"/>
  <c r="G414" i="9"/>
  <c r="G415" i="9"/>
  <c r="G416" i="9"/>
  <c r="G418" i="9"/>
  <c r="G419" i="9"/>
  <c r="G420" i="9"/>
  <c r="G421" i="9"/>
  <c r="G422" i="9"/>
  <c r="G423" i="9"/>
  <c r="G424" i="9"/>
  <c r="G8" i="9"/>
  <c r="F9" i="9"/>
  <c r="F10" i="9"/>
  <c r="F12" i="9"/>
  <c r="F13" i="9"/>
  <c r="F14" i="9"/>
  <c r="F15" i="9"/>
  <c r="F16" i="9"/>
  <c r="F17" i="9"/>
  <c r="F18" i="9"/>
  <c r="F19" i="9"/>
  <c r="F20" i="9"/>
  <c r="F21" i="9"/>
  <c r="F22" i="9"/>
  <c r="F23" i="9"/>
  <c r="F27" i="9"/>
  <c r="F28"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5" i="9"/>
  <c r="F66" i="9"/>
  <c r="F67" i="9"/>
  <c r="F68" i="9"/>
  <c r="F69" i="9"/>
  <c r="F70" i="9"/>
  <c r="F71" i="9"/>
  <c r="F72" i="9"/>
  <c r="F89" i="9"/>
  <c r="F90" i="9"/>
  <c r="F91" i="9"/>
  <c r="F92" i="9"/>
  <c r="F93" i="9"/>
  <c r="F94" i="9"/>
  <c r="F95" i="9"/>
  <c r="F96" i="9"/>
  <c r="F97" i="9"/>
  <c r="F98" i="9"/>
  <c r="F99" i="9"/>
  <c r="F100" i="9"/>
  <c r="F101" i="9"/>
  <c r="F102" i="9"/>
  <c r="F103" i="9"/>
  <c r="F104" i="9"/>
  <c r="F105" i="9"/>
  <c r="F106" i="9"/>
  <c r="F107" i="9"/>
  <c r="F108" i="9"/>
  <c r="F109" i="9"/>
  <c r="F110" i="9"/>
  <c r="F111" i="9"/>
  <c r="F112" i="9"/>
  <c r="F113" i="9"/>
  <c r="F114" i="9"/>
  <c r="F116" i="9"/>
  <c r="F117" i="9"/>
  <c r="F118" i="9"/>
  <c r="F120" i="9"/>
  <c r="F121" i="9"/>
  <c r="F122" i="9"/>
  <c r="F123" i="9"/>
  <c r="F124" i="9"/>
  <c r="F125" i="9"/>
  <c r="F126" i="9"/>
  <c r="F128" i="9"/>
  <c r="F129" i="9"/>
  <c r="F130" i="9"/>
  <c r="F132" i="9"/>
  <c r="F133" i="9"/>
  <c r="F134" i="9"/>
  <c r="F135" i="9"/>
  <c r="F136" i="9"/>
  <c r="F137" i="9"/>
  <c r="F138" i="9"/>
  <c r="F139" i="9"/>
  <c r="F140" i="9"/>
  <c r="F141" i="9"/>
  <c r="F142" i="9"/>
  <c r="F143" i="9"/>
  <c r="F144" i="9"/>
  <c r="F145" i="9"/>
  <c r="F146" i="9"/>
  <c r="F148" i="9"/>
  <c r="F149" i="9"/>
  <c r="F150" i="9"/>
  <c r="F151" i="9"/>
  <c r="F154" i="9"/>
  <c r="F155" i="9"/>
  <c r="F156" i="9"/>
  <c r="F157" i="9"/>
  <c r="F158" i="9"/>
  <c r="F159" i="9"/>
  <c r="F160" i="9"/>
  <c r="F161" i="9"/>
  <c r="F162" i="9"/>
  <c r="F163" i="9"/>
  <c r="F164" i="9"/>
  <c r="F165" i="9"/>
  <c r="F166" i="9"/>
  <c r="F167" i="9"/>
  <c r="F168" i="9"/>
  <c r="F169" i="9"/>
  <c r="F170" i="9"/>
  <c r="F171" i="9"/>
  <c r="F172" i="9"/>
  <c r="F173" i="9"/>
  <c r="F174" i="9"/>
  <c r="F176" i="9"/>
  <c r="F178" i="9"/>
  <c r="F179" i="9"/>
  <c r="F180" i="9"/>
  <c r="F181" i="9"/>
  <c r="F182" i="9"/>
  <c r="F183" i="9"/>
  <c r="F184" i="9"/>
  <c r="F185" i="9"/>
  <c r="F186" i="9"/>
  <c r="F187" i="9"/>
  <c r="F188" i="9"/>
  <c r="F189" i="9"/>
  <c r="F190" i="9"/>
  <c r="F191" i="9"/>
  <c r="F192" i="9"/>
  <c r="F193" i="9"/>
  <c r="F194" i="9"/>
  <c r="F195" i="9"/>
  <c r="F201" i="9"/>
  <c r="F202" i="9"/>
  <c r="F203" i="9"/>
  <c r="F204" i="9"/>
  <c r="F205" i="9"/>
  <c r="F206" i="9"/>
  <c r="F207" i="9"/>
  <c r="F208" i="9"/>
  <c r="F209" i="9"/>
  <c r="F210" i="9"/>
  <c r="F211" i="9"/>
  <c r="F212" i="9"/>
  <c r="F213" i="9"/>
  <c r="F214" i="9"/>
  <c r="F216" i="9"/>
  <c r="F217" i="9"/>
  <c r="F218" i="9"/>
  <c r="F219" i="9"/>
  <c r="F221" i="9"/>
  <c r="F222" i="9"/>
  <c r="F223" i="9"/>
  <c r="F224" i="9"/>
  <c r="F225" i="9"/>
  <c r="F226" i="9"/>
  <c r="F227" i="9"/>
  <c r="F228" i="9"/>
  <c r="F229" i="9"/>
  <c r="F230" i="9"/>
  <c r="F231" i="9"/>
  <c r="F232" i="9"/>
  <c r="F233" i="9"/>
  <c r="F234" i="9"/>
  <c r="F235" i="9"/>
  <c r="F240" i="9"/>
  <c r="F241" i="9"/>
  <c r="F242" i="9"/>
  <c r="F243" i="9"/>
  <c r="F244" i="9"/>
  <c r="F245" i="9"/>
  <c r="F246" i="9"/>
  <c r="F247" i="9"/>
  <c r="F248" i="9"/>
  <c r="F249" i="9"/>
  <c r="F250" i="9"/>
  <c r="F251" i="9"/>
  <c r="F252" i="9"/>
  <c r="F253" i="9"/>
  <c r="F264" i="9"/>
  <c r="F265" i="9"/>
  <c r="F266" i="9"/>
  <c r="F267" i="9"/>
  <c r="F268" i="9"/>
  <c r="F269" i="9"/>
  <c r="F288" i="9"/>
  <c r="F289" i="9"/>
  <c r="F290" i="9"/>
  <c r="F291" i="9"/>
  <c r="F292" i="9"/>
  <c r="F293" i="9"/>
  <c r="F294" i="9"/>
  <c r="F295" i="9"/>
  <c r="F296" i="9"/>
  <c r="F297" i="9"/>
  <c r="F298" i="9"/>
  <c r="F299" i="9"/>
  <c r="F300" i="9"/>
  <c r="F301" i="9"/>
  <c r="F302" i="9"/>
  <c r="F303" i="9"/>
  <c r="F304" i="9"/>
  <c r="F305" i="9"/>
  <c r="F306" i="9"/>
  <c r="F307" i="9"/>
  <c r="F308" i="9"/>
  <c r="F309" i="9"/>
  <c r="F310" i="9"/>
  <c r="F311" i="9"/>
  <c r="F312" i="9"/>
  <c r="F313" i="9"/>
  <c r="F314" i="9"/>
  <c r="F315" i="9"/>
  <c r="F316" i="9"/>
  <c r="F317" i="9"/>
  <c r="F318" i="9"/>
  <c r="F319" i="9"/>
  <c r="F320" i="9"/>
  <c r="F321" i="9"/>
  <c r="F328" i="9"/>
  <c r="F329" i="9"/>
  <c r="F330" i="9"/>
  <c r="F331" i="9"/>
  <c r="F332" i="9"/>
  <c r="F333" i="9"/>
  <c r="F334" i="9"/>
  <c r="F336" i="9"/>
  <c r="F337" i="9"/>
  <c r="F338" i="9"/>
  <c r="F339" i="9"/>
  <c r="F340" i="9"/>
  <c r="F341" i="9"/>
  <c r="F342" i="9"/>
  <c r="F343" i="9"/>
  <c r="F344" i="9"/>
  <c r="F345" i="9"/>
  <c r="F346" i="9"/>
  <c r="F347" i="9"/>
  <c r="F348" i="9"/>
  <c r="F349" i="9"/>
  <c r="F350" i="9"/>
  <c r="F351" i="9"/>
  <c r="F352" i="9"/>
  <c r="F353" i="9"/>
  <c r="F354" i="9"/>
  <c r="F355" i="9"/>
  <c r="F356" i="9"/>
  <c r="F357" i="9"/>
  <c r="F358" i="9"/>
  <c r="F359" i="9"/>
  <c r="F360" i="9"/>
  <c r="F361" i="9"/>
  <c r="F362" i="9"/>
  <c r="F363" i="9"/>
  <c r="F364" i="9"/>
  <c r="F365" i="9"/>
  <c r="F366" i="9"/>
  <c r="F368" i="9"/>
  <c r="F369" i="9"/>
  <c r="F370" i="9"/>
  <c r="F371" i="9"/>
  <c r="F372" i="9"/>
  <c r="F373" i="9"/>
  <c r="F374" i="9"/>
  <c r="F375" i="9"/>
  <c r="F376" i="9"/>
  <c r="F377" i="9"/>
  <c r="F378" i="9"/>
  <c r="F379" i="9"/>
  <c r="F380" i="9"/>
  <c r="F381" i="9"/>
  <c r="F382" i="9"/>
  <c r="F383" i="9"/>
  <c r="F384" i="9"/>
  <c r="F385" i="9"/>
  <c r="F386" i="9"/>
  <c r="F387" i="9"/>
  <c r="F388" i="9"/>
  <c r="F389" i="9"/>
  <c r="F390" i="9"/>
  <c r="F392" i="9"/>
  <c r="F393" i="9"/>
  <c r="F394" i="9"/>
  <c r="F396" i="9"/>
  <c r="F397" i="9"/>
  <c r="F398" i="9"/>
  <c r="F399" i="9"/>
  <c r="F401" i="9"/>
  <c r="F402" i="9"/>
  <c r="F403" i="9"/>
  <c r="F404" i="9"/>
  <c r="F405" i="9"/>
  <c r="F406" i="9"/>
  <c r="F407" i="9"/>
  <c r="F408" i="9"/>
  <c r="F409" i="9"/>
  <c r="F410" i="9"/>
  <c r="F411" i="9"/>
  <c r="F412" i="9"/>
  <c r="F413" i="9"/>
  <c r="F414" i="9"/>
  <c r="F415" i="9"/>
  <c r="F416" i="9"/>
  <c r="F418" i="9"/>
  <c r="F419" i="9"/>
  <c r="F420" i="9"/>
  <c r="F421" i="9"/>
  <c r="F422" i="9"/>
  <c r="F423" i="9"/>
  <c r="F424" i="9"/>
  <c r="F8" i="9"/>
  <c r="D9" i="9"/>
  <c r="D10" i="9"/>
  <c r="D12" i="9"/>
  <c r="D13" i="9"/>
  <c r="D14" i="9"/>
  <c r="D15" i="9"/>
  <c r="D16" i="9"/>
  <c r="D17" i="9"/>
  <c r="D18" i="9"/>
  <c r="D19" i="9"/>
  <c r="D20" i="9"/>
  <c r="D21" i="9"/>
  <c r="D22" i="9"/>
  <c r="D23" i="9"/>
  <c r="D27" i="9"/>
  <c r="D28"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5" i="9"/>
  <c r="D66" i="9"/>
  <c r="D67" i="9"/>
  <c r="D68" i="9"/>
  <c r="D69" i="9"/>
  <c r="D70" i="9"/>
  <c r="D71" i="9"/>
  <c r="D72" i="9"/>
  <c r="D76" i="9"/>
  <c r="D77" i="9"/>
  <c r="D7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6" i="9"/>
  <c r="D117" i="9"/>
  <c r="D118" i="9"/>
  <c r="D120" i="9"/>
  <c r="D121" i="9"/>
  <c r="D122" i="9"/>
  <c r="D123" i="9"/>
  <c r="D124" i="9"/>
  <c r="D125" i="9"/>
  <c r="D126" i="9"/>
  <c r="D128" i="9"/>
  <c r="D129" i="9"/>
  <c r="D130" i="9"/>
  <c r="D132" i="9"/>
  <c r="D133" i="9"/>
  <c r="D134" i="9"/>
  <c r="D135" i="9"/>
  <c r="D136" i="9"/>
  <c r="D137" i="9"/>
  <c r="D138" i="9"/>
  <c r="D139" i="9"/>
  <c r="D140" i="9"/>
  <c r="D141" i="9"/>
  <c r="D142" i="9"/>
  <c r="D143" i="9"/>
  <c r="D144" i="9"/>
  <c r="D145" i="9"/>
  <c r="D146" i="9"/>
  <c r="D148" i="9"/>
  <c r="D149" i="9"/>
  <c r="D150" i="9"/>
  <c r="D151" i="9"/>
  <c r="D152" i="9"/>
  <c r="D154" i="9"/>
  <c r="D155" i="9"/>
  <c r="D156" i="9"/>
  <c r="D157" i="9"/>
  <c r="D158" i="9"/>
  <c r="D159" i="9"/>
  <c r="D160" i="9"/>
  <c r="D161" i="9"/>
  <c r="D162" i="9"/>
  <c r="D163" i="9"/>
  <c r="D164" i="9"/>
  <c r="D165" i="9"/>
  <c r="D166" i="9"/>
  <c r="D167" i="9"/>
  <c r="D168" i="9"/>
  <c r="D169" i="9"/>
  <c r="D170" i="9"/>
  <c r="D171" i="9"/>
  <c r="D172" i="9"/>
  <c r="D173" i="9"/>
  <c r="D174" i="9"/>
  <c r="D176" i="9"/>
  <c r="D178" i="9"/>
  <c r="D179" i="9"/>
  <c r="D180" i="9"/>
  <c r="D181" i="9"/>
  <c r="D182" i="9"/>
  <c r="D183" i="9"/>
  <c r="D184" i="9"/>
  <c r="D185" i="9"/>
  <c r="D186" i="9"/>
  <c r="D187" i="9"/>
  <c r="D188" i="9"/>
  <c r="D189" i="9"/>
  <c r="D190" i="9"/>
  <c r="D191" i="9"/>
  <c r="D192" i="9"/>
  <c r="D193" i="9"/>
  <c r="D194" i="9"/>
  <c r="D195" i="9"/>
  <c r="D201" i="9"/>
  <c r="D202" i="9"/>
  <c r="D203" i="9"/>
  <c r="D204" i="9"/>
  <c r="D205" i="9"/>
  <c r="D206" i="9"/>
  <c r="D207" i="9"/>
  <c r="D208" i="9"/>
  <c r="D209" i="9"/>
  <c r="D210" i="9"/>
  <c r="D211" i="9"/>
  <c r="D212" i="9"/>
  <c r="D213" i="9"/>
  <c r="D214" i="9"/>
  <c r="D216" i="9"/>
  <c r="D217" i="9"/>
  <c r="D218" i="9"/>
  <c r="D219" i="9"/>
  <c r="D221" i="9"/>
  <c r="D222" i="9"/>
  <c r="D223" i="9"/>
  <c r="D224" i="9"/>
  <c r="D225" i="9"/>
  <c r="D226" i="9"/>
  <c r="D227" i="9"/>
  <c r="D228" i="9"/>
  <c r="D229" i="9"/>
  <c r="D230" i="9"/>
  <c r="D231" i="9"/>
  <c r="D232" i="9"/>
  <c r="D233" i="9"/>
  <c r="D234" i="9"/>
  <c r="D235" i="9"/>
  <c r="D240" i="9"/>
  <c r="D241" i="9"/>
  <c r="D242" i="9"/>
  <c r="D243" i="9"/>
  <c r="D244" i="9"/>
  <c r="D245" i="9"/>
  <c r="D246" i="9"/>
  <c r="D247" i="9"/>
  <c r="D248" i="9"/>
  <c r="D249" i="9"/>
  <c r="D250" i="9"/>
  <c r="D251" i="9"/>
  <c r="D252" i="9"/>
  <c r="D253" i="9"/>
  <c r="D255" i="9"/>
  <c r="D256" i="9"/>
  <c r="D257" i="9"/>
  <c r="D258" i="9"/>
  <c r="D260" i="9"/>
  <c r="D261" i="9"/>
  <c r="D262" i="9"/>
  <c r="D264" i="9"/>
  <c r="D265" i="9"/>
  <c r="D266" i="9"/>
  <c r="D267" i="9"/>
  <c r="D268" i="9"/>
  <c r="D269" i="9"/>
  <c r="D271" i="9"/>
  <c r="D272" i="9"/>
  <c r="D273" i="9"/>
  <c r="D274" i="9"/>
  <c r="D275" i="9"/>
  <c r="D276" i="9"/>
  <c r="D277" i="9"/>
  <c r="D278" i="9"/>
  <c r="D279" i="9"/>
  <c r="D281" i="9"/>
  <c r="D282" i="9"/>
  <c r="D288" i="9"/>
  <c r="D289" i="9"/>
  <c r="D290" i="9"/>
  <c r="D291" i="9"/>
  <c r="D292" i="9"/>
  <c r="D293" i="9"/>
  <c r="D294" i="9"/>
  <c r="D295" i="9"/>
  <c r="D296" i="9"/>
  <c r="D297" i="9"/>
  <c r="D298" i="9"/>
  <c r="D299" i="9"/>
  <c r="D300" i="9"/>
  <c r="D301" i="9"/>
  <c r="D302" i="9"/>
  <c r="D303" i="9"/>
  <c r="D304" i="9"/>
  <c r="D305" i="9"/>
  <c r="D306" i="9"/>
  <c r="D307" i="9"/>
  <c r="D308" i="9"/>
  <c r="D309" i="9"/>
  <c r="D310" i="9"/>
  <c r="D311" i="9"/>
  <c r="D312" i="9"/>
  <c r="D313" i="9"/>
  <c r="D314" i="9"/>
  <c r="D315" i="9"/>
  <c r="D316" i="9"/>
  <c r="D317" i="9"/>
  <c r="D318" i="9"/>
  <c r="D319" i="9"/>
  <c r="D320" i="9"/>
  <c r="D321" i="9"/>
  <c r="D328" i="9"/>
  <c r="D329" i="9"/>
  <c r="D330" i="9"/>
  <c r="D331" i="9"/>
  <c r="D332" i="9"/>
  <c r="D333" i="9"/>
  <c r="D334"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6" i="9"/>
  <c r="D397" i="9"/>
  <c r="D398" i="9"/>
  <c r="D399" i="9"/>
  <c r="D401" i="9"/>
  <c r="D402" i="9"/>
  <c r="D403" i="9"/>
  <c r="D404" i="9"/>
  <c r="D405" i="9"/>
  <c r="D406" i="9"/>
  <c r="D407" i="9"/>
  <c r="D408" i="9"/>
  <c r="D409" i="9"/>
  <c r="D410" i="9"/>
  <c r="D411" i="9"/>
  <c r="D412" i="9"/>
  <c r="D413" i="9"/>
  <c r="D414" i="9"/>
  <c r="D415" i="9"/>
  <c r="D416" i="9"/>
  <c r="D418" i="9"/>
  <c r="D419" i="9"/>
  <c r="D420" i="9"/>
  <c r="D421" i="9"/>
  <c r="D422" i="9"/>
  <c r="D423" i="9"/>
  <c r="D424" i="9"/>
  <c r="D8" i="9"/>
  <c r="V9" i="8"/>
  <c r="V10" i="8"/>
  <c r="V11" i="8"/>
  <c r="V12" i="8"/>
  <c r="V13" i="8"/>
  <c r="V14" i="8"/>
  <c r="V16" i="8"/>
  <c r="V17" i="8"/>
  <c r="V18" i="8"/>
  <c r="V19" i="8"/>
  <c r="V20" i="8"/>
  <c r="V29" i="8"/>
  <c r="V30" i="8"/>
  <c r="V31" i="8"/>
  <c r="V32" i="8"/>
  <c r="V33" i="8"/>
  <c r="V34" i="8"/>
  <c r="V36" i="8"/>
  <c r="V37" i="8"/>
  <c r="V38" i="8"/>
  <c r="V39" i="8"/>
  <c r="V40" i="8"/>
  <c r="V41" i="8"/>
  <c r="V42" i="8"/>
  <c r="V43" i="8"/>
  <c r="V45" i="8"/>
  <c r="V46" i="8"/>
  <c r="V47" i="8"/>
  <c r="V48" i="8"/>
  <c r="V49" i="8"/>
  <c r="V50" i="8"/>
  <c r="V51" i="8"/>
  <c r="V52" i="8"/>
  <c r="V53" i="8"/>
  <c r="V54" i="8"/>
  <c r="V55" i="8"/>
  <c r="V56" i="8"/>
  <c r="V57" i="8"/>
  <c r="V58" i="8"/>
  <c r="V59" i="8"/>
  <c r="V63" i="8"/>
  <c r="V64" i="8"/>
  <c r="V65" i="8"/>
  <c r="V66" i="8"/>
  <c r="V67" i="8"/>
  <c r="V68" i="8"/>
  <c r="V22" i="8"/>
  <c r="V23" i="8"/>
  <c r="V24" i="8"/>
  <c r="V25" i="8"/>
  <c r="V26" i="8"/>
  <c r="V27" i="8"/>
  <c r="V60" i="8"/>
  <c r="V61" i="8"/>
  <c r="V70" i="8"/>
  <c r="V71" i="8"/>
  <c r="V72" i="8"/>
  <c r="V73" i="8"/>
  <c r="V74" i="8"/>
  <c r="V76" i="8"/>
  <c r="V77" i="8"/>
  <c r="V79" i="8"/>
  <c r="V80" i="8"/>
  <c r="V81" i="8"/>
  <c r="V82" i="8"/>
  <c r="V84" i="8"/>
  <c r="V85" i="8"/>
  <c r="V86" i="8"/>
  <c r="V87" i="8"/>
  <c r="V89" i="8"/>
  <c r="V90" i="8"/>
  <c r="V92" i="8"/>
  <c r="V93" i="8"/>
  <c r="V94" i="8"/>
  <c r="V95" i="8"/>
  <c r="V96" i="8"/>
  <c r="V98" i="8"/>
  <c r="V99" i="8"/>
  <c r="V100" i="8"/>
  <c r="V102" i="8"/>
  <c r="V103" i="8"/>
  <c r="V104" i="8"/>
  <c r="V105" i="8"/>
  <c r="V106" i="8"/>
  <c r="V107" i="8"/>
  <c r="V108" i="8"/>
  <c r="V109" i="8"/>
  <c r="V110" i="8"/>
  <c r="V111" i="8"/>
  <c r="V112" i="8"/>
  <c r="V113" i="8"/>
  <c r="V114" i="8"/>
  <c r="V115" i="8"/>
  <c r="V116" i="8"/>
  <c r="V117" i="8"/>
  <c r="V118" i="8"/>
  <c r="V119" i="8"/>
  <c r="V120" i="8"/>
  <c r="V121" i="8"/>
  <c r="V122" i="8"/>
  <c r="V123" i="8"/>
  <c r="V124" i="8"/>
  <c r="V126" i="8"/>
  <c r="V127" i="8"/>
  <c r="V128" i="8"/>
  <c r="V129" i="8"/>
  <c r="V130" i="8"/>
  <c r="V131" i="8"/>
  <c r="V132" i="8"/>
  <c r="V133" i="8"/>
  <c r="V136" i="8"/>
  <c r="V137" i="8"/>
  <c r="V138" i="8"/>
  <c r="V139" i="8"/>
  <c r="V140" i="8"/>
  <c r="V141" i="8"/>
  <c r="V142" i="8"/>
  <c r="V143" i="8"/>
  <c r="V144" i="8"/>
  <c r="V147" i="8"/>
  <c r="V148" i="8"/>
  <c r="V149" i="8"/>
  <c r="V150" i="8"/>
  <c r="V151" i="8"/>
  <c r="V152" i="8"/>
  <c r="V153" i="8"/>
  <c r="V154" i="8"/>
  <c r="V155" i="8"/>
  <c r="V157" i="8"/>
  <c r="V158" i="8"/>
  <c r="V159" i="8"/>
  <c r="V160" i="8"/>
  <c r="V161" i="8"/>
  <c r="V163" i="8"/>
  <c r="V165" i="8"/>
  <c r="V166" i="8"/>
  <c r="V168" i="8"/>
  <c r="V169" i="8"/>
  <c r="V170" i="8"/>
  <c r="V171" i="8"/>
  <c r="V172" i="8"/>
  <c r="V173" i="8"/>
  <c r="V174" i="8"/>
  <c r="V176" i="8"/>
  <c r="V177" i="8"/>
  <c r="V178" i="8"/>
  <c r="V179" i="8"/>
  <c r="V180" i="8"/>
  <c r="V181" i="8"/>
  <c r="V182" i="8"/>
  <c r="V183" i="8"/>
  <c r="V184" i="8"/>
  <c r="V185" i="8"/>
  <c r="V186" i="8"/>
  <c r="V187" i="8"/>
  <c r="V188" i="8"/>
  <c r="V189" i="8"/>
  <c r="V190" i="8"/>
  <c r="V191" i="8"/>
  <c r="V192" i="8"/>
  <c r="V193" i="8"/>
  <c r="V194" i="8"/>
  <c r="V195" i="8"/>
  <c r="V196" i="8"/>
  <c r="V197" i="8"/>
  <c r="V198" i="8"/>
  <c r="V199" i="8"/>
  <c r="V200" i="8"/>
  <c r="V201" i="8"/>
  <c r="V202" i="8"/>
  <c r="V203" i="8"/>
  <c r="V204" i="8"/>
  <c r="V206" i="8"/>
  <c r="V207" i="8"/>
  <c r="V208" i="8"/>
  <c r="V209" i="8"/>
  <c r="V210" i="8"/>
  <c r="V211" i="8"/>
  <c r="V212" i="8"/>
  <c r="V213" i="8"/>
  <c r="V214" i="8"/>
  <c r="V215" i="8"/>
  <c r="V216" i="8"/>
  <c r="V219" i="8"/>
  <c r="V220" i="8"/>
  <c r="V222" i="8"/>
  <c r="V223" i="8"/>
  <c r="V224" i="8"/>
  <c r="V225" i="8"/>
  <c r="V226" i="8"/>
  <c r="V227" i="8"/>
  <c r="V228" i="8"/>
  <c r="V229" i="8"/>
  <c r="V230" i="8"/>
  <c r="V231" i="8"/>
  <c r="V232" i="8"/>
  <c r="V233" i="8"/>
  <c r="V234" i="8"/>
  <c r="V235" i="8"/>
  <c r="V237" i="8"/>
  <c r="V238" i="8"/>
  <c r="V239" i="8"/>
  <c r="V241" i="8"/>
  <c r="V242" i="8"/>
  <c r="V243" i="8"/>
  <c r="V244" i="8"/>
  <c r="V245" i="8"/>
  <c r="V246" i="8"/>
  <c r="V247" i="8"/>
  <c r="V248" i="8"/>
  <c r="V249" i="8"/>
  <c r="V250" i="8"/>
  <c r="V251" i="8"/>
  <c r="V252" i="8"/>
  <c r="V253" i="8"/>
  <c r="V254" i="8"/>
  <c r="V256" i="8"/>
  <c r="V257" i="8"/>
  <c r="V258" i="8"/>
  <c r="V259" i="8"/>
  <c r="V260" i="8"/>
  <c r="V261" i="8"/>
  <c r="V262" i="8"/>
  <c r="V263" i="8"/>
  <c r="V264" i="8"/>
  <c r="V265" i="8"/>
  <c r="V266" i="8"/>
  <c r="V267" i="8"/>
  <c r="V268" i="8"/>
  <c r="V269" i="8"/>
  <c r="V270" i="8"/>
  <c r="V271" i="8"/>
  <c r="V272" i="8"/>
  <c r="V273" i="8"/>
  <c r="V274" i="8"/>
  <c r="V275" i="8"/>
  <c r="V276" i="8"/>
  <c r="V277" i="8"/>
  <c r="V279" i="8"/>
  <c r="V280" i="8"/>
  <c r="V281" i="8"/>
  <c r="V282" i="8"/>
  <c r="V283" i="8"/>
  <c r="V284" i="8"/>
  <c r="V285" i="8"/>
  <c r="V286" i="8"/>
  <c r="V287" i="8"/>
  <c r="V288" i="8"/>
  <c r="V289" i="8"/>
  <c r="V291" i="8"/>
  <c r="V292" i="8"/>
  <c r="V293" i="8"/>
  <c r="V294" i="8"/>
  <c r="V295" i="8"/>
  <c r="V296" i="8"/>
  <c r="V297" i="8"/>
  <c r="V298" i="8"/>
  <c r="V299" i="8"/>
  <c r="V300" i="8"/>
  <c r="V301" i="8"/>
  <c r="V302" i="8"/>
  <c r="V304" i="8"/>
  <c r="V305" i="8"/>
  <c r="V306" i="8"/>
  <c r="V307" i="8"/>
  <c r="V308" i="8"/>
  <c r="V309" i="8"/>
  <c r="V310" i="8"/>
  <c r="V311" i="8"/>
  <c r="V312" i="8"/>
  <c r="V313" i="8"/>
  <c r="V314" i="8"/>
  <c r="V315" i="8"/>
  <c r="V316" i="8"/>
  <c r="U10" i="8"/>
  <c r="U11" i="8"/>
  <c r="U12" i="8"/>
  <c r="U13" i="8"/>
  <c r="U14" i="8"/>
  <c r="U16" i="8"/>
  <c r="U17" i="8"/>
  <c r="U18" i="8"/>
  <c r="U19" i="8"/>
  <c r="U20" i="8"/>
  <c r="U29" i="8"/>
  <c r="U30" i="8"/>
  <c r="U31" i="8"/>
  <c r="U32" i="8"/>
  <c r="U33" i="8"/>
  <c r="U34" i="8"/>
  <c r="U36" i="8"/>
  <c r="U37" i="8"/>
  <c r="U38" i="8"/>
  <c r="U39" i="8"/>
  <c r="U40" i="8"/>
  <c r="U41" i="8"/>
  <c r="U42" i="8"/>
  <c r="U43" i="8"/>
  <c r="U45" i="8"/>
  <c r="U46" i="8"/>
  <c r="U47" i="8"/>
  <c r="U48" i="8"/>
  <c r="U49" i="8"/>
  <c r="U50" i="8"/>
  <c r="U51" i="8"/>
  <c r="U52" i="8"/>
  <c r="U53" i="8"/>
  <c r="U54" i="8"/>
  <c r="U55" i="8"/>
  <c r="U56" i="8"/>
  <c r="U57" i="8"/>
  <c r="U58" i="8"/>
  <c r="U59" i="8"/>
  <c r="U63" i="8"/>
  <c r="U64" i="8"/>
  <c r="U65" i="8"/>
  <c r="U66" i="8"/>
  <c r="U67" i="8"/>
  <c r="U68" i="8"/>
  <c r="U22" i="8"/>
  <c r="U23" i="8"/>
  <c r="U24" i="8"/>
  <c r="U25" i="8"/>
  <c r="U26" i="8"/>
  <c r="U27" i="8"/>
  <c r="U60" i="8"/>
  <c r="U61" i="8"/>
  <c r="U70" i="8"/>
  <c r="U71" i="8"/>
  <c r="U72" i="8"/>
  <c r="U73" i="8"/>
  <c r="U74" i="8"/>
  <c r="U76" i="8"/>
  <c r="U77" i="8"/>
  <c r="U79" i="8"/>
  <c r="U80" i="8"/>
  <c r="U81" i="8"/>
  <c r="U82" i="8"/>
  <c r="U84" i="8"/>
  <c r="U85" i="8"/>
  <c r="U86" i="8"/>
  <c r="U87" i="8"/>
  <c r="U89" i="8"/>
  <c r="U90" i="8"/>
  <c r="U92" i="8"/>
  <c r="U93" i="8"/>
  <c r="U94" i="8"/>
  <c r="U95" i="8"/>
  <c r="U96" i="8"/>
  <c r="U98" i="8"/>
  <c r="U99" i="8"/>
  <c r="U100" i="8"/>
  <c r="U102" i="8"/>
  <c r="U103" i="8"/>
  <c r="U104" i="8"/>
  <c r="U105" i="8"/>
  <c r="U106" i="8"/>
  <c r="U107" i="8"/>
  <c r="U108" i="8"/>
  <c r="U109" i="8"/>
  <c r="U110" i="8"/>
  <c r="U111" i="8"/>
  <c r="U112" i="8"/>
  <c r="U113" i="8"/>
  <c r="U114" i="8"/>
  <c r="U115" i="8"/>
  <c r="U116" i="8"/>
  <c r="U117" i="8"/>
  <c r="U118" i="8"/>
  <c r="U119" i="8"/>
  <c r="U120" i="8"/>
  <c r="U121" i="8"/>
  <c r="U122" i="8"/>
  <c r="U123" i="8"/>
  <c r="U124" i="8"/>
  <c r="U126" i="8"/>
  <c r="U127" i="8"/>
  <c r="U128" i="8"/>
  <c r="U129" i="8"/>
  <c r="U130" i="8"/>
  <c r="U131" i="8"/>
  <c r="U132" i="8"/>
  <c r="U133" i="8"/>
  <c r="U136" i="8"/>
  <c r="U137" i="8"/>
  <c r="U138" i="8"/>
  <c r="U139" i="8"/>
  <c r="U140" i="8"/>
  <c r="U141" i="8"/>
  <c r="U142" i="8"/>
  <c r="U143" i="8"/>
  <c r="U144" i="8"/>
  <c r="U147" i="8"/>
  <c r="U148" i="8"/>
  <c r="U149" i="8"/>
  <c r="U150" i="8"/>
  <c r="U151" i="8"/>
  <c r="U152" i="8"/>
  <c r="U153" i="8"/>
  <c r="U154" i="8"/>
  <c r="U155" i="8"/>
  <c r="U157" i="8"/>
  <c r="U158" i="8"/>
  <c r="U159" i="8"/>
  <c r="U160" i="8"/>
  <c r="U161" i="8"/>
  <c r="U163" i="8"/>
  <c r="U165" i="8"/>
  <c r="U166" i="8"/>
  <c r="U168" i="8"/>
  <c r="U169" i="8"/>
  <c r="U170" i="8"/>
  <c r="U171" i="8"/>
  <c r="U172" i="8"/>
  <c r="U173" i="8"/>
  <c r="U174" i="8"/>
  <c r="U176" i="8"/>
  <c r="U177" i="8"/>
  <c r="U178" i="8"/>
  <c r="U179" i="8"/>
  <c r="U180" i="8"/>
  <c r="U181" i="8"/>
  <c r="U182" i="8"/>
  <c r="U183" i="8"/>
  <c r="U184" i="8"/>
  <c r="U185" i="8"/>
  <c r="U186" i="8"/>
  <c r="U187" i="8"/>
  <c r="U188" i="8"/>
  <c r="U189" i="8"/>
  <c r="U190" i="8"/>
  <c r="U191" i="8"/>
  <c r="U192" i="8"/>
  <c r="U193" i="8"/>
  <c r="U194" i="8"/>
  <c r="U195" i="8"/>
  <c r="U196" i="8"/>
  <c r="U197" i="8"/>
  <c r="U198" i="8"/>
  <c r="U199" i="8"/>
  <c r="U200" i="8"/>
  <c r="U201" i="8"/>
  <c r="U202" i="8"/>
  <c r="U203" i="8"/>
  <c r="U204" i="8"/>
  <c r="U206" i="8"/>
  <c r="U207" i="8"/>
  <c r="U208" i="8"/>
  <c r="U209" i="8"/>
  <c r="U210" i="8"/>
  <c r="U211" i="8"/>
  <c r="U212" i="8"/>
  <c r="U213" i="8"/>
  <c r="U214" i="8"/>
  <c r="U215" i="8"/>
  <c r="U216" i="8"/>
  <c r="U219" i="8"/>
  <c r="U220" i="8"/>
  <c r="U222" i="8"/>
  <c r="U223" i="8"/>
  <c r="U224" i="8"/>
  <c r="U225" i="8"/>
  <c r="U226" i="8"/>
  <c r="U227" i="8"/>
  <c r="U228" i="8"/>
  <c r="U229" i="8"/>
  <c r="U230" i="8"/>
  <c r="U231" i="8"/>
  <c r="U232" i="8"/>
  <c r="U233" i="8"/>
  <c r="U234" i="8"/>
  <c r="U235" i="8"/>
  <c r="U237" i="8"/>
  <c r="U238" i="8"/>
  <c r="U239" i="8"/>
  <c r="U241" i="8"/>
  <c r="U242" i="8"/>
  <c r="U243" i="8"/>
  <c r="U244" i="8"/>
  <c r="U245" i="8"/>
  <c r="U246" i="8"/>
  <c r="U247" i="8"/>
  <c r="U248" i="8"/>
  <c r="U249" i="8"/>
  <c r="U250" i="8"/>
  <c r="U251" i="8"/>
  <c r="U252" i="8"/>
  <c r="U253" i="8"/>
  <c r="U254" i="8"/>
  <c r="U256" i="8"/>
  <c r="U257" i="8"/>
  <c r="U258" i="8"/>
  <c r="U259" i="8"/>
  <c r="U260" i="8"/>
  <c r="U261" i="8"/>
  <c r="U262" i="8"/>
  <c r="U263" i="8"/>
  <c r="U264" i="8"/>
  <c r="U265" i="8"/>
  <c r="U266" i="8"/>
  <c r="U267" i="8"/>
  <c r="U268" i="8"/>
  <c r="U269" i="8"/>
  <c r="U270" i="8"/>
  <c r="U271" i="8"/>
  <c r="U272" i="8"/>
  <c r="U273" i="8"/>
  <c r="U274" i="8"/>
  <c r="U275" i="8"/>
  <c r="U276" i="8"/>
  <c r="U277" i="8"/>
  <c r="U279" i="8"/>
  <c r="U280" i="8"/>
  <c r="U281" i="8"/>
  <c r="U282" i="8"/>
  <c r="U283" i="8"/>
  <c r="U284" i="8"/>
  <c r="U285" i="8"/>
  <c r="U286" i="8"/>
  <c r="U287" i="8"/>
  <c r="U288" i="8"/>
  <c r="U289" i="8"/>
  <c r="U291" i="8"/>
  <c r="U292" i="8"/>
  <c r="U293" i="8"/>
  <c r="U294" i="8"/>
  <c r="U295" i="8"/>
  <c r="U296" i="8"/>
  <c r="U297" i="8"/>
  <c r="U298" i="8"/>
  <c r="U299" i="8"/>
  <c r="U300" i="8"/>
  <c r="U301" i="8"/>
  <c r="U302" i="8"/>
  <c r="U304" i="8"/>
  <c r="U305" i="8"/>
  <c r="U306" i="8"/>
  <c r="U307" i="8"/>
  <c r="U308" i="8"/>
  <c r="U309" i="8"/>
  <c r="U310" i="8"/>
  <c r="U311" i="8"/>
  <c r="U312" i="8"/>
  <c r="U313" i="8"/>
  <c r="U314" i="8"/>
  <c r="U315" i="8"/>
  <c r="U316" i="8"/>
  <c r="U9" i="8"/>
  <c r="T10" i="8"/>
  <c r="T11" i="8"/>
  <c r="T12" i="8"/>
  <c r="T13" i="8"/>
  <c r="T14" i="8"/>
  <c r="T16" i="8"/>
  <c r="T17" i="8"/>
  <c r="T18" i="8"/>
  <c r="T19" i="8"/>
  <c r="T20" i="8"/>
  <c r="T29" i="8"/>
  <c r="T30" i="8"/>
  <c r="T31" i="8"/>
  <c r="T32" i="8"/>
  <c r="T33" i="8"/>
  <c r="T34" i="8"/>
  <c r="T36" i="8"/>
  <c r="T37" i="8"/>
  <c r="T38" i="8"/>
  <c r="T39" i="8"/>
  <c r="T40" i="8"/>
  <c r="T41" i="8"/>
  <c r="T42" i="8"/>
  <c r="T43" i="8"/>
  <c r="T45" i="8"/>
  <c r="T46" i="8"/>
  <c r="T47" i="8"/>
  <c r="T48" i="8"/>
  <c r="T49" i="8"/>
  <c r="T50" i="8"/>
  <c r="T51" i="8"/>
  <c r="T52" i="8"/>
  <c r="T53" i="8"/>
  <c r="T54" i="8"/>
  <c r="T55" i="8"/>
  <c r="T56" i="8"/>
  <c r="T57" i="8"/>
  <c r="T58" i="8"/>
  <c r="T59" i="8"/>
  <c r="T63" i="8"/>
  <c r="T64" i="8"/>
  <c r="T65" i="8"/>
  <c r="T66" i="8"/>
  <c r="T67" i="8"/>
  <c r="T68" i="8"/>
  <c r="T22" i="8"/>
  <c r="T23" i="8"/>
  <c r="T24" i="8"/>
  <c r="T25" i="8"/>
  <c r="T26" i="8"/>
  <c r="T27" i="8"/>
  <c r="T60" i="8"/>
  <c r="T61" i="8"/>
  <c r="T70" i="8"/>
  <c r="T71" i="8"/>
  <c r="T72" i="8"/>
  <c r="T73" i="8"/>
  <c r="T74" i="8"/>
  <c r="T76" i="8"/>
  <c r="T77" i="8"/>
  <c r="T79" i="8"/>
  <c r="T80" i="8"/>
  <c r="T81" i="8"/>
  <c r="T82" i="8"/>
  <c r="T84" i="8"/>
  <c r="T85" i="8"/>
  <c r="T86" i="8"/>
  <c r="T87" i="8"/>
  <c r="T89" i="8"/>
  <c r="T90" i="8"/>
  <c r="T92" i="8"/>
  <c r="T93" i="8"/>
  <c r="T94" i="8"/>
  <c r="T95" i="8"/>
  <c r="T96" i="8"/>
  <c r="T98" i="8"/>
  <c r="T99" i="8"/>
  <c r="T100" i="8"/>
  <c r="T102" i="8"/>
  <c r="T103" i="8"/>
  <c r="T104" i="8"/>
  <c r="T105" i="8"/>
  <c r="T106" i="8"/>
  <c r="T107" i="8"/>
  <c r="T108" i="8"/>
  <c r="T109" i="8"/>
  <c r="T110" i="8"/>
  <c r="T111" i="8"/>
  <c r="T112" i="8"/>
  <c r="T113" i="8"/>
  <c r="T114" i="8"/>
  <c r="T115" i="8"/>
  <c r="T116" i="8"/>
  <c r="T117" i="8"/>
  <c r="T118" i="8"/>
  <c r="T119" i="8"/>
  <c r="T120" i="8"/>
  <c r="T121" i="8"/>
  <c r="T122" i="8"/>
  <c r="T123" i="8"/>
  <c r="T124" i="8"/>
  <c r="T126" i="8"/>
  <c r="T127" i="8"/>
  <c r="T128" i="8"/>
  <c r="T129" i="8"/>
  <c r="T130" i="8"/>
  <c r="T131" i="8"/>
  <c r="T132" i="8"/>
  <c r="T133" i="8"/>
  <c r="T136" i="8"/>
  <c r="T137" i="8"/>
  <c r="T138" i="8"/>
  <c r="T139" i="8"/>
  <c r="T140" i="8"/>
  <c r="T141" i="8"/>
  <c r="T142" i="8"/>
  <c r="T143" i="8"/>
  <c r="T144" i="8"/>
  <c r="T147" i="8"/>
  <c r="T148" i="8"/>
  <c r="T149" i="8"/>
  <c r="T150" i="8"/>
  <c r="T151" i="8"/>
  <c r="T152" i="8"/>
  <c r="T153" i="8"/>
  <c r="T154" i="8"/>
  <c r="T155" i="8"/>
  <c r="T157" i="8"/>
  <c r="T158" i="8"/>
  <c r="T159" i="8"/>
  <c r="T160" i="8"/>
  <c r="T161" i="8"/>
  <c r="T163" i="8"/>
  <c r="T165" i="8"/>
  <c r="T166" i="8"/>
  <c r="T168" i="8"/>
  <c r="T169" i="8"/>
  <c r="T170" i="8"/>
  <c r="T171" i="8"/>
  <c r="T172" i="8"/>
  <c r="T173" i="8"/>
  <c r="T174" i="8"/>
  <c r="T176" i="8"/>
  <c r="T177" i="8"/>
  <c r="T178" i="8"/>
  <c r="T179" i="8"/>
  <c r="T180" i="8"/>
  <c r="T181" i="8"/>
  <c r="T182" i="8"/>
  <c r="T183" i="8"/>
  <c r="T184" i="8"/>
  <c r="T185" i="8"/>
  <c r="T186" i="8"/>
  <c r="T187" i="8"/>
  <c r="T188" i="8"/>
  <c r="T189" i="8"/>
  <c r="T190" i="8"/>
  <c r="T191" i="8"/>
  <c r="T192" i="8"/>
  <c r="T193" i="8"/>
  <c r="T194" i="8"/>
  <c r="T195" i="8"/>
  <c r="T196" i="8"/>
  <c r="T197" i="8"/>
  <c r="T198" i="8"/>
  <c r="T199" i="8"/>
  <c r="T200" i="8"/>
  <c r="T201" i="8"/>
  <c r="T202" i="8"/>
  <c r="T203" i="8"/>
  <c r="T204" i="8"/>
  <c r="T206" i="8"/>
  <c r="T207" i="8"/>
  <c r="T208" i="8"/>
  <c r="T209" i="8"/>
  <c r="T210" i="8"/>
  <c r="T211" i="8"/>
  <c r="T212" i="8"/>
  <c r="T213" i="8"/>
  <c r="T214" i="8"/>
  <c r="T215" i="8"/>
  <c r="T216" i="8"/>
  <c r="T219" i="8"/>
  <c r="T220" i="8"/>
  <c r="T222" i="8"/>
  <c r="T223" i="8"/>
  <c r="T224" i="8"/>
  <c r="T225" i="8"/>
  <c r="T226" i="8"/>
  <c r="T227" i="8"/>
  <c r="T228" i="8"/>
  <c r="T229" i="8"/>
  <c r="T230" i="8"/>
  <c r="T231" i="8"/>
  <c r="T232" i="8"/>
  <c r="T233" i="8"/>
  <c r="T234" i="8"/>
  <c r="T235" i="8"/>
  <c r="T237" i="8"/>
  <c r="T238" i="8"/>
  <c r="T239" i="8"/>
  <c r="T241" i="8"/>
  <c r="T242" i="8"/>
  <c r="T243" i="8"/>
  <c r="T244" i="8"/>
  <c r="T245" i="8"/>
  <c r="T246" i="8"/>
  <c r="T247" i="8"/>
  <c r="T248" i="8"/>
  <c r="T249" i="8"/>
  <c r="T250" i="8"/>
  <c r="T251" i="8"/>
  <c r="T252" i="8"/>
  <c r="T253" i="8"/>
  <c r="T254" i="8"/>
  <c r="T256" i="8"/>
  <c r="T257" i="8"/>
  <c r="T258" i="8"/>
  <c r="T259" i="8"/>
  <c r="T260" i="8"/>
  <c r="T261" i="8"/>
  <c r="T262" i="8"/>
  <c r="T263" i="8"/>
  <c r="T264" i="8"/>
  <c r="T265" i="8"/>
  <c r="T266" i="8"/>
  <c r="T267" i="8"/>
  <c r="T268" i="8"/>
  <c r="T269" i="8"/>
  <c r="T270" i="8"/>
  <c r="T271" i="8"/>
  <c r="T272" i="8"/>
  <c r="T273" i="8"/>
  <c r="T274" i="8"/>
  <c r="T275" i="8"/>
  <c r="T276" i="8"/>
  <c r="T277" i="8"/>
  <c r="T279" i="8"/>
  <c r="T280" i="8"/>
  <c r="T281" i="8"/>
  <c r="T282" i="8"/>
  <c r="T283" i="8"/>
  <c r="T284" i="8"/>
  <c r="T285" i="8"/>
  <c r="T286" i="8"/>
  <c r="T287" i="8"/>
  <c r="T288" i="8"/>
  <c r="T289" i="8"/>
  <c r="T291" i="8"/>
  <c r="T292" i="8"/>
  <c r="T293" i="8"/>
  <c r="T294" i="8"/>
  <c r="T295" i="8"/>
  <c r="T296" i="8"/>
  <c r="T297" i="8"/>
  <c r="T298" i="8"/>
  <c r="T299" i="8"/>
  <c r="T300" i="8"/>
  <c r="T301" i="8"/>
  <c r="T302" i="8"/>
  <c r="T304" i="8"/>
  <c r="T305" i="8"/>
  <c r="T306" i="8"/>
  <c r="T307" i="8"/>
  <c r="T308" i="8"/>
  <c r="T309" i="8"/>
  <c r="T310" i="8"/>
  <c r="T311" i="8"/>
  <c r="T312" i="8"/>
  <c r="T313" i="8"/>
  <c r="T314" i="8"/>
  <c r="T315" i="8"/>
  <c r="T316" i="8"/>
  <c r="T9" i="8"/>
  <c r="S10" i="8"/>
  <c r="S11" i="8"/>
  <c r="S12" i="8"/>
  <c r="S13" i="8"/>
  <c r="S14" i="8"/>
  <c r="S16" i="8"/>
  <c r="S17" i="8"/>
  <c r="S18" i="8"/>
  <c r="S19" i="8"/>
  <c r="S20" i="8"/>
  <c r="S29" i="8"/>
  <c r="S30" i="8"/>
  <c r="S31" i="8"/>
  <c r="S32" i="8"/>
  <c r="S33" i="8"/>
  <c r="S34" i="8"/>
  <c r="S36" i="8"/>
  <c r="S37" i="8"/>
  <c r="S38" i="8"/>
  <c r="S39" i="8"/>
  <c r="S40" i="8"/>
  <c r="S41" i="8"/>
  <c r="S42" i="8"/>
  <c r="S43" i="8"/>
  <c r="S45" i="8"/>
  <c r="S46" i="8"/>
  <c r="S47" i="8"/>
  <c r="S48" i="8"/>
  <c r="S49" i="8"/>
  <c r="S50" i="8"/>
  <c r="S51" i="8"/>
  <c r="S52" i="8"/>
  <c r="S53" i="8"/>
  <c r="S54" i="8"/>
  <c r="S55" i="8"/>
  <c r="S56" i="8"/>
  <c r="S57" i="8"/>
  <c r="S58" i="8"/>
  <c r="S59" i="8"/>
  <c r="S63" i="8"/>
  <c r="S64" i="8"/>
  <c r="S65" i="8"/>
  <c r="S66" i="8"/>
  <c r="S67" i="8"/>
  <c r="S68" i="8"/>
  <c r="S22" i="8"/>
  <c r="S23" i="8"/>
  <c r="S24" i="8"/>
  <c r="S25" i="8"/>
  <c r="S26" i="8"/>
  <c r="S27" i="8"/>
  <c r="S60" i="8"/>
  <c r="S61" i="8"/>
  <c r="S70" i="8"/>
  <c r="S71" i="8"/>
  <c r="S72" i="8"/>
  <c r="S73" i="8"/>
  <c r="S74" i="8"/>
  <c r="S76" i="8"/>
  <c r="S77" i="8"/>
  <c r="S79" i="8"/>
  <c r="S80" i="8"/>
  <c r="S81" i="8"/>
  <c r="S82" i="8"/>
  <c r="S84" i="8"/>
  <c r="S85" i="8"/>
  <c r="S86" i="8"/>
  <c r="S87" i="8"/>
  <c r="S89" i="8"/>
  <c r="S90" i="8"/>
  <c r="S92" i="8"/>
  <c r="S93" i="8"/>
  <c r="S94" i="8"/>
  <c r="S95" i="8"/>
  <c r="S96" i="8"/>
  <c r="S98" i="8"/>
  <c r="S99" i="8"/>
  <c r="S100" i="8"/>
  <c r="S102" i="8"/>
  <c r="S103" i="8"/>
  <c r="S104" i="8"/>
  <c r="S105" i="8"/>
  <c r="S106" i="8"/>
  <c r="S107" i="8"/>
  <c r="S108" i="8"/>
  <c r="S109" i="8"/>
  <c r="S110" i="8"/>
  <c r="S111" i="8"/>
  <c r="S112" i="8"/>
  <c r="S113" i="8"/>
  <c r="S114" i="8"/>
  <c r="S115" i="8"/>
  <c r="S116" i="8"/>
  <c r="S117" i="8"/>
  <c r="S118" i="8"/>
  <c r="S119" i="8"/>
  <c r="S120" i="8"/>
  <c r="S121" i="8"/>
  <c r="S122" i="8"/>
  <c r="S123" i="8"/>
  <c r="S124" i="8"/>
  <c r="S126" i="8"/>
  <c r="S127" i="8"/>
  <c r="S128" i="8"/>
  <c r="S129" i="8"/>
  <c r="S130" i="8"/>
  <c r="S131" i="8"/>
  <c r="S132" i="8"/>
  <c r="S133" i="8"/>
  <c r="S136" i="8"/>
  <c r="S137" i="8"/>
  <c r="S138" i="8"/>
  <c r="S139" i="8"/>
  <c r="S140" i="8"/>
  <c r="S141" i="8"/>
  <c r="S142" i="8"/>
  <c r="S143" i="8"/>
  <c r="S144" i="8"/>
  <c r="S147" i="8"/>
  <c r="S148" i="8"/>
  <c r="S149" i="8"/>
  <c r="S150" i="8"/>
  <c r="S151" i="8"/>
  <c r="S152" i="8"/>
  <c r="S153" i="8"/>
  <c r="S154" i="8"/>
  <c r="S155" i="8"/>
  <c r="S157" i="8"/>
  <c r="S158" i="8"/>
  <c r="S159" i="8"/>
  <c r="S160" i="8"/>
  <c r="S161" i="8"/>
  <c r="S163" i="8"/>
  <c r="S165" i="8"/>
  <c r="S166" i="8"/>
  <c r="S168" i="8"/>
  <c r="S169" i="8"/>
  <c r="S170" i="8"/>
  <c r="S171" i="8"/>
  <c r="S172" i="8"/>
  <c r="S173" i="8"/>
  <c r="S174" i="8"/>
  <c r="S176" i="8"/>
  <c r="S177" i="8"/>
  <c r="S178" i="8"/>
  <c r="S179" i="8"/>
  <c r="S180" i="8"/>
  <c r="S181" i="8"/>
  <c r="S182" i="8"/>
  <c r="S183" i="8"/>
  <c r="S184" i="8"/>
  <c r="S185" i="8"/>
  <c r="S186" i="8"/>
  <c r="S187" i="8"/>
  <c r="S188" i="8"/>
  <c r="S189" i="8"/>
  <c r="S190" i="8"/>
  <c r="S191" i="8"/>
  <c r="S192" i="8"/>
  <c r="S193" i="8"/>
  <c r="S194" i="8"/>
  <c r="S195" i="8"/>
  <c r="S196" i="8"/>
  <c r="S197" i="8"/>
  <c r="S198" i="8"/>
  <c r="S199" i="8"/>
  <c r="S200" i="8"/>
  <c r="S201" i="8"/>
  <c r="S202" i="8"/>
  <c r="S203" i="8"/>
  <c r="S204" i="8"/>
  <c r="S206" i="8"/>
  <c r="S207" i="8"/>
  <c r="S208" i="8"/>
  <c r="S209" i="8"/>
  <c r="S210" i="8"/>
  <c r="S211" i="8"/>
  <c r="S212" i="8"/>
  <c r="S213" i="8"/>
  <c r="S214" i="8"/>
  <c r="S215" i="8"/>
  <c r="S216" i="8"/>
  <c r="S219" i="8"/>
  <c r="S220" i="8"/>
  <c r="S222" i="8"/>
  <c r="S223" i="8"/>
  <c r="S224" i="8"/>
  <c r="S225" i="8"/>
  <c r="S226" i="8"/>
  <c r="S227" i="8"/>
  <c r="S228" i="8"/>
  <c r="S229" i="8"/>
  <c r="S230" i="8"/>
  <c r="S231" i="8"/>
  <c r="S232" i="8"/>
  <c r="S233" i="8"/>
  <c r="S234" i="8"/>
  <c r="S235" i="8"/>
  <c r="S237" i="8"/>
  <c r="S238" i="8"/>
  <c r="S239" i="8"/>
  <c r="S241" i="8"/>
  <c r="S242" i="8"/>
  <c r="S243" i="8"/>
  <c r="S244" i="8"/>
  <c r="S245" i="8"/>
  <c r="S246" i="8"/>
  <c r="S247" i="8"/>
  <c r="S248" i="8"/>
  <c r="S249" i="8"/>
  <c r="S250" i="8"/>
  <c r="S251" i="8"/>
  <c r="S252" i="8"/>
  <c r="S253" i="8"/>
  <c r="S254" i="8"/>
  <c r="S256" i="8"/>
  <c r="S257" i="8"/>
  <c r="S258" i="8"/>
  <c r="S259" i="8"/>
  <c r="S260" i="8"/>
  <c r="S261" i="8"/>
  <c r="S262" i="8"/>
  <c r="S263" i="8"/>
  <c r="S264" i="8"/>
  <c r="S265" i="8"/>
  <c r="S266" i="8"/>
  <c r="S267" i="8"/>
  <c r="S268" i="8"/>
  <c r="S269" i="8"/>
  <c r="S270" i="8"/>
  <c r="S271" i="8"/>
  <c r="S272" i="8"/>
  <c r="S273" i="8"/>
  <c r="S274" i="8"/>
  <c r="S275" i="8"/>
  <c r="S276" i="8"/>
  <c r="S277" i="8"/>
  <c r="S279" i="8"/>
  <c r="S280" i="8"/>
  <c r="S281" i="8"/>
  <c r="S282" i="8"/>
  <c r="S283" i="8"/>
  <c r="S284" i="8"/>
  <c r="S285" i="8"/>
  <c r="S286" i="8"/>
  <c r="S287" i="8"/>
  <c r="S288" i="8"/>
  <c r="S289" i="8"/>
  <c r="S291" i="8"/>
  <c r="S292" i="8"/>
  <c r="S293" i="8"/>
  <c r="S294" i="8"/>
  <c r="S295" i="8"/>
  <c r="S296" i="8"/>
  <c r="S297" i="8"/>
  <c r="S298" i="8"/>
  <c r="S299" i="8"/>
  <c r="S300" i="8"/>
  <c r="S301" i="8"/>
  <c r="S302" i="8"/>
  <c r="S304" i="8"/>
  <c r="S305" i="8"/>
  <c r="S306" i="8"/>
  <c r="S307" i="8"/>
  <c r="S308" i="8"/>
  <c r="S309" i="8"/>
  <c r="S310" i="8"/>
  <c r="S311" i="8"/>
  <c r="S312" i="8"/>
  <c r="S313" i="8"/>
  <c r="S314" i="8"/>
  <c r="S315" i="8"/>
  <c r="S316" i="8"/>
  <c r="S9" i="8"/>
  <c r="R10" i="8"/>
  <c r="R11" i="8"/>
  <c r="R12" i="8"/>
  <c r="R13" i="8"/>
  <c r="R14" i="8"/>
  <c r="R16" i="8"/>
  <c r="R17" i="8"/>
  <c r="R18" i="8"/>
  <c r="R19" i="8"/>
  <c r="R20" i="8"/>
  <c r="R29" i="8"/>
  <c r="R30" i="8"/>
  <c r="R31" i="8"/>
  <c r="R32" i="8"/>
  <c r="R33" i="8"/>
  <c r="R34" i="8"/>
  <c r="R36" i="8"/>
  <c r="R37" i="8"/>
  <c r="R38" i="8"/>
  <c r="R39" i="8"/>
  <c r="R40" i="8"/>
  <c r="R41" i="8"/>
  <c r="R42" i="8"/>
  <c r="R43" i="8"/>
  <c r="R45" i="8"/>
  <c r="R46" i="8"/>
  <c r="R47" i="8"/>
  <c r="R48" i="8"/>
  <c r="R49" i="8"/>
  <c r="R50" i="8"/>
  <c r="R51" i="8"/>
  <c r="R52" i="8"/>
  <c r="R53" i="8"/>
  <c r="R54" i="8"/>
  <c r="R55" i="8"/>
  <c r="R56" i="8"/>
  <c r="R57" i="8"/>
  <c r="R58" i="8"/>
  <c r="R59" i="8"/>
  <c r="R63" i="8"/>
  <c r="R64" i="8"/>
  <c r="R65" i="8"/>
  <c r="R66" i="8"/>
  <c r="R67" i="8"/>
  <c r="R68" i="8"/>
  <c r="R22" i="8"/>
  <c r="R23" i="8"/>
  <c r="R24" i="8"/>
  <c r="R25" i="8"/>
  <c r="R26" i="8"/>
  <c r="R27" i="8"/>
  <c r="R60" i="8"/>
  <c r="R61" i="8"/>
  <c r="R70" i="8"/>
  <c r="R71" i="8"/>
  <c r="R72" i="8"/>
  <c r="R73" i="8"/>
  <c r="R74" i="8"/>
  <c r="R76" i="8"/>
  <c r="R77" i="8"/>
  <c r="R79" i="8"/>
  <c r="R80" i="8"/>
  <c r="R81" i="8"/>
  <c r="R82" i="8"/>
  <c r="R84" i="8"/>
  <c r="R85" i="8"/>
  <c r="R86" i="8"/>
  <c r="R87" i="8"/>
  <c r="R89" i="8"/>
  <c r="R90" i="8"/>
  <c r="R92" i="8"/>
  <c r="R93" i="8"/>
  <c r="R94" i="8"/>
  <c r="R95" i="8"/>
  <c r="R96" i="8"/>
  <c r="R98" i="8"/>
  <c r="R99" i="8"/>
  <c r="R100" i="8"/>
  <c r="R102" i="8"/>
  <c r="R103" i="8"/>
  <c r="R104" i="8"/>
  <c r="R105" i="8"/>
  <c r="R106" i="8"/>
  <c r="R107" i="8"/>
  <c r="R108" i="8"/>
  <c r="R109" i="8"/>
  <c r="R110" i="8"/>
  <c r="R111" i="8"/>
  <c r="R112" i="8"/>
  <c r="R113" i="8"/>
  <c r="R114" i="8"/>
  <c r="R115" i="8"/>
  <c r="R116" i="8"/>
  <c r="R117" i="8"/>
  <c r="R118" i="8"/>
  <c r="R119" i="8"/>
  <c r="R120" i="8"/>
  <c r="R121" i="8"/>
  <c r="R122" i="8"/>
  <c r="R123" i="8"/>
  <c r="R124" i="8"/>
  <c r="R126" i="8"/>
  <c r="R127" i="8"/>
  <c r="R128" i="8"/>
  <c r="R129" i="8"/>
  <c r="R130" i="8"/>
  <c r="R131" i="8"/>
  <c r="R132" i="8"/>
  <c r="R133" i="8"/>
  <c r="R136" i="8"/>
  <c r="R137" i="8"/>
  <c r="R138" i="8"/>
  <c r="R139" i="8"/>
  <c r="R140" i="8"/>
  <c r="R141" i="8"/>
  <c r="R142" i="8"/>
  <c r="R143" i="8"/>
  <c r="R144" i="8"/>
  <c r="R147" i="8"/>
  <c r="R148" i="8"/>
  <c r="R149" i="8"/>
  <c r="R150" i="8"/>
  <c r="R151" i="8"/>
  <c r="R152" i="8"/>
  <c r="R153" i="8"/>
  <c r="R154" i="8"/>
  <c r="R155" i="8"/>
  <c r="R157" i="8"/>
  <c r="R158" i="8"/>
  <c r="R159" i="8"/>
  <c r="R160" i="8"/>
  <c r="R161" i="8"/>
  <c r="R163" i="8"/>
  <c r="R165" i="8"/>
  <c r="R166" i="8"/>
  <c r="R168" i="8"/>
  <c r="R169" i="8"/>
  <c r="R170" i="8"/>
  <c r="R171" i="8"/>
  <c r="R172" i="8"/>
  <c r="R173" i="8"/>
  <c r="R174" i="8"/>
  <c r="R176" i="8"/>
  <c r="R177" i="8"/>
  <c r="R178" i="8"/>
  <c r="R179" i="8"/>
  <c r="R180" i="8"/>
  <c r="R181" i="8"/>
  <c r="R182" i="8"/>
  <c r="R183" i="8"/>
  <c r="R184" i="8"/>
  <c r="R185" i="8"/>
  <c r="R186" i="8"/>
  <c r="R187" i="8"/>
  <c r="R188" i="8"/>
  <c r="R189" i="8"/>
  <c r="R190" i="8"/>
  <c r="R191" i="8"/>
  <c r="R192" i="8"/>
  <c r="R193" i="8"/>
  <c r="R194" i="8"/>
  <c r="R195" i="8"/>
  <c r="R196" i="8"/>
  <c r="R197" i="8"/>
  <c r="R198" i="8"/>
  <c r="R199" i="8"/>
  <c r="R200" i="8"/>
  <c r="R201" i="8"/>
  <c r="R202" i="8"/>
  <c r="R203" i="8"/>
  <c r="R204" i="8"/>
  <c r="R206" i="8"/>
  <c r="R207" i="8"/>
  <c r="R208" i="8"/>
  <c r="R209" i="8"/>
  <c r="R210" i="8"/>
  <c r="R211" i="8"/>
  <c r="R212" i="8"/>
  <c r="R213" i="8"/>
  <c r="R214" i="8"/>
  <c r="R215" i="8"/>
  <c r="R216" i="8"/>
  <c r="R219" i="8"/>
  <c r="R220" i="8"/>
  <c r="R222" i="8"/>
  <c r="R223" i="8"/>
  <c r="R224" i="8"/>
  <c r="R225" i="8"/>
  <c r="R226" i="8"/>
  <c r="R227" i="8"/>
  <c r="R228" i="8"/>
  <c r="R229" i="8"/>
  <c r="R230" i="8"/>
  <c r="R231" i="8"/>
  <c r="R232" i="8"/>
  <c r="R233" i="8"/>
  <c r="R234" i="8"/>
  <c r="R235" i="8"/>
  <c r="R237" i="8"/>
  <c r="R238" i="8"/>
  <c r="R239" i="8"/>
  <c r="R241" i="8"/>
  <c r="R242" i="8"/>
  <c r="R243" i="8"/>
  <c r="R244" i="8"/>
  <c r="R245" i="8"/>
  <c r="R246" i="8"/>
  <c r="R247" i="8"/>
  <c r="R248" i="8"/>
  <c r="R249" i="8"/>
  <c r="R250" i="8"/>
  <c r="R251" i="8"/>
  <c r="R252" i="8"/>
  <c r="R253" i="8"/>
  <c r="R254" i="8"/>
  <c r="R256" i="8"/>
  <c r="R257" i="8"/>
  <c r="R258" i="8"/>
  <c r="R259" i="8"/>
  <c r="R260" i="8"/>
  <c r="R261" i="8"/>
  <c r="R262" i="8"/>
  <c r="R263" i="8"/>
  <c r="R264" i="8"/>
  <c r="R265" i="8"/>
  <c r="R266" i="8"/>
  <c r="R267" i="8"/>
  <c r="R268" i="8"/>
  <c r="R269" i="8"/>
  <c r="R270" i="8"/>
  <c r="R271" i="8"/>
  <c r="R272" i="8"/>
  <c r="R273" i="8"/>
  <c r="R274" i="8"/>
  <c r="R275" i="8"/>
  <c r="R276" i="8"/>
  <c r="R277" i="8"/>
  <c r="R279" i="8"/>
  <c r="R280" i="8"/>
  <c r="R281" i="8"/>
  <c r="R282" i="8"/>
  <c r="R283" i="8"/>
  <c r="R284" i="8"/>
  <c r="R285" i="8"/>
  <c r="R286" i="8"/>
  <c r="R287" i="8"/>
  <c r="R288" i="8"/>
  <c r="R289" i="8"/>
  <c r="R291" i="8"/>
  <c r="R292" i="8"/>
  <c r="R293" i="8"/>
  <c r="R294" i="8"/>
  <c r="R295" i="8"/>
  <c r="R296" i="8"/>
  <c r="R297" i="8"/>
  <c r="R298" i="8"/>
  <c r="R299" i="8"/>
  <c r="R300" i="8"/>
  <c r="R301" i="8"/>
  <c r="R302" i="8"/>
  <c r="R304" i="8"/>
  <c r="R305" i="8"/>
  <c r="R306" i="8"/>
  <c r="R307" i="8"/>
  <c r="R308" i="8"/>
  <c r="R309" i="8"/>
  <c r="R310" i="8"/>
  <c r="R311" i="8"/>
  <c r="R312" i="8"/>
  <c r="R313" i="8"/>
  <c r="R314" i="8"/>
  <c r="R315" i="8"/>
  <c r="R316" i="8"/>
  <c r="R9" i="8"/>
  <c r="D9" i="8"/>
  <c r="P10" i="8"/>
  <c r="P11" i="8"/>
  <c r="P12" i="8"/>
  <c r="P13" i="8"/>
  <c r="P14" i="8"/>
  <c r="P16" i="8"/>
  <c r="P17" i="8"/>
  <c r="P18" i="8"/>
  <c r="P19" i="8"/>
  <c r="P20" i="8"/>
  <c r="P29" i="8"/>
  <c r="P30" i="8"/>
  <c r="P31" i="8"/>
  <c r="P32" i="8"/>
  <c r="P33" i="8"/>
  <c r="P34" i="8"/>
  <c r="P36" i="8"/>
  <c r="P37" i="8"/>
  <c r="P38" i="8"/>
  <c r="P39" i="8"/>
  <c r="P40" i="8"/>
  <c r="P41" i="8"/>
  <c r="P42" i="8"/>
  <c r="P43" i="8"/>
  <c r="P45" i="8"/>
  <c r="P46" i="8"/>
  <c r="P47" i="8"/>
  <c r="P48" i="8"/>
  <c r="P49" i="8"/>
  <c r="P50" i="8"/>
  <c r="P51" i="8"/>
  <c r="P52" i="8"/>
  <c r="P53" i="8"/>
  <c r="P54" i="8"/>
  <c r="P55" i="8"/>
  <c r="P56" i="8"/>
  <c r="P57" i="8"/>
  <c r="P58" i="8"/>
  <c r="P59" i="8"/>
  <c r="P63" i="8"/>
  <c r="P64" i="8"/>
  <c r="P65" i="8"/>
  <c r="P66" i="8"/>
  <c r="P67" i="8"/>
  <c r="P68" i="8"/>
  <c r="P22" i="8"/>
  <c r="P23" i="8"/>
  <c r="P24" i="8"/>
  <c r="P25" i="8"/>
  <c r="P26" i="8"/>
  <c r="P27" i="8"/>
  <c r="P60" i="8"/>
  <c r="P61" i="8"/>
  <c r="P70" i="8"/>
  <c r="P71" i="8"/>
  <c r="P72" i="8"/>
  <c r="P73" i="8"/>
  <c r="P74" i="8"/>
  <c r="P76" i="8"/>
  <c r="P77" i="8"/>
  <c r="P79" i="8"/>
  <c r="P80" i="8"/>
  <c r="P81" i="8"/>
  <c r="P82" i="8"/>
  <c r="P84" i="8"/>
  <c r="P85" i="8"/>
  <c r="P86" i="8"/>
  <c r="P87" i="8"/>
  <c r="P89" i="8"/>
  <c r="P90" i="8"/>
  <c r="P92" i="8"/>
  <c r="P93" i="8"/>
  <c r="P94" i="8"/>
  <c r="P95" i="8"/>
  <c r="P96" i="8"/>
  <c r="P98" i="8"/>
  <c r="P99" i="8"/>
  <c r="P100" i="8"/>
  <c r="P102" i="8"/>
  <c r="P103" i="8"/>
  <c r="P104" i="8"/>
  <c r="P105" i="8"/>
  <c r="P106" i="8"/>
  <c r="P107" i="8"/>
  <c r="P108" i="8"/>
  <c r="P109" i="8"/>
  <c r="P110" i="8"/>
  <c r="P111" i="8"/>
  <c r="P112" i="8"/>
  <c r="P113" i="8"/>
  <c r="P114" i="8"/>
  <c r="P115" i="8"/>
  <c r="P116" i="8"/>
  <c r="P117" i="8"/>
  <c r="P118" i="8"/>
  <c r="P119" i="8"/>
  <c r="P120" i="8"/>
  <c r="P121" i="8"/>
  <c r="P122" i="8"/>
  <c r="P123" i="8"/>
  <c r="P124" i="8"/>
  <c r="P126" i="8"/>
  <c r="P127" i="8"/>
  <c r="P128" i="8"/>
  <c r="P129" i="8"/>
  <c r="P130" i="8"/>
  <c r="P131" i="8"/>
  <c r="P132" i="8"/>
  <c r="P133" i="8"/>
  <c r="P136" i="8"/>
  <c r="P137" i="8"/>
  <c r="P138" i="8"/>
  <c r="P139" i="8"/>
  <c r="P140" i="8"/>
  <c r="P141" i="8"/>
  <c r="P142" i="8"/>
  <c r="P143" i="8"/>
  <c r="P144" i="8"/>
  <c r="P147" i="8"/>
  <c r="P148" i="8"/>
  <c r="P149" i="8"/>
  <c r="P150" i="8"/>
  <c r="P151" i="8"/>
  <c r="P152" i="8"/>
  <c r="P153" i="8"/>
  <c r="P154" i="8"/>
  <c r="P155" i="8"/>
  <c r="P157" i="8"/>
  <c r="P158" i="8"/>
  <c r="P159" i="8"/>
  <c r="P160" i="8"/>
  <c r="P161" i="8"/>
  <c r="P163" i="8"/>
  <c r="P165" i="8"/>
  <c r="P166" i="8"/>
  <c r="P168" i="8"/>
  <c r="P169" i="8"/>
  <c r="P170" i="8"/>
  <c r="P171" i="8"/>
  <c r="P172" i="8"/>
  <c r="P173" i="8"/>
  <c r="P174" i="8"/>
  <c r="P176" i="8"/>
  <c r="P177" i="8"/>
  <c r="P178" i="8"/>
  <c r="P179" i="8"/>
  <c r="P180" i="8"/>
  <c r="P181" i="8"/>
  <c r="P182" i="8"/>
  <c r="P183" i="8"/>
  <c r="P184" i="8"/>
  <c r="P185" i="8"/>
  <c r="P186" i="8"/>
  <c r="P187" i="8"/>
  <c r="P188" i="8"/>
  <c r="P189" i="8"/>
  <c r="P190" i="8"/>
  <c r="P191" i="8"/>
  <c r="P192" i="8"/>
  <c r="P193" i="8"/>
  <c r="P194" i="8"/>
  <c r="P195" i="8"/>
  <c r="P196" i="8"/>
  <c r="P197" i="8"/>
  <c r="P198" i="8"/>
  <c r="P199" i="8"/>
  <c r="P200" i="8"/>
  <c r="P201" i="8"/>
  <c r="P202" i="8"/>
  <c r="P203" i="8"/>
  <c r="P204" i="8"/>
  <c r="P206" i="8"/>
  <c r="P207" i="8"/>
  <c r="P208" i="8"/>
  <c r="P209" i="8"/>
  <c r="P210" i="8"/>
  <c r="P211" i="8"/>
  <c r="P212" i="8"/>
  <c r="P213" i="8"/>
  <c r="P214" i="8"/>
  <c r="P215" i="8"/>
  <c r="P216" i="8"/>
  <c r="P219" i="8"/>
  <c r="P220" i="8"/>
  <c r="P222" i="8"/>
  <c r="P223" i="8"/>
  <c r="P224" i="8"/>
  <c r="P225" i="8"/>
  <c r="P226" i="8"/>
  <c r="P227" i="8"/>
  <c r="P228" i="8"/>
  <c r="P229" i="8"/>
  <c r="P230" i="8"/>
  <c r="P231" i="8"/>
  <c r="P232" i="8"/>
  <c r="P233" i="8"/>
  <c r="P234" i="8"/>
  <c r="P235" i="8"/>
  <c r="P237" i="8"/>
  <c r="P238" i="8"/>
  <c r="P239" i="8"/>
  <c r="P241" i="8"/>
  <c r="P242" i="8"/>
  <c r="P243" i="8"/>
  <c r="P244" i="8"/>
  <c r="P245" i="8"/>
  <c r="P246" i="8"/>
  <c r="P247" i="8"/>
  <c r="P248" i="8"/>
  <c r="P249" i="8"/>
  <c r="P250" i="8"/>
  <c r="P251" i="8"/>
  <c r="P252" i="8"/>
  <c r="P253" i="8"/>
  <c r="P254" i="8"/>
  <c r="P256" i="8"/>
  <c r="P257" i="8"/>
  <c r="P258" i="8"/>
  <c r="P259" i="8"/>
  <c r="P260" i="8"/>
  <c r="P261" i="8"/>
  <c r="P262" i="8"/>
  <c r="P263" i="8"/>
  <c r="P264" i="8"/>
  <c r="P265" i="8"/>
  <c r="P266" i="8"/>
  <c r="P267" i="8"/>
  <c r="P268" i="8"/>
  <c r="P269" i="8"/>
  <c r="P270" i="8"/>
  <c r="P271" i="8"/>
  <c r="P272" i="8"/>
  <c r="P273" i="8"/>
  <c r="P274" i="8"/>
  <c r="P275" i="8"/>
  <c r="P276" i="8"/>
  <c r="P277" i="8"/>
  <c r="P279" i="8"/>
  <c r="P280" i="8"/>
  <c r="P281" i="8"/>
  <c r="P282" i="8"/>
  <c r="P283" i="8"/>
  <c r="P284" i="8"/>
  <c r="P285" i="8"/>
  <c r="P286" i="8"/>
  <c r="P287" i="8"/>
  <c r="P288" i="8"/>
  <c r="P289" i="8"/>
  <c r="P291" i="8"/>
  <c r="P292" i="8"/>
  <c r="P293" i="8"/>
  <c r="P294" i="8"/>
  <c r="P295" i="8"/>
  <c r="P296" i="8"/>
  <c r="P297" i="8"/>
  <c r="P298" i="8"/>
  <c r="P299" i="8"/>
  <c r="P300" i="8"/>
  <c r="P301" i="8"/>
  <c r="P302" i="8"/>
  <c r="P304" i="8"/>
  <c r="P305" i="8"/>
  <c r="P306" i="8"/>
  <c r="P307" i="8"/>
  <c r="P308" i="8"/>
  <c r="P309" i="8"/>
  <c r="P310" i="8"/>
  <c r="P311" i="8"/>
  <c r="P312" i="8"/>
  <c r="P313" i="8"/>
  <c r="P314" i="8"/>
  <c r="P315" i="8"/>
  <c r="P316" i="8"/>
  <c r="P9" i="8"/>
  <c r="O33" i="8"/>
  <c r="O34" i="8"/>
  <c r="O36" i="8"/>
  <c r="O37" i="8"/>
  <c r="O38" i="8"/>
  <c r="O39" i="8"/>
  <c r="O40" i="8"/>
  <c r="O41" i="8"/>
  <c r="O42" i="8"/>
  <c r="O43" i="8"/>
  <c r="O45" i="8"/>
  <c r="O46" i="8"/>
  <c r="O47" i="8"/>
  <c r="O48" i="8"/>
  <c r="O49" i="8"/>
  <c r="O50" i="8"/>
  <c r="O51" i="8"/>
  <c r="O52" i="8"/>
  <c r="O53" i="8"/>
  <c r="O54" i="8"/>
  <c r="O55" i="8"/>
  <c r="O56" i="8"/>
  <c r="O57" i="8"/>
  <c r="O58" i="8"/>
  <c r="O59" i="8"/>
  <c r="O63" i="8"/>
  <c r="O64" i="8"/>
  <c r="O65" i="8"/>
  <c r="O66" i="8"/>
  <c r="O67" i="8"/>
  <c r="O68" i="8"/>
  <c r="O22" i="8"/>
  <c r="O23" i="8"/>
  <c r="O24" i="8"/>
  <c r="O25" i="8"/>
  <c r="O26" i="8"/>
  <c r="O27" i="8"/>
  <c r="O60" i="8"/>
  <c r="O61" i="8"/>
  <c r="O70" i="8"/>
  <c r="O71" i="8"/>
  <c r="O72" i="8"/>
  <c r="O73" i="8"/>
  <c r="O74" i="8"/>
  <c r="O76" i="8"/>
  <c r="O77" i="8"/>
  <c r="O79" i="8"/>
  <c r="O80" i="8"/>
  <c r="O81" i="8"/>
  <c r="O82" i="8"/>
  <c r="O84" i="8"/>
  <c r="O85" i="8"/>
  <c r="O86" i="8"/>
  <c r="O87" i="8"/>
  <c r="O89" i="8"/>
  <c r="O90" i="8"/>
  <c r="O92" i="8"/>
  <c r="O93" i="8"/>
  <c r="O94" i="8"/>
  <c r="O95" i="8"/>
  <c r="O96" i="8"/>
  <c r="O98" i="8"/>
  <c r="O99" i="8"/>
  <c r="O100" i="8"/>
  <c r="O102" i="8"/>
  <c r="O103" i="8"/>
  <c r="O104" i="8"/>
  <c r="O105" i="8"/>
  <c r="O106" i="8"/>
  <c r="O107" i="8"/>
  <c r="O108" i="8"/>
  <c r="O109" i="8"/>
  <c r="O110" i="8"/>
  <c r="O111" i="8"/>
  <c r="O112" i="8"/>
  <c r="O113" i="8"/>
  <c r="O114" i="8"/>
  <c r="O115" i="8"/>
  <c r="O116" i="8"/>
  <c r="O117" i="8"/>
  <c r="O118" i="8"/>
  <c r="O119" i="8"/>
  <c r="O120" i="8"/>
  <c r="O121" i="8"/>
  <c r="O122" i="8"/>
  <c r="O123" i="8"/>
  <c r="O124" i="8"/>
  <c r="O126" i="8"/>
  <c r="O127" i="8"/>
  <c r="O128" i="8"/>
  <c r="O129" i="8"/>
  <c r="O130" i="8"/>
  <c r="O131" i="8"/>
  <c r="O132" i="8"/>
  <c r="O133" i="8"/>
  <c r="O136" i="8"/>
  <c r="O137" i="8"/>
  <c r="O138" i="8"/>
  <c r="O139" i="8"/>
  <c r="O140" i="8"/>
  <c r="O141" i="8"/>
  <c r="O142" i="8"/>
  <c r="O143" i="8"/>
  <c r="O144" i="8"/>
  <c r="O147" i="8"/>
  <c r="O148" i="8"/>
  <c r="O149" i="8"/>
  <c r="O150" i="8"/>
  <c r="O151" i="8"/>
  <c r="O152" i="8"/>
  <c r="O153" i="8"/>
  <c r="O154" i="8"/>
  <c r="O155" i="8"/>
  <c r="O157" i="8"/>
  <c r="O158" i="8"/>
  <c r="O159" i="8"/>
  <c r="O160" i="8"/>
  <c r="O161" i="8"/>
  <c r="O163" i="8"/>
  <c r="O165" i="8"/>
  <c r="O166" i="8"/>
  <c r="O168" i="8"/>
  <c r="O169" i="8"/>
  <c r="O170" i="8"/>
  <c r="O171" i="8"/>
  <c r="O172" i="8"/>
  <c r="O173" i="8"/>
  <c r="O174" i="8"/>
  <c r="O176" i="8"/>
  <c r="O177" i="8"/>
  <c r="O178" i="8"/>
  <c r="O179" i="8"/>
  <c r="O180" i="8"/>
  <c r="O181" i="8"/>
  <c r="O182" i="8"/>
  <c r="O183" i="8"/>
  <c r="O184" i="8"/>
  <c r="O185" i="8"/>
  <c r="O186" i="8"/>
  <c r="O187" i="8"/>
  <c r="O188" i="8"/>
  <c r="O189" i="8"/>
  <c r="O190" i="8"/>
  <c r="O191" i="8"/>
  <c r="O192" i="8"/>
  <c r="O193" i="8"/>
  <c r="O194" i="8"/>
  <c r="O195" i="8"/>
  <c r="O196" i="8"/>
  <c r="O197" i="8"/>
  <c r="O198" i="8"/>
  <c r="O199" i="8"/>
  <c r="O200" i="8"/>
  <c r="O201" i="8"/>
  <c r="O202" i="8"/>
  <c r="O203" i="8"/>
  <c r="O204" i="8"/>
  <c r="O206" i="8"/>
  <c r="O207" i="8"/>
  <c r="O208" i="8"/>
  <c r="O209" i="8"/>
  <c r="O210" i="8"/>
  <c r="O211" i="8"/>
  <c r="O212" i="8"/>
  <c r="O213" i="8"/>
  <c r="O214" i="8"/>
  <c r="O215" i="8"/>
  <c r="O216" i="8"/>
  <c r="O219" i="8"/>
  <c r="O220" i="8"/>
  <c r="O222" i="8"/>
  <c r="O223" i="8"/>
  <c r="O224" i="8"/>
  <c r="O225" i="8"/>
  <c r="O226" i="8"/>
  <c r="O227" i="8"/>
  <c r="O228" i="8"/>
  <c r="O229" i="8"/>
  <c r="O230" i="8"/>
  <c r="O231" i="8"/>
  <c r="O232" i="8"/>
  <c r="O233" i="8"/>
  <c r="O234" i="8"/>
  <c r="O235" i="8"/>
  <c r="O237" i="8"/>
  <c r="O238" i="8"/>
  <c r="O239" i="8"/>
  <c r="O241" i="8"/>
  <c r="O242" i="8"/>
  <c r="O243" i="8"/>
  <c r="O244" i="8"/>
  <c r="O245" i="8"/>
  <c r="O246" i="8"/>
  <c r="O247" i="8"/>
  <c r="O248" i="8"/>
  <c r="O249" i="8"/>
  <c r="O250" i="8"/>
  <c r="O251" i="8"/>
  <c r="O252" i="8"/>
  <c r="O253" i="8"/>
  <c r="O254" i="8"/>
  <c r="O256" i="8"/>
  <c r="O257" i="8"/>
  <c r="O258" i="8"/>
  <c r="O259" i="8"/>
  <c r="O260" i="8"/>
  <c r="O261" i="8"/>
  <c r="O262" i="8"/>
  <c r="O263" i="8"/>
  <c r="O264" i="8"/>
  <c r="O265" i="8"/>
  <c r="O266" i="8"/>
  <c r="O267" i="8"/>
  <c r="O268" i="8"/>
  <c r="O269" i="8"/>
  <c r="O270" i="8"/>
  <c r="O271" i="8"/>
  <c r="O272" i="8"/>
  <c r="O273" i="8"/>
  <c r="O274" i="8"/>
  <c r="O275" i="8"/>
  <c r="O276" i="8"/>
  <c r="O277" i="8"/>
  <c r="O279" i="8"/>
  <c r="O280" i="8"/>
  <c r="O281" i="8"/>
  <c r="O282" i="8"/>
  <c r="O283" i="8"/>
  <c r="O284" i="8"/>
  <c r="O285" i="8"/>
  <c r="O286" i="8"/>
  <c r="O287" i="8"/>
  <c r="O288" i="8"/>
  <c r="O289" i="8"/>
  <c r="O291" i="8"/>
  <c r="O292" i="8"/>
  <c r="O293" i="8"/>
  <c r="O294" i="8"/>
  <c r="O295" i="8"/>
  <c r="O296" i="8"/>
  <c r="O297" i="8"/>
  <c r="O298" i="8"/>
  <c r="O299" i="8"/>
  <c r="O300" i="8"/>
  <c r="O301" i="8"/>
  <c r="O302" i="8"/>
  <c r="O304" i="8"/>
  <c r="O305" i="8"/>
  <c r="O306" i="8"/>
  <c r="O307" i="8"/>
  <c r="O308" i="8"/>
  <c r="O309" i="8"/>
  <c r="O310" i="8"/>
  <c r="O311" i="8"/>
  <c r="O312" i="8"/>
  <c r="O313" i="8"/>
  <c r="O314" i="8"/>
  <c r="O315" i="8"/>
  <c r="O316" i="8"/>
  <c r="O10" i="8"/>
  <c r="O11" i="8"/>
  <c r="O12" i="8"/>
  <c r="O13" i="8"/>
  <c r="O14" i="8"/>
  <c r="O16" i="8"/>
  <c r="O17" i="8"/>
  <c r="O18" i="8"/>
  <c r="O19" i="8"/>
  <c r="O20" i="8"/>
  <c r="O29" i="8"/>
  <c r="O30" i="8"/>
  <c r="O31" i="8"/>
  <c r="O32" i="8"/>
  <c r="O9" i="8"/>
  <c r="H10" i="8"/>
  <c r="H11" i="8"/>
  <c r="H12" i="8"/>
  <c r="H13" i="8"/>
  <c r="H14" i="8"/>
  <c r="H16" i="8"/>
  <c r="H17" i="8"/>
  <c r="H18" i="8"/>
  <c r="H19" i="8"/>
  <c r="H20" i="8"/>
  <c r="H29" i="8"/>
  <c r="H30" i="8"/>
  <c r="H31" i="8"/>
  <c r="H32" i="8"/>
  <c r="H33" i="8"/>
  <c r="H34" i="8"/>
  <c r="H36" i="8"/>
  <c r="H37" i="8"/>
  <c r="H38" i="8"/>
  <c r="H39" i="8"/>
  <c r="H40" i="8"/>
  <c r="H41" i="8"/>
  <c r="H42" i="8"/>
  <c r="H43" i="8"/>
  <c r="H45" i="8"/>
  <c r="H46" i="8"/>
  <c r="H47" i="8"/>
  <c r="H48" i="8"/>
  <c r="H49" i="8"/>
  <c r="H50" i="8"/>
  <c r="H51" i="8"/>
  <c r="H52" i="8"/>
  <c r="H53" i="8"/>
  <c r="H54" i="8"/>
  <c r="H55" i="8"/>
  <c r="H56" i="8"/>
  <c r="H57" i="8"/>
  <c r="H58" i="8"/>
  <c r="H59" i="8"/>
  <c r="H63" i="8"/>
  <c r="H64" i="8"/>
  <c r="H65" i="8"/>
  <c r="H66" i="8"/>
  <c r="H67" i="8"/>
  <c r="H68" i="8"/>
  <c r="H22" i="8"/>
  <c r="H23" i="8"/>
  <c r="H24" i="8"/>
  <c r="H25" i="8"/>
  <c r="H26" i="8"/>
  <c r="H27" i="8"/>
  <c r="H60" i="8"/>
  <c r="H61" i="8"/>
  <c r="H70" i="8"/>
  <c r="H71" i="8"/>
  <c r="H72" i="8"/>
  <c r="H73" i="8"/>
  <c r="H74" i="8"/>
  <c r="H76" i="8"/>
  <c r="H77" i="8"/>
  <c r="H79" i="8"/>
  <c r="H80" i="8"/>
  <c r="H81" i="8"/>
  <c r="H82" i="8"/>
  <c r="H84" i="8"/>
  <c r="H85" i="8"/>
  <c r="H86" i="8"/>
  <c r="H87" i="8"/>
  <c r="H89" i="8"/>
  <c r="H90" i="8"/>
  <c r="H92" i="8"/>
  <c r="H93" i="8"/>
  <c r="H94" i="8"/>
  <c r="H95" i="8"/>
  <c r="H96" i="8"/>
  <c r="H98" i="8"/>
  <c r="H99" i="8"/>
  <c r="H100" i="8"/>
  <c r="H102" i="8"/>
  <c r="H103" i="8"/>
  <c r="H104" i="8"/>
  <c r="H105" i="8"/>
  <c r="H106" i="8"/>
  <c r="H107" i="8"/>
  <c r="H108" i="8"/>
  <c r="H109" i="8"/>
  <c r="H110" i="8"/>
  <c r="H111" i="8"/>
  <c r="H112" i="8"/>
  <c r="H113" i="8"/>
  <c r="H114" i="8"/>
  <c r="H115" i="8"/>
  <c r="H116" i="8"/>
  <c r="H117" i="8"/>
  <c r="H118" i="8"/>
  <c r="H119" i="8"/>
  <c r="H120" i="8"/>
  <c r="H121" i="8"/>
  <c r="H122" i="8"/>
  <c r="H123" i="8"/>
  <c r="H124" i="8"/>
  <c r="H126" i="8"/>
  <c r="H127" i="8"/>
  <c r="H128" i="8"/>
  <c r="H129" i="8"/>
  <c r="H130" i="8"/>
  <c r="H131" i="8"/>
  <c r="H132" i="8"/>
  <c r="H133" i="8"/>
  <c r="H136" i="8"/>
  <c r="H137" i="8"/>
  <c r="H138" i="8"/>
  <c r="H139" i="8"/>
  <c r="H140" i="8"/>
  <c r="H141" i="8"/>
  <c r="H142" i="8"/>
  <c r="H143" i="8"/>
  <c r="H144" i="8"/>
  <c r="H147" i="8"/>
  <c r="H148" i="8"/>
  <c r="H149" i="8"/>
  <c r="H150" i="8"/>
  <c r="H151" i="8"/>
  <c r="H152" i="8"/>
  <c r="H153" i="8"/>
  <c r="H154" i="8"/>
  <c r="H155" i="8"/>
  <c r="H157" i="8"/>
  <c r="H158" i="8"/>
  <c r="H159" i="8"/>
  <c r="H160" i="8"/>
  <c r="H161" i="8"/>
  <c r="H163" i="8"/>
  <c r="H165" i="8"/>
  <c r="H166" i="8"/>
  <c r="H168" i="8"/>
  <c r="H169" i="8"/>
  <c r="H170" i="8"/>
  <c r="H171" i="8"/>
  <c r="H172" i="8"/>
  <c r="H173" i="8"/>
  <c r="H174" i="8"/>
  <c r="H176" i="8"/>
  <c r="H177" i="8"/>
  <c r="H178" i="8"/>
  <c r="H179" i="8"/>
  <c r="H180" i="8"/>
  <c r="H181" i="8"/>
  <c r="H182" i="8"/>
  <c r="H183" i="8"/>
  <c r="H184" i="8"/>
  <c r="H185" i="8"/>
  <c r="H186" i="8"/>
  <c r="H187" i="8"/>
  <c r="H188" i="8"/>
  <c r="H189" i="8"/>
  <c r="H190" i="8"/>
  <c r="H191" i="8"/>
  <c r="H192" i="8"/>
  <c r="H193" i="8"/>
  <c r="H194" i="8"/>
  <c r="H195" i="8"/>
  <c r="H196" i="8"/>
  <c r="H197" i="8"/>
  <c r="H198" i="8"/>
  <c r="H199" i="8"/>
  <c r="H200" i="8"/>
  <c r="H201" i="8"/>
  <c r="H202" i="8"/>
  <c r="H203" i="8"/>
  <c r="H204" i="8"/>
  <c r="H206" i="8"/>
  <c r="H207" i="8"/>
  <c r="H208" i="8"/>
  <c r="H209" i="8"/>
  <c r="H210" i="8"/>
  <c r="H211" i="8"/>
  <c r="H212" i="8"/>
  <c r="H213" i="8"/>
  <c r="H214" i="8"/>
  <c r="H215" i="8"/>
  <c r="H216" i="8"/>
  <c r="H219" i="8"/>
  <c r="H220" i="8"/>
  <c r="H222" i="8"/>
  <c r="H223" i="8"/>
  <c r="H224" i="8"/>
  <c r="H225" i="8"/>
  <c r="H226" i="8"/>
  <c r="H227" i="8"/>
  <c r="H228" i="8"/>
  <c r="H229" i="8"/>
  <c r="H230" i="8"/>
  <c r="H231" i="8"/>
  <c r="H232" i="8"/>
  <c r="H233" i="8"/>
  <c r="H234" i="8"/>
  <c r="H235" i="8"/>
  <c r="H237" i="8"/>
  <c r="H238" i="8"/>
  <c r="H239" i="8"/>
  <c r="H241" i="8"/>
  <c r="H242" i="8"/>
  <c r="H243" i="8"/>
  <c r="H244" i="8"/>
  <c r="H245" i="8"/>
  <c r="H246" i="8"/>
  <c r="H247" i="8"/>
  <c r="H248" i="8"/>
  <c r="H249" i="8"/>
  <c r="H250" i="8"/>
  <c r="H251" i="8"/>
  <c r="H252" i="8"/>
  <c r="H253" i="8"/>
  <c r="H254" i="8"/>
  <c r="H256" i="8"/>
  <c r="H257" i="8"/>
  <c r="H258" i="8"/>
  <c r="H259" i="8"/>
  <c r="H260" i="8"/>
  <c r="H261" i="8"/>
  <c r="H262" i="8"/>
  <c r="H263" i="8"/>
  <c r="H264" i="8"/>
  <c r="H265" i="8"/>
  <c r="H266" i="8"/>
  <c r="H267" i="8"/>
  <c r="H268" i="8"/>
  <c r="H269" i="8"/>
  <c r="H270" i="8"/>
  <c r="H271" i="8"/>
  <c r="H272" i="8"/>
  <c r="H273" i="8"/>
  <c r="H274" i="8"/>
  <c r="H275" i="8"/>
  <c r="H276" i="8"/>
  <c r="H277" i="8"/>
  <c r="H279" i="8"/>
  <c r="H280" i="8"/>
  <c r="H281" i="8"/>
  <c r="H282" i="8"/>
  <c r="H283" i="8"/>
  <c r="H284" i="8"/>
  <c r="H285" i="8"/>
  <c r="H286" i="8"/>
  <c r="H287" i="8"/>
  <c r="H288" i="8"/>
  <c r="H289" i="8"/>
  <c r="H291" i="8"/>
  <c r="H292" i="8"/>
  <c r="H293" i="8"/>
  <c r="H294" i="8"/>
  <c r="H295" i="8"/>
  <c r="H296" i="8"/>
  <c r="H297" i="8"/>
  <c r="H298" i="8"/>
  <c r="H299" i="8"/>
  <c r="H300" i="8"/>
  <c r="H301" i="8"/>
  <c r="H302" i="8"/>
  <c r="H304" i="8"/>
  <c r="H305" i="8"/>
  <c r="H306" i="8"/>
  <c r="H307" i="8"/>
  <c r="H308" i="8"/>
  <c r="H309" i="8"/>
  <c r="H310" i="8"/>
  <c r="H311" i="8"/>
  <c r="H312" i="8"/>
  <c r="H313" i="8"/>
  <c r="H314" i="8"/>
  <c r="H315" i="8"/>
  <c r="H316" i="8"/>
  <c r="H9" i="8"/>
  <c r="G10" i="8"/>
  <c r="G11" i="8"/>
  <c r="G12" i="8"/>
  <c r="G13" i="8"/>
  <c r="G14" i="8"/>
  <c r="G16" i="8"/>
  <c r="G17" i="8"/>
  <c r="G18" i="8"/>
  <c r="G19" i="8"/>
  <c r="G20" i="8"/>
  <c r="G29" i="8"/>
  <c r="G30" i="8"/>
  <c r="G31" i="8"/>
  <c r="G32" i="8"/>
  <c r="G33" i="8"/>
  <c r="G34" i="8"/>
  <c r="G36" i="8"/>
  <c r="G37" i="8"/>
  <c r="G38" i="8"/>
  <c r="G39" i="8"/>
  <c r="G40" i="8"/>
  <c r="G41" i="8"/>
  <c r="G42" i="8"/>
  <c r="G43" i="8"/>
  <c r="G45" i="8"/>
  <c r="G46" i="8"/>
  <c r="G47" i="8"/>
  <c r="G48" i="8"/>
  <c r="G49" i="8"/>
  <c r="G50" i="8"/>
  <c r="G51" i="8"/>
  <c r="G52" i="8"/>
  <c r="G53" i="8"/>
  <c r="G54" i="8"/>
  <c r="G55" i="8"/>
  <c r="G56" i="8"/>
  <c r="G57" i="8"/>
  <c r="G58" i="8"/>
  <c r="G59" i="8"/>
  <c r="G63" i="8"/>
  <c r="G64" i="8"/>
  <c r="G65" i="8"/>
  <c r="G66" i="8"/>
  <c r="G67" i="8"/>
  <c r="G68" i="8"/>
  <c r="G22" i="8"/>
  <c r="G23" i="8"/>
  <c r="G24" i="8"/>
  <c r="G25" i="8"/>
  <c r="G26" i="8"/>
  <c r="G27" i="8"/>
  <c r="G60" i="8"/>
  <c r="G61" i="8"/>
  <c r="G70" i="8"/>
  <c r="G71" i="8"/>
  <c r="G72" i="8"/>
  <c r="G73" i="8"/>
  <c r="G74" i="8"/>
  <c r="G76" i="8"/>
  <c r="G77" i="8"/>
  <c r="G79" i="8"/>
  <c r="G80" i="8"/>
  <c r="G81" i="8"/>
  <c r="G82" i="8"/>
  <c r="G84" i="8"/>
  <c r="G85" i="8"/>
  <c r="G86" i="8"/>
  <c r="G87" i="8"/>
  <c r="G89" i="8"/>
  <c r="G90" i="8"/>
  <c r="G92" i="8"/>
  <c r="G93" i="8"/>
  <c r="G94" i="8"/>
  <c r="G95" i="8"/>
  <c r="G96" i="8"/>
  <c r="G98" i="8"/>
  <c r="G99" i="8"/>
  <c r="G100" i="8"/>
  <c r="G102" i="8"/>
  <c r="G103" i="8"/>
  <c r="G104" i="8"/>
  <c r="G105" i="8"/>
  <c r="G106" i="8"/>
  <c r="G107" i="8"/>
  <c r="G108" i="8"/>
  <c r="G109" i="8"/>
  <c r="G110" i="8"/>
  <c r="G111" i="8"/>
  <c r="G112" i="8"/>
  <c r="G113" i="8"/>
  <c r="G114" i="8"/>
  <c r="G115" i="8"/>
  <c r="G116" i="8"/>
  <c r="G117" i="8"/>
  <c r="G118" i="8"/>
  <c r="G119" i="8"/>
  <c r="G120" i="8"/>
  <c r="G121" i="8"/>
  <c r="G122" i="8"/>
  <c r="G123" i="8"/>
  <c r="G124" i="8"/>
  <c r="G126" i="8"/>
  <c r="G127" i="8"/>
  <c r="G128" i="8"/>
  <c r="G129" i="8"/>
  <c r="G130" i="8"/>
  <c r="G131" i="8"/>
  <c r="G132" i="8"/>
  <c r="G133" i="8"/>
  <c r="G136" i="8"/>
  <c r="G137" i="8"/>
  <c r="G138" i="8"/>
  <c r="G139" i="8"/>
  <c r="G140" i="8"/>
  <c r="G141" i="8"/>
  <c r="G142" i="8"/>
  <c r="G143" i="8"/>
  <c r="G144" i="8"/>
  <c r="G147" i="8"/>
  <c r="G148" i="8"/>
  <c r="G149" i="8"/>
  <c r="G150" i="8"/>
  <c r="G151" i="8"/>
  <c r="G152" i="8"/>
  <c r="G153" i="8"/>
  <c r="G154" i="8"/>
  <c r="G155" i="8"/>
  <c r="G157" i="8"/>
  <c r="G158" i="8"/>
  <c r="G159" i="8"/>
  <c r="G160" i="8"/>
  <c r="G161" i="8"/>
  <c r="G163" i="8"/>
  <c r="G165" i="8"/>
  <c r="G166" i="8"/>
  <c r="G168" i="8"/>
  <c r="G169" i="8"/>
  <c r="G170" i="8"/>
  <c r="G171" i="8"/>
  <c r="G172" i="8"/>
  <c r="G173" i="8"/>
  <c r="G174" i="8"/>
  <c r="G176" i="8"/>
  <c r="G177" i="8"/>
  <c r="G178" i="8"/>
  <c r="G179" i="8"/>
  <c r="G180" i="8"/>
  <c r="G181" i="8"/>
  <c r="G182" i="8"/>
  <c r="G183" i="8"/>
  <c r="G184" i="8"/>
  <c r="G185" i="8"/>
  <c r="G186" i="8"/>
  <c r="G187" i="8"/>
  <c r="G188" i="8"/>
  <c r="G189" i="8"/>
  <c r="G190" i="8"/>
  <c r="G191" i="8"/>
  <c r="G192" i="8"/>
  <c r="G193" i="8"/>
  <c r="G194" i="8"/>
  <c r="G195" i="8"/>
  <c r="G196" i="8"/>
  <c r="G197" i="8"/>
  <c r="G198" i="8"/>
  <c r="G199" i="8"/>
  <c r="G200" i="8"/>
  <c r="G201" i="8"/>
  <c r="G202" i="8"/>
  <c r="G203" i="8"/>
  <c r="G204" i="8"/>
  <c r="G206" i="8"/>
  <c r="G207" i="8"/>
  <c r="G208" i="8"/>
  <c r="G209" i="8"/>
  <c r="G210" i="8"/>
  <c r="G211" i="8"/>
  <c r="G212" i="8"/>
  <c r="G213" i="8"/>
  <c r="G214" i="8"/>
  <c r="G215" i="8"/>
  <c r="G216" i="8"/>
  <c r="G219" i="8"/>
  <c r="G220" i="8"/>
  <c r="G222" i="8"/>
  <c r="G223" i="8"/>
  <c r="G224" i="8"/>
  <c r="G225" i="8"/>
  <c r="G226" i="8"/>
  <c r="G227" i="8"/>
  <c r="G228" i="8"/>
  <c r="G229" i="8"/>
  <c r="G230" i="8"/>
  <c r="G231" i="8"/>
  <c r="G232" i="8"/>
  <c r="G233" i="8"/>
  <c r="G234" i="8"/>
  <c r="G235" i="8"/>
  <c r="G237" i="8"/>
  <c r="G238" i="8"/>
  <c r="G239" i="8"/>
  <c r="G241" i="8"/>
  <c r="G242" i="8"/>
  <c r="G243" i="8"/>
  <c r="G244" i="8"/>
  <c r="G245" i="8"/>
  <c r="G246" i="8"/>
  <c r="G247" i="8"/>
  <c r="G248" i="8"/>
  <c r="G249" i="8"/>
  <c r="G250" i="8"/>
  <c r="G251" i="8"/>
  <c r="G252" i="8"/>
  <c r="G253" i="8"/>
  <c r="G254" i="8"/>
  <c r="G256" i="8"/>
  <c r="G257" i="8"/>
  <c r="G258" i="8"/>
  <c r="G259" i="8"/>
  <c r="G260" i="8"/>
  <c r="G261" i="8"/>
  <c r="G262" i="8"/>
  <c r="G263" i="8"/>
  <c r="G264" i="8"/>
  <c r="G265" i="8"/>
  <c r="G266" i="8"/>
  <c r="G267" i="8"/>
  <c r="G268" i="8"/>
  <c r="G269" i="8"/>
  <c r="G270" i="8"/>
  <c r="G271" i="8"/>
  <c r="G272" i="8"/>
  <c r="G273" i="8"/>
  <c r="G274" i="8"/>
  <c r="G275" i="8"/>
  <c r="G276" i="8"/>
  <c r="G277" i="8"/>
  <c r="G279" i="8"/>
  <c r="G280" i="8"/>
  <c r="G281" i="8"/>
  <c r="G282" i="8"/>
  <c r="G283" i="8"/>
  <c r="G284" i="8"/>
  <c r="G285" i="8"/>
  <c r="G286" i="8"/>
  <c r="G287" i="8"/>
  <c r="G288" i="8"/>
  <c r="G289" i="8"/>
  <c r="G291" i="8"/>
  <c r="G292" i="8"/>
  <c r="G293" i="8"/>
  <c r="G294" i="8"/>
  <c r="G295" i="8"/>
  <c r="G296" i="8"/>
  <c r="G297" i="8"/>
  <c r="G298" i="8"/>
  <c r="G299" i="8"/>
  <c r="G300" i="8"/>
  <c r="G301" i="8"/>
  <c r="G302" i="8"/>
  <c r="G304" i="8"/>
  <c r="G305" i="8"/>
  <c r="G306" i="8"/>
  <c r="G307" i="8"/>
  <c r="G308" i="8"/>
  <c r="G309" i="8"/>
  <c r="G310" i="8"/>
  <c r="G311" i="8"/>
  <c r="G312" i="8"/>
  <c r="G313" i="8"/>
  <c r="G314" i="8"/>
  <c r="G315" i="8"/>
  <c r="G316" i="8"/>
  <c r="G9" i="8"/>
  <c r="I11" i="8"/>
  <c r="J11" i="8" s="1"/>
  <c r="I12" i="8"/>
  <c r="J12" i="8" s="1"/>
  <c r="I13" i="8"/>
  <c r="J13" i="8" s="1"/>
  <c r="I14" i="8"/>
  <c r="J14" i="8" s="1"/>
  <c r="I16" i="8"/>
  <c r="J16" i="8" s="1"/>
  <c r="I17" i="8"/>
  <c r="J17" i="8" s="1"/>
  <c r="I18" i="8"/>
  <c r="J18" i="8" s="1"/>
  <c r="I19" i="8"/>
  <c r="J19" i="8" s="1"/>
  <c r="I20" i="8"/>
  <c r="J20" i="8" s="1"/>
  <c r="I29" i="8"/>
  <c r="J29" i="8" s="1"/>
  <c r="I30" i="8"/>
  <c r="J30" i="8" s="1"/>
  <c r="I31" i="8"/>
  <c r="J31" i="8" s="1"/>
  <c r="I32" i="8"/>
  <c r="J32" i="8" s="1"/>
  <c r="I33" i="8"/>
  <c r="J33" i="8" s="1"/>
  <c r="I34" i="8"/>
  <c r="J34" i="8" s="1"/>
  <c r="I36" i="8"/>
  <c r="J36" i="8" s="1"/>
  <c r="I37" i="8"/>
  <c r="J37" i="8" s="1"/>
  <c r="I38" i="8"/>
  <c r="J38" i="8" s="1"/>
  <c r="I39" i="8"/>
  <c r="J39" i="8" s="1"/>
  <c r="I40" i="8"/>
  <c r="J40" i="8" s="1"/>
  <c r="I41" i="8"/>
  <c r="J41" i="8" s="1"/>
  <c r="I42" i="8"/>
  <c r="J42" i="8" s="1"/>
  <c r="I43" i="8"/>
  <c r="J43" i="8" s="1"/>
  <c r="I45" i="8"/>
  <c r="J45" i="8" s="1"/>
  <c r="I46" i="8"/>
  <c r="J46" i="8" s="1"/>
  <c r="I47" i="8"/>
  <c r="J47" i="8" s="1"/>
  <c r="I48" i="8"/>
  <c r="J48" i="8" s="1"/>
  <c r="I49" i="8"/>
  <c r="J49" i="8" s="1"/>
  <c r="I50" i="8"/>
  <c r="J50" i="8" s="1"/>
  <c r="I51" i="8"/>
  <c r="J51" i="8" s="1"/>
  <c r="I52" i="8"/>
  <c r="J52" i="8" s="1"/>
  <c r="I53" i="8"/>
  <c r="J53" i="8" s="1"/>
  <c r="I54" i="8"/>
  <c r="J54" i="8" s="1"/>
  <c r="I55" i="8"/>
  <c r="J55" i="8" s="1"/>
  <c r="I56" i="8"/>
  <c r="J56" i="8" s="1"/>
  <c r="I57" i="8"/>
  <c r="J57" i="8" s="1"/>
  <c r="I58" i="8"/>
  <c r="J58" i="8" s="1"/>
  <c r="I59" i="8"/>
  <c r="J59" i="8" s="1"/>
  <c r="I63" i="8"/>
  <c r="J63" i="8" s="1"/>
  <c r="I64" i="8"/>
  <c r="J64" i="8" s="1"/>
  <c r="I65" i="8"/>
  <c r="J65" i="8" s="1"/>
  <c r="I66" i="8"/>
  <c r="J66" i="8" s="1"/>
  <c r="I67" i="8"/>
  <c r="J67" i="8" s="1"/>
  <c r="I68" i="8"/>
  <c r="J68" i="8" s="1"/>
  <c r="I22" i="8"/>
  <c r="J22" i="8" s="1"/>
  <c r="I23" i="8"/>
  <c r="J23" i="8" s="1"/>
  <c r="I24" i="8"/>
  <c r="J24" i="8" s="1"/>
  <c r="I25" i="8"/>
  <c r="J25" i="8" s="1"/>
  <c r="I26" i="8"/>
  <c r="J26" i="8" s="1"/>
  <c r="I27" i="8"/>
  <c r="J27" i="8" s="1"/>
  <c r="I60" i="8"/>
  <c r="J60" i="8" s="1"/>
  <c r="I61" i="8"/>
  <c r="J61" i="8" s="1"/>
  <c r="I70" i="8"/>
  <c r="J70" i="8" s="1"/>
  <c r="I71" i="8"/>
  <c r="J71" i="8" s="1"/>
  <c r="I72" i="8"/>
  <c r="J72" i="8" s="1"/>
  <c r="I73" i="8"/>
  <c r="J73" i="8" s="1"/>
  <c r="I74" i="8"/>
  <c r="J74" i="8" s="1"/>
  <c r="I76" i="8"/>
  <c r="J76" i="8" s="1"/>
  <c r="I77" i="8"/>
  <c r="J77" i="8" s="1"/>
  <c r="I79" i="8"/>
  <c r="J79" i="8" s="1"/>
  <c r="I80" i="8"/>
  <c r="J80" i="8" s="1"/>
  <c r="I81" i="8"/>
  <c r="J81" i="8" s="1"/>
  <c r="I82" i="8"/>
  <c r="J82" i="8" s="1"/>
  <c r="I84" i="8"/>
  <c r="J84" i="8" s="1"/>
  <c r="I85" i="8"/>
  <c r="J85" i="8" s="1"/>
  <c r="I86" i="8"/>
  <c r="J86" i="8" s="1"/>
  <c r="I87" i="8"/>
  <c r="J87" i="8" s="1"/>
  <c r="I89" i="8"/>
  <c r="J89" i="8" s="1"/>
  <c r="I90" i="8"/>
  <c r="J90" i="8" s="1"/>
  <c r="I92" i="8"/>
  <c r="J92" i="8" s="1"/>
  <c r="I93" i="8"/>
  <c r="J93" i="8" s="1"/>
  <c r="I94" i="8"/>
  <c r="J94" i="8" s="1"/>
  <c r="I95" i="8"/>
  <c r="J95" i="8" s="1"/>
  <c r="I96" i="8"/>
  <c r="J96" i="8" s="1"/>
  <c r="I98" i="8"/>
  <c r="J98" i="8" s="1"/>
  <c r="I99" i="8"/>
  <c r="J99" i="8" s="1"/>
  <c r="I100" i="8"/>
  <c r="J100" i="8" s="1"/>
  <c r="I102" i="8"/>
  <c r="J102" i="8" s="1"/>
  <c r="I103" i="8"/>
  <c r="J103" i="8" s="1"/>
  <c r="I104" i="8"/>
  <c r="J104" i="8" s="1"/>
  <c r="I105" i="8"/>
  <c r="J105" i="8" s="1"/>
  <c r="I106" i="8"/>
  <c r="J106" i="8" s="1"/>
  <c r="I107" i="8"/>
  <c r="J107" i="8" s="1"/>
  <c r="I108" i="8"/>
  <c r="J108" i="8" s="1"/>
  <c r="I109" i="8"/>
  <c r="J109" i="8" s="1"/>
  <c r="I110" i="8"/>
  <c r="J110" i="8" s="1"/>
  <c r="I111" i="8"/>
  <c r="J111" i="8" s="1"/>
  <c r="I112" i="8"/>
  <c r="J112" i="8" s="1"/>
  <c r="I113" i="8"/>
  <c r="J113" i="8" s="1"/>
  <c r="I114" i="8"/>
  <c r="J114" i="8" s="1"/>
  <c r="I115" i="8"/>
  <c r="J115" i="8" s="1"/>
  <c r="I116" i="8"/>
  <c r="J116" i="8" s="1"/>
  <c r="I117" i="8"/>
  <c r="J117" i="8" s="1"/>
  <c r="I118" i="8"/>
  <c r="J118" i="8" s="1"/>
  <c r="I119" i="8"/>
  <c r="J119" i="8" s="1"/>
  <c r="I120" i="8"/>
  <c r="J120" i="8" s="1"/>
  <c r="I121" i="8"/>
  <c r="J121" i="8" s="1"/>
  <c r="I122" i="8"/>
  <c r="J122" i="8" s="1"/>
  <c r="I123" i="8"/>
  <c r="J123" i="8" s="1"/>
  <c r="I124" i="8"/>
  <c r="J124" i="8" s="1"/>
  <c r="I126" i="8"/>
  <c r="J126" i="8" s="1"/>
  <c r="I127" i="8"/>
  <c r="J127" i="8" s="1"/>
  <c r="I128" i="8"/>
  <c r="J128" i="8" s="1"/>
  <c r="I129" i="8"/>
  <c r="J129" i="8" s="1"/>
  <c r="I130" i="8"/>
  <c r="J130" i="8" s="1"/>
  <c r="I131" i="8"/>
  <c r="J131" i="8" s="1"/>
  <c r="I132" i="8"/>
  <c r="J132" i="8" s="1"/>
  <c r="I133" i="8"/>
  <c r="J133" i="8" s="1"/>
  <c r="I136" i="8"/>
  <c r="J136" i="8" s="1"/>
  <c r="I137" i="8"/>
  <c r="J137" i="8" s="1"/>
  <c r="I138" i="8"/>
  <c r="J138" i="8" s="1"/>
  <c r="I139" i="8"/>
  <c r="J139" i="8" s="1"/>
  <c r="I140" i="8"/>
  <c r="J140" i="8" s="1"/>
  <c r="I141" i="8"/>
  <c r="J141" i="8" s="1"/>
  <c r="I142" i="8"/>
  <c r="J142" i="8" s="1"/>
  <c r="I143" i="8"/>
  <c r="J143" i="8" s="1"/>
  <c r="I144" i="8"/>
  <c r="J144" i="8" s="1"/>
  <c r="I147" i="8"/>
  <c r="J147" i="8" s="1"/>
  <c r="I148" i="8"/>
  <c r="J148" i="8" s="1"/>
  <c r="I149" i="8"/>
  <c r="J149" i="8" s="1"/>
  <c r="I150" i="8"/>
  <c r="J150" i="8" s="1"/>
  <c r="I151" i="8"/>
  <c r="J151" i="8" s="1"/>
  <c r="I152" i="8"/>
  <c r="J152" i="8" s="1"/>
  <c r="I153" i="8"/>
  <c r="J153" i="8" s="1"/>
  <c r="I154" i="8"/>
  <c r="J154" i="8" s="1"/>
  <c r="I155" i="8"/>
  <c r="J155" i="8" s="1"/>
  <c r="I157" i="8"/>
  <c r="J157" i="8" s="1"/>
  <c r="I158" i="8"/>
  <c r="J158" i="8" s="1"/>
  <c r="I159" i="8"/>
  <c r="J159" i="8" s="1"/>
  <c r="I160" i="8"/>
  <c r="J160" i="8" s="1"/>
  <c r="I161" i="8"/>
  <c r="J161" i="8" s="1"/>
  <c r="I163" i="8"/>
  <c r="J163" i="8" s="1"/>
  <c r="I165" i="8"/>
  <c r="J165" i="8" s="1"/>
  <c r="I166" i="8"/>
  <c r="J166" i="8" s="1"/>
  <c r="I168" i="8"/>
  <c r="J168" i="8" s="1"/>
  <c r="I169" i="8"/>
  <c r="J169" i="8" s="1"/>
  <c r="I170" i="8"/>
  <c r="J170" i="8" s="1"/>
  <c r="I171" i="8"/>
  <c r="J171" i="8" s="1"/>
  <c r="I172" i="8"/>
  <c r="J172" i="8" s="1"/>
  <c r="I173" i="8"/>
  <c r="J173" i="8" s="1"/>
  <c r="I174" i="8"/>
  <c r="J174" i="8" s="1"/>
  <c r="I176" i="8"/>
  <c r="J176" i="8" s="1"/>
  <c r="I177" i="8"/>
  <c r="J177" i="8" s="1"/>
  <c r="I178" i="8"/>
  <c r="J178" i="8" s="1"/>
  <c r="I179" i="8"/>
  <c r="J179" i="8" s="1"/>
  <c r="I180" i="8"/>
  <c r="J180" i="8" s="1"/>
  <c r="I181" i="8"/>
  <c r="J181" i="8" s="1"/>
  <c r="I182" i="8"/>
  <c r="J182" i="8" s="1"/>
  <c r="I183" i="8"/>
  <c r="J183" i="8" s="1"/>
  <c r="I184" i="8"/>
  <c r="J184" i="8" s="1"/>
  <c r="I185" i="8"/>
  <c r="J185" i="8" s="1"/>
  <c r="I186" i="8"/>
  <c r="J186" i="8" s="1"/>
  <c r="I187" i="8"/>
  <c r="J187" i="8" s="1"/>
  <c r="I188" i="8"/>
  <c r="J188" i="8" s="1"/>
  <c r="I189" i="8"/>
  <c r="J189" i="8" s="1"/>
  <c r="I190" i="8"/>
  <c r="J190" i="8" s="1"/>
  <c r="I191" i="8"/>
  <c r="J191" i="8" s="1"/>
  <c r="I192" i="8"/>
  <c r="J192" i="8" s="1"/>
  <c r="I193" i="8"/>
  <c r="J193" i="8" s="1"/>
  <c r="I194" i="8"/>
  <c r="J194" i="8" s="1"/>
  <c r="I195" i="8"/>
  <c r="J195" i="8" s="1"/>
  <c r="I196" i="8"/>
  <c r="J196" i="8" s="1"/>
  <c r="I197" i="8"/>
  <c r="J197" i="8" s="1"/>
  <c r="I198" i="8"/>
  <c r="J198" i="8" s="1"/>
  <c r="I199" i="8"/>
  <c r="J199" i="8" s="1"/>
  <c r="I200" i="8"/>
  <c r="J200" i="8" s="1"/>
  <c r="I201" i="8"/>
  <c r="J201" i="8" s="1"/>
  <c r="I202" i="8"/>
  <c r="J202" i="8" s="1"/>
  <c r="I203" i="8"/>
  <c r="J203" i="8" s="1"/>
  <c r="I204" i="8"/>
  <c r="J204" i="8" s="1"/>
  <c r="I206" i="8"/>
  <c r="J206" i="8" s="1"/>
  <c r="I207" i="8"/>
  <c r="J207" i="8" s="1"/>
  <c r="I208" i="8"/>
  <c r="J208" i="8" s="1"/>
  <c r="I209" i="8"/>
  <c r="J209" i="8" s="1"/>
  <c r="I210" i="8"/>
  <c r="J210" i="8" s="1"/>
  <c r="I211" i="8"/>
  <c r="J211" i="8" s="1"/>
  <c r="I212" i="8"/>
  <c r="J212" i="8" s="1"/>
  <c r="I213" i="8"/>
  <c r="J213" i="8" s="1"/>
  <c r="I214" i="8"/>
  <c r="J214" i="8" s="1"/>
  <c r="I215" i="8"/>
  <c r="J215" i="8" s="1"/>
  <c r="I216" i="8"/>
  <c r="J216" i="8" s="1"/>
  <c r="I219" i="8"/>
  <c r="J219" i="8" s="1"/>
  <c r="I220" i="8"/>
  <c r="J220" i="8" s="1"/>
  <c r="I222" i="8"/>
  <c r="J222" i="8" s="1"/>
  <c r="I223" i="8"/>
  <c r="J223" i="8" s="1"/>
  <c r="I224" i="8"/>
  <c r="J224" i="8" s="1"/>
  <c r="I225" i="8"/>
  <c r="J225" i="8" s="1"/>
  <c r="I226" i="8"/>
  <c r="J226" i="8" s="1"/>
  <c r="I227" i="8"/>
  <c r="J227" i="8" s="1"/>
  <c r="I228" i="8"/>
  <c r="J228" i="8" s="1"/>
  <c r="I229" i="8"/>
  <c r="J229" i="8" s="1"/>
  <c r="I230" i="8"/>
  <c r="J230" i="8" s="1"/>
  <c r="I231" i="8"/>
  <c r="J231" i="8" s="1"/>
  <c r="I232" i="8"/>
  <c r="J232" i="8" s="1"/>
  <c r="I233" i="8"/>
  <c r="J233" i="8" s="1"/>
  <c r="I234" i="8"/>
  <c r="J234" i="8" s="1"/>
  <c r="I235" i="8"/>
  <c r="J235" i="8" s="1"/>
  <c r="I237" i="8"/>
  <c r="J237" i="8" s="1"/>
  <c r="I238" i="8"/>
  <c r="J238" i="8" s="1"/>
  <c r="I239" i="8"/>
  <c r="J239" i="8" s="1"/>
  <c r="I241" i="8"/>
  <c r="J241" i="8" s="1"/>
  <c r="I242" i="8"/>
  <c r="J242" i="8" s="1"/>
  <c r="I243" i="8"/>
  <c r="J243" i="8" s="1"/>
  <c r="I244" i="8"/>
  <c r="J244" i="8" s="1"/>
  <c r="I245" i="8"/>
  <c r="J245" i="8" s="1"/>
  <c r="I246" i="8"/>
  <c r="J246" i="8" s="1"/>
  <c r="I247" i="8"/>
  <c r="J247" i="8" s="1"/>
  <c r="I248" i="8"/>
  <c r="J248" i="8" s="1"/>
  <c r="I249" i="8"/>
  <c r="J249" i="8" s="1"/>
  <c r="I250" i="8"/>
  <c r="J250" i="8" s="1"/>
  <c r="I251" i="8"/>
  <c r="J251" i="8" s="1"/>
  <c r="I252" i="8"/>
  <c r="J252" i="8" s="1"/>
  <c r="I253" i="8"/>
  <c r="J253" i="8" s="1"/>
  <c r="I254" i="8"/>
  <c r="J254" i="8" s="1"/>
  <c r="I256" i="8"/>
  <c r="J256" i="8" s="1"/>
  <c r="I257" i="8"/>
  <c r="J257" i="8" s="1"/>
  <c r="I258" i="8"/>
  <c r="J258" i="8" s="1"/>
  <c r="I259" i="8"/>
  <c r="J259" i="8" s="1"/>
  <c r="I260" i="8"/>
  <c r="J260" i="8" s="1"/>
  <c r="I261" i="8"/>
  <c r="J261" i="8" s="1"/>
  <c r="I262" i="8"/>
  <c r="J262" i="8" s="1"/>
  <c r="I263" i="8"/>
  <c r="J263" i="8" s="1"/>
  <c r="I264" i="8"/>
  <c r="J264" i="8" s="1"/>
  <c r="I265" i="8"/>
  <c r="J265" i="8" s="1"/>
  <c r="I266" i="8"/>
  <c r="J266" i="8" s="1"/>
  <c r="I267" i="8"/>
  <c r="J267" i="8" s="1"/>
  <c r="I268" i="8"/>
  <c r="J268" i="8" s="1"/>
  <c r="I269" i="8"/>
  <c r="J269" i="8" s="1"/>
  <c r="I270" i="8"/>
  <c r="J270" i="8" s="1"/>
  <c r="I271" i="8"/>
  <c r="J271" i="8" s="1"/>
  <c r="I272" i="8"/>
  <c r="J272" i="8" s="1"/>
  <c r="I273" i="8"/>
  <c r="J273" i="8" s="1"/>
  <c r="I274" i="8"/>
  <c r="J274" i="8" s="1"/>
  <c r="I275" i="8"/>
  <c r="J275" i="8" s="1"/>
  <c r="I276" i="8"/>
  <c r="J276" i="8" s="1"/>
  <c r="I277" i="8"/>
  <c r="J277" i="8" s="1"/>
  <c r="I279" i="8"/>
  <c r="J279" i="8" s="1"/>
  <c r="I280" i="8"/>
  <c r="J280" i="8" s="1"/>
  <c r="I281" i="8"/>
  <c r="J281" i="8" s="1"/>
  <c r="I282" i="8"/>
  <c r="J282" i="8" s="1"/>
  <c r="I283" i="8"/>
  <c r="J283" i="8" s="1"/>
  <c r="I284" i="8"/>
  <c r="J284" i="8" s="1"/>
  <c r="I285" i="8"/>
  <c r="J285" i="8" s="1"/>
  <c r="I286" i="8"/>
  <c r="J286" i="8" s="1"/>
  <c r="I287" i="8"/>
  <c r="J287" i="8" s="1"/>
  <c r="I288" i="8"/>
  <c r="J288" i="8" s="1"/>
  <c r="I289" i="8"/>
  <c r="J289" i="8" s="1"/>
  <c r="I291" i="8"/>
  <c r="J291" i="8" s="1"/>
  <c r="I292" i="8"/>
  <c r="J292" i="8" s="1"/>
  <c r="I293" i="8"/>
  <c r="J293" i="8" s="1"/>
  <c r="I294" i="8"/>
  <c r="J294" i="8" s="1"/>
  <c r="I295" i="8"/>
  <c r="J295" i="8" s="1"/>
  <c r="I296" i="8"/>
  <c r="J296" i="8" s="1"/>
  <c r="I297" i="8"/>
  <c r="J297" i="8" s="1"/>
  <c r="I298" i="8"/>
  <c r="J298" i="8" s="1"/>
  <c r="I299" i="8"/>
  <c r="J299" i="8" s="1"/>
  <c r="I300" i="8"/>
  <c r="J300" i="8" s="1"/>
  <c r="I301" i="8"/>
  <c r="J301" i="8" s="1"/>
  <c r="I302" i="8"/>
  <c r="J302" i="8" s="1"/>
  <c r="I304" i="8"/>
  <c r="J304" i="8" s="1"/>
  <c r="I305" i="8"/>
  <c r="J305" i="8" s="1"/>
  <c r="I306" i="8"/>
  <c r="J306" i="8" s="1"/>
  <c r="I307" i="8"/>
  <c r="J307" i="8" s="1"/>
  <c r="I308" i="8"/>
  <c r="J308" i="8" s="1"/>
  <c r="I309" i="8"/>
  <c r="J309" i="8" s="1"/>
  <c r="I310" i="8"/>
  <c r="J310" i="8" s="1"/>
  <c r="I311" i="8"/>
  <c r="J311" i="8" s="1"/>
  <c r="I312" i="8"/>
  <c r="J312" i="8" s="1"/>
  <c r="I313" i="8"/>
  <c r="J313" i="8" s="1"/>
  <c r="I314" i="8"/>
  <c r="J314" i="8" s="1"/>
  <c r="I315" i="8"/>
  <c r="J315" i="8" s="1"/>
  <c r="I316" i="8"/>
  <c r="J316" i="8" s="1"/>
  <c r="I10" i="8"/>
  <c r="J10" i="8" s="1"/>
  <c r="I9" i="8"/>
  <c r="J9" i="8" s="1"/>
  <c r="D10" i="8"/>
  <c r="D11" i="8"/>
  <c r="D12" i="8"/>
  <c r="D13" i="8"/>
  <c r="D14" i="8"/>
  <c r="D16" i="8"/>
  <c r="D17" i="8"/>
  <c r="D18" i="8"/>
  <c r="D19" i="8"/>
  <c r="D20" i="8"/>
  <c r="D29" i="8"/>
  <c r="D30" i="8"/>
  <c r="D31" i="8"/>
  <c r="D32" i="8"/>
  <c r="D33" i="8"/>
  <c r="D34" i="8"/>
  <c r="D36" i="8"/>
  <c r="D37" i="8"/>
  <c r="D38" i="8"/>
  <c r="D39" i="8"/>
  <c r="D40" i="8"/>
  <c r="D41" i="8"/>
  <c r="D42" i="8"/>
  <c r="D43" i="8"/>
  <c r="D45" i="8"/>
  <c r="D46" i="8"/>
  <c r="D47" i="8"/>
  <c r="D48" i="8"/>
  <c r="D49" i="8"/>
  <c r="D50" i="8"/>
  <c r="D51" i="8"/>
  <c r="D52" i="8"/>
  <c r="D53" i="8"/>
  <c r="D54" i="8"/>
  <c r="D55" i="8"/>
  <c r="D56" i="8"/>
  <c r="D57" i="8"/>
  <c r="D58" i="8"/>
  <c r="D59" i="8"/>
  <c r="D63" i="8"/>
  <c r="D64" i="8"/>
  <c r="D65" i="8"/>
  <c r="D66" i="8"/>
  <c r="D67" i="8"/>
  <c r="D68" i="8"/>
  <c r="D22" i="8"/>
  <c r="D23" i="8"/>
  <c r="D24" i="8"/>
  <c r="D25" i="8"/>
  <c r="D26" i="8"/>
  <c r="D27" i="8"/>
  <c r="D60" i="8"/>
  <c r="D61" i="8"/>
  <c r="D70" i="8"/>
  <c r="D71" i="8"/>
  <c r="D72" i="8"/>
  <c r="D73" i="8"/>
  <c r="D74" i="8"/>
  <c r="D76" i="8"/>
  <c r="D77" i="8"/>
  <c r="D79" i="8"/>
  <c r="D80" i="8"/>
  <c r="D81" i="8"/>
  <c r="D82" i="8"/>
  <c r="D84" i="8"/>
  <c r="D85" i="8"/>
  <c r="D86" i="8"/>
  <c r="D87" i="8"/>
  <c r="D89" i="8"/>
  <c r="D90" i="8"/>
  <c r="D92" i="8"/>
  <c r="D93" i="8"/>
  <c r="D94" i="8"/>
  <c r="D95" i="8"/>
  <c r="D96" i="8"/>
  <c r="D98" i="8"/>
  <c r="D99" i="8"/>
  <c r="D100" i="8"/>
  <c r="D102" i="8"/>
  <c r="D103" i="8"/>
  <c r="D104" i="8"/>
  <c r="D105" i="8"/>
  <c r="D106" i="8"/>
  <c r="D107" i="8"/>
  <c r="D108" i="8"/>
  <c r="D109" i="8"/>
  <c r="D110" i="8"/>
  <c r="D111" i="8"/>
  <c r="D112" i="8"/>
  <c r="D113" i="8"/>
  <c r="D114" i="8"/>
  <c r="D115" i="8"/>
  <c r="D116" i="8"/>
  <c r="D117" i="8"/>
  <c r="D118" i="8"/>
  <c r="D119" i="8"/>
  <c r="D120" i="8"/>
  <c r="D121" i="8"/>
  <c r="D122" i="8"/>
  <c r="D123" i="8"/>
  <c r="D124" i="8"/>
  <c r="D126" i="8"/>
  <c r="D127" i="8"/>
  <c r="D128" i="8"/>
  <c r="D129" i="8"/>
  <c r="D130" i="8"/>
  <c r="D131" i="8"/>
  <c r="D132" i="8"/>
  <c r="D133" i="8"/>
  <c r="D136" i="8"/>
  <c r="D137" i="8"/>
  <c r="D138" i="8"/>
  <c r="D139" i="8"/>
  <c r="D140" i="8"/>
  <c r="D141" i="8"/>
  <c r="D142" i="8"/>
  <c r="D143" i="8"/>
  <c r="D144" i="8"/>
  <c r="D147" i="8"/>
  <c r="D148" i="8"/>
  <c r="D149" i="8"/>
  <c r="D150" i="8"/>
  <c r="D151" i="8"/>
  <c r="D152" i="8"/>
  <c r="D153" i="8"/>
  <c r="D154" i="8"/>
  <c r="D155" i="8"/>
  <c r="D157" i="8"/>
  <c r="D158" i="8"/>
  <c r="D159" i="8"/>
  <c r="D160" i="8"/>
  <c r="D161" i="8"/>
  <c r="D163" i="8"/>
  <c r="D165" i="8"/>
  <c r="D166" i="8"/>
  <c r="D168" i="8"/>
  <c r="D169" i="8"/>
  <c r="D170" i="8"/>
  <c r="D171" i="8"/>
  <c r="D172" i="8"/>
  <c r="D173" i="8"/>
  <c r="D174" i="8"/>
  <c r="D176" i="8"/>
  <c r="D177" i="8"/>
  <c r="D178" i="8"/>
  <c r="D179" i="8"/>
  <c r="D180" i="8"/>
  <c r="D181" i="8"/>
  <c r="D182" i="8"/>
  <c r="D183" i="8"/>
  <c r="D184" i="8"/>
  <c r="D185" i="8"/>
  <c r="D186" i="8"/>
  <c r="D187" i="8"/>
  <c r="D188" i="8"/>
  <c r="D189" i="8"/>
  <c r="D190" i="8"/>
  <c r="D191" i="8"/>
  <c r="D192" i="8"/>
  <c r="D193" i="8"/>
  <c r="D194" i="8"/>
  <c r="D195" i="8"/>
  <c r="D196" i="8"/>
  <c r="D197" i="8"/>
  <c r="D198" i="8"/>
  <c r="D199" i="8"/>
  <c r="D200" i="8"/>
  <c r="D201" i="8"/>
  <c r="D202" i="8"/>
  <c r="D203" i="8"/>
  <c r="D204" i="8"/>
  <c r="D206" i="8"/>
  <c r="D207" i="8"/>
  <c r="D208" i="8"/>
  <c r="D209" i="8"/>
  <c r="D210" i="8"/>
  <c r="D211" i="8"/>
  <c r="D212" i="8"/>
  <c r="D213" i="8"/>
  <c r="D214" i="8"/>
  <c r="D215" i="8"/>
  <c r="D216" i="8"/>
  <c r="D219" i="8"/>
  <c r="D220" i="8"/>
  <c r="D222" i="8"/>
  <c r="D223" i="8"/>
  <c r="D224" i="8"/>
  <c r="D225" i="8"/>
  <c r="D226" i="8"/>
  <c r="D227" i="8"/>
  <c r="D228" i="8"/>
  <c r="D229" i="8"/>
  <c r="D230" i="8"/>
  <c r="D231" i="8"/>
  <c r="D232" i="8"/>
  <c r="D233" i="8"/>
  <c r="D234" i="8"/>
  <c r="D235" i="8"/>
  <c r="D237" i="8"/>
  <c r="D238" i="8"/>
  <c r="D239" i="8"/>
  <c r="D241" i="8"/>
  <c r="D242" i="8"/>
  <c r="D243" i="8"/>
  <c r="D244" i="8"/>
  <c r="D245" i="8"/>
  <c r="D246" i="8"/>
  <c r="D247" i="8"/>
  <c r="D248" i="8"/>
  <c r="D249" i="8"/>
  <c r="D250" i="8"/>
  <c r="D251" i="8"/>
  <c r="D252" i="8"/>
  <c r="D253" i="8"/>
  <c r="D254" i="8"/>
  <c r="D256" i="8"/>
  <c r="D257" i="8"/>
  <c r="D258" i="8"/>
  <c r="D259" i="8"/>
  <c r="D260" i="8"/>
  <c r="D261" i="8"/>
  <c r="D262" i="8"/>
  <c r="D263" i="8"/>
  <c r="D264" i="8"/>
  <c r="D265" i="8"/>
  <c r="D266" i="8"/>
  <c r="D267" i="8"/>
  <c r="D268" i="8"/>
  <c r="D269" i="8"/>
  <c r="D270" i="8"/>
  <c r="D271" i="8"/>
  <c r="D272" i="8"/>
  <c r="D273" i="8"/>
  <c r="D274" i="8"/>
  <c r="D275" i="8"/>
  <c r="D276" i="8"/>
  <c r="D277" i="8"/>
  <c r="D279" i="8"/>
  <c r="D280" i="8"/>
  <c r="D281" i="8"/>
  <c r="D282" i="8"/>
  <c r="D283" i="8"/>
  <c r="D284" i="8"/>
  <c r="D285" i="8"/>
  <c r="D286" i="8"/>
  <c r="D287" i="8"/>
  <c r="D288" i="8"/>
  <c r="D289" i="8"/>
  <c r="D291" i="8"/>
  <c r="D292" i="8"/>
  <c r="D293" i="8"/>
  <c r="D294" i="8"/>
  <c r="D295" i="8"/>
  <c r="D296" i="8"/>
  <c r="D297" i="8"/>
  <c r="D298" i="8"/>
  <c r="D299" i="8"/>
  <c r="D300" i="8"/>
  <c r="D301" i="8"/>
  <c r="D302" i="8"/>
  <c r="D304" i="8"/>
  <c r="D305" i="8"/>
  <c r="D306" i="8"/>
  <c r="D307" i="8"/>
  <c r="D308" i="8"/>
  <c r="D309" i="8"/>
  <c r="D310" i="8"/>
  <c r="D311" i="8"/>
  <c r="D312" i="8"/>
  <c r="D313" i="8"/>
  <c r="D314" i="8"/>
  <c r="D315" i="8"/>
  <c r="D316" i="8"/>
  <c r="F10" i="8"/>
  <c r="Q10" i="8" s="1"/>
  <c r="F11" i="8"/>
  <c r="Q11" i="8" s="1"/>
  <c r="F12" i="8"/>
  <c r="Q12" i="8" s="1"/>
  <c r="F13" i="8"/>
  <c r="Q13" i="8" s="1"/>
  <c r="F14" i="8"/>
  <c r="Q14" i="8" s="1"/>
  <c r="F16" i="8"/>
  <c r="Q16" i="8" s="1"/>
  <c r="F17" i="8"/>
  <c r="Q17" i="8" s="1"/>
  <c r="F18" i="8"/>
  <c r="Q18" i="8" s="1"/>
  <c r="F19" i="8"/>
  <c r="Q19" i="8" s="1"/>
  <c r="F20" i="8"/>
  <c r="Q20" i="8" s="1"/>
  <c r="F29" i="8"/>
  <c r="Q29" i="8" s="1"/>
  <c r="F30" i="8"/>
  <c r="Q30" i="8" s="1"/>
  <c r="F31" i="8"/>
  <c r="Q31" i="8" s="1"/>
  <c r="F32" i="8"/>
  <c r="Q32" i="8" s="1"/>
  <c r="F33" i="8"/>
  <c r="Q33" i="8" s="1"/>
  <c r="F34" i="8"/>
  <c r="Q34" i="8" s="1"/>
  <c r="F36" i="8"/>
  <c r="Q36" i="8" s="1"/>
  <c r="F37" i="8"/>
  <c r="Q37" i="8" s="1"/>
  <c r="F38" i="8"/>
  <c r="Q38" i="8" s="1"/>
  <c r="F39" i="8"/>
  <c r="Q39" i="8" s="1"/>
  <c r="F40" i="8"/>
  <c r="Q40" i="8" s="1"/>
  <c r="F41" i="8"/>
  <c r="Q41" i="8" s="1"/>
  <c r="F42" i="8"/>
  <c r="Q42" i="8" s="1"/>
  <c r="F43" i="8"/>
  <c r="Q43" i="8" s="1"/>
  <c r="F45" i="8"/>
  <c r="Q45" i="8" s="1"/>
  <c r="F46" i="8"/>
  <c r="Q46" i="8" s="1"/>
  <c r="F47" i="8"/>
  <c r="Q47" i="8" s="1"/>
  <c r="F48" i="8"/>
  <c r="Q48" i="8" s="1"/>
  <c r="F49" i="8"/>
  <c r="Q49" i="8" s="1"/>
  <c r="F50" i="8"/>
  <c r="Q50" i="8" s="1"/>
  <c r="F51" i="8"/>
  <c r="Q51" i="8" s="1"/>
  <c r="F52" i="8"/>
  <c r="Q52" i="8" s="1"/>
  <c r="F53" i="8"/>
  <c r="Q53" i="8" s="1"/>
  <c r="F54" i="8"/>
  <c r="Q54" i="8" s="1"/>
  <c r="F55" i="8"/>
  <c r="Q55" i="8" s="1"/>
  <c r="F56" i="8"/>
  <c r="Q56" i="8" s="1"/>
  <c r="F57" i="8"/>
  <c r="Q57" i="8" s="1"/>
  <c r="F58" i="8"/>
  <c r="Q58" i="8" s="1"/>
  <c r="F59" i="8"/>
  <c r="Q59" i="8" s="1"/>
  <c r="F63" i="8"/>
  <c r="Q63" i="8" s="1"/>
  <c r="F64" i="8"/>
  <c r="Q64" i="8" s="1"/>
  <c r="F65" i="8"/>
  <c r="Q65" i="8" s="1"/>
  <c r="F66" i="8"/>
  <c r="Q66" i="8" s="1"/>
  <c r="F67" i="8"/>
  <c r="Q67" i="8" s="1"/>
  <c r="F68" i="8"/>
  <c r="Q68" i="8" s="1"/>
  <c r="F22" i="8"/>
  <c r="Q22" i="8" s="1"/>
  <c r="F23" i="8"/>
  <c r="Q23" i="8" s="1"/>
  <c r="F24" i="8"/>
  <c r="Q24" i="8" s="1"/>
  <c r="F25" i="8"/>
  <c r="Q25" i="8" s="1"/>
  <c r="F26" i="8"/>
  <c r="Q26" i="8" s="1"/>
  <c r="F27" i="8"/>
  <c r="Q27" i="8" s="1"/>
  <c r="F60" i="8"/>
  <c r="Q60" i="8" s="1"/>
  <c r="F61" i="8"/>
  <c r="Q61" i="8" s="1"/>
  <c r="F70" i="8"/>
  <c r="Q70" i="8" s="1"/>
  <c r="F71" i="8"/>
  <c r="Q71" i="8" s="1"/>
  <c r="F72" i="8"/>
  <c r="Q72" i="8" s="1"/>
  <c r="F73" i="8"/>
  <c r="Q73" i="8" s="1"/>
  <c r="F74" i="8"/>
  <c r="Q74" i="8" s="1"/>
  <c r="F76" i="8"/>
  <c r="Q76" i="8" s="1"/>
  <c r="F77" i="8"/>
  <c r="Q77" i="8" s="1"/>
  <c r="F79" i="8"/>
  <c r="Q79" i="8" s="1"/>
  <c r="F80" i="8"/>
  <c r="Q80" i="8" s="1"/>
  <c r="F81" i="8"/>
  <c r="Q81" i="8" s="1"/>
  <c r="F82" i="8"/>
  <c r="Q82" i="8" s="1"/>
  <c r="F84" i="8"/>
  <c r="Q84" i="8" s="1"/>
  <c r="F85" i="8"/>
  <c r="Q85" i="8" s="1"/>
  <c r="F86" i="8"/>
  <c r="Q86" i="8" s="1"/>
  <c r="F87" i="8"/>
  <c r="Q87" i="8" s="1"/>
  <c r="F89" i="8"/>
  <c r="Q89" i="8" s="1"/>
  <c r="F90" i="8"/>
  <c r="Q90" i="8" s="1"/>
  <c r="F92" i="8"/>
  <c r="Q92" i="8" s="1"/>
  <c r="F93" i="8"/>
  <c r="Q93" i="8" s="1"/>
  <c r="F94" i="8"/>
  <c r="Q94" i="8" s="1"/>
  <c r="F95" i="8"/>
  <c r="Q95" i="8" s="1"/>
  <c r="F96" i="8"/>
  <c r="Q96" i="8" s="1"/>
  <c r="F98" i="8"/>
  <c r="Q98" i="8" s="1"/>
  <c r="F99" i="8"/>
  <c r="Q99" i="8" s="1"/>
  <c r="F100" i="8"/>
  <c r="Q100" i="8" s="1"/>
  <c r="F102" i="8"/>
  <c r="Q102" i="8" s="1"/>
  <c r="F103" i="8"/>
  <c r="Q103" i="8" s="1"/>
  <c r="F104" i="8"/>
  <c r="Q104" i="8" s="1"/>
  <c r="F105" i="8"/>
  <c r="Q105" i="8" s="1"/>
  <c r="F106" i="8"/>
  <c r="Q106" i="8" s="1"/>
  <c r="F107" i="8"/>
  <c r="Q107" i="8" s="1"/>
  <c r="F108" i="8"/>
  <c r="Q108" i="8" s="1"/>
  <c r="F109" i="8"/>
  <c r="Q109" i="8" s="1"/>
  <c r="F110" i="8"/>
  <c r="Q110" i="8" s="1"/>
  <c r="F111" i="8"/>
  <c r="Q111" i="8" s="1"/>
  <c r="F112" i="8"/>
  <c r="Q112" i="8" s="1"/>
  <c r="F113" i="8"/>
  <c r="Q113" i="8" s="1"/>
  <c r="F114" i="8"/>
  <c r="Q114" i="8" s="1"/>
  <c r="F115" i="8"/>
  <c r="Q115" i="8" s="1"/>
  <c r="F116" i="8"/>
  <c r="Q116" i="8" s="1"/>
  <c r="F117" i="8"/>
  <c r="Q117" i="8" s="1"/>
  <c r="F118" i="8"/>
  <c r="Q118" i="8" s="1"/>
  <c r="F119" i="8"/>
  <c r="Q119" i="8" s="1"/>
  <c r="F120" i="8"/>
  <c r="Q120" i="8" s="1"/>
  <c r="F121" i="8"/>
  <c r="Q121" i="8" s="1"/>
  <c r="F122" i="8"/>
  <c r="Q122" i="8" s="1"/>
  <c r="F123" i="8"/>
  <c r="Q123" i="8" s="1"/>
  <c r="F124" i="8"/>
  <c r="Q124" i="8" s="1"/>
  <c r="F126" i="8"/>
  <c r="Q126" i="8" s="1"/>
  <c r="F127" i="8"/>
  <c r="Q127" i="8" s="1"/>
  <c r="F128" i="8"/>
  <c r="Q128" i="8" s="1"/>
  <c r="F129" i="8"/>
  <c r="Q129" i="8" s="1"/>
  <c r="F130" i="8"/>
  <c r="Q130" i="8" s="1"/>
  <c r="F131" i="8"/>
  <c r="Q131" i="8" s="1"/>
  <c r="F132" i="8"/>
  <c r="Q132" i="8" s="1"/>
  <c r="F133" i="8"/>
  <c r="Q133" i="8" s="1"/>
  <c r="F136" i="8"/>
  <c r="Q136" i="8" s="1"/>
  <c r="F137" i="8"/>
  <c r="Q137" i="8" s="1"/>
  <c r="F138" i="8"/>
  <c r="Q138" i="8" s="1"/>
  <c r="F139" i="8"/>
  <c r="Q139" i="8" s="1"/>
  <c r="F140" i="8"/>
  <c r="Q140" i="8" s="1"/>
  <c r="F141" i="8"/>
  <c r="Q141" i="8" s="1"/>
  <c r="F142" i="8"/>
  <c r="Q142" i="8" s="1"/>
  <c r="F143" i="8"/>
  <c r="Q143" i="8" s="1"/>
  <c r="F144" i="8"/>
  <c r="Q144" i="8" s="1"/>
  <c r="F147" i="8"/>
  <c r="Q147" i="8" s="1"/>
  <c r="F148" i="8"/>
  <c r="Q148" i="8" s="1"/>
  <c r="F149" i="8"/>
  <c r="Q149" i="8" s="1"/>
  <c r="F150" i="8"/>
  <c r="Q150" i="8" s="1"/>
  <c r="F151" i="8"/>
  <c r="Q151" i="8" s="1"/>
  <c r="F152" i="8"/>
  <c r="Q152" i="8" s="1"/>
  <c r="F153" i="8"/>
  <c r="Q153" i="8" s="1"/>
  <c r="F154" i="8"/>
  <c r="Q154" i="8" s="1"/>
  <c r="F155" i="8"/>
  <c r="Q155" i="8" s="1"/>
  <c r="F157" i="8"/>
  <c r="Q157" i="8" s="1"/>
  <c r="F158" i="8"/>
  <c r="Q158" i="8" s="1"/>
  <c r="F159" i="8"/>
  <c r="Q159" i="8" s="1"/>
  <c r="F160" i="8"/>
  <c r="Q160" i="8" s="1"/>
  <c r="F161" i="8"/>
  <c r="Q161" i="8" s="1"/>
  <c r="F163" i="8"/>
  <c r="Q163" i="8" s="1"/>
  <c r="F165" i="8"/>
  <c r="Q165" i="8" s="1"/>
  <c r="F166" i="8"/>
  <c r="Q166" i="8" s="1"/>
  <c r="F168" i="8"/>
  <c r="Q168" i="8" s="1"/>
  <c r="F169" i="8"/>
  <c r="Q169" i="8" s="1"/>
  <c r="F170" i="8"/>
  <c r="Q170" i="8" s="1"/>
  <c r="F171" i="8"/>
  <c r="Q171" i="8" s="1"/>
  <c r="F172" i="8"/>
  <c r="Q172" i="8" s="1"/>
  <c r="F173" i="8"/>
  <c r="Q173" i="8" s="1"/>
  <c r="F174" i="8"/>
  <c r="Q174" i="8" s="1"/>
  <c r="F176" i="8"/>
  <c r="Q176" i="8" s="1"/>
  <c r="F177" i="8"/>
  <c r="Q177" i="8" s="1"/>
  <c r="F178" i="8"/>
  <c r="Q178" i="8" s="1"/>
  <c r="F179" i="8"/>
  <c r="Q179" i="8" s="1"/>
  <c r="F180" i="8"/>
  <c r="Q180" i="8" s="1"/>
  <c r="F181" i="8"/>
  <c r="Q181" i="8" s="1"/>
  <c r="F182" i="8"/>
  <c r="Q182" i="8" s="1"/>
  <c r="F183" i="8"/>
  <c r="Q183" i="8" s="1"/>
  <c r="F184" i="8"/>
  <c r="Q184" i="8" s="1"/>
  <c r="F185" i="8"/>
  <c r="Q185" i="8" s="1"/>
  <c r="F186" i="8"/>
  <c r="Q186" i="8" s="1"/>
  <c r="F187" i="8"/>
  <c r="Q187" i="8" s="1"/>
  <c r="F188" i="8"/>
  <c r="Q188" i="8" s="1"/>
  <c r="F189" i="8"/>
  <c r="Q189" i="8" s="1"/>
  <c r="F190" i="8"/>
  <c r="Q190" i="8" s="1"/>
  <c r="F191" i="8"/>
  <c r="Q191" i="8" s="1"/>
  <c r="F192" i="8"/>
  <c r="Q192" i="8" s="1"/>
  <c r="F193" i="8"/>
  <c r="Q193" i="8" s="1"/>
  <c r="F194" i="8"/>
  <c r="Q194" i="8" s="1"/>
  <c r="F195" i="8"/>
  <c r="Q195" i="8" s="1"/>
  <c r="F196" i="8"/>
  <c r="Q196" i="8" s="1"/>
  <c r="F197" i="8"/>
  <c r="Q197" i="8" s="1"/>
  <c r="F198" i="8"/>
  <c r="Q198" i="8" s="1"/>
  <c r="F199" i="8"/>
  <c r="Q199" i="8" s="1"/>
  <c r="F200" i="8"/>
  <c r="Q200" i="8" s="1"/>
  <c r="F201" i="8"/>
  <c r="Q201" i="8" s="1"/>
  <c r="F202" i="8"/>
  <c r="Q202" i="8" s="1"/>
  <c r="F203" i="8"/>
  <c r="Q203" i="8" s="1"/>
  <c r="F204" i="8"/>
  <c r="Q204" i="8" s="1"/>
  <c r="F206" i="8"/>
  <c r="Q206" i="8" s="1"/>
  <c r="F207" i="8"/>
  <c r="Q207" i="8" s="1"/>
  <c r="F208" i="8"/>
  <c r="Q208" i="8" s="1"/>
  <c r="F209" i="8"/>
  <c r="Q209" i="8" s="1"/>
  <c r="F210" i="8"/>
  <c r="Q210" i="8" s="1"/>
  <c r="F211" i="8"/>
  <c r="Q211" i="8" s="1"/>
  <c r="F212" i="8"/>
  <c r="Q212" i="8" s="1"/>
  <c r="F213" i="8"/>
  <c r="Q213" i="8" s="1"/>
  <c r="F214" i="8"/>
  <c r="Q214" i="8" s="1"/>
  <c r="F215" i="8"/>
  <c r="Q215" i="8" s="1"/>
  <c r="F216" i="8"/>
  <c r="Q216" i="8" s="1"/>
  <c r="F219" i="8"/>
  <c r="Q219" i="8" s="1"/>
  <c r="F220" i="8"/>
  <c r="Q220" i="8" s="1"/>
  <c r="F222" i="8"/>
  <c r="Q222" i="8" s="1"/>
  <c r="F223" i="8"/>
  <c r="Q223" i="8" s="1"/>
  <c r="F224" i="8"/>
  <c r="Q224" i="8" s="1"/>
  <c r="F225" i="8"/>
  <c r="Q225" i="8" s="1"/>
  <c r="F226" i="8"/>
  <c r="Q226" i="8" s="1"/>
  <c r="F227" i="8"/>
  <c r="Q227" i="8" s="1"/>
  <c r="F228" i="8"/>
  <c r="Q228" i="8" s="1"/>
  <c r="F229" i="8"/>
  <c r="Q229" i="8" s="1"/>
  <c r="F230" i="8"/>
  <c r="Q230" i="8" s="1"/>
  <c r="F231" i="8"/>
  <c r="Q231" i="8" s="1"/>
  <c r="F232" i="8"/>
  <c r="Q232" i="8" s="1"/>
  <c r="F233" i="8"/>
  <c r="Q233" i="8" s="1"/>
  <c r="F234" i="8"/>
  <c r="Q234" i="8" s="1"/>
  <c r="F235" i="8"/>
  <c r="Q235" i="8" s="1"/>
  <c r="F237" i="8"/>
  <c r="Q237" i="8" s="1"/>
  <c r="F238" i="8"/>
  <c r="Q238" i="8" s="1"/>
  <c r="F239" i="8"/>
  <c r="Q239" i="8" s="1"/>
  <c r="F241" i="8"/>
  <c r="Q241" i="8" s="1"/>
  <c r="F242" i="8"/>
  <c r="Q242" i="8" s="1"/>
  <c r="F243" i="8"/>
  <c r="Q243" i="8" s="1"/>
  <c r="F244" i="8"/>
  <c r="Q244" i="8" s="1"/>
  <c r="F245" i="8"/>
  <c r="Q245" i="8" s="1"/>
  <c r="F246" i="8"/>
  <c r="Q246" i="8" s="1"/>
  <c r="F247" i="8"/>
  <c r="Q247" i="8" s="1"/>
  <c r="F248" i="8"/>
  <c r="Q248" i="8" s="1"/>
  <c r="F249" i="8"/>
  <c r="Q249" i="8" s="1"/>
  <c r="F250" i="8"/>
  <c r="Q250" i="8" s="1"/>
  <c r="F251" i="8"/>
  <c r="Q251" i="8" s="1"/>
  <c r="F252" i="8"/>
  <c r="Q252" i="8" s="1"/>
  <c r="F253" i="8"/>
  <c r="Q253" i="8" s="1"/>
  <c r="F254" i="8"/>
  <c r="Q254" i="8" s="1"/>
  <c r="F256" i="8"/>
  <c r="Q256" i="8" s="1"/>
  <c r="F257" i="8"/>
  <c r="Q257" i="8" s="1"/>
  <c r="F258" i="8"/>
  <c r="Q258" i="8" s="1"/>
  <c r="F259" i="8"/>
  <c r="Q259" i="8" s="1"/>
  <c r="F260" i="8"/>
  <c r="Q260" i="8" s="1"/>
  <c r="F261" i="8"/>
  <c r="Q261" i="8" s="1"/>
  <c r="F262" i="8"/>
  <c r="Q262" i="8" s="1"/>
  <c r="F263" i="8"/>
  <c r="Q263" i="8" s="1"/>
  <c r="F264" i="8"/>
  <c r="Q264" i="8" s="1"/>
  <c r="F265" i="8"/>
  <c r="Q265" i="8" s="1"/>
  <c r="F266" i="8"/>
  <c r="Q266" i="8" s="1"/>
  <c r="F267" i="8"/>
  <c r="Q267" i="8" s="1"/>
  <c r="F268" i="8"/>
  <c r="Q268" i="8" s="1"/>
  <c r="F269" i="8"/>
  <c r="Q269" i="8" s="1"/>
  <c r="F270" i="8"/>
  <c r="Q270" i="8" s="1"/>
  <c r="F271" i="8"/>
  <c r="Q271" i="8" s="1"/>
  <c r="F272" i="8"/>
  <c r="Q272" i="8" s="1"/>
  <c r="F273" i="8"/>
  <c r="Q273" i="8" s="1"/>
  <c r="F274" i="8"/>
  <c r="Q274" i="8" s="1"/>
  <c r="F275" i="8"/>
  <c r="Q275" i="8" s="1"/>
  <c r="F276" i="8"/>
  <c r="Q276" i="8" s="1"/>
  <c r="F277" i="8"/>
  <c r="Q277" i="8" s="1"/>
  <c r="F279" i="8"/>
  <c r="Q279" i="8" s="1"/>
  <c r="F280" i="8"/>
  <c r="Q280" i="8" s="1"/>
  <c r="F281" i="8"/>
  <c r="Q281" i="8" s="1"/>
  <c r="F282" i="8"/>
  <c r="Q282" i="8" s="1"/>
  <c r="F283" i="8"/>
  <c r="Q283" i="8" s="1"/>
  <c r="F284" i="8"/>
  <c r="Q284" i="8" s="1"/>
  <c r="F285" i="8"/>
  <c r="Q285" i="8" s="1"/>
  <c r="F286" i="8"/>
  <c r="Q286" i="8" s="1"/>
  <c r="F287" i="8"/>
  <c r="Q287" i="8" s="1"/>
  <c r="F288" i="8"/>
  <c r="Q288" i="8" s="1"/>
  <c r="F289" i="8"/>
  <c r="Q289" i="8" s="1"/>
  <c r="F291" i="8"/>
  <c r="Q291" i="8" s="1"/>
  <c r="F292" i="8"/>
  <c r="Q292" i="8" s="1"/>
  <c r="F293" i="8"/>
  <c r="Q293" i="8" s="1"/>
  <c r="F294" i="8"/>
  <c r="Q294" i="8" s="1"/>
  <c r="F295" i="8"/>
  <c r="Q295" i="8" s="1"/>
  <c r="F296" i="8"/>
  <c r="Q296" i="8" s="1"/>
  <c r="F297" i="8"/>
  <c r="Q297" i="8" s="1"/>
  <c r="F298" i="8"/>
  <c r="Q298" i="8" s="1"/>
  <c r="F299" i="8"/>
  <c r="Q299" i="8" s="1"/>
  <c r="F300" i="8"/>
  <c r="Q300" i="8" s="1"/>
  <c r="F301" i="8"/>
  <c r="Q301" i="8" s="1"/>
  <c r="F302" i="8"/>
  <c r="Q302" i="8" s="1"/>
  <c r="F304" i="8"/>
  <c r="Q304" i="8" s="1"/>
  <c r="F305" i="8"/>
  <c r="Q305" i="8" s="1"/>
  <c r="F306" i="8"/>
  <c r="Q306" i="8" s="1"/>
  <c r="F307" i="8"/>
  <c r="Q307" i="8" s="1"/>
  <c r="F308" i="8"/>
  <c r="Q308" i="8" s="1"/>
  <c r="F309" i="8"/>
  <c r="Q309" i="8" s="1"/>
  <c r="F310" i="8"/>
  <c r="Q310" i="8" s="1"/>
  <c r="F311" i="8"/>
  <c r="Q311" i="8" s="1"/>
  <c r="F312" i="8"/>
  <c r="Q312" i="8" s="1"/>
  <c r="F313" i="8"/>
  <c r="Q313" i="8" s="1"/>
  <c r="F314" i="8"/>
  <c r="Q314" i="8" s="1"/>
  <c r="F315" i="8"/>
  <c r="Q315" i="8" s="1"/>
  <c r="F316" i="8"/>
  <c r="Q316" i="8" s="1"/>
  <c r="F9" i="8"/>
  <c r="Q9" i="8" s="1"/>
  <c r="K110" i="29" l="1"/>
  <c r="K109" i="29"/>
  <c r="K108" i="29"/>
  <c r="I184" i="32"/>
  <c r="I183" i="32"/>
  <c r="I182" i="32"/>
  <c r="I181" i="32"/>
  <c r="I180" i="32"/>
  <c r="I179" i="32"/>
  <c r="I177" i="32"/>
  <c r="I176" i="32"/>
  <c r="I175" i="32"/>
  <c r="I174" i="32"/>
  <c r="I173" i="32"/>
  <c r="I172" i="32"/>
  <c r="I171" i="32"/>
  <c r="I170" i="32"/>
  <c r="I168" i="32"/>
  <c r="I167" i="32"/>
  <c r="I166" i="32"/>
  <c r="I165" i="32"/>
  <c r="I164" i="32"/>
  <c r="I163" i="32"/>
  <c r="I161" i="32"/>
  <c r="I160" i="32"/>
  <c r="I159" i="32"/>
  <c r="I158" i="32"/>
  <c r="I157" i="32"/>
  <c r="I156" i="32"/>
  <c r="I154" i="32"/>
  <c r="I153" i="32"/>
  <c r="I152" i="32"/>
  <c r="I151" i="32"/>
  <c r="I150" i="32"/>
  <c r="I149" i="32"/>
  <c r="I147" i="32"/>
  <c r="I146" i="32"/>
  <c r="I145" i="32"/>
  <c r="I144" i="32"/>
  <c r="I143" i="32"/>
  <c r="I142" i="32"/>
  <c r="I141" i="32"/>
  <c r="I140" i="32"/>
  <c r="I139" i="32"/>
  <c r="I138" i="32"/>
  <c r="I137" i="32"/>
  <c r="I136" i="32"/>
  <c r="I135" i="32"/>
  <c r="I134" i="32"/>
  <c r="I133" i="32"/>
  <c r="I131" i="32"/>
  <c r="I130" i="32"/>
  <c r="I128" i="32"/>
  <c r="I126" i="32"/>
  <c r="I125" i="32"/>
  <c r="I124" i="32"/>
  <c r="I123" i="32"/>
  <c r="I122" i="32"/>
  <c r="I121" i="32"/>
  <c r="I120" i="32"/>
  <c r="I119" i="32"/>
  <c r="I117" i="32"/>
  <c r="I116" i="32"/>
  <c r="I115" i="32"/>
  <c r="I114" i="32"/>
  <c r="I113" i="32"/>
  <c r="I112" i="32"/>
  <c r="I110" i="32"/>
  <c r="I108" i="32"/>
  <c r="I107" i="32"/>
  <c r="I106" i="32"/>
  <c r="I104" i="32"/>
  <c r="I103" i="32"/>
  <c r="I102" i="32"/>
  <c r="I99" i="32"/>
  <c r="I98" i="32"/>
  <c r="I97" i="32"/>
  <c r="I95" i="32"/>
  <c r="I94" i="32"/>
  <c r="I93" i="32"/>
  <c r="I92" i="32"/>
  <c r="I91" i="32"/>
  <c r="I90" i="32"/>
  <c r="I89" i="32"/>
  <c r="I88" i="32"/>
  <c r="I87" i="32"/>
  <c r="I86" i="32"/>
  <c r="I84" i="32"/>
  <c r="I83" i="32"/>
  <c r="I82" i="32"/>
  <c r="I81" i="32"/>
  <c r="I80" i="32"/>
  <c r="I79" i="32"/>
  <c r="I77" i="32"/>
  <c r="I76" i="32"/>
  <c r="I75" i="32"/>
  <c r="I74" i="32"/>
  <c r="I73" i="32"/>
  <c r="I72" i="32"/>
  <c r="I70" i="32"/>
  <c r="I69" i="32"/>
  <c r="I67" i="32"/>
  <c r="I65" i="32"/>
  <c r="I64" i="32"/>
  <c r="I63" i="32"/>
  <c r="I62" i="32"/>
  <c r="I61" i="32"/>
  <c r="I60" i="32"/>
  <c r="I58" i="32"/>
  <c r="I57" i="32"/>
  <c r="I56" i="32"/>
  <c r="I55" i="32"/>
  <c r="I53" i="32"/>
  <c r="I51" i="32"/>
  <c r="I50" i="32"/>
  <c r="I49" i="32"/>
  <c r="I48" i="32"/>
  <c r="I47" i="32"/>
  <c r="I46" i="32"/>
  <c r="I45" i="32"/>
  <c r="I44" i="32"/>
  <c r="I43" i="32"/>
  <c r="I42" i="32"/>
  <c r="I41" i="32"/>
  <c r="I40" i="32"/>
  <c r="I38" i="32"/>
  <c r="I37" i="32"/>
  <c r="I36" i="32"/>
  <c r="I35" i="32"/>
  <c r="I34" i="32"/>
  <c r="I32" i="32"/>
  <c r="I31" i="32"/>
  <c r="I29" i="32"/>
  <c r="I28" i="32"/>
  <c r="I27" i="32"/>
  <c r="I25" i="32"/>
  <c r="I23" i="32"/>
  <c r="I22" i="32"/>
  <c r="I21" i="32"/>
  <c r="I20" i="32"/>
  <c r="I19" i="32"/>
  <c r="I18" i="32"/>
  <c r="I17" i="32"/>
  <c r="I16" i="32"/>
  <c r="I14" i="32"/>
  <c r="I13" i="32"/>
  <c r="I12" i="32"/>
  <c r="I11" i="32"/>
  <c r="I10" i="32"/>
  <c r="I9" i="32"/>
  <c r="M91" i="28"/>
  <c r="M90" i="28"/>
  <c r="M89" i="28"/>
  <c r="M87" i="28"/>
  <c r="M86" i="28"/>
  <c r="M85" i="28"/>
  <c r="M84" i="28"/>
  <c r="M83" i="28"/>
  <c r="M82" i="28"/>
  <c r="M80" i="28"/>
  <c r="M79" i="28"/>
  <c r="M77" i="28"/>
  <c r="M76" i="28"/>
  <c r="M74" i="28"/>
  <c r="M73" i="28"/>
  <c r="M72" i="28"/>
  <c r="M70" i="28"/>
  <c r="M69" i="28"/>
  <c r="M67" i="28"/>
  <c r="M66" i="28"/>
  <c r="M65" i="28"/>
  <c r="M64" i="28"/>
  <c r="M63" i="28"/>
  <c r="M62" i="28"/>
  <c r="M61" i="28"/>
  <c r="M60" i="28"/>
  <c r="M58" i="28"/>
  <c r="M57" i="28"/>
  <c r="M56" i="28"/>
  <c r="M55" i="28"/>
  <c r="M54" i="28"/>
  <c r="M53" i="28"/>
  <c r="M52" i="28"/>
  <c r="M51" i="28"/>
  <c r="M50" i="28"/>
  <c r="M48" i="28"/>
  <c r="M47" i="28"/>
  <c r="M45" i="28"/>
  <c r="M44" i="28"/>
  <c r="M43" i="28"/>
  <c r="M42" i="28"/>
  <c r="M41" i="28"/>
  <c r="M40" i="28"/>
  <c r="M39" i="28"/>
  <c r="M38" i="28"/>
  <c r="M37" i="28"/>
  <c r="M36" i="28"/>
  <c r="M35" i="28"/>
  <c r="M34" i="28"/>
  <c r="M33" i="28"/>
  <c r="M32" i="28"/>
  <c r="M31" i="28"/>
  <c r="M30" i="28"/>
  <c r="M29" i="28"/>
  <c r="M28" i="28"/>
  <c r="M26" i="28"/>
  <c r="M25" i="28"/>
  <c r="M24" i="28"/>
  <c r="M23" i="28"/>
  <c r="M22" i="28"/>
  <c r="M21" i="28"/>
  <c r="M20" i="28"/>
  <c r="M19" i="28"/>
  <c r="M18" i="28"/>
  <c r="M17" i="28"/>
  <c r="M16" i="28"/>
  <c r="M15" i="28"/>
  <c r="M14" i="28"/>
  <c r="M13" i="28"/>
  <c r="M12" i="28"/>
  <c r="M11" i="28"/>
  <c r="M10" i="28"/>
  <c r="M9" i="28"/>
  <c r="I9" i="42"/>
  <c r="I10" i="42"/>
  <c r="I11" i="42"/>
  <c r="I12" i="42"/>
  <c r="I13" i="42"/>
  <c r="I14" i="42"/>
  <c r="I15" i="42"/>
  <c r="I16" i="42"/>
  <c r="I17" i="42"/>
  <c r="I18" i="42"/>
  <c r="I19" i="42"/>
  <c r="I20" i="42"/>
  <c r="I21" i="42"/>
  <c r="I22" i="42"/>
  <c r="I23" i="42"/>
  <c r="I24" i="42"/>
  <c r="I25" i="42"/>
  <c r="I26" i="42"/>
  <c r="I27" i="42"/>
  <c r="I28" i="42"/>
  <c r="I29" i="42"/>
  <c r="I30" i="42"/>
  <c r="I31" i="42"/>
  <c r="I32" i="42"/>
  <c r="I33" i="42"/>
  <c r="I34" i="42"/>
  <c r="I35" i="42"/>
  <c r="I36" i="42"/>
  <c r="I37" i="42"/>
  <c r="I38" i="42"/>
  <c r="I39" i="42"/>
  <c r="I40" i="42"/>
  <c r="I41" i="42"/>
  <c r="I42" i="42"/>
  <c r="I43" i="42"/>
  <c r="I44" i="42"/>
  <c r="I45" i="42"/>
  <c r="I46" i="42"/>
  <c r="I47" i="42"/>
  <c r="I48" i="42"/>
  <c r="I49" i="42"/>
  <c r="I50" i="42"/>
  <c r="I51" i="42"/>
  <c r="I52" i="42"/>
  <c r="I53" i="42"/>
  <c r="I54" i="42"/>
  <c r="I55" i="42"/>
  <c r="I56" i="42"/>
  <c r="I57" i="42"/>
  <c r="I58" i="42"/>
  <c r="I59" i="42"/>
  <c r="I60" i="42"/>
  <c r="I61" i="42"/>
  <c r="I62" i="42"/>
  <c r="I63" i="42"/>
  <c r="I64" i="42"/>
  <c r="I65" i="42"/>
  <c r="I66" i="42"/>
  <c r="I67" i="42"/>
  <c r="I68" i="42"/>
  <c r="I69" i="42"/>
  <c r="I70" i="42"/>
  <c r="I71" i="42"/>
  <c r="I72" i="42"/>
  <c r="I73" i="42"/>
  <c r="I74" i="42"/>
  <c r="I75" i="42"/>
  <c r="I76" i="42"/>
  <c r="I77" i="42"/>
  <c r="I78" i="42"/>
  <c r="I79" i="42"/>
  <c r="I80" i="42"/>
  <c r="I81" i="42"/>
  <c r="I82" i="42"/>
  <c r="I83" i="42"/>
  <c r="I84" i="42"/>
  <c r="I85" i="42"/>
  <c r="I86" i="42"/>
  <c r="I87" i="42"/>
  <c r="I88" i="42"/>
  <c r="I89" i="42"/>
  <c r="I90" i="42"/>
  <c r="I91" i="42"/>
  <c r="I92" i="42"/>
  <c r="I93" i="42"/>
  <c r="I94" i="42"/>
  <c r="I95" i="42"/>
  <c r="I96" i="42"/>
  <c r="I97" i="42"/>
  <c r="I98" i="42"/>
  <c r="I99" i="42"/>
  <c r="I100" i="42"/>
  <c r="I101" i="42"/>
  <c r="I102" i="42"/>
  <c r="I103" i="42"/>
  <c r="I104" i="42"/>
  <c r="I105" i="42"/>
  <c r="I106" i="42"/>
  <c r="I107" i="42"/>
  <c r="I108" i="42"/>
  <c r="I109" i="42"/>
  <c r="I110" i="42"/>
  <c r="I111" i="42"/>
  <c r="I112" i="42"/>
  <c r="I113" i="42"/>
  <c r="I114" i="42"/>
  <c r="I115" i="42"/>
  <c r="I116" i="42"/>
  <c r="I8" i="42"/>
  <c r="K17" i="18" l="1"/>
  <c r="J134" i="54" l="1"/>
  <c r="J133" i="54"/>
  <c r="J132" i="54"/>
  <c r="J131" i="54"/>
  <c r="J130" i="54"/>
  <c r="J129" i="54"/>
  <c r="J128" i="54"/>
  <c r="J127" i="54"/>
  <c r="J126" i="54"/>
  <c r="J125" i="54"/>
  <c r="J124" i="54"/>
  <c r="J123" i="54"/>
  <c r="J122" i="54"/>
  <c r="J121" i="54"/>
  <c r="J120" i="54"/>
  <c r="J119" i="54"/>
  <c r="J118" i="54"/>
  <c r="J117" i="54"/>
  <c r="J116" i="54"/>
  <c r="J115" i="54"/>
  <c r="J114" i="54"/>
  <c r="J113" i="54"/>
  <c r="J112" i="54"/>
  <c r="J110" i="54"/>
  <c r="J109" i="54"/>
  <c r="J108" i="54"/>
  <c r="J106" i="54"/>
  <c r="J105" i="54"/>
  <c r="J104" i="54"/>
  <c r="J103" i="54"/>
  <c r="J102" i="54"/>
  <c r="J101" i="54"/>
  <c r="J100" i="54"/>
  <c r="J99" i="54"/>
  <c r="J98" i="54"/>
  <c r="J97" i="54"/>
  <c r="J96" i="54"/>
  <c r="J95" i="54"/>
  <c r="J94" i="54"/>
  <c r="J93" i="54"/>
  <c r="J92" i="54"/>
  <c r="J91" i="54"/>
  <c r="J90" i="54"/>
  <c r="J89" i="54"/>
  <c r="J88" i="54"/>
  <c r="J87" i="54"/>
  <c r="J86" i="54"/>
  <c r="J84" i="54"/>
  <c r="J83" i="54"/>
  <c r="J82" i="54"/>
  <c r="J81" i="54"/>
  <c r="J80" i="54"/>
  <c r="J79" i="54"/>
  <c r="J78" i="54"/>
  <c r="J77" i="54"/>
  <c r="J76" i="54"/>
  <c r="J75" i="54"/>
  <c r="J74" i="54"/>
  <c r="J73" i="54"/>
  <c r="J72" i="54"/>
  <c r="J71" i="54"/>
  <c r="J70" i="54"/>
  <c r="J69" i="54"/>
  <c r="J68" i="54"/>
  <c r="J67" i="54"/>
  <c r="J66" i="54"/>
  <c r="J65" i="54"/>
  <c r="J64" i="54"/>
  <c r="J63" i="54"/>
  <c r="J62" i="54"/>
  <c r="J61" i="54"/>
  <c r="J60" i="54"/>
  <c r="J59" i="54"/>
  <c r="J58" i="54"/>
  <c r="J57" i="54"/>
  <c r="J56" i="54"/>
  <c r="J55" i="54"/>
  <c r="J54" i="54"/>
  <c r="J53" i="54"/>
  <c r="J52" i="54"/>
  <c r="J51" i="54"/>
  <c r="J50" i="54"/>
  <c r="J49" i="54"/>
  <c r="J48" i="54"/>
  <c r="J47" i="54"/>
  <c r="J46" i="54"/>
  <c r="J45" i="54"/>
  <c r="J44" i="54"/>
  <c r="J43" i="54"/>
  <c r="J42" i="54"/>
  <c r="J41" i="54"/>
  <c r="J40" i="54"/>
  <c r="J39" i="54"/>
  <c r="J38" i="54"/>
  <c r="J37" i="54"/>
  <c r="J36" i="54"/>
  <c r="J35" i="54"/>
  <c r="J34" i="54"/>
  <c r="J33" i="54"/>
  <c r="J32" i="54"/>
  <c r="J31" i="54"/>
  <c r="J30" i="54"/>
  <c r="J29" i="54"/>
  <c r="J28" i="54"/>
  <c r="J27" i="54"/>
  <c r="J26" i="54"/>
  <c r="J25" i="54"/>
  <c r="J24" i="54"/>
  <c r="J23" i="54"/>
  <c r="J22" i="54"/>
  <c r="J21" i="54"/>
  <c r="J20" i="54"/>
  <c r="J18" i="54"/>
  <c r="J17" i="54"/>
  <c r="J16" i="54"/>
  <c r="J15" i="54"/>
  <c r="J14" i="54"/>
  <c r="J13" i="54"/>
  <c r="J12" i="54"/>
  <c r="J11" i="54"/>
  <c r="J10" i="54"/>
  <c r="J494" i="37"/>
  <c r="J493" i="37"/>
  <c r="J492" i="37"/>
  <c r="J491" i="37"/>
  <c r="J490" i="37"/>
  <c r="J488" i="37"/>
  <c r="J486" i="37"/>
  <c r="J485" i="37"/>
  <c r="J484" i="37"/>
  <c r="J483" i="37"/>
  <c r="J482" i="37"/>
  <c r="J481" i="37"/>
  <c r="J480" i="37"/>
  <c r="J479" i="37"/>
  <c r="J478" i="37"/>
  <c r="J477" i="37"/>
  <c r="J476" i="37"/>
  <c r="J475" i="37"/>
  <c r="J474" i="37"/>
  <c r="J473" i="37"/>
  <c r="J472" i="37"/>
  <c r="J470" i="37"/>
  <c r="J469" i="37"/>
  <c r="J468" i="37"/>
  <c r="J467" i="37"/>
  <c r="J466" i="37"/>
  <c r="J465" i="37"/>
  <c r="J464" i="37"/>
  <c r="J463" i="37"/>
  <c r="J462" i="37"/>
  <c r="J461" i="37"/>
  <c r="J460" i="37"/>
  <c r="J459" i="37"/>
  <c r="J458" i="37"/>
  <c r="J457" i="37"/>
  <c r="J456" i="37"/>
  <c r="J455" i="37"/>
  <c r="J454" i="37"/>
  <c r="J453" i="37"/>
  <c r="J452" i="37"/>
  <c r="J450" i="37"/>
  <c r="J449" i="37"/>
  <c r="J448" i="37"/>
  <c r="J447" i="37"/>
  <c r="J446" i="37"/>
  <c r="J445" i="37"/>
  <c r="J444" i="37"/>
  <c r="J443" i="37"/>
  <c r="J442" i="37"/>
  <c r="J441" i="37"/>
  <c r="J440" i="37"/>
  <c r="J439" i="37"/>
  <c r="J438" i="37"/>
  <c r="J437" i="37"/>
  <c r="J435" i="37"/>
  <c r="J434" i="37"/>
  <c r="J433" i="37"/>
  <c r="J432" i="37"/>
  <c r="J431" i="37"/>
  <c r="J430" i="37"/>
  <c r="J429" i="37"/>
  <c r="J428" i="37"/>
  <c r="J427" i="37"/>
  <c r="J426" i="37"/>
  <c r="J425" i="37"/>
  <c r="J424" i="37"/>
  <c r="J423" i="37"/>
  <c r="J422" i="37"/>
  <c r="J421" i="37"/>
  <c r="J420" i="37"/>
  <c r="J419" i="37"/>
  <c r="J418" i="37"/>
  <c r="J417" i="37"/>
  <c r="J415" i="37"/>
  <c r="J414" i="37"/>
  <c r="J413" i="37"/>
  <c r="J412" i="37"/>
  <c r="J411" i="37"/>
  <c r="J410" i="37"/>
  <c r="J409" i="37"/>
  <c r="J408" i="37"/>
  <c r="J407" i="37"/>
  <c r="J406" i="37"/>
  <c r="J405" i="37"/>
  <c r="J404" i="37"/>
  <c r="J403" i="37"/>
  <c r="J402" i="37"/>
  <c r="J401" i="37"/>
  <c r="J400" i="37"/>
  <c r="J399" i="37"/>
  <c r="J398" i="37"/>
  <c r="J397" i="37"/>
  <c r="J396" i="37"/>
  <c r="J395" i="37"/>
  <c r="J394" i="37"/>
  <c r="J393" i="37"/>
  <c r="J392" i="37"/>
  <c r="J391" i="37"/>
  <c r="J390" i="37"/>
  <c r="J389" i="37"/>
  <c r="J388" i="37"/>
  <c r="J387" i="37"/>
  <c r="J386" i="37"/>
  <c r="J385" i="37"/>
  <c r="J384" i="37"/>
  <c r="J383" i="37"/>
  <c r="J382" i="37"/>
  <c r="J381" i="37"/>
  <c r="J380" i="37"/>
  <c r="J379" i="37"/>
  <c r="J378" i="37"/>
  <c r="J376" i="37"/>
  <c r="J375" i="37"/>
  <c r="J374" i="37"/>
  <c r="J373" i="37"/>
  <c r="J372" i="37"/>
  <c r="J371" i="37"/>
  <c r="J370" i="37"/>
  <c r="J369" i="37"/>
  <c r="J368" i="37"/>
  <c r="J367" i="37"/>
  <c r="J366" i="37"/>
  <c r="J365" i="37"/>
  <c r="J364" i="37"/>
  <c r="J363" i="37"/>
  <c r="J362" i="37"/>
  <c r="J361" i="37"/>
  <c r="J360" i="37"/>
  <c r="J359" i="37"/>
  <c r="J358" i="37"/>
  <c r="J357" i="37"/>
  <c r="J356" i="37"/>
  <c r="J355" i="37"/>
  <c r="J354" i="37"/>
  <c r="J353" i="37"/>
  <c r="J352" i="37"/>
  <c r="J351" i="37"/>
  <c r="J350" i="37"/>
  <c r="J349" i="37"/>
  <c r="J348" i="37"/>
  <c r="J347" i="37"/>
  <c r="J346" i="37"/>
  <c r="J345" i="37"/>
  <c r="J344" i="37"/>
  <c r="J343" i="37"/>
  <c r="J342" i="37"/>
  <c r="J341" i="37"/>
  <c r="J340" i="37"/>
  <c r="J338" i="37"/>
  <c r="J337" i="37"/>
  <c r="J336" i="37"/>
  <c r="J335" i="37"/>
  <c r="J334" i="37"/>
  <c r="J333" i="37"/>
  <c r="J332" i="37"/>
  <c r="J331" i="37"/>
  <c r="J330" i="37"/>
  <c r="J329" i="37"/>
  <c r="J328" i="37"/>
  <c r="J327" i="37"/>
  <c r="J326" i="37"/>
  <c r="J325" i="37"/>
  <c r="J324" i="37"/>
  <c r="J323" i="37"/>
  <c r="J322" i="37"/>
  <c r="J320" i="37"/>
  <c r="J319" i="37"/>
  <c r="J318" i="37"/>
  <c r="J317" i="37"/>
  <c r="J316" i="37"/>
  <c r="J315" i="37"/>
  <c r="J314" i="37"/>
  <c r="J313" i="37"/>
  <c r="J312" i="37"/>
  <c r="J311" i="37"/>
  <c r="J310" i="37"/>
  <c r="J309" i="37"/>
  <c r="J308" i="37"/>
  <c r="J307" i="37"/>
  <c r="J306" i="37"/>
  <c r="J305" i="37"/>
  <c r="J304" i="37"/>
  <c r="J303" i="37"/>
  <c r="J302" i="37"/>
  <c r="J301" i="37"/>
  <c r="J300" i="37"/>
  <c r="J299" i="37"/>
  <c r="J298" i="37"/>
  <c r="J297" i="37"/>
  <c r="J296" i="37"/>
  <c r="J295" i="37"/>
  <c r="J294" i="37"/>
  <c r="J293" i="37"/>
  <c r="J292" i="37"/>
  <c r="J291" i="37"/>
  <c r="J290" i="37"/>
  <c r="J289" i="37"/>
  <c r="J288" i="37"/>
  <c r="J287" i="37"/>
  <c r="J286" i="37"/>
  <c r="J285" i="37"/>
  <c r="J284" i="37"/>
  <c r="J283" i="37"/>
  <c r="J282" i="37"/>
  <c r="J281" i="37"/>
  <c r="J280" i="37"/>
  <c r="J279" i="37"/>
  <c r="J278" i="37"/>
  <c r="J277" i="37"/>
  <c r="J276" i="37"/>
  <c r="J275" i="37"/>
  <c r="J274" i="37"/>
  <c r="J273" i="37"/>
  <c r="J272" i="37"/>
  <c r="J271" i="37"/>
  <c r="J270" i="37"/>
  <c r="J269" i="37"/>
  <c r="J268" i="37"/>
  <c r="J267" i="37"/>
  <c r="J266" i="37"/>
  <c r="J265" i="37"/>
  <c r="J264" i="37"/>
  <c r="J263" i="37"/>
  <c r="J262" i="37"/>
  <c r="J261" i="37"/>
  <c r="J260" i="37"/>
  <c r="J259" i="37"/>
  <c r="J258" i="37"/>
  <c r="J256" i="37"/>
  <c r="J255" i="37"/>
  <c r="J254" i="37"/>
  <c r="J253" i="37"/>
  <c r="J252" i="37"/>
  <c r="J251" i="37"/>
  <c r="J250" i="37"/>
  <c r="J249" i="37"/>
  <c r="J248" i="37"/>
  <c r="J247" i="37"/>
  <c r="J246" i="37"/>
  <c r="J245" i="37"/>
  <c r="J244" i="37"/>
  <c r="J243" i="37"/>
  <c r="J242" i="37"/>
  <c r="J241" i="37"/>
  <c r="J240" i="37"/>
  <c r="J239" i="37"/>
  <c r="J238" i="37"/>
  <c r="J237" i="37"/>
  <c r="J236" i="37"/>
  <c r="J235" i="37"/>
  <c r="J234" i="37"/>
  <c r="J233" i="37"/>
  <c r="J232" i="37"/>
  <c r="J231" i="37"/>
  <c r="J230" i="37"/>
  <c r="J229" i="37"/>
  <c r="J228" i="37"/>
  <c r="J227" i="37"/>
  <c r="J226" i="37"/>
  <c r="J225" i="37"/>
  <c r="J224" i="37"/>
  <c r="J223" i="37"/>
  <c r="J222" i="37"/>
  <c r="J221" i="37"/>
  <c r="J220" i="37"/>
  <c r="J219" i="37"/>
  <c r="J218" i="37"/>
  <c r="J217" i="37"/>
  <c r="J215" i="37"/>
  <c r="J214" i="37"/>
  <c r="J213" i="37"/>
  <c r="J212" i="37"/>
  <c r="J211" i="37"/>
  <c r="J210" i="37"/>
  <c r="J209" i="37"/>
  <c r="J208" i="37"/>
  <c r="J207" i="37"/>
  <c r="J206" i="37"/>
  <c r="J205" i="37"/>
  <c r="J204" i="37"/>
  <c r="J203" i="37"/>
  <c r="J202" i="37"/>
  <c r="J201" i="37"/>
  <c r="J200" i="37"/>
  <c r="J199" i="37"/>
  <c r="J198" i="37"/>
  <c r="J197" i="37"/>
  <c r="J196" i="37"/>
  <c r="J195" i="37"/>
  <c r="J194" i="37"/>
  <c r="J193" i="37"/>
  <c r="J192" i="37"/>
  <c r="J191" i="37"/>
  <c r="J190" i="37"/>
  <c r="J189" i="37"/>
  <c r="J188" i="37"/>
  <c r="J187" i="37"/>
  <c r="J186" i="37"/>
  <c r="J185" i="37"/>
  <c r="J184" i="37"/>
  <c r="J183" i="37"/>
  <c r="J182" i="37"/>
  <c r="J181" i="37"/>
  <c r="J180" i="37"/>
  <c r="J179" i="37"/>
  <c r="J178" i="37"/>
  <c r="J177" i="37"/>
  <c r="J176" i="37"/>
  <c r="J175" i="37"/>
  <c r="J174" i="37"/>
  <c r="J173" i="37"/>
  <c r="J172" i="37"/>
  <c r="J171" i="37"/>
  <c r="J170" i="37"/>
  <c r="J169" i="37"/>
  <c r="J168" i="37"/>
  <c r="J167" i="37"/>
  <c r="J166" i="37"/>
  <c r="J165" i="37"/>
  <c r="J164" i="37"/>
  <c r="J163" i="37"/>
  <c r="J162" i="37"/>
  <c r="J161" i="37"/>
  <c r="J160" i="37"/>
  <c r="J159" i="37"/>
  <c r="J158" i="37"/>
  <c r="J157" i="37"/>
  <c r="J156" i="37"/>
  <c r="J155" i="37"/>
  <c r="J154" i="37"/>
  <c r="J153" i="37"/>
  <c r="J152" i="37"/>
  <c r="J151" i="37"/>
  <c r="J150" i="37"/>
  <c r="J149" i="37"/>
  <c r="J148" i="37"/>
  <c r="J147" i="37"/>
  <c r="J146" i="37"/>
  <c r="J145" i="37"/>
  <c r="J144" i="37"/>
  <c r="J143" i="37"/>
  <c r="J142" i="37"/>
  <c r="J141" i="37"/>
  <c r="J140" i="37"/>
  <c r="J139" i="37"/>
  <c r="J138" i="37"/>
  <c r="J137" i="37"/>
  <c r="J136" i="37"/>
  <c r="J135" i="37"/>
  <c r="J134" i="37"/>
  <c r="J133" i="37"/>
  <c r="J132" i="37"/>
  <c r="J131" i="37"/>
  <c r="J130" i="37"/>
  <c r="J129" i="37"/>
  <c r="J128" i="37"/>
  <c r="J127" i="37"/>
  <c r="J126" i="37"/>
  <c r="J125" i="37"/>
  <c r="J124" i="37"/>
  <c r="J123" i="37"/>
  <c r="J122" i="37"/>
  <c r="J121" i="37"/>
  <c r="J120" i="37"/>
  <c r="J119" i="37"/>
  <c r="J118" i="37"/>
  <c r="J117" i="37"/>
  <c r="J116" i="37"/>
  <c r="J115" i="37"/>
  <c r="J114" i="37"/>
  <c r="J113" i="37"/>
  <c r="J112" i="37"/>
  <c r="J111" i="37"/>
  <c r="J110" i="37"/>
  <c r="J109" i="37"/>
  <c r="J108" i="37"/>
  <c r="J107" i="37"/>
  <c r="J106" i="37"/>
  <c r="J105" i="37"/>
  <c r="J104" i="37"/>
  <c r="J103" i="37"/>
  <c r="J102" i="37"/>
  <c r="J101" i="37"/>
  <c r="J100" i="37"/>
  <c r="J99" i="37"/>
  <c r="J98" i="37"/>
  <c r="J97" i="37"/>
  <c r="J96" i="37"/>
  <c r="J95" i="37"/>
  <c r="J94" i="37"/>
  <c r="J93" i="37"/>
  <c r="J92" i="37"/>
  <c r="J91" i="37"/>
  <c r="J90" i="37"/>
  <c r="J89" i="37"/>
  <c r="J88" i="37"/>
  <c r="J87" i="37"/>
  <c r="J86" i="37"/>
  <c r="J85" i="37"/>
  <c r="J84" i="37"/>
  <c r="J83" i="37"/>
  <c r="J82" i="37"/>
  <c r="J81" i="37"/>
  <c r="J80" i="37"/>
  <c r="J79" i="37"/>
  <c r="J78" i="37"/>
  <c r="J77" i="37"/>
  <c r="J76" i="37"/>
  <c r="J75" i="37"/>
  <c r="J74" i="37"/>
  <c r="J73" i="37"/>
  <c r="J72" i="37"/>
  <c r="J71" i="37"/>
  <c r="J70" i="37"/>
  <c r="J69" i="37"/>
  <c r="J68" i="37"/>
  <c r="J67" i="37"/>
  <c r="J66" i="37"/>
  <c r="J65" i="37"/>
  <c r="J64" i="37"/>
  <c r="J63" i="37"/>
  <c r="J62" i="37"/>
  <c r="J61" i="37"/>
  <c r="J60" i="37"/>
  <c r="J59" i="37"/>
  <c r="J58" i="37"/>
  <c r="J57" i="37"/>
  <c r="J56" i="37"/>
  <c r="J55" i="37"/>
  <c r="J54" i="37"/>
  <c r="J53" i="37"/>
  <c r="J52" i="37"/>
  <c r="J51" i="37"/>
  <c r="J50" i="37"/>
  <c r="J49" i="37"/>
  <c r="J48" i="37"/>
  <c r="J47" i="37"/>
  <c r="J46" i="37"/>
  <c r="J45" i="37"/>
  <c r="J44" i="37"/>
  <c r="J43" i="37"/>
  <c r="J42" i="37"/>
  <c r="J41" i="37"/>
  <c r="J40" i="37"/>
  <c r="J39" i="37"/>
  <c r="J38" i="37"/>
  <c r="J37" i="37"/>
  <c r="J36" i="37"/>
  <c r="J35" i="37"/>
  <c r="J34" i="37"/>
  <c r="J33" i="37"/>
  <c r="J32" i="37"/>
  <c r="J31" i="37"/>
  <c r="J30" i="37"/>
  <c r="J29" i="37"/>
  <c r="J28" i="37"/>
  <c r="J27" i="37"/>
  <c r="J26" i="37"/>
  <c r="J25" i="37"/>
  <c r="J24" i="37"/>
  <c r="J23" i="37"/>
  <c r="J22" i="37"/>
  <c r="J21" i="37"/>
  <c r="J20" i="37"/>
  <c r="J19" i="37"/>
  <c r="J18" i="37"/>
  <c r="J17" i="37"/>
  <c r="J16" i="37"/>
  <c r="J15" i="37"/>
  <c r="J14" i="37"/>
  <c r="J13" i="37"/>
  <c r="J12" i="37"/>
  <c r="J11" i="37"/>
  <c r="J10" i="37"/>
  <c r="J9" i="46"/>
  <c r="J10" i="46"/>
  <c r="J11" i="46"/>
  <c r="J12" i="46"/>
  <c r="J13" i="46"/>
  <c r="J14" i="46"/>
  <c r="J15" i="46"/>
  <c r="J16" i="46"/>
  <c r="J17" i="46"/>
  <c r="J18" i="46"/>
  <c r="J19" i="46"/>
  <c r="J20" i="46"/>
  <c r="J21" i="46"/>
  <c r="J22" i="46"/>
  <c r="J23" i="46"/>
  <c r="J24" i="46"/>
  <c r="J25" i="46"/>
  <c r="J26" i="46"/>
  <c r="J27" i="46"/>
  <c r="J28" i="46"/>
  <c r="J29" i="46"/>
  <c r="J9" i="54"/>
  <c r="J9" i="37"/>
  <c r="J8" i="46"/>
  <c r="J9" i="45"/>
  <c r="J10" i="45"/>
  <c r="J11" i="45"/>
  <c r="J12" i="45"/>
  <c r="J13" i="45"/>
  <c r="J14" i="45"/>
  <c r="J15" i="45"/>
  <c r="J8" i="45"/>
  <c r="J10" i="40"/>
  <c r="J11" i="40"/>
  <c r="J12" i="40"/>
  <c r="J13" i="40"/>
  <c r="J14" i="40"/>
  <c r="J10" i="33"/>
  <c r="J11" i="33"/>
  <c r="J32" i="39"/>
  <c r="J31" i="39"/>
  <c r="J30" i="39"/>
  <c r="J29" i="39"/>
  <c r="J27" i="39"/>
  <c r="J26" i="39"/>
  <c r="J25" i="39"/>
  <c r="J24" i="39"/>
  <c r="J23" i="39"/>
  <c r="J22" i="39"/>
  <c r="J21" i="39"/>
  <c r="J20" i="39"/>
  <c r="J19" i="39"/>
  <c r="J18" i="39"/>
  <c r="J17" i="39"/>
  <c r="J16" i="39"/>
  <c r="J15" i="39"/>
  <c r="J14" i="39"/>
  <c r="J13" i="39"/>
  <c r="J12" i="39"/>
  <c r="J11" i="39"/>
  <c r="J10" i="39"/>
  <c r="N81" i="38"/>
  <c r="N80" i="38"/>
  <c r="N79" i="38"/>
  <c r="N78" i="38"/>
  <c r="N77" i="38"/>
  <c r="N76" i="38"/>
  <c r="N74" i="38"/>
  <c r="N73" i="38"/>
  <c r="N72" i="38"/>
  <c r="N71" i="38"/>
  <c r="N70" i="38"/>
  <c r="N69" i="38"/>
  <c r="N68" i="38"/>
  <c r="N67" i="38"/>
  <c r="N66" i="38"/>
  <c r="N65" i="38"/>
  <c r="N64" i="38"/>
  <c r="N63" i="38"/>
  <c r="N62" i="38"/>
  <c r="N61" i="38"/>
  <c r="N60" i="38"/>
  <c r="N59" i="38"/>
  <c r="N58" i="38"/>
  <c r="N57" i="38"/>
  <c r="N56" i="38"/>
  <c r="N55" i="38"/>
  <c r="N54" i="38"/>
  <c r="N53" i="38"/>
  <c r="N52" i="38"/>
  <c r="N51" i="38"/>
  <c r="N50" i="38"/>
  <c r="N49" i="38"/>
  <c r="N48" i="38"/>
  <c r="N47" i="38"/>
  <c r="N46" i="38"/>
  <c r="N45" i="38"/>
  <c r="N44" i="38"/>
  <c r="N43" i="38"/>
  <c r="N42" i="38"/>
  <c r="N41" i="38"/>
  <c r="N40" i="38"/>
  <c r="N39" i="38"/>
  <c r="N38" i="38"/>
  <c r="N37" i="38"/>
  <c r="N36" i="38"/>
  <c r="N35" i="38"/>
  <c r="N34" i="38"/>
  <c r="N33" i="38"/>
  <c r="N32" i="38"/>
  <c r="N31" i="38"/>
  <c r="N30" i="38"/>
  <c r="N29" i="38"/>
  <c r="N28" i="38"/>
  <c r="N27" i="38"/>
  <c r="N26" i="38"/>
  <c r="N25" i="38"/>
  <c r="N24" i="38"/>
  <c r="N23" i="38"/>
  <c r="N22" i="38"/>
  <c r="N21" i="38"/>
  <c r="N20" i="38"/>
  <c r="N19" i="38"/>
  <c r="N18" i="38"/>
  <c r="N17" i="38"/>
  <c r="N16" i="38"/>
  <c r="N15" i="38"/>
  <c r="N14" i="38"/>
  <c r="N13" i="38"/>
  <c r="N12" i="38"/>
  <c r="N10" i="38"/>
  <c r="J8" i="34"/>
  <c r="J9" i="34"/>
  <c r="J10" i="34"/>
  <c r="J11" i="34"/>
  <c r="J12" i="34"/>
  <c r="J13" i="34"/>
  <c r="J14" i="34"/>
  <c r="J15" i="34"/>
  <c r="J16" i="34"/>
  <c r="J17" i="34"/>
  <c r="J18" i="34"/>
  <c r="J19" i="34"/>
  <c r="J20" i="34"/>
  <c r="J21" i="34"/>
  <c r="J22" i="34"/>
  <c r="J23" i="34"/>
  <c r="J24" i="34"/>
  <c r="J25" i="34"/>
  <c r="J26" i="34"/>
  <c r="J27" i="34"/>
  <c r="J28" i="34"/>
  <c r="J29" i="34"/>
  <c r="J30" i="34"/>
  <c r="J31" i="34"/>
  <c r="J32" i="34"/>
  <c r="J33" i="34"/>
  <c r="J34" i="34"/>
  <c r="J35" i="34"/>
  <c r="J36" i="34"/>
  <c r="J37" i="34"/>
  <c r="J38" i="34"/>
  <c r="J39" i="34"/>
  <c r="J40" i="34"/>
  <c r="J41" i="34"/>
  <c r="J42" i="34"/>
  <c r="J43" i="34"/>
  <c r="J44" i="34"/>
  <c r="J45" i="34"/>
  <c r="J46" i="34"/>
  <c r="J47" i="34"/>
  <c r="J48" i="34"/>
  <c r="J49" i="34"/>
  <c r="J50" i="34"/>
  <c r="J51" i="34"/>
  <c r="J52" i="34"/>
  <c r="J53" i="34"/>
  <c r="J54" i="34"/>
  <c r="J55" i="34"/>
  <c r="J56" i="34"/>
  <c r="J57" i="34"/>
  <c r="J58" i="34"/>
  <c r="J59" i="34"/>
  <c r="J60" i="34"/>
  <c r="J61" i="34"/>
  <c r="J62" i="34"/>
  <c r="J63" i="34"/>
  <c r="J64" i="34"/>
  <c r="J65" i="34"/>
  <c r="J66" i="34"/>
  <c r="J67" i="34"/>
  <c r="J68" i="34"/>
  <c r="K141" i="55"/>
  <c r="K140" i="55"/>
  <c r="K139" i="55"/>
  <c r="K137" i="55"/>
  <c r="K136" i="55"/>
  <c r="K135" i="55"/>
  <c r="K134" i="55"/>
  <c r="K132" i="55"/>
  <c r="K130" i="55"/>
  <c r="K129" i="55"/>
  <c r="K128" i="55"/>
  <c r="K127" i="55"/>
  <c r="K126" i="55"/>
  <c r="K125" i="55"/>
  <c r="K124" i="55"/>
  <c r="K123" i="55"/>
  <c r="K122" i="55"/>
  <c r="K121" i="55"/>
  <c r="K120" i="55"/>
  <c r="K119" i="55"/>
  <c r="K118" i="55"/>
  <c r="K116" i="55"/>
  <c r="K115" i="55"/>
  <c r="K114" i="55"/>
  <c r="K113" i="55"/>
  <c r="K111" i="55"/>
  <c r="K110" i="55"/>
  <c r="K109" i="55"/>
  <c r="K107" i="55"/>
  <c r="K106" i="55"/>
  <c r="K105" i="55"/>
  <c r="K104" i="55"/>
  <c r="K102" i="55"/>
  <c r="K101" i="55"/>
  <c r="K100" i="55"/>
  <c r="K98" i="55"/>
  <c r="K97" i="55"/>
  <c r="K96" i="55"/>
  <c r="K95" i="55"/>
  <c r="K94" i="55"/>
  <c r="K93" i="55"/>
  <c r="K92" i="55"/>
  <c r="K91" i="55"/>
  <c r="K90" i="55"/>
  <c r="K89" i="55"/>
  <c r="K88" i="55"/>
  <c r="K87" i="55"/>
  <c r="K86" i="55"/>
  <c r="K85" i="55"/>
  <c r="K84" i="55"/>
  <c r="K83" i="55"/>
  <c r="K82" i="55"/>
  <c r="K80" i="55"/>
  <c r="K79" i="55"/>
  <c r="K78" i="55"/>
  <c r="K76" i="55"/>
  <c r="K75" i="55"/>
  <c r="K73" i="55"/>
  <c r="K72" i="55"/>
  <c r="K70" i="55"/>
  <c r="K69" i="55"/>
  <c r="K68" i="55"/>
  <c r="K67" i="55"/>
  <c r="K66" i="55"/>
  <c r="K64" i="55"/>
  <c r="K63" i="55"/>
  <c r="K62" i="55"/>
  <c r="K60" i="55"/>
  <c r="K59" i="55"/>
  <c r="K58" i="55"/>
  <c r="K57" i="55"/>
  <c r="K56" i="55"/>
  <c r="K55" i="55"/>
  <c r="K54" i="55"/>
  <c r="K53" i="55"/>
  <c r="K52" i="55"/>
  <c r="K51" i="55"/>
  <c r="K50" i="55"/>
  <c r="K49" i="55"/>
  <c r="K48" i="55"/>
  <c r="K47" i="55"/>
  <c r="K46" i="55"/>
  <c r="K44" i="55"/>
  <c r="K43" i="55"/>
  <c r="K42" i="55"/>
  <c r="K41" i="55"/>
  <c r="K40" i="55"/>
  <c r="K38" i="55"/>
  <c r="K37" i="55"/>
  <c r="K36" i="55"/>
  <c r="K35" i="55"/>
  <c r="K34" i="55"/>
  <c r="K33" i="55"/>
  <c r="K32" i="55"/>
  <c r="K31" i="55"/>
  <c r="K30" i="55"/>
  <c r="K29" i="55"/>
  <c r="K28" i="55"/>
  <c r="K26" i="55"/>
  <c r="K25" i="55"/>
  <c r="K23" i="55"/>
  <c r="K22" i="55"/>
  <c r="K21" i="55"/>
  <c r="K20" i="55"/>
  <c r="K19" i="55"/>
  <c r="K18" i="55"/>
  <c r="K17" i="55"/>
  <c r="K16" i="55"/>
  <c r="K15" i="55"/>
  <c r="K14" i="55"/>
  <c r="K13" i="55"/>
  <c r="K12" i="55"/>
  <c r="K11" i="55"/>
  <c r="K10" i="55"/>
  <c r="L123" i="29"/>
  <c r="L122" i="29"/>
  <c r="L121" i="29"/>
  <c r="L119" i="29"/>
  <c r="L118" i="29"/>
  <c r="L117" i="29"/>
  <c r="L116" i="29"/>
  <c r="L115" i="29"/>
  <c r="L114" i="29"/>
  <c r="L113" i="29"/>
  <c r="L112" i="29"/>
  <c r="L110" i="29"/>
  <c r="L109" i="29"/>
  <c r="L108" i="29"/>
  <c r="L106" i="29"/>
  <c r="L105" i="29"/>
  <c r="L104" i="29"/>
  <c r="L103" i="29"/>
  <c r="L102" i="29"/>
  <c r="L101" i="29"/>
  <c r="L100" i="29"/>
  <c r="L98" i="29"/>
  <c r="L97" i="29"/>
  <c r="L96" i="29"/>
  <c r="L95" i="29"/>
  <c r="L93" i="29"/>
  <c r="L92" i="29"/>
  <c r="L91" i="29"/>
  <c r="L90" i="29"/>
  <c r="L89" i="29"/>
  <c r="L88" i="29"/>
  <c r="L87" i="29"/>
  <c r="L86" i="29"/>
  <c r="L85" i="29"/>
  <c r="L84" i="29"/>
  <c r="L83" i="29"/>
  <c r="L82" i="29"/>
  <c r="L81" i="29"/>
  <c r="L80" i="29"/>
  <c r="L79" i="29"/>
  <c r="L78" i="29"/>
  <c r="L77" i="29"/>
  <c r="L76" i="29"/>
  <c r="L75" i="29"/>
  <c r="L74" i="29"/>
  <c r="L73" i="29"/>
  <c r="L72" i="29"/>
  <c r="L71" i="29"/>
  <c r="L69" i="29"/>
  <c r="L68" i="29"/>
  <c r="L67" i="29"/>
  <c r="L66" i="29"/>
  <c r="L65" i="29"/>
  <c r="L64" i="29"/>
  <c r="L63" i="29"/>
  <c r="L62" i="29"/>
  <c r="L61" i="29"/>
  <c r="L60" i="29"/>
  <c r="L59" i="29"/>
  <c r="L57" i="29"/>
  <c r="L56" i="29"/>
  <c r="L55" i="29"/>
  <c r="L53" i="29"/>
  <c r="L52" i="29"/>
  <c r="L51" i="29"/>
  <c r="L50" i="29"/>
  <c r="L49" i="29"/>
  <c r="L48" i="29"/>
  <c r="L46" i="29"/>
  <c r="L45" i="29"/>
  <c r="L44" i="29"/>
  <c r="L43" i="29"/>
  <c r="L42" i="29"/>
  <c r="L41" i="29"/>
  <c r="L40" i="29"/>
  <c r="L39" i="29"/>
  <c r="L38" i="29"/>
  <c r="L37" i="29"/>
  <c r="L36" i="29"/>
  <c r="L35" i="29"/>
  <c r="L34" i="29"/>
  <c r="L33" i="29"/>
  <c r="L32" i="29"/>
  <c r="L31" i="29"/>
  <c r="L30" i="29"/>
  <c r="L29" i="29"/>
  <c r="L28" i="29"/>
  <c r="L27" i="29"/>
  <c r="L25" i="29"/>
  <c r="L24" i="29"/>
  <c r="L23" i="29"/>
  <c r="L22" i="29"/>
  <c r="L21" i="29"/>
  <c r="L20" i="29"/>
  <c r="L18" i="29"/>
  <c r="L17" i="29"/>
  <c r="L16" i="29"/>
  <c r="L15" i="29"/>
  <c r="L14" i="29"/>
  <c r="L13" i="29"/>
  <c r="L12" i="29"/>
  <c r="L11" i="29"/>
  <c r="L10" i="29"/>
  <c r="J9" i="40"/>
  <c r="J9" i="33"/>
  <c r="J9" i="39"/>
  <c r="N9" i="38"/>
  <c r="K9" i="55"/>
  <c r="L9" i="29"/>
  <c r="N10" i="28"/>
  <c r="N11" i="28"/>
  <c r="N12" i="28"/>
  <c r="N13" i="28"/>
  <c r="N14" i="28"/>
  <c r="N15" i="28"/>
  <c r="N16" i="28"/>
  <c r="N17" i="28"/>
  <c r="N18" i="28"/>
  <c r="N19" i="28"/>
  <c r="N20" i="28"/>
  <c r="N21" i="28"/>
  <c r="N22" i="28"/>
  <c r="N23" i="28"/>
  <c r="N24" i="28"/>
  <c r="N25" i="28"/>
  <c r="N26" i="28"/>
  <c r="N28" i="28"/>
  <c r="N29" i="28"/>
  <c r="N30" i="28"/>
  <c r="N31" i="28"/>
  <c r="N32" i="28"/>
  <c r="N33" i="28"/>
  <c r="N34" i="28"/>
  <c r="N35" i="28"/>
  <c r="N36" i="28"/>
  <c r="N37" i="28"/>
  <c r="N38" i="28"/>
  <c r="N39" i="28"/>
  <c r="N40" i="28"/>
  <c r="N41" i="28"/>
  <c r="N42" i="28"/>
  <c r="N43" i="28"/>
  <c r="N44" i="28"/>
  <c r="N45" i="28"/>
  <c r="N47" i="28"/>
  <c r="N48" i="28"/>
  <c r="N50" i="28"/>
  <c r="N51" i="28"/>
  <c r="N52" i="28"/>
  <c r="N53" i="28"/>
  <c r="N54" i="28"/>
  <c r="N55" i="28"/>
  <c r="N56" i="28"/>
  <c r="N57" i="28"/>
  <c r="N58" i="28"/>
  <c r="N60" i="28"/>
  <c r="N61" i="28"/>
  <c r="N62" i="28"/>
  <c r="N63" i="28"/>
  <c r="N64" i="28"/>
  <c r="N65" i="28"/>
  <c r="N66" i="28"/>
  <c r="N67" i="28"/>
  <c r="N69" i="28"/>
  <c r="N70" i="28"/>
  <c r="N72" i="28"/>
  <c r="N73" i="28"/>
  <c r="N74" i="28"/>
  <c r="N76" i="28"/>
  <c r="N77" i="28"/>
  <c r="N79" i="28"/>
  <c r="N80" i="28"/>
  <c r="N82" i="28"/>
  <c r="N83" i="28"/>
  <c r="N84" i="28"/>
  <c r="N85" i="28"/>
  <c r="N86" i="28"/>
  <c r="N87" i="28"/>
  <c r="N89" i="28"/>
  <c r="N90" i="28"/>
  <c r="N91" i="28"/>
  <c r="N9" i="28"/>
  <c r="J184" i="32"/>
  <c r="J183" i="32"/>
  <c r="J182" i="32"/>
  <c r="J181" i="32"/>
  <c r="J180" i="32"/>
  <c r="J179" i="32"/>
  <c r="J177" i="32"/>
  <c r="J176" i="32"/>
  <c r="J175" i="32"/>
  <c r="J174" i="32"/>
  <c r="J173" i="32"/>
  <c r="J172" i="32"/>
  <c r="J171" i="32"/>
  <c r="J170" i="32"/>
  <c r="J168" i="32"/>
  <c r="J167" i="32"/>
  <c r="J166" i="32"/>
  <c r="J165" i="32"/>
  <c r="J164" i="32"/>
  <c r="J163" i="32"/>
  <c r="J161" i="32"/>
  <c r="J160" i="32"/>
  <c r="J159" i="32"/>
  <c r="J158" i="32"/>
  <c r="J157" i="32"/>
  <c r="J156" i="32"/>
  <c r="J154" i="32"/>
  <c r="J153" i="32"/>
  <c r="J152" i="32"/>
  <c r="J151" i="32"/>
  <c r="J150" i="32"/>
  <c r="J149" i="32"/>
  <c r="J147" i="32"/>
  <c r="J146" i="32"/>
  <c r="J145" i="32"/>
  <c r="J144" i="32"/>
  <c r="J143" i="32"/>
  <c r="J142" i="32"/>
  <c r="J141" i="32"/>
  <c r="J140" i="32"/>
  <c r="J139" i="32"/>
  <c r="J138" i="32"/>
  <c r="J137" i="32"/>
  <c r="J136" i="32"/>
  <c r="J135" i="32"/>
  <c r="J134" i="32"/>
  <c r="J133" i="32"/>
  <c r="J131" i="32"/>
  <c r="J130" i="32"/>
  <c r="J128" i="32"/>
  <c r="J126" i="32"/>
  <c r="J125" i="32"/>
  <c r="J124" i="32"/>
  <c r="J123" i="32"/>
  <c r="J122" i="32"/>
  <c r="J121" i="32"/>
  <c r="J120" i="32"/>
  <c r="J119" i="32"/>
  <c r="J117" i="32"/>
  <c r="J116" i="32"/>
  <c r="J115" i="32"/>
  <c r="J114" i="32"/>
  <c r="J113" i="32"/>
  <c r="J112" i="32"/>
  <c r="J110" i="32"/>
  <c r="J108" i="32"/>
  <c r="J107" i="32"/>
  <c r="J106" i="32"/>
  <c r="J104" i="32"/>
  <c r="J103" i="32"/>
  <c r="J102" i="32"/>
  <c r="J100" i="32"/>
  <c r="J99" i="32"/>
  <c r="J98" i="32"/>
  <c r="J97" i="32"/>
  <c r="J95" i="32"/>
  <c r="J94" i="32"/>
  <c r="J93" i="32"/>
  <c r="J92" i="32"/>
  <c r="J91" i="32"/>
  <c r="J90" i="32"/>
  <c r="J89" i="32"/>
  <c r="J88" i="32"/>
  <c r="J87" i="32"/>
  <c r="J86" i="32"/>
  <c r="J84" i="32"/>
  <c r="J83" i="32"/>
  <c r="J82" i="32"/>
  <c r="J81" i="32"/>
  <c r="J80" i="32"/>
  <c r="J79" i="32"/>
  <c r="J77" i="32"/>
  <c r="J76" i="32"/>
  <c r="J75" i="32"/>
  <c r="J74" i="32"/>
  <c r="J73" i="32"/>
  <c r="J72" i="32"/>
  <c r="J70" i="32"/>
  <c r="J69" i="32"/>
  <c r="J67" i="32"/>
  <c r="J65" i="32"/>
  <c r="J64" i="32"/>
  <c r="J63" i="32"/>
  <c r="J62" i="32"/>
  <c r="J61" i="32"/>
  <c r="J60" i="32"/>
  <c r="J58" i="32"/>
  <c r="J57" i="32"/>
  <c r="J56" i="32"/>
  <c r="J55" i="32"/>
  <c r="J53" i="32"/>
  <c r="J51" i="32"/>
  <c r="J50" i="32"/>
  <c r="J49" i="32"/>
  <c r="J48" i="32"/>
  <c r="J47" i="32"/>
  <c r="J46" i="32"/>
  <c r="J45" i="32"/>
  <c r="J44" i="32"/>
  <c r="J43" i="32"/>
  <c r="J42" i="32"/>
  <c r="J41" i="32"/>
  <c r="J40" i="32"/>
  <c r="J38" i="32"/>
  <c r="J37" i="32"/>
  <c r="J36" i="32"/>
  <c r="J35" i="32"/>
  <c r="J34" i="32"/>
  <c r="J32" i="32"/>
  <c r="J31" i="32"/>
  <c r="J29" i="32"/>
  <c r="J28" i="32"/>
  <c r="J27" i="32"/>
  <c r="J25" i="32"/>
  <c r="J23" i="32"/>
  <c r="J22" i="32"/>
  <c r="J21" i="32"/>
  <c r="J20" i="32"/>
  <c r="J19" i="32"/>
  <c r="J18" i="32"/>
  <c r="J17" i="32"/>
  <c r="J16" i="32"/>
  <c r="J14" i="32"/>
  <c r="J13" i="32"/>
  <c r="J12" i="32"/>
  <c r="J11" i="32"/>
  <c r="J10" i="32"/>
  <c r="J9" i="32"/>
  <c r="J9" i="25"/>
  <c r="J10" i="25"/>
  <c r="J11" i="25"/>
  <c r="J12" i="25"/>
  <c r="J13" i="25"/>
  <c r="J14" i="25"/>
  <c r="J15" i="25"/>
  <c r="J16" i="25"/>
  <c r="J8" i="25"/>
  <c r="J9" i="53"/>
  <c r="J10" i="53"/>
  <c r="J11" i="53"/>
  <c r="J12" i="53"/>
  <c r="J13" i="53"/>
  <c r="J14" i="53"/>
  <c r="J15" i="53"/>
  <c r="J16" i="53"/>
  <c r="J17" i="53"/>
  <c r="J18" i="53"/>
  <c r="J19" i="53"/>
  <c r="J20" i="53"/>
  <c r="J21" i="53"/>
  <c r="J22" i="53"/>
  <c r="J23" i="53"/>
  <c r="J24" i="53"/>
  <c r="J25" i="53"/>
  <c r="J26" i="53"/>
  <c r="J27" i="53"/>
  <c r="J28" i="53"/>
  <c r="J29" i="53"/>
  <c r="J30" i="53"/>
  <c r="J31" i="53"/>
  <c r="J32" i="53"/>
  <c r="J33" i="53"/>
  <c r="J34" i="53"/>
  <c r="J35" i="53"/>
  <c r="J36" i="53"/>
  <c r="J37" i="53"/>
  <c r="J38" i="53"/>
  <c r="J39" i="53"/>
  <c r="J40" i="53"/>
  <c r="J41" i="53"/>
  <c r="J42" i="53"/>
  <c r="J43" i="53"/>
  <c r="J44" i="53"/>
  <c r="J45" i="53"/>
  <c r="J46" i="53"/>
  <c r="J47" i="53"/>
  <c r="J48" i="53"/>
  <c r="J8" i="53"/>
  <c r="J9" i="24"/>
  <c r="J10" i="24"/>
  <c r="J11" i="24"/>
  <c r="J12" i="24"/>
  <c r="J13" i="24"/>
  <c r="J14" i="24"/>
  <c r="J15" i="24"/>
  <c r="J16" i="24"/>
  <c r="J17" i="24"/>
  <c r="J18" i="24"/>
  <c r="J19" i="24"/>
  <c r="J20" i="24"/>
  <c r="J21" i="24"/>
  <c r="J22" i="24"/>
  <c r="J23" i="24"/>
  <c r="J24" i="24"/>
  <c r="J25" i="24"/>
  <c r="J26" i="24"/>
  <c r="J27" i="24"/>
  <c r="J28" i="24"/>
  <c r="J29" i="24"/>
  <c r="J30" i="24"/>
  <c r="J31" i="24"/>
  <c r="J32" i="24"/>
  <c r="J33" i="24"/>
  <c r="J34" i="24"/>
  <c r="J35" i="24"/>
  <c r="J36" i="24"/>
  <c r="J37" i="24"/>
  <c r="J38" i="24"/>
  <c r="J39" i="24"/>
  <c r="J40" i="24"/>
  <c r="J41" i="24"/>
  <c r="J42" i="24"/>
  <c r="J43" i="24"/>
  <c r="J44" i="24"/>
  <c r="J45" i="24"/>
  <c r="J46" i="24"/>
  <c r="J47" i="24"/>
  <c r="J48" i="24"/>
  <c r="J49" i="24"/>
  <c r="J50" i="24"/>
  <c r="J51" i="24"/>
  <c r="J52" i="24"/>
  <c r="J53" i="24"/>
  <c r="J54" i="24"/>
  <c r="J55" i="24"/>
  <c r="J56" i="24"/>
  <c r="J57" i="24"/>
  <c r="J58" i="24"/>
  <c r="J59" i="24"/>
  <c r="J60" i="24"/>
  <c r="J61" i="24"/>
  <c r="J62" i="24"/>
  <c r="J63" i="24"/>
  <c r="J64" i="24"/>
  <c r="J65" i="24"/>
  <c r="J66" i="24"/>
  <c r="J67" i="24"/>
  <c r="J68" i="24"/>
  <c r="J69" i="24"/>
  <c r="J70" i="24"/>
  <c r="J71" i="24"/>
  <c r="J72" i="24"/>
  <c r="J73" i="24"/>
  <c r="J74" i="24"/>
  <c r="J75" i="24"/>
  <c r="J76" i="24"/>
  <c r="J77" i="24"/>
  <c r="J78" i="24"/>
  <c r="J79" i="24"/>
  <c r="J80" i="24"/>
  <c r="J81" i="24"/>
  <c r="J82" i="24"/>
  <c r="J83" i="24"/>
  <c r="J84" i="24"/>
  <c r="J85" i="24"/>
  <c r="J86" i="24"/>
  <c r="J87" i="24"/>
  <c r="J88" i="24"/>
  <c r="J89" i="24"/>
  <c r="J90" i="24"/>
  <c r="J91" i="24"/>
  <c r="J92" i="24"/>
  <c r="J93" i="24"/>
  <c r="J94" i="24"/>
  <c r="J95" i="24"/>
  <c r="J96" i="24"/>
  <c r="J97" i="24"/>
  <c r="J98" i="24"/>
  <c r="J99" i="24"/>
  <c r="J100" i="24"/>
  <c r="J101" i="24"/>
  <c r="J102" i="24"/>
  <c r="J103" i="24"/>
  <c r="J104" i="24"/>
  <c r="J105" i="24"/>
  <c r="J106" i="24"/>
  <c r="J107" i="24"/>
  <c r="J108" i="24"/>
  <c r="J109" i="24"/>
  <c r="J110" i="24"/>
  <c r="J111" i="24"/>
  <c r="J112" i="24"/>
  <c r="J113" i="24"/>
  <c r="J114" i="24"/>
  <c r="J115" i="24"/>
  <c r="J116" i="24"/>
  <c r="J117" i="24"/>
  <c r="J118" i="24"/>
  <c r="J119" i="24"/>
  <c r="J120" i="24"/>
  <c r="J121" i="24"/>
  <c r="J122" i="24"/>
  <c r="J123" i="24"/>
  <c r="J124" i="24"/>
  <c r="J125" i="24"/>
  <c r="J126" i="24"/>
  <c r="J127" i="24"/>
  <c r="J128" i="24"/>
  <c r="J129" i="24"/>
  <c r="J130" i="24"/>
  <c r="J131" i="24"/>
  <c r="J132" i="24"/>
  <c r="J133" i="24"/>
  <c r="J134" i="24"/>
  <c r="J135" i="24"/>
  <c r="J136" i="24"/>
  <c r="J137" i="24"/>
  <c r="J138" i="24"/>
  <c r="J139" i="24"/>
  <c r="J140" i="24"/>
  <c r="J141" i="24"/>
  <c r="J142" i="24"/>
  <c r="J143" i="24"/>
  <c r="J144" i="24"/>
  <c r="J145" i="24"/>
  <c r="J146" i="24"/>
  <c r="J147" i="24"/>
  <c r="J148" i="24"/>
  <c r="J149" i="24"/>
  <c r="J150" i="24"/>
  <c r="J151" i="24"/>
  <c r="J152" i="24"/>
  <c r="J153" i="24"/>
  <c r="J154" i="24"/>
  <c r="J155" i="24"/>
  <c r="J156" i="24"/>
  <c r="J157" i="24"/>
  <c r="J158" i="24"/>
  <c r="J159" i="24"/>
  <c r="J160" i="24"/>
  <c r="J161" i="24"/>
  <c r="J162" i="24"/>
  <c r="J163" i="24"/>
  <c r="J164" i="24"/>
  <c r="J165" i="24"/>
  <c r="J166" i="24"/>
  <c r="J167" i="24"/>
  <c r="J168" i="24"/>
  <c r="J169" i="24"/>
  <c r="J170" i="24"/>
  <c r="J171" i="24"/>
  <c r="J172" i="24"/>
  <c r="J173" i="24"/>
  <c r="J174" i="24"/>
  <c r="J175" i="24"/>
  <c r="J176" i="24"/>
  <c r="J177" i="24"/>
  <c r="J178" i="24"/>
  <c r="J179" i="24"/>
  <c r="J180" i="24"/>
  <c r="J181" i="24"/>
  <c r="J182" i="24"/>
  <c r="J183" i="24"/>
  <c r="J184" i="24"/>
  <c r="J185" i="24"/>
  <c r="J186" i="24"/>
  <c r="J187" i="24"/>
  <c r="J188" i="24"/>
  <c r="J189" i="24"/>
  <c r="J190" i="24"/>
  <c r="J191" i="24"/>
  <c r="J192" i="24"/>
  <c r="J193" i="24"/>
  <c r="J194" i="24"/>
  <c r="J195" i="24"/>
  <c r="J196" i="24"/>
  <c r="J197" i="24"/>
  <c r="J198" i="24"/>
  <c r="J199" i="24"/>
  <c r="J200" i="24"/>
  <c r="J201" i="24"/>
  <c r="J202" i="24"/>
  <c r="J203" i="24"/>
  <c r="J204" i="24"/>
  <c r="J205" i="24"/>
  <c r="J206" i="24"/>
  <c r="J207" i="24"/>
  <c r="J208" i="24"/>
  <c r="J209" i="24"/>
  <c r="J210" i="24"/>
  <c r="J211" i="24"/>
  <c r="J212" i="24"/>
  <c r="J213" i="24"/>
  <c r="J214" i="24"/>
  <c r="J215" i="24"/>
  <c r="J216" i="24"/>
  <c r="J217" i="24"/>
  <c r="J218" i="24"/>
  <c r="J219" i="24"/>
  <c r="J220" i="24"/>
  <c r="J221" i="24"/>
  <c r="J222" i="24"/>
  <c r="J223" i="24"/>
  <c r="J224" i="24"/>
  <c r="J225" i="24"/>
  <c r="J226" i="24"/>
  <c r="J227" i="24"/>
  <c r="J228" i="24"/>
  <c r="J229" i="24"/>
  <c r="J230" i="24"/>
  <c r="J231" i="24"/>
  <c r="J232" i="24"/>
  <c r="J233" i="24"/>
  <c r="J234" i="24"/>
  <c r="J235" i="24"/>
  <c r="J236" i="24"/>
  <c r="J237" i="24"/>
  <c r="J238" i="24"/>
  <c r="J239" i="24"/>
  <c r="J240" i="24"/>
  <c r="J241" i="24"/>
  <c r="J242" i="24"/>
  <c r="J243" i="24"/>
  <c r="J244" i="24"/>
  <c r="J245" i="24"/>
  <c r="J246" i="24"/>
  <c r="J247" i="24"/>
  <c r="J248" i="24"/>
  <c r="J249" i="24"/>
  <c r="J8" i="24"/>
  <c r="J9" i="51"/>
  <c r="J10" i="51"/>
  <c r="J8" i="51"/>
  <c r="J9" i="52"/>
  <c r="J10" i="52"/>
  <c r="J11" i="52"/>
  <c r="J8" i="52"/>
  <c r="J9" i="47"/>
  <c r="J10" i="47"/>
  <c r="J11" i="47"/>
  <c r="J12" i="47"/>
  <c r="J13" i="47"/>
  <c r="J14" i="47"/>
  <c r="J15" i="47"/>
  <c r="J16" i="47"/>
  <c r="J17" i="47"/>
  <c r="J18" i="47"/>
  <c r="J19" i="47"/>
  <c r="J20" i="47"/>
  <c r="J21" i="47"/>
  <c r="J8" i="47"/>
  <c r="K28" i="19"/>
  <c r="M28" i="18" s="1"/>
  <c r="K19" i="19"/>
  <c r="M19" i="18" s="1"/>
  <c r="K10" i="19"/>
  <c r="M10" i="18" s="1"/>
  <c r="K7" i="19"/>
  <c r="M7" i="18" s="1"/>
  <c r="K6" i="19"/>
  <c r="M6" i="18" s="1"/>
  <c r="K5" i="19"/>
  <c r="M5" i="18" s="1"/>
  <c r="K27" i="19"/>
  <c r="M27" i="18" s="1"/>
  <c r="A34" i="19"/>
  <c r="A35" i="19"/>
  <c r="A36" i="19"/>
  <c r="A37" i="19"/>
  <c r="A38" i="19"/>
  <c r="A39" i="19"/>
  <c r="A40" i="19"/>
  <c r="A41" i="19"/>
  <c r="M61" i="54"/>
  <c r="M60" i="54"/>
  <c r="M59" i="54"/>
  <c r="M58" i="54"/>
  <c r="M57" i="54"/>
  <c r="M56" i="54"/>
  <c r="M55" i="54"/>
  <c r="M54" i="54"/>
  <c r="M53" i="54"/>
  <c r="M52" i="54"/>
  <c r="M51" i="54"/>
  <c r="M50" i="54"/>
  <c r="M49" i="54"/>
  <c r="M48" i="54"/>
  <c r="M47" i="54"/>
  <c r="M46" i="54"/>
  <c r="M45" i="54"/>
  <c r="M44" i="54"/>
  <c r="M43" i="54"/>
  <c r="M42" i="54"/>
  <c r="M41" i="54"/>
  <c r="M40" i="54"/>
  <c r="K8" i="18"/>
  <c r="K7" i="18"/>
  <c r="K6" i="18"/>
  <c r="K4" i="18"/>
  <c r="K3" i="18"/>
  <c r="K9" i="18"/>
  <c r="K19" i="18"/>
  <c r="K18" i="18"/>
  <c r="K16" i="18"/>
  <c r="K15" i="18"/>
  <c r="K14" i="18"/>
  <c r="K13" i="18"/>
  <c r="K12" i="18"/>
  <c r="K11" i="18"/>
  <c r="K10" i="18"/>
  <c r="K20" i="18"/>
  <c r="K28" i="18"/>
  <c r="K27" i="18"/>
  <c r="K26" i="18"/>
  <c r="K25" i="18"/>
  <c r="K24" i="18"/>
  <c r="K23" i="18"/>
  <c r="K22" i="18"/>
  <c r="K21" i="18"/>
  <c r="K2" i="18"/>
  <c r="N139" i="55" l="1"/>
  <c r="N134" i="55"/>
  <c r="N118" i="55"/>
  <c r="N113" i="55"/>
  <c r="N109" i="55"/>
  <c r="N104" i="55"/>
  <c r="N100" i="55"/>
  <c r="N82" i="55"/>
  <c r="N78" i="55"/>
  <c r="N75" i="55"/>
  <c r="N72" i="55"/>
  <c r="N68" i="55"/>
  <c r="N67" i="55"/>
  <c r="N66" i="55"/>
  <c r="N62" i="55"/>
  <c r="N50" i="55"/>
  <c r="N49" i="55"/>
  <c r="N48" i="55"/>
  <c r="N47" i="55"/>
  <c r="N46" i="55"/>
  <c r="N40" i="55"/>
  <c r="N25" i="55"/>
  <c r="N9" i="55"/>
  <c r="M84" i="54"/>
  <c r="M83" i="54"/>
  <c r="M82" i="54"/>
  <c r="M81" i="54"/>
  <c r="M80" i="54"/>
  <c r="M79" i="54"/>
  <c r="M78" i="54"/>
  <c r="M77" i="54"/>
  <c r="M76" i="54"/>
  <c r="M75" i="54"/>
  <c r="M74" i="54"/>
  <c r="M73" i="54"/>
  <c r="M72" i="54"/>
  <c r="M71" i="54"/>
  <c r="M70" i="54"/>
  <c r="M69" i="54"/>
  <c r="M68" i="54"/>
  <c r="M67" i="54"/>
  <c r="M66" i="54"/>
  <c r="M65" i="54"/>
  <c r="M64" i="54"/>
  <c r="M63" i="54"/>
  <c r="M62" i="54"/>
  <c r="M39" i="54"/>
  <c r="M38" i="54"/>
  <c r="M37" i="54"/>
  <c r="M36" i="54"/>
  <c r="M35" i="54"/>
  <c r="M34" i="54"/>
  <c r="M33" i="54"/>
  <c r="M32" i="54"/>
  <c r="M31" i="54"/>
  <c r="M30" i="54"/>
  <c r="M29" i="54"/>
  <c r="M28" i="54"/>
  <c r="M27" i="54"/>
  <c r="M26" i="54"/>
  <c r="M25" i="54"/>
  <c r="M24" i="54"/>
  <c r="M23" i="54"/>
  <c r="M22" i="54"/>
  <c r="M21" i="54"/>
  <c r="M20" i="54"/>
  <c r="M106" i="54"/>
  <c r="M105" i="54"/>
  <c r="M104" i="54"/>
  <c r="M103" i="54"/>
  <c r="M102" i="54"/>
  <c r="M101" i="54"/>
  <c r="M100" i="54"/>
  <c r="M99" i="54"/>
  <c r="M98" i="54"/>
  <c r="M97" i="54"/>
  <c r="M96" i="54"/>
  <c r="M95" i="54"/>
  <c r="M94" i="54"/>
  <c r="M93" i="54"/>
  <c r="M92" i="54"/>
  <c r="M91" i="54"/>
  <c r="M90" i="54"/>
  <c r="M89" i="54"/>
  <c r="M88" i="54"/>
  <c r="M87" i="54"/>
  <c r="M86" i="54"/>
  <c r="M134" i="54"/>
  <c r="M133" i="54"/>
  <c r="M132" i="54"/>
  <c r="M131" i="54"/>
  <c r="M130" i="54"/>
  <c r="M129" i="54"/>
  <c r="M128" i="54"/>
  <c r="M127" i="54"/>
  <c r="M126" i="54"/>
  <c r="M125" i="54"/>
  <c r="M124" i="54"/>
  <c r="M123" i="54"/>
  <c r="M122" i="54"/>
  <c r="M121" i="54"/>
  <c r="M120" i="54"/>
  <c r="M119" i="54"/>
  <c r="M118" i="54"/>
  <c r="M117" i="54"/>
  <c r="M116" i="54"/>
  <c r="M115" i="54"/>
  <c r="M114" i="54"/>
  <c r="M113" i="54"/>
  <c r="M112" i="54"/>
  <c r="M110" i="54"/>
  <c r="M109" i="54"/>
  <c r="M108" i="54"/>
  <c r="M18" i="54"/>
  <c r="M17" i="54"/>
  <c r="M16" i="54"/>
  <c r="M15" i="54"/>
  <c r="M14" i="54"/>
  <c r="M13" i="54"/>
  <c r="M12" i="54"/>
  <c r="M11" i="54"/>
  <c r="M10" i="54"/>
  <c r="M9" i="54"/>
  <c r="M48" i="53"/>
  <c r="M47" i="53"/>
  <c r="M46" i="53"/>
  <c r="M45" i="53"/>
  <c r="M44" i="53"/>
  <c r="M43" i="53"/>
  <c r="M42" i="53"/>
  <c r="M41" i="53"/>
  <c r="M40" i="53"/>
  <c r="M39" i="53"/>
  <c r="M38" i="53"/>
  <c r="M37" i="53"/>
  <c r="M36" i="53"/>
  <c r="M35" i="53"/>
  <c r="M34" i="53"/>
  <c r="M33" i="53"/>
  <c r="M32" i="53"/>
  <c r="M31" i="53"/>
  <c r="M30" i="53"/>
  <c r="M29" i="53"/>
  <c r="M28" i="53"/>
  <c r="M27" i="53"/>
  <c r="M26" i="53"/>
  <c r="M25" i="53"/>
  <c r="M24" i="53"/>
  <c r="M23" i="53"/>
  <c r="M22" i="53"/>
  <c r="M21" i="53"/>
  <c r="M20" i="53"/>
  <c r="M19" i="53"/>
  <c r="M18" i="53"/>
  <c r="M17" i="53"/>
  <c r="M16" i="53"/>
  <c r="M15" i="53"/>
  <c r="M14" i="53"/>
  <c r="M13" i="53"/>
  <c r="M12" i="53"/>
  <c r="M11" i="53"/>
  <c r="M10" i="53"/>
  <c r="M9" i="53"/>
  <c r="M8" i="53"/>
  <c r="M11" i="52"/>
  <c r="M10" i="52"/>
  <c r="M9" i="52"/>
  <c r="M8" i="52"/>
  <c r="M10" i="51"/>
  <c r="M9" i="51"/>
  <c r="M8" i="51"/>
  <c r="M21" i="47"/>
  <c r="M20" i="47"/>
  <c r="M19" i="47"/>
  <c r="M18" i="47"/>
  <c r="M17" i="47"/>
  <c r="M16" i="47"/>
  <c r="M15" i="47"/>
  <c r="M14" i="47"/>
  <c r="M11" i="47"/>
  <c r="M10" i="47"/>
  <c r="M9" i="47"/>
  <c r="M8" i="47"/>
  <c r="Q47" i="28" l="1"/>
  <c r="Q57" i="28"/>
  <c r="Q58" i="28"/>
  <c r="Q62" i="28"/>
  <c r="Q63" i="28"/>
  <c r="Q65" i="28"/>
  <c r="Q66" i="28"/>
  <c r="Q67" i="28"/>
  <c r="Q73" i="28"/>
  <c r="Q74" i="28"/>
  <c r="Q76" i="28"/>
  <c r="Q77" i="28"/>
  <c r="K23" i="19" l="1"/>
  <c r="M23" i="18" s="1"/>
  <c r="K26" i="19"/>
  <c r="M26" i="18" s="1"/>
  <c r="K25" i="19"/>
  <c r="M25" i="18" s="1"/>
  <c r="K22" i="19"/>
  <c r="M22" i="18" s="1"/>
  <c r="K21" i="19"/>
  <c r="M21" i="18" s="1"/>
  <c r="K20" i="19"/>
  <c r="M20" i="18" s="1"/>
  <c r="K24" i="19"/>
  <c r="M24" i="18" s="1"/>
  <c r="K17" i="19"/>
  <c r="M17" i="18" s="1"/>
  <c r="K9" i="19"/>
  <c r="M9" i="18" s="1"/>
  <c r="K16" i="19"/>
  <c r="M16" i="18" s="1"/>
  <c r="K15" i="19"/>
  <c r="M15" i="18" s="1"/>
  <c r="K14" i="19"/>
  <c r="M14" i="18" s="1"/>
  <c r="K13" i="19"/>
  <c r="M13" i="18" s="1"/>
  <c r="K12" i="19"/>
  <c r="M12" i="18" s="1"/>
  <c r="K11" i="19"/>
  <c r="M11" i="18" s="1"/>
  <c r="K8" i="19"/>
  <c r="M8" i="18" s="1"/>
  <c r="K4" i="19"/>
  <c r="M4" i="18" s="1"/>
  <c r="K3" i="19"/>
  <c r="M3" i="18" s="1"/>
  <c r="K2" i="19"/>
  <c r="M9" i="32" l="1"/>
  <c r="M112" i="42"/>
  <c r="A10" i="42"/>
  <c r="A11" i="42"/>
  <c r="A12" i="42"/>
  <c r="A13" i="42"/>
  <c r="A14" i="42"/>
  <c r="A15" i="42"/>
  <c r="A16" i="42"/>
  <c r="A17" i="42"/>
  <c r="A18" i="42"/>
  <c r="A19" i="42"/>
  <c r="A20" i="42"/>
  <c r="A21" i="42"/>
  <c r="A22" i="42"/>
  <c r="A23" i="42"/>
  <c r="A24" i="42"/>
  <c r="A25" i="42"/>
  <c r="A26" i="42"/>
  <c r="A27" i="42"/>
  <c r="A28" i="42"/>
  <c r="A29" i="42"/>
  <c r="A30" i="42"/>
  <c r="A31" i="42"/>
  <c r="A32" i="42"/>
  <c r="A33" i="42"/>
  <c r="A34" i="42"/>
  <c r="A35" i="42"/>
  <c r="A36" i="42"/>
  <c r="A37" i="42"/>
  <c r="A38" i="42"/>
  <c r="A39" i="42"/>
  <c r="A40" i="42"/>
  <c r="A41" i="42"/>
  <c r="A42" i="42"/>
  <c r="A43" i="42"/>
  <c r="A44" i="42"/>
  <c r="A45" i="42"/>
  <c r="A46" i="42"/>
  <c r="A47" i="42"/>
  <c r="A48" i="42"/>
  <c r="A49" i="42"/>
  <c r="A50" i="42"/>
  <c r="A51" i="42"/>
  <c r="A52" i="42"/>
  <c r="A53" i="42"/>
  <c r="A54" i="42"/>
  <c r="A55" i="42"/>
  <c r="A56" i="42"/>
  <c r="A57" i="42"/>
  <c r="A58" i="42"/>
  <c r="A59" i="42"/>
  <c r="A60" i="42"/>
  <c r="A61" i="42"/>
  <c r="A62" i="42"/>
  <c r="A63" i="42"/>
  <c r="A64" i="42"/>
  <c r="A65" i="42"/>
  <c r="A66" i="42"/>
  <c r="A67" i="42"/>
  <c r="A68" i="42"/>
  <c r="A69" i="42"/>
  <c r="A70" i="42"/>
  <c r="A71" i="42"/>
  <c r="A72" i="42"/>
  <c r="A73" i="42"/>
  <c r="A74" i="42"/>
  <c r="A75" i="42"/>
  <c r="A76" i="42"/>
  <c r="A77" i="42"/>
  <c r="A78" i="42"/>
  <c r="A79" i="42"/>
  <c r="A80" i="42"/>
  <c r="A81" i="42"/>
  <c r="A82" i="42"/>
  <c r="A83" i="42"/>
  <c r="A84" i="42"/>
  <c r="A85" i="42"/>
  <c r="A86" i="42"/>
  <c r="A87" i="42"/>
  <c r="A88" i="42"/>
  <c r="A89" i="42"/>
  <c r="A90" i="42"/>
  <c r="A91" i="42"/>
  <c r="A92" i="42"/>
  <c r="A93" i="42"/>
  <c r="A94" i="42"/>
  <c r="A95" i="42"/>
  <c r="A96" i="42"/>
  <c r="A97" i="42"/>
  <c r="A98" i="42"/>
  <c r="A99" i="42"/>
  <c r="A100" i="42"/>
  <c r="A101" i="42"/>
  <c r="A102" i="42"/>
  <c r="A103" i="42"/>
  <c r="A104" i="42"/>
  <c r="A105" i="42"/>
  <c r="A106" i="42"/>
  <c r="A107" i="42"/>
  <c r="A108" i="42"/>
  <c r="A109" i="42"/>
  <c r="A110" i="42"/>
  <c r="A111" i="42"/>
  <c r="A113" i="42"/>
  <c r="A114" i="42"/>
  <c r="A115" i="42"/>
  <c r="A116" i="42"/>
  <c r="A9" i="42" l="1"/>
  <c r="M12" i="45" l="1"/>
  <c r="M11" i="45"/>
  <c r="M10" i="45"/>
  <c r="M9" i="45"/>
  <c r="M8" i="45"/>
  <c r="M17" i="46" l="1"/>
  <c r="M18" i="46"/>
  <c r="M27" i="46"/>
  <c r="M15" i="46"/>
  <c r="M25" i="46"/>
  <c r="M28" i="46"/>
  <c r="M12" i="46"/>
  <c r="M11" i="46"/>
  <c r="M13" i="46"/>
  <c r="M16" i="46"/>
  <c r="M23" i="46"/>
  <c r="M29" i="46"/>
  <c r="M19" i="46"/>
  <c r="M20" i="46"/>
  <c r="M10" i="46"/>
  <c r="M22" i="46"/>
  <c r="M9" i="46"/>
  <c r="M26" i="46"/>
  <c r="M21" i="46"/>
  <c r="M24" i="46"/>
  <c r="M8" i="46"/>
  <c r="M14" i="46"/>
  <c r="M15" i="45"/>
  <c r="M14" i="45"/>
  <c r="M13" i="45"/>
  <c r="Q33" i="22" l="1"/>
  <c r="Q28" i="22"/>
  <c r="M21" i="21" l="1"/>
  <c r="M20" i="21"/>
  <c r="M104" i="12" l="1"/>
  <c r="M105" i="12" l="1"/>
  <c r="M106" i="12"/>
  <c r="M53" i="12"/>
  <c r="M50" i="12"/>
  <c r="M49" i="12"/>
  <c r="M48" i="12"/>
  <c r="M47" i="12"/>
  <c r="M46" i="12"/>
  <c r="M45" i="12"/>
  <c r="M64" i="21" l="1"/>
  <c r="M65" i="21"/>
  <c r="M63" i="21"/>
  <c r="M62" i="21"/>
  <c r="M53" i="21"/>
  <c r="M54" i="21"/>
  <c r="M52" i="21"/>
  <c r="M51" i="21"/>
  <c r="M50" i="21"/>
  <c r="Q48" i="28"/>
  <c r="Q29" i="28"/>
  <c r="Q30" i="28"/>
  <c r="M411" i="9" l="1"/>
  <c r="M242" i="9"/>
  <c r="M224" i="9"/>
  <c r="M354" i="9"/>
  <c r="M212" i="9"/>
  <c r="M210" i="9"/>
  <c r="M208" i="9"/>
  <c r="M207" i="9"/>
  <c r="M206" i="9"/>
  <c r="M205" i="9"/>
  <c r="M204" i="9"/>
  <c r="M203" i="9"/>
  <c r="M211" i="9"/>
  <c r="M209" i="9"/>
  <c r="M202" i="9"/>
  <c r="M201" i="9"/>
  <c r="M191" i="9"/>
  <c r="M179" i="9"/>
  <c r="M161" i="9"/>
  <c r="M158" i="9"/>
  <c r="M157" i="9"/>
  <c r="M138" i="9"/>
  <c r="M111" i="9"/>
  <c r="M60" i="9"/>
  <c r="M49" i="9"/>
  <c r="M19" i="9"/>
  <c r="J11" i="42" l="1"/>
  <c r="J12" i="42"/>
  <c r="J16" i="42"/>
  <c r="J19" i="42"/>
  <c r="J21" i="42"/>
  <c r="J22" i="42"/>
  <c r="J24" i="42"/>
  <c r="J29" i="42"/>
  <c r="J32" i="42"/>
  <c r="J43" i="42"/>
  <c r="J44" i="42"/>
  <c r="J45" i="42"/>
  <c r="J48" i="42"/>
  <c r="J51" i="42"/>
  <c r="J53" i="42"/>
  <c r="J54" i="42"/>
  <c r="J56" i="42"/>
  <c r="J61" i="42"/>
  <c r="J64" i="42"/>
  <c r="J75" i="42"/>
  <c r="J76" i="42"/>
  <c r="J77" i="42"/>
  <c r="J80" i="42"/>
  <c r="J84" i="42"/>
  <c r="J85" i="42"/>
  <c r="J86" i="42"/>
  <c r="J88" i="42"/>
  <c r="J91" i="42"/>
  <c r="J93" i="42"/>
  <c r="J99" i="42"/>
  <c r="J100" i="42"/>
  <c r="J101" i="42"/>
  <c r="J102" i="42"/>
  <c r="J108" i="42"/>
  <c r="J109" i="42"/>
  <c r="J112" i="42"/>
  <c r="J115" i="42"/>
  <c r="J15" i="42"/>
  <c r="J23" i="42"/>
  <c r="J31" i="42"/>
  <c r="J39" i="42"/>
  <c r="J40" i="42"/>
  <c r="J47" i="42"/>
  <c r="J55" i="42"/>
  <c r="J63" i="42"/>
  <c r="J71" i="42"/>
  <c r="J72" i="42"/>
  <c r="J79" i="42"/>
  <c r="J82" i="42"/>
  <c r="J90" i="42"/>
  <c r="J92" i="42"/>
  <c r="J96" i="42"/>
  <c r="J98" i="42"/>
  <c r="J104" i="42"/>
  <c r="J106" i="42"/>
  <c r="J113" i="42"/>
  <c r="J114" i="42"/>
  <c r="J81" i="42"/>
  <c r="J116" i="42"/>
  <c r="J13" i="42"/>
  <c r="J14" i="42"/>
  <c r="J17" i="42"/>
  <c r="J18" i="42"/>
  <c r="J20" i="42"/>
  <c r="J25" i="42"/>
  <c r="J26" i="42"/>
  <c r="J27" i="42"/>
  <c r="J28" i="42"/>
  <c r="J30" i="42"/>
  <c r="J33" i="42"/>
  <c r="J34" i="42"/>
  <c r="J35" i="42"/>
  <c r="J36" i="42"/>
  <c r="J37" i="42"/>
  <c r="J38" i="42"/>
  <c r="J41" i="42"/>
  <c r="J42" i="42"/>
  <c r="J46" i="42"/>
  <c r="J49" i="42"/>
  <c r="J50" i="42"/>
  <c r="J52" i="42"/>
  <c r="J57" i="42"/>
  <c r="J58" i="42"/>
  <c r="J59" i="42"/>
  <c r="J60" i="42"/>
  <c r="J62" i="42"/>
  <c r="J65" i="42"/>
  <c r="J66" i="42"/>
  <c r="J67" i="42"/>
  <c r="J68" i="42"/>
  <c r="J69" i="42"/>
  <c r="J70" i="42"/>
  <c r="J73" i="42"/>
  <c r="J74" i="42"/>
  <c r="J78" i="42"/>
  <c r="J83" i="42"/>
  <c r="J87" i="42"/>
  <c r="J89" i="42"/>
  <c r="J94" i="42"/>
  <c r="J95" i="42"/>
  <c r="J97" i="42"/>
  <c r="J103" i="42"/>
  <c r="J105" i="42"/>
  <c r="J107" i="42"/>
  <c r="J110" i="42"/>
  <c r="J111" i="42"/>
  <c r="J9" i="42" l="1"/>
  <c r="J10" i="42"/>
  <c r="J8" i="42"/>
  <c r="M116" i="42"/>
  <c r="M115" i="42"/>
  <c r="M114" i="42"/>
  <c r="M113" i="42"/>
  <c r="M111" i="42"/>
  <c r="M110" i="42"/>
  <c r="M109" i="42"/>
  <c r="M108" i="42"/>
  <c r="M107" i="42"/>
  <c r="M106" i="42"/>
  <c r="M105" i="42"/>
  <c r="M104" i="42"/>
  <c r="M103" i="42"/>
  <c r="M102" i="42"/>
  <c r="M101" i="42"/>
  <c r="M100" i="42"/>
  <c r="M99" i="42"/>
  <c r="M98" i="42"/>
  <c r="M97" i="42"/>
  <c r="M96" i="42"/>
  <c r="M95" i="42"/>
  <c r="M94" i="42"/>
  <c r="M93" i="42"/>
  <c r="M92" i="42"/>
  <c r="M91" i="42"/>
  <c r="M90" i="42"/>
  <c r="M89" i="42"/>
  <c r="M88" i="42"/>
  <c r="M87" i="42"/>
  <c r="M86" i="42"/>
  <c r="M85" i="42"/>
  <c r="M84" i="42"/>
  <c r="M83" i="42"/>
  <c r="M82" i="42"/>
  <c r="M81" i="42"/>
  <c r="M80" i="42"/>
  <c r="M79" i="42"/>
  <c r="M78" i="42"/>
  <c r="M77" i="42"/>
  <c r="M76" i="42"/>
  <c r="M75" i="42"/>
  <c r="M74" i="42"/>
  <c r="M73" i="42"/>
  <c r="M72" i="42"/>
  <c r="M71" i="42"/>
  <c r="M70" i="42"/>
  <c r="M69" i="42"/>
  <c r="M68" i="42"/>
  <c r="M67" i="42"/>
  <c r="M66" i="42"/>
  <c r="M65" i="42"/>
  <c r="M64" i="42"/>
  <c r="M63" i="42"/>
  <c r="M62" i="42"/>
  <c r="M61" i="42"/>
  <c r="M60" i="42"/>
  <c r="M59" i="42"/>
  <c r="M58" i="42"/>
  <c r="M57" i="42"/>
  <c r="M56" i="42"/>
  <c r="M55" i="42"/>
  <c r="M54" i="42"/>
  <c r="M53" i="42"/>
  <c r="M52" i="42"/>
  <c r="M51" i="42"/>
  <c r="M50" i="42"/>
  <c r="M49" i="42"/>
  <c r="M48" i="42"/>
  <c r="M47" i="42"/>
  <c r="M46" i="42"/>
  <c r="M45" i="42"/>
  <c r="M44" i="42"/>
  <c r="M43" i="42"/>
  <c r="M42" i="42"/>
  <c r="M41" i="42"/>
  <c r="M40" i="42"/>
  <c r="M39" i="42"/>
  <c r="M38" i="42"/>
  <c r="M37" i="42"/>
  <c r="M36" i="42"/>
  <c r="M35" i="42"/>
  <c r="M34" i="42"/>
  <c r="M33" i="42"/>
  <c r="M32" i="42"/>
  <c r="M31" i="42"/>
  <c r="M30" i="42"/>
  <c r="M29" i="42"/>
  <c r="M28" i="42"/>
  <c r="M27" i="42"/>
  <c r="M26" i="42"/>
  <c r="M25" i="42"/>
  <c r="M24" i="42"/>
  <c r="M23" i="42"/>
  <c r="M22" i="42"/>
  <c r="M21" i="42"/>
  <c r="M20" i="42"/>
  <c r="M19" i="42"/>
  <c r="M18" i="42"/>
  <c r="M17" i="42"/>
  <c r="M16" i="42"/>
  <c r="M15" i="42"/>
  <c r="M14" i="42"/>
  <c r="M13" i="42"/>
  <c r="M12" i="42"/>
  <c r="M11" i="42"/>
  <c r="M10" i="42"/>
  <c r="M9" i="42"/>
  <c r="M8" i="42"/>
  <c r="O55" i="29"/>
  <c r="Q80" i="22" l="1"/>
  <c r="Q79" i="22"/>
  <c r="Q78" i="22"/>
  <c r="Q77" i="22"/>
  <c r="Q76" i="22"/>
  <c r="Q87" i="22" l="1"/>
  <c r="Q86" i="22"/>
  <c r="Q94" i="22"/>
  <c r="Q93" i="22"/>
  <c r="Q92" i="22"/>
  <c r="Q91" i="22"/>
  <c r="Q90" i="22"/>
  <c r="Q89" i="22"/>
  <c r="Q88" i="22"/>
  <c r="Q49" i="22"/>
  <c r="Q52" i="22"/>
  <c r="Q50" i="22"/>
  <c r="Q51" i="22"/>
  <c r="Q45" i="22"/>
  <c r="Q48" i="22"/>
  <c r="Q46" i="22"/>
  <c r="Q47" i="22"/>
  <c r="Q44" i="22"/>
  <c r="Q82" i="22"/>
  <c r="Q85" i="22"/>
  <c r="Q83" i="22"/>
  <c r="Q84" i="22"/>
  <c r="Q81" i="22"/>
  <c r="Q72" i="22"/>
  <c r="Q75" i="22"/>
  <c r="Q73" i="22"/>
  <c r="Q74" i="22"/>
  <c r="Q71" i="22"/>
  <c r="Q57" i="22"/>
  <c r="Q60" i="22"/>
  <c r="Q58" i="22"/>
  <c r="Q59" i="22"/>
  <c r="Q53" i="22"/>
  <c r="Q56" i="22"/>
  <c r="Q54" i="22"/>
  <c r="Q55" i="22"/>
  <c r="Q67" i="22"/>
  <c r="Q70" i="22"/>
  <c r="Q68" i="22"/>
  <c r="Q69" i="22"/>
  <c r="Q66" i="22"/>
  <c r="Q62" i="22"/>
  <c r="Q65" i="22"/>
  <c r="Q63" i="22"/>
  <c r="Q64" i="22"/>
  <c r="Q61" i="22"/>
  <c r="Q35" i="22"/>
  <c r="Q38" i="22"/>
  <c r="Q36" i="22"/>
  <c r="Q37" i="22"/>
  <c r="Q34" i="22"/>
  <c r="Q40" i="22"/>
  <c r="Q43" i="22"/>
  <c r="Q41" i="22"/>
  <c r="Q42" i="22"/>
  <c r="Q39" i="22"/>
  <c r="Q32" i="22"/>
  <c r="Q31" i="22"/>
  <c r="Q30" i="22"/>
  <c r="Q29" i="22"/>
  <c r="Q24" i="22"/>
  <c r="Q27" i="22"/>
  <c r="Q25" i="22"/>
  <c r="Q26" i="22"/>
  <c r="Q23" i="22"/>
  <c r="Q19" i="22"/>
  <c r="Q22" i="22"/>
  <c r="Q20" i="22"/>
  <c r="Q21" i="22"/>
  <c r="Q18" i="22"/>
  <c r="Q14" i="22"/>
  <c r="Q17" i="22"/>
  <c r="Q15" i="22"/>
  <c r="Q16" i="22"/>
  <c r="Q13" i="22"/>
  <c r="Q9" i="22"/>
  <c r="Q12" i="22"/>
  <c r="Q11" i="22"/>
  <c r="Q8" i="22"/>
  <c r="Q10" i="22"/>
  <c r="K18" i="19" l="1"/>
  <c r="M18" i="18" s="1"/>
  <c r="M2" i="18" l="1"/>
  <c r="M14" i="40" l="1"/>
  <c r="M13" i="40"/>
  <c r="M12" i="40"/>
  <c r="M11" i="40"/>
  <c r="M10" i="40"/>
  <c r="M89" i="37"/>
  <c r="M29" i="39"/>
  <c r="M32" i="39"/>
  <c r="M31" i="39"/>
  <c r="M30" i="39"/>
  <c r="M27" i="39"/>
  <c r="M26" i="39"/>
  <c r="M25" i="39"/>
  <c r="M24" i="39"/>
  <c r="M23" i="39"/>
  <c r="M22" i="39"/>
  <c r="M21" i="39"/>
  <c r="M20" i="39"/>
  <c r="M18" i="39"/>
  <c r="M19" i="39"/>
  <c r="M17" i="39"/>
  <c r="M16" i="39"/>
  <c r="M15" i="39"/>
  <c r="M14" i="39"/>
  <c r="M13" i="39"/>
  <c r="M12" i="39"/>
  <c r="M11" i="39"/>
  <c r="M10" i="39"/>
  <c r="Q81" i="38"/>
  <c r="Q80" i="38"/>
  <c r="Q79" i="38"/>
  <c r="Q78" i="38"/>
  <c r="Q77" i="38"/>
  <c r="Q76" i="38"/>
  <c r="Q74" i="38"/>
  <c r="Q73" i="38"/>
  <c r="Q72" i="38"/>
  <c r="Q71" i="38"/>
  <c r="Q70" i="38"/>
  <c r="Q69" i="38"/>
  <c r="Q68" i="38"/>
  <c r="Q67" i="38"/>
  <c r="Q66" i="38"/>
  <c r="Q65" i="38"/>
  <c r="Q64" i="38"/>
  <c r="Q63" i="38"/>
  <c r="Q62" i="38"/>
  <c r="Q61" i="38"/>
  <c r="Q60" i="38"/>
  <c r="Q59" i="38"/>
  <c r="Q58" i="38"/>
  <c r="Q57" i="38"/>
  <c r="Q56" i="38"/>
  <c r="Q55" i="38"/>
  <c r="Q54" i="38"/>
  <c r="Q53" i="38"/>
  <c r="Q52" i="38"/>
  <c r="Q51" i="38"/>
  <c r="Q50" i="38"/>
  <c r="Q49" i="38"/>
  <c r="Q48" i="38"/>
  <c r="Q47" i="38"/>
  <c r="Q46" i="38"/>
  <c r="Q45" i="38"/>
  <c r="Q44" i="38"/>
  <c r="Q43" i="38"/>
  <c r="Q42" i="38"/>
  <c r="Q41" i="38"/>
  <c r="Q40" i="38"/>
  <c r="Q39" i="38"/>
  <c r="Q38" i="38"/>
  <c r="Q37" i="38"/>
  <c r="Q36" i="38"/>
  <c r="Q35" i="38"/>
  <c r="Q34" i="38"/>
  <c r="Q33" i="38"/>
  <c r="Q32" i="38"/>
  <c r="Q31" i="38"/>
  <c r="Q30" i="38"/>
  <c r="Q29" i="38"/>
  <c r="Q28" i="38"/>
  <c r="Q27" i="38"/>
  <c r="Q26" i="38"/>
  <c r="Q25" i="38"/>
  <c r="Q24" i="38"/>
  <c r="Q23" i="38"/>
  <c r="Q22" i="38"/>
  <c r="Q21" i="38"/>
  <c r="Q20" i="38"/>
  <c r="Q19" i="38"/>
  <c r="Q18" i="38"/>
  <c r="Q17" i="38"/>
  <c r="Q16" i="38"/>
  <c r="Q15" i="38"/>
  <c r="Q14" i="38"/>
  <c r="Q13" i="38"/>
  <c r="Q12" i="38"/>
  <c r="Q10" i="38"/>
  <c r="Q9" i="38"/>
  <c r="M68" i="34"/>
  <c r="M67" i="34"/>
  <c r="M66" i="34"/>
  <c r="M65" i="34"/>
  <c r="M64" i="34"/>
  <c r="M63" i="34"/>
  <c r="M62" i="34"/>
  <c r="M61" i="34"/>
  <c r="M60" i="34"/>
  <c r="M59" i="34"/>
  <c r="M58" i="34"/>
  <c r="M57" i="34"/>
  <c r="M56" i="34"/>
  <c r="M55" i="34"/>
  <c r="M54" i="34"/>
  <c r="M53" i="34"/>
  <c r="M52" i="34"/>
  <c r="M51" i="34"/>
  <c r="M50" i="34"/>
  <c r="M49" i="34"/>
  <c r="M48" i="34"/>
  <c r="M47" i="34"/>
  <c r="M46" i="34"/>
  <c r="M45" i="34"/>
  <c r="M44" i="34"/>
  <c r="M43" i="34"/>
  <c r="M42" i="34"/>
  <c r="M41" i="34"/>
  <c r="M40" i="34"/>
  <c r="M39" i="34"/>
  <c r="M38" i="34"/>
  <c r="M37" i="34"/>
  <c r="M36" i="34"/>
  <c r="M35" i="34"/>
  <c r="M34" i="34"/>
  <c r="M33" i="34"/>
  <c r="M32" i="34"/>
  <c r="M31" i="34"/>
  <c r="M30" i="34"/>
  <c r="M29" i="34"/>
  <c r="M28" i="34"/>
  <c r="M27" i="34"/>
  <c r="M26" i="34"/>
  <c r="M25" i="34"/>
  <c r="M24" i="34"/>
  <c r="M23" i="34"/>
  <c r="M22" i="34"/>
  <c r="M21" i="34"/>
  <c r="M20" i="34"/>
  <c r="M19" i="34"/>
  <c r="M18" i="34"/>
  <c r="M17" i="34"/>
  <c r="M16" i="34"/>
  <c r="M15" i="34"/>
  <c r="M14" i="34"/>
  <c r="M13" i="34"/>
  <c r="M12" i="34"/>
  <c r="M11" i="34"/>
  <c r="M10" i="34"/>
  <c r="M9" i="34"/>
  <c r="M8" i="34"/>
  <c r="M494" i="37"/>
  <c r="M493" i="37"/>
  <c r="M492" i="37"/>
  <c r="M491" i="37"/>
  <c r="M490" i="37"/>
  <c r="M488" i="37"/>
  <c r="M486" i="37"/>
  <c r="M485" i="37"/>
  <c r="M484" i="37"/>
  <c r="M483" i="37"/>
  <c r="M482" i="37"/>
  <c r="M481" i="37"/>
  <c r="M480" i="37"/>
  <c r="M479" i="37"/>
  <c r="M478" i="37"/>
  <c r="M477" i="37"/>
  <c r="M476" i="37"/>
  <c r="M475" i="37"/>
  <c r="M474" i="37"/>
  <c r="M473" i="37"/>
  <c r="M472" i="37"/>
  <c r="M470" i="37"/>
  <c r="M469" i="37"/>
  <c r="M468" i="37"/>
  <c r="M467" i="37"/>
  <c r="M466" i="37"/>
  <c r="M465" i="37"/>
  <c r="M464" i="37"/>
  <c r="M463" i="37"/>
  <c r="M462" i="37"/>
  <c r="M461" i="37"/>
  <c r="M460" i="37"/>
  <c r="M459" i="37"/>
  <c r="M458" i="37"/>
  <c r="M457" i="37"/>
  <c r="M456" i="37"/>
  <c r="M455" i="37"/>
  <c r="M454" i="37"/>
  <c r="M453" i="37"/>
  <c r="M452" i="37"/>
  <c r="M450" i="37"/>
  <c r="M449" i="37"/>
  <c r="M448" i="37"/>
  <c r="M447" i="37"/>
  <c r="M446" i="37"/>
  <c r="M445" i="37"/>
  <c r="M444" i="37"/>
  <c r="M443" i="37"/>
  <c r="M442" i="37"/>
  <c r="M441" i="37"/>
  <c r="M440" i="37"/>
  <c r="M439" i="37"/>
  <c r="M438" i="37"/>
  <c r="M437" i="37"/>
  <c r="M435" i="37"/>
  <c r="M434" i="37"/>
  <c r="M433" i="37"/>
  <c r="M432" i="37"/>
  <c r="M431" i="37"/>
  <c r="M430" i="37"/>
  <c r="M429" i="37"/>
  <c r="M428" i="37"/>
  <c r="M427" i="37"/>
  <c r="M426" i="37"/>
  <c r="M425" i="37"/>
  <c r="M424" i="37"/>
  <c r="M423" i="37"/>
  <c r="M422" i="37"/>
  <c r="M421" i="37"/>
  <c r="M420" i="37"/>
  <c r="M419" i="37"/>
  <c r="M418" i="37"/>
  <c r="M417" i="37"/>
  <c r="M415" i="37"/>
  <c r="M414" i="37"/>
  <c r="M413" i="37"/>
  <c r="M412" i="37"/>
  <c r="M411" i="37"/>
  <c r="M410" i="37"/>
  <c r="M409" i="37"/>
  <c r="M408" i="37"/>
  <c r="M407" i="37"/>
  <c r="M406" i="37"/>
  <c r="M405" i="37"/>
  <c r="M404" i="37"/>
  <c r="M403" i="37"/>
  <c r="M402" i="37"/>
  <c r="M401" i="37"/>
  <c r="M400" i="37"/>
  <c r="M399" i="37"/>
  <c r="M398" i="37"/>
  <c r="M397" i="37"/>
  <c r="M396" i="37"/>
  <c r="M395" i="37"/>
  <c r="M394" i="37"/>
  <c r="M393" i="37"/>
  <c r="M392" i="37"/>
  <c r="M391" i="37"/>
  <c r="M390" i="37"/>
  <c r="M389" i="37"/>
  <c r="M388" i="37"/>
  <c r="M387" i="37"/>
  <c r="M386" i="37"/>
  <c r="M385" i="37"/>
  <c r="M384" i="37"/>
  <c r="M383" i="37"/>
  <c r="M382" i="37"/>
  <c r="M381" i="37"/>
  <c r="M380" i="37"/>
  <c r="M379" i="37"/>
  <c r="M378" i="37"/>
  <c r="M376" i="37"/>
  <c r="M375" i="37"/>
  <c r="M374" i="37"/>
  <c r="M373" i="37"/>
  <c r="M372" i="37"/>
  <c r="M371" i="37"/>
  <c r="M370" i="37"/>
  <c r="M369" i="37"/>
  <c r="M368" i="37"/>
  <c r="M367" i="37"/>
  <c r="M366" i="37"/>
  <c r="M365" i="37"/>
  <c r="M364" i="37"/>
  <c r="M363" i="37"/>
  <c r="M362" i="37"/>
  <c r="M361" i="37"/>
  <c r="M360" i="37"/>
  <c r="M359" i="37"/>
  <c r="M358" i="37"/>
  <c r="M357" i="37"/>
  <c r="M356" i="37"/>
  <c r="M355" i="37"/>
  <c r="M354" i="37"/>
  <c r="M353" i="37"/>
  <c r="M352" i="37"/>
  <c r="M351" i="37"/>
  <c r="M350" i="37"/>
  <c r="M349" i="37"/>
  <c r="M348" i="37"/>
  <c r="M347" i="37"/>
  <c r="M346" i="37"/>
  <c r="M345" i="37"/>
  <c r="M344" i="37"/>
  <c r="M343" i="37"/>
  <c r="M342" i="37"/>
  <c r="M341" i="37"/>
  <c r="M340" i="37"/>
  <c r="M338" i="37"/>
  <c r="M337" i="37"/>
  <c r="M336" i="37"/>
  <c r="M335" i="37"/>
  <c r="M334" i="37"/>
  <c r="M333" i="37"/>
  <c r="M332" i="37"/>
  <c r="M331" i="37"/>
  <c r="M330" i="37"/>
  <c r="M329" i="37"/>
  <c r="M328" i="37"/>
  <c r="M327" i="37"/>
  <c r="M326" i="37"/>
  <c r="M325" i="37"/>
  <c r="M324" i="37"/>
  <c r="M323" i="37"/>
  <c r="M322" i="37"/>
  <c r="M320" i="37"/>
  <c r="M319" i="37"/>
  <c r="M318" i="37"/>
  <c r="M317" i="37"/>
  <c r="M316" i="37"/>
  <c r="M315" i="37"/>
  <c r="M314" i="37"/>
  <c r="M313" i="37"/>
  <c r="M312" i="37"/>
  <c r="M311" i="37"/>
  <c r="M310" i="37"/>
  <c r="M309" i="37"/>
  <c r="M308" i="37"/>
  <c r="M307" i="37"/>
  <c r="M306" i="37"/>
  <c r="M305" i="37"/>
  <c r="M304" i="37"/>
  <c r="M303" i="37"/>
  <c r="M302" i="37"/>
  <c r="M301" i="37"/>
  <c r="M300" i="37"/>
  <c r="M299" i="37"/>
  <c r="M298" i="37"/>
  <c r="M297" i="37"/>
  <c r="M296" i="37"/>
  <c r="M295" i="37"/>
  <c r="M294" i="37"/>
  <c r="M293" i="37"/>
  <c r="M292" i="37"/>
  <c r="M291" i="37"/>
  <c r="M290" i="37"/>
  <c r="M289" i="37"/>
  <c r="M288" i="37"/>
  <c r="M287" i="37"/>
  <c r="M286" i="37"/>
  <c r="M285" i="37"/>
  <c r="M284" i="37"/>
  <c r="M283" i="37"/>
  <c r="M282" i="37"/>
  <c r="M281" i="37"/>
  <c r="M280" i="37"/>
  <c r="M279" i="37"/>
  <c r="M278" i="37"/>
  <c r="M277" i="37"/>
  <c r="M276" i="37"/>
  <c r="M275" i="37"/>
  <c r="M274" i="37"/>
  <c r="M273" i="37"/>
  <c r="M272" i="37"/>
  <c r="M271" i="37"/>
  <c r="M270" i="37"/>
  <c r="M269" i="37"/>
  <c r="M268" i="37"/>
  <c r="M267" i="37"/>
  <c r="M266" i="37"/>
  <c r="M265" i="37"/>
  <c r="M264" i="37"/>
  <c r="M263" i="37"/>
  <c r="M262" i="37"/>
  <c r="M261" i="37"/>
  <c r="M260" i="37"/>
  <c r="M259" i="37"/>
  <c r="M258" i="37"/>
  <c r="M256" i="37"/>
  <c r="M255" i="37"/>
  <c r="M254" i="37"/>
  <c r="M253" i="37"/>
  <c r="M252" i="37"/>
  <c r="M251" i="37"/>
  <c r="M250" i="37"/>
  <c r="M249" i="37"/>
  <c r="M248" i="37"/>
  <c r="M247" i="37"/>
  <c r="M246" i="37"/>
  <c r="M245" i="37"/>
  <c r="M244" i="37"/>
  <c r="M243" i="37"/>
  <c r="M242" i="37"/>
  <c r="M241" i="37"/>
  <c r="M240" i="37"/>
  <c r="M239" i="37"/>
  <c r="M238" i="37"/>
  <c r="M237" i="37"/>
  <c r="M236" i="37"/>
  <c r="M235" i="37"/>
  <c r="M234" i="37"/>
  <c r="M233" i="37"/>
  <c r="M232" i="37"/>
  <c r="M231" i="37"/>
  <c r="M230" i="37"/>
  <c r="M229" i="37"/>
  <c r="M228" i="37"/>
  <c r="M227" i="37"/>
  <c r="M226" i="37"/>
  <c r="M225" i="37"/>
  <c r="M224" i="37"/>
  <c r="M223" i="37"/>
  <c r="M222" i="37"/>
  <c r="M221" i="37"/>
  <c r="M220" i="37"/>
  <c r="M219" i="37"/>
  <c r="M218" i="37"/>
  <c r="M217" i="37"/>
  <c r="M215" i="37"/>
  <c r="M214" i="37"/>
  <c r="M213" i="37"/>
  <c r="M212" i="37"/>
  <c r="M211" i="37"/>
  <c r="M210" i="37"/>
  <c r="M209" i="37"/>
  <c r="M208" i="37"/>
  <c r="M207" i="37"/>
  <c r="M206" i="37"/>
  <c r="M205" i="37"/>
  <c r="M204" i="37"/>
  <c r="M203" i="37"/>
  <c r="M202" i="37"/>
  <c r="M201" i="37"/>
  <c r="M200" i="37"/>
  <c r="M199" i="37"/>
  <c r="M198" i="37"/>
  <c r="M197" i="37"/>
  <c r="M196" i="37"/>
  <c r="M195" i="37"/>
  <c r="M194" i="37"/>
  <c r="M193" i="37"/>
  <c r="M192" i="37"/>
  <c r="M191" i="37"/>
  <c r="M190" i="37"/>
  <c r="M189" i="37"/>
  <c r="M188" i="37"/>
  <c r="M187" i="37"/>
  <c r="M186" i="37"/>
  <c r="M185" i="37"/>
  <c r="M184" i="37"/>
  <c r="M183" i="37"/>
  <c r="M182" i="37"/>
  <c r="M181" i="37"/>
  <c r="M180" i="37"/>
  <c r="M179" i="37"/>
  <c r="M178" i="37"/>
  <c r="M177" i="37"/>
  <c r="M176" i="37"/>
  <c r="M175" i="37"/>
  <c r="M174" i="37"/>
  <c r="M173" i="37"/>
  <c r="M172" i="37"/>
  <c r="M171" i="37"/>
  <c r="M170" i="37"/>
  <c r="M169" i="37"/>
  <c r="M168" i="37"/>
  <c r="M167" i="37"/>
  <c r="M166" i="37"/>
  <c r="M165" i="37"/>
  <c r="M164" i="37"/>
  <c r="M163" i="37"/>
  <c r="M162" i="37"/>
  <c r="M161" i="37"/>
  <c r="M160" i="37"/>
  <c r="M159" i="37"/>
  <c r="M158" i="37"/>
  <c r="M157" i="37"/>
  <c r="M156" i="37"/>
  <c r="M155" i="37"/>
  <c r="M154" i="37"/>
  <c r="M153" i="37"/>
  <c r="M152" i="37"/>
  <c r="M151" i="37"/>
  <c r="M150" i="37"/>
  <c r="M149" i="37"/>
  <c r="M148" i="37"/>
  <c r="M147" i="37"/>
  <c r="M146" i="37"/>
  <c r="M145" i="37"/>
  <c r="M144" i="37"/>
  <c r="M143" i="37"/>
  <c r="M142" i="37"/>
  <c r="M141" i="37"/>
  <c r="M140" i="37"/>
  <c r="M139" i="37"/>
  <c r="M138" i="37"/>
  <c r="M137" i="37"/>
  <c r="M136" i="37"/>
  <c r="M135" i="37"/>
  <c r="M134" i="37"/>
  <c r="M133" i="37"/>
  <c r="M132" i="37"/>
  <c r="M131" i="37"/>
  <c r="M130" i="37"/>
  <c r="M129" i="37"/>
  <c r="M128" i="37"/>
  <c r="M127" i="37"/>
  <c r="M126" i="37"/>
  <c r="M125" i="37"/>
  <c r="M124" i="37"/>
  <c r="M123" i="37"/>
  <c r="M122" i="37"/>
  <c r="M121" i="37"/>
  <c r="M120" i="37"/>
  <c r="M119" i="37"/>
  <c r="M118" i="37"/>
  <c r="M117" i="37"/>
  <c r="M116" i="37"/>
  <c r="M115" i="37"/>
  <c r="M114" i="37"/>
  <c r="M113" i="37"/>
  <c r="M112" i="37"/>
  <c r="M111" i="37"/>
  <c r="M110" i="37"/>
  <c r="M109" i="37"/>
  <c r="M108" i="37"/>
  <c r="M107" i="37"/>
  <c r="M106" i="37"/>
  <c r="M105" i="37"/>
  <c r="M104" i="37"/>
  <c r="M103" i="37"/>
  <c r="M102" i="37"/>
  <c r="M101" i="37"/>
  <c r="M100" i="37"/>
  <c r="M99" i="37"/>
  <c r="M98" i="37"/>
  <c r="M97" i="37"/>
  <c r="M96" i="37"/>
  <c r="M95" i="37"/>
  <c r="M94" i="37"/>
  <c r="M93" i="37"/>
  <c r="M92" i="37"/>
  <c r="M91" i="37"/>
  <c r="M90" i="37"/>
  <c r="M88" i="37"/>
  <c r="M87" i="37"/>
  <c r="M86" i="37"/>
  <c r="M85" i="37"/>
  <c r="M84" i="37"/>
  <c r="M83" i="37"/>
  <c r="M82" i="37"/>
  <c r="M81" i="37"/>
  <c r="M80" i="37"/>
  <c r="M79" i="37"/>
  <c r="M78" i="37"/>
  <c r="M77" i="37"/>
  <c r="M76" i="37"/>
  <c r="M75" i="37"/>
  <c r="M74" i="37"/>
  <c r="M73" i="37"/>
  <c r="M72" i="37"/>
  <c r="M71" i="37"/>
  <c r="M70" i="37"/>
  <c r="M69" i="37"/>
  <c r="M68" i="37"/>
  <c r="M67" i="37"/>
  <c r="M66" i="37"/>
  <c r="M65" i="37"/>
  <c r="M64" i="37"/>
  <c r="M63" i="37"/>
  <c r="M62" i="37"/>
  <c r="M61" i="37"/>
  <c r="M60" i="37"/>
  <c r="M59" i="37"/>
  <c r="M58" i="37"/>
  <c r="M57" i="37"/>
  <c r="M56" i="37"/>
  <c r="M55" i="37"/>
  <c r="M54" i="37"/>
  <c r="M53" i="37"/>
  <c r="M52" i="37"/>
  <c r="M51" i="37"/>
  <c r="M50" i="37"/>
  <c r="M49" i="37"/>
  <c r="M48" i="37"/>
  <c r="M47" i="37"/>
  <c r="M46" i="37"/>
  <c r="M45" i="37"/>
  <c r="M44" i="37"/>
  <c r="M43" i="37"/>
  <c r="M42" i="37"/>
  <c r="M41" i="37"/>
  <c r="M40" i="37"/>
  <c r="M39" i="37"/>
  <c r="M38" i="37"/>
  <c r="M37" i="37"/>
  <c r="M36" i="37"/>
  <c r="M35" i="37"/>
  <c r="M34" i="37"/>
  <c r="M33" i="37"/>
  <c r="M32" i="37"/>
  <c r="M31" i="37"/>
  <c r="M30" i="37"/>
  <c r="M29" i="37"/>
  <c r="M28" i="37"/>
  <c r="M27" i="37"/>
  <c r="M26" i="37"/>
  <c r="M25" i="37"/>
  <c r="M24" i="37"/>
  <c r="M23" i="37"/>
  <c r="M22" i="37"/>
  <c r="M21" i="37"/>
  <c r="M20" i="37"/>
  <c r="M19" i="37"/>
  <c r="M18" i="37"/>
  <c r="M17" i="37"/>
  <c r="M16" i="37"/>
  <c r="M15" i="37"/>
  <c r="M14" i="37"/>
  <c r="M13" i="37"/>
  <c r="M12" i="37"/>
  <c r="M11" i="37"/>
  <c r="M10" i="37"/>
  <c r="M9" i="39" l="1"/>
  <c r="M9" i="37"/>
  <c r="M9" i="40"/>
  <c r="O121" i="29"/>
  <c r="O112" i="29"/>
  <c r="O108" i="29"/>
  <c r="O100" i="29"/>
  <c r="O95" i="29"/>
  <c r="O71" i="29"/>
  <c r="O61" i="29"/>
  <c r="O60" i="29"/>
  <c r="O59" i="29"/>
  <c r="O48" i="29"/>
  <c r="O27" i="29"/>
  <c r="O20" i="29"/>
  <c r="M11" i="33"/>
  <c r="M10" i="33"/>
  <c r="M9" i="33"/>
  <c r="M184" i="32"/>
  <c r="M183" i="32"/>
  <c r="M182" i="32"/>
  <c r="M181" i="32"/>
  <c r="M180" i="32"/>
  <c r="M179" i="32"/>
  <c r="M177" i="32"/>
  <c r="M176" i="32"/>
  <c r="M175" i="32"/>
  <c r="M174" i="32"/>
  <c r="M173" i="32"/>
  <c r="M172" i="32"/>
  <c r="M171" i="32"/>
  <c r="M170" i="32"/>
  <c r="M168" i="32"/>
  <c r="M167" i="32"/>
  <c r="M166" i="32"/>
  <c r="M165" i="32"/>
  <c r="M164" i="32"/>
  <c r="M163" i="32"/>
  <c r="M161" i="32"/>
  <c r="M160" i="32"/>
  <c r="M159" i="32"/>
  <c r="M158" i="32"/>
  <c r="M157" i="32"/>
  <c r="M156" i="32"/>
  <c r="M154" i="32"/>
  <c r="M153" i="32"/>
  <c r="M152" i="32"/>
  <c r="M151" i="32"/>
  <c r="M150" i="32"/>
  <c r="M149" i="32"/>
  <c r="M147" i="32"/>
  <c r="M146" i="32"/>
  <c r="M145" i="32"/>
  <c r="M144" i="32"/>
  <c r="M143" i="32"/>
  <c r="M142" i="32"/>
  <c r="M141" i="32"/>
  <c r="M140" i="32"/>
  <c r="M139" i="32"/>
  <c r="M138" i="32"/>
  <c r="M137" i="32"/>
  <c r="M136" i="32"/>
  <c r="M135" i="32"/>
  <c r="M134" i="32"/>
  <c r="M133" i="32"/>
  <c r="M131" i="32"/>
  <c r="M130" i="32"/>
  <c r="M128" i="32"/>
  <c r="M126" i="32"/>
  <c r="M125" i="32"/>
  <c r="M124" i="32"/>
  <c r="M123" i="32"/>
  <c r="M122" i="32"/>
  <c r="M121" i="32"/>
  <c r="M120" i="32"/>
  <c r="M119" i="32"/>
  <c r="M117" i="32"/>
  <c r="M116" i="32"/>
  <c r="M115" i="32"/>
  <c r="M114" i="32"/>
  <c r="M113" i="32"/>
  <c r="M112" i="32"/>
  <c r="M110" i="32"/>
  <c r="M108" i="32"/>
  <c r="M107" i="32"/>
  <c r="M106" i="32"/>
  <c r="M104" i="32"/>
  <c r="M103" i="32"/>
  <c r="M102" i="32"/>
  <c r="M100" i="32"/>
  <c r="M99" i="32"/>
  <c r="M98" i="32"/>
  <c r="M97" i="32"/>
  <c r="M95" i="32"/>
  <c r="M94" i="32"/>
  <c r="M93" i="32"/>
  <c r="M92" i="32"/>
  <c r="M91" i="32"/>
  <c r="M90" i="32"/>
  <c r="M89" i="32"/>
  <c r="M88" i="32"/>
  <c r="M87" i="32"/>
  <c r="M86" i="32"/>
  <c r="M84" i="32"/>
  <c r="M83" i="32"/>
  <c r="M82" i="32"/>
  <c r="M81" i="32"/>
  <c r="M80" i="32"/>
  <c r="M79" i="32"/>
  <c r="M77" i="32"/>
  <c r="M76" i="32"/>
  <c r="M75" i="32"/>
  <c r="M74" i="32"/>
  <c r="M73" i="32"/>
  <c r="M72" i="32"/>
  <c r="M70" i="32"/>
  <c r="M69" i="32"/>
  <c r="M67" i="32"/>
  <c r="M65" i="32"/>
  <c r="M64" i="32"/>
  <c r="M63" i="32"/>
  <c r="M62" i="32"/>
  <c r="M61" i="32"/>
  <c r="M60" i="32"/>
  <c r="M58" i="32"/>
  <c r="M57" i="32"/>
  <c r="M56" i="32"/>
  <c r="M55" i="32"/>
  <c r="M53" i="32"/>
  <c r="M51" i="32"/>
  <c r="M50" i="32"/>
  <c r="M49" i="32"/>
  <c r="M48" i="32"/>
  <c r="M47" i="32"/>
  <c r="M46" i="32"/>
  <c r="M45" i="32"/>
  <c r="M44" i="32"/>
  <c r="M43" i="32"/>
  <c r="M42" i="32"/>
  <c r="M41" i="32"/>
  <c r="M40" i="32"/>
  <c r="M38" i="32"/>
  <c r="M37" i="32"/>
  <c r="M36" i="32"/>
  <c r="M35" i="32"/>
  <c r="M34" i="32"/>
  <c r="M32" i="32"/>
  <c r="M31" i="32"/>
  <c r="M29" i="32"/>
  <c r="M28" i="32"/>
  <c r="M27" i="32"/>
  <c r="M25" i="32"/>
  <c r="M23" i="32"/>
  <c r="M22" i="32"/>
  <c r="M21" i="32"/>
  <c r="M20" i="32"/>
  <c r="M19" i="32"/>
  <c r="M18" i="32"/>
  <c r="M17" i="32"/>
  <c r="M16" i="32"/>
  <c r="M14" i="32"/>
  <c r="M13" i="32"/>
  <c r="M12" i="32"/>
  <c r="M11" i="32"/>
  <c r="M10" i="32"/>
  <c r="Q9" i="28"/>
  <c r="Q82" i="28" l="1"/>
  <c r="Q83" i="28"/>
  <c r="Q84" i="28"/>
  <c r="Q85" i="28"/>
  <c r="Q91" i="28"/>
  <c r="Q89" i="28"/>
  <c r="Q90" i="28"/>
  <c r="Q79" i="28"/>
  <c r="Q80" i="28"/>
  <c r="Q18" i="28"/>
  <c r="Q19" i="28"/>
  <c r="Q10" i="28"/>
  <c r="Q20" i="28"/>
  <c r="Q11" i="28"/>
  <c r="Q21" i="28"/>
  <c r="Q12" i="28"/>
  <c r="Q22" i="28"/>
  <c r="Q13" i="28"/>
  <c r="Q23" i="28"/>
  <c r="Q14" i="28"/>
  <c r="Q24" i="28"/>
  <c r="Q15" i="28"/>
  <c r="Q25" i="28"/>
  <c r="Q16" i="28"/>
  <c r="Q26" i="28"/>
  <c r="Q17" i="28"/>
  <c r="Q69" i="28"/>
  <c r="Q70" i="28"/>
  <c r="Q60" i="28"/>
  <c r="Q61" i="28"/>
  <c r="Q64" i="28"/>
  <c r="Q50" i="28"/>
  <c r="Q51" i="28"/>
  <c r="Q52" i="28"/>
  <c r="Q53" i="28"/>
  <c r="Q54" i="28"/>
  <c r="Q55" i="28"/>
  <c r="Q56" i="28"/>
  <c r="Q37" i="28"/>
  <c r="Q38" i="28"/>
  <c r="Q39" i="28"/>
  <c r="Q28" i="28"/>
  <c r="Q40" i="28"/>
  <c r="Q31" i="28"/>
  <c r="Q41" i="28"/>
  <c r="Q32" i="28"/>
  <c r="Q42" i="28"/>
  <c r="Q33" i="28"/>
  <c r="Q43" i="28"/>
  <c r="Q34" i="28"/>
  <c r="Q44" i="28"/>
  <c r="Q35" i="28"/>
  <c r="Q45" i="28"/>
  <c r="Q36" i="28"/>
  <c r="Q72" i="28"/>
  <c r="Q86" i="28"/>
  <c r="Q87" i="28"/>
  <c r="A317" i="8" l="1"/>
  <c r="A8" i="42" l="1"/>
  <c r="A112" i="42" l="1"/>
  <c r="A14" i="9" l="1"/>
  <c r="A117" i="42"/>
  <c r="A424" i="9" l="1"/>
  <c r="M86" i="21"/>
  <c r="M87" i="21"/>
  <c r="M88" i="21"/>
  <c r="M89" i="21"/>
  <c r="M90" i="21"/>
  <c r="M91" i="21"/>
  <c r="M93" i="21"/>
  <c r="M94" i="21"/>
  <c r="M95" i="21"/>
  <c r="M96" i="21"/>
  <c r="M97" i="21"/>
  <c r="M98" i="21"/>
  <c r="M100" i="21"/>
  <c r="M101" i="21"/>
  <c r="M103" i="21"/>
  <c r="M104" i="21"/>
  <c r="M39" i="21"/>
  <c r="M40" i="21"/>
  <c r="M41" i="21"/>
  <c r="M42" i="21"/>
  <c r="M44" i="21"/>
  <c r="M45" i="21"/>
  <c r="M46" i="21"/>
  <c r="M47" i="21"/>
  <c r="M48" i="21"/>
  <c r="M56" i="21"/>
  <c r="M57" i="21"/>
  <c r="M58" i="21"/>
  <c r="M59" i="21"/>
  <c r="M60" i="21"/>
  <c r="M61" i="21"/>
  <c r="M66" i="21"/>
  <c r="M67" i="21"/>
  <c r="M68" i="21"/>
  <c r="M69" i="21"/>
  <c r="M70" i="21"/>
  <c r="M71" i="21"/>
  <c r="M73" i="21"/>
  <c r="M74" i="21"/>
  <c r="M75" i="21"/>
  <c r="M77" i="21"/>
  <c r="M78" i="21"/>
  <c r="M79" i="21"/>
  <c r="M80" i="21"/>
  <c r="M81" i="21"/>
  <c r="M82" i="21"/>
  <c r="M83" i="21"/>
  <c r="M43" i="21"/>
  <c r="M76" i="21"/>
  <c r="M84" i="21"/>
  <c r="A13" i="47" l="1"/>
  <c r="A22" i="47" s="1"/>
  <c r="A8" i="52"/>
  <c r="A425" i="9"/>
  <c r="M424" i="9"/>
  <c r="M423" i="9"/>
  <c r="M422" i="9"/>
  <c r="M421" i="9"/>
  <c r="A10" i="51" l="1"/>
  <c r="A12" i="52"/>
  <c r="M215" i="8"/>
  <c r="A146" i="24" l="1"/>
  <c r="A249" i="24" s="1"/>
  <c r="M27" i="11"/>
  <c r="M9" i="25"/>
  <c r="M10" i="25"/>
  <c r="M11" i="25"/>
  <c r="M12" i="25"/>
  <c r="M13" i="25"/>
  <c r="M14" i="25"/>
  <c r="M15" i="25"/>
  <c r="M16" i="25"/>
  <c r="M12" i="24"/>
  <c r="M13" i="24"/>
  <c r="M14" i="24"/>
  <c r="M15" i="24"/>
  <c r="M16" i="24"/>
  <c r="M17" i="24"/>
  <c r="M18" i="24"/>
  <c r="M19" i="24"/>
  <c r="M20" i="24"/>
  <c r="M21" i="24"/>
  <c r="M22" i="24"/>
  <c r="M23" i="24"/>
  <c r="M24" i="24"/>
  <c r="M25" i="24"/>
  <c r="M26" i="24"/>
  <c r="M27" i="24"/>
  <c r="M28" i="24"/>
  <c r="M29" i="24"/>
  <c r="M30" i="24"/>
  <c r="M31" i="24"/>
  <c r="M32" i="24"/>
  <c r="M33" i="24"/>
  <c r="M34" i="24"/>
  <c r="M35" i="24"/>
  <c r="M36" i="24"/>
  <c r="M37" i="24"/>
  <c r="M38" i="24"/>
  <c r="M39" i="24"/>
  <c r="M40" i="24"/>
  <c r="M41" i="24"/>
  <c r="M42" i="24"/>
  <c r="M43" i="24"/>
  <c r="M44" i="24"/>
  <c r="M45" i="24"/>
  <c r="M46" i="24"/>
  <c r="M47" i="24"/>
  <c r="M48" i="24"/>
  <c r="M49" i="24"/>
  <c r="M50" i="24"/>
  <c r="M51" i="24"/>
  <c r="M52" i="24"/>
  <c r="M53" i="24"/>
  <c r="M54" i="24"/>
  <c r="M55" i="24"/>
  <c r="M56" i="24"/>
  <c r="M57" i="24"/>
  <c r="M58" i="24"/>
  <c r="M59" i="24"/>
  <c r="M60" i="24"/>
  <c r="M61" i="24"/>
  <c r="M62" i="24"/>
  <c r="M63" i="24"/>
  <c r="M64" i="24"/>
  <c r="M65" i="24"/>
  <c r="M66" i="24"/>
  <c r="M67" i="24"/>
  <c r="M68" i="24"/>
  <c r="M69" i="24"/>
  <c r="M70" i="24"/>
  <c r="M71" i="24"/>
  <c r="M72" i="24"/>
  <c r="M73" i="24"/>
  <c r="M74" i="24"/>
  <c r="M75" i="24"/>
  <c r="M76" i="24"/>
  <c r="M77" i="24"/>
  <c r="M78" i="24"/>
  <c r="M79" i="24"/>
  <c r="M80" i="24"/>
  <c r="M81" i="24"/>
  <c r="M82" i="24"/>
  <c r="M83" i="24"/>
  <c r="M84" i="24"/>
  <c r="M85" i="24"/>
  <c r="M86" i="24"/>
  <c r="M87" i="24"/>
  <c r="M88" i="24"/>
  <c r="M89" i="24"/>
  <c r="M90" i="24"/>
  <c r="M91" i="24"/>
  <c r="M92" i="24"/>
  <c r="M93" i="24"/>
  <c r="M94" i="24"/>
  <c r="M95" i="24"/>
  <c r="M96" i="24"/>
  <c r="M97" i="24"/>
  <c r="M98" i="24"/>
  <c r="M99" i="24"/>
  <c r="M100" i="24"/>
  <c r="M101" i="24"/>
  <c r="M102" i="24"/>
  <c r="M103" i="24"/>
  <c r="M104" i="24"/>
  <c r="M105" i="24"/>
  <c r="M106" i="24"/>
  <c r="M107" i="24"/>
  <c r="M108" i="24"/>
  <c r="M109" i="24"/>
  <c r="M110" i="24"/>
  <c r="M111" i="24"/>
  <c r="M112" i="24"/>
  <c r="M113" i="24"/>
  <c r="M114" i="24"/>
  <c r="M115" i="24"/>
  <c r="M116" i="24"/>
  <c r="M117" i="24"/>
  <c r="M118" i="24"/>
  <c r="M119" i="24"/>
  <c r="M120" i="24"/>
  <c r="M121" i="24"/>
  <c r="M122" i="24"/>
  <c r="M123" i="24"/>
  <c r="M124" i="24"/>
  <c r="M125" i="24"/>
  <c r="M126" i="24"/>
  <c r="M127" i="24"/>
  <c r="M128" i="24"/>
  <c r="M129" i="24"/>
  <c r="M130" i="24"/>
  <c r="M131" i="24"/>
  <c r="M132" i="24"/>
  <c r="M133" i="24"/>
  <c r="M134" i="24"/>
  <c r="M135" i="24"/>
  <c r="M136" i="24"/>
  <c r="M137" i="24"/>
  <c r="M138" i="24"/>
  <c r="M139" i="24"/>
  <c r="M140" i="24"/>
  <c r="M141" i="24"/>
  <c r="M142" i="24"/>
  <c r="M143" i="24"/>
  <c r="M144" i="24"/>
  <c r="M145" i="24"/>
  <c r="M146" i="24"/>
  <c r="M147" i="24"/>
  <c r="M148" i="24"/>
  <c r="M149" i="24"/>
  <c r="M150" i="24"/>
  <c r="M151" i="24"/>
  <c r="M152" i="24"/>
  <c r="M153" i="24"/>
  <c r="M154" i="24"/>
  <c r="M155" i="24"/>
  <c r="M156" i="24"/>
  <c r="M157" i="24"/>
  <c r="M158" i="24"/>
  <c r="M159" i="24"/>
  <c r="M160" i="24"/>
  <c r="M161" i="24"/>
  <c r="M162" i="24"/>
  <c r="M163" i="24"/>
  <c r="M164" i="24"/>
  <c r="M165" i="24"/>
  <c r="M166" i="24"/>
  <c r="M167" i="24"/>
  <c r="M168" i="24"/>
  <c r="M169" i="24"/>
  <c r="M170" i="24"/>
  <c r="M171" i="24"/>
  <c r="M172" i="24"/>
  <c r="M173" i="24"/>
  <c r="M174" i="24"/>
  <c r="M175" i="24"/>
  <c r="M176" i="24"/>
  <c r="M177" i="24"/>
  <c r="M178" i="24"/>
  <c r="M179" i="24"/>
  <c r="M180" i="24"/>
  <c r="M181" i="24"/>
  <c r="M182" i="24"/>
  <c r="M183" i="24"/>
  <c r="M184" i="24"/>
  <c r="M185" i="24"/>
  <c r="M186" i="24"/>
  <c r="M187" i="24"/>
  <c r="M188" i="24"/>
  <c r="M189" i="24"/>
  <c r="M190" i="24"/>
  <c r="M191" i="24"/>
  <c r="M192" i="24"/>
  <c r="M193" i="24"/>
  <c r="M194" i="24"/>
  <c r="M195" i="24"/>
  <c r="M196" i="24"/>
  <c r="M197" i="24"/>
  <c r="M198" i="24"/>
  <c r="M199" i="24"/>
  <c r="M200" i="24"/>
  <c r="M201" i="24"/>
  <c r="M202" i="24"/>
  <c r="M203" i="24"/>
  <c r="M204" i="24"/>
  <c r="M205" i="24"/>
  <c r="M206" i="24"/>
  <c r="M207" i="24"/>
  <c r="M208" i="24"/>
  <c r="M209" i="24"/>
  <c r="M210" i="24"/>
  <c r="M211" i="24"/>
  <c r="M212" i="24"/>
  <c r="M213" i="24"/>
  <c r="M214" i="24"/>
  <c r="M215" i="24"/>
  <c r="M216" i="24"/>
  <c r="M217" i="24"/>
  <c r="M218" i="24"/>
  <c r="M219" i="24"/>
  <c r="M220" i="24"/>
  <c r="M221" i="24"/>
  <c r="M222" i="24"/>
  <c r="M223" i="24"/>
  <c r="M224" i="24"/>
  <c r="M225" i="24"/>
  <c r="M226" i="24"/>
  <c r="M227" i="24"/>
  <c r="M228" i="24"/>
  <c r="M229" i="24"/>
  <c r="M230" i="24"/>
  <c r="M231" i="24"/>
  <c r="M232" i="24"/>
  <c r="M233" i="24"/>
  <c r="M234" i="24"/>
  <c r="M235" i="24"/>
  <c r="M236" i="24"/>
  <c r="M237" i="24"/>
  <c r="M238" i="24"/>
  <c r="M239" i="24"/>
  <c r="M240" i="24"/>
  <c r="M241" i="24"/>
  <c r="M242" i="24"/>
  <c r="M243" i="24"/>
  <c r="M244" i="24"/>
  <c r="M245" i="24"/>
  <c r="M246" i="24"/>
  <c r="M247" i="24"/>
  <c r="M248" i="24"/>
  <c r="M249" i="24"/>
  <c r="M88" i="12"/>
  <c r="M89" i="12"/>
  <c r="M91" i="12"/>
  <c r="M92" i="12"/>
  <c r="M93" i="12"/>
  <c r="M94" i="12"/>
  <c r="M95" i="12"/>
  <c r="M96" i="12"/>
  <c r="M97" i="12"/>
  <c r="M90" i="12"/>
  <c r="M98" i="12"/>
  <c r="M99" i="12"/>
  <c r="M100" i="12"/>
  <c r="M101" i="12"/>
  <c r="M102" i="12"/>
  <c r="M103" i="12"/>
  <c r="M109" i="12"/>
  <c r="M110" i="12"/>
  <c r="M108" i="12"/>
  <c r="M34" i="12"/>
  <c r="M35" i="12"/>
  <c r="M41" i="12"/>
  <c r="M42" i="12"/>
  <c r="M43" i="12"/>
  <c r="M44" i="12"/>
  <c r="M36" i="12"/>
  <c r="M37" i="12"/>
  <c r="M38" i="12"/>
  <c r="M31" i="12"/>
  <c r="M32" i="12"/>
  <c r="M33" i="12"/>
  <c r="M39" i="12"/>
  <c r="M40" i="12"/>
  <c r="M122" i="12"/>
  <c r="M123" i="12"/>
  <c r="M124" i="12"/>
  <c r="M125" i="12"/>
  <c r="M126" i="12"/>
  <c r="M127" i="12"/>
  <c r="M128" i="12"/>
  <c r="M129" i="12"/>
  <c r="M130" i="12"/>
  <c r="M131" i="12"/>
  <c r="M132" i="12"/>
  <c r="M15" i="12"/>
  <c r="M16" i="12"/>
  <c r="M17" i="12"/>
  <c r="M14" i="12"/>
  <c r="M76" i="12"/>
  <c r="M77" i="12"/>
  <c r="M78" i="12"/>
  <c r="M79" i="12"/>
  <c r="M80" i="12"/>
  <c r="M81" i="12"/>
  <c r="M82" i="12"/>
  <c r="M69" i="12"/>
  <c r="M70" i="12"/>
  <c r="M71" i="12"/>
  <c r="M72" i="12"/>
  <c r="M73" i="12"/>
  <c r="M74" i="12"/>
  <c r="M75" i="12"/>
  <c r="M63" i="12"/>
  <c r="M64" i="12"/>
  <c r="M65" i="12"/>
  <c r="M66" i="12"/>
  <c r="M67" i="12"/>
  <c r="M68" i="12"/>
  <c r="M56" i="12"/>
  <c r="M57" i="12"/>
  <c r="M58" i="12"/>
  <c r="M59" i="12"/>
  <c r="M60" i="12"/>
  <c r="M61" i="12"/>
  <c r="M62" i="12"/>
  <c r="M9" i="12"/>
  <c r="M10" i="12"/>
  <c r="M11" i="12"/>
  <c r="M12" i="12"/>
  <c r="M111" i="12"/>
  <c r="M112" i="12"/>
  <c r="M113" i="12"/>
  <c r="M114" i="12"/>
  <c r="M115" i="12"/>
  <c r="M116" i="12"/>
  <c r="M19" i="12"/>
  <c r="M20" i="12"/>
  <c r="M21" i="12"/>
  <c r="M22" i="12"/>
  <c r="M51" i="12"/>
  <c r="M52" i="12"/>
  <c r="M54" i="12"/>
  <c r="M23" i="12"/>
  <c r="M24" i="12"/>
  <c r="M25" i="12"/>
  <c r="M26" i="12"/>
  <c r="M27" i="12"/>
  <c r="M28" i="12"/>
  <c r="M29" i="12"/>
  <c r="M118" i="12"/>
  <c r="M119" i="12"/>
  <c r="M120" i="12"/>
  <c r="M40" i="11"/>
  <c r="M103" i="11"/>
  <c r="M104" i="11"/>
  <c r="M105" i="11"/>
  <c r="M106" i="11"/>
  <c r="M107" i="11"/>
  <c r="M108" i="11"/>
  <c r="M109" i="11"/>
  <c r="M110" i="11"/>
  <c r="M111" i="11"/>
  <c r="M112" i="11"/>
  <c r="M113" i="11"/>
  <c r="M114" i="11"/>
  <c r="M115" i="11"/>
  <c r="M116" i="11"/>
  <c r="M117" i="11"/>
  <c r="M118" i="11"/>
  <c r="M119" i="11"/>
  <c r="M121" i="11"/>
  <c r="M122" i="11"/>
  <c r="M123" i="11"/>
  <c r="M82" i="11"/>
  <c r="M83" i="11"/>
  <c r="M84" i="11"/>
  <c r="M85" i="11"/>
  <c r="M86" i="11"/>
  <c r="M87" i="11"/>
  <c r="M88" i="11"/>
  <c r="M89" i="11"/>
  <c r="M90" i="11"/>
  <c r="M91" i="11"/>
  <c r="M92" i="11"/>
  <c r="M93" i="11"/>
  <c r="M20" i="11"/>
  <c r="M21" i="11"/>
  <c r="M22" i="11"/>
  <c r="M23" i="11"/>
  <c r="M24" i="11"/>
  <c r="M15" i="11"/>
  <c r="M16" i="11"/>
  <c r="M17" i="11"/>
  <c r="M18" i="11"/>
  <c r="M19" i="11"/>
  <c r="M56" i="11"/>
  <c r="M57" i="11"/>
  <c r="M58" i="11"/>
  <c r="M59" i="11"/>
  <c r="M60" i="11"/>
  <c r="M48" i="11"/>
  <c r="M49" i="11"/>
  <c r="M50" i="11"/>
  <c r="M51" i="11"/>
  <c r="M52" i="11"/>
  <c r="M53" i="11"/>
  <c r="M54" i="11"/>
  <c r="M55" i="11"/>
  <c r="M61" i="11"/>
  <c r="M62" i="11"/>
  <c r="M63" i="11"/>
  <c r="M64" i="11"/>
  <c r="M65" i="11"/>
  <c r="M66" i="11"/>
  <c r="M67" i="11"/>
  <c r="M68" i="11"/>
  <c r="M69" i="11"/>
  <c r="M70" i="11"/>
  <c r="M71" i="11"/>
  <c r="M72" i="11"/>
  <c r="M73" i="11"/>
  <c r="M74" i="11"/>
  <c r="M75" i="11"/>
  <c r="M76" i="11"/>
  <c r="M77" i="11"/>
  <c r="M78" i="11"/>
  <c r="M79" i="11"/>
  <c r="M80" i="11"/>
  <c r="M43" i="11"/>
  <c r="M44" i="11"/>
  <c r="M45" i="11"/>
  <c r="M46" i="11"/>
  <c r="M128" i="11"/>
  <c r="M129" i="11"/>
  <c r="M130" i="11"/>
  <c r="M131" i="11"/>
  <c r="M132" i="11"/>
  <c r="M133" i="11"/>
  <c r="M9" i="11"/>
  <c r="M10" i="11"/>
  <c r="M11" i="11"/>
  <c r="M12" i="11"/>
  <c r="M13" i="11"/>
  <c r="M28" i="11"/>
  <c r="M29" i="11"/>
  <c r="M30" i="11"/>
  <c r="M31" i="11"/>
  <c r="M32" i="11"/>
  <c r="M33" i="11"/>
  <c r="M34" i="11"/>
  <c r="M35" i="11"/>
  <c r="M36" i="11"/>
  <c r="M26" i="11"/>
  <c r="M125" i="11"/>
  <c r="M126" i="11"/>
  <c r="M127" i="11"/>
  <c r="M41" i="11"/>
  <c r="M42" i="11"/>
  <c r="M120" i="11"/>
  <c r="M94" i="11"/>
  <c r="M95" i="11"/>
  <c r="M96" i="11"/>
  <c r="M97" i="11"/>
  <c r="M98" i="11"/>
  <c r="M99" i="11"/>
  <c r="M100" i="11"/>
  <c r="M101" i="11"/>
  <c r="M102" i="11"/>
  <c r="M135" i="11"/>
  <c r="M136" i="11"/>
  <c r="M137" i="11"/>
  <c r="M138" i="11"/>
  <c r="M139" i="11"/>
  <c r="M140" i="11"/>
  <c r="M141" i="11"/>
  <c r="M142" i="11"/>
  <c r="M143" i="11"/>
  <c r="M144" i="11"/>
  <c r="M145" i="11"/>
  <c r="M146" i="11"/>
  <c r="M147" i="11"/>
  <c r="M148" i="11"/>
  <c r="M149" i="11"/>
  <c r="M150" i="11"/>
  <c r="N12" i="10"/>
  <c r="N13" i="10"/>
  <c r="N14" i="10"/>
  <c r="N15" i="10"/>
  <c r="N17" i="10"/>
  <c r="N18" i="10"/>
  <c r="N19" i="10"/>
  <c r="N20" i="10"/>
  <c r="N21" i="10"/>
  <c r="N22" i="10"/>
  <c r="N23" i="10"/>
  <c r="N24" i="10"/>
  <c r="N25" i="10"/>
  <c r="N26" i="10"/>
  <c r="N27" i="10"/>
  <c r="N28" i="10"/>
  <c r="N29" i="10"/>
  <c r="N30" i="10"/>
  <c r="N31" i="10"/>
  <c r="N32" i="10"/>
  <c r="N33" i="10"/>
  <c r="N34" i="10"/>
  <c r="N35" i="10"/>
  <c r="N36" i="10"/>
  <c r="N37" i="10"/>
  <c r="N39" i="10"/>
  <c r="N40" i="10"/>
  <c r="N41" i="10"/>
  <c r="N42" i="10"/>
  <c r="N44" i="10"/>
  <c r="N45" i="10"/>
  <c r="N46" i="10"/>
  <c r="N47" i="10"/>
  <c r="N48" i="10"/>
  <c r="N65" i="10"/>
  <c r="N66" i="10"/>
  <c r="N50" i="10"/>
  <c r="N51" i="10"/>
  <c r="N52" i="10"/>
  <c r="N53" i="10"/>
  <c r="N49" i="10"/>
  <c r="N54" i="10"/>
  <c r="N55" i="10"/>
  <c r="N56" i="10"/>
  <c r="N57" i="10"/>
  <c r="N58" i="10"/>
  <c r="N59" i="10"/>
  <c r="N60" i="10"/>
  <c r="N61" i="10"/>
  <c r="N62" i="10"/>
  <c r="N63" i="10"/>
  <c r="N9" i="10"/>
  <c r="M13" i="21"/>
  <c r="M14" i="21"/>
  <c r="M15" i="21"/>
  <c r="M16" i="21"/>
  <c r="M17" i="21"/>
  <c r="M18" i="21"/>
  <c r="M19" i="21"/>
  <c r="M22" i="21"/>
  <c r="M24" i="21"/>
  <c r="M25" i="21"/>
  <c r="M26" i="21"/>
  <c r="M27" i="21"/>
  <c r="M28" i="21"/>
  <c r="M29" i="21"/>
  <c r="M30" i="21"/>
  <c r="M31" i="21"/>
  <c r="M32" i="21"/>
  <c r="M34" i="21"/>
  <c r="M35" i="21"/>
  <c r="M36" i="21"/>
  <c r="M37" i="21"/>
  <c r="M38" i="21"/>
  <c r="M12" i="9"/>
  <c r="M13" i="9"/>
  <c r="M14" i="9"/>
  <c r="M15" i="9"/>
  <c r="M16" i="9"/>
  <c r="M17" i="9"/>
  <c r="M18" i="9"/>
  <c r="M20" i="9"/>
  <c r="M21" i="9"/>
  <c r="M22" i="9"/>
  <c r="M23" i="9"/>
  <c r="M27" i="9"/>
  <c r="M28" i="9"/>
  <c r="M36" i="9"/>
  <c r="M37" i="9"/>
  <c r="M38" i="9"/>
  <c r="M39" i="9"/>
  <c r="M40" i="9"/>
  <c r="M41" i="9"/>
  <c r="M42" i="9"/>
  <c r="M43" i="9"/>
  <c r="M44" i="9"/>
  <c r="M45" i="9"/>
  <c r="M46" i="9"/>
  <c r="M47" i="9"/>
  <c r="M48" i="9"/>
  <c r="M50" i="9"/>
  <c r="M51" i="9"/>
  <c r="M52" i="9"/>
  <c r="M53" i="9"/>
  <c r="M54" i="9"/>
  <c r="M55" i="9"/>
  <c r="M56" i="9"/>
  <c r="M57" i="9"/>
  <c r="M58" i="9"/>
  <c r="M59" i="9"/>
  <c r="M61" i="9"/>
  <c r="M62" i="9"/>
  <c r="M63" i="9"/>
  <c r="M65" i="9"/>
  <c r="M66" i="9"/>
  <c r="M67" i="9"/>
  <c r="M68" i="9"/>
  <c r="M69" i="9"/>
  <c r="M70" i="9"/>
  <c r="M71" i="9"/>
  <c r="M72" i="9"/>
  <c r="M89" i="9"/>
  <c r="M90" i="9"/>
  <c r="M91" i="9"/>
  <c r="M92" i="9"/>
  <c r="M93" i="9"/>
  <c r="M94" i="9"/>
  <c r="M95" i="9"/>
  <c r="M96" i="9"/>
  <c r="M97" i="9"/>
  <c r="M98" i="9"/>
  <c r="M99" i="9"/>
  <c r="M100" i="9"/>
  <c r="M101" i="9"/>
  <c r="M102" i="9"/>
  <c r="M103" i="9"/>
  <c r="M104" i="9"/>
  <c r="M105" i="9"/>
  <c r="M106" i="9"/>
  <c r="M107" i="9"/>
  <c r="M108" i="9"/>
  <c r="M109" i="9"/>
  <c r="M110" i="9"/>
  <c r="M112" i="9"/>
  <c r="M113" i="9"/>
  <c r="M114" i="9"/>
  <c r="M116" i="9"/>
  <c r="M117" i="9"/>
  <c r="M118" i="9"/>
  <c r="M120" i="9"/>
  <c r="M121" i="9"/>
  <c r="M122" i="9"/>
  <c r="M123" i="9"/>
  <c r="M124" i="9"/>
  <c r="M125" i="9"/>
  <c r="M126" i="9"/>
  <c r="M128" i="9"/>
  <c r="M129" i="9"/>
  <c r="M130" i="9"/>
  <c r="M132" i="9"/>
  <c r="M133" i="9"/>
  <c r="M134" i="9"/>
  <c r="M135" i="9"/>
  <c r="M136" i="9"/>
  <c r="M137" i="9"/>
  <c r="M139" i="9"/>
  <c r="M140" i="9"/>
  <c r="M141" i="9"/>
  <c r="M142" i="9"/>
  <c r="M143" i="9"/>
  <c r="M144" i="9"/>
  <c r="M145" i="9"/>
  <c r="M146" i="9"/>
  <c r="M148" i="9"/>
  <c r="M149" i="9"/>
  <c r="M150" i="9"/>
  <c r="M151" i="9"/>
  <c r="M152" i="9"/>
  <c r="M154" i="9"/>
  <c r="M155" i="9"/>
  <c r="M156" i="9"/>
  <c r="M159" i="9"/>
  <c r="M160" i="9"/>
  <c r="M162" i="9"/>
  <c r="M163" i="9"/>
  <c r="M164" i="9"/>
  <c r="M165" i="9"/>
  <c r="M166" i="9"/>
  <c r="M167" i="9"/>
  <c r="M168" i="9"/>
  <c r="M169" i="9"/>
  <c r="M170" i="9"/>
  <c r="M171" i="9"/>
  <c r="M172" i="9"/>
  <c r="M173" i="9"/>
  <c r="M174" i="9"/>
  <c r="M176" i="9"/>
  <c r="M178" i="9"/>
  <c r="M180" i="9"/>
  <c r="M181" i="9"/>
  <c r="M182" i="9"/>
  <c r="M183" i="9"/>
  <c r="M184" i="9"/>
  <c r="M185" i="9"/>
  <c r="M186" i="9"/>
  <c r="M187" i="9"/>
  <c r="M188" i="9"/>
  <c r="M189" i="9"/>
  <c r="M190" i="9"/>
  <c r="M192" i="9"/>
  <c r="M193" i="9"/>
  <c r="M194" i="9"/>
  <c r="M195" i="9"/>
  <c r="M213" i="9"/>
  <c r="M214" i="9"/>
  <c r="M216" i="9"/>
  <c r="M217" i="9"/>
  <c r="M218" i="9"/>
  <c r="M219" i="9"/>
  <c r="M221" i="9"/>
  <c r="M222" i="9"/>
  <c r="M223" i="9"/>
  <c r="M225" i="9"/>
  <c r="M226" i="9"/>
  <c r="M227" i="9"/>
  <c r="M228" i="9"/>
  <c r="M229" i="9"/>
  <c r="M230" i="9"/>
  <c r="M231" i="9"/>
  <c r="M232" i="9"/>
  <c r="M233" i="9"/>
  <c r="M234" i="9"/>
  <c r="M235" i="9"/>
  <c r="M240" i="9"/>
  <c r="M241" i="9"/>
  <c r="M243" i="9"/>
  <c r="M244" i="9"/>
  <c r="M245" i="9"/>
  <c r="M246" i="9"/>
  <c r="M247" i="9"/>
  <c r="M248" i="9"/>
  <c r="M249" i="9"/>
  <c r="M250" i="9"/>
  <c r="M251" i="9"/>
  <c r="M252" i="9"/>
  <c r="M253" i="9"/>
  <c r="M264" i="9"/>
  <c r="M265" i="9"/>
  <c r="M266" i="9"/>
  <c r="M267" i="9"/>
  <c r="M268" i="9"/>
  <c r="M269" i="9"/>
  <c r="M288" i="9"/>
  <c r="M289" i="9"/>
  <c r="M290" i="9"/>
  <c r="M291" i="9"/>
  <c r="M292" i="9"/>
  <c r="M293" i="9"/>
  <c r="M294" i="9"/>
  <c r="M295" i="9"/>
  <c r="M296" i="9"/>
  <c r="M297" i="9"/>
  <c r="M298" i="9"/>
  <c r="M299" i="9"/>
  <c r="M300" i="9"/>
  <c r="M301" i="9"/>
  <c r="M302" i="9"/>
  <c r="M303" i="9"/>
  <c r="M304" i="9"/>
  <c r="M305" i="9"/>
  <c r="M306" i="9"/>
  <c r="M307" i="9"/>
  <c r="M308" i="9"/>
  <c r="M309" i="9"/>
  <c r="M310" i="9"/>
  <c r="M311" i="9"/>
  <c r="M312" i="9"/>
  <c r="M313" i="9"/>
  <c r="M314" i="9"/>
  <c r="M315" i="9"/>
  <c r="M316" i="9"/>
  <c r="M317" i="9"/>
  <c r="M318" i="9"/>
  <c r="M319" i="9"/>
  <c r="M320" i="9"/>
  <c r="M321" i="9"/>
  <c r="M328" i="9"/>
  <c r="M329" i="9"/>
  <c r="M330" i="9"/>
  <c r="M331" i="9"/>
  <c r="M332" i="9"/>
  <c r="M333" i="9"/>
  <c r="M334" i="9"/>
  <c r="M336" i="9"/>
  <c r="M337" i="9"/>
  <c r="M338" i="9"/>
  <c r="M339" i="9"/>
  <c r="M340" i="9"/>
  <c r="M341" i="9"/>
  <c r="M342" i="9"/>
  <c r="M343" i="9"/>
  <c r="M344" i="9"/>
  <c r="M345" i="9"/>
  <c r="M346" i="9"/>
  <c r="M347" i="9"/>
  <c r="M348" i="9"/>
  <c r="M349" i="9"/>
  <c r="M350" i="9"/>
  <c r="M351" i="9"/>
  <c r="M352" i="9"/>
  <c r="M353" i="9"/>
  <c r="M355" i="9"/>
  <c r="M356" i="9"/>
  <c r="M357" i="9"/>
  <c r="M358" i="9"/>
  <c r="M359" i="9"/>
  <c r="M360" i="9"/>
  <c r="M361" i="9"/>
  <c r="M362" i="9"/>
  <c r="M363" i="9"/>
  <c r="M364" i="9"/>
  <c r="M365" i="9"/>
  <c r="M366" i="9"/>
  <c r="M368" i="9"/>
  <c r="M369" i="9"/>
  <c r="M370" i="9"/>
  <c r="M371" i="9"/>
  <c r="M372" i="9"/>
  <c r="M373" i="9"/>
  <c r="M374" i="9"/>
  <c r="M375" i="9"/>
  <c r="M376" i="9"/>
  <c r="M377" i="9"/>
  <c r="M378" i="9"/>
  <c r="M379" i="9"/>
  <c r="M380" i="9"/>
  <c r="M381" i="9"/>
  <c r="M382" i="9"/>
  <c r="M383" i="9"/>
  <c r="M384" i="9"/>
  <c r="M385" i="9"/>
  <c r="M386" i="9"/>
  <c r="M387" i="9"/>
  <c r="M388" i="9"/>
  <c r="M389" i="9"/>
  <c r="M390" i="9"/>
  <c r="M391" i="9"/>
  <c r="M392" i="9"/>
  <c r="M393" i="9"/>
  <c r="M394" i="9"/>
  <c r="M396" i="9"/>
  <c r="M397" i="9"/>
  <c r="M398" i="9"/>
  <c r="M399" i="9"/>
  <c r="M401" i="9"/>
  <c r="M402" i="9"/>
  <c r="M403" i="9"/>
  <c r="M404" i="9"/>
  <c r="M405" i="9"/>
  <c r="M406" i="9"/>
  <c r="M407" i="9"/>
  <c r="M408" i="9"/>
  <c r="M409" i="9"/>
  <c r="M410" i="9"/>
  <c r="M412" i="9"/>
  <c r="M413" i="9"/>
  <c r="M414" i="9"/>
  <c r="M415" i="9"/>
  <c r="M416" i="9"/>
  <c r="M418" i="9"/>
  <c r="M419" i="9"/>
  <c r="M420" i="9"/>
  <c r="M14" i="8"/>
  <c r="M16" i="8"/>
  <c r="M17" i="8"/>
  <c r="M18" i="8"/>
  <c r="M19" i="8"/>
  <c r="M20" i="8"/>
  <c r="M29" i="8"/>
  <c r="M30" i="8"/>
  <c r="M31" i="8"/>
  <c r="M32" i="8"/>
  <c r="M33" i="8"/>
  <c r="M34" i="8"/>
  <c r="M36" i="8"/>
  <c r="M37" i="8"/>
  <c r="M38" i="8"/>
  <c r="M39" i="8"/>
  <c r="M40" i="8"/>
  <c r="M41" i="8"/>
  <c r="M42" i="8"/>
  <c r="M43" i="8"/>
  <c r="M45" i="8"/>
  <c r="M46" i="8"/>
  <c r="M47" i="8"/>
  <c r="M48" i="8"/>
  <c r="M49" i="8"/>
  <c r="M50" i="8"/>
  <c r="M51" i="8"/>
  <c r="M52" i="8"/>
  <c r="M53" i="8"/>
  <c r="M54" i="8"/>
  <c r="M55" i="8"/>
  <c r="M56" i="8"/>
  <c r="M57" i="8"/>
  <c r="M58" i="8"/>
  <c r="M59" i="8"/>
  <c r="M63" i="8"/>
  <c r="M64" i="8"/>
  <c r="M65" i="8"/>
  <c r="M66" i="8"/>
  <c r="M67" i="8"/>
  <c r="M68" i="8"/>
  <c r="M22" i="8"/>
  <c r="M24" i="8"/>
  <c r="M25" i="8"/>
  <c r="M26" i="8"/>
  <c r="M27" i="8"/>
  <c r="M60" i="8"/>
  <c r="M61" i="8"/>
  <c r="M70" i="8"/>
  <c r="M71" i="8"/>
  <c r="M72" i="8"/>
  <c r="M73" i="8"/>
  <c r="M74" i="8"/>
  <c r="M76" i="8"/>
  <c r="M77" i="8"/>
  <c r="M79" i="8"/>
  <c r="M80" i="8"/>
  <c r="M81" i="8"/>
  <c r="M82" i="8"/>
  <c r="M84" i="8"/>
  <c r="M85" i="8"/>
  <c r="M86" i="8"/>
  <c r="M87" i="8"/>
  <c r="M89" i="8"/>
  <c r="M90" i="8"/>
  <c r="M92" i="8"/>
  <c r="M93" i="8"/>
  <c r="M94" i="8"/>
  <c r="M95" i="8"/>
  <c r="M96" i="8"/>
  <c r="M98" i="8"/>
  <c r="M99" i="8"/>
  <c r="M100" i="8"/>
  <c r="M102" i="8"/>
  <c r="M103" i="8"/>
  <c r="M104" i="8"/>
  <c r="M105" i="8"/>
  <c r="M106" i="8"/>
  <c r="M107" i="8"/>
  <c r="M108" i="8"/>
  <c r="M109" i="8"/>
  <c r="M110" i="8"/>
  <c r="M111" i="8"/>
  <c r="M112" i="8"/>
  <c r="M113" i="8"/>
  <c r="M114" i="8"/>
  <c r="M115" i="8"/>
  <c r="M116" i="8"/>
  <c r="M117" i="8"/>
  <c r="M118" i="8"/>
  <c r="M119" i="8"/>
  <c r="M120" i="8"/>
  <c r="M121" i="8"/>
  <c r="M122" i="8"/>
  <c r="M123" i="8"/>
  <c r="M124" i="8"/>
  <c r="M126" i="8"/>
  <c r="M127" i="8"/>
  <c r="M128" i="8"/>
  <c r="M129" i="8"/>
  <c r="M130" i="8"/>
  <c r="M131" i="8"/>
  <c r="M132" i="8"/>
  <c r="M133" i="8"/>
  <c r="M136" i="8"/>
  <c r="M137" i="8"/>
  <c r="M138" i="8"/>
  <c r="M139" i="8"/>
  <c r="M140" i="8"/>
  <c r="M141" i="8"/>
  <c r="M142" i="8"/>
  <c r="M143" i="8"/>
  <c r="M144" i="8"/>
  <c r="M147" i="8"/>
  <c r="M148" i="8"/>
  <c r="M149" i="8"/>
  <c r="M150" i="8"/>
  <c r="M151" i="8"/>
  <c r="M152" i="8"/>
  <c r="M153" i="8"/>
  <c r="M154" i="8"/>
  <c r="M155" i="8"/>
  <c r="M157" i="8"/>
  <c r="M158" i="8"/>
  <c r="M159" i="8"/>
  <c r="M160" i="8"/>
  <c r="M161" i="8"/>
  <c r="M163" i="8"/>
  <c r="M165" i="8"/>
  <c r="M166" i="8"/>
  <c r="M168" i="8"/>
  <c r="M169" i="8"/>
  <c r="M170" i="8"/>
  <c r="M171" i="8"/>
  <c r="M172" i="8"/>
  <c r="M173" i="8"/>
  <c r="M174" i="8"/>
  <c r="M176" i="8"/>
  <c r="M177" i="8"/>
  <c r="M178" i="8"/>
  <c r="M179" i="8"/>
  <c r="M180" i="8"/>
  <c r="M181" i="8"/>
  <c r="M182" i="8"/>
  <c r="M183" i="8"/>
  <c r="M184" i="8"/>
  <c r="M185" i="8"/>
  <c r="M186" i="8"/>
  <c r="M187" i="8"/>
  <c r="M188" i="8"/>
  <c r="M189" i="8"/>
  <c r="M190" i="8"/>
  <c r="M191" i="8"/>
  <c r="M192" i="8"/>
  <c r="M193" i="8"/>
  <c r="M194" i="8"/>
  <c r="M195" i="8"/>
  <c r="M196" i="8"/>
  <c r="M197" i="8"/>
  <c r="M198" i="8"/>
  <c r="M199" i="8"/>
  <c r="M200" i="8"/>
  <c r="M201" i="8"/>
  <c r="M202" i="8"/>
  <c r="M203" i="8"/>
  <c r="M204" i="8"/>
  <c r="M206" i="8"/>
  <c r="M207" i="8"/>
  <c r="M208" i="8"/>
  <c r="M209" i="8"/>
  <c r="M210" i="8"/>
  <c r="M211" i="8"/>
  <c r="M212" i="8"/>
  <c r="M213" i="8"/>
  <c r="M214" i="8"/>
  <c r="M216" i="8"/>
  <c r="M219" i="8"/>
  <c r="M220" i="8"/>
  <c r="M222" i="8"/>
  <c r="M223" i="8"/>
  <c r="M224" i="8"/>
  <c r="M225" i="8"/>
  <c r="M226" i="8"/>
  <c r="M227" i="8"/>
  <c r="M228" i="8"/>
  <c r="M229" i="8"/>
  <c r="M230" i="8"/>
  <c r="M231" i="8"/>
  <c r="M232" i="8"/>
  <c r="M233" i="8"/>
  <c r="M234" i="8"/>
  <c r="M235" i="8"/>
  <c r="M239" i="8"/>
  <c r="M241" i="8"/>
  <c r="M242" i="8"/>
  <c r="M243" i="8"/>
  <c r="M244" i="8"/>
  <c r="M245" i="8"/>
  <c r="M246" i="8"/>
  <c r="M247" i="8"/>
  <c r="M248" i="8"/>
  <c r="M249" i="8"/>
  <c r="M250" i="8"/>
  <c r="M251" i="8"/>
  <c r="M252" i="8"/>
  <c r="M253" i="8"/>
  <c r="M254" i="8"/>
  <c r="M256" i="8"/>
  <c r="M257" i="8"/>
  <c r="M258" i="8"/>
  <c r="M259" i="8"/>
  <c r="M260" i="8"/>
  <c r="M261" i="8"/>
  <c r="M262" i="8"/>
  <c r="M263" i="8"/>
  <c r="M264" i="8"/>
  <c r="M265" i="8"/>
  <c r="M266" i="8"/>
  <c r="M267" i="8"/>
  <c r="M268" i="8"/>
  <c r="M269" i="8"/>
  <c r="M270" i="8"/>
  <c r="M271" i="8"/>
  <c r="M272" i="8"/>
  <c r="M273" i="8"/>
  <c r="M274" i="8"/>
  <c r="M275" i="8"/>
  <c r="M276" i="8"/>
  <c r="M277" i="8"/>
  <c r="M279" i="8"/>
  <c r="M280" i="8"/>
  <c r="M281" i="8"/>
  <c r="M282" i="8"/>
  <c r="M283" i="8"/>
  <c r="M284" i="8"/>
  <c r="M285" i="8"/>
  <c r="M286" i="8"/>
  <c r="M287" i="8"/>
  <c r="M288" i="8"/>
  <c r="M289" i="8"/>
  <c r="M291" i="8"/>
  <c r="M292" i="8"/>
  <c r="M293" i="8"/>
  <c r="M294" i="8"/>
  <c r="M295" i="8"/>
  <c r="M296" i="8"/>
  <c r="M297" i="8"/>
  <c r="M298" i="8"/>
  <c r="M299" i="8"/>
  <c r="M300" i="8"/>
  <c r="M301" i="8"/>
  <c r="M302" i="8"/>
  <c r="M304" i="8"/>
  <c r="M305" i="8"/>
  <c r="M306" i="8"/>
  <c r="M307" i="8"/>
  <c r="M308" i="8"/>
  <c r="M309" i="8"/>
  <c r="M310" i="8"/>
  <c r="M311" i="8"/>
  <c r="M312" i="8"/>
  <c r="M313" i="8"/>
  <c r="M314" i="8"/>
  <c r="M315" i="8"/>
  <c r="M316" i="8"/>
  <c r="A8" i="53" l="1"/>
  <c r="M84" i="12"/>
  <c r="A16" i="25" l="1"/>
  <c r="A33" i="19"/>
  <c r="J34" i="19"/>
  <c r="K34" i="19" s="1"/>
  <c r="J35" i="19"/>
  <c r="K35" i="19" s="1"/>
  <c r="J36" i="19"/>
  <c r="K36" i="19" s="1"/>
  <c r="J37" i="19"/>
  <c r="K37" i="19" s="1"/>
  <c r="J38" i="19"/>
  <c r="K38" i="19" s="1"/>
  <c r="J39" i="19"/>
  <c r="K39" i="19" s="1"/>
  <c r="J40" i="19"/>
  <c r="K40" i="19" s="1"/>
  <c r="J41" i="19"/>
  <c r="K41" i="19" s="1"/>
  <c r="J33" i="19"/>
  <c r="K33" i="19" s="1"/>
  <c r="A104" i="21" l="1"/>
  <c r="M13" i="8"/>
  <c r="A173" i="32" l="1"/>
  <c r="A185" i="32" s="1"/>
  <c r="M12" i="21"/>
  <c r="M11" i="21"/>
  <c r="M10" i="21"/>
  <c r="M9" i="21"/>
  <c r="M11" i="24"/>
  <c r="M10" i="24"/>
  <c r="M9" i="24"/>
  <c r="M8" i="24"/>
  <c r="M8" i="25"/>
  <c r="A48" i="28" l="1"/>
  <c r="M8" i="9"/>
  <c r="M9" i="9"/>
  <c r="M10" i="9"/>
  <c r="A123" i="12" l="1"/>
  <c r="M86" i="12"/>
  <c r="M87" i="12"/>
  <c r="M39" i="11"/>
  <c r="N11" i="10"/>
  <c r="M10" i="8"/>
  <c r="M11" i="8"/>
  <c r="M12" i="8"/>
  <c r="M38" i="11"/>
  <c r="M85" i="12"/>
  <c r="M9" i="8"/>
  <c r="A136" i="11" l="1"/>
  <c r="A151" i="11" s="1"/>
  <c r="A133" i="12"/>
  <c r="K42" i="19"/>
  <c r="A65" i="10" l="1"/>
  <c r="A105" i="21"/>
  <c r="A18" i="22" l="1"/>
  <c r="A42" i="19"/>
  <c r="A9" i="29" l="1"/>
  <c r="A92" i="28"/>
  <c r="A132" i="55" l="1"/>
  <c r="A64" i="34" s="1"/>
  <c r="A69" i="34" s="1"/>
  <c r="A11" i="51"/>
  <c r="A20" i="38" l="1"/>
  <c r="A17" i="25"/>
  <c r="A49" i="53"/>
  <c r="A250" i="24"/>
  <c r="A32" i="39" l="1"/>
  <c r="A82" i="38"/>
  <c r="A67" i="10"/>
  <c r="A33" i="39" l="1"/>
  <c r="A9" i="33"/>
  <c r="A12" i="33" s="1"/>
  <c r="A95" i="22"/>
  <c r="A14" i="40" l="1"/>
  <c r="A124" i="29"/>
  <c r="A12" i="45" l="1"/>
  <c r="A15" i="40"/>
  <c r="A142" i="55"/>
  <c r="A16" i="45" l="1"/>
  <c r="A8" i="46"/>
  <c r="A29" i="46" l="1"/>
  <c r="A17" i="37" s="1"/>
  <c r="A495" i="37" s="1"/>
  <c r="A30" i="46" l="1"/>
  <c r="A66" i="54"/>
  <c r="A135" i="54" s="1"/>
  <c r="B33" i="18" l="1"/>
  <c r="F33" i="18"/>
  <c r="H33" i="18"/>
  <c r="C33" i="18"/>
  <c r="D33" i="18"/>
  <c r="G33" i="18"/>
  <c r="K33" i="18"/>
  <c r="D34" i="18"/>
  <c r="F34" i="18"/>
  <c r="K34" i="18"/>
  <c r="B34" i="18"/>
  <c r="C34" i="18"/>
  <c r="H34" i="18"/>
  <c r="G34" i="18"/>
  <c r="D35" i="18"/>
  <c r="H35" i="18"/>
  <c r="B35" i="18"/>
  <c r="C35" i="18"/>
  <c r="F35" i="18"/>
  <c r="K35" i="18"/>
  <c r="G35" i="18"/>
  <c r="D36" i="18"/>
  <c r="C36" i="18"/>
  <c r="B36" i="18"/>
  <c r="F36" i="18"/>
  <c r="K36" i="18"/>
  <c r="G36" i="18"/>
  <c r="H36" i="18"/>
  <c r="D37" i="18"/>
  <c r="H37" i="18"/>
  <c r="F37" i="18"/>
  <c r="B37" i="18"/>
  <c r="K37" i="18"/>
  <c r="C37" i="18"/>
  <c r="G37" i="18"/>
  <c r="K38" i="18"/>
  <c r="F38" i="18"/>
  <c r="G38" i="18"/>
  <c r="H38" i="18"/>
  <c r="D38" i="18"/>
  <c r="B38" i="18"/>
  <c r="C38" i="18"/>
  <c r="K39" i="18"/>
  <c r="H39" i="18"/>
  <c r="D39" i="18"/>
  <c r="F39" i="18"/>
  <c r="B39" i="18"/>
  <c r="G39" i="18"/>
  <c r="C39" i="18"/>
  <c r="B40" i="18"/>
  <c r="H40" i="18"/>
  <c r="D40" i="18"/>
  <c r="G40" i="18"/>
  <c r="C40" i="18"/>
  <c r="K40" i="18"/>
  <c r="F40" i="18"/>
  <c r="B41" i="18"/>
  <c r="C41" i="18"/>
  <c r="K41" i="18"/>
  <c r="D41" i="18"/>
  <c r="F41" i="18"/>
  <c r="G41" i="18"/>
  <c r="H41" i="18"/>
  <c r="K42" i="18"/>
  <c r="F42" i="18"/>
  <c r="D42" i="18"/>
  <c r="B42" i="18"/>
  <c r="G42" i="18"/>
  <c r="C42" i="18"/>
  <c r="H42" i="18"/>
  <c r="H43" i="18"/>
  <c r="K43" i="18"/>
  <c r="F43" i="18"/>
  <c r="C43" i="18"/>
  <c r="B43" i="18"/>
  <c r="D43" i="18"/>
  <c r="G43" i="18"/>
  <c r="B44" i="18"/>
  <c r="D44" i="18"/>
  <c r="F44" i="18"/>
  <c r="K44" i="18"/>
  <c r="C44" i="18"/>
  <c r="G44" i="18"/>
  <c r="H44" i="18"/>
  <c r="H86" i="18"/>
  <c r="G106" i="18"/>
  <c r="G63" i="18"/>
  <c r="H219" i="18"/>
  <c r="H210" i="18"/>
  <c r="H187" i="18"/>
  <c r="C217" i="18"/>
  <c r="F184" i="18"/>
  <c r="F135" i="18"/>
  <c r="H140" i="18"/>
  <c r="B221" i="18"/>
  <c r="B177" i="18"/>
  <c r="B132" i="18"/>
  <c r="K176" i="18"/>
  <c r="K66" i="18"/>
  <c r="K93" i="18"/>
  <c r="K86" i="18"/>
  <c r="K74" i="18"/>
  <c r="F49" i="18"/>
  <c r="G128" i="18"/>
  <c r="G53" i="18"/>
  <c r="H214" i="18"/>
  <c r="H201" i="18"/>
  <c r="H194" i="18"/>
  <c r="C89" i="18"/>
  <c r="F151" i="18"/>
  <c r="D73" i="18"/>
  <c r="B196" i="18"/>
  <c r="B155" i="18"/>
  <c r="B123" i="18"/>
  <c r="K150" i="18"/>
  <c r="K113" i="18"/>
  <c r="K165" i="18"/>
  <c r="K207" i="18"/>
  <c r="K80" i="18"/>
  <c r="K69" i="18"/>
  <c r="C184" i="18"/>
  <c r="D106" i="18"/>
  <c r="G74" i="18"/>
  <c r="G46" i="18"/>
  <c r="H205" i="18"/>
  <c r="C83" i="18"/>
  <c r="C103" i="18"/>
  <c r="F169" i="18"/>
  <c r="H76" i="18"/>
  <c r="F175" i="18"/>
  <c r="H143" i="18"/>
  <c r="H139" i="18"/>
  <c r="H135" i="18"/>
  <c r="H112" i="18"/>
  <c r="H67" i="18"/>
  <c r="C169" i="18"/>
  <c r="C143" i="18"/>
  <c r="D90" i="18"/>
  <c r="K46" i="18"/>
  <c r="K47" i="18"/>
  <c r="K45" i="18"/>
  <c r="K48" i="18"/>
  <c r="K49" i="18"/>
  <c r="K85" i="18"/>
  <c r="K142" i="18"/>
  <c r="K184" i="18"/>
  <c r="K134" i="18"/>
  <c r="K146" i="18"/>
  <c r="K156" i="18"/>
  <c r="K166" i="18"/>
  <c r="K53" i="18"/>
  <c r="K58" i="18"/>
  <c r="K62" i="18"/>
  <c r="K64" i="18"/>
  <c r="K67" i="18"/>
  <c r="K70" i="18"/>
  <c r="K73" i="18"/>
  <c r="K138" i="18"/>
  <c r="K161" i="18"/>
  <c r="K171" i="18"/>
  <c r="K177" i="18"/>
  <c r="K188" i="18"/>
  <c r="K198" i="18"/>
  <c r="K187" i="18"/>
  <c r="K204" i="18"/>
  <c r="K155" i="18"/>
  <c r="K197" i="18"/>
  <c r="K84" i="18"/>
  <c r="K91" i="18"/>
  <c r="K98" i="18"/>
  <c r="K108" i="18"/>
  <c r="K170" i="18"/>
  <c r="K179" i="18"/>
  <c r="K190" i="18"/>
  <c r="K181" i="18"/>
  <c r="K201" i="18"/>
  <c r="K158" i="18"/>
  <c r="K194" i="18"/>
  <c r="K173" i="18"/>
  <c r="K79" i="18"/>
  <c r="K211" i="18"/>
  <c r="K95" i="18"/>
  <c r="K117" i="18"/>
  <c r="K129" i="18"/>
  <c r="K143" i="18"/>
  <c r="K162" i="18"/>
  <c r="K183" i="18"/>
  <c r="K209" i="18"/>
  <c r="K185" i="18"/>
  <c r="K191" i="18"/>
  <c r="K215" i="18"/>
  <c r="K214" i="18"/>
  <c r="K195" i="18"/>
  <c r="K65" i="18"/>
  <c r="K68" i="18"/>
  <c r="K72" i="18"/>
  <c r="K75" i="18"/>
  <c r="K78" i="18"/>
  <c r="K81" i="18"/>
  <c r="K87" i="18"/>
  <c r="K94" i="18"/>
  <c r="K101" i="18"/>
  <c r="K104" i="18"/>
  <c r="K112" i="18"/>
  <c r="K175" i="18"/>
  <c r="K174" i="18"/>
  <c r="K182" i="18"/>
  <c r="K172" i="18"/>
  <c r="K200" i="18"/>
  <c r="K205" i="18"/>
  <c r="K210" i="18"/>
  <c r="K216" i="18"/>
  <c r="K83" i="18"/>
  <c r="K89" i="18"/>
  <c r="K97" i="18"/>
  <c r="K100" i="18"/>
  <c r="K107" i="18"/>
  <c r="K52" i="18"/>
  <c r="K57" i="18"/>
  <c r="K127" i="18"/>
  <c r="K131" i="18"/>
  <c r="K140" i="18"/>
  <c r="K144" i="18"/>
  <c r="K153" i="18"/>
  <c r="K164" i="18"/>
  <c r="K186" i="18"/>
  <c r="K114" i="18"/>
  <c r="K189" i="18"/>
  <c r="K213" i="18"/>
  <c r="K88" i="18"/>
  <c r="K206" i="18"/>
  <c r="K212" i="18"/>
  <c r="K221" i="18"/>
  <c r="K121" i="18"/>
  <c r="K126" i="18"/>
  <c r="K137" i="18"/>
  <c r="K148" i="18"/>
  <c r="K160" i="18"/>
  <c r="K169" i="18"/>
  <c r="K196" i="18"/>
  <c r="K203" i="18"/>
  <c r="K152" i="18"/>
  <c r="K133" i="18"/>
  <c r="K82" i="18"/>
  <c r="K217" i="18"/>
  <c r="K122" i="18"/>
  <c r="K202" i="18"/>
  <c r="K193" i="18"/>
  <c r="K109" i="18"/>
  <c r="K76" i="18"/>
  <c r="K151" i="18"/>
  <c r="K90" i="18"/>
  <c r="K99" i="18"/>
  <c r="K110" i="18"/>
  <c r="K180" i="18"/>
  <c r="K105" i="18"/>
  <c r="K147" i="18"/>
  <c r="K159" i="18"/>
  <c r="K77" i="18"/>
  <c r="K178" i="18"/>
  <c r="K208" i="18"/>
  <c r="K168" i="18"/>
  <c r="K145" i="18"/>
  <c r="K120" i="18"/>
  <c r="K199" i="18"/>
  <c r="K61" i="18"/>
  <c r="K128" i="18"/>
  <c r="K149" i="18"/>
  <c r="K50" i="18"/>
  <c r="K56" i="18"/>
  <c r="K60" i="18"/>
  <c r="H141" i="18"/>
  <c r="H161" i="18"/>
  <c r="G124" i="18"/>
  <c r="G186" i="18"/>
  <c r="D190" i="18"/>
  <c r="D101" i="18"/>
  <c r="D168" i="18"/>
  <c r="D149" i="18"/>
  <c r="H97" i="18"/>
  <c r="H209" i="18"/>
  <c r="G88" i="18"/>
  <c r="F216" i="18"/>
  <c r="C109" i="18"/>
  <c r="B107" i="18"/>
  <c r="D175" i="18"/>
  <c r="B131" i="18"/>
  <c r="H160" i="18"/>
  <c r="G87" i="18"/>
  <c r="F166" i="18"/>
  <c r="H138" i="18"/>
  <c r="F211" i="18"/>
  <c r="C118" i="18"/>
  <c r="D78" i="18"/>
  <c r="B143" i="18"/>
  <c r="B125" i="18"/>
  <c r="D113" i="18"/>
  <c r="D116" i="18"/>
  <c r="G62" i="18"/>
  <c r="G84" i="18"/>
  <c r="G129" i="18"/>
  <c r="G149" i="18"/>
  <c r="F214" i="18"/>
  <c r="G180" i="18"/>
  <c r="C138" i="18"/>
  <c r="F74" i="18"/>
  <c r="H68" i="18"/>
  <c r="G200" i="18"/>
  <c r="H178" i="18"/>
  <c r="H78" i="18"/>
  <c r="H221" i="18"/>
  <c r="G134" i="18"/>
  <c r="H148" i="18"/>
  <c r="G168" i="18"/>
  <c r="G173" i="18"/>
  <c r="F95" i="18"/>
  <c r="F104" i="18"/>
  <c r="F112" i="18"/>
  <c r="F122" i="18"/>
  <c r="F131" i="18"/>
  <c r="D94" i="18"/>
  <c r="F65" i="18"/>
  <c r="F199" i="18"/>
  <c r="F163" i="18"/>
  <c r="D133" i="18"/>
  <c r="F167" i="18"/>
  <c r="B145" i="18"/>
  <c r="B192" i="18"/>
  <c r="C162" i="18"/>
  <c r="C183" i="18"/>
  <c r="B106" i="18"/>
  <c r="K92" i="18"/>
  <c r="K103" i="18"/>
  <c r="K111" i="18"/>
  <c r="K123" i="18"/>
  <c r="K96" i="18"/>
  <c r="K106" i="18"/>
  <c r="K130" i="18"/>
  <c r="K141" i="18"/>
  <c r="K102" i="18"/>
  <c r="K192" i="18"/>
  <c r="K154" i="18"/>
  <c r="G69" i="18"/>
  <c r="G93" i="18"/>
  <c r="G108" i="18"/>
  <c r="G136" i="18"/>
  <c r="D72" i="18"/>
  <c r="D117" i="18"/>
  <c r="F205" i="18"/>
  <c r="C186" i="18"/>
  <c r="C218" i="18"/>
  <c r="G183" i="18"/>
  <c r="G201" i="18"/>
  <c r="G219" i="18"/>
  <c r="C142" i="18"/>
  <c r="H113" i="18"/>
  <c r="F53" i="18"/>
  <c r="F85" i="18"/>
  <c r="F192" i="18"/>
  <c r="G157" i="18"/>
  <c r="F46" i="18"/>
  <c r="D121" i="18"/>
  <c r="C154" i="18"/>
  <c r="H80" i="18"/>
  <c r="D49" i="18"/>
  <c r="D53" i="18"/>
  <c r="D86" i="18"/>
  <c r="C137" i="18"/>
  <c r="C164" i="18"/>
  <c r="H52" i="18"/>
  <c r="H88" i="18"/>
  <c r="H164" i="18"/>
  <c r="D93" i="18"/>
  <c r="D137" i="18"/>
  <c r="D159" i="18"/>
  <c r="D214" i="18"/>
  <c r="C85" i="18"/>
  <c r="F140" i="18"/>
  <c r="F158" i="18"/>
  <c r="F174" i="18"/>
  <c r="F186" i="18"/>
  <c r="C98" i="18"/>
  <c r="C114" i="18"/>
  <c r="C117" i="18"/>
  <c r="C123" i="18"/>
  <c r="C128" i="18"/>
  <c r="B138" i="18"/>
  <c r="B148" i="18"/>
  <c r="B158" i="18"/>
  <c r="B165" i="18"/>
  <c r="B172" i="18"/>
  <c r="B181" i="18"/>
  <c r="B191" i="18"/>
  <c r="B200" i="18"/>
  <c r="B207" i="18"/>
  <c r="B216" i="18"/>
  <c r="C130" i="18"/>
  <c r="C149" i="18"/>
  <c r="H60" i="18"/>
  <c r="H96" i="18"/>
  <c r="H142" i="18"/>
  <c r="D198" i="18"/>
  <c r="C177" i="18"/>
  <c r="C182" i="18"/>
  <c r="C193" i="18"/>
  <c r="C198" i="18"/>
  <c r="C202" i="18"/>
  <c r="C208" i="18"/>
  <c r="B101" i="18"/>
  <c r="B109" i="18"/>
  <c r="B115" i="18"/>
  <c r="B121" i="18"/>
  <c r="B126" i="18"/>
  <c r="B134" i="18"/>
  <c r="B149" i="18"/>
  <c r="B163" i="18"/>
  <c r="B183" i="18"/>
  <c r="B199" i="18"/>
  <c r="B215" i="18"/>
  <c r="C80" i="18"/>
  <c r="H70" i="18"/>
  <c r="H103" i="18"/>
  <c r="H168" i="18"/>
  <c r="D127" i="18"/>
  <c r="D191" i="18"/>
  <c r="D201" i="18"/>
  <c r="D209" i="18"/>
  <c r="D217" i="18"/>
  <c r="C56" i="18"/>
  <c r="C68" i="18"/>
  <c r="C187" i="18"/>
  <c r="H46" i="18"/>
  <c r="H54" i="18"/>
  <c r="H62" i="18"/>
  <c r="H69" i="18"/>
  <c r="H77" i="18"/>
  <c r="H84" i="18"/>
  <c r="H91" i="18"/>
  <c r="H98" i="18"/>
  <c r="H104" i="18"/>
  <c r="H111" i="18"/>
  <c r="H117" i="18"/>
  <c r="H144" i="18"/>
  <c r="H158" i="18"/>
  <c r="H172" i="18"/>
  <c r="G52" i="18"/>
  <c r="G82" i="18"/>
  <c r="G113" i="18"/>
  <c r="G147" i="18"/>
  <c r="D119" i="18"/>
  <c r="D172" i="18"/>
  <c r="C53" i="18"/>
  <c r="D71" i="18"/>
  <c r="D76" i="18"/>
  <c r="D81" i="18"/>
  <c r="D87" i="18"/>
  <c r="D91" i="18"/>
  <c r="D95" i="18"/>
  <c r="H118" i="18"/>
  <c r="H120" i="18"/>
  <c r="H122" i="18"/>
  <c r="H124" i="18"/>
  <c r="H126" i="18"/>
  <c r="H128" i="18"/>
  <c r="H130" i="18"/>
  <c r="H133" i="18"/>
  <c r="H145" i="18"/>
  <c r="H157" i="18"/>
  <c r="H175" i="18"/>
  <c r="D211" i="18"/>
  <c r="D167" i="18"/>
  <c r="G154" i="18"/>
  <c r="D97" i="18"/>
  <c r="D112" i="18"/>
  <c r="G99" i="18"/>
  <c r="G177" i="18"/>
  <c r="F132" i="18"/>
  <c r="G189" i="18"/>
  <c r="D124" i="18"/>
  <c r="D83" i="18"/>
  <c r="F204" i="18"/>
  <c r="D55" i="18"/>
  <c r="C102" i="18"/>
  <c r="C136" i="18"/>
  <c r="C62" i="18"/>
  <c r="B219" i="18"/>
  <c r="B185" i="18"/>
  <c r="C197" i="18"/>
  <c r="H131" i="18"/>
  <c r="G57" i="18"/>
  <c r="G80" i="18"/>
  <c r="D63" i="18"/>
  <c r="F153" i="18"/>
  <c r="G218" i="18"/>
  <c r="F60" i="18"/>
  <c r="C111" i="18"/>
  <c r="D173" i="18"/>
  <c r="B161" i="18"/>
  <c r="B130" i="18"/>
  <c r="H49" i="18"/>
  <c r="C65" i="18"/>
  <c r="C60" i="18"/>
  <c r="G49" i="18"/>
  <c r="C67" i="18"/>
  <c r="G164" i="18"/>
  <c r="G169" i="18"/>
  <c r="G176" i="18"/>
  <c r="F165" i="18"/>
  <c r="F168" i="18"/>
  <c r="F170" i="18"/>
  <c r="F173" i="18"/>
  <c r="F176" i="18"/>
  <c r="F101" i="18"/>
  <c r="D104" i="18"/>
  <c r="D118" i="18"/>
  <c r="D141" i="18"/>
  <c r="D160" i="18"/>
  <c r="D187" i="18"/>
  <c r="H64" i="18"/>
  <c r="H92" i="18"/>
  <c r="H166" i="18"/>
  <c r="D66" i="18"/>
  <c r="H181" i="18"/>
  <c r="H196" i="18"/>
  <c r="H204" i="18"/>
  <c r="H208" i="18"/>
  <c r="C159" i="18"/>
  <c r="H199" i="18"/>
  <c r="B173" i="18"/>
  <c r="F218" i="18"/>
  <c r="D206" i="18"/>
  <c r="C135" i="18"/>
  <c r="C119" i="18"/>
  <c r="B153" i="18"/>
  <c r="B186" i="18"/>
  <c r="B209" i="18"/>
  <c r="C153" i="18"/>
  <c r="G60" i="18"/>
  <c r="C194" i="18"/>
  <c r="B104" i="18"/>
  <c r="B129" i="18"/>
  <c r="B193" i="18"/>
  <c r="H63" i="18"/>
  <c r="G135" i="18"/>
  <c r="C213" i="18"/>
  <c r="C220" i="18"/>
  <c r="C59" i="18"/>
  <c r="B100" i="18"/>
  <c r="C64" i="18"/>
  <c r="C161" i="18"/>
  <c r="F189" i="18"/>
  <c r="B211" i="18"/>
  <c r="B103" i="18"/>
  <c r="D189" i="18"/>
  <c r="D88" i="18"/>
  <c r="H101" i="18"/>
  <c r="H100" i="18"/>
  <c r="H193" i="18"/>
  <c r="B49" i="18"/>
  <c r="B52" i="18"/>
  <c r="B55" i="18"/>
  <c r="B58" i="18"/>
  <c r="B61" i="18"/>
  <c r="B64" i="18"/>
  <c r="B66" i="18"/>
  <c r="B69" i="18"/>
  <c r="B71" i="18"/>
  <c r="B75" i="18"/>
  <c r="B78" i="18"/>
  <c r="B80" i="18"/>
  <c r="B83" i="18"/>
  <c r="B86" i="18"/>
  <c r="B89" i="18"/>
  <c r="B92" i="18"/>
  <c r="B96" i="18"/>
  <c r="B139" i="18"/>
  <c r="D115" i="18"/>
  <c r="D138" i="18"/>
  <c r="D154" i="18"/>
  <c r="G103" i="18"/>
  <c r="H146" i="18"/>
  <c r="G64" i="18"/>
  <c r="D84" i="18"/>
  <c r="G160" i="18"/>
  <c r="H213" i="18"/>
  <c r="H217" i="18"/>
  <c r="G51" i="18"/>
  <c r="G59" i="18"/>
  <c r="G70" i="18"/>
  <c r="G81" i="18"/>
  <c r="G97" i="18"/>
  <c r="G114" i="18"/>
  <c r="G144" i="18"/>
  <c r="D82" i="18"/>
  <c r="D136" i="18"/>
  <c r="F212" i="18"/>
  <c r="F142" i="18"/>
  <c r="G192" i="18"/>
  <c r="G210" i="18"/>
  <c r="F45" i="18"/>
  <c r="C167" i="18"/>
  <c r="H176" i="18"/>
  <c r="F57" i="18"/>
  <c r="F160" i="18"/>
  <c r="C113" i="18"/>
  <c r="D70" i="18"/>
  <c r="C139" i="18"/>
  <c r="C165" i="18"/>
  <c r="H61" i="18"/>
  <c r="H105" i="18"/>
  <c r="F182" i="18"/>
  <c r="F185" i="18"/>
  <c r="F188" i="18"/>
  <c r="F191" i="18"/>
  <c r="F194" i="18"/>
  <c r="C88" i="18"/>
  <c r="C91" i="18"/>
  <c r="C93" i="18"/>
  <c r="C96" i="18"/>
  <c r="C99" i="18"/>
  <c r="C104" i="18"/>
  <c r="C112" i="18"/>
  <c r="G179" i="18"/>
  <c r="G184" i="18"/>
  <c r="G188" i="18"/>
  <c r="G193" i="18"/>
  <c r="G198" i="18"/>
  <c r="G202" i="18"/>
  <c r="G206" i="18"/>
  <c r="G211" i="18"/>
  <c r="G216" i="18"/>
  <c r="G221" i="18"/>
  <c r="D67" i="18"/>
  <c r="C134" i="18"/>
  <c r="C150" i="18"/>
  <c r="C171" i="18"/>
  <c r="H65" i="18"/>
  <c r="H93" i="18"/>
  <c r="H121" i="18"/>
  <c r="G55" i="18"/>
  <c r="D216" i="18"/>
  <c r="F50" i="18"/>
  <c r="F55" i="18"/>
  <c r="F59" i="18"/>
  <c r="F63" i="18"/>
  <c r="F68" i="18"/>
  <c r="F73" i="18"/>
  <c r="F77" i="18"/>
  <c r="F82" i="18"/>
  <c r="F87" i="18"/>
  <c r="F197" i="18"/>
  <c r="F210" i="18"/>
  <c r="F221" i="18"/>
  <c r="F61" i="18"/>
  <c r="C51" i="18"/>
  <c r="G182" i="18"/>
  <c r="C140" i="18"/>
  <c r="G220" i="18"/>
  <c r="H106" i="18"/>
  <c r="F81" i="18"/>
  <c r="C160" i="18"/>
  <c r="C206" i="18"/>
  <c r="F201" i="18"/>
  <c r="D197" i="18"/>
  <c r="F164" i="18"/>
  <c r="H108" i="18"/>
  <c r="H83" i="18"/>
  <c r="D171" i="18"/>
  <c r="G54" i="18"/>
  <c r="G119" i="18"/>
  <c r="G137" i="18"/>
  <c r="D68" i="18"/>
  <c r="C77" i="18"/>
  <c r="G209" i="18"/>
  <c r="F47" i="18"/>
  <c r="F181" i="18"/>
  <c r="G109" i="18"/>
  <c r="B140" i="18"/>
  <c r="C188" i="18"/>
  <c r="C52" i="18"/>
  <c r="D221" i="18"/>
  <c r="D100" i="18"/>
  <c r="D164" i="18"/>
  <c r="G79" i="18"/>
  <c r="G190" i="18"/>
  <c r="G165" i="18"/>
  <c r="G171" i="18"/>
  <c r="F91" i="18"/>
  <c r="F100" i="18"/>
  <c r="F110" i="18"/>
  <c r="F120" i="18"/>
  <c r="F196" i="18"/>
  <c r="G194" i="18"/>
  <c r="H95" i="18"/>
  <c r="F70" i="18"/>
  <c r="D208" i="18"/>
  <c r="D166" i="18"/>
  <c r="F193" i="18"/>
  <c r="B156" i="18"/>
  <c r="B214" i="18"/>
  <c r="G92" i="18"/>
  <c r="C211" i="18"/>
  <c r="D47" i="18"/>
  <c r="D52" i="18"/>
  <c r="D74" i="18"/>
  <c r="C133" i="18"/>
  <c r="C152" i="18"/>
  <c r="H66" i="18"/>
  <c r="H119" i="18"/>
  <c r="G77" i="18"/>
  <c r="D207" i="18"/>
  <c r="D152" i="18"/>
  <c r="D185" i="18"/>
  <c r="F137" i="18"/>
  <c r="F155" i="18"/>
  <c r="F171" i="18"/>
  <c r="F183" i="18"/>
  <c r="C95" i="18"/>
  <c r="C115" i="18"/>
  <c r="C121" i="18"/>
  <c r="C127" i="18"/>
  <c r="B137" i="18"/>
  <c r="B146" i="18"/>
  <c r="B154" i="18"/>
  <c r="B164" i="18"/>
  <c r="B170" i="18"/>
  <c r="B179" i="18"/>
  <c r="B187" i="18"/>
  <c r="B195" i="18"/>
  <c r="B204" i="18"/>
  <c r="B212" i="18"/>
  <c r="C129" i="18"/>
  <c r="C145" i="18"/>
  <c r="C170" i="18"/>
  <c r="H75" i="18"/>
  <c r="H102" i="18"/>
  <c r="H156" i="18"/>
  <c r="D142" i="18"/>
  <c r="C176" i="18"/>
  <c r="C181" i="18"/>
  <c r="C192" i="18"/>
  <c r="C199" i="18"/>
  <c r="C204" i="18"/>
  <c r="C209" i="18"/>
  <c r="B95" i="18"/>
  <c r="B97" i="18"/>
  <c r="B99" i="18"/>
  <c r="B118" i="18"/>
  <c r="B202" i="18"/>
  <c r="C108" i="18"/>
  <c r="F79" i="18"/>
  <c r="F143" i="18"/>
  <c r="B190" i="18"/>
  <c r="C69" i="18"/>
  <c r="H99" i="18"/>
  <c r="B46" i="18"/>
  <c r="C126" i="18"/>
  <c r="B162" i="18"/>
  <c r="B198" i="18"/>
  <c r="H47" i="18"/>
  <c r="C173" i="18"/>
  <c r="C201" i="18"/>
  <c r="B112" i="18"/>
  <c r="B144" i="18"/>
  <c r="B213" i="18"/>
  <c r="H109" i="18"/>
  <c r="C214" i="18"/>
  <c r="B151" i="18"/>
  <c r="C79" i="18"/>
  <c r="F144" i="18"/>
  <c r="B175" i="18"/>
  <c r="C179" i="18"/>
  <c r="G146" i="18"/>
  <c r="C221" i="18"/>
  <c r="D215" i="18"/>
  <c r="F96" i="18"/>
  <c r="B45" i="18"/>
  <c r="B47" i="18"/>
  <c r="B51" i="18"/>
  <c r="B54" i="18"/>
  <c r="B57" i="18"/>
  <c r="B60" i="18"/>
  <c r="B63" i="18"/>
  <c r="B65" i="18"/>
  <c r="B68" i="18"/>
  <c r="B72" i="18"/>
  <c r="B74" i="18"/>
  <c r="B77" i="18"/>
  <c r="B81" i="18"/>
  <c r="B84" i="18"/>
  <c r="B87" i="18"/>
  <c r="B90" i="18"/>
  <c r="B93" i="18"/>
  <c r="B98" i="18"/>
  <c r="C81" i="18"/>
  <c r="D107" i="18"/>
  <c r="D131" i="18"/>
  <c r="G96" i="18"/>
  <c r="D135" i="18"/>
  <c r="G161" i="18"/>
  <c r="F134" i="18"/>
  <c r="H198" i="18"/>
  <c r="B150" i="18"/>
  <c r="B189" i="18"/>
  <c r="C158" i="18"/>
  <c r="D59" i="18"/>
  <c r="C205" i="18"/>
  <c r="B119" i="18"/>
  <c r="B174" i="18"/>
  <c r="G83" i="18"/>
  <c r="G126" i="18"/>
  <c r="G153" i="18"/>
  <c r="D102" i="18"/>
  <c r="D153" i="18"/>
  <c r="B210" i="18"/>
  <c r="D203" i="18"/>
  <c r="C72" i="18"/>
  <c r="C151" i="18"/>
  <c r="F179" i="18"/>
  <c r="F206" i="18"/>
  <c r="G94" i="18"/>
  <c r="B102" i="18"/>
  <c r="B110" i="18"/>
  <c r="B116" i="18"/>
  <c r="B122" i="18"/>
  <c r="B127" i="18"/>
  <c r="B136" i="18"/>
  <c r="B152" i="18"/>
  <c r="B171" i="18"/>
  <c r="B188" i="18"/>
  <c r="B208" i="18"/>
  <c r="H56" i="18"/>
  <c r="H89" i="18"/>
  <c r="H129" i="18"/>
  <c r="G100" i="18"/>
  <c r="F89" i="18"/>
  <c r="F90" i="18"/>
  <c r="F92" i="18"/>
  <c r="F94" i="18"/>
  <c r="F98" i="18"/>
  <c r="F103" i="18"/>
  <c r="D114" i="18"/>
  <c r="D130" i="18"/>
  <c r="D155" i="18"/>
  <c r="D183" i="18"/>
  <c r="C47" i="18"/>
  <c r="H51" i="18"/>
  <c r="H85" i="18"/>
  <c r="H127" i="18"/>
  <c r="G105" i="18"/>
  <c r="D111" i="18"/>
  <c r="H218" i="18"/>
  <c r="G72" i="18"/>
  <c r="D85" i="18"/>
  <c r="D51" i="18"/>
  <c r="C87" i="18"/>
  <c r="B159" i="18"/>
  <c r="D79" i="18"/>
  <c r="C45" i="18"/>
  <c r="C48" i="18"/>
  <c r="D156" i="18"/>
  <c r="F139" i="18"/>
  <c r="B128" i="18"/>
  <c r="G207" i="18"/>
  <c r="C116" i="18"/>
  <c r="D69" i="18"/>
  <c r="G45" i="18"/>
  <c r="G66" i="18"/>
  <c r="G111" i="18"/>
  <c r="G133" i="18"/>
  <c r="G152" i="18"/>
  <c r="D199" i="18"/>
  <c r="G185" i="18"/>
  <c r="H50" i="18"/>
  <c r="F217" i="18"/>
  <c r="C148" i="18"/>
  <c r="C63" i="18"/>
  <c r="B206" i="18"/>
  <c r="F133" i="18"/>
  <c r="D178" i="18"/>
  <c r="D219" i="18"/>
  <c r="D179" i="18"/>
  <c r="H212" i="18"/>
  <c r="G104" i="18"/>
  <c r="C146" i="18"/>
  <c r="G166" i="18"/>
  <c r="G172" i="18"/>
  <c r="F93" i="18"/>
  <c r="F102" i="18"/>
  <c r="F114" i="18"/>
  <c r="F125" i="18"/>
  <c r="D188" i="18"/>
  <c r="G213" i="18"/>
  <c r="B160" i="18"/>
  <c r="G98" i="18"/>
  <c r="F215" i="18"/>
  <c r="C97" i="18"/>
  <c r="C141" i="18"/>
  <c r="B133" i="18"/>
  <c r="B178" i="18"/>
  <c r="C132" i="18"/>
  <c r="C175" i="18"/>
  <c r="B113" i="18"/>
  <c r="D62" i="18"/>
  <c r="D105" i="18"/>
  <c r="D161" i="18"/>
  <c r="D220" i="18"/>
  <c r="C106" i="18"/>
  <c r="G187" i="18"/>
  <c r="G205" i="18"/>
  <c r="H57" i="18"/>
  <c r="G150" i="18"/>
  <c r="F62" i="18"/>
  <c r="G115" i="18"/>
  <c r="C100" i="18"/>
  <c r="C189" i="18"/>
  <c r="G158" i="18"/>
  <c r="D64" i="18"/>
  <c r="C131" i="18"/>
  <c r="C157" i="18"/>
  <c r="H55" i="18"/>
  <c r="H94" i="18"/>
  <c r="F105" i="18"/>
  <c r="F107" i="18"/>
  <c r="F109" i="18"/>
  <c r="F111" i="18"/>
  <c r="F113" i="18"/>
  <c r="F115" i="18"/>
  <c r="F117" i="18"/>
  <c r="F119" i="18"/>
  <c r="F121" i="18"/>
  <c r="F123" i="18"/>
  <c r="F126" i="18"/>
  <c r="F128" i="18"/>
  <c r="F130" i="18"/>
  <c r="F208" i="18"/>
  <c r="D181" i="18"/>
  <c r="C70" i="18"/>
  <c r="F154" i="18"/>
  <c r="F172" i="18"/>
  <c r="C86" i="18"/>
  <c r="C107" i="18"/>
  <c r="D48" i="18"/>
  <c r="D56" i="18"/>
  <c r="D125" i="18"/>
  <c r="C156" i="18"/>
  <c r="H59" i="18"/>
  <c r="H152" i="18"/>
  <c r="D151" i="18"/>
  <c r="D148" i="18"/>
  <c r="D204" i="18"/>
  <c r="C190" i="18"/>
  <c r="F152" i="18"/>
  <c r="F177" i="18"/>
  <c r="C90" i="18"/>
  <c r="B141" i="18"/>
  <c r="B176" i="18"/>
  <c r="B220" i="18"/>
  <c r="H90" i="18"/>
  <c r="C180" i="18"/>
  <c r="C207" i="18"/>
  <c r="B120" i="18"/>
  <c r="B166" i="18"/>
  <c r="C212" i="18"/>
  <c r="C216" i="18"/>
  <c r="F162" i="18"/>
  <c r="D218" i="18"/>
  <c r="C124" i="18"/>
  <c r="H81" i="18"/>
  <c r="B157" i="18"/>
  <c r="G122" i="18"/>
  <c r="D128" i="18"/>
  <c r="C82" i="18"/>
  <c r="B48" i="18"/>
  <c r="B50" i="18"/>
  <c r="B53" i="18"/>
  <c r="B56" i="18"/>
  <c r="B59" i="18"/>
  <c r="B62" i="18"/>
  <c r="B67" i="18"/>
  <c r="B70" i="18"/>
  <c r="B73" i="18"/>
  <c r="B76" i="18"/>
  <c r="B79" i="18"/>
  <c r="B82" i="18"/>
  <c r="B85" i="18"/>
  <c r="B88" i="18"/>
  <c r="B91" i="18"/>
  <c r="B94" i="18"/>
  <c r="B105" i="18"/>
  <c r="F80" i="18"/>
  <c r="G107" i="18"/>
  <c r="D180" i="18"/>
  <c r="G162" i="18"/>
  <c r="D162" i="18"/>
  <c r="D176" i="18"/>
  <c r="D184" i="18"/>
  <c r="D202" i="18"/>
  <c r="D212" i="18"/>
  <c r="C57" i="18"/>
  <c r="C66" i="18"/>
  <c r="C78" i="18"/>
  <c r="C185" i="18"/>
  <c r="H180" i="18"/>
  <c r="H182" i="18"/>
  <c r="H186" i="18"/>
  <c r="H192" i="18"/>
  <c r="H197" i="18"/>
  <c r="D108" i="18"/>
  <c r="D126" i="18"/>
  <c r="D145" i="18"/>
  <c r="D169" i="18"/>
  <c r="D174" i="18"/>
  <c r="D205" i="18"/>
  <c r="C74" i="18"/>
  <c r="H71" i="18"/>
  <c r="H107" i="18"/>
  <c r="H136" i="18"/>
  <c r="C61" i="18"/>
  <c r="H177" i="18"/>
  <c r="H183" i="18"/>
  <c r="H191" i="18"/>
  <c r="H202" i="18"/>
  <c r="H207" i="18"/>
  <c r="H211" i="18"/>
  <c r="H216" i="18"/>
  <c r="H220" i="18"/>
  <c r="G48" i="18"/>
  <c r="G58" i="18"/>
  <c r="G65" i="18"/>
  <c r="G78" i="18"/>
  <c r="G90" i="18"/>
  <c r="G101" i="18"/>
  <c r="G120" i="18"/>
  <c r="G151" i="18"/>
  <c r="D92" i="18"/>
  <c r="D147" i="18"/>
  <c r="F159" i="18"/>
  <c r="G178" i="18"/>
  <c r="G196" i="18"/>
  <c r="G215" i="18"/>
  <c r="F195" i="18"/>
  <c r="B197" i="18"/>
  <c r="B108" i="18"/>
  <c r="G110" i="18"/>
  <c r="D150" i="18"/>
  <c r="H170" i="18"/>
  <c r="G139" i="18"/>
  <c r="K219" i="18"/>
  <c r="K218" i="18"/>
  <c r="K71" i="18"/>
  <c r="K118" i="18"/>
  <c r="K220" i="18"/>
  <c r="K116" i="18"/>
  <c r="K124" i="18"/>
  <c r="K136" i="18"/>
  <c r="K157" i="18"/>
  <c r="K51" i="18"/>
  <c r="K55" i="18"/>
  <c r="K115" i="18"/>
  <c r="H149" i="18"/>
  <c r="H167" i="18"/>
  <c r="G140" i="18"/>
  <c r="C110" i="18"/>
  <c r="B169" i="18"/>
  <c r="C54" i="18"/>
  <c r="H123" i="18"/>
  <c r="H184" i="18"/>
  <c r="D195" i="18"/>
  <c r="G68" i="18"/>
  <c r="H200" i="18"/>
  <c r="G61" i="18"/>
  <c r="G112" i="18"/>
  <c r="F83" i="18"/>
  <c r="H82" i="18"/>
  <c r="F157" i="18"/>
  <c r="B111" i="18"/>
  <c r="C195" i="18"/>
  <c r="D193" i="18"/>
  <c r="C163" i="18"/>
  <c r="F64" i="18"/>
  <c r="B147" i="18"/>
  <c r="G117" i="18"/>
  <c r="H154" i="18"/>
  <c r="B180" i="18"/>
  <c r="B182" i="18"/>
  <c r="C210" i="18"/>
  <c r="G102" i="18"/>
  <c r="F58" i="18"/>
  <c r="G50" i="18"/>
  <c r="G71" i="18"/>
  <c r="G89" i="18"/>
  <c r="G125" i="18"/>
  <c r="G145" i="18"/>
  <c r="D77" i="18"/>
  <c r="F148" i="18"/>
  <c r="G197" i="18"/>
  <c r="H134" i="18"/>
  <c r="F86" i="18"/>
  <c r="D54" i="18"/>
  <c r="F161" i="18"/>
  <c r="B184" i="18"/>
  <c r="B117" i="18"/>
  <c r="H162" i="18"/>
  <c r="D200" i="18"/>
  <c r="D146" i="18"/>
  <c r="D134" i="18"/>
  <c r="H185" i="18"/>
  <c r="G67" i="18"/>
  <c r="D120" i="18"/>
  <c r="G163" i="18"/>
  <c r="G167" i="18"/>
  <c r="G170" i="18"/>
  <c r="G175" i="18"/>
  <c r="F97" i="18"/>
  <c r="F106" i="18"/>
  <c r="F116" i="18"/>
  <c r="F124" i="18"/>
  <c r="F129" i="18"/>
  <c r="F150" i="18"/>
  <c r="H45" i="18"/>
  <c r="F71" i="18"/>
  <c r="F84" i="18"/>
  <c r="F138" i="18"/>
  <c r="C219" i="18"/>
  <c r="D61" i="18"/>
  <c r="H73" i="18"/>
  <c r="F146" i="18"/>
  <c r="C120" i="18"/>
  <c r="B168" i="18"/>
  <c r="B201" i="18"/>
  <c r="H53" i="18"/>
  <c r="C196" i="18"/>
  <c r="H147" i="18"/>
  <c r="H151" i="18"/>
  <c r="H155" i="18"/>
  <c r="H159" i="18"/>
  <c r="H163" i="18"/>
  <c r="H165" i="18"/>
  <c r="H169" i="18"/>
  <c r="H173" i="18"/>
  <c r="G130" i="18"/>
  <c r="G148" i="18"/>
  <c r="D75" i="18"/>
  <c r="D109" i="18"/>
  <c r="D143" i="18"/>
  <c r="F209" i="18"/>
  <c r="D177" i="18"/>
  <c r="F136" i="18"/>
  <c r="F156" i="18"/>
  <c r="G195" i="18"/>
  <c r="G204" i="18"/>
  <c r="G212" i="18"/>
  <c r="D129" i="18"/>
  <c r="D103" i="18"/>
  <c r="F56" i="18"/>
  <c r="F69" i="18"/>
  <c r="F76" i="18"/>
  <c r="F88" i="18"/>
  <c r="D170" i="18"/>
  <c r="F147" i="18"/>
  <c r="F190" i="18"/>
  <c r="D45" i="18"/>
  <c r="D98" i="18"/>
  <c r="G143" i="18"/>
  <c r="D196" i="18"/>
  <c r="B217" i="18"/>
  <c r="C178" i="18"/>
  <c r="B124" i="18"/>
  <c r="C55" i="18"/>
  <c r="D163" i="18"/>
  <c r="G191" i="18"/>
  <c r="H79" i="18"/>
  <c r="F66" i="18"/>
  <c r="C92" i="18"/>
  <c r="D140" i="18"/>
  <c r="C125" i="18"/>
  <c r="G127" i="18"/>
  <c r="C155" i="18"/>
  <c r="D192" i="18"/>
  <c r="D186" i="18"/>
  <c r="C50" i="18"/>
  <c r="G155" i="18"/>
  <c r="H48" i="18"/>
  <c r="F51" i="18"/>
  <c r="G47" i="18"/>
  <c r="F149" i="18"/>
  <c r="C101" i="18"/>
  <c r="B135" i="18"/>
  <c r="B167" i="18"/>
  <c r="B203" i="18"/>
  <c r="C174" i="18"/>
  <c r="C200" i="18"/>
  <c r="B114" i="18"/>
  <c r="B142" i="18"/>
  <c r="B218" i="18"/>
  <c r="G73" i="18"/>
  <c r="G116" i="18"/>
  <c r="G142" i="18"/>
  <c r="D60" i="18"/>
  <c r="D96" i="18"/>
  <c r="D139" i="18"/>
  <c r="F198" i="18"/>
  <c r="D182" i="18"/>
  <c r="C46" i="18"/>
  <c r="G156" i="18"/>
  <c r="D65" i="18"/>
  <c r="D132" i="18"/>
  <c r="F202" i="18"/>
  <c r="F145" i="18"/>
  <c r="G181" i="18"/>
  <c r="G199" i="18"/>
  <c r="C76" i="18"/>
  <c r="C147" i="18"/>
  <c r="H74" i="18"/>
  <c r="D89" i="18"/>
  <c r="D123" i="18"/>
  <c r="D194" i="18"/>
  <c r="C75" i="18"/>
  <c r="H188" i="18"/>
  <c r="D122" i="18"/>
  <c r="D165" i="18"/>
  <c r="D213" i="18"/>
  <c r="H58" i="18"/>
  <c r="H115" i="18"/>
  <c r="G131" i="18"/>
  <c r="H179" i="18"/>
  <c r="H189" i="18"/>
  <c r="H206" i="18"/>
  <c r="H215" i="18"/>
  <c r="G56" i="18"/>
  <c r="G76" i="18"/>
  <c r="G85" i="18"/>
  <c r="G95" i="18"/>
  <c r="G118" i="18"/>
  <c r="D57" i="18"/>
  <c r="D157" i="18"/>
  <c r="C105" i="18"/>
  <c r="G208" i="18"/>
  <c r="H72" i="18"/>
  <c r="F48" i="18"/>
  <c r="F72" i="18"/>
  <c r="F213" i="18"/>
  <c r="F178" i="18"/>
  <c r="C144" i="18"/>
  <c r="D144" i="18"/>
  <c r="H125" i="18"/>
  <c r="F207" i="18"/>
  <c r="F220" i="18"/>
  <c r="G214" i="18"/>
  <c r="F54" i="18"/>
  <c r="D110" i="18"/>
  <c r="B194" i="18"/>
  <c r="H87" i="18"/>
  <c r="C122" i="18"/>
  <c r="H174" i="18"/>
  <c r="B205" i="18"/>
  <c r="G138" i="18"/>
  <c r="C58" i="18"/>
  <c r="G159" i="18"/>
  <c r="K135" i="18"/>
  <c r="K139" i="18"/>
  <c r="K125" i="18"/>
  <c r="K167" i="18"/>
  <c r="K163" i="18"/>
  <c r="K119" i="18"/>
  <c r="K132" i="18"/>
  <c r="K63" i="18"/>
  <c r="K54" i="18"/>
  <c r="K59" i="18"/>
  <c r="H132" i="18"/>
  <c r="H137" i="18"/>
  <c r="H153" i="18"/>
  <c r="H171" i="18"/>
  <c r="D99" i="18"/>
  <c r="G217" i="18"/>
  <c r="D210" i="18"/>
  <c r="C172" i="18"/>
  <c r="C49" i="18"/>
  <c r="C84" i="18"/>
  <c r="C71" i="18"/>
  <c r="H190" i="18"/>
  <c r="F180" i="18"/>
  <c r="H116" i="18"/>
  <c r="G123" i="18"/>
  <c r="F52" i="18"/>
  <c r="C94" i="18"/>
  <c r="C166" i="18"/>
  <c r="G203" i="18"/>
  <c r="D46" i="18"/>
  <c r="C191" i="18"/>
  <c r="G132" i="18"/>
  <c r="G75" i="18"/>
  <c r="G121" i="18"/>
  <c r="G141" i="18"/>
  <c r="F203" i="18"/>
  <c r="C215" i="18"/>
  <c r="D58" i="18"/>
  <c r="F141" i="18"/>
  <c r="H110" i="18"/>
  <c r="F75" i="18"/>
  <c r="D80" i="18"/>
  <c r="H150" i="18"/>
  <c r="H203" i="18"/>
  <c r="G91" i="18"/>
  <c r="G174" i="18"/>
  <c r="F99" i="18"/>
  <c r="F108" i="18"/>
  <c r="F118" i="18"/>
  <c r="F127" i="18"/>
  <c r="F200" i="18"/>
  <c r="H195" i="18"/>
  <c r="D158" i="18"/>
  <c r="F219" i="18"/>
  <c r="F78" i="18"/>
  <c r="F187" i="18"/>
  <c r="D50" i="18"/>
  <c r="C168" i="18"/>
  <c r="C73" i="18"/>
  <c r="H114" i="18"/>
  <c r="C203" i="18"/>
  <c r="F67" i="18"/>
  <c r="G86" i="18"/>
  <c r="L33" i="18" l="1"/>
  <c r="J33" i="18"/>
  <c r="J34" i="18"/>
  <c r="L34" i="18"/>
  <c r="L35" i="18"/>
  <c r="J35" i="18"/>
  <c r="J36" i="18"/>
  <c r="L36" i="18"/>
  <c r="J37" i="18"/>
  <c r="L37" i="18"/>
  <c r="J38" i="18"/>
  <c r="L38" i="18"/>
  <c r="L39" i="18"/>
  <c r="J39" i="18"/>
  <c r="J40" i="18"/>
  <c r="L40" i="18"/>
  <c r="J41" i="18"/>
  <c r="L41" i="18"/>
  <c r="J42" i="18"/>
  <c r="L42" i="18"/>
  <c r="J43" i="18"/>
  <c r="L43" i="18"/>
  <c r="L44" i="18"/>
  <c r="J44" i="18"/>
  <c r="J106" i="18"/>
  <c r="L106" i="18"/>
  <c r="L63" i="18"/>
  <c r="J63" i="18"/>
  <c r="L128" i="18"/>
  <c r="J128" i="18"/>
  <c r="L53" i="18"/>
  <c r="J53" i="18"/>
  <c r="J74" i="18"/>
  <c r="L74" i="18"/>
  <c r="L46" i="18"/>
  <c r="J46" i="18"/>
  <c r="L124" i="18"/>
  <c r="J124" i="18"/>
  <c r="J186" i="18"/>
  <c r="L186" i="18"/>
  <c r="L88" i="18"/>
  <c r="J88" i="18"/>
  <c r="L87" i="18"/>
  <c r="J87" i="18"/>
  <c r="L62" i="18"/>
  <c r="J62" i="18"/>
  <c r="L84" i="18"/>
  <c r="J84" i="18"/>
  <c r="J129" i="18"/>
  <c r="L129" i="18"/>
  <c r="L149" i="18"/>
  <c r="J149" i="18"/>
  <c r="L180" i="18"/>
  <c r="J180" i="18"/>
  <c r="L200" i="18"/>
  <c r="J200" i="18"/>
  <c r="J134" i="18"/>
  <c r="L134" i="18"/>
  <c r="J168" i="18"/>
  <c r="L168" i="18"/>
  <c r="J173" i="18"/>
  <c r="L173" i="18"/>
  <c r="L69" i="18"/>
  <c r="J69" i="18"/>
  <c r="J93" i="18"/>
  <c r="L93" i="18"/>
  <c r="J108" i="18"/>
  <c r="L108" i="18"/>
  <c r="J136" i="18"/>
  <c r="L136" i="18"/>
  <c r="J183" i="18"/>
  <c r="L183" i="18"/>
  <c r="L201" i="18"/>
  <c r="J201" i="18"/>
  <c r="L219" i="18"/>
  <c r="J219" i="18"/>
  <c r="L157" i="18"/>
  <c r="J157" i="18"/>
  <c r="L52" i="18"/>
  <c r="J52" i="18"/>
  <c r="L82" i="18"/>
  <c r="J82" i="18"/>
  <c r="L113" i="18"/>
  <c r="J113" i="18"/>
  <c r="L147" i="18"/>
  <c r="J147" i="18"/>
  <c r="J154" i="18"/>
  <c r="L154" i="18"/>
  <c r="L99" i="18"/>
  <c r="J99" i="18"/>
  <c r="L177" i="18"/>
  <c r="J177" i="18"/>
  <c r="J189" i="18"/>
  <c r="L189" i="18"/>
  <c r="J57" i="18"/>
  <c r="L57" i="18"/>
  <c r="J80" i="18"/>
  <c r="L80" i="18"/>
  <c r="J218" i="18"/>
  <c r="L218" i="18"/>
  <c r="J49" i="18"/>
  <c r="L49" i="18"/>
  <c r="J164" i="18"/>
  <c r="L164" i="18"/>
  <c r="J169" i="18"/>
  <c r="L169" i="18"/>
  <c r="J176" i="18"/>
  <c r="L176" i="18"/>
  <c r="L60" i="18"/>
  <c r="J60" i="18"/>
  <c r="L135" i="18"/>
  <c r="J135" i="18"/>
  <c r="L103" i="18"/>
  <c r="J103" i="18"/>
  <c r="J64" i="18"/>
  <c r="L64" i="18"/>
  <c r="J160" i="18"/>
  <c r="L160" i="18"/>
  <c r="L51" i="18"/>
  <c r="J51" i="18"/>
  <c r="J59" i="18"/>
  <c r="L59" i="18"/>
  <c r="J70" i="18"/>
  <c r="L70" i="18"/>
  <c r="J81" i="18"/>
  <c r="L81" i="18"/>
  <c r="L97" i="18"/>
  <c r="J97" i="18"/>
  <c r="J114" i="18"/>
  <c r="L114" i="18"/>
  <c r="L144" i="18"/>
  <c r="J144" i="18"/>
  <c r="J192" i="18"/>
  <c r="L192" i="18"/>
  <c r="J210" i="18"/>
  <c r="L210" i="18"/>
  <c r="L179" i="18"/>
  <c r="J179" i="18"/>
  <c r="J184" i="18"/>
  <c r="L184" i="18"/>
  <c r="J188" i="18"/>
  <c r="L188" i="18"/>
  <c r="J193" i="18"/>
  <c r="L193" i="18"/>
  <c r="J198" i="18"/>
  <c r="L198" i="18"/>
  <c r="J202" i="18"/>
  <c r="L202" i="18"/>
  <c r="L206" i="18"/>
  <c r="J206" i="18"/>
  <c r="J211" i="18"/>
  <c r="L211" i="18"/>
  <c r="L216" i="18"/>
  <c r="J216" i="18"/>
  <c r="L221" i="18"/>
  <c r="J221" i="18"/>
  <c r="L55" i="18"/>
  <c r="J55" i="18"/>
  <c r="J182" i="18"/>
  <c r="L182" i="18"/>
  <c r="J220" i="18"/>
  <c r="L220" i="18"/>
  <c r="J54" i="18"/>
  <c r="L54" i="18"/>
  <c r="J119" i="18"/>
  <c r="L119" i="18"/>
  <c r="L137" i="18"/>
  <c r="J137" i="18"/>
  <c r="J209" i="18"/>
  <c r="L209" i="18"/>
  <c r="L109" i="18"/>
  <c r="J109" i="18"/>
  <c r="J79" i="18"/>
  <c r="L79" i="18"/>
  <c r="L190" i="18"/>
  <c r="J190" i="18"/>
  <c r="L165" i="18"/>
  <c r="J165" i="18"/>
  <c r="L171" i="18"/>
  <c r="J171" i="18"/>
  <c r="J194" i="18"/>
  <c r="L194" i="18"/>
  <c r="L92" i="18"/>
  <c r="J92" i="18"/>
  <c r="J77" i="18"/>
  <c r="L77" i="18"/>
  <c r="J146" i="18"/>
  <c r="L146" i="18"/>
  <c r="L96" i="18"/>
  <c r="J96" i="18"/>
  <c r="J161" i="18"/>
  <c r="L161" i="18"/>
  <c r="L83" i="18"/>
  <c r="J83" i="18"/>
  <c r="L126" i="18"/>
  <c r="J126" i="18"/>
  <c r="J153" i="18"/>
  <c r="L153" i="18"/>
  <c r="J94" i="18"/>
  <c r="L94" i="18"/>
  <c r="L100" i="18"/>
  <c r="J100" i="18"/>
  <c r="J105" i="18"/>
  <c r="L105" i="18"/>
  <c r="J72" i="18"/>
  <c r="L72" i="18"/>
  <c r="L207" i="18"/>
  <c r="J207" i="18"/>
  <c r="J45" i="18"/>
  <c r="L45" i="18"/>
  <c r="J66" i="18"/>
  <c r="L66" i="18"/>
  <c r="J111" i="18"/>
  <c r="L111" i="18"/>
  <c r="L133" i="18"/>
  <c r="J133" i="18"/>
  <c r="J152" i="18"/>
  <c r="L152" i="18"/>
  <c r="J185" i="18"/>
  <c r="L185" i="18"/>
  <c r="J104" i="18"/>
  <c r="L104" i="18"/>
  <c r="J166" i="18"/>
  <c r="L166" i="18"/>
  <c r="J172" i="18"/>
  <c r="L172" i="18"/>
  <c r="J213" i="18"/>
  <c r="L213" i="18"/>
  <c r="L98" i="18"/>
  <c r="J98" i="18"/>
  <c r="L187" i="18"/>
  <c r="J187" i="18"/>
  <c r="J205" i="18"/>
  <c r="L205" i="18"/>
  <c r="J150" i="18"/>
  <c r="L150" i="18"/>
  <c r="L115" i="18"/>
  <c r="J115" i="18"/>
  <c r="J158" i="18"/>
  <c r="L158" i="18"/>
  <c r="L122" i="18"/>
  <c r="J122" i="18"/>
  <c r="L107" i="18"/>
  <c r="J107" i="18"/>
  <c r="J162" i="18"/>
  <c r="L162" i="18"/>
  <c r="J48" i="18"/>
  <c r="L48" i="18"/>
  <c r="J58" i="18"/>
  <c r="L58" i="18"/>
  <c r="J65" i="18"/>
  <c r="L65" i="18"/>
  <c r="J78" i="18"/>
  <c r="L78" i="18"/>
  <c r="J90" i="18"/>
  <c r="L90" i="18"/>
  <c r="J101" i="18"/>
  <c r="L101" i="18"/>
  <c r="J120" i="18"/>
  <c r="L120" i="18"/>
  <c r="J151" i="18"/>
  <c r="L151" i="18"/>
  <c r="J178" i="18"/>
  <c r="L178" i="18"/>
  <c r="L196" i="18"/>
  <c r="J196" i="18"/>
  <c r="L215" i="18"/>
  <c r="J215" i="18"/>
  <c r="J110" i="18"/>
  <c r="L110" i="18"/>
  <c r="J139" i="18"/>
  <c r="L139" i="18"/>
  <c r="L140" i="18"/>
  <c r="J140" i="18"/>
  <c r="L68" i="18"/>
  <c r="J68" i="18"/>
  <c r="L61" i="18"/>
  <c r="J61" i="18"/>
  <c r="J112" i="18"/>
  <c r="L112" i="18"/>
  <c r="L117" i="18"/>
  <c r="J117" i="18"/>
  <c r="L102" i="18"/>
  <c r="J102" i="18"/>
  <c r="J50" i="18"/>
  <c r="L50" i="18"/>
  <c r="L71" i="18"/>
  <c r="J71" i="18"/>
  <c r="J89" i="18"/>
  <c r="L89" i="18"/>
  <c r="L125" i="18"/>
  <c r="J125" i="18"/>
  <c r="L145" i="18"/>
  <c r="J145" i="18"/>
  <c r="J197" i="18"/>
  <c r="L197" i="18"/>
  <c r="L67" i="18"/>
  <c r="J67" i="18"/>
  <c r="J163" i="18"/>
  <c r="L163" i="18"/>
  <c r="J167" i="18"/>
  <c r="L167" i="18"/>
  <c r="J170" i="18"/>
  <c r="L170" i="18"/>
  <c r="J175" i="18"/>
  <c r="L175" i="18"/>
  <c r="J130" i="18"/>
  <c r="L130" i="18"/>
  <c r="L148" i="18"/>
  <c r="J148" i="18"/>
  <c r="J195" i="18"/>
  <c r="L195" i="18"/>
  <c r="J204" i="18"/>
  <c r="L204" i="18"/>
  <c r="J212" i="18"/>
  <c r="L212" i="18"/>
  <c r="L143" i="18"/>
  <c r="J143" i="18"/>
  <c r="J191" i="18"/>
  <c r="L191" i="18"/>
  <c r="J127" i="18"/>
  <c r="L127" i="18"/>
  <c r="L155" i="18"/>
  <c r="J155" i="18"/>
  <c r="L47" i="18"/>
  <c r="J47" i="18"/>
  <c r="L73" i="18"/>
  <c r="J73" i="18"/>
  <c r="L116" i="18"/>
  <c r="J116" i="18"/>
  <c r="L142" i="18"/>
  <c r="J142" i="18"/>
  <c r="J156" i="18"/>
  <c r="L156" i="18"/>
  <c r="L181" i="18"/>
  <c r="J181" i="18"/>
  <c r="J199" i="18"/>
  <c r="L199" i="18"/>
  <c r="J131" i="18"/>
  <c r="L131" i="18"/>
  <c r="J56" i="18"/>
  <c r="L56" i="18"/>
  <c r="L76" i="18"/>
  <c r="J76" i="18"/>
  <c r="J85" i="18"/>
  <c r="L85" i="18"/>
  <c r="J95" i="18"/>
  <c r="L95" i="18"/>
  <c r="J118" i="18"/>
  <c r="L118" i="18"/>
  <c r="J208" i="18"/>
  <c r="L208" i="18"/>
  <c r="L214" i="18"/>
  <c r="J214" i="18"/>
  <c r="L138" i="18"/>
  <c r="J138" i="18"/>
  <c r="L159" i="18"/>
  <c r="J159" i="18"/>
  <c r="J217" i="18"/>
  <c r="L217" i="18"/>
  <c r="L123" i="18"/>
  <c r="J123" i="18"/>
  <c r="L203" i="18"/>
  <c r="J203" i="18"/>
  <c r="J132" i="18"/>
  <c r="L132" i="18"/>
  <c r="J75" i="18"/>
  <c r="L75" i="18"/>
  <c r="L121" i="18"/>
  <c r="J121" i="18"/>
  <c r="L141" i="18"/>
  <c r="J141" i="18"/>
  <c r="J91" i="18"/>
  <c r="L91" i="18"/>
  <c r="J174" i="18"/>
  <c r="L174" i="18"/>
  <c r="J86" i="18"/>
  <c r="L86" i="18"/>
  <c r="L222" i="18" l="1"/>
  <c r="L30" i="18"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<sst xmlns="http://schemas.openxmlformats.org/spreadsheetml/2006/main" count="23786" uniqueCount="6000">
  <si>
    <t>Order Date:</t>
  </si>
  <si>
    <r>
      <rPr>
        <b/>
        <sz val="12"/>
        <color indexed="8"/>
        <rFont val="Calibri"/>
        <family val="2"/>
        <scheme val="minor"/>
      </rPr>
      <t>*Note</t>
    </r>
    <r>
      <rPr>
        <sz val="12"/>
        <color indexed="8"/>
        <rFont val="Calibri"/>
        <family val="2"/>
        <scheme val="minor"/>
      </rPr>
      <t xml:space="preserve">: All order/quote quantites are </t>
    </r>
    <r>
      <rPr>
        <b/>
        <u/>
        <sz val="12"/>
        <color indexed="8"/>
        <rFont val="Calibri"/>
        <family val="2"/>
        <scheme val="minor"/>
      </rPr>
      <t>Piece Quantity</t>
    </r>
  </si>
  <si>
    <t>Product Line</t>
  </si>
  <si>
    <t>Price List</t>
  </si>
  <si>
    <t>Multiplier</t>
  </si>
  <si>
    <t>Non-Standard</t>
  </si>
  <si>
    <t>DWV PVC</t>
  </si>
  <si>
    <t>DWV ABS</t>
  </si>
  <si>
    <t>Company:</t>
  </si>
  <si>
    <t>Payment Terms:</t>
  </si>
  <si>
    <t>PVC SCH40</t>
  </si>
  <si>
    <t>Contact name:</t>
  </si>
  <si>
    <t xml:space="preserve"> </t>
  </si>
  <si>
    <t>FFA $:</t>
  </si>
  <si>
    <t>PVC SCH40 LD</t>
  </si>
  <si>
    <t>P.O. Number:</t>
  </si>
  <si>
    <t>Ship To Phone:</t>
  </si>
  <si>
    <t>Pool &amp; SPA Sweep Elbows</t>
  </si>
  <si>
    <t>Job Name:</t>
  </si>
  <si>
    <t>Fax:</t>
  </si>
  <si>
    <t>Pool &amp; SPA Pipe Extender</t>
  </si>
  <si>
    <t>Sales Representative:</t>
  </si>
  <si>
    <t>Email:</t>
  </si>
  <si>
    <t>PVC SCH80</t>
  </si>
  <si>
    <t>PVC SCH80 Flange</t>
  </si>
  <si>
    <t>PVC SCH80 LD Flange</t>
  </si>
  <si>
    <t>Ship To:</t>
  </si>
  <si>
    <t>Bill To:</t>
  </si>
  <si>
    <t>CPVC</t>
  </si>
  <si>
    <t>Insert Fittings</t>
  </si>
  <si>
    <t>Valves</t>
  </si>
  <si>
    <t>SDR35SW</t>
  </si>
  <si>
    <t>SDR35G</t>
  </si>
  <si>
    <t>SDR26G</t>
  </si>
  <si>
    <t>Cements</t>
  </si>
  <si>
    <t>Valve Box</t>
  </si>
  <si>
    <t>Valve Box Components</t>
  </si>
  <si>
    <t>Drainage</t>
  </si>
  <si>
    <t>Nipples</t>
  </si>
  <si>
    <t>Manifold</t>
  </si>
  <si>
    <t>Flexible Repair Couplings</t>
  </si>
  <si>
    <t>Dura Fix</t>
  </si>
  <si>
    <t>Compression Fittings</t>
  </si>
  <si>
    <t>Hose Fittings</t>
  </si>
  <si>
    <t>Swing Joints</t>
  </si>
  <si>
    <t>Swing Joints Components</t>
  </si>
  <si>
    <t xml:space="preserve">Quote to Order Acceptance Signature: </t>
  </si>
  <si>
    <t>Product Total:</t>
  </si>
  <si>
    <t>Part Number</t>
  </si>
  <si>
    <t>SAP Code</t>
  </si>
  <si>
    <t>Product Description</t>
  </si>
  <si>
    <t>List Price</t>
  </si>
  <si>
    <t>Quantity Ordered*</t>
  </si>
  <si>
    <t>Box Quantity</t>
  </si>
  <si>
    <t>Boxes Ordered</t>
  </si>
  <si>
    <t>Net/Unit $</t>
  </si>
  <si>
    <t>Line Total $</t>
  </si>
  <si>
    <t>Received Quantity</t>
  </si>
  <si>
    <t>ABS Drain Waste and Vent</t>
  </si>
  <si>
    <t>Enter Piece Quantity Here</t>
  </si>
  <si>
    <t>List Price ABS DWV (Drain Waste and Vent)</t>
  </si>
  <si>
    <t>ABSDWV092024</t>
  </si>
  <si>
    <t>Effective JAN 02 2026</t>
  </si>
  <si>
    <t>*In Stock - Within 2 days</t>
  </si>
  <si>
    <t>UPC-A / ITF-14</t>
  </si>
  <si>
    <t>Box Qty</t>
  </si>
  <si>
    <t>Pallet Qty</t>
  </si>
  <si>
    <r>
      <rPr>
        <b/>
        <sz val="11"/>
        <color theme="0"/>
        <rFont val="Wingdings 2"/>
        <family val="1"/>
        <charset val="2"/>
      </rPr>
      <t>P</t>
    </r>
    <r>
      <rPr>
        <b/>
        <sz val="11"/>
        <color theme="0"/>
        <rFont val="Calibri"/>
        <family val="2"/>
      </rPr>
      <t xml:space="preserve"> Box Quantity</t>
    </r>
  </si>
  <si>
    <t>Availability</t>
  </si>
  <si>
    <t>Origin</t>
  </si>
  <si>
    <t>Piece</t>
  </si>
  <si>
    <t>Bag</t>
  </si>
  <si>
    <t>Carton</t>
  </si>
  <si>
    <t>Item Weight
(LB)</t>
  </si>
  <si>
    <t>600-015</t>
  </si>
  <si>
    <t>SANITARY TEE HXHXH 1-1/2 ABS</t>
  </si>
  <si>
    <t>In Stock</t>
  </si>
  <si>
    <t>Sourced</t>
  </si>
  <si>
    <t>600-023</t>
  </si>
  <si>
    <t>SANITARY TEE HXHXH 2 ABS</t>
  </si>
  <si>
    <t>600-031</t>
  </si>
  <si>
    <t>SANITARY TEE HXHXH 3 ABS</t>
  </si>
  <si>
    <t>600-049</t>
  </si>
  <si>
    <t>SANITARY TEE HXHXH 4 ABS</t>
  </si>
  <si>
    <t>600-080</t>
  </si>
  <si>
    <t>SANITARY TEE HXHXH 2X1-1/2X1-1/2 ABS</t>
  </si>
  <si>
    <t>600-098</t>
  </si>
  <si>
    <t>SANITARY TEE HXHXH 2X1-1/2X2 ABS</t>
  </si>
  <si>
    <t>600-114</t>
  </si>
  <si>
    <t>SANITARY TEE HXHXH 2X2X1-1/2 ABS</t>
  </si>
  <si>
    <t>600-130</t>
  </si>
  <si>
    <t>SANITARY TEE HXHXH 3X1-1/2 ABS</t>
  </si>
  <si>
    <t>600-148</t>
  </si>
  <si>
    <t>SANITARY TEE HXHXH 3X3X2 ABS</t>
  </si>
  <si>
    <t>600-155</t>
  </si>
  <si>
    <t>SANITARY TEE HXHXH 4X4X2 ABS</t>
  </si>
  <si>
    <t>604-314</t>
  </si>
  <si>
    <t>SANITARY TEE STREET SXHXH 1-1/2 ABS</t>
  </si>
  <si>
    <t>600-395</t>
  </si>
  <si>
    <t>WYE HXHXH 1-1/2 ABS</t>
  </si>
  <si>
    <t>600-403</t>
  </si>
  <si>
    <t>WYE HXHXH 2 ABS</t>
  </si>
  <si>
    <t>Manufactured</t>
  </si>
  <si>
    <t>816842028764</t>
  </si>
  <si>
    <t>816842028771</t>
  </si>
  <si>
    <t>600-411</t>
  </si>
  <si>
    <t>WYE HXHXH 3 ABS</t>
  </si>
  <si>
    <t>816842029310</t>
  </si>
  <si>
    <t>816842029327</t>
  </si>
  <si>
    <t>600-429</t>
  </si>
  <si>
    <t>WYE HXHXH 4 ABS</t>
  </si>
  <si>
    <t>600-478</t>
  </si>
  <si>
    <t>WYE HXHXH 3X1-1/2 ABS</t>
  </si>
  <si>
    <t>600-486</t>
  </si>
  <si>
    <t>WYE HXHXH 3X3X2 ABS</t>
  </si>
  <si>
    <t>605-139</t>
  </si>
  <si>
    <t>WYE HXHXH 4X4X2 ABS</t>
  </si>
  <si>
    <t>605-147</t>
  </si>
  <si>
    <t>WYE HXHXH 4X4X3 ABS</t>
  </si>
  <si>
    <t>816842027644</t>
  </si>
  <si>
    <t>816842029563</t>
  </si>
  <si>
    <t>600-528</t>
  </si>
  <si>
    <t>DOUBLE WYE HXHXH 1-1/2 ABS</t>
  </si>
  <si>
    <t>600-536</t>
  </si>
  <si>
    <t>DOUBLE WYE HXHXH 2 ABS</t>
  </si>
  <si>
    <t>600-544</t>
  </si>
  <si>
    <t>DOUBLE WYE HXHXH 3 ABS</t>
  </si>
  <si>
    <t>604-264</t>
  </si>
  <si>
    <t>COMBINATION TEE-WYE HXHXH 1-1/2 ABS</t>
  </si>
  <si>
    <t>604-272</t>
  </si>
  <si>
    <t>COMBINATION TEE-WYE HXHXH 2 ABS</t>
  </si>
  <si>
    <t>604-280</t>
  </si>
  <si>
    <t>COMBINATION TEE-WYE HXHXH 3 ABS</t>
  </si>
  <si>
    <t>604-298</t>
  </si>
  <si>
    <t>COMBINATION TEE-WYE HXHXH 4 ABS</t>
  </si>
  <si>
    <t>604-603</t>
  </si>
  <si>
    <t>COMBINATION TEE-WYE HXHXH 3X3X2 ABS</t>
  </si>
  <si>
    <t>816842029884</t>
  </si>
  <si>
    <t>600-213</t>
  </si>
  <si>
    <t>CLEANOUT TEE W/O PLUG HXHXFPT 1-1/2 ABS</t>
  </si>
  <si>
    <t>600-676</t>
  </si>
  <si>
    <t>90 ELBOW ASTM HXH 4 ABS</t>
  </si>
  <si>
    <t>816842028634</t>
  </si>
  <si>
    <t>816842028627</t>
  </si>
  <si>
    <t>600-601</t>
  </si>
  <si>
    <t>90 ELBOW HXH 1-1/2 ABS</t>
  </si>
  <si>
    <t>600-627</t>
  </si>
  <si>
    <t>90 ELBOW HXH 2 ABS</t>
  </si>
  <si>
    <t>600-643</t>
  </si>
  <si>
    <t>90 ELBOW HXH 3 ABS</t>
  </si>
  <si>
    <t>816842028504</t>
  </si>
  <si>
    <t>816842028511</t>
  </si>
  <si>
    <t>604-074</t>
  </si>
  <si>
    <t>90 VENT ELBOW HXH  1-1/2 ABS</t>
  </si>
  <si>
    <t>604-082</t>
  </si>
  <si>
    <t>90 VENT ELBOW HXH  2 ABS</t>
  </si>
  <si>
    <t>604-090</t>
  </si>
  <si>
    <t>90 VENT ELBOW HXH  3 ABS</t>
  </si>
  <si>
    <t>600-700</t>
  </si>
  <si>
    <t>90 LONG SWEEP ELBOW HXH 1-1/2 ABS</t>
  </si>
  <si>
    <t>604-116</t>
  </si>
  <si>
    <t>90 LONG SWEEP ELBOW HXH 2 ABS</t>
  </si>
  <si>
    <t>604-124</t>
  </si>
  <si>
    <t>90 LONG SWEEP ELBOW HXH 3 ABS</t>
  </si>
  <si>
    <t>604-132</t>
  </si>
  <si>
    <t>90 LONG SWEEP ELBOW HXH 4 ABS</t>
  </si>
  <si>
    <t>600-734</t>
  </si>
  <si>
    <t>90 ELBOW STREET SXH 1-1/2 ABS</t>
  </si>
  <si>
    <t>604-207</t>
  </si>
  <si>
    <t>90 ELBOW STREET SXH 2 ABS</t>
  </si>
  <si>
    <t>604-215</t>
  </si>
  <si>
    <t>90 ELBOW STREET SXH 3 ABS</t>
  </si>
  <si>
    <t>816842028740</t>
  </si>
  <si>
    <t>816842028757</t>
  </si>
  <si>
    <t>604-728</t>
  </si>
  <si>
    <t>90 LONG SWEEP ELBOW STREET SXH 1-1/2 ABS</t>
  </si>
  <si>
    <t>604-744</t>
  </si>
  <si>
    <t>90 LONG SWEEP ELBOW STREET SXH 3 ABS</t>
  </si>
  <si>
    <t>285-300</t>
  </si>
  <si>
    <t>90 DOUBLE ELBOW HXHXH 1-1/2 ABS</t>
  </si>
  <si>
    <t>285-400</t>
  </si>
  <si>
    <t>90 DOUBLE ELBOW HXHXH 2 ABS</t>
  </si>
  <si>
    <t>285-550</t>
  </si>
  <si>
    <t>90 DOUBLE ELBOW HXHXH 3 ABS</t>
  </si>
  <si>
    <t>600-841</t>
  </si>
  <si>
    <t>60 ELBOW HXH 1-1/2 ABS</t>
  </si>
  <si>
    <t>600-866</t>
  </si>
  <si>
    <t>60 ELBOW HXH 3 ABS</t>
  </si>
  <si>
    <t>604-967</t>
  </si>
  <si>
    <t>60 ELBOW STREET SXH 1-1/2 ABS</t>
  </si>
  <si>
    <t>600-940</t>
  </si>
  <si>
    <t>45 ELBOW ASTM HXH 4 ABS</t>
  </si>
  <si>
    <t>600-890</t>
  </si>
  <si>
    <t>45 ELBOW HXH 1-1/2 ABS</t>
  </si>
  <si>
    <t>816842027576</t>
  </si>
  <si>
    <t>816842029174</t>
  </si>
  <si>
    <t>600-916</t>
  </si>
  <si>
    <t>45 ELBOW HXH 2 ABS</t>
  </si>
  <si>
    <t>816842028603</t>
  </si>
  <si>
    <t>816842028610</t>
  </si>
  <si>
    <t>600-932</t>
  </si>
  <si>
    <t>45 ELBOW HXH 3 ABS</t>
  </si>
  <si>
    <t>816842028962</t>
  </si>
  <si>
    <t>816842028979</t>
  </si>
  <si>
    <t>600-981</t>
  </si>
  <si>
    <t>45 ELBOW STREET ASTM SXH 1-1/2 ABS</t>
  </si>
  <si>
    <t>601-013</t>
  </si>
  <si>
    <t>45 ELBOW STREET ASTM SXH 4 ABS</t>
  </si>
  <si>
    <t>600-999</t>
  </si>
  <si>
    <t>45 ELBOW STREET SXH 2 ABS</t>
  </si>
  <si>
    <t>816842029532</t>
  </si>
  <si>
    <t>816842029549</t>
  </si>
  <si>
    <t>601-005</t>
  </si>
  <si>
    <t>45 ELBOW STREET SXH 3 ABS</t>
  </si>
  <si>
    <t>816842028320</t>
  </si>
  <si>
    <t>816842028337</t>
  </si>
  <si>
    <t>601-047</t>
  </si>
  <si>
    <t>22.5 ELBOW HXH 1-1/2 ABS</t>
  </si>
  <si>
    <t>601-054</t>
  </si>
  <si>
    <t>22.5 ELBOW HXH 2 ABS</t>
  </si>
  <si>
    <t>601-062</t>
  </si>
  <si>
    <t>22.5 ELBOW HXH 3 ABS</t>
  </si>
  <si>
    <t>601-070</t>
  </si>
  <si>
    <t>22.5 ELBOW HXH 4 ABS</t>
  </si>
  <si>
    <t>601-096</t>
  </si>
  <si>
    <t>22.5 ELBOW STREET SXH 1-1/2 ABS</t>
  </si>
  <si>
    <t>816842027552</t>
  </si>
  <si>
    <t>816842028849</t>
  </si>
  <si>
    <t>605-030</t>
  </si>
  <si>
    <t>22.5 ELBOW STREET SXH 2 ABS</t>
  </si>
  <si>
    <t>816842027569</t>
  </si>
  <si>
    <t>816842029778</t>
  </si>
  <si>
    <t>601-120</t>
  </si>
  <si>
    <t>COUPLING HXH 1-1/2 ABS</t>
  </si>
  <si>
    <t>601-112</t>
  </si>
  <si>
    <t>COUPLING HXH 1-1/4 ABS</t>
  </si>
  <si>
    <t>601-138</t>
  </si>
  <si>
    <t>COUPLING HXH 2 ABS</t>
  </si>
  <si>
    <t>601-146</t>
  </si>
  <si>
    <t>COUPLING HXH 3 ABS</t>
  </si>
  <si>
    <t>601-153</t>
  </si>
  <si>
    <t>COUPLING HXH 4 ABS</t>
  </si>
  <si>
    <t>816842027583</t>
  </si>
  <si>
    <t>816842028955</t>
  </si>
  <si>
    <t>601-195</t>
  </si>
  <si>
    <t>REDUCING COUPLING HXH 2X1-1/2 ABS</t>
  </si>
  <si>
    <t>601-211</t>
  </si>
  <si>
    <t>REDUCING COUPLING HXH 3X2 ABS</t>
  </si>
  <si>
    <t>601-252</t>
  </si>
  <si>
    <t>REDUCING COUPLING HXH 4X3 ABS</t>
  </si>
  <si>
    <t>601-286</t>
  </si>
  <si>
    <t>MALE ADAPT HXMPT 1-1/2 ABS</t>
  </si>
  <si>
    <t>601-294</t>
  </si>
  <si>
    <t>MALE ADAPT HXMPT 2 ABS</t>
  </si>
  <si>
    <t>601-302</t>
  </si>
  <si>
    <t>MALE ADAPT HXMPT 3 ABS</t>
  </si>
  <si>
    <t>601-344</t>
  </si>
  <si>
    <t>MALE FITTING ADAPT SPGXMPT 1-1/2 ABS</t>
  </si>
  <si>
    <t>601-385</t>
  </si>
  <si>
    <t>FEMALE ADAPT HXFPT 1-1/2 ABS</t>
  </si>
  <si>
    <t>601-393</t>
  </si>
  <si>
    <t>FEMALE ADAPT HXFPT 2 ABS</t>
  </si>
  <si>
    <t>601-401</t>
  </si>
  <si>
    <t>FEMALE ADAPT HXFPT 3 ABS</t>
  </si>
  <si>
    <t>601-419</t>
  </si>
  <si>
    <t>FEMALE ADAPT HXFPT 4 ABS</t>
  </si>
  <si>
    <t>816842027934</t>
  </si>
  <si>
    <t>816842027941</t>
  </si>
  <si>
    <t>601-450</t>
  </si>
  <si>
    <t>FITTING CLEANOUT ADAPT SPGXFPT 1-1/2 ABS</t>
  </si>
  <si>
    <t>601-468</t>
  </si>
  <si>
    <t>FITTING CLEANOUT ADAPT SPGXFPT 2 ABS</t>
  </si>
  <si>
    <t>601-476</t>
  </si>
  <si>
    <t>FITTING CLEANOUT ADAPT SPGXFPT 3 ABS</t>
  </si>
  <si>
    <t>601-484</t>
  </si>
  <si>
    <t>FITTING CLEANOUT ADAPT SPGXFPT 4 ABS</t>
  </si>
  <si>
    <t>601-567</t>
  </si>
  <si>
    <t>BUSHING SPGXH 2X1-1/2 ABS</t>
  </si>
  <si>
    <t>601-583</t>
  </si>
  <si>
    <t>BUSHING SPGXH 3X2 ABS</t>
  </si>
  <si>
    <t>601-617</t>
  </si>
  <si>
    <t>BUSHING SPGXH 4X3 ABS</t>
  </si>
  <si>
    <t>601-948</t>
  </si>
  <si>
    <t>PIPE TRAP ADAPT FEM HXSJ 1-1/2 ABS</t>
  </si>
  <si>
    <t>601-930</t>
  </si>
  <si>
    <t>PIPE TRAP ADAPT FEM HXSJ 1-1/2X1-1/4 ABS</t>
  </si>
  <si>
    <t>18-200</t>
  </si>
  <si>
    <t>PIPE TRAP ADAPT FEM HXSJ 2 ABS</t>
  </si>
  <si>
    <t>601-997</t>
  </si>
  <si>
    <t>FITING TRAP ADAPT SPGXSJ 1-1/2 LONG ABS</t>
  </si>
  <si>
    <t>601-989</t>
  </si>
  <si>
    <t>FITING TRAP ADAPT SPGXSJ 1-1/2X1-1/4 ABS</t>
  </si>
  <si>
    <t>602-193</t>
  </si>
  <si>
    <t>CLOSET FLANGE HUB 4X3 ABS</t>
  </si>
  <si>
    <t>605-352</t>
  </si>
  <si>
    <t>CLOSET FLANGE HUB W/ METAL RING 4X3 ABS</t>
  </si>
  <si>
    <t>602-227</t>
  </si>
  <si>
    <t>CLOSET FLANGE SPGT 4X3 ABS</t>
  </si>
  <si>
    <t>602-326</t>
  </si>
  <si>
    <t>P-TRAP HXH 1-1/2 ABS</t>
  </si>
  <si>
    <t>602-334</t>
  </si>
  <si>
    <t>P-TRAP HXH 2 ABS</t>
  </si>
  <si>
    <t>602-375</t>
  </si>
  <si>
    <t>P-TRAP W/ CLEANOUT HXH 1-1/2 ABS</t>
  </si>
  <si>
    <t>602-383</t>
  </si>
  <si>
    <t>P-TRAP W/ CLEANOUT HXH 2 ABS</t>
  </si>
  <si>
    <t>602-409</t>
  </si>
  <si>
    <t>P-TRAP WITH UNION HXH 1-1/2 ABS</t>
  </si>
  <si>
    <t>602-417</t>
  </si>
  <si>
    <t>P-TRAP WITH UNION HXH 2 ABS</t>
  </si>
  <si>
    <t>602-540</t>
  </si>
  <si>
    <t>CAP HUB 1-1/2 ABS</t>
  </si>
  <si>
    <t>602-557</t>
  </si>
  <si>
    <t>CAP HUB 2 ABS</t>
  </si>
  <si>
    <t>602-565</t>
  </si>
  <si>
    <t>CAP HUB 3 ABS</t>
  </si>
  <si>
    <t>602-573</t>
  </si>
  <si>
    <t>CAP HUB 4 ABS</t>
  </si>
  <si>
    <t>602-714</t>
  </si>
  <si>
    <t>PLUG MIPT 1-1/2 ABS</t>
  </si>
  <si>
    <t>602-722</t>
  </si>
  <si>
    <t>PLUG MIPT 2 ABS</t>
  </si>
  <si>
    <t>602-730</t>
  </si>
  <si>
    <t>PLUG MIPT 3 ABS</t>
  </si>
  <si>
    <t>602-748</t>
  </si>
  <si>
    <t>PLUG MIPT 4 ABS</t>
  </si>
  <si>
    <t>PVC DWV (Drain Waste and Vent)</t>
  </si>
  <si>
    <t>List Price DWV (Drain Waste and Vent)</t>
  </si>
  <si>
    <t>Box Weight
(LB)</t>
  </si>
  <si>
    <t>Box Cube
(FT)</t>
  </si>
  <si>
    <t>PVC Schedule 40 Pressure</t>
  </si>
  <si>
    <t>List Price PVC Schedule 40</t>
  </si>
  <si>
    <t>SCH400422024</t>
  </si>
  <si>
    <t>Bag Qty</t>
  </si>
  <si>
    <t>PVC Schedule 40 LD</t>
  </si>
  <si>
    <t>List Price PVC Schedule 40 LD</t>
  </si>
  <si>
    <t>List Price Pool &amp; SPA Sweep Elbows</t>
  </si>
  <si>
    <t>List Price Pool &amp; SPA Pipe Extender</t>
  </si>
  <si>
    <t xml:space="preserve"> PVC Schedule 80</t>
  </si>
  <si>
    <t>List Price PVC SCH80</t>
  </si>
  <si>
    <t xml:space="preserve"> PVC Schedule 80 Flange</t>
  </si>
  <si>
    <t>List Price PVC SCH80 Flange</t>
  </si>
  <si>
    <t>PVC Schedule 80 LD Flanges</t>
  </si>
  <si>
    <t>List Price Flanges Schedule 80</t>
  </si>
  <si>
    <t>CPVC CTS</t>
  </si>
  <si>
    <t>List Price CPVC CTS</t>
  </si>
  <si>
    <t>Within 3 Weeks</t>
  </si>
  <si>
    <t>Within 4 Months</t>
  </si>
  <si>
    <t>List Price Insert Fittings</t>
  </si>
  <si>
    <t>1401-005</t>
  </si>
  <si>
    <t>1/2 TEE INSERT</t>
  </si>
  <si>
    <t>1401-007</t>
  </si>
  <si>
    <t>3/4 TEE INSERT</t>
  </si>
  <si>
    <t>1401-010</t>
  </si>
  <si>
    <t>1 TEE INSERT</t>
  </si>
  <si>
    <t>1401-012</t>
  </si>
  <si>
    <t>1-1/4 TEE INSERT</t>
  </si>
  <si>
    <t>1401-015</t>
  </si>
  <si>
    <t>1-1/2 TEE INSERT</t>
  </si>
  <si>
    <t>1401-020</t>
  </si>
  <si>
    <t>2 TEE INSERT</t>
  </si>
  <si>
    <t>1401-101</t>
  </si>
  <si>
    <t>3/4X3/4X1/2 TEE INSERT</t>
  </si>
  <si>
    <t>1401-125</t>
  </si>
  <si>
    <t>1X3/4X3/4 TEE INSERT</t>
  </si>
  <si>
    <t>1401-130</t>
  </si>
  <si>
    <t>1X1X1/2 TEE INSERT</t>
  </si>
  <si>
    <t>1401-131</t>
  </si>
  <si>
    <t>1X1X3/4 TEE INSERT</t>
  </si>
  <si>
    <t>1401-168</t>
  </si>
  <si>
    <t>1-1/4X1-1/4X1 TEE INSERT</t>
  </si>
  <si>
    <t>1401-210</t>
  </si>
  <si>
    <t>1-1/2X1-1/2X3/4 TEE INSERT</t>
  </si>
  <si>
    <t>1401-211</t>
  </si>
  <si>
    <t>1-1/2X1-1/2X1 TEE INSERT</t>
  </si>
  <si>
    <t>1401-249</t>
  </si>
  <si>
    <t>2X2X1 TEE INSERT</t>
  </si>
  <si>
    <t>1401-158</t>
  </si>
  <si>
    <t>1-1/4X1X1 TEE INSERT</t>
  </si>
  <si>
    <t>1401-074</t>
  </si>
  <si>
    <t>1/2X1/2X3/4 BULLHEAD INSERT</t>
  </si>
  <si>
    <t>1401-102</t>
  </si>
  <si>
    <t>3/4X3/4X1 TEE INSERT</t>
  </si>
  <si>
    <t>1401-132</t>
  </si>
  <si>
    <t>1X1X1-1/4 BULLHEAD INSERT</t>
  </si>
  <si>
    <t>1401-099</t>
  </si>
  <si>
    <t>3/4X3/4X3/8 FUNNY PIPE TEE INS</t>
  </si>
  <si>
    <t>1401-129</t>
  </si>
  <si>
    <t>1X1X3/8 FUNNY PIPE TEE INSERT</t>
  </si>
  <si>
    <t>1402-005</t>
  </si>
  <si>
    <t>1/2 TEE INS/FPT</t>
  </si>
  <si>
    <t>1402-007</t>
  </si>
  <si>
    <t>3/4 TEE INS/FPT</t>
  </si>
  <si>
    <t>1402-010</t>
  </si>
  <si>
    <t>1 TEE INS/FPT</t>
  </si>
  <si>
    <t>1402-015</t>
  </si>
  <si>
    <t>1-1/2 TEE INS/FPT</t>
  </si>
  <si>
    <t>1402-020</t>
  </si>
  <si>
    <t>2 TEE INS/FPT</t>
  </si>
  <si>
    <t>1402-101</t>
  </si>
  <si>
    <t>3/4X3/4X1/2 TEE INS/FPT</t>
  </si>
  <si>
    <t>1402-130</t>
  </si>
  <si>
    <t>1X1X1/2 TEE INS/FPT</t>
  </si>
  <si>
    <t>1402-131</t>
  </si>
  <si>
    <t>1X1X3/4 TEE INS/FPT</t>
  </si>
  <si>
    <t>1402-166</t>
  </si>
  <si>
    <t>1-1/4X1-1/4X1/2 TEE INS/FPT</t>
  </si>
  <si>
    <t>1402-167</t>
  </si>
  <si>
    <t>1-1/4X1-1/4X3/4 TEE INS/FPT</t>
  </si>
  <si>
    <t>1402-168</t>
  </si>
  <si>
    <t>1-1/4X1-1/4X1 TEE INS/FPT</t>
  </si>
  <si>
    <t>1402-209</t>
  </si>
  <si>
    <t>1-1/2X1-1/2X1/2 TEE INS/FPT</t>
  </si>
  <si>
    <t>1402-210</t>
  </si>
  <si>
    <t>1-1/2X1-1/2X3/4 TEE INS/FPT</t>
  </si>
  <si>
    <t>1402-211</t>
  </si>
  <si>
    <t>1-1/2X1-1/2X1 TEE INS FPT</t>
  </si>
  <si>
    <t>1402-247</t>
  </si>
  <si>
    <t>2X2X1/2 TEE INS/FPT</t>
  </si>
  <si>
    <t>1402-248</t>
  </si>
  <si>
    <t>2X2X3/4 TEE INS/FPT</t>
  </si>
  <si>
    <t>1402-249</t>
  </si>
  <si>
    <t>2X2X1 TEE INS/FPT</t>
  </si>
  <si>
    <t>1402-125</t>
  </si>
  <si>
    <t>1X3/4X3/4 TEE  INS/FPT</t>
  </si>
  <si>
    <t>1403-005</t>
  </si>
  <si>
    <t>1/2 TEE INS/MPT</t>
  </si>
  <si>
    <t>1403-007</t>
  </si>
  <si>
    <t>3/4 TEE INS/MPT</t>
  </si>
  <si>
    <t>1403-010</t>
  </si>
  <si>
    <t>1 TEE INS/MPT</t>
  </si>
  <si>
    <t>1403-012</t>
  </si>
  <si>
    <t>1-1/4 TEE INS/MPT</t>
  </si>
  <si>
    <t>1406-005</t>
  </si>
  <si>
    <t>1/2 ELL INSERT</t>
  </si>
  <si>
    <t>1406-007</t>
  </si>
  <si>
    <t>3/4 ELL INSERT</t>
  </si>
  <si>
    <t>1406-010</t>
  </si>
  <si>
    <t>1 ELL INSERT</t>
  </si>
  <si>
    <t>1406-012</t>
  </si>
  <si>
    <t>1-1/4 ELL INSERT</t>
  </si>
  <si>
    <t>1406-015</t>
  </si>
  <si>
    <t>1-1/2 ELL INSERT</t>
  </si>
  <si>
    <t>1406-020</t>
  </si>
  <si>
    <t>2 ELL INSERT</t>
  </si>
  <si>
    <t>1406-129</t>
  </si>
  <si>
    <t>1X3/8 FUNNY PIPE ELL INSERT</t>
  </si>
  <si>
    <t>1406-101</t>
  </si>
  <si>
    <t>3/4x1/2 ELL INSERT</t>
  </si>
  <si>
    <t>1406-131</t>
  </si>
  <si>
    <t>1X3/4 ELL INSERT</t>
  </si>
  <si>
    <t>1407-005</t>
  </si>
  <si>
    <t>1/2 ELL INS/FPT</t>
  </si>
  <si>
    <t>1407-007</t>
  </si>
  <si>
    <t>3/4 ELL INS/FPT</t>
  </si>
  <si>
    <t>1407-010</t>
  </si>
  <si>
    <t>1 ELL INS/FPT</t>
  </si>
  <si>
    <t>1407-012</t>
  </si>
  <si>
    <t>1-1/4 ELL INS/FPT</t>
  </si>
  <si>
    <t>1407-015</t>
  </si>
  <si>
    <t>1-1/2 ELL INS/FPT</t>
  </si>
  <si>
    <t>1407-020</t>
  </si>
  <si>
    <t>2 ELL INS/FPT</t>
  </si>
  <si>
    <t>1407-101</t>
  </si>
  <si>
    <t>3/4X1/2 ELL INS/FPT</t>
  </si>
  <si>
    <t>1407-130</t>
  </si>
  <si>
    <t>1X1/2 ELL INS/FPT</t>
  </si>
  <si>
    <t>1407-131</t>
  </si>
  <si>
    <t>1X3/4 ELL INS/FPT</t>
  </si>
  <si>
    <t>1407-166</t>
  </si>
  <si>
    <t>1-1/4X1/2 ELL INS/FPT</t>
  </si>
  <si>
    <t>1407-167</t>
  </si>
  <si>
    <t>1-1/4X3/4 ELL INS/FPT</t>
  </si>
  <si>
    <t>1407-168</t>
  </si>
  <si>
    <t>1-1/4X1 ELL INS/FPT</t>
  </si>
  <si>
    <t>1413-005</t>
  </si>
  <si>
    <t>1/2 ELL INS/MPT</t>
  </si>
  <si>
    <t>1413-007</t>
  </si>
  <si>
    <t>3/4 ELL INS/MPT</t>
  </si>
  <si>
    <t>1413-010</t>
  </si>
  <si>
    <t>1 ELL INS/MPT</t>
  </si>
  <si>
    <t>1413-012</t>
  </si>
  <si>
    <t>1-1/4 ELL INS/MPT</t>
  </si>
  <si>
    <t>1413-015</t>
  </si>
  <si>
    <t>1-1/2 ELL INS/MPT</t>
  </si>
  <si>
    <t>1413-020</t>
  </si>
  <si>
    <t>2 ELL INS/MPT</t>
  </si>
  <si>
    <t>1413-074</t>
  </si>
  <si>
    <t>1/2X3/4 ELL INS/MPT</t>
  </si>
  <si>
    <t>1413-101</t>
  </si>
  <si>
    <t>3/4X1/2 ELL INS/MPT</t>
  </si>
  <si>
    <t>1413-130</t>
  </si>
  <si>
    <t>1X1/2 ELL INS/MPT</t>
  </si>
  <si>
    <t>1413-131</t>
  </si>
  <si>
    <t>1X3/4 ELL INS/MPT</t>
  </si>
  <si>
    <t>1414-007</t>
  </si>
  <si>
    <t>3/4X3/4X3/4 SID OUTLET 90 ELL</t>
  </si>
  <si>
    <t>1414-101</t>
  </si>
  <si>
    <t>3/4X3/4X1/2 SIDE OUTLET 90 ELL</t>
  </si>
  <si>
    <t>1414-130</t>
  </si>
  <si>
    <t>1X1X1/2 SIDE OUTLET 90 ELL</t>
  </si>
  <si>
    <t>1414-131</t>
  </si>
  <si>
    <t>1X1X3/4 SIDE OUTLET 90 ELL</t>
  </si>
  <si>
    <t>1416-101</t>
  </si>
  <si>
    <t>3/4X3/4X3/4X1/2 SIDE OUTLET TEE</t>
  </si>
  <si>
    <t>1416-130</t>
  </si>
  <si>
    <t>1X1X1X1/2 SIDE OUTLET TEE</t>
  </si>
  <si>
    <t>1416-131</t>
  </si>
  <si>
    <t>1X1X1X3/4 SIDE OUTLET TEE</t>
  </si>
  <si>
    <t>1420-005</t>
  </si>
  <si>
    <t>1/2 CROSS INSERT</t>
  </si>
  <si>
    <t>1420-007</t>
  </si>
  <si>
    <t>3/4 CROSS INSERT</t>
  </si>
  <si>
    <t>1420-010</t>
  </si>
  <si>
    <t>1 CROSS INSERT</t>
  </si>
  <si>
    <t>1420-130</t>
  </si>
  <si>
    <t>1X1X1/2X1/2 CROSS INSERT</t>
  </si>
  <si>
    <t>1429-005</t>
  </si>
  <si>
    <t>1/2 COUPL INSERT</t>
  </si>
  <si>
    <t>1429-007</t>
  </si>
  <si>
    <t>3/4 COUPL INSERT</t>
  </si>
  <si>
    <t>1429-010</t>
  </si>
  <si>
    <t>1 COUPL INSERT</t>
  </si>
  <si>
    <t>1429-012</t>
  </si>
  <si>
    <t>1-1/4 COUPL INSERT</t>
  </si>
  <si>
    <t>1429-015</t>
  </si>
  <si>
    <t>1-1/2 COUPL INSERT</t>
  </si>
  <si>
    <t>1429-020</t>
  </si>
  <si>
    <t>2 COUPL INSERT</t>
  </si>
  <si>
    <t>1429-101</t>
  </si>
  <si>
    <t>3/4X1/2 COUPL INSERT</t>
  </si>
  <si>
    <t>1429-130</t>
  </si>
  <si>
    <t>1X1/2 COUPL INSERT</t>
  </si>
  <si>
    <t>1429-131</t>
  </si>
  <si>
    <t>1X3/4 COUPL INSERT</t>
  </si>
  <si>
    <t>1429-168</t>
  </si>
  <si>
    <t>1-1/4X1 COUPL INSERT</t>
  </si>
  <si>
    <t>1429-210</t>
  </si>
  <si>
    <t>1-1/2X3/4 COUPL INSERT</t>
  </si>
  <si>
    <t>1429-211</t>
  </si>
  <si>
    <t>1-1/2X1 COUPL INSERT</t>
  </si>
  <si>
    <t>1429-212</t>
  </si>
  <si>
    <t>1-1/2X1-1/4 COUPL INSERT</t>
  </si>
  <si>
    <t>1429-251</t>
  </si>
  <si>
    <t>2X1-1/2 COUPL INSERT</t>
  </si>
  <si>
    <t>1429-137</t>
  </si>
  <si>
    <t>1 X 7/8 COUPL INSERT</t>
  </si>
  <si>
    <t>1429-099</t>
  </si>
  <si>
    <t>3/4 X 3/8 INSERT X FUNNY PIPE</t>
  </si>
  <si>
    <t>1429-129</t>
  </si>
  <si>
    <t>1X3/8 INSERT X FUNNY PIPE CPLG</t>
  </si>
  <si>
    <t>1432-005</t>
  </si>
  <si>
    <t>1/2 FTG ADAP SPG/INS</t>
  </si>
  <si>
    <t>1432-007</t>
  </si>
  <si>
    <t>3/4 FTG ADAP SPG/INS</t>
  </si>
  <si>
    <t>1432-010</t>
  </si>
  <si>
    <t>1 FTG ADAP SPG/INS</t>
  </si>
  <si>
    <t>1432-012</t>
  </si>
  <si>
    <t>1-1/4 ADAP SPG/INS</t>
  </si>
  <si>
    <t>1432-015</t>
  </si>
  <si>
    <t>1-1/2 FTG ADAP SPG/INS</t>
  </si>
  <si>
    <t>1432-020</t>
  </si>
  <si>
    <t>2 FTG ADAP SPG/INS</t>
  </si>
  <si>
    <t>1432-030</t>
  </si>
  <si>
    <t>3 FTG ADAP SPG/INS</t>
  </si>
  <si>
    <t>1432-101</t>
  </si>
  <si>
    <t>3/4X1/2 FTG ADAP SPG/INS</t>
  </si>
  <si>
    <t>1432-130</t>
  </si>
  <si>
    <t>1X1/2 FTG ADAP SPG/INS</t>
  </si>
  <si>
    <t>1432-131</t>
  </si>
  <si>
    <t>1X3/4 SPG/INSERT FITT ADPT</t>
  </si>
  <si>
    <t>1432-166</t>
  </si>
  <si>
    <t>1-1/4X1/2 FTG ADAP SPG/INS</t>
  </si>
  <si>
    <t>1432-167</t>
  </si>
  <si>
    <t>1-1/4X3/4 FTG ADAP SPG/INS</t>
  </si>
  <si>
    <t>1432-168</t>
  </si>
  <si>
    <t>1-1/4X1 FTG ADAP SPG/INS</t>
  </si>
  <si>
    <t>1432-211</t>
  </si>
  <si>
    <t>1-1/2X1 FTG ADAP SPG/INS</t>
  </si>
  <si>
    <t>1432-212</t>
  </si>
  <si>
    <t>1-1/2X1-1/4 FTG ADAP SPG/INS</t>
  </si>
  <si>
    <t>1435-005</t>
  </si>
  <si>
    <t>1/2 FA INSERT</t>
  </si>
  <si>
    <t>1435-007</t>
  </si>
  <si>
    <t>3/4 FA INSERT</t>
  </si>
  <si>
    <t>1435-010</t>
  </si>
  <si>
    <t>1 FA INSERT</t>
  </si>
  <si>
    <t>1435-012</t>
  </si>
  <si>
    <t>1-1/4 FA INSERT</t>
  </si>
  <si>
    <t>1435-015</t>
  </si>
  <si>
    <t>1-1/2 FA INSERT</t>
  </si>
  <si>
    <t>1435-020</t>
  </si>
  <si>
    <t>2 FA INSERT</t>
  </si>
  <si>
    <t>1436-005</t>
  </si>
  <si>
    <t>1/2 MA INSERT</t>
  </si>
  <si>
    <t>1436-007</t>
  </si>
  <si>
    <t>3/4 MA INSERT</t>
  </si>
  <si>
    <t>1436-010</t>
  </si>
  <si>
    <t>1 MA INSERT</t>
  </si>
  <si>
    <t>1436-012</t>
  </si>
  <si>
    <t>1-1/4 MA INSERT</t>
  </si>
  <si>
    <t>1436-015</t>
  </si>
  <si>
    <t>1-1/2 MA INSERT</t>
  </si>
  <si>
    <t>1436-020</t>
  </si>
  <si>
    <t>2 MA INSERT</t>
  </si>
  <si>
    <t>1436-074</t>
  </si>
  <si>
    <t>1/2X3/4 MA INSERT</t>
  </si>
  <si>
    <t>1436-075</t>
  </si>
  <si>
    <t>1/2X1 MA INSERT</t>
  </si>
  <si>
    <t>1436-102</t>
  </si>
  <si>
    <t>3/4X1 MA INSERT</t>
  </si>
  <si>
    <t>1436-132</t>
  </si>
  <si>
    <t>1X1-1/4 MA INSERT</t>
  </si>
  <si>
    <t>1436-133</t>
  </si>
  <si>
    <t>1X1-1/2 MA INSERT</t>
  </si>
  <si>
    <t>1436-213</t>
  </si>
  <si>
    <t>1-1/2X2 MA INSERT</t>
  </si>
  <si>
    <t>1436-072</t>
  </si>
  <si>
    <t>1/2X1/4 MA INSERT</t>
  </si>
  <si>
    <t>1436-101</t>
  </si>
  <si>
    <t>3/4X1/2 MA INSERT</t>
  </si>
  <si>
    <t>1436-130</t>
  </si>
  <si>
    <t>1X1/2 MA INSERT</t>
  </si>
  <si>
    <t>1436-131</t>
  </si>
  <si>
    <t>1X3/4 MA INSERT</t>
  </si>
  <si>
    <t>1436-168</t>
  </si>
  <si>
    <t>1-1/4X1 MA INSERT</t>
  </si>
  <si>
    <t>1436-211</t>
  </si>
  <si>
    <t>1-1/2X1 MA INSERT</t>
  </si>
  <si>
    <t>1436-212</t>
  </si>
  <si>
    <t>1-1/2X1-1/4 MA INSERT</t>
  </si>
  <si>
    <t>1436-251</t>
  </si>
  <si>
    <t>2X1-1/2 MA INSERT</t>
  </si>
  <si>
    <t>1449-005</t>
  </si>
  <si>
    <t>1/2 PLUG INSERT</t>
  </si>
  <si>
    <t>1449-007</t>
  </si>
  <si>
    <t>3/4 PLUG INSERT</t>
  </si>
  <si>
    <t>1449-010</t>
  </si>
  <si>
    <t>1 PLUG INSERT</t>
  </si>
  <si>
    <t>1449-012</t>
  </si>
  <si>
    <t>1-1/4 PLUG INSERT</t>
  </si>
  <si>
    <t>1449-015</t>
  </si>
  <si>
    <t>1-1/2 PLUG INSERT</t>
  </si>
  <si>
    <t>1449-020</t>
  </si>
  <si>
    <t>2 PLUG INSERT</t>
  </si>
  <si>
    <t>List Price Valves</t>
  </si>
  <si>
    <t>VALVES042024</t>
  </si>
  <si>
    <t>S1-005W</t>
  </si>
  <si>
    <t>1/2 PVC BALL VALVE(SXS)</t>
  </si>
  <si>
    <t>-</t>
  </si>
  <si>
    <t>In stock</t>
  </si>
  <si>
    <t>S1-007W</t>
  </si>
  <si>
    <t>3/4 PVC BALL VALVE(SXS)</t>
  </si>
  <si>
    <t>S1-010W</t>
  </si>
  <si>
    <t>1 PVC BALL VALVE(SXS)</t>
  </si>
  <si>
    <t>S1-012W</t>
  </si>
  <si>
    <t>11/4PVC BALL VALVE(SXS)</t>
  </si>
  <si>
    <t>S1-015W</t>
  </si>
  <si>
    <t>11/2PVC BALL VALVE(SXS)</t>
  </si>
  <si>
    <t>S1-020W</t>
  </si>
  <si>
    <t>2 PVC BALL VALVE(SXS)</t>
  </si>
  <si>
    <t>S1-025W</t>
  </si>
  <si>
    <t>2-1/2 SS WHITE COMP BALL VLV 37059002</t>
  </si>
  <si>
    <t>S1-030W</t>
  </si>
  <si>
    <t>3 SS WHITE COMP BALL VLV 37059003</t>
  </si>
  <si>
    <t>S1-040W</t>
  </si>
  <si>
    <t>4 SS WHITE COMP BALL VLV 37059004</t>
  </si>
  <si>
    <t>S1-005G</t>
  </si>
  <si>
    <t>1/2 SS GRAY COMP BALL VLV 37059005</t>
  </si>
  <si>
    <t>S1-007G</t>
  </si>
  <si>
    <t>3/4 SS GREY COMP BALL VLV 37059006</t>
  </si>
  <si>
    <t>S1-010G</t>
  </si>
  <si>
    <t>1 SS GRAY COMP BALL VLV 37059007</t>
  </si>
  <si>
    <t>S1-012G</t>
  </si>
  <si>
    <t>1-1/4 SS GRAY COMP BALL VLV 37059008</t>
  </si>
  <si>
    <t>S1-015G</t>
  </si>
  <si>
    <t>1-1/2 GRAY COMP BALL VLV 37059009</t>
  </si>
  <si>
    <t>S1-020G</t>
  </si>
  <si>
    <t>2 SS GRAY COMP BALL VLV 37059010</t>
  </si>
  <si>
    <t>S1-025G</t>
  </si>
  <si>
    <t>2-1/2 SS GRAY COMP BALL VLV 37059011</t>
  </si>
  <si>
    <t>S1-030G</t>
  </si>
  <si>
    <t>3 SS GRAY COMP BALL VLV 37059012</t>
  </si>
  <si>
    <t>S1-040G</t>
  </si>
  <si>
    <t>4 SS GRAY COMP BALL VLV 37059013</t>
  </si>
  <si>
    <t>T1-005W</t>
  </si>
  <si>
    <t>1/2 PVC BALL VALVE(FIPXFIP)</t>
  </si>
  <si>
    <t>T1-007W</t>
  </si>
  <si>
    <t>3/4 PVC BALL VALVE(FIPXFIP)</t>
  </si>
  <si>
    <t>T1-010W</t>
  </si>
  <si>
    <t>1 PVC BALL VALVE(FIPXFIP)</t>
  </si>
  <si>
    <t>T1-012W</t>
  </si>
  <si>
    <t>11/4 PVC BALL VALVE(FXF)</t>
  </si>
  <si>
    <t>T1-015W</t>
  </si>
  <si>
    <t>11/2 PVC BALL VALVE(FXF)</t>
  </si>
  <si>
    <t>T1-020W</t>
  </si>
  <si>
    <t>2 PVC BALL VALVE(FIPXFIP)</t>
  </si>
  <si>
    <t>T1-025W</t>
  </si>
  <si>
    <t>2-1/2 TT WHITE COMP BALL VLV 37059022</t>
  </si>
  <si>
    <t>T1-030W</t>
  </si>
  <si>
    <t>3 TT WHITE COMP BALL VLV 37059023</t>
  </si>
  <si>
    <t>T1-040W</t>
  </si>
  <si>
    <t>4 TT WHITE COMP BALL VLV 37059024</t>
  </si>
  <si>
    <t>T1-005G</t>
  </si>
  <si>
    <t>1/2 TT GRAY COMP BALL VLV 37059025</t>
  </si>
  <si>
    <t>T1-007G</t>
  </si>
  <si>
    <t>3/4 GRAY COMP BALL VLV 37059026</t>
  </si>
  <si>
    <t>T1-010G</t>
  </si>
  <si>
    <t>1 TT GRAY COMP BALL VLV 37059027</t>
  </si>
  <si>
    <t>T1-012G</t>
  </si>
  <si>
    <t>1-1/4 TT GRAY COMP BALL VLV 37059028</t>
  </si>
  <si>
    <t>T1-015G</t>
  </si>
  <si>
    <t>1-1/2" GRAY COMP BALL VLV 37059029</t>
  </si>
  <si>
    <t>T1-020G</t>
  </si>
  <si>
    <t>2 TT GRAY COMP BALL VLV 37059030</t>
  </si>
  <si>
    <t>T1-025G</t>
  </si>
  <si>
    <t>2-1/2 TT GRAY COMP BALL VLV 37059031</t>
  </si>
  <si>
    <t>T1-030G</t>
  </si>
  <si>
    <t>3 TT GRAY COMP BALL VLV 37059032</t>
  </si>
  <si>
    <t>T1-040G</t>
  </si>
  <si>
    <t>4 TT GRAY COMP BALL VLV 37059033</t>
  </si>
  <si>
    <t>CTS-005</t>
  </si>
  <si>
    <t>1/2 CPVC BALL VALVE (SXS)</t>
  </si>
  <si>
    <t>Limited Stock</t>
  </si>
  <si>
    <t>CTS-007</t>
  </si>
  <si>
    <t>3/4 CPVC BALL VALVE(SXS)</t>
  </si>
  <si>
    <t>ST8-007</t>
  </si>
  <si>
    <t>3/4 SL OR TH SB-TUBV EPDM 37059056</t>
  </si>
  <si>
    <t>ST8-010</t>
  </si>
  <si>
    <t>1 SL OR TH-TUBV EPDM 37059057</t>
  </si>
  <si>
    <t>ST8-012</t>
  </si>
  <si>
    <t>1-1/4 SL OR TH SB-TUBV EPDM 37059058</t>
  </si>
  <si>
    <t>ST8-015</t>
  </si>
  <si>
    <t>1-1/2 SL OR TH SB-TUBV 37059059</t>
  </si>
  <si>
    <t>ST8-020</t>
  </si>
  <si>
    <t>2 SL OR TH SB-TUBV EPDM 37059060</t>
  </si>
  <si>
    <t>ST8-030</t>
  </si>
  <si>
    <t>3 SL OR TH SB-TUBV EPDM 37059062</t>
  </si>
  <si>
    <t>ST8-040</t>
  </si>
  <si>
    <t>4 SL OR TH SB-TUBV EPDM 37059063</t>
  </si>
  <si>
    <t>VST8-010</t>
  </si>
  <si>
    <t>1 SL OR TH SB-TUBV VITON 37059064</t>
  </si>
  <si>
    <t>VST8-015</t>
  </si>
  <si>
    <t>1-1/2 SL OR TH SB-TUBV VITON 37059066</t>
  </si>
  <si>
    <t>S12-007</t>
  </si>
  <si>
    <t>3/4 IN LINE SPNG CHK VLV PVC 37059089</t>
  </si>
  <si>
    <t>S12-010</t>
  </si>
  <si>
    <t>1 IN LINE SPNG CHK VLV PVC 37059090</t>
  </si>
  <si>
    <t>S12-012</t>
  </si>
  <si>
    <t>1-1/4 IN LINE SPNG CHK VLV PVC 37059091</t>
  </si>
  <si>
    <t>S12-015</t>
  </si>
  <si>
    <t>1-1/2 IN LINE SPNG CHK VLV PVC 37059092</t>
  </si>
  <si>
    <t>S12-020</t>
  </si>
  <si>
    <t>2 IN LINE SPNG CHK VLV PVC 37059093</t>
  </si>
  <si>
    <t>S13-012</t>
  </si>
  <si>
    <t>1-1/4 IN LINE SPNG CHK FOOT VLV 37059095</t>
  </si>
  <si>
    <t>S13-015</t>
  </si>
  <si>
    <t>1-1/2 IN LINE SPNG CHK FOOT VLV 37059096</t>
  </si>
  <si>
    <t>S13-020</t>
  </si>
  <si>
    <t>2 IN LINE SPNG CHK FOOT VLV 37059097</t>
  </si>
  <si>
    <t>S11-030</t>
  </si>
  <si>
    <t>3 ECON SWING CHK VLV PVC 37059087</t>
  </si>
  <si>
    <t>S11-040</t>
  </si>
  <si>
    <t>4 ECON SWING CHK VLV PVC 37059088</t>
  </si>
  <si>
    <t>T4-005</t>
  </si>
  <si>
    <t>1/2 TT WHITE SFTY BLOCK SUBV 37059049</t>
  </si>
  <si>
    <t>T4-007</t>
  </si>
  <si>
    <t>3/4 TT WHITE SFTY BLOCK SUBV 37059050</t>
  </si>
  <si>
    <t>T4-012</t>
  </si>
  <si>
    <t>1-1/4 TT WHITE SFTY BLOCK SUBV 37059052</t>
  </si>
  <si>
    <t>S4-005</t>
  </si>
  <si>
    <t>1/2 SS WHITE SFTY BLOCK SUBV 37059043</t>
  </si>
  <si>
    <t>S4-012</t>
  </si>
  <si>
    <t>1-1/4 SS WHITE SFTY BLOCK SUBV 37059046</t>
  </si>
  <si>
    <t>PS4-015</t>
  </si>
  <si>
    <t>1-1/2 SS SGLE UN BALL VLV P&amp;S 37059037</t>
  </si>
  <si>
    <t>PS4-020</t>
  </si>
  <si>
    <t>2 SS SGLE UN BALL VLV P&amp;S 37059038</t>
  </si>
  <si>
    <t>H10-020</t>
  </si>
  <si>
    <t>2 BTRFLY VLV HNDL LVR PVC-EPDM 37059071</t>
  </si>
  <si>
    <t>H10-030</t>
  </si>
  <si>
    <t>3 BTRFLY VLV HNDL LVR PVC-EPDM 37059073</t>
  </si>
  <si>
    <t>H10-040</t>
  </si>
  <si>
    <t>4 BTRFLY VLV HNDL LVR PVC-EPDM 37059074</t>
  </si>
  <si>
    <t>H10-060</t>
  </si>
  <si>
    <t>6BTRFLY VLV HNDL LVR PVC-EPDM 37059075</t>
  </si>
  <si>
    <t>VH10-020</t>
  </si>
  <si>
    <t>2 BTRFLY VLV LVR HNDL VITON 37059077</t>
  </si>
  <si>
    <t>VH10-060</t>
  </si>
  <si>
    <t>6 BTRFLY VLV LVR HNDL VITON 37059080</t>
  </si>
  <si>
    <t>H1-10</t>
  </si>
  <si>
    <t>1 S1-T1 REPL HANDLES 37059132</t>
  </si>
  <si>
    <t>H1-20</t>
  </si>
  <si>
    <t>2 S1-T1 REPL HANDLES 37059135</t>
  </si>
  <si>
    <t>H10-25</t>
  </si>
  <si>
    <t>2-1/2 BTRFLY VLV REPL HANDLES ONLY 37059140</t>
  </si>
  <si>
    <t>SDR 35 SW (Solvent Weld)</t>
  </si>
  <si>
    <t>List Price SDR35 SW (Solvent Weld)</t>
  </si>
  <si>
    <t>36-2011</t>
  </si>
  <si>
    <t>3 CAP SDR35 SW</t>
  </si>
  <si>
    <t>36-6568</t>
  </si>
  <si>
    <t>4 CAP SDR35 SW</t>
  </si>
  <si>
    <t>36-6565</t>
  </si>
  <si>
    <t>6 CAP SDR35 SW</t>
  </si>
  <si>
    <t>36-688</t>
  </si>
  <si>
    <t>8 CAP SDR35 SW</t>
  </si>
  <si>
    <t>36-6594</t>
  </si>
  <si>
    <t>3 TEE HXHXH SDR35 SW</t>
  </si>
  <si>
    <t>36-6557</t>
  </si>
  <si>
    <t>4 TEE HXHXH SDR35 SW</t>
  </si>
  <si>
    <t>36-1084</t>
  </si>
  <si>
    <t>6X4 TEE HXHXH SDR35 SW</t>
  </si>
  <si>
    <t>36-1085</t>
  </si>
  <si>
    <t>6 TEE HXHXH SDR35 SW</t>
  </si>
  <si>
    <t>36-1086</t>
  </si>
  <si>
    <t>8X4 TEE HXHXH SDR35 SW</t>
  </si>
  <si>
    <t>Within 6 Weeks</t>
  </si>
  <si>
    <t>36-1088</t>
  </si>
  <si>
    <t>8 TEE HXHXH SDR35 SW</t>
  </si>
  <si>
    <t>36-6583</t>
  </si>
  <si>
    <t>3 TEE WYE HXHXH SDR35 SW</t>
  </si>
  <si>
    <t>36-6559</t>
  </si>
  <si>
    <t>4 TEE WYE HXHXH SDR35 SW</t>
  </si>
  <si>
    <t>36-722</t>
  </si>
  <si>
    <t>6X4 TEE WYE HXHXH SDR35 SW</t>
  </si>
  <si>
    <t>36-723</t>
  </si>
  <si>
    <t>6 TEE WYE HXHXH SDR35 SW</t>
  </si>
  <si>
    <t>36-724</t>
  </si>
  <si>
    <t>8X4 TEE WYE HXHXH SDR35 SW</t>
  </si>
  <si>
    <t>36-725</t>
  </si>
  <si>
    <t>8X6 TEE WYE HXHXH SDR35 SW</t>
  </si>
  <si>
    <t>36-726</t>
  </si>
  <si>
    <t>8 TEE WYE HXHXH SDR35 SW</t>
  </si>
  <si>
    <t>36-715</t>
  </si>
  <si>
    <t>4 CROSS HXHXHXH SDR35 SW</t>
  </si>
  <si>
    <t>36-6558</t>
  </si>
  <si>
    <t>4 WYE HXHXH SDR35 SW</t>
  </si>
  <si>
    <t>36-6566</t>
  </si>
  <si>
    <t>6X4 WYE HXHXH SDR35 SW</t>
  </si>
  <si>
    <t>36-6563</t>
  </si>
  <si>
    <t>6 WYE HXHXH SDR35 SW</t>
  </si>
  <si>
    <t>36-733</t>
  </si>
  <si>
    <t>8X4 WYE HXHXH SDR35 SW</t>
  </si>
  <si>
    <t>36-734</t>
  </si>
  <si>
    <t>8X6 WYE HXHXH SDR35 SW</t>
  </si>
  <si>
    <t>36-735</t>
  </si>
  <si>
    <t>8 WYE HXHXH SDR35 SW</t>
  </si>
  <si>
    <t>36-327</t>
  </si>
  <si>
    <t>6 WYE SXHXH SDR35 SW</t>
  </si>
  <si>
    <t>36-737</t>
  </si>
  <si>
    <t>6 DOUBLE WYE HXHXHXH SDR35 SW</t>
  </si>
  <si>
    <t>36-736</t>
  </si>
  <si>
    <t>6X4 DOUBLE WYE HXHXHXH SDR35 SW</t>
  </si>
  <si>
    <t>36-727</t>
  </si>
  <si>
    <t>4 TWO WAY C/O TEE HXHXH SDR35 SW</t>
  </si>
  <si>
    <t>36-729</t>
  </si>
  <si>
    <t>6 TWO WAY C/O TEE HXHXH SDR35 SW</t>
  </si>
  <si>
    <t>36-2064</t>
  </si>
  <si>
    <t>4 CLEAN OUT TEE HXHXFIPT SDR35 SW</t>
  </si>
  <si>
    <t>36-404</t>
  </si>
  <si>
    <t>4 FEMALE ADAP HXFPT W/PLUG SDR35SW</t>
  </si>
  <si>
    <t>36-406</t>
  </si>
  <si>
    <t>6 FEMALE ADAP HXFPT W/PLUG SDR35SW</t>
  </si>
  <si>
    <t>36-805</t>
  </si>
  <si>
    <t>4 ADAPTER CORR SPGXSWR HUB SDR35SW</t>
  </si>
  <si>
    <t>36-2059</t>
  </si>
  <si>
    <t>3 ADAPTER DWV SPGXSWR HUB SDR35SW</t>
  </si>
  <si>
    <t>36-566</t>
  </si>
  <si>
    <t>4 ADAPTER DWV SPGXSWR HUB SDR35SW</t>
  </si>
  <si>
    <t>36-567</t>
  </si>
  <si>
    <t>6 ADAPTER DWV SPGXSWR HUB SDR35SW</t>
  </si>
  <si>
    <t>36-6570</t>
  </si>
  <si>
    <t>4 FITTING CLEANOUT SXFIPT SDR35 SW</t>
  </si>
  <si>
    <t>36-642</t>
  </si>
  <si>
    <t>6 FITTING CLEANOUT SXFIPT SDR35 SW</t>
  </si>
  <si>
    <t>36-643</t>
  </si>
  <si>
    <t>8 FITTING CLEANOUT SXFIPT SDR35 SW</t>
  </si>
  <si>
    <t>36-644</t>
  </si>
  <si>
    <t>4 FEMALE ADAPTER HXFIPT SDR35 SW</t>
  </si>
  <si>
    <t>36-6571</t>
  </si>
  <si>
    <t>6 FEMALE ADAPTER HXFIPT SDR35 SW</t>
  </si>
  <si>
    <t>36-333</t>
  </si>
  <si>
    <t>8 FEMALE ADAPTER HXFIPT SDR35 SW</t>
  </si>
  <si>
    <t>36-1062</t>
  </si>
  <si>
    <t>4 MALE ADAPTER HXMIPT SDR35 SW</t>
  </si>
  <si>
    <t>36-1063</t>
  </si>
  <si>
    <t>6 MALE ADAPTER HXMIPT SDR35 SW</t>
  </si>
  <si>
    <t>36-2070</t>
  </si>
  <si>
    <t>3 DRAIN GRATE SPIGOT SDR35 SW</t>
  </si>
  <si>
    <t>36-6593</t>
  </si>
  <si>
    <t>4 DRAIN GRATE SPIGOT SDR35 SW</t>
  </si>
  <si>
    <t>36-806</t>
  </si>
  <si>
    <t>6 DRAIN GRATE SPIGOT SDR35 SW</t>
  </si>
  <si>
    <t>36-647</t>
  </si>
  <si>
    <t>2X3X3 FLUSH DOWNSPOUT ADAPTER X H</t>
  </si>
  <si>
    <t>36-6588</t>
  </si>
  <si>
    <t>2X3X4 FLUSH DOWNSPOUT ADAPTER X H</t>
  </si>
  <si>
    <t>36-6585</t>
  </si>
  <si>
    <t>3X4X4 FLUSH DOWNSPOUT ADAPTER X H</t>
  </si>
  <si>
    <t>36-650</t>
  </si>
  <si>
    <t>4X6X6 FLUSH DOWNSPOUT ADAPTER X H</t>
  </si>
  <si>
    <t>36-651</t>
  </si>
  <si>
    <t>2X3X3 DOWNSPOUT ADAPTER X H SDR35SW</t>
  </si>
  <si>
    <t>36-652</t>
  </si>
  <si>
    <t>2X3X4 DOWNSPOUT ADAPTER X H SDR35SW</t>
  </si>
  <si>
    <t>36-653</t>
  </si>
  <si>
    <t>3X4X3 DOWNSPOUT ADAPTER X H SDR35SW</t>
  </si>
  <si>
    <t>36-654</t>
  </si>
  <si>
    <t>3X4X4 DOWNSPOUT ADAPTER X H SDR35SW</t>
  </si>
  <si>
    <t>36-2073</t>
  </si>
  <si>
    <t>4 REPAIR COUPLING SDR35 SW</t>
  </si>
  <si>
    <t>36-1043</t>
  </si>
  <si>
    <t>4 ELBOW 22.5 HXS SDR35 SW</t>
  </si>
  <si>
    <t>36-1044</t>
  </si>
  <si>
    <t>6 ELBOW 22.5 HXS SDR35 SW</t>
  </si>
  <si>
    <t>36-1075</t>
  </si>
  <si>
    <t>8 ELBOW 22.5 HXS SDR35 SW</t>
  </si>
  <si>
    <t>36-1702</t>
  </si>
  <si>
    <t>3 ELBOW 22.5 HXH SDR35 SW</t>
  </si>
  <si>
    <t>36-6564</t>
  </si>
  <si>
    <t>4 ELBOW 22.5 HXH SDR35 SW</t>
  </si>
  <si>
    <t>36-669</t>
  </si>
  <si>
    <t>6 ELBOW 22.5 HXH SDR35 SW</t>
  </si>
  <si>
    <t>36-670</t>
  </si>
  <si>
    <t>8 ELBOW 22.5 HXH SDR35 SW</t>
  </si>
  <si>
    <t>36-6556</t>
  </si>
  <si>
    <t>4 ELBOW 45 HXH SDR35 SW</t>
  </si>
  <si>
    <t>36-6562</t>
  </si>
  <si>
    <t>6 ELBOW 45 HXH SDR35 SW</t>
  </si>
  <si>
    <t>36-673</t>
  </si>
  <si>
    <t>8 ELBOW 45 HXH SDR35 SW</t>
  </si>
  <si>
    <t>36-1692</t>
  </si>
  <si>
    <t>3 ELBOW 45 HXS SDR35 SW</t>
  </si>
  <si>
    <t>36-6561</t>
  </si>
  <si>
    <t>4 ELBOW 45 HXS SDR35 SW</t>
  </si>
  <si>
    <t>36-6569</t>
  </si>
  <si>
    <t>6 ELBOW 45 HXS SDR35 SW</t>
  </si>
  <si>
    <t>36-676</t>
  </si>
  <si>
    <t>8 ELBOW 45 HXS SDR35 SW</t>
  </si>
  <si>
    <t>36-6590</t>
  </si>
  <si>
    <t>3 ELBOW 90 LONG TURN HXH SDR35 SW</t>
  </si>
  <si>
    <t>36-6553</t>
  </si>
  <si>
    <t>4 ELBOW 90 LONG TURN HXH SDR35 SW</t>
  </si>
  <si>
    <t>36-678</t>
  </si>
  <si>
    <t>6 ELBOW 90 LONG TURN HXH SDR35 SW</t>
  </si>
  <si>
    <t>36-679</t>
  </si>
  <si>
    <t>8 ELBOW 90 LONG TURN HXH SDR35 SW</t>
  </si>
  <si>
    <t>36-6554</t>
  </si>
  <si>
    <t>4 ELBOW 90 LONG TURN HXS SDR35 SW</t>
  </si>
  <si>
    <t>36-681</t>
  </si>
  <si>
    <t>6 ELBOW 90 LONG TURN HXS SDR35 SW</t>
  </si>
  <si>
    <t>36-6555</t>
  </si>
  <si>
    <t>4 ELBOW 90 HXH SDR35 SW</t>
  </si>
  <si>
    <t>36-6560</t>
  </si>
  <si>
    <t>6 ELBOW 90 HXH SDR35 SW</t>
  </si>
  <si>
    <t>36-685</t>
  </si>
  <si>
    <t>8 ELBOW 90 HXH SDR35 SW</t>
  </si>
  <si>
    <t>36-2060</t>
  </si>
  <si>
    <t>3 ELBOW 90 HXS SDR35 SW</t>
  </si>
  <si>
    <t>36-2062</t>
  </si>
  <si>
    <t>4 ELBOW 90 HXS SDR35 SW</t>
  </si>
  <si>
    <t>36-742</t>
  </si>
  <si>
    <t>6 ELBOW 90 HXS SDR35 SW</t>
  </si>
  <si>
    <t>36-743</t>
  </si>
  <si>
    <t>8 ELBOW 90 HXS SDR35 SW</t>
  </si>
  <si>
    <t>36-665</t>
  </si>
  <si>
    <t>4 STOP COUPLING HXH SDR35 SW</t>
  </si>
  <si>
    <t>36-6567</t>
  </si>
  <si>
    <t>6 STOP COUPLING HXH SDR35 SW</t>
  </si>
  <si>
    <t>36-667</t>
  </si>
  <si>
    <t>8 STOP COUPLING HXH SDR35 SW</t>
  </si>
  <si>
    <t>36-2021</t>
  </si>
  <si>
    <t>3 CLEANOUT THREADED PLUG SDR35SW</t>
  </si>
  <si>
    <t>36-6572</t>
  </si>
  <si>
    <t>4 CLEANOUT THREADED PLUG SDR35SW</t>
  </si>
  <si>
    <t>36-6573</t>
  </si>
  <si>
    <t>6 CLEANOUT THREADED PLUG SDR35SW</t>
  </si>
  <si>
    <t>36-697</t>
  </si>
  <si>
    <t>8 CLEANOUT THREADED PLUG SDR35SW</t>
  </si>
  <si>
    <t>36-699</t>
  </si>
  <si>
    <t>6 CLEANOUT THREADED RECESSED PLUG</t>
  </si>
  <si>
    <t>36-2024</t>
  </si>
  <si>
    <t>8 CLEANOUT THREADED RECESSED PLUG</t>
  </si>
  <si>
    <t>36-6592</t>
  </si>
  <si>
    <t>3X4 INC COUPLING CON HXH SDR35 SW</t>
  </si>
  <si>
    <t>36-6586</t>
  </si>
  <si>
    <t>4X6 INC COUPLING CON HXH SDR35 SW</t>
  </si>
  <si>
    <t>36-701</t>
  </si>
  <si>
    <t>4X8 INC COUPLING CON HXH SDR35 SW</t>
  </si>
  <si>
    <t>36-702</t>
  </si>
  <si>
    <t>6X8 INC COUPLING CON HXH SDR35 SW</t>
  </si>
  <si>
    <t>36-656</t>
  </si>
  <si>
    <t>4 ADAPTER SPGXDWV H SDR35 SW</t>
  </si>
  <si>
    <t>36-658</t>
  </si>
  <si>
    <t>6 ADAPTER SPGXDWV H SDR35 SW</t>
  </si>
  <si>
    <t>36-6551</t>
  </si>
  <si>
    <t>4X1-1/2 ADAPTER SPGXDWV H SDR35 SW</t>
  </si>
  <si>
    <t>36-6552</t>
  </si>
  <si>
    <t>4X2 ADAPTER SPGXDWV H SDR35 SW</t>
  </si>
  <si>
    <t>36-655</t>
  </si>
  <si>
    <t>4X3 ADAPTER SPGXDWV H SDR35 SW</t>
  </si>
  <si>
    <t>36-657</t>
  </si>
  <si>
    <t>6X4 ADAPTER SPGXDWV H SDR35 SW</t>
  </si>
  <si>
    <t>36-6574</t>
  </si>
  <si>
    <t>4 ADAPTER SWR HXDWV H SDR35 SW</t>
  </si>
  <si>
    <t>36-662</t>
  </si>
  <si>
    <t>6 ADAPTER SWR HXDWV H SDR35 SW</t>
  </si>
  <si>
    <t>36-659</t>
  </si>
  <si>
    <t>4X3 ADAPTER SWR HXDWV H SDR35 SW</t>
  </si>
  <si>
    <t>36-661</t>
  </si>
  <si>
    <t>6X4 ADAPTER SWR HXDWV H SDR35 SW</t>
  </si>
  <si>
    <t>36-6581</t>
  </si>
  <si>
    <t>4X3 RED BUSHING CON SXH SDR35 SW</t>
  </si>
  <si>
    <t>36-706</t>
  </si>
  <si>
    <t>6X4 RED BUSHING CON SXH SDR35 SW</t>
  </si>
  <si>
    <t>36-707</t>
  </si>
  <si>
    <t>8X4 RED BUSHING CON SXH SDR35 SW</t>
  </si>
  <si>
    <t>36-708</t>
  </si>
  <si>
    <t>8X6 RED BUSHING CON SXH SDR35 SW</t>
  </si>
  <si>
    <t>36-812</t>
  </si>
  <si>
    <t>6X4 RED BUSHING ECC SXH SDR35 SW</t>
  </si>
  <si>
    <t>36-813</t>
  </si>
  <si>
    <t>8X4 RED BUSHING ECC SXH SDR35 SW</t>
  </si>
  <si>
    <t>36-814</t>
  </si>
  <si>
    <t>8X6 RED BUSHING ECC SXH SDR35 SW</t>
  </si>
  <si>
    <t>36-710</t>
  </si>
  <si>
    <t>8X4 SADDLE TEE W/SS STRAP SDR35 SW</t>
  </si>
  <si>
    <t>36-712</t>
  </si>
  <si>
    <t>6X4 SADDLE WYE W/SS STRAPS SDR35 SW</t>
  </si>
  <si>
    <t>36-713</t>
  </si>
  <si>
    <t>8X4 SADDLE WYE W/SS STRAPS SDR35 SW</t>
  </si>
  <si>
    <t>SDR 35 G (Gasketed)</t>
  </si>
  <si>
    <t>List Price SDR35 G (Gasketed)</t>
  </si>
  <si>
    <t>35-1311</t>
  </si>
  <si>
    <t>4 ADAPTER SWR SPGXDWV GSK SDR35</t>
  </si>
  <si>
    <t>35-1314</t>
  </si>
  <si>
    <t>4 ADAPTER SWR H X DWV GSK SDR35</t>
  </si>
  <si>
    <t>35-1316</t>
  </si>
  <si>
    <t>6 ADAPTER SWR H X DWV GKTD SDR35</t>
  </si>
  <si>
    <t>35-1500</t>
  </si>
  <si>
    <t>4 WYE GXGXG SDR35</t>
  </si>
  <si>
    <t>35-1501</t>
  </si>
  <si>
    <t>6X4 WYE GXGXG SDR35</t>
  </si>
  <si>
    <t>35-1502</t>
  </si>
  <si>
    <t>6 WYE GXGXG SDR35</t>
  </si>
  <si>
    <t>35-1503</t>
  </si>
  <si>
    <t>8X4 WYE GXGXG SDR35</t>
  </si>
  <si>
    <t>35-1504</t>
  </si>
  <si>
    <t>8X6 WYE GXGXG SDR35</t>
  </si>
  <si>
    <t>35-451</t>
  </si>
  <si>
    <t>8 WYE GXGXG SDR35</t>
  </si>
  <si>
    <t>35-452</t>
  </si>
  <si>
    <t>10X4 WYE GXGXG SDR35</t>
  </si>
  <si>
    <t>35-453</t>
  </si>
  <si>
    <t>10X6 WYE GXGXG SDR35</t>
  </si>
  <si>
    <t>35-455</t>
  </si>
  <si>
    <t>10 WYE GXGXG SDR35</t>
  </si>
  <si>
    <t>35-456</t>
  </si>
  <si>
    <t>12X4 WYE GXGXG SDR35</t>
  </si>
  <si>
    <t>35-457</t>
  </si>
  <si>
    <t>12X6 WYE GXGXG SDR35</t>
  </si>
  <si>
    <t>35-460</t>
  </si>
  <si>
    <t>12 WYE GXGXG SDR35</t>
  </si>
  <si>
    <t>35-1505</t>
  </si>
  <si>
    <t>4 WYE SXGXG SDR35</t>
  </si>
  <si>
    <t>35-1506</t>
  </si>
  <si>
    <t>6 X 4 WYE SXGXG SDR35</t>
  </si>
  <si>
    <t>35-1507</t>
  </si>
  <si>
    <t>6 WYE SXGXG SDR35</t>
  </si>
  <si>
    <t>35-1508</t>
  </si>
  <si>
    <t>8X4 WYE SXGXG DR 35 SDR35</t>
  </si>
  <si>
    <t>35-1509</t>
  </si>
  <si>
    <t>8X6 WYE SXGXG SDR35</t>
  </si>
  <si>
    <t>35-1510</t>
  </si>
  <si>
    <t>6X4 DOUBLE WYE GXGXGXG SDR35</t>
  </si>
  <si>
    <t>35-1511</t>
  </si>
  <si>
    <t>6 DOUBLE WYE GXGXGXG SDR35</t>
  </si>
  <si>
    <t>35-48</t>
  </si>
  <si>
    <t>8X6 DOUBLE WYE GXGXGXG SDR35</t>
  </si>
  <si>
    <t>35-1528</t>
  </si>
  <si>
    <t>4 TEE GXGXG SDR35</t>
  </si>
  <si>
    <t>35-1529</t>
  </si>
  <si>
    <t>6X4 TEE GXGXG SDR35</t>
  </si>
  <si>
    <t>35-1530</t>
  </si>
  <si>
    <t>6 TEE GXGXG SDR35</t>
  </si>
  <si>
    <t>35-1531</t>
  </si>
  <si>
    <t>8X4 TEE GXGXG SDR35</t>
  </si>
  <si>
    <t>35-1532</t>
  </si>
  <si>
    <t>8X6 TEE GXGXG SDR35</t>
  </si>
  <si>
    <t>35-367</t>
  </si>
  <si>
    <t>8 TEE GXGXG SDR35</t>
  </si>
  <si>
    <t>35-368</t>
  </si>
  <si>
    <t>10 X 4 TEE GXGXG SDR35</t>
  </si>
  <si>
    <t>35-369</t>
  </si>
  <si>
    <t>10X6 TEE GXGXG SDR35</t>
  </si>
  <si>
    <t>35-371</t>
  </si>
  <si>
    <t>10 TEE GXGXG SDR35</t>
  </si>
  <si>
    <t>35-372</t>
  </si>
  <si>
    <t>12 X 4 TEE GXGXG SDR35</t>
  </si>
  <si>
    <t>35-373</t>
  </si>
  <si>
    <t>12X6 TEE GXGXG SDR35</t>
  </si>
  <si>
    <t>35-376</t>
  </si>
  <si>
    <t>12 TEE GXGXG SDR35</t>
  </si>
  <si>
    <t>35-1546</t>
  </si>
  <si>
    <t>4 STOP COUPLING GXG SDR35</t>
  </si>
  <si>
    <t>35-1547</t>
  </si>
  <si>
    <t>6 STOP COUPLING GXG SDR35</t>
  </si>
  <si>
    <t>35-1548</t>
  </si>
  <si>
    <t>8 STOP COUPLING GXG SDR35</t>
  </si>
  <si>
    <t>35-236</t>
  </si>
  <si>
    <t>10 STOP COUPLING GXG SDR35</t>
  </si>
  <si>
    <t>35-237</t>
  </si>
  <si>
    <t>12 STOP COUPLING GXG SDR35</t>
  </si>
  <si>
    <t>35-1549</t>
  </si>
  <si>
    <t>4 REPAIR COUPLING GXG SDR35</t>
  </si>
  <si>
    <t>35-1550</t>
  </si>
  <si>
    <t>6 REPAIR COUPLING GXG SDR35</t>
  </si>
  <si>
    <t>35-1551</t>
  </si>
  <si>
    <t>8 REPAIR COUPLING GXG SDR35</t>
  </si>
  <si>
    <t>35-230</t>
  </si>
  <si>
    <t>10 REPAIR COUPLING GXG SDR35</t>
  </si>
  <si>
    <t>35-231</t>
  </si>
  <si>
    <t>12 REPAIR COUPLING GXG SDR35</t>
  </si>
  <si>
    <t>35-1586</t>
  </si>
  <si>
    <t>4 ELBOW 90 LONG SWEEP GXG SDR35</t>
  </si>
  <si>
    <t>35-1587</t>
  </si>
  <si>
    <t>6 ELBOW 90 LONG SWEEP GXG SDR35</t>
  </si>
  <si>
    <t>35-1588</t>
  </si>
  <si>
    <t>8 ELBOW 90 LONG SWEEP GXG SDR35</t>
  </si>
  <si>
    <t>35-1591</t>
  </si>
  <si>
    <t>4 ELBOW 90 LONG SWEEP GXS SDR35</t>
  </si>
  <si>
    <t>35-1592</t>
  </si>
  <si>
    <t>6 ELBOW 90 LONG SWEEP GXS SDR35</t>
  </si>
  <si>
    <t>35-1596</t>
  </si>
  <si>
    <t>4 ELBOW 90 GXG SDR35</t>
  </si>
  <si>
    <t>35-1597</t>
  </si>
  <si>
    <t>6 ELBOW 90 GXG SDR35</t>
  </si>
  <si>
    <t>35-96</t>
  </si>
  <si>
    <t>8 ELBOW 90 GXG SDR35</t>
  </si>
  <si>
    <t>35-105</t>
  </si>
  <si>
    <t>10 ELBOW 90 GXG SDR35</t>
  </si>
  <si>
    <t>35-114</t>
  </si>
  <si>
    <t>12 ELBOW 90 GXG SDR35</t>
  </si>
  <si>
    <t>35-1598</t>
  </si>
  <si>
    <t>4 ELBOW 90 GXS SDR35</t>
  </si>
  <si>
    <t>35-1599</t>
  </si>
  <si>
    <t>6 ELBOW 90 GXS SDR35</t>
  </si>
  <si>
    <t>35-97</t>
  </si>
  <si>
    <t>8 ELBOW 90 GXS SDR35</t>
  </si>
  <si>
    <t>35-1600</t>
  </si>
  <si>
    <t>4 ELBOW 45 GXG SDR35</t>
  </si>
  <si>
    <t>35-1709</t>
  </si>
  <si>
    <t>5 ELBOW 45 GXG SDR35</t>
  </si>
  <si>
    <t>35-1601</t>
  </si>
  <si>
    <t>6 ELBOW 45 GXG SDR35</t>
  </si>
  <si>
    <t>35-94</t>
  </si>
  <si>
    <t>8 ELBOW 45 GXG SDR35</t>
  </si>
  <si>
    <t>35-103</t>
  </si>
  <si>
    <t>10 ELBOW 45 GXG SDR35</t>
  </si>
  <si>
    <t>35-112</t>
  </si>
  <si>
    <t>12 ELBOW 45 GXG SDR35</t>
  </si>
  <si>
    <t>35-1602</t>
  </si>
  <si>
    <t>4 ELBOW 45 GXS SDR35</t>
  </si>
  <si>
    <t>35-1710</t>
  </si>
  <si>
    <t>5 ELBOW 45 GXS SDR35</t>
  </si>
  <si>
    <t>35-1603</t>
  </si>
  <si>
    <t>6 ELBOW 45 GXS SDR35</t>
  </si>
  <si>
    <t>35-95</t>
  </si>
  <si>
    <t>8 ELBOW 45 GXS SDR35</t>
  </si>
  <si>
    <t>35-113</t>
  </si>
  <si>
    <t>12 ELBOW 45 GXS SDR35</t>
  </si>
  <si>
    <t>35-1604</t>
  </si>
  <si>
    <t>4 ELBOW 22.5 GXG SDR35</t>
  </si>
  <si>
    <t>35-1707</t>
  </si>
  <si>
    <t>5 ELBOW 22.5 GXG SDR35</t>
  </si>
  <si>
    <t>35-1605</t>
  </si>
  <si>
    <t>6 ELBOW 22.5 GXG SDR35</t>
  </si>
  <si>
    <t>35-90</t>
  </si>
  <si>
    <t>8 ELBOW 22.5 GXG SDR35</t>
  </si>
  <si>
    <t>35-99</t>
  </si>
  <si>
    <t>10 ELBOW 22.5 GXG SDR35</t>
  </si>
  <si>
    <t>35-108</t>
  </si>
  <si>
    <t>12 ELBOW 22.5 GXG SDR35</t>
  </si>
  <si>
    <t>35-1606</t>
  </si>
  <si>
    <t>4 ELBOW 22.5 GXS SDR35</t>
  </si>
  <si>
    <t>35-1607</t>
  </si>
  <si>
    <t>6 ELBOW 22.5 GXS SDR35</t>
  </si>
  <si>
    <t>35-91</t>
  </si>
  <si>
    <t>8 ELBOW 22.5 GXS SDR35</t>
  </si>
  <si>
    <t>35-1609</t>
  </si>
  <si>
    <t>6 SAND MANHOLE ADAPT NOSTOP GXSLIP</t>
  </si>
  <si>
    <t>35-217</t>
  </si>
  <si>
    <t>8 SAND MANHOLE ADAPT NOSTOP GXSLIP</t>
  </si>
  <si>
    <t>35-218</t>
  </si>
  <si>
    <t>10 SAND MANHOLE ADAPT NOSTOP GXSLIP</t>
  </si>
  <si>
    <t>35-219</t>
  </si>
  <si>
    <t>12 SAND MANHOLE ADAPT NOSTOP GXSLIP</t>
  </si>
  <si>
    <t>35-1610</t>
  </si>
  <si>
    <t>4 TEMP PLUG SDR35</t>
  </si>
  <si>
    <t>35-1613</t>
  </si>
  <si>
    <t>4 PERMANENT PLUG SDR35</t>
  </si>
  <si>
    <t>35-1614</t>
  </si>
  <si>
    <t>6 PERMANENT PLUG SDR35</t>
  </si>
  <si>
    <t>35-1615</t>
  </si>
  <si>
    <t>8 PERMANENT PLUG SDR35</t>
  </si>
  <si>
    <t>35-224</t>
  </si>
  <si>
    <t>10 PERMANENT PLUG SDR35</t>
  </si>
  <si>
    <t>35-225</t>
  </si>
  <si>
    <t>12 PERMANENT PLUG SDR35</t>
  </si>
  <si>
    <t>35-1623</t>
  </si>
  <si>
    <t>4 CAP SDR35</t>
  </si>
  <si>
    <t>35-1624</t>
  </si>
  <si>
    <t>6 CAP SDR35</t>
  </si>
  <si>
    <t>35-1625</t>
  </si>
  <si>
    <t>8 CAP SDR35</t>
  </si>
  <si>
    <t>35-83</t>
  </si>
  <si>
    <t>10 CAP SDR35</t>
  </si>
  <si>
    <t>35-84</t>
  </si>
  <si>
    <t>12 CAP SDR35</t>
  </si>
  <si>
    <t>35-1630</t>
  </si>
  <si>
    <t>6X4 INCR COUPLING ECC GXG SDR35</t>
  </si>
  <si>
    <t>35-1626</t>
  </si>
  <si>
    <t>6X4 REDUCER BUSHING ECC SXG SDR35</t>
  </si>
  <si>
    <t>35-885</t>
  </si>
  <si>
    <t>8X4 REDUCER BUSHING ECC SXG SDR35</t>
  </si>
  <si>
    <t>35-895</t>
  </si>
  <si>
    <t>8X6 REDUCER BUSHING ECC SXG SDR35</t>
  </si>
  <si>
    <t>35-1627</t>
  </si>
  <si>
    <t>6X4 RED BUSHING CON SXG SDR35</t>
  </si>
  <si>
    <t>35-181</t>
  </si>
  <si>
    <t>8X4 RED BUSHING CON SXG SDR35</t>
  </si>
  <si>
    <t>35-182</t>
  </si>
  <si>
    <t>8X6 RED BUSHING CON SXG SDR35</t>
  </si>
  <si>
    <t>35-183</t>
  </si>
  <si>
    <t>10X4 RED BUSHING CON SXG SDR35</t>
  </si>
  <si>
    <t>35-1640</t>
  </si>
  <si>
    <t>6X4 INCR COUPLING CON GXG 35 SDR35</t>
  </si>
  <si>
    <t>35-1641</t>
  </si>
  <si>
    <t>8X4 INCR COUPLING CON GXG 35 SDR35</t>
  </si>
  <si>
    <t>35-1642</t>
  </si>
  <si>
    <t>8X6 INCR COUPLING CON GXG 35 SDR35</t>
  </si>
  <si>
    <t>35-1664</t>
  </si>
  <si>
    <t>4 2-WAY C/O TEE GXGXG SDR35</t>
  </si>
  <si>
    <t>35-1666</t>
  </si>
  <si>
    <t>6 2-WAY C/O TEE GXGXG SDR35</t>
  </si>
  <si>
    <t>35-1665</t>
  </si>
  <si>
    <t>4 2-WAY C/O TEE GXGXDWV G SDR35</t>
  </si>
  <si>
    <t>35-1679</t>
  </si>
  <si>
    <t>4 ADAP SWR GSKT BY DWV H SDR35</t>
  </si>
  <si>
    <t>35-1689</t>
  </si>
  <si>
    <t>6 ADAP SWR GSKT X DWV SPGT SDR35</t>
  </si>
  <si>
    <t>35-1755</t>
  </si>
  <si>
    <t>8x4 WYE W/DWV BRANCH GXGXDWVG</t>
  </si>
  <si>
    <t>35-1800</t>
  </si>
  <si>
    <t>4 TEE WYE GXGXG SDR35</t>
  </si>
  <si>
    <t>35-1801</t>
  </si>
  <si>
    <t>6X4 TEE WYE GXGXG SDR35</t>
  </si>
  <si>
    <t>35-1802</t>
  </si>
  <si>
    <t>6 TEE WYE GXGXG SDR35</t>
  </si>
  <si>
    <t>35-1803</t>
  </si>
  <si>
    <t>8X4 TEE WYE GXGXG SDR35</t>
  </si>
  <si>
    <t>35-1804</t>
  </si>
  <si>
    <t>8X6 TEE WYE GXGXG SDR35</t>
  </si>
  <si>
    <t>35-1805</t>
  </si>
  <si>
    <t>8 TEE WYE GXGXG SDR35</t>
  </si>
  <si>
    <t>35-1813</t>
  </si>
  <si>
    <t>10X6 TEE WYE GXGXG SDR35</t>
  </si>
  <si>
    <t>35-100</t>
  </si>
  <si>
    <t>6 TEE WYE SXGXG SDR35G</t>
  </si>
  <si>
    <t>35-1811</t>
  </si>
  <si>
    <t>8X6 TEE WYE SXGXG SDR35</t>
  </si>
  <si>
    <t>35-1579</t>
  </si>
  <si>
    <t>6X4 SADDLE TEE SDR35</t>
  </si>
  <si>
    <t>35-245</t>
  </si>
  <si>
    <t>8X4 SADDLE TEE SDR35</t>
  </si>
  <si>
    <t>35-246</t>
  </si>
  <si>
    <t>8X6 SADDLE TEE SDR35</t>
  </si>
  <si>
    <t>35-247</t>
  </si>
  <si>
    <t>10X4 SADDLE TEE SDR35</t>
  </si>
  <si>
    <t>35-248</t>
  </si>
  <si>
    <t>10X6 SADDLE TEE SDR35</t>
  </si>
  <si>
    <t>35-250</t>
  </si>
  <si>
    <t>12X4 SADDLE TEE SDR35</t>
  </si>
  <si>
    <t>35-251</t>
  </si>
  <si>
    <t>12X6 SADDLE TEE SDR35</t>
  </si>
  <si>
    <t>35-255</t>
  </si>
  <si>
    <t>15X6 SADDLE TEE SDR35</t>
  </si>
  <si>
    <t>35-1578</t>
  </si>
  <si>
    <t>6X4 SADDLE WYE SDR35</t>
  </si>
  <si>
    <t>35-285</t>
  </si>
  <si>
    <t>8X4 SADDLE WYE SDR35</t>
  </si>
  <si>
    <t>35-286</t>
  </si>
  <si>
    <t>8X6 SADDLE WYE SDR35</t>
  </si>
  <si>
    <t>35-287</t>
  </si>
  <si>
    <t>10X4 SADDLE WYE SDR35</t>
  </si>
  <si>
    <t>35-288</t>
  </si>
  <si>
    <t>10X6 SADDLE WYE SDR35</t>
  </si>
  <si>
    <t>35-291</t>
  </si>
  <si>
    <t>12X4 SADDLE WYE SDR35</t>
  </si>
  <si>
    <t>35-292</t>
  </si>
  <si>
    <t>12X6 SADDLE WYE SDR35</t>
  </si>
  <si>
    <t>35-300</t>
  </si>
  <si>
    <t>18X4 SADDLE WYE SDR35</t>
  </si>
  <si>
    <t>SDR 26 G (Gasketed)</t>
  </si>
  <si>
    <t>List Price SDR26 G (Gasketed)</t>
  </si>
  <si>
    <t>Description</t>
  </si>
  <si>
    <t>Pallet Quantity</t>
  </si>
  <si>
    <t>Fab (*)</t>
  </si>
  <si>
    <t>37-1001</t>
  </si>
  <si>
    <t>6 CAP GASKET SDR26</t>
  </si>
  <si>
    <t/>
  </si>
  <si>
    <t>37-1002</t>
  </si>
  <si>
    <t>4 REPAIR COUPLING GXG SDR26</t>
  </si>
  <si>
    <t>37-1003</t>
  </si>
  <si>
    <t>6 REPAIR COUPLING GXG SDR26</t>
  </si>
  <si>
    <t>37-1004</t>
  </si>
  <si>
    <t>8 REPAIR COUPLING GXG SDR26</t>
  </si>
  <si>
    <t>37-1005</t>
  </si>
  <si>
    <t>4 STOP COUPLING GXG SDR26</t>
  </si>
  <si>
    <t>37-1006</t>
  </si>
  <si>
    <t>6 STOP COUPLING GXG SDR26</t>
  </si>
  <si>
    <t>37-1008</t>
  </si>
  <si>
    <t>4 ELBOW 22.5 GXG SDR26</t>
  </si>
  <si>
    <t>37-1009</t>
  </si>
  <si>
    <t>6 ELBOW 22.5 GXG SDR26</t>
  </si>
  <si>
    <t>37-155</t>
  </si>
  <si>
    <t>8 ELBOW 22.5 GXG SDR26</t>
  </si>
  <si>
    <t>37-1010</t>
  </si>
  <si>
    <t>4 ELBOW 22.5 GXS SDR26</t>
  </si>
  <si>
    <t>37-1011</t>
  </si>
  <si>
    <t>6 ELBOW 22.5 GXS SDR26</t>
  </si>
  <si>
    <t>37-174</t>
  </si>
  <si>
    <t>8 ELBOW 22.5 GXS SDR26</t>
  </si>
  <si>
    <t>37-1012</t>
  </si>
  <si>
    <t>4 ELBOW 45 GXG SDR26</t>
  </si>
  <si>
    <t>37-1013</t>
  </si>
  <si>
    <t>6 ELBOW 45 GXG SDR26</t>
  </si>
  <si>
    <t>37-156</t>
  </si>
  <si>
    <t>8 ELBOW 45 GXG SDR26</t>
  </si>
  <si>
    <t>37-1014</t>
  </si>
  <si>
    <t>4 ELBOW 45 GXS SDR26</t>
  </si>
  <si>
    <t>37-1015</t>
  </si>
  <si>
    <t>6 ELBOW 45 GXS SDR26</t>
  </si>
  <si>
    <t>37-175</t>
  </si>
  <si>
    <t>8 ELBOW 45 GXS SDR26</t>
  </si>
  <si>
    <t>37-1016</t>
  </si>
  <si>
    <t>4 ELBOW 90 GXG SDR26</t>
  </si>
  <si>
    <t>37-1017</t>
  </si>
  <si>
    <t>6 ELBOW 90 GXG SDR26</t>
  </si>
  <si>
    <t>37-157</t>
  </si>
  <si>
    <t>8 ELBOW 90 GXG SDR26</t>
  </si>
  <si>
    <t>37-3690</t>
  </si>
  <si>
    <t>6 ELBOW 90 LONG TURN GXG SDR26</t>
  </si>
  <si>
    <t>37-781</t>
  </si>
  <si>
    <t>8 ELBOW 90 LONG TURN GXG SDR26</t>
  </si>
  <si>
    <t>37-1020</t>
  </si>
  <si>
    <t>4 ELBOW 90 GXS SDR26</t>
  </si>
  <si>
    <t>37-1021</t>
  </si>
  <si>
    <t>6 ELBOW 90 GXS SDR26</t>
  </si>
  <si>
    <t>37-176</t>
  </si>
  <si>
    <t>8 ELBOW 90 GXS SDR26</t>
  </si>
  <si>
    <t>37-782</t>
  </si>
  <si>
    <t>4 ELBOW 90 LONG TURN GXS SDR26</t>
  </si>
  <si>
    <t>37-1022</t>
  </si>
  <si>
    <t>6X4 INCR COUPLING CONC GXG SDR26</t>
  </si>
  <si>
    <t>37-55</t>
  </si>
  <si>
    <t>8X4 INCR COUPLING CONC GXG SDR26</t>
  </si>
  <si>
    <t>37-59</t>
  </si>
  <si>
    <t>8X6 INCR COUPLING CONC GXG SDR26</t>
  </si>
  <si>
    <t>37-2003</t>
  </si>
  <si>
    <t>6X4 REDUCER BUSHING ECC SXG SDR26</t>
  </si>
  <si>
    <t>37-1024</t>
  </si>
  <si>
    <t>4 TEE GXGXG SDR26</t>
  </si>
  <si>
    <t>37-1025</t>
  </si>
  <si>
    <t>6X4 TEE GXGXG SDR26</t>
  </si>
  <si>
    <t>37-1026</t>
  </si>
  <si>
    <t>6 TEE GXGXG SDR26</t>
  </si>
  <si>
    <t>37-88</t>
  </si>
  <si>
    <t>8X6 TEE GXGXG SDR26</t>
  </si>
  <si>
    <t>37-89</t>
  </si>
  <si>
    <t>8 TEE GXGXG SDR26</t>
  </si>
  <si>
    <t>37-2004</t>
  </si>
  <si>
    <t>4 TWO WAY CLEANOUT TEE GXGXG SDR 26</t>
  </si>
  <si>
    <t>37-2001</t>
  </si>
  <si>
    <t>6 TWO WAY CLEANOUT TEE GXGXG SDR 26</t>
  </si>
  <si>
    <t>37-1028</t>
  </si>
  <si>
    <t>6X4 TEE WYE GXGXG SDR26</t>
  </si>
  <si>
    <t>37-1029</t>
  </si>
  <si>
    <t>6 TEE WYE GXGXG SDR26</t>
  </si>
  <si>
    <t>37-808</t>
  </si>
  <si>
    <t>8X4 TEE WYE GXGXG SDR26</t>
  </si>
  <si>
    <t>37-809</t>
  </si>
  <si>
    <t>8X6 TEE WYE GXGXG SDR26</t>
  </si>
  <si>
    <t>37-786</t>
  </si>
  <si>
    <t>8X4 TEE SDR26 CLASS 160 X SCH40 GLUE</t>
  </si>
  <si>
    <t>*</t>
  </si>
  <si>
    <t>37-1033</t>
  </si>
  <si>
    <t>4 WYE GXGXG SDR26</t>
  </si>
  <si>
    <t>37-1034</t>
  </si>
  <si>
    <t>6X4 WYE GXGXG SDR26</t>
  </si>
  <si>
    <t>37-1035</t>
  </si>
  <si>
    <t>6 WYE GXGXG SDR26</t>
  </si>
  <si>
    <t>37-1036</t>
  </si>
  <si>
    <t>8X4 WYE GXGXG SDR26</t>
  </si>
  <si>
    <t>37-1037</t>
  </si>
  <si>
    <t>8X6 WYE GXGXG SDR26</t>
  </si>
  <si>
    <t>37-1410</t>
  </si>
  <si>
    <t>8 WYE GXGXG SDR26</t>
  </si>
  <si>
    <t>37-116</t>
  </si>
  <si>
    <t>10X4 WYE GXGXG SDR26</t>
  </si>
  <si>
    <t>37-117</t>
  </si>
  <si>
    <t>10X6 WYE GXGXG SDR26</t>
  </si>
  <si>
    <t>37-1038</t>
  </si>
  <si>
    <t>6X4 DOUBLE WYE GXGXGXG SDR26</t>
  </si>
  <si>
    <t>37-1039</t>
  </si>
  <si>
    <t>6 DOUBLE WYE GXGXGXG SDR26</t>
  </si>
  <si>
    <t>Solvent Cements</t>
  </si>
  <si>
    <t>List Price Solvent Cements</t>
  </si>
  <si>
    <t>Cements042024</t>
  </si>
  <si>
    <t>Size</t>
  </si>
  <si>
    <t>Application</t>
  </si>
  <si>
    <t>Color</t>
  </si>
  <si>
    <t>Setting Speed</t>
  </si>
  <si>
    <t>IFGA100</t>
  </si>
  <si>
    <t>IFUSE IRR PVC GA CLR REGULAR</t>
  </si>
  <si>
    <t>GALLON</t>
  </si>
  <si>
    <t>PVC - REGULAR</t>
  </si>
  <si>
    <t>CLEAR</t>
  </si>
  <si>
    <t>FAST</t>
  </si>
  <si>
    <t>IFQT100</t>
  </si>
  <si>
    <t>IFUSE IRR PVC QT CLR REGULAR</t>
  </si>
  <si>
    <t>QUART</t>
  </si>
  <si>
    <t>IFPT100</t>
  </si>
  <si>
    <t>IFUSE IRR PVC PT CLR REGULAR</t>
  </si>
  <si>
    <t>PINT</t>
  </si>
  <si>
    <t>IFHP100</t>
  </si>
  <si>
    <t>IFUSE IRR PVC HP CLR REGULAR</t>
  </si>
  <si>
    <t>1/2 PINT</t>
  </si>
  <si>
    <t>IFQP100</t>
  </si>
  <si>
    <t>IFUSE IRR PVC QP CLR REGULAR</t>
  </si>
  <si>
    <t>1/4 PINT</t>
  </si>
  <si>
    <t>IFGA170</t>
  </si>
  <si>
    <t>IFUSE IRR PVC GA GRY REGULAR</t>
  </si>
  <si>
    <t>GRAY</t>
  </si>
  <si>
    <t>IFQT170</t>
  </si>
  <si>
    <t>IFUSE IRR PVC QT GRY REGULAR</t>
  </si>
  <si>
    <t>IFPT170</t>
  </si>
  <si>
    <t>IFUSE IRR PVC PT GRY REGULAR</t>
  </si>
  <si>
    <t>IFHP170</t>
  </si>
  <si>
    <t>IFUSE IRR PVC HP GRY REGULAR</t>
  </si>
  <si>
    <t>IFQP170</t>
  </si>
  <si>
    <t>IFUSE IRR PVC QP GRY REGULAR</t>
  </si>
  <si>
    <t>IFGA105</t>
  </si>
  <si>
    <t>IFUSE IRR PVC GA CLR MEDIUM</t>
  </si>
  <si>
    <t>PVC - MEDIUM</t>
  </si>
  <si>
    <t>IFQT105</t>
  </si>
  <si>
    <t>IFUSE IRR PVC QT CLR MEDIUM</t>
  </si>
  <si>
    <t>IFPT105</t>
  </si>
  <si>
    <t>IFUSE IRR PVC PT CLR MEDIUM</t>
  </si>
  <si>
    <t>IFHP105</t>
  </si>
  <si>
    <t>IFUSE IRR PVC HP CLR MEDIUM</t>
  </si>
  <si>
    <t>IFQP105</t>
  </si>
  <si>
    <t>IFUSE IRR PVC QP CLR MEDIUM</t>
  </si>
  <si>
    <t>IFGA110</t>
  </si>
  <si>
    <t>IFUSE IRR PVC GA GRY MEDIUM</t>
  </si>
  <si>
    <t>IFQT110</t>
  </si>
  <si>
    <t>IFUSE IRR PVC QT GRY MEDIUM</t>
  </si>
  <si>
    <t>IFPT110</t>
  </si>
  <si>
    <t>IFUSE IRR PVC PT GRY MEDIUM</t>
  </si>
  <si>
    <t>IFHP110</t>
  </si>
  <si>
    <t>IFUSE IRR PVC HP GRY MEDIUM</t>
  </si>
  <si>
    <t>IFQP110</t>
  </si>
  <si>
    <t>IFUSE IRR PVC QP GRY MEDIUM</t>
  </si>
  <si>
    <t>PVC - HEAVY</t>
  </si>
  <si>
    <t>MEDIUM</t>
  </si>
  <si>
    <t>N/A</t>
  </si>
  <si>
    <t>IFQT115</t>
  </si>
  <si>
    <t>IFUSE IRR PVC QT CLR HV</t>
  </si>
  <si>
    <t>IFGA120</t>
  </si>
  <si>
    <t>IFUSE IRR PVC GA GRY HV</t>
  </si>
  <si>
    <t>IFQT120</t>
  </si>
  <si>
    <t>IFUSE IRR PVC QT GRY HV</t>
  </si>
  <si>
    <t>IFPT120</t>
  </si>
  <si>
    <t>IFUSE IRR PVC PT GRY HV</t>
  </si>
  <si>
    <t>IFHP120</t>
  </si>
  <si>
    <t>IFUSE IRR PVC HP GRY HV</t>
  </si>
  <si>
    <t>IFQP120</t>
  </si>
  <si>
    <t>IFUSE IRR PVC QP GRY HV</t>
  </si>
  <si>
    <t>IFGA125</t>
  </si>
  <si>
    <t>IFUSE IRR HOT PRO GA</t>
  </si>
  <si>
    <t>BLUE</t>
  </si>
  <si>
    <t>EXTREMELY FAST</t>
  </si>
  <si>
    <t>IFQT125</t>
  </si>
  <si>
    <t>IFUSE IRR HOT PRO QT</t>
  </si>
  <si>
    <t>IFPT125</t>
  </si>
  <si>
    <t>IFUSE IRR HOT PRO PT</t>
  </si>
  <si>
    <t>IFHP125</t>
  </si>
  <si>
    <t>IFUSE IRR HOT PRO HP</t>
  </si>
  <si>
    <t>IFQP125</t>
  </si>
  <si>
    <t>IFUSE IRR HOT PRO QP</t>
  </si>
  <si>
    <t>IFGA130</t>
  </si>
  <si>
    <t>IFUSE IRR WET R DRY GA</t>
  </si>
  <si>
    <t>ACQUA BLUE</t>
  </si>
  <si>
    <t>VERY FAST</t>
  </si>
  <si>
    <t>IFQT130</t>
  </si>
  <si>
    <t>IFUSE IRR WET R DRY QT</t>
  </si>
  <si>
    <t>IFPT130</t>
  </si>
  <si>
    <t>IFUSE IRR WET R DRY PT</t>
  </si>
  <si>
    <t>IFHP130</t>
  </si>
  <si>
    <t>IFUSE IRR WET R DRY HP</t>
  </si>
  <si>
    <t>IFQP130</t>
  </si>
  <si>
    <t>IFUSE IRR WET R DRY QP</t>
  </si>
  <si>
    <t>IFGA160</t>
  </si>
  <si>
    <t>ifuse IRR FLEX PRO CLR GA</t>
  </si>
  <si>
    <t>IFQT160</t>
  </si>
  <si>
    <t>IFUSE IRR FLEX PRO CLR QT</t>
  </si>
  <si>
    <t>IFPT160</t>
  </si>
  <si>
    <t>IFUSE IRR FLEX PRO CLR PT</t>
  </si>
  <si>
    <t>IFHP160</t>
  </si>
  <si>
    <t>IFUSE IRR FLEX PRO CLR HP</t>
  </si>
  <si>
    <t>IFQP160</t>
  </si>
  <si>
    <t>IFUSE IRR FLEX PRO CLR QP</t>
  </si>
  <si>
    <t>IFQT225</t>
  </si>
  <si>
    <t>IFUSE POOL PRO PVC QT</t>
  </si>
  <si>
    <t>POOL &amp; SPA - MEDIUM</t>
  </si>
  <si>
    <t>IFPT225</t>
  </si>
  <si>
    <t>IFUSE POOL PRO PVC PT</t>
  </si>
  <si>
    <t>IFHP225</t>
  </si>
  <si>
    <t>ifuse POOL PRO PVC HP</t>
  </si>
  <si>
    <t>IFQP225</t>
  </si>
  <si>
    <t>IFUSE POOL PRO PVC QP</t>
  </si>
  <si>
    <t>IFQT135</t>
  </si>
  <si>
    <t>IFUSE IRR HOTNCOLD CPVC QT</t>
  </si>
  <si>
    <t>CPVC CTS - MEDIUM</t>
  </si>
  <si>
    <t>YELLOW</t>
  </si>
  <si>
    <t>IFPT135</t>
  </si>
  <si>
    <t>IFUSE IRR HOTNCOLD CPVC PT</t>
  </si>
  <si>
    <t>IFHP135</t>
  </si>
  <si>
    <t>IFUSE IRR HOTNCOLD CPVC HP</t>
  </si>
  <si>
    <t>IFQP135</t>
  </si>
  <si>
    <t>IFUSE IRR HOTNCOLD CPVC QP</t>
  </si>
  <si>
    <t>IFQT140</t>
  </si>
  <si>
    <t>IFUSE IRR CPVC QT HV ORG</t>
  </si>
  <si>
    <t>CPVC - HEAVY</t>
  </si>
  <si>
    <t>ORANGE</t>
  </si>
  <si>
    <t>IFPT140</t>
  </si>
  <si>
    <t>IFUSE IRR CPVC PT HV ORG</t>
  </si>
  <si>
    <t>IFHP140</t>
  </si>
  <si>
    <t>IFUSE IRR CPVC HP HV ORG</t>
  </si>
  <si>
    <t>IFQP140</t>
  </si>
  <si>
    <t>IFUSE IRR CPVC QP HV ORG</t>
  </si>
  <si>
    <t>IFGA175</t>
  </si>
  <si>
    <t>IFUSE IRR ABS GA YLW MEDIUM</t>
  </si>
  <si>
    <t>ABS - MEDIUM</t>
  </si>
  <si>
    <t>IFQT175</t>
  </si>
  <si>
    <t>IFUSE IRR ABS QT YLW MEDIUM</t>
  </si>
  <si>
    <t>IFPT175</t>
  </si>
  <si>
    <t>IFUSE IRR ABS PT YLW MEDIUM</t>
  </si>
  <si>
    <t>IFHP175</t>
  </si>
  <si>
    <t>IFUSE IRR ABS HP YLW MEDIUM</t>
  </si>
  <si>
    <t>IFQP175</t>
  </si>
  <si>
    <t>IFUSE IRR ABS QP YLW MEDIUM</t>
  </si>
  <si>
    <t>IFGA180</t>
  </si>
  <si>
    <t>IFUSE IRR ABS GA BLK MEDIUM</t>
  </si>
  <si>
    <t>BLACK</t>
  </si>
  <si>
    <t>IFQT180</t>
  </si>
  <si>
    <t>IFUSE IRR ABS QT BLK MEDIUM</t>
  </si>
  <si>
    <t>IFPT180</t>
  </si>
  <si>
    <t>IFUSE IRR ABS PT BLK MEDIUM</t>
  </si>
  <si>
    <t>IFHP180</t>
  </si>
  <si>
    <t>IFUSE IRR ABS HP BLK MEDIUM</t>
  </si>
  <si>
    <t>IFQP180</t>
  </si>
  <si>
    <t>IFUSE IRR ABS QP BLK MEDIUM</t>
  </si>
  <si>
    <t>IFGA150</t>
  </si>
  <si>
    <t>IFUSE IRR PRM PUR GA</t>
  </si>
  <si>
    <t>PRIMER</t>
  </si>
  <si>
    <t>PURPLE</t>
  </si>
  <si>
    <t>IFQT150</t>
  </si>
  <si>
    <t>IFUSE IRR PRM PUR QT</t>
  </si>
  <si>
    <t>IFPT150</t>
  </si>
  <si>
    <t>IFUSE IRR PRM PUR PT</t>
  </si>
  <si>
    <t>IFHP150</t>
  </si>
  <si>
    <t>IFUSE IRR PRM PUR HP</t>
  </si>
  <si>
    <t>IFQP150</t>
  </si>
  <si>
    <t>IFUSE IRR PRM PUR QP</t>
  </si>
  <si>
    <t>IFGA145</t>
  </si>
  <si>
    <t>IFUSE IRR PRM CLR GA</t>
  </si>
  <si>
    <t>IFQT145</t>
  </si>
  <si>
    <t>IFUSE IRR PRM CLR QT</t>
  </si>
  <si>
    <t>IFPT145</t>
  </si>
  <si>
    <t>IFUSE IRR PRM CLR PT</t>
  </si>
  <si>
    <t>IFHP145</t>
  </si>
  <si>
    <t>IFUSE IRR PRM CLR HP</t>
  </si>
  <si>
    <t>IFQP145</t>
  </si>
  <si>
    <t>IFUSE IRR PRM CLR QP</t>
  </si>
  <si>
    <t>IFGA155</t>
  </si>
  <si>
    <t>IFUSE IRR CLEANER GA</t>
  </si>
  <si>
    <t>CLEANER</t>
  </si>
  <si>
    <t>IFQT155</t>
  </si>
  <si>
    <t>IFUSE IRR CLEANER QT</t>
  </si>
  <si>
    <t>IFPT155</t>
  </si>
  <si>
    <t>IFUSE IRR CLEANER PT</t>
  </si>
  <si>
    <t>IFHP155</t>
  </si>
  <si>
    <t>IFUSE IRR CLEANER HP</t>
  </si>
  <si>
    <t>IFQP155</t>
  </si>
  <si>
    <t>IFUSE IRR CLEANER QP</t>
  </si>
  <si>
    <t>IFHP-TS</t>
  </si>
  <si>
    <t>IFUSE THREAD SEALANT HP</t>
  </si>
  <si>
    <t>THREAD
SEALANT</t>
  </si>
  <si>
    <t>IFQT-E</t>
  </si>
  <si>
    <t>IFUSE EMPTY CAN QUART</t>
  </si>
  <si>
    <t>EMPTY CAN</t>
  </si>
  <si>
    <t>GD-200</t>
  </si>
  <si>
    <t>IFUSE 3/4" SCREW CAP DAUBER PINT</t>
  </si>
  <si>
    <t>DAUBER</t>
  </si>
  <si>
    <t>GD-300</t>
  </si>
  <si>
    <t>IFUSE 1.1/2" SCREW CAP DAUBER PINT</t>
  </si>
  <si>
    <t>GD-400</t>
  </si>
  <si>
    <t>IFUSE 3/4" SCREW CAP DAUBER QUART</t>
  </si>
  <si>
    <t>GD-560</t>
  </si>
  <si>
    <t>IFUSE 7 CAP ROLLER GALLON</t>
  </si>
  <si>
    <t>ROLLER</t>
  </si>
  <si>
    <t>GD-600</t>
  </si>
  <si>
    <t>IFUSE 4 QUART SWAB</t>
  </si>
  <si>
    <t>SWAB</t>
  </si>
  <si>
    <t>GD-700</t>
  </si>
  <si>
    <t>IFUSE 4 GALLON SWAB</t>
  </si>
  <si>
    <t>GD-800</t>
  </si>
  <si>
    <t>IFUSE 3/4" EXPAND DAUBER STEM, PINT/QT</t>
  </si>
  <si>
    <t>EXPANDABLE
DAUBER</t>
  </si>
  <si>
    <t>Valve Boxes</t>
  </si>
  <si>
    <t>List Price Valve Box</t>
  </si>
  <si>
    <t>Part
Number</t>
  </si>
  <si>
    <t>Body Color</t>
  </si>
  <si>
    <t>Lid Color</t>
  </si>
  <si>
    <t>Round Valve Box 6"</t>
  </si>
  <si>
    <t>6" RND VLV BOX W/LID BLK/GRN</t>
  </si>
  <si>
    <t>GREEN</t>
  </si>
  <si>
    <t>IRRIG CONTROL VALVE</t>
  </si>
  <si>
    <t>6" RND VLV BOX W/LID GRN/GRN</t>
  </si>
  <si>
    <t>6" RND VLV BOX W/LID TAN/TAN</t>
  </si>
  <si>
    <t>TAN</t>
  </si>
  <si>
    <t>6" RND VLV BOX W/LID BLK/BLK</t>
  </si>
  <si>
    <t>6" RND VLV BOX W/LID PRP/PRP</t>
  </si>
  <si>
    <t>RECLAIMED WATER</t>
  </si>
  <si>
    <t>60-S</t>
  </si>
  <si>
    <t>6" RD VLV BX W/LID SWR, BLK/GRN</t>
  </si>
  <si>
    <t>SEWER</t>
  </si>
  <si>
    <t>61-S</t>
  </si>
  <si>
    <t>6" RND VLV BOX SWR LID GRN/GRN</t>
  </si>
  <si>
    <t>60-W</t>
  </si>
  <si>
    <t>6" RND VLV BOX W/LID WTR BLK/GR</t>
  </si>
  <si>
    <t>WATER</t>
  </si>
  <si>
    <t>60-E</t>
  </si>
  <si>
    <t>6" RND VLV BOX W/ELECT LID B/G</t>
  </si>
  <si>
    <t>ELECTRIC JUNCTION</t>
  </si>
  <si>
    <t>61-E</t>
  </si>
  <si>
    <t>6" RND VLV BOX ELECT JUNCT GRN</t>
  </si>
  <si>
    <t>Round Valve Box 7"</t>
  </si>
  <si>
    <t>7" RND VLV BOX W/LID BLK/GRN</t>
  </si>
  <si>
    <t>7" RND VLV BOX W/LID GRN/GRN</t>
  </si>
  <si>
    <t>7" RND VLV BOX W/LID BLK/BLK</t>
  </si>
  <si>
    <t>7" RND VLV BOX W/LID PRP/PRP</t>
  </si>
  <si>
    <t>74-E</t>
  </si>
  <si>
    <t>7" RND VLV BOX W/ELECT LID B/B</t>
  </si>
  <si>
    <t>74-L</t>
  </si>
  <si>
    <t>7" RND LOW VOLTAGE LANDSCPE BLK</t>
  </si>
  <si>
    <t>LOW VOLT LANDSCAPE LIGHT</t>
  </si>
  <si>
    <t>Round Valve Box 10"</t>
  </si>
  <si>
    <t>10" RND VLV BOX W/LID BLK/GRN</t>
  </si>
  <si>
    <t>10" RND VLV BOX W/LID GRN/GRN</t>
  </si>
  <si>
    <t>10" RND VLV BOX W/LID TAN/TAN</t>
  </si>
  <si>
    <t>10" RND VLV BOX W/LID BLK/BLK</t>
  </si>
  <si>
    <t>100-NMH</t>
  </si>
  <si>
    <t>10" RND VLV BOX W/LID B/G NMH</t>
  </si>
  <si>
    <t>NO MOUSE HOLES + 
IRRIG CONTROL VALVE</t>
  </si>
  <si>
    <t>101-NMH</t>
  </si>
  <si>
    <t>10" RND BOX W/LID GRN/GRN NHM</t>
  </si>
  <si>
    <t>10" RND VLV BOX W/LID PRP/PRP</t>
  </si>
  <si>
    <t>100-S</t>
  </si>
  <si>
    <t>10" R VLV BX W-SWR LID/BLK-GRN</t>
  </si>
  <si>
    <t>101-S</t>
  </si>
  <si>
    <t>10" RND VLV BOX W/SEWER LID GRN</t>
  </si>
  <si>
    <t>100-W</t>
  </si>
  <si>
    <t>10" R VLV BX W-WTR LID/BLK-GRN</t>
  </si>
  <si>
    <t>101-W</t>
  </si>
  <si>
    <t>10" RND VLV BX W-WATER LID/GRN</t>
  </si>
  <si>
    <t>104-W</t>
  </si>
  <si>
    <t>10" RND VLV BX W-WATER LID/BLK</t>
  </si>
  <si>
    <t>101-NMH-W</t>
  </si>
  <si>
    <t>10" RND BOX W/WATER LID G/G NMH</t>
  </si>
  <si>
    <t>NO MOUSE HOLES + WATER</t>
  </si>
  <si>
    <t>104-M</t>
  </si>
  <si>
    <t>10" ROUND MTR BOX/LID BL</t>
  </si>
  <si>
    <t>METER</t>
  </si>
  <si>
    <t>100-E</t>
  </si>
  <si>
    <t>10" RND VLV BOX W/ELECT LID B/G</t>
  </si>
  <si>
    <t>101-E</t>
  </si>
  <si>
    <t>10" RND VLV BOX/ ELECTRIC GRN</t>
  </si>
  <si>
    <t>104-E</t>
  </si>
  <si>
    <t>10" RND ELECTRIC JUNCTION BLK</t>
  </si>
  <si>
    <t>100-L</t>
  </si>
  <si>
    <t>10" R VLV BX W-L VLT,LL BLK/GRN</t>
  </si>
  <si>
    <t>101-L</t>
  </si>
  <si>
    <t>10" RND VLV BOX/ L VLT,LL  GRN</t>
  </si>
  <si>
    <t>101-T</t>
  </si>
  <si>
    <t>10" RND VLV BOX TELEPHONE/GRN</t>
  </si>
  <si>
    <t>TELEPHONE</t>
  </si>
  <si>
    <t>Round Dry Box 12"</t>
  </si>
  <si>
    <t>1200-R-DB</t>
  </si>
  <si>
    <t>12" RND DRY BOX BLK/GRN</t>
  </si>
  <si>
    <t>1201-R-DB</t>
  </si>
  <si>
    <t>12" RND DRY BOX GRN/GRN</t>
  </si>
  <si>
    <t>1204-R-DB</t>
  </si>
  <si>
    <t>12" RND DRY BOX BLK/BLK</t>
  </si>
  <si>
    <t>1203-R-DB</t>
  </si>
  <si>
    <t>12" RND DRY BOX PRP/PRP</t>
  </si>
  <si>
    <t>1200-R-DB-E</t>
  </si>
  <si>
    <t>12" RND DRY BOX W/ELECT LID B/G</t>
  </si>
  <si>
    <t>ELECTRIC</t>
  </si>
  <si>
    <t>1205-R-DB-E</t>
  </si>
  <si>
    <t>12" RND DRY BOX W/ELECT LID GRY</t>
  </si>
  <si>
    <t>GREY</t>
  </si>
  <si>
    <t>10 X 15 X 10" RCT BOX W/LID BLK/GRN</t>
  </si>
  <si>
    <t>10 X 15 X 10" RCT BOX W/LID GRN/GRN</t>
  </si>
  <si>
    <t>10 X 15 X 10" RCT BOX W/LID PRP/PRP</t>
  </si>
  <si>
    <t>120-6</t>
  </si>
  <si>
    <t>12X17X6 RCT BOX W/LID BLK/GRN</t>
  </si>
  <si>
    <t>121-6</t>
  </si>
  <si>
    <t>12X17X6 RCT BOX W/LID GRN/GRN</t>
  </si>
  <si>
    <t>122-6</t>
  </si>
  <si>
    <t>12X17X6 RCT BOX W/LID TAN/TAN</t>
  </si>
  <si>
    <t>123-6</t>
  </si>
  <si>
    <t>12X17X6 RCT BOX W/LID PRP/PRP</t>
  </si>
  <si>
    <t>124-6</t>
  </si>
  <si>
    <t>12X17X6 RCT BOX W/LID BLK/BLK</t>
  </si>
  <si>
    <t>120-6-MR</t>
  </si>
  <si>
    <t>12X17X6 RCT MTR RDR BOX/LID</t>
  </si>
  <si>
    <t>METER READER</t>
  </si>
  <si>
    <t>124-6-MR</t>
  </si>
  <si>
    <t>12X17X6 RCT MTR RDR BOX/LID BLK</t>
  </si>
  <si>
    <t>121-6-E</t>
  </si>
  <si>
    <t>12X17X6 RCT BOX W/ELECT LID G/G</t>
  </si>
  <si>
    <t>124-6-E</t>
  </si>
  <si>
    <t>12X17X6 BOX W/ELECT LID BLK/BLK</t>
  </si>
  <si>
    <t>121-6-T</t>
  </si>
  <si>
    <t>12X17X6 RCT BOX W/TELEPHONE LID</t>
  </si>
  <si>
    <t>DS120-6</t>
  </si>
  <si>
    <t>12X17X6 RCT BOX W/LID B/G + DS</t>
  </si>
  <si>
    <t>12X17X12 RCT BOX W/LID BLK/GRN</t>
  </si>
  <si>
    <t>12X17X12 RCT BOX W/LID GRN/GRN</t>
  </si>
  <si>
    <t>12X17X12 RCT BOX W/LID TAN/TAN</t>
  </si>
  <si>
    <t>12X17X12 RCT BOX W/LID BLK/BLK</t>
  </si>
  <si>
    <t>121-NMH</t>
  </si>
  <si>
    <t>12X17X12 RCT BOX W/LID G/G NMH</t>
  </si>
  <si>
    <t>12X17X12 RCT BOX W/LID PRP/PRP</t>
  </si>
  <si>
    <t>120-W</t>
  </si>
  <si>
    <t>12X17X12 BOX W-WTR LID/GRN-BLK</t>
  </si>
  <si>
    <t>121-W</t>
  </si>
  <si>
    <t>12X17X12 RCT BOX W/WTR LID GRN</t>
  </si>
  <si>
    <t>120-M</t>
  </si>
  <si>
    <t>12X17X12 MTR BOX W/LID, BLK/GRN</t>
  </si>
  <si>
    <t>121-M</t>
  </si>
  <si>
    <t>12X17X12 MTR BOX W/LID, GRN/GRN</t>
  </si>
  <si>
    <t>124-M</t>
  </si>
  <si>
    <t>12X17X12 MTR BOX W/LID, BLK/BLK</t>
  </si>
  <si>
    <t>120-MR</t>
  </si>
  <si>
    <t>12X17X12 MTR RDR BOX W/LID BL/G</t>
  </si>
  <si>
    <t>121-MR</t>
  </si>
  <si>
    <t>12X17X12 RCT MTR RDR BOX/LID GR</t>
  </si>
  <si>
    <t>124-MR</t>
  </si>
  <si>
    <t>12X17X12 RCT MTR RDR BOX/LID BL</t>
  </si>
  <si>
    <t>120-S</t>
  </si>
  <si>
    <t>12X17X12 BOX W-SWR LID/BLK-GRN</t>
  </si>
  <si>
    <t>121-S</t>
  </si>
  <si>
    <t>12X17X12 RCT BX SWR LID/GRN/GRN</t>
  </si>
  <si>
    <t>120-E</t>
  </si>
  <si>
    <t>12X17X12 RCT BOX W/ELCT LID B/G</t>
  </si>
  <si>
    <t>121-E</t>
  </si>
  <si>
    <t>12X17X12 RCT BOX W/ELECT LID GR</t>
  </si>
  <si>
    <t>124-E</t>
  </si>
  <si>
    <t>12X17X12 VLV BX ELECT JUNCT BLK</t>
  </si>
  <si>
    <t>125-E</t>
  </si>
  <si>
    <t>12X17X12 VLV BX ELECT JUNCT GRY</t>
  </si>
  <si>
    <t>121-L</t>
  </si>
  <si>
    <t>12X17X12 RCT BOX W/LANDS LID GR</t>
  </si>
  <si>
    <t xml:space="preserve"> LOW VOLT LANDSCAPE LIGHT</t>
  </si>
  <si>
    <t>124-L</t>
  </si>
  <si>
    <t>12X17X12 VLV BX LOW VOLTAGE BLK</t>
  </si>
  <si>
    <t>121-T</t>
  </si>
  <si>
    <t>12X17X12 RCT BOX W/TELE LID GR</t>
  </si>
  <si>
    <t>120-X</t>
  </si>
  <si>
    <t>12X17X6 EXT BOX W/LID BLK/GRN</t>
  </si>
  <si>
    <t>121-X</t>
  </si>
  <si>
    <t>12X17X6 EXT BOX W/LID GRN/GRN</t>
  </si>
  <si>
    <t>122-X</t>
  </si>
  <si>
    <t>12X17X6 EXT BOX W/LID TAN/TAN</t>
  </si>
  <si>
    <t>123-X</t>
  </si>
  <si>
    <t>12X17X6 EXT BOX W/LID PRP/PRP</t>
  </si>
  <si>
    <t>120-DB-2</t>
  </si>
  <si>
    <t>12X17X12 RCT DRY BOX(B) W/L B/G</t>
  </si>
  <si>
    <t>124-DB-2</t>
  </si>
  <si>
    <t>12X17X12 RCT DRY BOX (B) BLACK</t>
  </si>
  <si>
    <t>123-DB-2</t>
  </si>
  <si>
    <t>12X17X12 RCT DRY BOX(B) W/L PRP</t>
  </si>
  <si>
    <t>120-DB-2-DS</t>
  </si>
  <si>
    <t>12X17X12 DRY BOX/LID (B) B/G DS</t>
  </si>
  <si>
    <t>123-DB-2-DS</t>
  </si>
  <si>
    <t>12X17X12 DRY BOX/LID (B) P/P DS</t>
  </si>
  <si>
    <t>124-DB-2-DS</t>
  </si>
  <si>
    <t>12X17X12 DRY BOX/LID (B) B/B DS</t>
  </si>
  <si>
    <t>124-DB-2-DS-E</t>
  </si>
  <si>
    <t>12X17X12 DRY BX/LD(B)ELCT BK DS</t>
  </si>
  <si>
    <t xml:space="preserve">ELECTRIC </t>
  </si>
  <si>
    <t>150-6</t>
  </si>
  <si>
    <t>15X21X6 RCT BOX W/LID BLK/GRN</t>
  </si>
  <si>
    <t>151-6</t>
  </si>
  <si>
    <t>15X21X6 RCT BOX W/LID GRN/GRN</t>
  </si>
  <si>
    <t>152-6</t>
  </si>
  <si>
    <t>15X21X6 RCT BOX W/LID TAN/TAN</t>
  </si>
  <si>
    <t>15X21X12 RCT BOX W/LID BLK/GRN</t>
  </si>
  <si>
    <t>15X21X12 RCT BOX W/LID GRN/GRN</t>
  </si>
  <si>
    <t>15X21X12 RCT BOX W/LID TAN/TAN</t>
  </si>
  <si>
    <t>15X21X12 RCT BOX W/LID BLK/BLK</t>
  </si>
  <si>
    <t>151-NMH</t>
  </si>
  <si>
    <t>15X21X12 RCT BOX W/LID G/G, NMH</t>
  </si>
  <si>
    <t>15X21X12 RCT BOX W/LID PRP/PRP</t>
  </si>
  <si>
    <t>151-E</t>
  </si>
  <si>
    <t>15X21X12 RCT BOX W/ELECT LID GR</t>
  </si>
  <si>
    <t>150-G</t>
  </si>
  <si>
    <t>15X21X12 RCT BOX W/GAS LID BL/G</t>
  </si>
  <si>
    <t>GAS</t>
  </si>
  <si>
    <t>150-X</t>
  </si>
  <si>
    <t>15X21X6 EXT BOX W/LID BLK/GRN</t>
  </si>
  <si>
    <t>151-X</t>
  </si>
  <si>
    <t>15X21X6 EXT BOX W/LID GRN/GRN</t>
  </si>
  <si>
    <t>152-X</t>
  </si>
  <si>
    <t>15X21X6 EXT BOX W/LID TAN/TAN</t>
  </si>
  <si>
    <t>List Price Valve Box Components</t>
  </si>
  <si>
    <t>T61</t>
  </si>
  <si>
    <t>6" RND LID GRN</t>
  </si>
  <si>
    <t>T64</t>
  </si>
  <si>
    <t>6" RND LID BLK</t>
  </si>
  <si>
    <t>T65</t>
  </si>
  <si>
    <t>6" RND LID GRY</t>
  </si>
  <si>
    <t>T63</t>
  </si>
  <si>
    <t>6" RND LID PRP</t>
  </si>
  <si>
    <t>T61-S</t>
  </si>
  <si>
    <t>6" RND SEWER LID GRN</t>
  </si>
  <si>
    <t>T64-S</t>
  </si>
  <si>
    <t>6" RND SEWER LID BLACK</t>
  </si>
  <si>
    <t>T61-W</t>
  </si>
  <si>
    <t>6" RND LID, WATER, GRN</t>
  </si>
  <si>
    <t>T64-W</t>
  </si>
  <si>
    <t>6" RND WATER LID BLK</t>
  </si>
  <si>
    <t>T61-SD</t>
  </si>
  <si>
    <t>6" RND LID STORM DRAIN GREEN</t>
  </si>
  <si>
    <t>STORM DRAIN</t>
  </si>
  <si>
    <t>T61-E</t>
  </si>
  <si>
    <t>6" RND LID, ELECT JUNCTION, GRN</t>
  </si>
  <si>
    <t>T64-E</t>
  </si>
  <si>
    <t>6" RND LID, ELECT JUNCTION BLK</t>
  </si>
  <si>
    <t>T61-L</t>
  </si>
  <si>
    <t>6" RND LID, LOW VOLT LAND GRN</t>
  </si>
  <si>
    <t>T64-L</t>
  </si>
  <si>
    <t>6" RND LID, LOW VOLT LAND BLK</t>
  </si>
  <si>
    <t>T61-T</t>
  </si>
  <si>
    <t>6" RND LID, TELEPHONE GRN</t>
  </si>
  <si>
    <t>T64-T</t>
  </si>
  <si>
    <t>6" RND TELEPHONE LID BLK</t>
  </si>
  <si>
    <t>B73</t>
  </si>
  <si>
    <t>7" RND VLV BOX PRP</t>
  </si>
  <si>
    <t>B74</t>
  </si>
  <si>
    <t>7" RND VLV BOX BLK</t>
  </si>
  <si>
    <t>T71</t>
  </si>
  <si>
    <t>7" RND LID GRN</t>
  </si>
  <si>
    <t>T74</t>
  </si>
  <si>
    <t>7" RND LID BLK</t>
  </si>
  <si>
    <t>T75</t>
  </si>
  <si>
    <t>7" RND LID GRY</t>
  </si>
  <si>
    <t>T73</t>
  </si>
  <si>
    <t>7" RND LID PRP</t>
  </si>
  <si>
    <t>T71-S</t>
  </si>
  <si>
    <t>7" RND SEWER LID GRN</t>
  </si>
  <si>
    <t>T71-E</t>
  </si>
  <si>
    <t>7" RND LID ELECT JUNCT</t>
  </si>
  <si>
    <t>T74-E</t>
  </si>
  <si>
    <t>7" RND LID BLK ELECT JUNCT</t>
  </si>
  <si>
    <t>T75-E</t>
  </si>
  <si>
    <t>7" RND LID, ELECT JUNCTION GRY</t>
  </si>
  <si>
    <t>T71-L</t>
  </si>
  <si>
    <t>7" RND LID, LOW VOLT LAND GRN</t>
  </si>
  <si>
    <t>T74-L</t>
  </si>
  <si>
    <t>7" RND LID, LOW VOLT LAND BLK</t>
  </si>
  <si>
    <t>T75-T</t>
  </si>
  <si>
    <t>7" RND LID, TELEPHONE GRY</t>
  </si>
  <si>
    <t>B101</t>
  </si>
  <si>
    <t>10" RND VLV BOX GRN</t>
  </si>
  <si>
    <t>B103</t>
  </si>
  <si>
    <t>10" RND VLV BOX PRP</t>
  </si>
  <si>
    <t>B104</t>
  </si>
  <si>
    <t>10" RND VLV BOX BLK</t>
  </si>
  <si>
    <t>B101-NMH</t>
  </si>
  <si>
    <t>10" RND BOX GRN, NO MOUSE HOLE</t>
  </si>
  <si>
    <t>NO MOUSE HOLES</t>
  </si>
  <si>
    <t>B103-NMH</t>
  </si>
  <si>
    <t>10" RND VLV BOX PRP NMH</t>
  </si>
  <si>
    <t>T101</t>
  </si>
  <si>
    <t>10" RND LID GRN</t>
  </si>
  <si>
    <t>T104</t>
  </si>
  <si>
    <t>10" RND LID BLK</t>
  </si>
  <si>
    <t>T105</t>
  </si>
  <si>
    <t>10" RND LID GRY</t>
  </si>
  <si>
    <t>T103</t>
  </si>
  <si>
    <t>10" RND LID PRP</t>
  </si>
  <si>
    <t>T101-E</t>
  </si>
  <si>
    <t>10" RND LID GREEN, ELECTRICAL</t>
  </si>
  <si>
    <t>T104-E</t>
  </si>
  <si>
    <t>10" RND LID, ELECT JUNCTION BLK</t>
  </si>
  <si>
    <t>T101-L</t>
  </si>
  <si>
    <t>10" RND LID, LOW VOLT LAND GRN</t>
  </si>
  <si>
    <t>T104-L</t>
  </si>
  <si>
    <t>10" RND LID LOW VOLT LAND BLK</t>
  </si>
  <si>
    <t>T101-S</t>
  </si>
  <si>
    <t>10" RND SEWER LID, GRN</t>
  </si>
  <si>
    <t>T101-W</t>
  </si>
  <si>
    <t>10" RND LID, WATER, GRN</t>
  </si>
  <si>
    <t>T104-W</t>
  </si>
  <si>
    <t>10" RND LID, WATER, BLK</t>
  </si>
  <si>
    <t>T104-M</t>
  </si>
  <si>
    <t>10" ROUND METER BOX LID BLK</t>
  </si>
  <si>
    <t>T101-SD</t>
  </si>
  <si>
    <t>10" RND LID GRN STORM DRAIN</t>
  </si>
  <si>
    <t>T101-T</t>
  </si>
  <si>
    <t>10" RND LID, TELEPHONE GRN</t>
  </si>
  <si>
    <t>T104-T</t>
  </si>
  <si>
    <t>10" RND LID, TELEPHONE BLK</t>
  </si>
  <si>
    <t>B1201-R-DB</t>
  </si>
  <si>
    <t>12" RND DRY BOX BODY GRN</t>
  </si>
  <si>
    <t>B1203-R-DB</t>
  </si>
  <si>
    <t>12" RND DRY BOX BODY PURPLE</t>
  </si>
  <si>
    <t>B1204-R-DB</t>
  </si>
  <si>
    <t>12" RND DRY BOX BODY BLK</t>
  </si>
  <si>
    <t>T1201-R-DB</t>
  </si>
  <si>
    <t>12" RND DRY BOX LID GRN</t>
  </si>
  <si>
    <t>T1202-R-DB</t>
  </si>
  <si>
    <t>12" RND DRY BOX LID TAN</t>
  </si>
  <si>
    <t>T1204-R-DB</t>
  </si>
  <si>
    <t>12" RND DRY BOX LID BLK</t>
  </si>
  <si>
    <t>T1203-R-DB</t>
  </si>
  <si>
    <t>12" RND DRY BOX LID PURPLE</t>
  </si>
  <si>
    <t>T1201-R-DB-E</t>
  </si>
  <si>
    <t>12" RND DRY BOX ELECT LID GRN</t>
  </si>
  <si>
    <t>B121-6</t>
  </si>
  <si>
    <t>12X17X6 RCT VLV BOX GRN</t>
  </si>
  <si>
    <t>B123-6</t>
  </si>
  <si>
    <t>12X17X6 RCT VLV BOX PRP</t>
  </si>
  <si>
    <t>B123</t>
  </si>
  <si>
    <t>12X17X12 RCT VLV BOX PRP</t>
  </si>
  <si>
    <t>B124</t>
  </si>
  <si>
    <t>12X17X12 RCT VLV BOX BLK</t>
  </si>
  <si>
    <t>B121-X</t>
  </si>
  <si>
    <t>12X17X6 RCT VLV EXT BOX GRN</t>
  </si>
  <si>
    <t>B123-X</t>
  </si>
  <si>
    <t>12X17X6 RCT VLV EXT BOX PRP</t>
  </si>
  <si>
    <t>B124-X</t>
  </si>
  <si>
    <t>12X17X6 RCT VLV EXT BOX BLK</t>
  </si>
  <si>
    <t>T121</t>
  </si>
  <si>
    <t>12X17 RCT LID GRN</t>
  </si>
  <si>
    <t>T124</t>
  </si>
  <si>
    <t>12X17 RCT LID BLACK</t>
  </si>
  <si>
    <t>T127</t>
  </si>
  <si>
    <t>12X17 RCT LID YELLOW</t>
  </si>
  <si>
    <t>T123</t>
  </si>
  <si>
    <t>12X17 RCT LID PRP</t>
  </si>
  <si>
    <t>T121-W</t>
  </si>
  <si>
    <t>12X17 RCT LID, WATER, GRN</t>
  </si>
  <si>
    <t>T121-MR</t>
  </si>
  <si>
    <t>12X17X12 RECT MTR RDR LID, GRN</t>
  </si>
  <si>
    <t>T123-MR</t>
  </si>
  <si>
    <t>12X17 RCT MTR RDR LID, PRP</t>
  </si>
  <si>
    <t>T124-MR</t>
  </si>
  <si>
    <t>12X17 RCT MTR RDR LID, BLK</t>
  </si>
  <si>
    <t>T121-S</t>
  </si>
  <si>
    <t>12X17 RCT LID, SEWER, GRN</t>
  </si>
  <si>
    <t>T121-SD</t>
  </si>
  <si>
    <t>12X17 RCT LID STORM DRAIN GRN</t>
  </si>
  <si>
    <t>T121-E</t>
  </si>
  <si>
    <t>12X17 RCT LID ELECT JUNCT GRN</t>
  </si>
  <si>
    <t>T124-E</t>
  </si>
  <si>
    <t>12X17 RCT LID ELECT JUNCT BLK</t>
  </si>
  <si>
    <t>T121-L</t>
  </si>
  <si>
    <t>12X17 RCT LID LOW VOLT LAND GRN</t>
  </si>
  <si>
    <t>T124-L</t>
  </si>
  <si>
    <t>12X17 RCT LID BLK - LANDSCAPING</t>
  </si>
  <si>
    <t>T121-T</t>
  </si>
  <si>
    <t>12X17 RCT LID, TELEPHONE GRN</t>
  </si>
  <si>
    <t>T124-T</t>
  </si>
  <si>
    <t>12X17 RCT LID TELEPHONE BLK</t>
  </si>
  <si>
    <t>T121-G</t>
  </si>
  <si>
    <t>12X17 RCT GAS LID GRN</t>
  </si>
  <si>
    <t>B121-DB-2</t>
  </si>
  <si>
    <t>12X17X12 RCT DB BODY (B) GREEN</t>
  </si>
  <si>
    <t>B124-DB-2</t>
  </si>
  <si>
    <t>12X17X12 RCT DRY BOX BODY(B) BK</t>
  </si>
  <si>
    <t>B123-DB-2</t>
  </si>
  <si>
    <t>12X17X12 RCT DRY BOX BODY(B) PR</t>
  </si>
  <si>
    <t>T121-DB-2</t>
  </si>
  <si>
    <t>12X17 RCT DRY BOX LID (B) GREEN</t>
  </si>
  <si>
    <t>T124-DB-2</t>
  </si>
  <si>
    <t>12X17 RCT DRY BOX LID (B) BLACK</t>
  </si>
  <si>
    <t>T123-DB-2</t>
  </si>
  <si>
    <t>12X17 RCT DRY BOX LID (B) PURPLE</t>
  </si>
  <si>
    <t>T124-DB-2-E</t>
  </si>
  <si>
    <t>12X17 RCT DRY BOX LID(B)ELCT BK</t>
  </si>
  <si>
    <t>B151</t>
  </si>
  <si>
    <t>15X21X12 RCT VLV BOX GRN</t>
  </si>
  <si>
    <t>B153</t>
  </si>
  <si>
    <t>15X21X12 RCT VLV BOX PRP</t>
  </si>
  <si>
    <t>B154</t>
  </si>
  <si>
    <t>15X21X12 RCT VLV BOX BLK</t>
  </si>
  <si>
    <t>B151-X</t>
  </si>
  <si>
    <t>15X21X6 RCT VLV EXT BOX GRN</t>
  </si>
  <si>
    <t>B152-X</t>
  </si>
  <si>
    <t>15X21X6 RCT VLV EXT BOX TAN</t>
  </si>
  <si>
    <t>B153-X</t>
  </si>
  <si>
    <t>15X21X6 RCT VLV EXT BOX PRP</t>
  </si>
  <si>
    <t>B154-X</t>
  </si>
  <si>
    <t>15X21X6 RCT VLV EXT BOX BLK</t>
  </si>
  <si>
    <t>T151</t>
  </si>
  <si>
    <t>15X21 RCT LID GRN</t>
  </si>
  <si>
    <t>T154</t>
  </si>
  <si>
    <t>15X21 RCT LID BLK</t>
  </si>
  <si>
    <t>T155</t>
  </si>
  <si>
    <t>15X21 RCT LID GRY</t>
  </si>
  <si>
    <t>T153</t>
  </si>
  <si>
    <t>15X21 RCT LID PRP</t>
  </si>
  <si>
    <t>T151-W</t>
  </si>
  <si>
    <t>15X21 RCT LID WATER GRN</t>
  </si>
  <si>
    <t>T151-S</t>
  </si>
  <si>
    <t>15X21 RCT LID SEWER GREEN</t>
  </si>
  <si>
    <t>T151-E</t>
  </si>
  <si>
    <t>15X21 RCT LID ELECT JUNCT GRN</t>
  </si>
  <si>
    <t>T154-E</t>
  </si>
  <si>
    <t>15X21 RCT LID ELECT JUNCT</t>
  </si>
  <si>
    <t>T151-L</t>
  </si>
  <si>
    <t>15X21 RCT LID LOW VOLT LAND GRN</t>
  </si>
  <si>
    <t>T154-L</t>
  </si>
  <si>
    <t>15X21 RCT LID LOW VOLT LAND BLK</t>
  </si>
  <si>
    <t>T151-T</t>
  </si>
  <si>
    <t>15X21 RCT LID TELEPHONE GRN</t>
  </si>
  <si>
    <t>T154-T</t>
  </si>
  <si>
    <t>15X21 RCT LID TELEPHONE BLK</t>
  </si>
  <si>
    <t>T151-G</t>
  </si>
  <si>
    <t>15X21 RCT GAS LID GRN</t>
  </si>
  <si>
    <t>Accessory Plate for Dry Box Black</t>
  </si>
  <si>
    <t>AP-120</t>
  </si>
  <si>
    <t>ACCESSORY PLATE FOR DRY BOX BLK</t>
  </si>
  <si>
    <t>Dirt Skirt + Gasket</t>
  </si>
  <si>
    <t>DS-12</t>
  </si>
  <si>
    <t>DIRT SKIRT W/GASKET, 120 SERIES</t>
  </si>
  <si>
    <t>DS-1204</t>
  </si>
  <si>
    <t>DIRT SKIRT W/GASKET, 12" RND DB</t>
  </si>
  <si>
    <t>DS-6</t>
  </si>
  <si>
    <t>DIRT SKIRT W/GASKET, 120-6 SERIES</t>
  </si>
  <si>
    <t>12DS</t>
  </si>
  <si>
    <t>DIRT SKIRT, W/GASKET STD DRY BX</t>
  </si>
  <si>
    <t>Oring/Gasket</t>
  </si>
  <si>
    <t>DS-12-SEAL</t>
  </si>
  <si>
    <t>DIRT SKIRT GASKET (120 STD BOX)</t>
  </si>
  <si>
    <t>DS-6-SEAL</t>
  </si>
  <si>
    <t>DIRT SKIRT GASKET (-6 BOX ONLY)</t>
  </si>
  <si>
    <t>DSG-1</t>
  </si>
  <si>
    <t>DIRT SKIRT GASKET DRY BOX ONLY</t>
  </si>
  <si>
    <t>List Price Drainage</t>
  </si>
  <si>
    <t>044-SCB</t>
  </si>
  <si>
    <t>4 CATCH BASIN/6 BLK GRATE</t>
  </si>
  <si>
    <t>090-CB</t>
  </si>
  <si>
    <t>9 SQUARE CATCH BASIN</t>
  </si>
  <si>
    <t>120-CB</t>
  </si>
  <si>
    <t>12 SQUARE CATCH BASIN</t>
  </si>
  <si>
    <t>090-CB-2</t>
  </si>
  <si>
    <t>9X9 SQUARE CATCH BASIN</t>
  </si>
  <si>
    <t>120-CB-2</t>
  </si>
  <si>
    <t>12X12 SQUARE CATCH BASIN</t>
  </si>
  <si>
    <t>120-RCB</t>
  </si>
  <si>
    <t>12 ROUND CATCH BASIN, BLK</t>
  </si>
  <si>
    <t>090-K</t>
  </si>
  <si>
    <t>9 2-OUT DRNG KIT W/GRN GRATE</t>
  </si>
  <si>
    <t>120-K</t>
  </si>
  <si>
    <t>12 2-OUT DRG KIT W/GRN GRATE</t>
  </si>
  <si>
    <t>094-K</t>
  </si>
  <si>
    <t>9 2-OUT DRNG KIT W/BLK GRATE</t>
  </si>
  <si>
    <t>124-K</t>
  </si>
  <si>
    <t>12 2-OUT DRG KIT W/BLK GRATE</t>
  </si>
  <si>
    <t>060-CB-1</t>
  </si>
  <si>
    <t>SINGLE OUTLET CATCH BASIN(3-4)</t>
  </si>
  <si>
    <t>060-CB-2</t>
  </si>
  <si>
    <t>DOUBLE OUTLET CATCH BASIN(3-4)</t>
  </si>
  <si>
    <t>090-CBLP</t>
  </si>
  <si>
    <t>9 LOW PROFILE SQUARE BASIN</t>
  </si>
  <si>
    <t>120-CBLP</t>
  </si>
  <si>
    <t>12 LOW PROFILE SQUARE BASIN</t>
  </si>
  <si>
    <t>060-CB</t>
  </si>
  <si>
    <t>6 ROUND BASIN</t>
  </si>
  <si>
    <t>090-ST</t>
  </si>
  <si>
    <t>9 SQUARE SAND TRAP</t>
  </si>
  <si>
    <t>120-ST</t>
  </si>
  <si>
    <t>12 SQUARE SAND TRAP</t>
  </si>
  <si>
    <t>090-RST</t>
  </si>
  <si>
    <t>9 ROUND SAND TRAP, BLK</t>
  </si>
  <si>
    <t>120-RST</t>
  </si>
  <si>
    <t>12 ROUND SAND TRAP, BLK</t>
  </si>
  <si>
    <t>090-SF</t>
  </si>
  <si>
    <t>9 SQUARE CATCH BASIN GRATE/GRN</t>
  </si>
  <si>
    <t>120-SF</t>
  </si>
  <si>
    <t>12 SQUARE CATCH BASIN GRATE</t>
  </si>
  <si>
    <t>092-SF</t>
  </si>
  <si>
    <t>9 SQUARE CATCH BASIN GRATE TAN</t>
  </si>
  <si>
    <t>122-SF</t>
  </si>
  <si>
    <t>12 SQRE CATCH BASIN GRATE TAN</t>
  </si>
  <si>
    <t>094-SF</t>
  </si>
  <si>
    <t>9 SQUARE CATCH BASIN GRATE/BLK</t>
  </si>
  <si>
    <t>124-SF</t>
  </si>
  <si>
    <t>030-A</t>
  </si>
  <si>
    <t>3 ATRIUM GRATE, GREEN</t>
  </si>
  <si>
    <t>040-A</t>
  </si>
  <si>
    <t>4 ATRIUM GRATE, GREEN</t>
  </si>
  <si>
    <t>060-A</t>
  </si>
  <si>
    <t>6 ATRIUM GRATE, GREEN</t>
  </si>
  <si>
    <t>090-A</t>
  </si>
  <si>
    <t>9 ATRIUM GRATE, GREEN</t>
  </si>
  <si>
    <t>120-A</t>
  </si>
  <si>
    <t>12 ATRIUM GRATE, GREEN</t>
  </si>
  <si>
    <t>032-A</t>
  </si>
  <si>
    <t>3 ATRIUM GRATE, TAN</t>
  </si>
  <si>
    <t>044-A</t>
  </si>
  <si>
    <t>4 ATRIUM GRATE, BLACK</t>
  </si>
  <si>
    <t>064-A</t>
  </si>
  <si>
    <t>6 ATRIUM GRATE, BLACK</t>
  </si>
  <si>
    <t>094-A</t>
  </si>
  <si>
    <t>9 ATRIUM GRATE, BLACK</t>
  </si>
  <si>
    <t>124-A</t>
  </si>
  <si>
    <t>12 ATRIUM GRATE, BLACK</t>
  </si>
  <si>
    <t>030-R</t>
  </si>
  <si>
    <t>3 ROUND GRATE, GREEN</t>
  </si>
  <si>
    <t>040-R</t>
  </si>
  <si>
    <t>4 ROUND GRATE, GREEN</t>
  </si>
  <si>
    <t>060-R</t>
  </si>
  <si>
    <t>6 ROUND GRATE, GREEN</t>
  </si>
  <si>
    <t>080-R</t>
  </si>
  <si>
    <t>8 ROUND GRATE, GREEN</t>
  </si>
  <si>
    <t>032-R</t>
  </si>
  <si>
    <t>3 ROUND GRATE, TAN</t>
  </si>
  <si>
    <t>042-R</t>
  </si>
  <si>
    <t>4 ROUND GRATE, TAN</t>
  </si>
  <si>
    <t>034-R</t>
  </si>
  <si>
    <t>3 ROUND GRATE, BLACK</t>
  </si>
  <si>
    <t>044-R</t>
  </si>
  <si>
    <t>4 ROUND GRATE, BLACK</t>
  </si>
  <si>
    <t>064-R</t>
  </si>
  <si>
    <t>6 ROUND GRATE, BLACK</t>
  </si>
  <si>
    <t>084-R</t>
  </si>
  <si>
    <t>8 ROUND GRATE, BLACK</t>
  </si>
  <si>
    <t>050-S</t>
  </si>
  <si>
    <t>5 SQUARE GRATE, GREEN</t>
  </si>
  <si>
    <t>052-S</t>
  </si>
  <si>
    <t>5 SQUARE GRATE TAN</t>
  </si>
  <si>
    <t>062-S</t>
  </si>
  <si>
    <t>6 SQUARE GRATE TAN</t>
  </si>
  <si>
    <t>054-S</t>
  </si>
  <si>
    <t>5 SQUARE GRATES, BLACK</t>
  </si>
  <si>
    <t>094-S</t>
  </si>
  <si>
    <t>9 SQUARE GRATE, BLACK</t>
  </si>
  <si>
    <t>090X-RA</t>
  </si>
  <si>
    <t>9 ROUND ATRIUM, GRN</t>
  </si>
  <si>
    <t>120X-RA</t>
  </si>
  <si>
    <t>12 ROUND ATRIUM, GRN</t>
  </si>
  <si>
    <t>090X-RF</t>
  </si>
  <si>
    <t>9 ROUND FLAT GRATE, GRN</t>
  </si>
  <si>
    <t>120X-RF</t>
  </si>
  <si>
    <t>12 ROUND FLAT GRATE, GRN</t>
  </si>
  <si>
    <t>124X-RF</t>
  </si>
  <si>
    <t>12 ROUND ATRIUM, BLK</t>
  </si>
  <si>
    <t>34-E</t>
  </si>
  <si>
    <t>3&amp;4 COMBO POP-UP DRAIN EMITTR</t>
  </si>
  <si>
    <t>34-3EL</t>
  </si>
  <si>
    <t>DRAIN EMITTER W/3 90 ELL SS</t>
  </si>
  <si>
    <t>34-4EL</t>
  </si>
  <si>
    <t>DRAIN EMITTER W/4 90 ELL SS</t>
  </si>
  <si>
    <t>UA-001</t>
  </si>
  <si>
    <t>UNIVERSAL ADAPTER</t>
  </si>
  <si>
    <t>UA-060</t>
  </si>
  <si>
    <t>6 ADAPTER</t>
  </si>
  <si>
    <t>UA-PLUG</t>
  </si>
  <si>
    <t>6 UNIVERSAL ADAPTER PLUG</t>
  </si>
  <si>
    <t>List Price Nipples</t>
  </si>
  <si>
    <t>Process</t>
  </si>
  <si>
    <t>Style</t>
  </si>
  <si>
    <t>Config</t>
  </si>
  <si>
    <t>PVC Schedule 40 Marlex T.B.E. (Threaded Both Ends) Nipples</t>
  </si>
  <si>
    <t>1/2X2 NIPPLE MX TBE</t>
  </si>
  <si>
    <t>Molded</t>
  </si>
  <si>
    <t>Black Marlex TBE Nipple</t>
  </si>
  <si>
    <t>Mipt x Mipt</t>
  </si>
  <si>
    <t>2</t>
  </si>
  <si>
    <t>1/2X6 NIPPLE MX TBE</t>
  </si>
  <si>
    <t>6</t>
  </si>
  <si>
    <t>PVC Schedule 80 T.B.E. (Threaded Both Ends) Nipples</t>
  </si>
  <si>
    <t>1/2XCL NIPPLE TBE</t>
  </si>
  <si>
    <t>PVC TBE Nipple</t>
  </si>
  <si>
    <t>CLOSE</t>
  </si>
  <si>
    <t>1/2X2 NIPPLE TBE</t>
  </si>
  <si>
    <t>1/2X2-1/2 NIPPLE TBE</t>
  </si>
  <si>
    <t>2-1/2</t>
  </si>
  <si>
    <t>1/2X3 NIPPLE TBE</t>
  </si>
  <si>
    <t>3</t>
  </si>
  <si>
    <t>1/2X3-1/2 NIPPLE TBE</t>
  </si>
  <si>
    <t>3-1/2</t>
  </si>
  <si>
    <t>1/2X5 NIPPLE TBE</t>
  </si>
  <si>
    <t>5</t>
  </si>
  <si>
    <t>1/2X6 NIPPLE TBE</t>
  </si>
  <si>
    <t>Machined</t>
  </si>
  <si>
    <t>1/2X8 NIPPLE TBE</t>
  </si>
  <si>
    <t>8</t>
  </si>
  <si>
    <t>1/2X16 NIPPLE TBE</t>
  </si>
  <si>
    <t>16</t>
  </si>
  <si>
    <t>1/2X18 NIPPLE TBE</t>
  </si>
  <si>
    <t>18</t>
  </si>
  <si>
    <t>1/2X24 NIPPLE TBE</t>
  </si>
  <si>
    <t>24</t>
  </si>
  <si>
    <t>1/2X30 NIPPLE TBE</t>
  </si>
  <si>
    <t>30</t>
  </si>
  <si>
    <t>1/2X36 NIPPLE TBE</t>
  </si>
  <si>
    <t>36</t>
  </si>
  <si>
    <t>1/2X48 NIPPLE TBE</t>
  </si>
  <si>
    <t>48</t>
  </si>
  <si>
    <t>3/4XCL NIPPLE TBE</t>
  </si>
  <si>
    <t>3/4X2 NIPPLE TBE</t>
  </si>
  <si>
    <t>3/4X3 NIPPLE TBE</t>
  </si>
  <si>
    <t>3/4X6 NIPPLE TBE</t>
  </si>
  <si>
    <t>3/4X18 NIPPLE TBE</t>
  </si>
  <si>
    <t>3/4X24 NIPPLE TBE</t>
  </si>
  <si>
    <t>3/4X36 NIPPLE TBE</t>
  </si>
  <si>
    <t>3/4X48 NIPPLE TBE</t>
  </si>
  <si>
    <t>1XCL NIPPLE TBE</t>
  </si>
  <si>
    <t>1X4 NIPPLE TBE</t>
  </si>
  <si>
    <t>4</t>
  </si>
  <si>
    <t>1X6 NIPPLE TBE</t>
  </si>
  <si>
    <t>1X7-1/2 NIPPLE TBE</t>
  </si>
  <si>
    <t>7-1/2</t>
  </si>
  <si>
    <t>1X8 NIPPLE TBE</t>
  </si>
  <si>
    <t>1X12 NIPPLE TBE</t>
  </si>
  <si>
    <t>12</t>
  </si>
  <si>
    <t>1-1/4X C NIPPLE TBE</t>
  </si>
  <si>
    <t>1-1/4X2 NIPPLE TBE</t>
  </si>
  <si>
    <t>1-1/4 X 3 NIPPLE TBE</t>
  </si>
  <si>
    <t>1-1/4 X 4 NIPPLE TBE</t>
  </si>
  <si>
    <t>1-1/4X6 NIPPLE TBE</t>
  </si>
  <si>
    <t>1-1/4X8 NIPPLE TBE</t>
  </si>
  <si>
    <t>1-1/4X12 NIPPLE TBE</t>
  </si>
  <si>
    <t>1-1/2XCL NIPPLE TBE</t>
  </si>
  <si>
    <t>1-1/2X2 NIPPLE TBE</t>
  </si>
  <si>
    <t>1-1/2X3 NIPPLE TBE</t>
  </si>
  <si>
    <t>1-1/2X4 NIPPLE TBE</t>
  </si>
  <si>
    <t>1-1/2X6 NIPPLE TBE</t>
  </si>
  <si>
    <t>1-1/2X8 NIPPLE TBE</t>
  </si>
  <si>
    <t>1-1/2X12 NIPPLE TBE</t>
  </si>
  <si>
    <t>2XCL NIPPLE TBE</t>
  </si>
  <si>
    <t>2X2-1/2 NIPPLE TBE</t>
  </si>
  <si>
    <t>2X3 NIPPLE TBE</t>
  </si>
  <si>
    <t>2X4 NIPPLE TBE</t>
  </si>
  <si>
    <t>2X5 NIPPLE TBE</t>
  </si>
  <si>
    <t>2X6 NIPPLE TBE</t>
  </si>
  <si>
    <t>2X8 NIPPLE TBE</t>
  </si>
  <si>
    <t>2X10 NIPPLE TBE</t>
  </si>
  <si>
    <t>10</t>
  </si>
  <si>
    <t>2X12 NIPPLE TBE</t>
  </si>
  <si>
    <t>2X24 NIPPLE TBE</t>
  </si>
  <si>
    <t>2X36 NIPPLE TBE</t>
  </si>
  <si>
    <t>2-1/2X6 NIPPLE TBE</t>
  </si>
  <si>
    <t>2-1/2X12 NIPPLE TBE</t>
  </si>
  <si>
    <t>3X3 NIPPLE TBE</t>
  </si>
  <si>
    <t>3X4 NIPPLE TBE</t>
  </si>
  <si>
    <t>3X6 NIPPLE TBE</t>
  </si>
  <si>
    <t>3X8 NIPPLE TBE</t>
  </si>
  <si>
    <t>3X12 NIPPLE TBE</t>
  </si>
  <si>
    <t>4X4 NIPPLE TBE</t>
  </si>
  <si>
    <t>4X6 NIPPLE TBE</t>
  </si>
  <si>
    <t>4X12 NIPPLE TBE</t>
  </si>
  <si>
    <t>Reducing PVC Schedule 80 T.B.E. (Threaded Both Ends) Nipples</t>
  </si>
  <si>
    <t>8203-101</t>
  </si>
  <si>
    <t>3/4X1/2 NIPPLE TBE</t>
  </si>
  <si>
    <t>Red Nipple</t>
  </si>
  <si>
    <t xml:space="preserve">3/4 x 1/2 </t>
  </si>
  <si>
    <t>8303-130</t>
  </si>
  <si>
    <t>1X1/2 NIPPLE TBE</t>
  </si>
  <si>
    <t>1 x 1/2</t>
  </si>
  <si>
    <t>8303-131</t>
  </si>
  <si>
    <t>1X3/4 NIPPLE TBE</t>
  </si>
  <si>
    <t>1 x 3/4</t>
  </si>
  <si>
    <t>8403-168</t>
  </si>
  <si>
    <t>1-1/4 X1 NIPPLE TBE</t>
  </si>
  <si>
    <t xml:space="preserve">1-1/4 x 1 </t>
  </si>
  <si>
    <t>8503-210</t>
  </si>
  <si>
    <t>1-1/2X3/4 NIPPLE TBE</t>
  </si>
  <si>
    <t>1-1/2 x 3/4</t>
  </si>
  <si>
    <t>8503-211</t>
  </si>
  <si>
    <t>1-1/2X1 NIPPLE TBE</t>
  </si>
  <si>
    <t xml:space="preserve">1-1/2 x 1 </t>
  </si>
  <si>
    <t>Manifold System</t>
  </si>
  <si>
    <t>List Price Manifold</t>
  </si>
  <si>
    <t>1" Manifold System</t>
  </si>
  <si>
    <t>301-010</t>
  </si>
  <si>
    <t>1 TEE SWVL/MPT/SWVL MANIFOLD</t>
  </si>
  <si>
    <t>301-011</t>
  </si>
  <si>
    <t>1 TEE SL/MPT/SWVL MANIFOLD</t>
  </si>
  <si>
    <t>301-010-2</t>
  </si>
  <si>
    <t>1 TEE DOUBLE SWIVEL OUTLET MANIFOLD</t>
  </si>
  <si>
    <t>301-010-3</t>
  </si>
  <si>
    <t>1 TEE TRIPLE SWIVEL OUTLET MANIFOLD</t>
  </si>
  <si>
    <t>301-010-4</t>
  </si>
  <si>
    <t>1 TEE QUAD SWIVEL OUTLET MANIFOLD</t>
  </si>
  <si>
    <t>306-009</t>
  </si>
  <si>
    <t>1 ELL MPT/SWVL MANIFOLD</t>
  </si>
  <si>
    <t>306-010</t>
  </si>
  <si>
    <t>1 ELL SWVL/SWVL MANIFOLD</t>
  </si>
  <si>
    <t>306-011</t>
  </si>
  <si>
    <t>1 ELL SL/SWVL MANIFOLD</t>
  </si>
  <si>
    <t>320-010</t>
  </si>
  <si>
    <t>1 CROSS SWVL/MPT/SWVL/SWVL MANIFOLD</t>
  </si>
  <si>
    <t>329-007</t>
  </si>
  <si>
    <t>COUPLING 3/4 SLIP/1 SWVL MANIFOLD</t>
  </si>
  <si>
    <t>329-010</t>
  </si>
  <si>
    <t>1 COUPL SWVL/SWVL MANIFOLD</t>
  </si>
  <si>
    <t>329-011</t>
  </si>
  <si>
    <t>1 COUPL SL/SWVL MANIFOLD</t>
  </si>
  <si>
    <t>332-010</t>
  </si>
  <si>
    <t>1 MA SWVL/O-RING MPT MANIFOLD</t>
  </si>
  <si>
    <t>334-010</t>
  </si>
  <si>
    <t>1 MA SWVL/MPT MANIFOLD</t>
  </si>
  <si>
    <t>335-007</t>
  </si>
  <si>
    <t>1 SWVL X 3/4 INSERT MANFLD</t>
  </si>
  <si>
    <t>335-010</t>
  </si>
  <si>
    <t>1 SWVL X 1 INSERT MANFLD</t>
  </si>
  <si>
    <t>348-010</t>
  </si>
  <si>
    <t>1 CAP FPT W/O-RING, MANIFOLD</t>
  </si>
  <si>
    <t>Z08303</t>
  </si>
  <si>
    <t>1 NIPPLE FOR PLAS THD/GY MANIFOLD</t>
  </si>
  <si>
    <t>08303-131</t>
  </si>
  <si>
    <t>1X3/4 NIPPLE FPR PLAS THD/GY MANIFOLD</t>
  </si>
  <si>
    <t>1-1/2" &amp; 2" Manifold System</t>
  </si>
  <si>
    <t>332-015</t>
  </si>
  <si>
    <t>1-1/2 MA MPT/SWVL MANIFOLD</t>
  </si>
  <si>
    <t>332-020</t>
  </si>
  <si>
    <t>2 MA MPT/SWVL MANIFOLD</t>
  </si>
  <si>
    <t>350-015</t>
  </si>
  <si>
    <t>1-1/2 PLUG O-RING MPT MANIFOLD</t>
  </si>
  <si>
    <t>350-020</t>
  </si>
  <si>
    <t>2 PLUG O-RING MPT MANIFOLD</t>
  </si>
  <si>
    <t>List Price Flexible Couplings</t>
  </si>
  <si>
    <t>FRC-005</t>
  </si>
  <si>
    <t>1/2 X 18 FLEXIBLE REPAIR CPLG</t>
  </si>
  <si>
    <t>FRC-007</t>
  </si>
  <si>
    <t>3/4 X 18 FLEXIBLE REPAIR CPLG</t>
  </si>
  <si>
    <t>FRC-010</t>
  </si>
  <si>
    <t>1 X 18 FLEXIBLE REPAIR CPLG</t>
  </si>
  <si>
    <t>List Price Durafix</t>
  </si>
  <si>
    <t>Dura Fix - Quick Repair Telescoping Coupling (Slip x Spigot)</t>
  </si>
  <si>
    <t>DF-005</t>
  </si>
  <si>
    <t>1/2 DURA FIX</t>
  </si>
  <si>
    <t>DF-007</t>
  </si>
  <si>
    <t>3/4 DURA FIX</t>
  </si>
  <si>
    <t>DF-010</t>
  </si>
  <si>
    <t>1 DURA FIX</t>
  </si>
  <si>
    <t>DF-012</t>
  </si>
  <si>
    <t>1-1/4 DURA FIX</t>
  </si>
  <si>
    <t>DF-015</t>
  </si>
  <si>
    <t>1-1/2 DURA FIX</t>
  </si>
  <si>
    <t>DF-020</t>
  </si>
  <si>
    <t>2 DURA FIX</t>
  </si>
  <si>
    <t>List Price Compression Fittings</t>
  </si>
  <si>
    <t>SC29-030</t>
  </si>
  <si>
    <t>3" COMPRESSION COUPL</t>
  </si>
  <si>
    <t>SC29-040</t>
  </si>
  <si>
    <t>4" COMPRESSION COUPL</t>
  </si>
  <si>
    <t>SC29-025</t>
  </si>
  <si>
    <t>2.1/2" COMPRESSION COUPL</t>
  </si>
  <si>
    <t>SC29-020</t>
  </si>
  <si>
    <t>2" COMPRESSION COUPL</t>
  </si>
  <si>
    <t>SC29-060</t>
  </si>
  <si>
    <t>6" COMPRESSION COUPL</t>
  </si>
  <si>
    <t>SC29-007</t>
  </si>
  <si>
    <t>3/4" COMPRESSION COUPL</t>
  </si>
  <si>
    <t>SC29-015</t>
  </si>
  <si>
    <t>1.1/2" COMPRESSION COUPL</t>
  </si>
  <si>
    <t>SC29-010</t>
  </si>
  <si>
    <t>1" COMPRESSION COUPL</t>
  </si>
  <si>
    <t>List Price Hose Fittings</t>
  </si>
  <si>
    <t>500-005</t>
  </si>
  <si>
    <t>3/4" FHT SWVL X 1/2" INSERT</t>
  </si>
  <si>
    <t>500-007</t>
  </si>
  <si>
    <t>3/4" FHT SWVL X 3/4" INSERT</t>
  </si>
  <si>
    <t>500-010</t>
  </si>
  <si>
    <t>3/4" FHT SWVL X 1" INSERT</t>
  </si>
  <si>
    <t>502-005</t>
  </si>
  <si>
    <t>3/4" MHT X 1/2" INSERT ADAPTER</t>
  </si>
  <si>
    <t>502-007</t>
  </si>
  <si>
    <t>3/4" MHT X 3/4" INSERT ADAPTER</t>
  </si>
  <si>
    <t>503-005</t>
  </si>
  <si>
    <t>3/4" MHT X 1/2" MPT ADAPTER</t>
  </si>
  <si>
    <t>503-007</t>
  </si>
  <si>
    <t>3/4" MHT X 3/4" MPT ADAPTER</t>
  </si>
  <si>
    <t>503-010</t>
  </si>
  <si>
    <t>3/4" MHT X 1" MPT ADAPTER</t>
  </si>
  <si>
    <t>510-007</t>
  </si>
  <si>
    <t>3/4" MHT X 3/4" SL ST ELL</t>
  </si>
  <si>
    <t>512-007</t>
  </si>
  <si>
    <t>3/4" MHT X 3/4" FPT</t>
  </si>
  <si>
    <t>513-007</t>
  </si>
  <si>
    <t>3/4" FHT SWVL X 3/4" MHT ELL</t>
  </si>
  <si>
    <t>530-005</t>
  </si>
  <si>
    <t>3/4" FHT SWVL X 1/2" FPT ADAPTER</t>
  </si>
  <si>
    <t>530-007</t>
  </si>
  <si>
    <t>3/4" FHT SWVL X 3/4" FHT ADAPTER</t>
  </si>
  <si>
    <t>530-008</t>
  </si>
  <si>
    <t>3/4" FHT SWVL X 3/4" FPT ADAPTER</t>
  </si>
  <si>
    <t>533-007</t>
  </si>
  <si>
    <t>3/4" MHT X 3/4" SPG ADAPTER</t>
  </si>
  <si>
    <t>534-005</t>
  </si>
  <si>
    <t>3/4" FHT SWVL X 1/2" MPT HOSE FTG</t>
  </si>
  <si>
    <t>534-007</t>
  </si>
  <si>
    <t>3/4" FHT SWVL X 3/4" MPT HOSE FTG</t>
  </si>
  <si>
    <t>535-005</t>
  </si>
  <si>
    <t>3/4" FHT SWVL X 1/2" IPS/SL ADAP</t>
  </si>
  <si>
    <t>535-007</t>
  </si>
  <si>
    <t>3/4" FHT SWVL X 3/4" IPS/SL ADAP</t>
  </si>
  <si>
    <t>536-007</t>
  </si>
  <si>
    <t>3/4" MHT X 3/4" SL ADAPTER</t>
  </si>
  <si>
    <t>536-010</t>
  </si>
  <si>
    <t>3/4" MHT X 1" SL ADAPTER</t>
  </si>
  <si>
    <t>548-007</t>
  </si>
  <si>
    <t>3/4" ORING CAP HOSE FTG</t>
  </si>
  <si>
    <t>List Price Swing Joints</t>
  </si>
  <si>
    <t>Standard Unibody Swing Joint</t>
  </si>
  <si>
    <t>1-13-13-1-12</t>
  </si>
  <si>
    <t>1 ACME X 1 ACME SU X 12 LL SJ</t>
  </si>
  <si>
    <t>1-13-13-1-18</t>
  </si>
  <si>
    <t>1 ACME X 1 ACME SU X 18 LL SJ</t>
  </si>
  <si>
    <t>1-13-22-1-12</t>
  </si>
  <si>
    <t>1 ACME X 1 BSPT SU X 12 LL SJ</t>
  </si>
  <si>
    <t>1-13-3-1-12</t>
  </si>
  <si>
    <t>1 ACME X 1 MPT SU X 12 LL SJ</t>
  </si>
  <si>
    <t>1-13-3-1-18</t>
  </si>
  <si>
    <t>1 ACME X 1 MPT SU X 18 LL SJ</t>
  </si>
  <si>
    <t>1-15-13-1-12</t>
  </si>
  <si>
    <t>1-1/2 ACME X 1 ACME SU X 12 LL SJ</t>
  </si>
  <si>
    <t>1-15-13-1-18</t>
  </si>
  <si>
    <t>1-1/2 ACME X 1 ACME SU X 18LL SJ</t>
  </si>
  <si>
    <t>1-15-3-1-12</t>
  </si>
  <si>
    <t>1-1/2 ACME X 1 MPT SU X 12LL SJ</t>
  </si>
  <si>
    <t>1-15-QC-1-18</t>
  </si>
  <si>
    <t>1-1/2 ACME X 1 BRS MPT QCSU X18 SJ</t>
  </si>
  <si>
    <t>1-22-13-1-12</t>
  </si>
  <si>
    <t>1 BSP X 1 ACME SU X 12 SJ</t>
  </si>
  <si>
    <t>1-22-13-1-16</t>
  </si>
  <si>
    <t>1 BSPT X 1 ACME SU X 16 LL SJ</t>
  </si>
  <si>
    <t>1-22-13-1-18</t>
  </si>
  <si>
    <t>1 BSPT X 1 ACME SU X 18 LL SJ</t>
  </si>
  <si>
    <t>1-22-14-1-12</t>
  </si>
  <si>
    <t>1 BSPT X 1-1/4 ACME SU X 12 LL SJ</t>
  </si>
  <si>
    <t>1-22-15-1-12</t>
  </si>
  <si>
    <t>1 BSP X 1-1/2 ACME SU X 12 LL SJ</t>
  </si>
  <si>
    <t>1-22-22-1-12</t>
  </si>
  <si>
    <t>1 BSP X 1 BSP SU X 12 SJ</t>
  </si>
  <si>
    <t>1-22-22-1-16</t>
  </si>
  <si>
    <t>1 BSP X 1 BSP SU X 16 SJ</t>
  </si>
  <si>
    <t>1-22-22-1-18</t>
  </si>
  <si>
    <t>1 BSP X 1 BSP SU X 18LL SJ</t>
  </si>
  <si>
    <t>1-22-22-1-8</t>
  </si>
  <si>
    <t>1 BSPT X 1 BSPT SU X 8 LL SJ</t>
  </si>
  <si>
    <t>1-A1-1-1-10</t>
  </si>
  <si>
    <t>1 MPT X 1 SOC SU X 10 SJ</t>
  </si>
  <si>
    <t>1-A1-1-1-12</t>
  </si>
  <si>
    <t>1 MPT X 1 SOC SU X 12 SJ</t>
  </si>
  <si>
    <t>1-A1-1-1-14</t>
  </si>
  <si>
    <t>1 MIPT X 1 SCKT SU X 14 LL SJ</t>
  </si>
  <si>
    <t>1-A1-1-1-18</t>
  </si>
  <si>
    <t>1 MPT X 1 SOC SU X 18 SJ</t>
  </si>
  <si>
    <t>1-A1-1-1-6</t>
  </si>
  <si>
    <t>1 MPT X 1 SOC SU X 6 SJ</t>
  </si>
  <si>
    <t>1-A1-1-1-8</t>
  </si>
  <si>
    <t>1 MPT X 1 SOC SU X 8 SJ</t>
  </si>
  <si>
    <t>1-A1-13-1-10</t>
  </si>
  <si>
    <t>1 MPT X 1 ACME SU X 10 SJ</t>
  </si>
  <si>
    <t>1-A1-13-1-12</t>
  </si>
  <si>
    <t>1 MPT X 1 ACME SU X 12 SJ</t>
  </si>
  <si>
    <t>1-A1-13-1-14</t>
  </si>
  <si>
    <t>1 MPT X 1 ACME SU X 14 SJ</t>
  </si>
  <si>
    <t>1-A1-13-1-16</t>
  </si>
  <si>
    <t>1 MIPT X 1 ACME SU X 16 LL SJ</t>
  </si>
  <si>
    <t>1-A1-13-1-18</t>
  </si>
  <si>
    <t>1 MPT X 1 ACME SU X 18 SJ</t>
  </si>
  <si>
    <t>1-A1-13-1-6</t>
  </si>
  <si>
    <t>1 MPT X 1 ACME SU X 6 SJ</t>
  </si>
  <si>
    <t>1-A1-14-1-12</t>
  </si>
  <si>
    <t>1 MPT X 1-1/4 ACME SU X 12 SJ</t>
  </si>
  <si>
    <t>1-A1-14-1-18</t>
  </si>
  <si>
    <t>1 MIPT X 1-1/4 ACME SU X 18 LL SJ</t>
  </si>
  <si>
    <t>1-A1-15-1-12</t>
  </si>
  <si>
    <t>1 MPT X 1-1/2 ACME SU X 12 LL SJ</t>
  </si>
  <si>
    <t>1-A1-15-1-16</t>
  </si>
  <si>
    <t>1 MPT X 1-1/2 ACME SU X 16 SJ</t>
  </si>
  <si>
    <t>1-A1-2-1-10</t>
  </si>
  <si>
    <t>1 MPT X 1 FPT SU X 10 SJ</t>
  </si>
  <si>
    <t>1-A1-2-1-12</t>
  </si>
  <si>
    <t>1 MPT X 1 FPT SU X 12 SJ</t>
  </si>
  <si>
    <t>1-A1-2-1-18</t>
  </si>
  <si>
    <t>1 MIPT X 1 FIPT SU X 18 LL SJ</t>
  </si>
  <si>
    <t>1-A1-3-1-10</t>
  </si>
  <si>
    <t>1 MPT X 1 MPT SU X 10 SJ</t>
  </si>
  <si>
    <t>1-A1-3-1-12</t>
  </si>
  <si>
    <t>1 MPT X 1 MPT SU X 12 SJ</t>
  </si>
  <si>
    <t>1-A1-3-1-14</t>
  </si>
  <si>
    <t>1 MPT X 1 MPT SU X 14 SJ</t>
  </si>
  <si>
    <t>1-A1-3-1-16</t>
  </si>
  <si>
    <t>1 MPT X 1 MPT SU X 16 SJ</t>
  </si>
  <si>
    <t>1-A1-3-1-18</t>
  </si>
  <si>
    <t>1 MPT X 1 MPT SU X 18 SJ</t>
  </si>
  <si>
    <t>1-A1-3-1-6</t>
  </si>
  <si>
    <t>1 MPT X 1 MPT SU X 6 SJ</t>
  </si>
  <si>
    <t>1-A1-3-1-8</t>
  </si>
  <si>
    <t>1 MPT X 1 MPT SU X 8 SJ</t>
  </si>
  <si>
    <t>1-A1-4-1-12</t>
  </si>
  <si>
    <t>1 MPT X 1-1/4 MPT SU X 12 SJ</t>
  </si>
  <si>
    <t>1-A1-4-1-18</t>
  </si>
  <si>
    <t>1 MPT X 1-1/4 MPT SU X 18 SJ</t>
  </si>
  <si>
    <t>1-A2-2-1-12</t>
  </si>
  <si>
    <t>1 SPG X 1 FPT SU X 12 SJ</t>
  </si>
  <si>
    <t>1-A2-3-1-10</t>
  </si>
  <si>
    <t>1 SPG X 1 MPT SU X 10 SJ</t>
  </si>
  <si>
    <t>1-A2-3-1-12</t>
  </si>
  <si>
    <t>1 SPG X 1 MPT SU X 12 SJ</t>
  </si>
  <si>
    <t>1-A2-3-1-16</t>
  </si>
  <si>
    <t>1 SPG X 1 MIPT SU X 16 LL SJ</t>
  </si>
  <si>
    <t>1-A2-3-1-18</t>
  </si>
  <si>
    <t>1 SPG X 1 MPT SU X 18 SJ</t>
  </si>
  <si>
    <t>1-A2-3-1-6</t>
  </si>
  <si>
    <t>1 SPG X 1 MPT SU X 6 SJ</t>
  </si>
  <si>
    <t>1-A2-3-1-8</t>
  </si>
  <si>
    <t>1 SPG X 1 MPT SU X 8 SJ</t>
  </si>
  <si>
    <t>1-A4-1-1-18</t>
  </si>
  <si>
    <t>1 SOC X 1 SOC SU X 18 SJ</t>
  </si>
  <si>
    <t>1-A4-2-1-12</t>
  </si>
  <si>
    <t>1 SOC X 1 FPT SU X 12 SJ</t>
  </si>
  <si>
    <t>1-A4-2-1-18</t>
  </si>
  <si>
    <t>1 SOC X 1 FIPT SU X 18 LL SJ</t>
  </si>
  <si>
    <t>1-A4-2-1-6</t>
  </si>
  <si>
    <t>1 SOC X 1 FPT SU X 6 SJ</t>
  </si>
  <si>
    <t>1-A4-3-1-10</t>
  </si>
  <si>
    <t>1 SOC X 1 MPT SU X 10 SJ</t>
  </si>
  <si>
    <t>1-A4-3-1-12</t>
  </si>
  <si>
    <t>1 SOC X 1 MPT SU X 12 SJ</t>
  </si>
  <si>
    <t>1-A8-13-1-12</t>
  </si>
  <si>
    <t>4 SPG X 1 ACME SU X 12 SJ</t>
  </si>
  <si>
    <t>1-A8-14-1-12</t>
  </si>
  <si>
    <t>4 SPG X 1-1/4 ACME SU X 12LL SJ</t>
  </si>
  <si>
    <t>1-A8-22-1-12</t>
  </si>
  <si>
    <t>4 SPG X 1 BSP SU X 12 SJ</t>
  </si>
  <si>
    <t>1-A8-22-1-18</t>
  </si>
  <si>
    <t>4 SPG X 1 BSPT SU X 18 LL SJ</t>
  </si>
  <si>
    <t>1-A8-3-1-12</t>
  </si>
  <si>
    <t>4 SPG X 1 MPT SU X 12 SJ</t>
  </si>
  <si>
    <t>1-A8-3-1-14</t>
  </si>
  <si>
    <t>4 SPG X 1 MIPT SU X 14 LL SJ</t>
  </si>
  <si>
    <t>1-A8-3-1-16</t>
  </si>
  <si>
    <t>4 SPG X 1 MPT SU X 16 LL SJ</t>
  </si>
  <si>
    <t>1-A8-3-1-18</t>
  </si>
  <si>
    <t>4 SPG X 1 MPT SU X 18 SJ</t>
  </si>
  <si>
    <t>1-AF-13-1-12</t>
  </si>
  <si>
    <t>1-1/2 AQUAFUSE X 1 ACME SU X 12 SJ</t>
  </si>
  <si>
    <t>1-AF-13-1-8</t>
  </si>
  <si>
    <t>1-1/2 AQUAFUSE X 1 ACME SU X 8 SJ</t>
  </si>
  <si>
    <t>1-B1-1-1-12</t>
  </si>
  <si>
    <t>1 BSP X 1 SOC SU X 12 SJ</t>
  </si>
  <si>
    <t>1-B1-13-1-12</t>
  </si>
  <si>
    <t>1-B1-13-1-16</t>
  </si>
  <si>
    <t>1-B1-13-1-18</t>
  </si>
  <si>
    <t>1 BSP X 1 ACME SU X 18 SJ</t>
  </si>
  <si>
    <t>1-B1-14-1-10</t>
  </si>
  <si>
    <t>1 BSP X 1-1/4 ACME SU X 10 SJ</t>
  </si>
  <si>
    <t>1-B1-14-1-12</t>
  </si>
  <si>
    <t>1 BSP X 1-1/4 ACME SU X 12 SJ</t>
  </si>
  <si>
    <t>1-B1-14-1-6</t>
  </si>
  <si>
    <t>1 BSPB X 1-1/4 ACME SU X 6 LL SJ</t>
  </si>
  <si>
    <t>1-B1-15-1-12</t>
  </si>
  <si>
    <t>1 BSPT X 1-1/2 ACME SU X 12 SJ</t>
  </si>
  <si>
    <t>1-B1-15-1-6</t>
  </si>
  <si>
    <t>1 BSP X 1-1/2 ACME SU X 6 SJ</t>
  </si>
  <si>
    <t>1-B1-22-1-12</t>
  </si>
  <si>
    <t>1-B1-22-1-14</t>
  </si>
  <si>
    <t>1 BSP X 1 BSP SU X 14 SJ</t>
  </si>
  <si>
    <t>1-B1-22-1-16</t>
  </si>
  <si>
    <t>1-B1-22-1-18</t>
  </si>
  <si>
    <t>1 BSP X 1 BSP SU X 18 SJ</t>
  </si>
  <si>
    <t>1-B1-22-1-6</t>
  </si>
  <si>
    <t>1 BSP X 1 BSP SU X 6 SJ</t>
  </si>
  <si>
    <t>1-B1-22-1-8</t>
  </si>
  <si>
    <t>1 BSP X 1 BSP SU X 8 SJ</t>
  </si>
  <si>
    <t>1-B1-23-1-12</t>
  </si>
  <si>
    <t>1 BSP X 1-1/4 BSP SU X 12 SJ</t>
  </si>
  <si>
    <t>1-B1-3-1-12</t>
  </si>
  <si>
    <t>1 BSP X 1 MPT SU X 12 SJ</t>
  </si>
  <si>
    <t>1-D1-13-1-12</t>
  </si>
  <si>
    <t>25 DN SPG X 1 ACME SU X 12 LL SJ</t>
  </si>
  <si>
    <t>1-D1-14-1-12</t>
  </si>
  <si>
    <t>32MM SPG X 1-1/4 ACME SU X 12 SJ</t>
  </si>
  <si>
    <t>1-D1-22-1-12</t>
  </si>
  <si>
    <t>25DN SPG X 1 BSP SU X 12 SJ</t>
  </si>
  <si>
    <t>1-D1-23-1-12</t>
  </si>
  <si>
    <t>25DN SPG X 1-1/4 BSP SU X 12 LL SJ</t>
  </si>
  <si>
    <t>1-D1-3-1-12</t>
  </si>
  <si>
    <t>25DN SPG X 1 MPT SU X 12 SJ</t>
  </si>
  <si>
    <t>1-J4-13-1-12</t>
  </si>
  <si>
    <t>25MM SOC X 1 ACME SU X 12 SJ</t>
  </si>
  <si>
    <t>1-J4-22-1-12</t>
  </si>
  <si>
    <t>25MM SOC X 1 BSPT SU X 12 SJ</t>
  </si>
  <si>
    <t>1-J4-3-1-12</t>
  </si>
  <si>
    <t>25MM SOC X 1 MPT SU X 12 SJ</t>
  </si>
  <si>
    <t>2-17-16-1-12</t>
  </si>
  <si>
    <t>1-1/4 ACME X 1 ACME SU X 12 LL SJ</t>
  </si>
  <si>
    <t>2-18-16-1-12</t>
  </si>
  <si>
    <t>1-1/2 ACME X 1 ACME SU X 12 SJ</t>
  </si>
  <si>
    <t>2-18-16-1-18</t>
  </si>
  <si>
    <t>1-1/2 ACME X 1 ACME SU X 18 LL SJ</t>
  </si>
  <si>
    <t>2-22-16-1-12</t>
  </si>
  <si>
    <t>1-1/4 BSP X 1 ACME SU X 12 SJ</t>
  </si>
  <si>
    <t>2-22-17-1-12</t>
  </si>
  <si>
    <t>1-1/4 BSP X 1-1/4 ACME SU X 12 SJ</t>
  </si>
  <si>
    <t>2-22-18-1-12</t>
  </si>
  <si>
    <t>1-1/4 BSP X 1-1/2 ACME SU X 12 SJ</t>
  </si>
  <si>
    <t>2-22-22-1-12</t>
  </si>
  <si>
    <t>1-1/4 BSP X 1-1/4 BSP SU X12 SJ</t>
  </si>
  <si>
    <t>2-A1-16-1-12</t>
  </si>
  <si>
    <t>1-1/4 MPT X 1 ACME X 12 SU SJ</t>
  </si>
  <si>
    <t>2-A1-16-1-18</t>
  </si>
  <si>
    <t>1-1/4 MPT X 1 ACME SU X 18 SJ</t>
  </si>
  <si>
    <t>2-A1-17-1-12</t>
  </si>
  <si>
    <t>1-1/4 MPT X 1-1/4 ACME SU X 12 SJ</t>
  </si>
  <si>
    <t>2-A1-17-1-18</t>
  </si>
  <si>
    <t>1-1/4 MPT X 1-1/4 ACME SU X 18 SJ</t>
  </si>
  <si>
    <t>2-A1-18-1-12</t>
  </si>
  <si>
    <t>1-1/4 MPT X 1-1/2 ACME SU X 12 SJ</t>
  </si>
  <si>
    <t>2-A1-18-1-18</t>
  </si>
  <si>
    <t>1-1/4 MPT X 1-1/2 ACME SU X 18 SJ</t>
  </si>
  <si>
    <t>2-A1-3-1-10</t>
  </si>
  <si>
    <t>1-1/4 MPT X 1-1/4 MPT SU X 10 SJ</t>
  </si>
  <si>
    <t>2-A1-3-1-12</t>
  </si>
  <si>
    <t>1-1/4 MPT X 1-1/4 MPT SU X 12 SJ</t>
  </si>
  <si>
    <t>2-A1-3-1-18</t>
  </si>
  <si>
    <t>1-1/4 MPT X 1-1/4 MPT SU X 18 SJ</t>
  </si>
  <si>
    <t>2-A1-3-1-8</t>
  </si>
  <si>
    <t>1-1/4 MPT X 1-1/4 MPT SU X 8 SJ</t>
  </si>
  <si>
    <t>2-A1-6-1-12</t>
  </si>
  <si>
    <t>1-1/4 MPT X 1-1/2 MPT SU X 12 SJ</t>
  </si>
  <si>
    <t>2-A1-6-1-18</t>
  </si>
  <si>
    <t>1-1/4 MPT X 1-1/2 MPT SU X 18 SJ</t>
  </si>
  <si>
    <t>2-A1-7-1-10</t>
  </si>
  <si>
    <t>1-1/4 MPT X 1 MPT SU X 10 SJ</t>
  </si>
  <si>
    <t>2-A1-7-1-12</t>
  </si>
  <si>
    <t>1-1/4 MPT X 1 MPT SU X 12 SJ</t>
  </si>
  <si>
    <t>2-A1-7-1-14</t>
  </si>
  <si>
    <t>1-1/4 MPT X 1 MPT SU X 14 SJ</t>
  </si>
  <si>
    <t>2-A1-7-1-18</t>
  </si>
  <si>
    <t>1-1/4 MPT X 1 MPT SU X 18 SJ</t>
  </si>
  <si>
    <t>2-A2-16-1-12</t>
  </si>
  <si>
    <t>1-1/4 SPG X 1 ACME OUTLET 12 SJ</t>
  </si>
  <si>
    <t>2-A2-17-1-12</t>
  </si>
  <si>
    <t>1-1/4 SPG X 1-1/4 ACME SU X 12 SJ</t>
  </si>
  <si>
    <t>2-A2-3-1-12</t>
  </si>
  <si>
    <t>1-1/4 SPG X 1-1/4 MPT SU X 12 SJ</t>
  </si>
  <si>
    <t>2-A2-3-1-8</t>
  </si>
  <si>
    <t>1-1/4 SPG X 1-1/4 MPT SU X 8 SJ</t>
  </si>
  <si>
    <t>2-A2-7-1-18</t>
  </si>
  <si>
    <t>1-1/4 SPG X 1 MPT SU X 18 SJ</t>
  </si>
  <si>
    <t>2-A4-1-1-12</t>
  </si>
  <si>
    <t>1-1/4 SOC X 1-1/4 SOC SU X 12LL SJ</t>
  </si>
  <si>
    <t>2-A4-16-1-12</t>
  </si>
  <si>
    <t>1-1/4 SOC X 1 ACME SU X 12 LL SJ</t>
  </si>
  <si>
    <t>2-A8-16-1-12</t>
  </si>
  <si>
    <t>4 SPG (1-1/4) X 1 ACME SU X 12 SJ</t>
  </si>
  <si>
    <t>2-A8-16-1-18</t>
  </si>
  <si>
    <t>4 SPG X 1 ACME SU X 18 SJ</t>
  </si>
  <si>
    <t>2-A8-17-1-12</t>
  </si>
  <si>
    <t>4 SPG X 1-1/4 ACME SU X 12 SJ</t>
  </si>
  <si>
    <t>2-A8-18-1-12</t>
  </si>
  <si>
    <t>4 SPG X 1-1/2 ACME SU X 12 SJ</t>
  </si>
  <si>
    <t>2-A8-3-1-10</t>
  </si>
  <si>
    <t>4 SPG X 1-1/4 MPT SU X 10 SJ</t>
  </si>
  <si>
    <t>2-A8-3-1-12</t>
  </si>
  <si>
    <t>4 SPG X 1-1/4 MPT SU X 12 SJ</t>
  </si>
  <si>
    <t>2-A8-7-1-12</t>
  </si>
  <si>
    <t>2-AF-16-1-12</t>
  </si>
  <si>
    <t>2-AF-16-1-8</t>
  </si>
  <si>
    <t>2-AF-16-2-12</t>
  </si>
  <si>
    <t>1-1/2 AQUAFUSE X 1 ACME UU X 12 SJ</t>
  </si>
  <si>
    <t>2-AF-16-2-8</t>
  </si>
  <si>
    <t>1-1/2 AQUAFUSE X 1 ACME UU X 8 SJ</t>
  </si>
  <si>
    <t>2-B1-16-1-12</t>
  </si>
  <si>
    <t>1-1/4 BSPT X 1 ACME SU X 12 SJ</t>
  </si>
  <si>
    <t>2-B1-17-1-12</t>
  </si>
  <si>
    <t>1-1/4 BSPT X 1-1/4 ACME SU X 12 SJ</t>
  </si>
  <si>
    <t>2-B1-18-1-12</t>
  </si>
  <si>
    <t>2-B1-22-1-12</t>
  </si>
  <si>
    <t>1-1/4 BSP X 1-1/4 BSP SU X 12 SJ</t>
  </si>
  <si>
    <t>2-B1-25-1-12</t>
  </si>
  <si>
    <t>1-1/4 BSP X 1-1/2 BSP SU X 12 SJ</t>
  </si>
  <si>
    <t>2-B1-26-1-12</t>
  </si>
  <si>
    <t>1-1/4 BSP X 1 BSP SU X 12 LL SJ</t>
  </si>
  <si>
    <t>2-D2-17-1-12</t>
  </si>
  <si>
    <t>32DN SPG X 1-1/4 ACME SU X 12LL SJ</t>
  </si>
  <si>
    <t>3-21-21-1-12</t>
  </si>
  <si>
    <t>1-1/2 ACME X 1-1/2 ACME SU X 12 SJ</t>
  </si>
  <si>
    <t>3-21-21-1-18</t>
  </si>
  <si>
    <t>1-1/2 ACME X 1-1/2 ACME SU X 18 SJ</t>
  </si>
  <si>
    <t>3-21-21-1-8</t>
  </si>
  <si>
    <t>1-1/2 ACME X 1-1/2 ACME SU X 8 SJ</t>
  </si>
  <si>
    <t>3-21-22-1-12</t>
  </si>
  <si>
    <t>1-1/2 ACME X 1-1/2 BSPT SU X 12 SJ</t>
  </si>
  <si>
    <t>3-21-3-1-12</t>
  </si>
  <si>
    <t>1-1/2 ACME X 1-1/2 MPT SU X 12 SJ</t>
  </si>
  <si>
    <t>3-21-QC-1-12</t>
  </si>
  <si>
    <t>1-1/2 ACME X 1-1/2 QC SU X 12 SJ</t>
  </si>
  <si>
    <t>3-21-QC-1-18</t>
  </si>
  <si>
    <t>1-1/2 ACME X 1-1/2 QC SU X 18 SJ</t>
  </si>
  <si>
    <t>3-22-21-1-12</t>
  </si>
  <si>
    <t>1-1/2 BSP X 1-1/2 ACME X 12 SJ</t>
  </si>
  <si>
    <t>3-22-21-1-16</t>
  </si>
  <si>
    <t>1-1/2 BSPT X 1-1/2 ACME SU X 16 SJ</t>
  </si>
  <si>
    <t>3-22-21-1-18</t>
  </si>
  <si>
    <t>1-1/2 BSPT X 1-1/2 ACME SU X 18 SJ</t>
  </si>
  <si>
    <t>3-22-22-1-12</t>
  </si>
  <si>
    <t>1-1/2 BSP X 1-1/2 BSP SU X12 SJ</t>
  </si>
  <si>
    <t>3-27-21-1-12</t>
  </si>
  <si>
    <t>1-1/4 BSPT X 1-1/2 ACME SU X 12 SJ</t>
  </si>
  <si>
    <t>3-A1-19-1-12</t>
  </si>
  <si>
    <t>1-1/2 MPT X 1 ACME SU X 12 SJ</t>
  </si>
  <si>
    <t>3-A1-20-1-12</t>
  </si>
  <si>
    <t>1-1/2 MPT X 1-1/4 ACME SU X 12 SJ</t>
  </si>
  <si>
    <t>3-A1-21-1-12</t>
  </si>
  <si>
    <t>1-1/2 MPT X 1-1/2 ACME SU X 12 SJ</t>
  </si>
  <si>
    <t>3-A1-21-1-16</t>
  </si>
  <si>
    <t>1-1/2 MPT X 1-1/2 ACME SU X 16 SJ</t>
  </si>
  <si>
    <t>3-A1-21-1-18</t>
  </si>
  <si>
    <t>1-1/2 MPT X 1-1/2 ACME SU X 18 SJ</t>
  </si>
  <si>
    <t>3-A1-21-1-6</t>
  </si>
  <si>
    <t>1-1/2 MIPT X 1-1/2 ACME SU X 6 SJ</t>
  </si>
  <si>
    <t>3-A1-3-1-10</t>
  </si>
  <si>
    <t>1-1/2 MPT X 1-1/2 MPT SU X 10 SJ</t>
  </si>
  <si>
    <t>3-A1-3-1-12</t>
  </si>
  <si>
    <t>1-1/2 MPT X 1-1/2 MPT SU X 12 SJ</t>
  </si>
  <si>
    <t>3-A1-3-1-14</t>
  </si>
  <si>
    <t>1-1/2 MPT X 1-1/2 MPT SU X 14 SJ</t>
  </si>
  <si>
    <t>3-A1-3-1-16</t>
  </si>
  <si>
    <t>1-1/2 MPT X 1-1/2 MPT SU X 16 SJ</t>
  </si>
  <si>
    <t>3-A1-3-1-18</t>
  </si>
  <si>
    <t>1-1/2 MPT X 1-1/2 MPT SU X 18 SJ</t>
  </si>
  <si>
    <t>3-A1-3-1-8</t>
  </si>
  <si>
    <t>1-1/2 MPT X 1-1/2 MPT SU X 8 SJ</t>
  </si>
  <si>
    <t>3-A1-8-1-12</t>
  </si>
  <si>
    <t>1-1/2 MPT X 1 MPT SU X 12 SJ</t>
  </si>
  <si>
    <t>3-A1-9-1-12</t>
  </si>
  <si>
    <t>1-1/2 MPT X 1-1/4 MPT SU X 12 SJ</t>
  </si>
  <si>
    <t>3-A1-9-1-18</t>
  </si>
  <si>
    <t>1-1/2 MPT X 1-1/4 MPT SU X 18 SJ</t>
  </si>
  <si>
    <t>3-A2-21-1-12</t>
  </si>
  <si>
    <t>1-1/2 SPG X 1-1/2 ACME SU X 12 SJ</t>
  </si>
  <si>
    <t>3-A2-3-1-12</t>
  </si>
  <si>
    <t>1-1/2 SPG X 1-1/2 MPT SU X 12 SJ</t>
  </si>
  <si>
    <t>3-A2-3-1-18</t>
  </si>
  <si>
    <t>1-1/2 SPG X 1-1/2 MPT SU X 18 SJ</t>
  </si>
  <si>
    <t>3-A3-21-1-12</t>
  </si>
  <si>
    <t>2 SPG X 1-1/2 ACME SU X 12 SJ</t>
  </si>
  <si>
    <t>3-A3-3-1-12</t>
  </si>
  <si>
    <t>2 SPG X 1-1/2 MPT SU X 12 SJ</t>
  </si>
  <si>
    <t>3-A4-1-1-18</t>
  </si>
  <si>
    <t>1-1/2 SOC X 1-1/2 SOC SU X 18 SJ</t>
  </si>
  <si>
    <t>3-A4-3-1-12</t>
  </si>
  <si>
    <t>1-1/2 SOC X 1-1/2 MPT SU X 12 SJ</t>
  </si>
  <si>
    <t>3-A5-21-1-12</t>
  </si>
  <si>
    <t>2 SOC X 1-1/2 ACME SU X 12 SJ</t>
  </si>
  <si>
    <t>3-A8-21-1-12</t>
  </si>
  <si>
    <t>3-A8-21-1-18</t>
  </si>
  <si>
    <t>4 SPG X 1-1/2 ACME SU X 18 SJ</t>
  </si>
  <si>
    <t>3-A8-3-1-12</t>
  </si>
  <si>
    <t>4 SPG X 1-1/2 MPT SU X 12 SJ</t>
  </si>
  <si>
    <t>3-A8-3-1-14</t>
  </si>
  <si>
    <t>4 SPG X 1-1/2 MIPT SU X 14LL SJ</t>
  </si>
  <si>
    <t>3-A8-3-1-16</t>
  </si>
  <si>
    <t>1-1/2(4)SPGX1-1/2MPT SUX16LL SJ</t>
  </si>
  <si>
    <t>3-A8-3-1-18</t>
  </si>
  <si>
    <t>4 SPG X 1-1/2 MPT SU X 18LL SJ</t>
  </si>
  <si>
    <t>3-AF-21-1-12</t>
  </si>
  <si>
    <t>1-1/2 AQFS X 1-1/2 ACME SU X 12 SJ</t>
  </si>
  <si>
    <t>3-AF-2-11-12</t>
  </si>
  <si>
    <t>1-1/2AQFS X 1-1/2BRS MPT SU X12 SJ</t>
  </si>
  <si>
    <t>3-AF-2-11-18</t>
  </si>
  <si>
    <t>1-1/2AQFS X 1-1/2BRS MPT SU X18 SJ</t>
  </si>
  <si>
    <t>3-AF-21-1-8</t>
  </si>
  <si>
    <t>1-1/2 AQFS X 1-1/2 ACME SU X 8 SJ</t>
  </si>
  <si>
    <t>3-B1-19-1-12</t>
  </si>
  <si>
    <t>1-1/2 BSPT X 1 ACME SU X 12LL SJ</t>
  </si>
  <si>
    <t>3-B1-20-1-12</t>
  </si>
  <si>
    <t>1-1/2 BSP X 1-1/4 ACME SU X 12 SJ</t>
  </si>
  <si>
    <t>3-B1-20-1-6</t>
  </si>
  <si>
    <t>1-1/2 BSPT X 1-1/4 ACME SU X 6 SJ</t>
  </si>
  <si>
    <t>3-B1-21-1-12</t>
  </si>
  <si>
    <t>1-1/2 BSP X 1-1/2 ACME SU X 12 SJ</t>
  </si>
  <si>
    <t>3-B1-21-1-14</t>
  </si>
  <si>
    <t>1-1/2 BSPT X 1-1/2 ACME SU X 14 SJ</t>
  </si>
  <si>
    <t>3-B1-21-1-16</t>
  </si>
  <si>
    <t>3-B1-21-1-18</t>
  </si>
  <si>
    <t>1-1/2 BSP X 1-1/2 ACME SU X 18 SJ</t>
  </si>
  <si>
    <t>3-B1-21-1-6</t>
  </si>
  <si>
    <t>1-1/2 BSPT X 1-1/2 ACME SU X 6 SJ</t>
  </si>
  <si>
    <t>3-B1-22-1-12</t>
  </si>
  <si>
    <t>1-1/2 BSP X 1-1/2 BSP SU X 12 SJ</t>
  </si>
  <si>
    <t>3-B1-22-1-16</t>
  </si>
  <si>
    <t>1-1/2 BSP X 1-1/2 BSP SU X 16 SJ</t>
  </si>
  <si>
    <t>3-B1-22-1-18</t>
  </si>
  <si>
    <t>1-1/2 BSP X 1-1/2 BSP SU X 18 SJ</t>
  </si>
  <si>
    <t>3-B1-22-1-6</t>
  </si>
  <si>
    <t>1-1/2 BSP X 1-1/2 BSP SU X 6 SJ</t>
  </si>
  <si>
    <t>3-B1-22-1-8</t>
  </si>
  <si>
    <t>1-1/2 BSP X 1-1/2 BSP SU X 8 SJ</t>
  </si>
  <si>
    <t>3-B1-27-1-6</t>
  </si>
  <si>
    <t>1-1/2 BSPT X 1-1/4 BSPT SU X 6 SJ</t>
  </si>
  <si>
    <t>3-B1-3-1-12</t>
  </si>
  <si>
    <t>1-1/2 BSP X 1-1/2 MPT SU X 12 SJ</t>
  </si>
  <si>
    <t>3-B1-3-1-18</t>
  </si>
  <si>
    <t>1-1/2 BSP X 1-1/2 MPT SU X 18 SJ</t>
  </si>
  <si>
    <t>3-D3-21-1-12</t>
  </si>
  <si>
    <t>40DN SPG X 1-1/2 ACME SU X 12 SJ</t>
  </si>
  <si>
    <t>3-D3-3-1-12</t>
  </si>
  <si>
    <t>40DN SPG X 1-1/2 MPT SU X 12 SJ</t>
  </si>
  <si>
    <t>3-J6-21-1-12</t>
  </si>
  <si>
    <t>40MM SOC X 1-1/2 ACME SU X 12 SJ</t>
  </si>
  <si>
    <t>3-J6-22-1-12</t>
  </si>
  <si>
    <t>40MM SOC X 1-1/2 BSPT SU X 12 SJ</t>
  </si>
  <si>
    <t>ACME Base Standard Unibody Swing Joint</t>
  </si>
  <si>
    <t>1-A1-1-15-8</t>
  </si>
  <si>
    <t>1 ACME X 1 SOCKET SU X 8 LL SJ</t>
  </si>
  <si>
    <t>1-A1-13-15-12</t>
  </si>
  <si>
    <t>1 ACME X 1 ACME SU X 12 SJ</t>
  </si>
  <si>
    <t>1-A1-13-15-18</t>
  </si>
  <si>
    <t>1 ACME X 1 ACME SU X 18 SJ</t>
  </si>
  <si>
    <t>1-A1-15-15-12</t>
  </si>
  <si>
    <t>1 X 1-1/2 ACME BASE SU X 12 LL SJ</t>
  </si>
  <si>
    <t>1-A1-3-15-12</t>
  </si>
  <si>
    <t>1 ACME X 1 MPT SU X 12 SJ</t>
  </si>
  <si>
    <t>1-A1-3-15-18</t>
  </si>
  <si>
    <t>1-A1-QC-15-12</t>
  </si>
  <si>
    <t>1 ACME X BRASS MPT SU X 12LL SJ</t>
  </si>
  <si>
    <t>1-A1-QC-15-18</t>
  </si>
  <si>
    <t>1 ACME X BRASS MPT SU X 18LL SJ</t>
  </si>
  <si>
    <t>1-A3-13-15-12</t>
  </si>
  <si>
    <t>1-A7-13-15-12</t>
  </si>
  <si>
    <t>1-1/2 ACME X 1 ACME SU X 12LL SJ</t>
  </si>
  <si>
    <t>1-A7-13-15-18</t>
  </si>
  <si>
    <t>1-A7-13-15-8</t>
  </si>
  <si>
    <t>1-1/2 ACME X 1 ACME SU X 8 LL SJ</t>
  </si>
  <si>
    <t>1-A7-3-15-12</t>
  </si>
  <si>
    <t>1-1/2 ACME X 1 MIPT SU X 12LL SJ</t>
  </si>
  <si>
    <t>1-A7-3-15-18</t>
  </si>
  <si>
    <t>1-1/2 ACME X 1 MIPT SU X 18 LL SJ</t>
  </si>
  <si>
    <t>1-A7-QC-15-12</t>
  </si>
  <si>
    <t>1-1/2 ACME X 1 QC SU X 12 LL SJ</t>
  </si>
  <si>
    <t>1-A7-QC-15-18</t>
  </si>
  <si>
    <t>1-1/2 ACME X 1 BRAS MPT SU X 18 SJ</t>
  </si>
  <si>
    <t>2-A4-18-15-12</t>
  </si>
  <si>
    <t>1 ACME X 1-1/2 ACME SU X 12 LL SJ</t>
  </si>
  <si>
    <t>2-A5-16-15-12</t>
  </si>
  <si>
    <t>1-1/4 ACME X 1 ACME SU X 12 SJ</t>
  </si>
  <si>
    <t>2-A5-17-15-12</t>
  </si>
  <si>
    <t>1-1/4 ACME X 1-1/4 ACME SU X 12 SJ</t>
  </si>
  <si>
    <t>2-A5-18-15-12</t>
  </si>
  <si>
    <t>1-1/4 ACME X 1-1/2 ACME SU X 12 SJ</t>
  </si>
  <si>
    <t>2-A5-3-15-12</t>
  </si>
  <si>
    <t>1-1/4 ACME X 1-1/4 MPT SU X 12 SJ</t>
  </si>
  <si>
    <t>2-A6-16-15-12</t>
  </si>
  <si>
    <t>2-A6-16-15-18</t>
  </si>
  <si>
    <t>2-A6-16-15-8</t>
  </si>
  <si>
    <t>1-1/2 ACME X 1 ACME SU X 8LL SJ</t>
  </si>
  <si>
    <t>2-A6-18-15-12</t>
  </si>
  <si>
    <t>2-A6-7-15-12</t>
  </si>
  <si>
    <t>1-1/2 ACME X 1 MIPT SU X 12 LL SJ</t>
  </si>
  <si>
    <t>3-A3-QC-15-18</t>
  </si>
  <si>
    <t>1" ACME X BRASS MPT SU X 18 LL</t>
  </si>
  <si>
    <t>3-A7-21-15-12</t>
  </si>
  <si>
    <t>3-A9-19-15-12</t>
  </si>
  <si>
    <t>3-A9-20-15-12</t>
  </si>
  <si>
    <t>1-1/2 ACME X 1-1/4 ACME SU X 12 SJ</t>
  </si>
  <si>
    <t>3-A9-21-15-12</t>
  </si>
  <si>
    <t>3-A9-21-15-18</t>
  </si>
  <si>
    <t>3-A9-21-15-8</t>
  </si>
  <si>
    <t>3-A9-22-15-12</t>
  </si>
  <si>
    <t>1-1/2 ACME X 1-1/2 BSPT ABSU 12 SJ</t>
  </si>
  <si>
    <t>3-A9-3-15-12</t>
  </si>
  <si>
    <t>3-A9-3-15-18</t>
  </si>
  <si>
    <t>1-1/2 ACME X 1-1/2 MPT SU X18LL SJ</t>
  </si>
  <si>
    <t>3-A9-3-15-8</t>
  </si>
  <si>
    <t>1-1/2 ACME X 1-1/2 MPT SU X 8 SJ</t>
  </si>
  <si>
    <t>3-A9-8-15-12</t>
  </si>
  <si>
    <t>3-A9-QC-15-12</t>
  </si>
  <si>
    <t>1-1/2 ACME X BRASS MPT SU X 12 SJ</t>
  </si>
  <si>
    <t>3-A9-QC-15-18</t>
  </si>
  <si>
    <t>1-1/2 ACME X BRASS MPT SU X 18 SJ</t>
  </si>
  <si>
    <t>Ultra Unibody Swing Joint</t>
  </si>
  <si>
    <t>1-13-13-2-12</t>
  </si>
  <si>
    <t>9 ACME X 1 ACME UU X 12 LL SJ</t>
  </si>
  <si>
    <t>1-15-13-2-12</t>
  </si>
  <si>
    <t>1-1/2 ACME X 1 ACME UU X 12 LL SJ</t>
  </si>
  <si>
    <t>1-A1-13-2-12</t>
  </si>
  <si>
    <t>1 MPT X 1 ACME UU X 12 SJ</t>
  </si>
  <si>
    <t>1-A1-3-2-10</t>
  </si>
  <si>
    <t>1 MPT X 1 MPT UU X 10 SJ</t>
  </si>
  <si>
    <t>1-A1-3-2-12</t>
  </si>
  <si>
    <t>1 MPT X 1 MPT UU X 12 SJ</t>
  </si>
  <si>
    <t>1-A1-3-2-18</t>
  </si>
  <si>
    <t>1 MPT X 1 MPT UU X 18 SJ</t>
  </si>
  <si>
    <t>1-A1-3-2-6</t>
  </si>
  <si>
    <t>1 MPT X 1 MPT UU X 6 SJ</t>
  </si>
  <si>
    <t>1-A1-3-2-8</t>
  </si>
  <si>
    <t>1 MPT X 1 MPT UU X 8 SJ</t>
  </si>
  <si>
    <t>1-A2-13-2-12</t>
  </si>
  <si>
    <t>1 SPG X 1 ACME UU X 12 SJ</t>
  </si>
  <si>
    <t>1-A2-3-2-12</t>
  </si>
  <si>
    <t>1 SPG X 1 MPT UU X 12 SJ</t>
  </si>
  <si>
    <t>1-A2-3-2-14</t>
  </si>
  <si>
    <t>1 SPG X 1 MIPT UU X 14 LL SJ</t>
  </si>
  <si>
    <t>1-A4-1-2-12</t>
  </si>
  <si>
    <t>1 SOC X 1 SOC UU X 12 SJ</t>
  </si>
  <si>
    <t>1-A4-3-2-12</t>
  </si>
  <si>
    <t>1 SOC X 1 MPT UU X 12 SJ</t>
  </si>
  <si>
    <t>1-A4-3-2-14</t>
  </si>
  <si>
    <t>1 SOC X 1 MPT UU X 14 SJ</t>
  </si>
  <si>
    <t>1-A8-13-2-8</t>
  </si>
  <si>
    <t>4 SPG X 1 ACME UU X 8 SJ</t>
  </si>
  <si>
    <t>1-A8-3-2-12</t>
  </si>
  <si>
    <t>4 SPG X 1 MPT UU X 12 SJ</t>
  </si>
  <si>
    <t>1-B1-13-2-12</t>
  </si>
  <si>
    <t>1 BSP X 1 ACME UU X 12 SJ</t>
  </si>
  <si>
    <t>1-B1-13-2-18</t>
  </si>
  <si>
    <t>1 BSPT X 1 ACME UU X 18 LL SJ</t>
  </si>
  <si>
    <t>1-B1-22-2-12</t>
  </si>
  <si>
    <t>1 BSP X 1 BSP UU X 12 SJ</t>
  </si>
  <si>
    <t>1-B1-22-2-18</t>
  </si>
  <si>
    <t>1 BSP X 1 BSP UU X 18 SJ</t>
  </si>
  <si>
    <t>1-J1-13-2-12</t>
  </si>
  <si>
    <t>25MM SPG X 1 ACME UU X 12 LL SJ</t>
  </si>
  <si>
    <t>1-J4-13-2-12</t>
  </si>
  <si>
    <t>25MM SOC X 1 ACME UU X 12 LL SJ</t>
  </si>
  <si>
    <t>2-18-16-2-12</t>
  </si>
  <si>
    <t>2-18-16-2-8</t>
  </si>
  <si>
    <t>1-1/2 ACME X 1 ACME UU X 8 LL SJ</t>
  </si>
  <si>
    <t>2-A1-17-2-12</t>
  </si>
  <si>
    <t>1-1/4 MPT X 1-1/4 ACME UU X 12 SJ</t>
  </si>
  <si>
    <t>2-A1-18-2-12</t>
  </si>
  <si>
    <t>1-1/4 MPT X 1-1/2 ACME UU X 12 SJ</t>
  </si>
  <si>
    <t>2-A1-3-2-12</t>
  </si>
  <si>
    <t>1-1/4 MPT X 1-1/4 MPT UU X 12 SJ</t>
  </si>
  <si>
    <t>2-A1-3-2-8</t>
  </si>
  <si>
    <t>1-1/4 MPT X 1-1/4 MPT UU X 8 SJ</t>
  </si>
  <si>
    <t>2-A2-3-2-12</t>
  </si>
  <si>
    <t>1-1/4 SPG X 1-1/4 MPT UU X 12 SJ</t>
  </si>
  <si>
    <t>2-A2-6-2-12</t>
  </si>
  <si>
    <t>1-1/4 SPG X 1-1/2 MPT UU X 12 SJ</t>
  </si>
  <si>
    <t>2-A2-7-2-12</t>
  </si>
  <si>
    <t>1-1/4 SPG X 1 MPT UU X 12 SJ</t>
  </si>
  <si>
    <t>2-A8-16-2-12</t>
  </si>
  <si>
    <t>4 SPG X 1 ACME UU X 12 LL SJ</t>
  </si>
  <si>
    <t>2-A8-16-2-18</t>
  </si>
  <si>
    <t>4 SPG X 1 ACME UU X 18LL SJ</t>
  </si>
  <si>
    <t>2-B1-16-2-12</t>
  </si>
  <si>
    <t>1-1/4 BSPT X 1 ACME UU X 12 LL SJ</t>
  </si>
  <si>
    <t>3-21-21-2-12</t>
  </si>
  <si>
    <t>1-1/2 ACME X 1-1/2 ACME UU X 12 SJ</t>
  </si>
  <si>
    <t>3-21-21-2-8</t>
  </si>
  <si>
    <t>1-1/2 ACME X 1-1/2 ACME UU X 8 SJ</t>
  </si>
  <si>
    <t>3-21-3-2-12</t>
  </si>
  <si>
    <t>1-1/2 ACME X 1-1/2 MPT UU X 12 SJ</t>
  </si>
  <si>
    <t>3-A1-21-2-12</t>
  </si>
  <si>
    <t>1-1/2 MPT X 1-1/2 ACME UU X 12 SJ</t>
  </si>
  <si>
    <t>3-A1-21-2-18</t>
  </si>
  <si>
    <t>1-1/2 MPT X 1-1/2 ACME UU X 18 SJ</t>
  </si>
  <si>
    <t>3-A1-21-2-8</t>
  </si>
  <si>
    <t>1-1/2 MPT X 1-1/2 ACME UU X 8 SJ</t>
  </si>
  <si>
    <t>3-A1-3-2-10</t>
  </si>
  <si>
    <t>1-1/2 MPT X 1-1/2 MPT UU X 10 SJ</t>
  </si>
  <si>
    <t>3-A1-3-2-12</t>
  </si>
  <si>
    <t>1-1/2 MPT X 1-1/2 MPT UU X 12 SJ</t>
  </si>
  <si>
    <t>3-A1-3-2-14</t>
  </si>
  <si>
    <t>1-1/2 MPT X 1-1/2 MPT UU X 14 SJ</t>
  </si>
  <si>
    <t>3-A1-3-2-16</t>
  </si>
  <si>
    <t>1-1/2 MPT X 1-1/2 MPT UU X 16 SJ</t>
  </si>
  <si>
    <t>3-A1-3-2-18</t>
  </si>
  <si>
    <t>1-1/2 MPT X 1-1/2 MPT UU X 18 SJ</t>
  </si>
  <si>
    <t>3-A1-8-2-12</t>
  </si>
  <si>
    <t>1-1/2 MPT X 1 MPT UU X 12 SJ</t>
  </si>
  <si>
    <t>3-A2-21-2-12</t>
  </si>
  <si>
    <t>1-1/2 SPG X 1-1/2 ACME UU X 12 SJ</t>
  </si>
  <si>
    <t>3-A2-3-2-10</t>
  </si>
  <si>
    <t>1-1/2 SPG X 1-1/2 MPT UU X 10 SJ</t>
  </si>
  <si>
    <t>3-A2-3-2-12</t>
  </si>
  <si>
    <t>1-1/2 SPG X 1-1/2 MPT UU X 12 SJ</t>
  </si>
  <si>
    <t>3-A3-3-2-12</t>
  </si>
  <si>
    <t>2 SPG X 1-1/2 MPT UU X 12 SJ</t>
  </si>
  <si>
    <t>3-A3-3-2-18</t>
  </si>
  <si>
    <t>2 SPG X 1-1/2 MPT UU X 18 SJ</t>
  </si>
  <si>
    <t>3-A4-1-2-18</t>
  </si>
  <si>
    <t>1-1/2 SOC X 1-1/2 SOC UU X 18 SJ</t>
  </si>
  <si>
    <t>3-A4-3-2-12</t>
  </si>
  <si>
    <t>1-1/2 SOC X 1-1/2 MPT UU X 12 SJ</t>
  </si>
  <si>
    <t>3-A4-3-2-16</t>
  </si>
  <si>
    <t>1-1/2 SOC X 1-1/2 MPT UU X 16 SJ</t>
  </si>
  <si>
    <t>3-A8-21-2-12</t>
  </si>
  <si>
    <t>4 SPG X 1-1/2 ACME UU X 12 LL SJ</t>
  </si>
  <si>
    <t>3-A8-21-2-18</t>
  </si>
  <si>
    <t>4 SPG X 1-1/2 ACME UU X 18LL SJ</t>
  </si>
  <si>
    <t>3-A8-3-2-12</t>
  </si>
  <si>
    <t>4 SPG X 1-1/2 MPT UU X 12 LL SJ</t>
  </si>
  <si>
    <t>3-A8-3-2-18</t>
  </si>
  <si>
    <t>4 SPG X 1-1/2 MPT UU X 18LL SJ</t>
  </si>
  <si>
    <t>3-B1-21-2-12</t>
  </si>
  <si>
    <t>1-1/2 BSPT X 1-1/2 ACME UU X 12 SJ</t>
  </si>
  <si>
    <t>3-B1-21-2-18</t>
  </si>
  <si>
    <t>1-1/2 BSPT X 1-1/2 ACME UU X 18 SJ</t>
  </si>
  <si>
    <t>3-B1-22-2-12</t>
  </si>
  <si>
    <t>1-1/2 BSP X 1-1/2 BSP UU X 12 SJ</t>
  </si>
  <si>
    <t>3-B1-22-2-18</t>
  </si>
  <si>
    <t>1-1/2 BSP X 1-1/2 BSP UU X 18 SJ</t>
  </si>
  <si>
    <t>3-J6-21-2-12</t>
  </si>
  <si>
    <t>40MM SOC X 1-1/2 ACME UU X 12 SJ</t>
  </si>
  <si>
    <t>Contant Pressure Swing Joint</t>
  </si>
  <si>
    <t>E005-0</t>
  </si>
  <si>
    <t>1/2 SPG X 1/2 FPT X 2-1/4 LL SJ</t>
  </si>
  <si>
    <t>E005-10</t>
  </si>
  <si>
    <t>1/2 SPG X 1/2 MPT X 10-3/4 LL SJ</t>
  </si>
  <si>
    <t>E005-12</t>
  </si>
  <si>
    <t>1/2 SPG X 1/2 MPT X 12-3/4 LL SJ</t>
  </si>
  <si>
    <t>E005-4</t>
  </si>
  <si>
    <t>1/2 SPG X 1/2 MPT X 4-3/4 LL SJ</t>
  </si>
  <si>
    <t>E006-10</t>
  </si>
  <si>
    <t>1/2 MPT X 1/2 MPT X 10-3/4 LL SJ</t>
  </si>
  <si>
    <t>E006-12</t>
  </si>
  <si>
    <t>1/2 MPT X 1/2 MPT X 12-3/4 LL SJ</t>
  </si>
  <si>
    <t>E006-4</t>
  </si>
  <si>
    <t>1/2 MPT X 1/2 MPT X 4-3/4 LL SJ</t>
  </si>
  <si>
    <t>E007-10</t>
  </si>
  <si>
    <t>3/4 SPG X 3/4 MPT X 10-3/4 LL SJ</t>
  </si>
  <si>
    <t>E007-12</t>
  </si>
  <si>
    <t>3/4 SPG X 3/4 MPT X 12-3/4 LL SJ</t>
  </si>
  <si>
    <t>E007-4</t>
  </si>
  <si>
    <t>3/4 SPG X 3/4 MPT X 4-3/4 LL SJ</t>
  </si>
  <si>
    <t>E007-8</t>
  </si>
  <si>
    <t>3/4 SPG X 3/4 MPT X 8-3/4 LL SJ</t>
  </si>
  <si>
    <t>E008-0</t>
  </si>
  <si>
    <t>3/4 MPT X 3/4 FPT X 2-1/2 LL SJ</t>
  </si>
  <si>
    <t>E008-10</t>
  </si>
  <si>
    <t>3/4 MPT X 3/4 MPT X 10-3/4 LL SJ</t>
  </si>
  <si>
    <t>E008-12</t>
  </si>
  <si>
    <t>3/4 MPT X 3/4 MPT X 12-3/4 LL SJ</t>
  </si>
  <si>
    <t>E008-12 X L</t>
  </si>
  <si>
    <t>3/4 MPTX3/4 MPT X 12-3/4- ELXEL SJ</t>
  </si>
  <si>
    <t>E008-4</t>
  </si>
  <si>
    <t>3/4 MPT X 3/4 MPT X 4-3/4 LL SJ</t>
  </si>
  <si>
    <t>E008-8</t>
  </si>
  <si>
    <t>3/4 MPT X 3/4 MPT X 8-3/4 LL SJ</t>
  </si>
  <si>
    <t>Saddle Unibody Swing Joint</t>
  </si>
  <si>
    <t>1-A1-13-19-12</t>
  </si>
  <si>
    <t>2 SADDLE X 1 ACME SU X 12 SJ</t>
  </si>
  <si>
    <t>1-A1-13-19-18</t>
  </si>
  <si>
    <t>2 SADDLE X 1 ACME SU X 18 LL SJ</t>
  </si>
  <si>
    <t>1-A1-2-19-10</t>
  </si>
  <si>
    <t>2 SADDLE X 1 FPT SU X 10 SJ</t>
  </si>
  <si>
    <t>1-A1-2-19-12</t>
  </si>
  <si>
    <t>2 SADDLE X 1 FIPT SU X 12 SJ</t>
  </si>
  <si>
    <t>1-A1-2-19-8</t>
  </si>
  <si>
    <t>2 SADDLE X 1 FIPT SU X 8 LL SJ</t>
  </si>
  <si>
    <t>1-A1-3-19-12</t>
  </si>
  <si>
    <t>2 SADDLE X 1 MPT SU X 12 SJ</t>
  </si>
  <si>
    <t>1-A1-3-19-18</t>
  </si>
  <si>
    <t>2 SADDLE X 1 MPT SU X 18 LL SJ</t>
  </si>
  <si>
    <t>1-A1-3-19-6</t>
  </si>
  <si>
    <t>2 IPS X 1 MIPT SADDLE SU X 6LL SJ</t>
  </si>
  <si>
    <t>1-A1-3-19-8</t>
  </si>
  <si>
    <t>2 SADDLE X 1 MPT SU X 8 SJ</t>
  </si>
  <si>
    <t>1-A1-QC-19-12</t>
  </si>
  <si>
    <t>2 SADDLE X 1 BRASS MPT SU X 12 SJ</t>
  </si>
  <si>
    <t>1-A1-QC-19-18</t>
  </si>
  <si>
    <t>2 SADDLE X 1 BRAS MPT SU X 18LL SJ</t>
  </si>
  <si>
    <t>1-D1-13-19-12</t>
  </si>
  <si>
    <t>63MM SADDLE X 1 ACME SU X 12 SJ</t>
  </si>
  <si>
    <t>1-D1-13-19-18</t>
  </si>
  <si>
    <t>63MM X 1 ACME SAD UNI X 18 LL SJ</t>
  </si>
  <si>
    <t>1-D1-22-19-18</t>
  </si>
  <si>
    <t>63MM X 1 BSPT SADDLE SU X 18LL SJ</t>
  </si>
  <si>
    <t>1-D1-3-19-18</t>
  </si>
  <si>
    <t>63MM X 1 MPT SAD UNI X 18 LL SJ</t>
  </si>
  <si>
    <t>1-D1-QC-19-12</t>
  </si>
  <si>
    <t>63MM X 1 QC SU X 12 LL SJ</t>
  </si>
  <si>
    <t>1-D1-QC-19-18</t>
  </si>
  <si>
    <t>63MM X 1 BRASS MIPT SU X 18 LL SJ</t>
  </si>
  <si>
    <t>2-A2-16-19-12</t>
  </si>
  <si>
    <t>2 SADDLE X 1 ACME SU X 12 LL SJ</t>
  </si>
  <si>
    <t>2-A2-16-19-8</t>
  </si>
  <si>
    <t>2 SADDLE X 1 ACME 1-1/4 SU X 8 SJ</t>
  </si>
  <si>
    <t>2-A2-17-19-12</t>
  </si>
  <si>
    <t>2 SADDLE X 1-1/4 ACME SU X 12 SJ</t>
  </si>
  <si>
    <t>2-A2-17-19-18</t>
  </si>
  <si>
    <t>2 IPS X 1-1/4 ACME SAD SU X 18 SJ</t>
  </si>
  <si>
    <t>2-A2-18-19-12</t>
  </si>
  <si>
    <t>2 SADDLE X 1-1/2 ACME SU X 12LL SJ</t>
  </si>
  <si>
    <t>2-A2-3-19-10</t>
  </si>
  <si>
    <t>2 SADDLE X 1-1/4 MPT SU X 10 SJ</t>
  </si>
  <si>
    <t>2-A2-6-19-6</t>
  </si>
  <si>
    <t>2 SADDLE X 1-1/2 MPT SU X 6 LL SJ</t>
  </si>
  <si>
    <t>2-A2-7-19-12</t>
  </si>
  <si>
    <t>2-A2-7-19-8</t>
  </si>
  <si>
    <t>2 SADDLE X 1 MPT SU X 8 LL SJ</t>
  </si>
  <si>
    <t>3-A3-1-19-12</t>
  </si>
  <si>
    <t>2 SADDLE X 1-1/2 SOC SU X 12LL SJ</t>
  </si>
  <si>
    <t>3-A3-21-19-12</t>
  </si>
  <si>
    <t>2 SADDLE X 1-1/2 ACME SUX12 SJ</t>
  </si>
  <si>
    <t>3-A3-21-19-18</t>
  </si>
  <si>
    <t>2 SADDLE X 1-1/2 ACME SU X 18LL SJ</t>
  </si>
  <si>
    <t>3-A3-21-19-8</t>
  </si>
  <si>
    <t>2 SADDLE X 1-1/2 ACME SU X 8 LL SJ</t>
  </si>
  <si>
    <t>3-A3-2-19-8</t>
  </si>
  <si>
    <t>2 IPS X 1-1/2' FPT SAD UNI X 8 SJ</t>
  </si>
  <si>
    <t>3-A3-3-19-12</t>
  </si>
  <si>
    <t>2 SADDLE X 1-1/2 MPT SU X 12 SJ</t>
  </si>
  <si>
    <t>3-A3-3-19-6</t>
  </si>
  <si>
    <t>2 IPS X 1-1/2 MPT SADDLE SU X 6 SJ</t>
  </si>
  <si>
    <t>3-A3-QC-19-12</t>
  </si>
  <si>
    <t>2 SADDLE X 1-1/2 QC SU X 12LL SJ</t>
  </si>
  <si>
    <t>3-D3-21-19-12</t>
  </si>
  <si>
    <t>63MMX1-1/2ACME SADDLE UN X 12LL SJ</t>
  </si>
  <si>
    <t>3-D3-21-19-18</t>
  </si>
  <si>
    <t>63MM SADDLE X 1-1/2 ACME SUX18 SJ</t>
  </si>
  <si>
    <t>3-D3-22-19-12</t>
  </si>
  <si>
    <t>63MM SADDLE X 1-1/2 BSP SU X 12 SJ</t>
  </si>
  <si>
    <t>Q.C. Standard Unibody</t>
  </si>
  <si>
    <t>1-13-1-11-12</t>
  </si>
  <si>
    <t>1 ACME X 1 BRASS QCSU X 12 SJ</t>
  </si>
  <si>
    <t>1-13-1-11-18</t>
  </si>
  <si>
    <t>1 ACME X 1 BRAS MIPT SU X 18 LL SJ</t>
  </si>
  <si>
    <t>1-15-1-11-12</t>
  </si>
  <si>
    <t>1-1/2 ACME X 1 BRASS QCSU X 12 SJ</t>
  </si>
  <si>
    <t>1-22-1-11-12</t>
  </si>
  <si>
    <t>1 BSP X 1 BRASS QC SJ</t>
  </si>
  <si>
    <t>1-A1-1-11-10</t>
  </si>
  <si>
    <t>1 MPT X 1 BRASS MPT QCSU X 10 SJ</t>
  </si>
  <si>
    <t>1-A1-1-11-12</t>
  </si>
  <si>
    <t>1 MPT X 1 BRASS MPT QCSU X 12 SJ</t>
  </si>
  <si>
    <t>1-A1-1-11-14</t>
  </si>
  <si>
    <t>1 MPT X 1 BRASS MPT QCSU X 14 SJ</t>
  </si>
  <si>
    <t>1-A1-1-11-16</t>
  </si>
  <si>
    <t>1 MPT X 1 BRASS MPT QCSU X 16 SJ</t>
  </si>
  <si>
    <t>1-A1-1-11-18</t>
  </si>
  <si>
    <t>1 MPT X 1 BRASS MPT QCSU X 18LL SJ</t>
  </si>
  <si>
    <t>1-A1-1-11-6</t>
  </si>
  <si>
    <t>1 MPT X 1 BRASS MPT QCSU X 6 SJ</t>
  </si>
  <si>
    <t>1-A1-1-11-8</t>
  </si>
  <si>
    <t>1 MPT X 1 BRASS MPT QCSU X 8 SJ</t>
  </si>
  <si>
    <t>1-A1-3-11-12</t>
  </si>
  <si>
    <t>1 MPT X 3/4 BRASS MPT QCSU X 12 SJ</t>
  </si>
  <si>
    <t>1-A1-3-11-14</t>
  </si>
  <si>
    <t>1 MPT X 3/4 BRASS MPT QCSU X 14 SJ</t>
  </si>
  <si>
    <t>1-A1-3-11-18</t>
  </si>
  <si>
    <t>1 MPT X 3/4 BRASS MPT QCSU X 18 SJ</t>
  </si>
  <si>
    <t>1-A2-1-11-10</t>
  </si>
  <si>
    <t>1 SPG X 1 BRASS MPT QCSU X 10 SJ</t>
  </si>
  <si>
    <t>1-A2-1-11-12</t>
  </si>
  <si>
    <t>1 SPG X 1 BRASS MPT QCSU X 12 SJ</t>
  </si>
  <si>
    <t>1-A2-1-11-18</t>
  </si>
  <si>
    <t>1 SPG X 1 BRASS MPT QCSU X 18 SJ</t>
  </si>
  <si>
    <t>1-A2-1-11-6</t>
  </si>
  <si>
    <t>1 SPG X 1 BRASS MPT SU X 6 SJ</t>
  </si>
  <si>
    <t>1-A2-1-11-8</t>
  </si>
  <si>
    <t>1 SPG X 1 BRASS MPT QCSU X 8 SJ</t>
  </si>
  <si>
    <t>1-A2-3-11-12</t>
  </si>
  <si>
    <t>1SPG X 3/4BRASS MPT QCSU X 12 SJ</t>
  </si>
  <si>
    <t>1-A4-1-11-12</t>
  </si>
  <si>
    <t>1 SOC X 1 BRASS MPT QCSU X 12 SJ</t>
  </si>
  <si>
    <t>1-A4-1-11-18</t>
  </si>
  <si>
    <t>1 SOC X 1 BRASS MPT QCSU X 18 SJ</t>
  </si>
  <si>
    <t>1-A4-1-11-6</t>
  </si>
  <si>
    <t>1 SOC X 1 BRS MPT QCSU X 6 LL SJ</t>
  </si>
  <si>
    <t>1-A8-1-11-10</t>
  </si>
  <si>
    <t>4 SPG X 1 BRASS MPT SU X 10 SJ</t>
  </si>
  <si>
    <t>1-A8-1-11-12</t>
  </si>
  <si>
    <t>4 SPG X 1 BRASS MPT SU X 12 SJ</t>
  </si>
  <si>
    <t>1-A8-1-11-18</t>
  </si>
  <si>
    <t>4 SPG X 1 BRASS MPT QCSU X 18 SJ</t>
  </si>
  <si>
    <t>1-AF-1-11-12</t>
  </si>
  <si>
    <t>1-1/2 AQFS X 1 BRS MIPT SU X 12 SJ</t>
  </si>
  <si>
    <t>1-AF-1-11-18</t>
  </si>
  <si>
    <t>1-1/2 AQFS X 1 BRS MIPT SU X 18 SJ</t>
  </si>
  <si>
    <t>1-B1-1-11-12</t>
  </si>
  <si>
    <t>1 BSP X 1 BRASS MPT QC X 12 SJ</t>
  </si>
  <si>
    <t>1-B1-1-11-18</t>
  </si>
  <si>
    <t>1 BSP X 1 BRASS MPT QC X 18 SJ</t>
  </si>
  <si>
    <t>1-J1-1-11-12</t>
  </si>
  <si>
    <t>25MM SPG X 1 BRS MIPT QCSU X 12 SJ</t>
  </si>
  <si>
    <t>3-A1-2-11-12</t>
  </si>
  <si>
    <t>1-1/2MPT X 1-1/2BRASS QCSU X 12 SJ</t>
  </si>
  <si>
    <t>3-A1-2-11-18</t>
  </si>
  <si>
    <t>1-1/2MPT X 1-1/2BRASS QCSU X 18 SJ</t>
  </si>
  <si>
    <t>3-A8-2-11-12</t>
  </si>
  <si>
    <t>4 SPG X 1-1/2 BRASS MPT SU X 12 SJ</t>
  </si>
  <si>
    <t>3-A8-2-11-18</t>
  </si>
  <si>
    <t>4 SPG X 1-1/2 MPT QCSU X 18 LL SJ</t>
  </si>
  <si>
    <t>3-B1-2-11-12</t>
  </si>
  <si>
    <t>1-1/2 BSP X 1-1/2BRASS QCSU X12 SJ</t>
  </si>
  <si>
    <t>3-B1-2-11-18</t>
  </si>
  <si>
    <t>1-1/2BSP X 1-1/2BRASS QCSU X 18 SJ</t>
  </si>
  <si>
    <t>3-J6-2-11-12</t>
  </si>
  <si>
    <t>40MM SOC X 1-1/2 BRAS QCSU X 12 SJ</t>
  </si>
  <si>
    <t>Pre-Assembled Flexible Swing Joint / The Black Mini</t>
  </si>
  <si>
    <t>BM05-12</t>
  </si>
  <si>
    <t>1/2 X 12 FLEX SJ MIPT X MIPT BK</t>
  </si>
  <si>
    <t>BM05-12-07</t>
  </si>
  <si>
    <t>1/2X12X3/4 FLEX SJ MPT/MPT BLK</t>
  </si>
  <si>
    <t>BM05-6</t>
  </si>
  <si>
    <t>1/2 X 6 FLEX SJ MIPT X MIPT BLK</t>
  </si>
  <si>
    <t>BM07-12</t>
  </si>
  <si>
    <t>3/4 X 12 FLEX SJ MIPT X MIPT BK</t>
  </si>
  <si>
    <t>BM07-6</t>
  </si>
  <si>
    <t>3/4 X 6 FLEX SJ MIPT X MIPT BLK</t>
  </si>
  <si>
    <t>FME005</t>
  </si>
  <si>
    <t>1/2X1/2 FLX SJ MPT/ST90</t>
  </si>
  <si>
    <t>FME007</t>
  </si>
  <si>
    <t>3/4X3/4 FLX SJ MPT/ST90</t>
  </si>
  <si>
    <t>FME074</t>
  </si>
  <si>
    <t>1/2X3/4 FLX SJ MPT/ST90</t>
  </si>
  <si>
    <t>FMM005</t>
  </si>
  <si>
    <t>1/2X1/2 FLX SJ MPT/MPT</t>
  </si>
  <si>
    <t>FMM007</t>
  </si>
  <si>
    <t>3/4X3/4 FLX SJ MPT/MPT</t>
  </si>
  <si>
    <t>FMM074</t>
  </si>
  <si>
    <t>1/2X3/4 FLX SJ MPT/MPT</t>
  </si>
  <si>
    <t>FSM005</t>
  </si>
  <si>
    <t>FSM007</t>
  </si>
  <si>
    <t>FSM074</t>
  </si>
  <si>
    <t>FSM075</t>
  </si>
  <si>
    <t>1/2X1 FLX SJ MPT/MPT</t>
  </si>
  <si>
    <t>FSS005</t>
  </si>
  <si>
    <t>1/2X1/2 FLX SJ SL/MPT</t>
  </si>
  <si>
    <t>FSS007</t>
  </si>
  <si>
    <t>3/4X3/4 FLX SJ SL/MPT</t>
  </si>
  <si>
    <t>FSS074</t>
  </si>
  <si>
    <t>1/2X3/4 FLX SJ SL/MPT</t>
  </si>
  <si>
    <t>FSS075</t>
  </si>
  <si>
    <t>1/2X1 FLX SJ SL/MPT</t>
  </si>
  <si>
    <t>Standard Swing Joint Kit</t>
  </si>
  <si>
    <t>1-A1-1-3-0</t>
  </si>
  <si>
    <t>1 SOC X 1 SOC STD KIT SJ</t>
  </si>
  <si>
    <t>1-A2-3-3-0</t>
  </si>
  <si>
    <t>1 SPG X 1 MPT STD KIT SJ</t>
  </si>
  <si>
    <t>1-A2-5-3-0</t>
  </si>
  <si>
    <t>1 SPG X 1-1/2 MPT STD KIT SJ</t>
  </si>
  <si>
    <t>1-A5-2-3-0</t>
  </si>
  <si>
    <t>1 MPT X 1 FPT STD KIT SJ</t>
  </si>
  <si>
    <t>1-A5-3-3-0</t>
  </si>
  <si>
    <t>1 MPT X 1 MPT STD KIT SJ</t>
  </si>
  <si>
    <t>2-A1-1-3-0</t>
  </si>
  <si>
    <t>1-1/4 SOC X 1-1/4 SOC STD KIT SJ</t>
  </si>
  <si>
    <t>2-A1-3-3-0</t>
  </si>
  <si>
    <t>1-1/4 SOC X 1-1/4 MPT STD KIT SJ</t>
  </si>
  <si>
    <t>2-A5-6-3-0</t>
  </si>
  <si>
    <t>1-1/4 MPT X 1-1/2 MPT STD KIT SJ</t>
  </si>
  <si>
    <t>3-A1-1-3-0</t>
  </si>
  <si>
    <t>1-1/2 SOC X 1-1/2 SOC STD KIT SJ</t>
  </si>
  <si>
    <t>3-A1-2-3-0</t>
  </si>
  <si>
    <t>1-1/2 SOC X 1-1/2 FPT STD KIT SJ</t>
  </si>
  <si>
    <t>3-A1-3-3-0</t>
  </si>
  <si>
    <t>1-1/2 SOC X 1-1/2 MPT STD KIT SJ</t>
  </si>
  <si>
    <t>3-A2-3-3-0</t>
  </si>
  <si>
    <t>1-1/2 SPG X 1-1/2 MPT STD KIT SJ</t>
  </si>
  <si>
    <t>3-A5-21-3-0</t>
  </si>
  <si>
    <t>1-1/2 MPT X 1-1/2 ACME STD KIT SJ</t>
  </si>
  <si>
    <t>3-A5-3-3-0</t>
  </si>
  <si>
    <t>1-1/2 MPT X 1-1/2 MPT STD KIT SJ</t>
  </si>
  <si>
    <t>O-Ring Tee Standard Unibody SJ</t>
  </si>
  <si>
    <t>1-A1-13-5-12</t>
  </si>
  <si>
    <t>2 SOC TEE X 1 ACME SU X 12 SJ</t>
  </si>
  <si>
    <t>1-A1-13-5-6</t>
  </si>
  <si>
    <t>2 SOC TEE X 1 ACME SU X 6 LL SJ</t>
  </si>
  <si>
    <t>1-A1-1-5-12</t>
  </si>
  <si>
    <t>2 SOC TEE X 1 SOC SU X 12 SJ</t>
  </si>
  <si>
    <t>1-A1-3-5-10</t>
  </si>
  <si>
    <t>2 SOC TEE X 1 MPT SU X 10 SJ</t>
  </si>
  <si>
    <t>1-A1-3-5-12</t>
  </si>
  <si>
    <t>2 SOC TEE X 1 MPT SU X 12 SJ</t>
  </si>
  <si>
    <t>1-A1-3-5-14</t>
  </si>
  <si>
    <t>2 SOC TEE X 1 MPT SU X 14 SJ</t>
  </si>
  <si>
    <t>1-A1-3-5-18</t>
  </si>
  <si>
    <t>2 SOC TEE X 1 MPT SU X 18 LL SJ</t>
  </si>
  <si>
    <t>1-A1-3-5-8</t>
  </si>
  <si>
    <t>2 SOC TEE X 1 MPT SU X 8 SJ</t>
  </si>
  <si>
    <t>1-A1-QC-5-12</t>
  </si>
  <si>
    <t>2 SOC TEE X 1 QC SU X 12 LL SJ</t>
  </si>
  <si>
    <t>1-A1-QC-5-18</t>
  </si>
  <si>
    <t>2 SOC X 1 QC ORNG TEE SU X 18 SJ</t>
  </si>
  <si>
    <t>2-A2-16-5-12</t>
  </si>
  <si>
    <t>2 SOC TEE X 1 ACME SU X 12 LL SJ</t>
  </si>
  <si>
    <t>2-A2-3-5-10</t>
  </si>
  <si>
    <t>2 SOC TEE X 1-1/4 MPT SU X 10 SJ</t>
  </si>
  <si>
    <t>2-A2-7-5-12</t>
  </si>
  <si>
    <t>2-A2-7-5-18</t>
  </si>
  <si>
    <t>3-A1-3-5-12</t>
  </si>
  <si>
    <t>2 SOC TEE X 1-1/2 MIPT SU X 12 SJ</t>
  </si>
  <si>
    <t>3-A3-21-5-12</t>
  </si>
  <si>
    <t>2 SOC TEE X 1-1/2 ACME SU X 12 SJ</t>
  </si>
  <si>
    <t>3-A3-3-5-10</t>
  </si>
  <si>
    <t>2 SOC TEE X 1-1/2 MPT SU X 10 SJ</t>
  </si>
  <si>
    <t>3-A3-3-5-12</t>
  </si>
  <si>
    <t>2 SOC TEE X 1-1/2 MPT SU X 12 SJ</t>
  </si>
  <si>
    <t>3-A3-3-5-14</t>
  </si>
  <si>
    <t>2 SOC TEE X 1-1/2 MPT SU X 14 SJ</t>
  </si>
  <si>
    <t>O-Ring Ell Unibody SJ</t>
  </si>
  <si>
    <t>1-A1-QC-7-18</t>
  </si>
  <si>
    <t>2 SOC ELL X 1 QC SU X 18LL SJ</t>
  </si>
  <si>
    <t>1-A1-13-7-12</t>
  </si>
  <si>
    <t>2 SOC ELL X 1 ACME SU X 12 SJ</t>
  </si>
  <si>
    <t>1-A1-3-7-12</t>
  </si>
  <si>
    <t>2 SOC ELL X 1 MPT SU X 12 SJ</t>
  </si>
  <si>
    <t>1-A1-3-7-14</t>
  </si>
  <si>
    <t>2 SOC ELL X 1 MPT SU X 14 SJ</t>
  </si>
  <si>
    <t>1-A1-3-7-8</t>
  </si>
  <si>
    <t>2 SOC ELL X 1 MPT SU X 8 SJ</t>
  </si>
  <si>
    <t>2-A2-16-7-12</t>
  </si>
  <si>
    <t>2 SOC ELL X 1 ACME SU X 12 LL SJ</t>
  </si>
  <si>
    <t>2-A2-3-7-10</t>
  </si>
  <si>
    <t>2 SOC ELL X 1-1/4 MPT SU X 10 SJ</t>
  </si>
  <si>
    <t>2-A2-3-7-12</t>
  </si>
  <si>
    <t>2 SOC ELL X 1-1/4 MPT SU X 12 SJ</t>
  </si>
  <si>
    <t>3-A1-3-7-12</t>
  </si>
  <si>
    <t>2 SOC ELL X 1-1/2 MIPT SU X 12 SJ</t>
  </si>
  <si>
    <t>3-A3-21-7-12</t>
  </si>
  <si>
    <t>2 SOC ELL X 1-1/2 ACME SU X 12 SJ</t>
  </si>
  <si>
    <t>3-A3-21-7-6</t>
  </si>
  <si>
    <t>2 SOC ELL X 1-1/2 ACME SU X 6LL SJ</t>
  </si>
  <si>
    <t>3-A3-21-7-8</t>
  </si>
  <si>
    <t>2 SOC ELL X 1-1/2 ACME SU X 8LL SJ</t>
  </si>
  <si>
    <t>3-A3-3-7-10</t>
  </si>
  <si>
    <t>2 SOC ELL X 1-1/2 MPT SU X 10 SJ</t>
  </si>
  <si>
    <t>3-A3-3-7-12</t>
  </si>
  <si>
    <t>2 SOC ELL X 1-1/2 MPT SU X 12 SJ</t>
  </si>
  <si>
    <t>3-A3-3-7-14</t>
  </si>
  <si>
    <t>2 SOC ELL X 1-1/2 MPT SU X 14 SJ</t>
  </si>
  <si>
    <t>Harco Swing Joint Tee Unibody</t>
  </si>
  <si>
    <t>3-A3-21-13-12</t>
  </si>
  <si>
    <t>2 HTEE X 1-1/2 ACME SU X 12 SJ</t>
  </si>
  <si>
    <t>Ultra Kit</t>
  </si>
  <si>
    <t>1-A1-11-4-0</t>
  </si>
  <si>
    <t>1 SOC X 1 BRASS MIPT ULTRA KIT SJ</t>
  </si>
  <si>
    <t>1-A5-2-4-0</t>
  </si>
  <si>
    <t>1 MIPT X 1 FIPT ULTRA KIT SJ</t>
  </si>
  <si>
    <t>1-A5-3-4-0</t>
  </si>
  <si>
    <t>1 MPT X 1 MPT ULT KIT SJ</t>
  </si>
  <si>
    <t>2-A5-17-4-0</t>
  </si>
  <si>
    <t>1-1/4 MPT X 1-1/4 ACME ULT KIT SJ</t>
  </si>
  <si>
    <t>3-A5-3-4-0</t>
  </si>
  <si>
    <t>1-1/2 MPT X 1-1/2 MPT ULT KIT SJ</t>
  </si>
  <si>
    <t>List Price Swing Joints Components</t>
  </si>
  <si>
    <t>Acme Adapter</t>
  </si>
  <si>
    <t>OA39-010</t>
  </si>
  <si>
    <t>1 ACME X 1 FPT ACME ADAPTER SJ</t>
  </si>
  <si>
    <t>OA39-012</t>
  </si>
  <si>
    <t>1-1/4 ACME X 1-1/4 FPT ADAPTER SJ</t>
  </si>
  <si>
    <t>OA39-015</t>
  </si>
  <si>
    <t>1-1/2 ACME X 1-1/2 FPT ADAPTER SJ</t>
  </si>
  <si>
    <t>OA39-168</t>
  </si>
  <si>
    <t>1-1/4 ACME X 1 FPT ADAPTER SJ</t>
  </si>
  <si>
    <t>OA39-169</t>
  </si>
  <si>
    <t>1-1/4 ACME X 1-1/2 FPT ADAPTER SJ</t>
  </si>
  <si>
    <t>OA39-211</t>
  </si>
  <si>
    <t>1-1/2 MA ACME X 1 FIPT (2-PC) SJ</t>
  </si>
  <si>
    <t>OA39-212</t>
  </si>
  <si>
    <t>1-1/2 MA ACME X 1-1/4 FIPT(2PC) SJ</t>
  </si>
  <si>
    <t>OBA39-010</t>
  </si>
  <si>
    <t>1 ACME X 1 BSP ACME ADAPTER SJ</t>
  </si>
  <si>
    <t>OBA39-012</t>
  </si>
  <si>
    <t>1-1/4 ACME X 1-1/4 BSP ADAPTER SJ</t>
  </si>
  <si>
    <t>OBA39-015</t>
  </si>
  <si>
    <t>1-1/2 ACME X 1-1/2 BSP ADAPTER SJ</t>
  </si>
  <si>
    <t>Swing Joint Components</t>
  </si>
  <si>
    <t>A06-010</t>
  </si>
  <si>
    <t>1 FE ACME X 1 FE SWG ELL SJ</t>
  </si>
  <si>
    <t>A06-015</t>
  </si>
  <si>
    <t>1-1/2 FE ACME X 1-1/2 FE SWNG SJ</t>
  </si>
  <si>
    <t>A35-010</t>
  </si>
  <si>
    <t>1 FEMALE ACME X SLIP SJ COMPT</t>
  </si>
  <si>
    <t>A35-015</t>
  </si>
  <si>
    <t>1-1/2 FEM ACME X SLP SJ COMPT</t>
  </si>
  <si>
    <t>A36-010</t>
  </si>
  <si>
    <t>1 MA ACME X 1 SLIP SJ</t>
  </si>
  <si>
    <t>A36-015</t>
  </si>
  <si>
    <t>1-1/2 ACME X 1-1/2 SLIP SJ</t>
  </si>
  <si>
    <t>A36-132</t>
  </si>
  <si>
    <t>1-1/4 ACME FPT X 1 ACME MPT SJ</t>
  </si>
  <si>
    <t>A36-133</t>
  </si>
  <si>
    <t>1 MA ACME X 1-1/2 FE ACME SJ</t>
  </si>
  <si>
    <t>A36-169</t>
  </si>
  <si>
    <t>1-1/4 M ACME X 1-1/2 FE ACME SJ</t>
  </si>
  <si>
    <t>A36-211</t>
  </si>
  <si>
    <t>1-1/2 MA ACME X 1 FE ACME SJ CT</t>
  </si>
  <si>
    <t>A39-132</t>
  </si>
  <si>
    <t>1 MALE ACME X 1-1/4 FIPT SJ CPT</t>
  </si>
  <si>
    <t>A90-010</t>
  </si>
  <si>
    <t>1 FS X ACME SJ COMPT</t>
  </si>
  <si>
    <t>A90-012</t>
  </si>
  <si>
    <t>1-1/4 FS X ACME SJ COMPT</t>
  </si>
  <si>
    <t>A90-015</t>
  </si>
  <si>
    <t>1-1/2 FS X 1-1/2 ACME SJ COMPT</t>
  </si>
  <si>
    <t>A90-132</t>
  </si>
  <si>
    <t>1 FS X 1-1/4 ACME SJ COMPT</t>
  </si>
  <si>
    <t>A90-133</t>
  </si>
  <si>
    <t>1 FS X 1-1/2 ACME COMPT SJ</t>
  </si>
  <si>
    <t>A90-168</t>
  </si>
  <si>
    <t>1-1/4 FS X 1 ACME SJ COMPT</t>
  </si>
  <si>
    <t>A90-169</t>
  </si>
  <si>
    <t>1-1/4 FS X 1-1/2 ACME COMPT SJ</t>
  </si>
  <si>
    <t>A90-211</t>
  </si>
  <si>
    <t>1-1/2 FS X 1 ACME SJ COMPT</t>
  </si>
  <si>
    <t>A90-212</t>
  </si>
  <si>
    <t>1-1/2 FS X 1-1/4 ACME COMPT SJ</t>
  </si>
  <si>
    <t>470-010</t>
  </si>
  <si>
    <t>2" IPS X 1" FS SADDLE</t>
  </si>
  <si>
    <t>470-012</t>
  </si>
  <si>
    <t>2" IPS X 1.1/4" FS SADDLE</t>
  </si>
  <si>
    <t>470-015</t>
  </si>
  <si>
    <t>2" IPS X 1.1/2" FS SADDLE</t>
  </si>
  <si>
    <t>A70-010</t>
  </si>
  <si>
    <t>2" IPS X 1 FE ACME SADDLE</t>
  </si>
  <si>
    <t>A70-012</t>
  </si>
  <si>
    <t>2" IPS X 1.1/4" FE ACME SADDLE</t>
  </si>
  <si>
    <t>A70-015</t>
  </si>
  <si>
    <t>2" IPS X 1.1/2" FE ACME SADDLE</t>
  </si>
  <si>
    <t>570-010</t>
  </si>
  <si>
    <t>3" IPS X 1" FS SADDLE</t>
  </si>
  <si>
    <t>570-012</t>
  </si>
  <si>
    <t>3" IPS X 1.1/4" FS SADDLE</t>
  </si>
  <si>
    <t>570-015</t>
  </si>
  <si>
    <t>3" IPS X 1.1/2" FS SADDLE</t>
  </si>
  <si>
    <t>A72-010</t>
  </si>
  <si>
    <t>3" IPS X 1" ACME SADDLE</t>
  </si>
  <si>
    <t>A72-015</t>
  </si>
  <si>
    <t>3" IPS X 1.1/2" ACME SADDLE</t>
  </si>
  <si>
    <t>BS86-010</t>
  </si>
  <si>
    <t>1 BSPT X 1 MS SJ COMP</t>
  </si>
  <si>
    <t>BS86-012</t>
  </si>
  <si>
    <t>1-1/4 BSPT X 1-1/2 MS SJ COMPT</t>
  </si>
  <si>
    <t>BS86-015</t>
  </si>
  <si>
    <t>1-1/2 BSP X 1-1/2 MS SJ COMPT</t>
  </si>
  <si>
    <t>BS86-132</t>
  </si>
  <si>
    <t>1-1/4 BSPT X 1 MS SJ COMPT</t>
  </si>
  <si>
    <t>BS86-133</t>
  </si>
  <si>
    <t>1-1/2 BSPT X 1 MS SJ COMPT</t>
  </si>
  <si>
    <t>BS87-010</t>
  </si>
  <si>
    <t>1 BSP X FS SJ COMPT</t>
  </si>
  <si>
    <t>BS87-012</t>
  </si>
  <si>
    <t>1-1/4 BSP X FS SJ COMPT</t>
  </si>
  <si>
    <t>BS87-015</t>
  </si>
  <si>
    <t>1-1/2 BSP X FS SJ COMPT</t>
  </si>
  <si>
    <t>BS90-010</t>
  </si>
  <si>
    <t>1 FS X BSP SJ COMPT</t>
  </si>
  <si>
    <t>BS90-012</t>
  </si>
  <si>
    <t>1-1/4 FS X BSP SJ COMPT</t>
  </si>
  <si>
    <t>BS90-015</t>
  </si>
  <si>
    <t>1-1/2 FS X BSP SJ COMPT</t>
  </si>
  <si>
    <t>BS90-132</t>
  </si>
  <si>
    <t>1 FS X 1-1/4 BSP SJ COMPT</t>
  </si>
  <si>
    <t>BS90-133</t>
  </si>
  <si>
    <t>1 FS X 1-1/2 BSP SJ COMPT</t>
  </si>
  <si>
    <t>BS90-168</t>
  </si>
  <si>
    <t>1-1/4 FS X 1 BSP SJ COMPT</t>
  </si>
  <si>
    <t>BS90-169</t>
  </si>
  <si>
    <t>1-1/4 FS X 1-1/2 BSP SJ COMPT</t>
  </si>
  <si>
    <t>BS90-212</t>
  </si>
  <si>
    <t>1-1/2 FS X 1-1/4 BSP SJ COMPT</t>
  </si>
  <si>
    <t>BSA90-015</t>
  </si>
  <si>
    <t>1-1/2 BSPT X 1-1/2 ACME ELL SJ</t>
  </si>
  <si>
    <t>BSA90-132</t>
  </si>
  <si>
    <t>1 BSPT X 1-1/4 ACME ELL SJ</t>
  </si>
  <si>
    <t>BSA90-212</t>
  </si>
  <si>
    <t>1-1/2 BSPT X 1-1/4 ACME ELL SJ</t>
  </si>
  <si>
    <t>BSQ90-010</t>
  </si>
  <si>
    <t>1 FS X 1 BRASS BSP SJ COMPT</t>
  </si>
  <si>
    <t>D100EXT12</t>
  </si>
  <si>
    <t>12 EXTENSION KIT, 1 DIAM SJ</t>
  </si>
  <si>
    <t>D100EXT18</t>
  </si>
  <si>
    <t>18 EXTENSION KIT, 1 DIAM SJ</t>
  </si>
  <si>
    <t>D100EXT6</t>
  </si>
  <si>
    <t>6 EXTENSION KIT, 1 DIAM SJ</t>
  </si>
  <si>
    <t>D100EXT8</t>
  </si>
  <si>
    <t>8 EXTENSION KIT, 1 DIAM SJ</t>
  </si>
  <si>
    <t>D125EXT12</t>
  </si>
  <si>
    <t>12 EXTENSION KIT, 1-1/2 DIAM SJ</t>
  </si>
  <si>
    <t>D125EXT18</t>
  </si>
  <si>
    <t>18 EXTENSION KID, 1-1/4 DIAM SJ</t>
  </si>
  <si>
    <t>D125EXT6</t>
  </si>
  <si>
    <t>6 EXTENSION KIT, 1-1/4 DIAM SJ</t>
  </si>
  <si>
    <t>D125EXT8</t>
  </si>
  <si>
    <t>8 EXTENSION KIT, 1-1/4 DIAM SJ</t>
  </si>
  <si>
    <t>D150EXT12</t>
  </si>
  <si>
    <t>D150EXT18</t>
  </si>
  <si>
    <t>18 EXTENSION KIT, 1-1/2 DIAM SJ</t>
  </si>
  <si>
    <t>D150EXT6</t>
  </si>
  <si>
    <t>6 EXTENSION KIT, 1-1/2 DIAM SJ</t>
  </si>
  <si>
    <t>D150EXT8</t>
  </si>
  <si>
    <t>8 EXTENSION KIT, 1-1/2 DIAM SJ</t>
  </si>
  <si>
    <t>DL-010</t>
  </si>
  <si>
    <t>1 QUICK COUPLER LOCK SJ</t>
  </si>
  <si>
    <t>DL-015</t>
  </si>
  <si>
    <t>1-1/2 QUICK COUPLER LOCK SJ</t>
  </si>
  <si>
    <t>Unibody Riser Nipple</t>
  </si>
  <si>
    <t>1-UB-10</t>
  </si>
  <si>
    <t>1 X 10 UNIBODY SJ</t>
  </si>
  <si>
    <t>1-UB-12</t>
  </si>
  <si>
    <t>1 X 12 UNIBODY SJ</t>
  </si>
  <si>
    <t>1-UB-14</t>
  </si>
  <si>
    <t>1 X 14 UNIBODY SJ</t>
  </si>
  <si>
    <t>1-UB-16</t>
  </si>
  <si>
    <t>1 X 16 UNIBODY SJ</t>
  </si>
  <si>
    <t>1-UB-18</t>
  </si>
  <si>
    <t>1 X 18 UNIBODY SJ</t>
  </si>
  <si>
    <t>1-UB-6</t>
  </si>
  <si>
    <t>1 X 6 UNIBODY SJ</t>
  </si>
  <si>
    <t>1-UB-8</t>
  </si>
  <si>
    <t>1 X 8 UNIBODY SJ</t>
  </si>
  <si>
    <t>2-UB-10</t>
  </si>
  <si>
    <t>1-1/4 X 10 UNIBODY SJ COMPT</t>
  </si>
  <si>
    <t>2-UB-12</t>
  </si>
  <si>
    <t>1-1/4 X 12 UNIBODY SJ</t>
  </si>
  <si>
    <t>2-UB-14</t>
  </si>
  <si>
    <t>1-1/4 X 14 UNIBODY SJ</t>
  </si>
  <si>
    <t>2-UB-16</t>
  </si>
  <si>
    <t>1-1/4 UNIBODY 16 LL SJ</t>
  </si>
  <si>
    <t>2-UB-18</t>
  </si>
  <si>
    <t>1-1/4 X 18 UNIBODY SJ</t>
  </si>
  <si>
    <t>2-UB-6</t>
  </si>
  <si>
    <t>1-1/4 X 6 UNIBODY SJ</t>
  </si>
  <si>
    <t>2-UB-8</t>
  </si>
  <si>
    <t>1-1/4 X 8 UNIBODY SJ</t>
  </si>
  <si>
    <t>3-UB-10</t>
  </si>
  <si>
    <t>1-1/2 X 10 UNIBODY SJ</t>
  </si>
  <si>
    <t>3-UB-12</t>
  </si>
  <si>
    <t>1-1/2 X 12 UNIBODY SJ</t>
  </si>
  <si>
    <t>3-UB-14</t>
  </si>
  <si>
    <t>1-1/2 X 14 UNIBODY SJ</t>
  </si>
  <si>
    <t>3-UB-16</t>
  </si>
  <si>
    <t>1-1/2 X 16 UNIBODY SJ</t>
  </si>
  <si>
    <t>3-UB-18</t>
  </si>
  <si>
    <t>1-1/2X18 UNIBODY SJ</t>
  </si>
  <si>
    <t>3-UB-6</t>
  </si>
  <si>
    <t>1-1/2 X 6 UNIBODY SJ</t>
  </si>
  <si>
    <t>3-UB-8</t>
  </si>
  <si>
    <t>1-1/2 X 8 UNIBODY SJ</t>
  </si>
  <si>
    <t>Wire Holder</t>
  </si>
  <si>
    <t>1WH</t>
  </si>
  <si>
    <t>1 WIRE HOLDER SJ</t>
  </si>
  <si>
    <t>2WH</t>
  </si>
  <si>
    <t>1-1/4 WIRE HOLDER SJ</t>
  </si>
  <si>
    <t>3WH</t>
  </si>
  <si>
    <t>1-1/2 WIRE HOLDER SJ</t>
  </si>
  <si>
    <t>Inlet Replacements</t>
  </si>
  <si>
    <t>J80-249</t>
  </si>
  <si>
    <t>50MM X 1 FS TEE SJ COMPT</t>
  </si>
  <si>
    <t>J80-250</t>
  </si>
  <si>
    <t>50MM X 1-1/4 FS TEE SJ COMPT</t>
  </si>
  <si>
    <t>J80-251</t>
  </si>
  <si>
    <t>50MM X 1-1/2 FS TEE SJ COMPT</t>
  </si>
  <si>
    <t>J81-249</t>
  </si>
  <si>
    <t>50MM SOC X 1 FS ELL SJ COMPT</t>
  </si>
  <si>
    <t>J81-250</t>
  </si>
  <si>
    <t>50MM SOC X 1-1/4 FS ELL SJ COMP</t>
  </si>
  <si>
    <t>J81-251</t>
  </si>
  <si>
    <t>50MM SOX X 1-1/2 FS ELL SJ COMP</t>
  </si>
  <si>
    <t>J88-010</t>
  </si>
  <si>
    <t>25MM SPG X FS SJ COMPT</t>
  </si>
  <si>
    <t>J88-012</t>
  </si>
  <si>
    <t>30MM SPG X FS SJ COMPT</t>
  </si>
  <si>
    <t>J88-015</t>
  </si>
  <si>
    <t>40MM SPG X FS SJ COMPT</t>
  </si>
  <si>
    <t>J89-010</t>
  </si>
  <si>
    <t>25MM SOC X FS SJ COMPT</t>
  </si>
  <si>
    <t>J89-012</t>
  </si>
  <si>
    <t>30MM SOC X FS SJ COMPT</t>
  </si>
  <si>
    <t>J89-015</t>
  </si>
  <si>
    <t>40MM SOC X FX SJ COMPT</t>
  </si>
  <si>
    <t>M84-010</t>
  </si>
  <si>
    <t>32MM SOC X MS SJ COMPT</t>
  </si>
  <si>
    <t>M84-012</t>
  </si>
  <si>
    <t>40MM SOC X MS SJ COMPT</t>
  </si>
  <si>
    <t>M84-015</t>
  </si>
  <si>
    <t>50MM SOC X MS SJ COMPT</t>
  </si>
  <si>
    <t>M85-010</t>
  </si>
  <si>
    <t>32MM SPIGOT X MS SJ COMP</t>
  </si>
  <si>
    <t>M85-012</t>
  </si>
  <si>
    <t>40MM SPIGOT X MS SJ COMP</t>
  </si>
  <si>
    <t>M85-015</t>
  </si>
  <si>
    <t>50MM SPIGOT X MS SJ COMP</t>
  </si>
  <si>
    <t>M88-010</t>
  </si>
  <si>
    <t>32MM SPG X FS SJ COMPT</t>
  </si>
  <si>
    <t>M88-012</t>
  </si>
  <si>
    <t>M88-015</t>
  </si>
  <si>
    <t>50MM SPG X FS SJ COMPT</t>
  </si>
  <si>
    <t>M89-010</t>
  </si>
  <si>
    <t>32MM SOC X FS SJ COMPT</t>
  </si>
  <si>
    <t>M89-012</t>
  </si>
  <si>
    <t>40MM SOC X FS SJ COMPT</t>
  </si>
  <si>
    <r>
      <rPr>
        <b/>
        <sz val="12"/>
        <color indexed="8"/>
        <rFont val="Calibri"/>
        <family val="2"/>
      </rPr>
      <t>*Note</t>
    </r>
    <r>
      <rPr>
        <sz val="12"/>
        <color indexed="8"/>
        <rFont val="Calibri"/>
        <family val="2"/>
      </rPr>
      <t xml:space="preserve">: All order quantites are </t>
    </r>
    <r>
      <rPr>
        <b/>
        <u/>
        <sz val="12"/>
        <color indexed="8"/>
        <rFont val="Calibri"/>
        <family val="2"/>
      </rPr>
      <t>Piece Quantity</t>
    </r>
  </si>
  <si>
    <t>Line</t>
  </si>
  <si>
    <t>Phone:</t>
  </si>
  <si>
    <t>P.O. #:</t>
  </si>
  <si>
    <t>Quantity Ordered</t>
  </si>
  <si>
    <t>Tigre Part Number</t>
  </si>
  <si>
    <t>Tigre Code</t>
  </si>
  <si>
    <t>Total Non-Standard Items:</t>
  </si>
  <si>
    <t>All Products</t>
  </si>
  <si>
    <t>100-3188</t>
  </si>
  <si>
    <t>1-1/4 COUPLING DWV</t>
  </si>
  <si>
    <t>100-3189</t>
  </si>
  <si>
    <t>1-1/2 COUPLING DWV</t>
  </si>
  <si>
    <t>100-3190</t>
  </si>
  <si>
    <t>2 COUPLING DWV</t>
  </si>
  <si>
    <t>100-3191</t>
  </si>
  <si>
    <t>3 COUPLING DWV</t>
  </si>
  <si>
    <t>100-3192</t>
  </si>
  <si>
    <t>4 COUPLING DWV</t>
  </si>
  <si>
    <t>100-3193</t>
  </si>
  <si>
    <t>6 COUPLING DWV</t>
  </si>
  <si>
    <t>101-3198</t>
  </si>
  <si>
    <t>1-1/2 FEMALE ADAPTER HXFPT DWV</t>
  </si>
  <si>
    <t>101-3199</t>
  </si>
  <si>
    <t>2 FEMALE ADAPTER HXFPT DWV</t>
  </si>
  <si>
    <t>101-3200</t>
  </si>
  <si>
    <t>3 FEMALE ADAPTER HXFPT DWV</t>
  </si>
  <si>
    <t>101-3201</t>
  </si>
  <si>
    <t>4 FEMALE ADAPTER HXFPT DWV</t>
  </si>
  <si>
    <t>101-3202</t>
  </si>
  <si>
    <t>6 FEMALE ADAPTER HXFPT DWV</t>
  </si>
  <si>
    <t>102-3203</t>
  </si>
  <si>
    <t>2X1-1/2 PIPE INCREASER REDUCER DWV</t>
  </si>
  <si>
    <t>102-3204</t>
  </si>
  <si>
    <t>3X1-1/2 PIPE INCREASER REDUCER DWV</t>
  </si>
  <si>
    <t>102-3205</t>
  </si>
  <si>
    <t>3 X 2 PIPE INCREASER REDUCER DWV</t>
  </si>
  <si>
    <t>102-3206</t>
  </si>
  <si>
    <t>4 X 2 PIPE INCREASER REDUCER DWV</t>
  </si>
  <si>
    <t>102-3207</t>
  </si>
  <si>
    <t>4 X 3 PIPE INCREASER REDUCER DWV</t>
  </si>
  <si>
    <t>102-1074</t>
  </si>
  <si>
    <t>6 X 4 PIPE INCREASER REDUCER DWV</t>
  </si>
  <si>
    <t>103-3208</t>
  </si>
  <si>
    <t>1-1/2 X 1-1/4 TRAP ADAPTER MALE DWV</t>
  </si>
  <si>
    <t>103-3209</t>
  </si>
  <si>
    <t>1-1/2 TRAP ADAPTER MALE DWV</t>
  </si>
  <si>
    <t>103-P-3211</t>
  </si>
  <si>
    <t>1-1/2X1-1/4 TRAP AD M W/PL NUT DWV</t>
  </si>
  <si>
    <t>103-P-3212</t>
  </si>
  <si>
    <t>1-1/2 TRAP AD MALE W/PLAST NUT DWV</t>
  </si>
  <si>
    <t>103-R-3015</t>
  </si>
  <si>
    <t>1-1/2 TRAP AD M W/PL NUT&amp;W SXSJ DWV</t>
  </si>
  <si>
    <t>104-3220</t>
  </si>
  <si>
    <t>1-1/2X1-1/4 TRAP ADAPTER FEMALE DWV</t>
  </si>
  <si>
    <t>104-P-3223</t>
  </si>
  <si>
    <t>1-1/2X1-1/4 TRAP AD F W/PL NUT DWV</t>
  </si>
  <si>
    <t>104-P-3224</t>
  </si>
  <si>
    <t>1-1/2 TRAP AD FEMALE W/PL NUT DWV</t>
  </si>
  <si>
    <t>105-3233</t>
  </si>
  <si>
    <t>1-1/2 CLEANOUT ADAP SXFPT DWV</t>
  </si>
  <si>
    <t>105-3234</t>
  </si>
  <si>
    <t>2 CLEANOUT ADAP SXFPT DWV</t>
  </si>
  <si>
    <t>105-3235</t>
  </si>
  <si>
    <t>3 CLEANOUT ADAP SXFPT DWV</t>
  </si>
  <si>
    <t>105-3236</t>
  </si>
  <si>
    <t>4 CLEANOUT ADAP SXFPT DWV</t>
  </si>
  <si>
    <t>105-3237</t>
  </si>
  <si>
    <t>6 CLEANOUT ADAP SXFPT DWV</t>
  </si>
  <si>
    <t>105-X-3239</t>
  </si>
  <si>
    <t>1-1/2CLEANOUT AD W/CO PLG SXFPT DWV</t>
  </si>
  <si>
    <t>105-X-3240</t>
  </si>
  <si>
    <t>2 CLEANOUT AD W/CO PLG SXFPT DWV</t>
  </si>
  <si>
    <t>105-X-3241</t>
  </si>
  <si>
    <t>3 CLEANOUT AD W/CO PLG SXFPT DWV</t>
  </si>
  <si>
    <t>105-X-3242</t>
  </si>
  <si>
    <t>4 CLEANOUT AD W/CO PLG SXFPT DWV</t>
  </si>
  <si>
    <t>105-X-3243</t>
  </si>
  <si>
    <t>6 CLEANOUT AD W/CO PLG SXFPT DWV</t>
  </si>
  <si>
    <t>106-3251</t>
  </si>
  <si>
    <t>1-1/2 CLEANOUT PLUG MPT DWV</t>
  </si>
  <si>
    <t>106-3252</t>
  </si>
  <si>
    <t>2 CLEANOUT PLUG MPT DWV</t>
  </si>
  <si>
    <t>106-3253</t>
  </si>
  <si>
    <t>3 CLEANOUT PLUG MPT DWV</t>
  </si>
  <si>
    <t>106-3254</t>
  </si>
  <si>
    <t>4 CLEANOUT PLUG MPT DWV</t>
  </si>
  <si>
    <t>106-3255</t>
  </si>
  <si>
    <t>6 CLEANOUT PLUG MPT DWV</t>
  </si>
  <si>
    <t>107-3263</t>
  </si>
  <si>
    <t>2 X 1-1/2 FLUSH BUSHING SXH DWV</t>
  </si>
  <si>
    <t>107-3264</t>
  </si>
  <si>
    <t>3 X 1-1/2 FLUSH BUSHING SXH DWV</t>
  </si>
  <si>
    <t>107-3265</t>
  </si>
  <si>
    <t>3 X 2 FLUSH BUSHING SXH DWV</t>
  </si>
  <si>
    <t>107-3266</t>
  </si>
  <si>
    <t>4 X 2 FLUSH BUSHING SXH DWV</t>
  </si>
  <si>
    <t>107-3267</t>
  </si>
  <si>
    <t>4 X 3 FLUSH BUSHING SXH DWV</t>
  </si>
  <si>
    <t>107-3268</t>
  </si>
  <si>
    <t>6 X 4 FLUSH BUSHING SXH DWV</t>
  </si>
  <si>
    <t>109-3286</t>
  </si>
  <si>
    <t>1-1/2 MALE ADAPTER HXMPT DWV</t>
  </si>
  <si>
    <t>109-3287</t>
  </si>
  <si>
    <t>1-1/2X1-1/4 MALE ADAPTER HXMPT DWV</t>
  </si>
  <si>
    <t>109-3288</t>
  </si>
  <si>
    <t>2 MALE ADAPTER HXMPT DWV</t>
  </si>
  <si>
    <t>109-3289</t>
  </si>
  <si>
    <t>3 MALE ADAPTER HXMPT DWV</t>
  </si>
  <si>
    <t>109-3290</t>
  </si>
  <si>
    <t>4 MALE ADAPTER HXMPT DWV</t>
  </si>
  <si>
    <t>109-3296</t>
  </si>
  <si>
    <t>6 MALE ADAPTER HXMPT DWV</t>
  </si>
  <si>
    <t>110-3292</t>
  </si>
  <si>
    <t>3 FLUSH C/O PLUG MPT DWV</t>
  </si>
  <si>
    <t>110-3293</t>
  </si>
  <si>
    <t>4 FLUSH C/O PLUG MPT DWV</t>
  </si>
  <si>
    <t>116-3301</t>
  </si>
  <si>
    <t>1-1/2 CAP DWV</t>
  </si>
  <si>
    <t>116-3302</t>
  </si>
  <si>
    <t>2 CAP DWV</t>
  </si>
  <si>
    <t>116-3303</t>
  </si>
  <si>
    <t>3 CAP DWV</t>
  </si>
  <si>
    <t>116-3304</t>
  </si>
  <si>
    <t>4 CAP DWV</t>
  </si>
  <si>
    <t>116-3305</t>
  </si>
  <si>
    <t>6 CAP DWV</t>
  </si>
  <si>
    <t>117-3307</t>
  </si>
  <si>
    <t>4X3 ADAPT COUPLING S&amp;D H X DWV H</t>
  </si>
  <si>
    <t>117-3308</t>
  </si>
  <si>
    <t>4 ADAPT COUPLING S&amp;D H X DWV H</t>
  </si>
  <si>
    <t>119-3311</t>
  </si>
  <si>
    <t>1-1/2 NO HUB ADAPTER SXH DWV</t>
  </si>
  <si>
    <t>119-3312</t>
  </si>
  <si>
    <t>2 NO HUB ADAPTER SXH DWV</t>
  </si>
  <si>
    <t>119-3314</t>
  </si>
  <si>
    <t>3 NO HUB ADAPTER SXH DWV</t>
  </si>
  <si>
    <t>119-3316</t>
  </si>
  <si>
    <t>4 NO HUB ADAPTER SXH DWV</t>
  </si>
  <si>
    <t>123-3320</t>
  </si>
  <si>
    <t>2 HUB ADAPTER CAST IRON HXS DWV</t>
  </si>
  <si>
    <t>123-3321</t>
  </si>
  <si>
    <t>3 HUB ADAPTER CAST IRON HXS DWV</t>
  </si>
  <si>
    <t>123-3322</t>
  </si>
  <si>
    <t>4 HUB ADAPTER CAST IRON HXS DWV</t>
  </si>
  <si>
    <t>123R-3326</t>
  </si>
  <si>
    <t>3X4 HUB ADAPT CAST IRON INC HXS DWV</t>
  </si>
  <si>
    <t>126-6004</t>
  </si>
  <si>
    <t>4 DWV SPIGOT PLUG DWV</t>
  </si>
  <si>
    <t>126-6006</t>
  </si>
  <si>
    <t>6 DWV SPIGOT PLUG DWV</t>
  </si>
  <si>
    <t>130-3337</t>
  </si>
  <si>
    <t>1-1/2 REPAIR COUPLING DWV</t>
  </si>
  <si>
    <t>130-3338</t>
  </si>
  <si>
    <t>2 REPAIR COUPLING DWV</t>
  </si>
  <si>
    <t>130-3339</t>
  </si>
  <si>
    <t>3 REPAIR COUPLING DWV</t>
  </si>
  <si>
    <t>130-3340</t>
  </si>
  <si>
    <t>4 REPAIR COUPLING DWV</t>
  </si>
  <si>
    <t>130-3341</t>
  </si>
  <si>
    <t>6 REPAIR COUPLING DWV</t>
  </si>
  <si>
    <t>131-5285</t>
  </si>
  <si>
    <t>1-1/2 TEST CAP DWV</t>
  </si>
  <si>
    <t>131-5287</t>
  </si>
  <si>
    <t>2 TEST CAP DWV</t>
  </si>
  <si>
    <t>131-5288</t>
  </si>
  <si>
    <t>3 TEST CAP DWV</t>
  </si>
  <si>
    <t>300-3354</t>
  </si>
  <si>
    <t>1-1/4 1/4 BEND DWV</t>
  </si>
  <si>
    <t>300-3355</t>
  </si>
  <si>
    <t>1-1/2 1/4 BEND DWV</t>
  </si>
  <si>
    <t>300-3356</t>
  </si>
  <si>
    <t>2 1/4 BEND DWV</t>
  </si>
  <si>
    <t>300-3357</t>
  </si>
  <si>
    <t>3 1/4 BEND DWV</t>
  </si>
  <si>
    <t>300-3358</t>
  </si>
  <si>
    <t>4 1/4 BEND DWV</t>
  </si>
  <si>
    <t>300-3359</t>
  </si>
  <si>
    <t>6 1/4 BEND DWV</t>
  </si>
  <si>
    <t>300-S-3362</t>
  </si>
  <si>
    <t>3 1/4 BEND W/2" SIDE OUTLET DWV</t>
  </si>
  <si>
    <t>302-3370</t>
  </si>
  <si>
    <t>1-1/2 1/4 BEND STREET DWV</t>
  </si>
  <si>
    <t>302-3371</t>
  </si>
  <si>
    <t>2 1/4 BEND STREET DWV</t>
  </si>
  <si>
    <t>302-3372</t>
  </si>
  <si>
    <t>3 1/4 BEND STREET DWV</t>
  </si>
  <si>
    <t>302-3373</t>
  </si>
  <si>
    <t>4 1/4 BEND STREET DWV</t>
  </si>
  <si>
    <t>302-3374</t>
  </si>
  <si>
    <t>6 1/4 BEND STREET DWV</t>
  </si>
  <si>
    <t>303-3376</t>
  </si>
  <si>
    <t>3 1/4 BEND W/2" LOW HEEL INLET DWV</t>
  </si>
  <si>
    <t>303-3377</t>
  </si>
  <si>
    <t>4 1/4 BEND W/2" LOW HEEL INLET DWV</t>
  </si>
  <si>
    <t>304-3378</t>
  </si>
  <si>
    <t>1-1/2 LONG SWEEP 1/4 BEND DWV</t>
  </si>
  <si>
    <t>304-3379</t>
  </si>
  <si>
    <t>2 LONG SWEEP 1/4 BEND DWV</t>
  </si>
  <si>
    <t>304-3380</t>
  </si>
  <si>
    <t>3 LONG SWEEP 1/4 BEND DWV</t>
  </si>
  <si>
    <t>304-3381</t>
  </si>
  <si>
    <t>4 LONG SWEEP 1/4 BEND DWV</t>
  </si>
  <si>
    <t>304-3382</t>
  </si>
  <si>
    <t>6 LONG SWEEP 1/4 BEND DWV</t>
  </si>
  <si>
    <t>309-3386</t>
  </si>
  <si>
    <t>1-1/2 LONG SWP 1/4 BEND STREET DWV</t>
  </si>
  <si>
    <t>309-3387</t>
  </si>
  <si>
    <t>2 LONG SWEEP 1/4 BEND STREET DWV</t>
  </si>
  <si>
    <t>309-3388</t>
  </si>
  <si>
    <t>3 LONG SWEEP 1/4 BEND STREET DWV</t>
  </si>
  <si>
    <t>309-3389</t>
  </si>
  <si>
    <t>4 LONG SWEEP 1/4 BEND STREET DWV</t>
  </si>
  <si>
    <t>319-3392</t>
  </si>
  <si>
    <t>1-1/2 1/6 BEND DWV</t>
  </si>
  <si>
    <t>319-3393</t>
  </si>
  <si>
    <t>2 1/6 BEND DWV</t>
  </si>
  <si>
    <t>319-3394</t>
  </si>
  <si>
    <t>3 1/6 BEND DWV</t>
  </si>
  <si>
    <t>319-3395</t>
  </si>
  <si>
    <t>4 1/6 BEND DWV</t>
  </si>
  <si>
    <t>320-3396</t>
  </si>
  <si>
    <t>1-1/2 1/6 BEND STREET DWV</t>
  </si>
  <si>
    <t>320-3397</t>
  </si>
  <si>
    <t>2 1/6 BEND STREET DWV</t>
  </si>
  <si>
    <t>320-3398</t>
  </si>
  <si>
    <t>3 1/6 BEND STREET DWV</t>
  </si>
  <si>
    <t>320-3399</t>
  </si>
  <si>
    <t>4 1/6 BEND STREET DWV</t>
  </si>
  <si>
    <t>321-3401</t>
  </si>
  <si>
    <t>1-1/2 1/8 BEND DWV</t>
  </si>
  <si>
    <t>321-3402</t>
  </si>
  <si>
    <t>2 1/8 BEND DWV</t>
  </si>
  <si>
    <t>321-3403</t>
  </si>
  <si>
    <t>3 1/8 BEND DWV</t>
  </si>
  <si>
    <t>321-3404</t>
  </si>
  <si>
    <t>4 1/8 BEND DWV</t>
  </si>
  <si>
    <t>321-3405</t>
  </si>
  <si>
    <t>6 1/8 BEND DWV</t>
  </si>
  <si>
    <t>323-3408</t>
  </si>
  <si>
    <t>1-1/2 1/8 BEND STREET DWV</t>
  </si>
  <si>
    <t>323-3409</t>
  </si>
  <si>
    <t>2 1/8 BEND STREET DWV</t>
  </si>
  <si>
    <t>323-3410</t>
  </si>
  <si>
    <t>3 1/8 BEND STREET DWV</t>
  </si>
  <si>
    <t>323-3411</t>
  </si>
  <si>
    <t>4 1/8 BEND STREET DWV</t>
  </si>
  <si>
    <t>323-3412</t>
  </si>
  <si>
    <t>6 1/8 BEND STREET DWV</t>
  </si>
  <si>
    <t>324-3416</t>
  </si>
  <si>
    <t>1-1/2 1/16 BEND DWV</t>
  </si>
  <si>
    <t>324-3417</t>
  </si>
  <si>
    <t>2 1/16 BEND DWV</t>
  </si>
  <si>
    <t>324-3418</t>
  </si>
  <si>
    <t>3 1/16 BEND DWV</t>
  </si>
  <si>
    <t>324-3419</t>
  </si>
  <si>
    <t>4 1/16 BEND DWV</t>
  </si>
  <si>
    <t>324-3420</t>
  </si>
  <si>
    <t>6 1/16 BEND DWV</t>
  </si>
  <si>
    <t>326-3421</t>
  </si>
  <si>
    <t>1-1/2 1/16 BEND STREET DWV</t>
  </si>
  <si>
    <t>326-3422</t>
  </si>
  <si>
    <t>2 1/16 BEND STREET DWV</t>
  </si>
  <si>
    <t>326-3423</t>
  </si>
  <si>
    <t>3 1/16 BEND STREET DWV</t>
  </si>
  <si>
    <t>326-3424</t>
  </si>
  <si>
    <t>4 1/16 BEND STREET DWV</t>
  </si>
  <si>
    <t>326-3425</t>
  </si>
  <si>
    <t>6 1/16 BEND STREET DWV</t>
  </si>
  <si>
    <t>327-3040</t>
  </si>
  <si>
    <t>4 DOUBLE 1/4 BEND DWV</t>
  </si>
  <si>
    <t>327-3426</t>
  </si>
  <si>
    <t>1-1/2 DOUBLE 1/4 BEND DWV</t>
  </si>
  <si>
    <t>327-3427</t>
  </si>
  <si>
    <t>2 DOUBLE 1/4 BEND DWV</t>
  </si>
  <si>
    <t>327-3428</t>
  </si>
  <si>
    <t>2X1-1/2X1-1/2 DOUBLE 1/4 BEND DWV</t>
  </si>
  <si>
    <t>327-3429</t>
  </si>
  <si>
    <t>3 DOUBLE 1/4 BEND DWV</t>
  </si>
  <si>
    <t>328-3711</t>
  </si>
  <si>
    <t>6 1/32 BEND DWV</t>
  </si>
  <si>
    <t>329-3430</t>
  </si>
  <si>
    <t>3X4 CLOSET BEND REDUCING HXH DWV</t>
  </si>
  <si>
    <t>330-3431</t>
  </si>
  <si>
    <t>3X4 CLOSET BEND REDUCING HXS DWV</t>
  </si>
  <si>
    <t>331-3434</t>
  </si>
  <si>
    <t>1-1/2 VENT ELL DWV</t>
  </si>
  <si>
    <t>331-3435</t>
  </si>
  <si>
    <t>2 VENT ELL DWV</t>
  </si>
  <si>
    <t>331-3436</t>
  </si>
  <si>
    <t>3 VENT ELL DWV</t>
  </si>
  <si>
    <t>331-3437</t>
  </si>
  <si>
    <t>4 VENT ELL DWV</t>
  </si>
  <si>
    <t>333-3441</t>
  </si>
  <si>
    <t>1-1/2 VENT ELL STREET DWV</t>
  </si>
  <si>
    <t>333-3442</t>
  </si>
  <si>
    <t>2 VENT ELL STREET DWV</t>
  </si>
  <si>
    <t>333-3443</t>
  </si>
  <si>
    <t>3 VENT ELL STREET DWV</t>
  </si>
  <si>
    <t>400-3462</t>
  </si>
  <si>
    <t>1-1/4 SANITARY TEE DWV</t>
  </si>
  <si>
    <t>400-3463</t>
  </si>
  <si>
    <t>1-1/2 SANITARY TEE DWV</t>
  </si>
  <si>
    <t>400-3464</t>
  </si>
  <si>
    <t>2 SANITARY TEE DWV</t>
  </si>
  <si>
    <t>400-3465</t>
  </si>
  <si>
    <t>3 SANITARY TEE DWV</t>
  </si>
  <si>
    <t>400-3466</t>
  </si>
  <si>
    <t>4 SANITARY TEE DWV</t>
  </si>
  <si>
    <t>400-3467</t>
  </si>
  <si>
    <t>6 SANITARY TEE DWV</t>
  </si>
  <si>
    <t>401-3469</t>
  </si>
  <si>
    <t>2X1-1/2X1-1/2 SANITARY TEE RED DWV</t>
  </si>
  <si>
    <t>401-3470</t>
  </si>
  <si>
    <t>2X1-1/2X2 SANITARY TEE RED DWV</t>
  </si>
  <si>
    <t>401-3471</t>
  </si>
  <si>
    <t>2X2X1-1/2 SANITARY TEE RED DWV</t>
  </si>
  <si>
    <t>401-3472</t>
  </si>
  <si>
    <t>3X3X1-1/2 SANITARY TEE RED DWV</t>
  </si>
  <si>
    <t>401-3473</t>
  </si>
  <si>
    <t>3X3X2 SANITARY TEE RED DWV</t>
  </si>
  <si>
    <t>401-3475</t>
  </si>
  <si>
    <t>4X4X2 SANITARY TEE RED DWV</t>
  </si>
  <si>
    <t>401-3476</t>
  </si>
  <si>
    <t>4X4X3 SANITARY TEE RED DWV</t>
  </si>
  <si>
    <t>401-3477</t>
  </si>
  <si>
    <t>6X6X4 SANITARY TEE RED DWV</t>
  </si>
  <si>
    <t>403-3479</t>
  </si>
  <si>
    <t>1-1/2 SANITARY TEE STREET DWV</t>
  </si>
  <si>
    <t>403-3480</t>
  </si>
  <si>
    <t>2 SANITARY TEE STREET DWV</t>
  </si>
  <si>
    <t>403-3481</t>
  </si>
  <si>
    <t>3 SANITARY TEE STREET DWV</t>
  </si>
  <si>
    <t>403-3482</t>
  </si>
  <si>
    <t>4 SANITARY TEE STREET DWV</t>
  </si>
  <si>
    <t>404-3484</t>
  </si>
  <si>
    <t>2X2X1-1/2 SANITARY TEE STREET DWV</t>
  </si>
  <si>
    <t>404-3485</t>
  </si>
  <si>
    <t>3X3X1-1/2 SANITARY TEE ST RED DWV</t>
  </si>
  <si>
    <t>404-3486</t>
  </si>
  <si>
    <t>3X3X2 SANITARY TEE STREET RED DWV</t>
  </si>
  <si>
    <t>416-3500</t>
  </si>
  <si>
    <t>3 SAN TEE W/1-1/2" L SIDE INLET DWV</t>
  </si>
  <si>
    <t>416-3501</t>
  </si>
  <si>
    <t>3 SAN TEE W/2" L SIDE INLET DWV</t>
  </si>
  <si>
    <t>416-3502</t>
  </si>
  <si>
    <t>4 SAN TEE W/2" L SIDE INLET DWV</t>
  </si>
  <si>
    <t>417-3503</t>
  </si>
  <si>
    <t>3 SAN TEE W/1-1/2" R SIDE INLET DWV</t>
  </si>
  <si>
    <t>417-3504</t>
  </si>
  <si>
    <t>3 SAN TEE W/2" R SIDE INLET DWV</t>
  </si>
  <si>
    <t>417-3505</t>
  </si>
  <si>
    <t>4 SAN TEE W/2" R SIDE INLET DWV</t>
  </si>
  <si>
    <t>418-3507</t>
  </si>
  <si>
    <t>3 SAN TEE W/2" R&amp;L SIDE INLETS DWV</t>
  </si>
  <si>
    <t>418-3508</t>
  </si>
  <si>
    <t>4 SAN TEE W/2" R&amp;L SIDE INLETS DWV</t>
  </si>
  <si>
    <t>428-3509</t>
  </si>
  <si>
    <t>1-1/2 DOUBLE SAN TEE ALL HUB DWV</t>
  </si>
  <si>
    <t>428-3510</t>
  </si>
  <si>
    <t>2 DOUBLE SANITARY TEE ALL HUB DWV</t>
  </si>
  <si>
    <t>428-3511</t>
  </si>
  <si>
    <t>3 DOUBLE SANITARY TEE ALL HUB DWV</t>
  </si>
  <si>
    <t>428-3512</t>
  </si>
  <si>
    <t>4 DOUBLE SANITARY TEE ALL HUB DWV</t>
  </si>
  <si>
    <t>429-3513</t>
  </si>
  <si>
    <t>2X2X1-1/2X1-1/2 DBL SAN TEE RED DWV</t>
  </si>
  <si>
    <t>429-3514</t>
  </si>
  <si>
    <t>3X3X1-1/2X1-1/2 DBL SAN TEE RED DWV</t>
  </si>
  <si>
    <t>429-3516</t>
  </si>
  <si>
    <t>3X3X2X2 DBL SAN TEE RED DWV</t>
  </si>
  <si>
    <t>429-3518</t>
  </si>
  <si>
    <t>4X4X2X2 DBL SAN TEE RED DWV</t>
  </si>
  <si>
    <t>429-3519</t>
  </si>
  <si>
    <t>4X4X3X3 DBL SAN TEE RED DWV</t>
  </si>
  <si>
    <t>438-3524</t>
  </si>
  <si>
    <t>4X4X4X4X2  DBL SAN TEE W/SIDE INLET</t>
  </si>
  <si>
    <t>439-3528</t>
  </si>
  <si>
    <t>4 DBL SAN T W/2" R&amp;L SIDE INLET</t>
  </si>
  <si>
    <t>441-3531</t>
  </si>
  <si>
    <t>2 VENT TEE DWV</t>
  </si>
  <si>
    <t>441-3533</t>
  </si>
  <si>
    <t>4 VENT TEE DWV</t>
  </si>
  <si>
    <t>441-3534</t>
  </si>
  <si>
    <t>6 VENT TEE DWV</t>
  </si>
  <si>
    <t>444-3534</t>
  </si>
  <si>
    <t>1-1/2 CLEAN OUT TEE HXHXFPT DWV</t>
  </si>
  <si>
    <t>444-3535</t>
  </si>
  <si>
    <t>2 CLEAN OUT TEE HXHXFPT DWV</t>
  </si>
  <si>
    <t>444-3536</t>
  </si>
  <si>
    <t>3 CLEAN OUT TEE HXHXFPT DWV</t>
  </si>
  <si>
    <t>444-3537</t>
  </si>
  <si>
    <t>4 CLEANOUT TEE HXHXFPT DWV</t>
  </si>
  <si>
    <t>444-X-0216</t>
  </si>
  <si>
    <t>6 CLEANOUT TEE W/CO PLUG DWV</t>
  </si>
  <si>
    <t>444-X-3539</t>
  </si>
  <si>
    <t>1-1/2 CLEAN OUT TEE W/CO PLUG DWV</t>
  </si>
  <si>
    <t>444-X-3540</t>
  </si>
  <si>
    <t>2 CLEAN OUT TEE W/CO PLUG DWV</t>
  </si>
  <si>
    <t>444-X-3541</t>
  </si>
  <si>
    <t>3 CLEANOUT TEE W/CO PLUG DWV</t>
  </si>
  <si>
    <t>444-X-3542</t>
  </si>
  <si>
    <t>4 CLEANOUT TEE W/CO PLUG DWV</t>
  </si>
  <si>
    <t>445-X-3548</t>
  </si>
  <si>
    <t>3 CLEANOUT TEE W/FLUSH PLUG DWV</t>
  </si>
  <si>
    <t>445-X-3549</t>
  </si>
  <si>
    <t>4 CLEANOUT TEE W/FLUSH PLUG DWV</t>
  </si>
  <si>
    <t>448-3557</t>
  </si>
  <si>
    <t>3 TWO WAY CLEANOUT TEE HXHXH DWV</t>
  </si>
  <si>
    <t>448-3558</t>
  </si>
  <si>
    <t>4 TWO WAY CLEANOUT TEE HXHXH DWV</t>
  </si>
  <si>
    <t>448-3559</t>
  </si>
  <si>
    <t>6 TWO WAY CLEANOUT TEE HXHXH DWV</t>
  </si>
  <si>
    <t>500-4001</t>
  </si>
  <si>
    <t>3 DBL FIXTURE FITTING HXHXHXH DWV</t>
  </si>
  <si>
    <t>500-4002</t>
  </si>
  <si>
    <t>2X2X1-1/2X1-1/2 DBL FIXTURE FITTING HXHXHXH DWV</t>
  </si>
  <si>
    <t>500-4155</t>
  </si>
  <si>
    <t>2 DBL FIXTURE FITTING HXHXHXH DWV</t>
  </si>
  <si>
    <t>501-3561</t>
  </si>
  <si>
    <t>1-1/2 COMBO WYE &amp; 1/8 BEND 1PC DWV</t>
  </si>
  <si>
    <t>501-3562</t>
  </si>
  <si>
    <t>2 COMBO WYE &amp; 1/8 BEND 1PC DWV</t>
  </si>
  <si>
    <t>501-3563</t>
  </si>
  <si>
    <t>3 COMBO WYE &amp; 1/8 BEND 1PC DWV</t>
  </si>
  <si>
    <t>501-3564</t>
  </si>
  <si>
    <t>4 COMBO WYE &amp; 1/8 BEND 1PC DWV</t>
  </si>
  <si>
    <t>502-3567</t>
  </si>
  <si>
    <t>2X2X1-1/2 COMB WYE &amp; 1/8 BEND 1PC</t>
  </si>
  <si>
    <t>502-3568</t>
  </si>
  <si>
    <t>3X3X1-1/2 COMB WYE &amp; 1/8 BEND 1PC</t>
  </si>
  <si>
    <t>502-3569</t>
  </si>
  <si>
    <t>3X3X2 COMB WYE &amp; 1/8 BEND 1PC DWV</t>
  </si>
  <si>
    <t>502-3570</t>
  </si>
  <si>
    <t>4X4X2 COMB WYE &amp; 1/8 BEND 1PC DWV</t>
  </si>
  <si>
    <t>502-3571</t>
  </si>
  <si>
    <t>4X4X3 COMB WYE &amp; 1/8 BEND 1PC DWV</t>
  </si>
  <si>
    <t>504-3582</t>
  </si>
  <si>
    <t>6X6X4 COMBO WYE &amp; 1/8 BEND 2PC DWV</t>
  </si>
  <si>
    <t>507-3590</t>
  </si>
  <si>
    <t>1-1/2 DBL COMB WYE &amp; 1/8 BEND DWV</t>
  </si>
  <si>
    <t>507-3591</t>
  </si>
  <si>
    <t>2 DBL COMB WYE &amp; 1/8 BEND DWV</t>
  </si>
  <si>
    <t>507-3593</t>
  </si>
  <si>
    <t>3 DBL COMB WYE &amp; 1/8 BEND DWV</t>
  </si>
  <si>
    <t>507-3594</t>
  </si>
  <si>
    <t>4 DBL COMB WYE &amp; 1/8 BEND DWV</t>
  </si>
  <si>
    <t>600-3607</t>
  </si>
  <si>
    <t>1-1/2 WYE DWV</t>
  </si>
  <si>
    <t>600-3608</t>
  </si>
  <si>
    <t>2 WYE DWV</t>
  </si>
  <si>
    <t>600-3609</t>
  </si>
  <si>
    <t>3 WYE DWV</t>
  </si>
  <si>
    <t>600-3610</t>
  </si>
  <si>
    <t>4 WYE DWV</t>
  </si>
  <si>
    <t>600-3611</t>
  </si>
  <si>
    <t>6 WYE DWV</t>
  </si>
  <si>
    <t>601-3615</t>
  </si>
  <si>
    <t>2X1-1/2X1-1/2 WYE REDUCING DWV</t>
  </si>
  <si>
    <t>601-3616</t>
  </si>
  <si>
    <t>2X1-1/2X2 WYE REDUCING DWV</t>
  </si>
  <si>
    <t>601-3617</t>
  </si>
  <si>
    <t>2X2X1-1/2 WYE REDUCING DWV</t>
  </si>
  <si>
    <t>601-3618</t>
  </si>
  <si>
    <t>3X3X1-1/2 WYE REDUCING DWV</t>
  </si>
  <si>
    <t>601-3619</t>
  </si>
  <si>
    <t>3X3X2 WYE REDUCING DWV</t>
  </si>
  <si>
    <t>601-3620</t>
  </si>
  <si>
    <t>4X4X1-1/2 WYE REDUCING DWV</t>
  </si>
  <si>
    <t>601-3621</t>
  </si>
  <si>
    <t>4X4X2 WYE REDUCING DWV</t>
  </si>
  <si>
    <t>601-3622</t>
  </si>
  <si>
    <t>4X4X3 WYE REDUCING DWV</t>
  </si>
  <si>
    <t>601-3623</t>
  </si>
  <si>
    <t>6X6X3 WYE REDUCING DWV</t>
  </si>
  <si>
    <t>601-3624</t>
  </si>
  <si>
    <t>6X6X4 WYE REDUCING DWV</t>
  </si>
  <si>
    <t>602-3629</t>
  </si>
  <si>
    <t>1-1/2 WYE STREET SXHXH DWV</t>
  </si>
  <si>
    <t>602-3630</t>
  </si>
  <si>
    <t>2 WYE STREET SXHXH DWV</t>
  </si>
  <si>
    <t>602-3631</t>
  </si>
  <si>
    <t>3 WYE STREET SXHXH DWV</t>
  </si>
  <si>
    <t>602-3632</t>
  </si>
  <si>
    <t>4 WYE STREET SXHXH DWV</t>
  </si>
  <si>
    <t>603-3633</t>
  </si>
  <si>
    <t>3X3X1-1/2 WYE RED STREET SXHXH DWV</t>
  </si>
  <si>
    <t>603-3635</t>
  </si>
  <si>
    <t>4X4X2 WYE RED STREET SXHXH DWV</t>
  </si>
  <si>
    <t>603-3636</t>
  </si>
  <si>
    <t>4X4X3 WYE RED STREET SXHXH DWV</t>
  </si>
  <si>
    <t>611-3637</t>
  </si>
  <si>
    <t>1-1/2 DOUBLE WYE DWV</t>
  </si>
  <si>
    <t>611-3638</t>
  </si>
  <si>
    <t>2 DOUBLE WYE DWV</t>
  </si>
  <si>
    <t>611-3639</t>
  </si>
  <si>
    <t>3 DOUBLE WYE DWV</t>
  </si>
  <si>
    <t>611-3640</t>
  </si>
  <si>
    <t>4 DOUBLE WYE DWV</t>
  </si>
  <si>
    <t>611-3641</t>
  </si>
  <si>
    <t>6 DOUBLE WYE DWV</t>
  </si>
  <si>
    <t>612-0615</t>
  </si>
  <si>
    <t>6X6X4X4 DOUBLE WYE DWV</t>
  </si>
  <si>
    <t>612-3643</t>
  </si>
  <si>
    <t>2X2X1-1/2X1-1/2 DOUBLE WYE DWV</t>
  </si>
  <si>
    <t>612-3644</t>
  </si>
  <si>
    <t>3X3X1-1/2X1-1/2 DOUBLE WYE DWV</t>
  </si>
  <si>
    <t>612-3645</t>
  </si>
  <si>
    <t>3X3X2X2 DOUBLE WYE DWV</t>
  </si>
  <si>
    <t>612-3646</t>
  </si>
  <si>
    <t>4X4X2X2 DOUBLE WYE DWV</t>
  </si>
  <si>
    <t>612-3647</t>
  </si>
  <si>
    <t>4X4X3X3 DOUBLE WYE DWV</t>
  </si>
  <si>
    <t>700-3653</t>
  </si>
  <si>
    <t>1-1/2 RETURN BEND DWV</t>
  </si>
  <si>
    <t>700-3654</t>
  </si>
  <si>
    <t>2 RETURN BEND DWV</t>
  </si>
  <si>
    <t>700-3655</t>
  </si>
  <si>
    <t>3 RETURN BEND DWV</t>
  </si>
  <si>
    <t>700-3656</t>
  </si>
  <si>
    <t>4 RETURN BEND DWV</t>
  </si>
  <si>
    <t>706-X-3668</t>
  </si>
  <si>
    <t>1-1/2 PTRAP DWV</t>
  </si>
  <si>
    <t>706-X-3669</t>
  </si>
  <si>
    <t>2 PTRAP DWV</t>
  </si>
  <si>
    <t>706-X-3670</t>
  </si>
  <si>
    <t>3 PTRAP DWV</t>
  </si>
  <si>
    <t>706-X-3671</t>
  </si>
  <si>
    <t>4 PTRAP DWV</t>
  </si>
  <si>
    <t>707-X-3676</t>
  </si>
  <si>
    <t>1-1/2 PTRAP W/CO HXH DWV</t>
  </si>
  <si>
    <t>708-P-3681</t>
  </si>
  <si>
    <t>1-1/2 PTRAP HXH W/PLSTC NUT DWV</t>
  </si>
  <si>
    <t>708-P-3682</t>
  </si>
  <si>
    <t>2 PTRAP HXH W/PLSTC NUT DWV</t>
  </si>
  <si>
    <t>711-P-3694</t>
  </si>
  <si>
    <t>1-1/2 LA PATTERN PTRAP W/PL NUT SXH</t>
  </si>
  <si>
    <t>800-3703</t>
  </si>
  <si>
    <t>4X3 CLOSET FLANGE HUB DWV</t>
  </si>
  <si>
    <t>800-3704</t>
  </si>
  <si>
    <t>4 CLOSET FLANGE HUB DWV</t>
  </si>
  <si>
    <t>800-KO-3705</t>
  </si>
  <si>
    <t>4X3 CLOSET FLANGE W/KO H DWV</t>
  </si>
  <si>
    <t>800-KO-3706</t>
  </si>
  <si>
    <t>4 CLOSET FLANGE W/KO H DWV</t>
  </si>
  <si>
    <t>801-3707</t>
  </si>
  <si>
    <t>4X3 CLOSET FLANGE RED SPIGOT DWV</t>
  </si>
  <si>
    <t>811-3710</t>
  </si>
  <si>
    <t>4X3 CLOSET FLG W/ADJ MTL RNG H DWV</t>
  </si>
  <si>
    <t>811-3711</t>
  </si>
  <si>
    <t>4 CLOSET FLG W/ADJ MTL RNG H DWV</t>
  </si>
  <si>
    <t>812-3714</t>
  </si>
  <si>
    <t>4X3 CLOSET FLG ADJ MTL RNG SPG DWV</t>
  </si>
  <si>
    <t>812-3715</t>
  </si>
  <si>
    <t>4 CLOSET FLG W/ADJ MTL RNG SPG DWV</t>
  </si>
  <si>
    <t>815-3718</t>
  </si>
  <si>
    <t>4X3 FLUSH CLOSET FLANGE DWV</t>
  </si>
  <si>
    <t>815-3719</t>
  </si>
  <si>
    <t>4X3 FLUSH CLOSET FLANGE W/KO DWV</t>
  </si>
  <si>
    <t>820-3720</t>
  </si>
  <si>
    <t>4X3 OFFSET CLOS FLG W/ADJ MTL RNG H</t>
  </si>
  <si>
    <t>888-P-0003</t>
  </si>
  <si>
    <t>3 INSIDE FIT CLOSET FLANGE DWV</t>
  </si>
  <si>
    <t>401-005</t>
  </si>
  <si>
    <t>1/2 TEE SLIP X SLIP X SLIP</t>
  </si>
  <si>
    <t>401-007</t>
  </si>
  <si>
    <t>3/4 TEE SLIP X SLIP X SLIP</t>
  </si>
  <si>
    <t>401-010</t>
  </si>
  <si>
    <t>1 TEE SLIP X SLIP X SLIP</t>
  </si>
  <si>
    <t>401-015</t>
  </si>
  <si>
    <t>1-1/2 TEE SLIP X SLIP X SLIP</t>
  </si>
  <si>
    <t>401-020</t>
  </si>
  <si>
    <t>2 TEE SLIP X SLIP X SLIP</t>
  </si>
  <si>
    <t>401-025</t>
  </si>
  <si>
    <t>2-1/2 TEE SLIP X SLIP X SLIP</t>
  </si>
  <si>
    <t>401-030</t>
  </si>
  <si>
    <t>3 TEE SLIP X SLIP X SLIP</t>
  </si>
  <si>
    <t>401-040</t>
  </si>
  <si>
    <t>4 TEE SLIP X SLIP X SLIP</t>
  </si>
  <si>
    <t>401-050</t>
  </si>
  <si>
    <t>5 TEE SLIP X SLIP X SLIP</t>
  </si>
  <si>
    <t>401-060</t>
  </si>
  <si>
    <t>6 TEE SLIP X SLIP X SLIP</t>
  </si>
  <si>
    <t>401-080</t>
  </si>
  <si>
    <t>8 TEE SLIP X SLIP X SLIP</t>
  </si>
  <si>
    <t>401-101</t>
  </si>
  <si>
    <t>3/4X1/2 REDUCING TEE SXSXS</t>
  </si>
  <si>
    <t>401-102</t>
  </si>
  <si>
    <t>3/4X3/4X1 REDUCING TEE SXSXS</t>
  </si>
  <si>
    <t>401-130</t>
  </si>
  <si>
    <t>401-131</t>
  </si>
  <si>
    <t>401-166</t>
  </si>
  <si>
    <t>1-1/4X1-1/4X1/2 REDUCING TEE SXSXS</t>
  </si>
  <si>
    <t>401-167</t>
  </si>
  <si>
    <t>1-1/4X1-1/4X3/4 REDUCING TEE SXSXS</t>
  </si>
  <si>
    <t>401-209</t>
  </si>
  <si>
    <t>1-1/2X1-1/2X1/2 REDUCING TEE SXSXS</t>
  </si>
  <si>
    <t>401-210</t>
  </si>
  <si>
    <t>1-1/2X1-1/2X3/4 REDUCING TEE SXSXS</t>
  </si>
  <si>
    <t>401-211</t>
  </si>
  <si>
    <t>1-1/2X1-1/2X1 REDUCING TEE SXSXS</t>
  </si>
  <si>
    <t>401-213</t>
  </si>
  <si>
    <t>1-1/2X1-1/2X2 REDUCING TEE SXSXS</t>
  </si>
  <si>
    <t>401-247</t>
  </si>
  <si>
    <t>2X2X1/2 REDUCING TEE SXSXS</t>
  </si>
  <si>
    <t>401-248</t>
  </si>
  <si>
    <t>2X2X3/4 REDUCING TEE SXSXS</t>
  </si>
  <si>
    <t>401-249</t>
  </si>
  <si>
    <t>2X2X1 REDUCING TEE SXSXS</t>
  </si>
  <si>
    <t>401-251</t>
  </si>
  <si>
    <t>2X2X1-1/2 REDUCING TEE SXSXS</t>
  </si>
  <si>
    <t>401-289</t>
  </si>
  <si>
    <t>2-1/2X2-1/2X1 REDUCING TEE SXSXS</t>
  </si>
  <si>
    <t>401-334</t>
  </si>
  <si>
    <t>3X3X3/4 REDUCING TEE SXSXS</t>
  </si>
  <si>
    <t>401-335</t>
  </si>
  <si>
    <t>3X3X1 REDUCING TEE SXSXS</t>
  </si>
  <si>
    <t>401-336</t>
  </si>
  <si>
    <t>3X3X1-1/4 REDUCING TEE SXSXS</t>
  </si>
  <si>
    <t>401-337</t>
  </si>
  <si>
    <t>3X3X1-1/2 REDUCING TEE SXSXS</t>
  </si>
  <si>
    <t>401-338</t>
  </si>
  <si>
    <t>3X3X2 REDUCING TEE SXSXS</t>
  </si>
  <si>
    <t>401-416</t>
  </si>
  <si>
    <t>4X4X3/4 REDUCING TEE SXSXS</t>
  </si>
  <si>
    <t>401-417</t>
  </si>
  <si>
    <t>4X4X1 REDUCING TEE SXSXS</t>
  </si>
  <si>
    <t>401-418</t>
  </si>
  <si>
    <t>4X4X1-1/4 REDUCING TEE SXSXS</t>
  </si>
  <si>
    <t>401-420</t>
  </si>
  <si>
    <t>4X4X2 REDUCING TEE SXSXS</t>
  </si>
  <si>
    <t>401-422</t>
  </si>
  <si>
    <t>4X4X3 REDUCING TEE SXSXS</t>
  </si>
  <si>
    <t>401-486</t>
  </si>
  <si>
    <t>5X5X2 REDUCING TEE SXSXS</t>
  </si>
  <si>
    <t>401-490</t>
  </si>
  <si>
    <t>5X5X4 REDUCING TEE SXSXS</t>
  </si>
  <si>
    <t>401-528</t>
  </si>
  <si>
    <t>6X6X2 REDUCING TEE SXSXS</t>
  </si>
  <si>
    <t>401-530</t>
  </si>
  <si>
    <t>6X6X3 REDUCING TEE SXSXS</t>
  </si>
  <si>
    <t>401-532</t>
  </si>
  <si>
    <t>6X6X4 REDUCING TEE SXSXS</t>
  </si>
  <si>
    <t>401-578</t>
  </si>
  <si>
    <t>8X8X2 REDUCING TEE SXSXS</t>
  </si>
  <si>
    <t>401-580</t>
  </si>
  <si>
    <t>8X8X3 REDUCING TEE SXSXS</t>
  </si>
  <si>
    <t>401-582</t>
  </si>
  <si>
    <t>8X8X4 REDUCING TEE SXSXS</t>
  </si>
  <si>
    <t>401-585</t>
  </si>
  <si>
    <t>8X8X6 REDUCING TEE SXSXS</t>
  </si>
  <si>
    <t>402-005</t>
  </si>
  <si>
    <t>1/2 TEE SLIP X SLIP X FIPT</t>
  </si>
  <si>
    <t>402-007</t>
  </si>
  <si>
    <t>3/4 TEE SLIP X SLIP X FIPT</t>
  </si>
  <si>
    <t>402-010</t>
  </si>
  <si>
    <t>1 TEE SLIP X SLIP X FIPT</t>
  </si>
  <si>
    <t>402-015</t>
  </si>
  <si>
    <t>1-1/2 TEE SLIP X SLIP X FIPT</t>
  </si>
  <si>
    <t>402-020</t>
  </si>
  <si>
    <t>2 TEE SLIP X SLIP X FIPT</t>
  </si>
  <si>
    <t>402-030</t>
  </si>
  <si>
    <t>3 TEE SLIP X SLIP X FIPT</t>
  </si>
  <si>
    <t>402-040</t>
  </si>
  <si>
    <t>4 TEE SLIP X SLIP X FIPT</t>
  </si>
  <si>
    <t>402-071</t>
  </si>
  <si>
    <t>1/2X1/2X1/8 REDUCING TEE SXSXFIPT</t>
  </si>
  <si>
    <t>402-101</t>
  </si>
  <si>
    <t>3/4X3/4X1/2 REDUCING TEE SXSXFIPT</t>
  </si>
  <si>
    <t>402-130</t>
  </si>
  <si>
    <t>1X1X1/2 REDUCING TEE SXSXFIPT</t>
  </si>
  <si>
    <t>402-131</t>
  </si>
  <si>
    <t>1X1X3/4 REDUCING TEE SXSXFIPT</t>
  </si>
  <si>
    <t>402-166</t>
  </si>
  <si>
    <t>402-167</t>
  </si>
  <si>
    <t>402-168</t>
  </si>
  <si>
    <t>402-209</t>
  </si>
  <si>
    <t>402-210</t>
  </si>
  <si>
    <t>402-211</t>
  </si>
  <si>
    <t>402-247</t>
  </si>
  <si>
    <t>2X2X1/2 REDUCING TEE SXSXFIPT</t>
  </si>
  <si>
    <t>402-248</t>
  </si>
  <si>
    <t>2X2X3/4 REDUCING TEE SXSXFIPT</t>
  </si>
  <si>
    <t>402-249</t>
  </si>
  <si>
    <t>2X2X1 REDUCING TEE SXSXFIPT</t>
  </si>
  <si>
    <t>402-251</t>
  </si>
  <si>
    <t>2X2X1-1/2 REDUCING TEE SXSXFIPT</t>
  </si>
  <si>
    <t>402-335</t>
  </si>
  <si>
    <t>3X3X1 REDUCING TEE SXSXFIPT</t>
  </si>
  <si>
    <t>402-422</t>
  </si>
  <si>
    <t>4X4X3 REDUCING TEE SXSXFIPT</t>
  </si>
  <si>
    <t>402-528</t>
  </si>
  <si>
    <t>6X6X2 REDUCING TEE SXSXFIPT</t>
  </si>
  <si>
    <t>402-532</t>
  </si>
  <si>
    <t>6X6X4 REDUCING TEE SXSXFIPT</t>
  </si>
  <si>
    <t>402-582</t>
  </si>
  <si>
    <t>8X8X4 REDUCING TEE SXSXFIPT</t>
  </si>
  <si>
    <t>405-005</t>
  </si>
  <si>
    <t>1/2 TEE FIPT X FIPT X FIPT</t>
  </si>
  <si>
    <t>405-010</t>
  </si>
  <si>
    <t>1 TEE FIPT X FIPT X FIPT</t>
  </si>
  <si>
    <t>405-012</t>
  </si>
  <si>
    <t>1-1/4 TEE FIPT X FIPT X FIPT</t>
  </si>
  <si>
    <t>405-015</t>
  </si>
  <si>
    <t>1-1/2 TEE FIPT X FIPT X FIPT</t>
  </si>
  <si>
    <t>405-020</t>
  </si>
  <si>
    <t>2 TEE FIPT X FIPT X FIPT</t>
  </si>
  <si>
    <t>406-005</t>
  </si>
  <si>
    <t>1/2 90 ELL SLIP X SLIP</t>
  </si>
  <si>
    <t>406-007</t>
  </si>
  <si>
    <t>3/4 90 ELL SLIP X SLIP</t>
  </si>
  <si>
    <t>406-010</t>
  </si>
  <si>
    <t>1 90 ELL SLIP X SLIP</t>
  </si>
  <si>
    <t>406-012</t>
  </si>
  <si>
    <t>1-1/4 90 ELL SLIP X SLIP</t>
  </si>
  <si>
    <t>406-015</t>
  </si>
  <si>
    <t>1-1/2 90 ELL SLIP X SLIP</t>
  </si>
  <si>
    <t>406-020</t>
  </si>
  <si>
    <t>2 90 ELL SLIP X SLIP</t>
  </si>
  <si>
    <t>406-025</t>
  </si>
  <si>
    <t>2-1/2 90 ELL SLIP X SLIP</t>
  </si>
  <si>
    <t>406-030</t>
  </si>
  <si>
    <t>3 90 ELL SLIP X SLIP</t>
  </si>
  <si>
    <t>406-040</t>
  </si>
  <si>
    <t>4 90 ELL SLIP X SLIP</t>
  </si>
  <si>
    <t>406-050</t>
  </si>
  <si>
    <t>5 90 ELL SLIP X SLIP</t>
  </si>
  <si>
    <t>406-060</t>
  </si>
  <si>
    <t>6 90 ELL SLIP X SLIP</t>
  </si>
  <si>
    <t>406-080</t>
  </si>
  <si>
    <t>8 90 ELL SLIP X SLIP</t>
  </si>
  <si>
    <t>406-101</t>
  </si>
  <si>
    <t>3/4X1/2 90 REDUCING ELL SLIP X SLIP</t>
  </si>
  <si>
    <t>406-130</t>
  </si>
  <si>
    <t>1X1/2 90 REDUCING ELL SLIP X SLIP</t>
  </si>
  <si>
    <t>406-131</t>
  </si>
  <si>
    <t>1X3/4 90 REDUCING ELL SLIP X SLIP</t>
  </si>
  <si>
    <t>406-251</t>
  </si>
  <si>
    <t>2X1-1/2 90 REDUCING ELL SLIP X SLIP</t>
  </si>
  <si>
    <t>407-005</t>
  </si>
  <si>
    <t>1/2 90 ELL SLIP X FIPT</t>
  </si>
  <si>
    <t>407-010</t>
  </si>
  <si>
    <t>1 90 ELL SLIP X FIPT</t>
  </si>
  <si>
    <t>407-015</t>
  </si>
  <si>
    <t>1-1/2 90 ELL SLIP X FIPT</t>
  </si>
  <si>
    <t>407-020</t>
  </si>
  <si>
    <t>2 90 ELL SLIP X FIPT</t>
  </si>
  <si>
    <t>407-030</t>
  </si>
  <si>
    <t>3 90 ELL SLIP X FIPT</t>
  </si>
  <si>
    <t>407-040</t>
  </si>
  <si>
    <t>4 90 ELL SLIP X FIPT</t>
  </si>
  <si>
    <t>407-101</t>
  </si>
  <si>
    <t>3/4X1/2 90 REDUCING ELL SXFIPT</t>
  </si>
  <si>
    <t>407-130</t>
  </si>
  <si>
    <t>1X1/2 90 REDUCING ELL SXFIPT</t>
  </si>
  <si>
    <t>407-131</t>
  </si>
  <si>
    <t>1X3/4 90 REDUCING ELL SXFIPT</t>
  </si>
  <si>
    <t>407-211</t>
  </si>
  <si>
    <t>1-1/2X1 90 REDUCING ELL SLIPXFIPT</t>
  </si>
  <si>
    <t>408-005</t>
  </si>
  <si>
    <t>1/2 90 ELL FIPT X FIPT</t>
  </si>
  <si>
    <t>408-010</t>
  </si>
  <si>
    <t>1 90 ELL FIPT X FIPT</t>
  </si>
  <si>
    <t>408-015</t>
  </si>
  <si>
    <t>1-1/2 90 ELL FIPT X FIPT</t>
  </si>
  <si>
    <t>409-005</t>
  </si>
  <si>
    <t>1/2 90 STREET ELL SPGXSLIP</t>
  </si>
  <si>
    <t>409-007</t>
  </si>
  <si>
    <t>3/4 90 STREET ELL SPGXSLIP</t>
  </si>
  <si>
    <t>409-010</t>
  </si>
  <si>
    <t>1 90 STREET ELL SPGXSLIP</t>
  </si>
  <si>
    <t>409-012</t>
  </si>
  <si>
    <t>1-1/4 90 STREET ELL SPGXSLIP</t>
  </si>
  <si>
    <t>409-015</t>
  </si>
  <si>
    <t>1-1/2 90 STREET ELL SPGXSLIP</t>
  </si>
  <si>
    <t>409-020</t>
  </si>
  <si>
    <t>2 90 STREET ELL SPGXSLIP</t>
  </si>
  <si>
    <t>410-005</t>
  </si>
  <si>
    <t>1/2 90 STREET ELL MIPT X SLIP</t>
  </si>
  <si>
    <t>410-007</t>
  </si>
  <si>
    <t>3/4 90 STREET ELL MIPT X SLIP</t>
  </si>
  <si>
    <t>410-010</t>
  </si>
  <si>
    <t>1 90 STREET ELL MIPT X SLIP</t>
  </si>
  <si>
    <t>410-012</t>
  </si>
  <si>
    <t>1-1/4 90 STREET ELL MIPT X SLIP</t>
  </si>
  <si>
    <t>410-015</t>
  </si>
  <si>
    <t>1-1/2 90 STREET ELL MIPT X SLIP</t>
  </si>
  <si>
    <t>410-020</t>
  </si>
  <si>
    <t>2 90 STREET ELL MIPT X SLIP</t>
  </si>
  <si>
    <t>410-102</t>
  </si>
  <si>
    <t>3/4X1 90 RED STREET ELL MIPTXSLIP</t>
  </si>
  <si>
    <t>411-010</t>
  </si>
  <si>
    <t>1 90 STREET ELL SPGXFIPT</t>
  </si>
  <si>
    <t>412-005</t>
  </si>
  <si>
    <t>1/2 90 STREET ELL MIPT X FIPT</t>
  </si>
  <si>
    <t>412-006</t>
  </si>
  <si>
    <t>1/2 90 STREET ELL MIPT XFIPT MARLEX</t>
  </si>
  <si>
    <t>412-008</t>
  </si>
  <si>
    <t>3/4 90 STREET ELL MIPT XFIPT MARLEX</t>
  </si>
  <si>
    <t>412-010</t>
  </si>
  <si>
    <t>1 90 STREET ELL MIPT X FIPT</t>
  </si>
  <si>
    <t>412-011</t>
  </si>
  <si>
    <t>1 90 STREET ELL MIPT X FIPT MARLEX</t>
  </si>
  <si>
    <t>412-015</t>
  </si>
  <si>
    <t>1-1/2 90 STREET ELL MIPT XFIPT</t>
  </si>
  <si>
    <t>412-020</t>
  </si>
  <si>
    <t>2 90 STREET ELL MIPT X FIPT</t>
  </si>
  <si>
    <t>413-005</t>
  </si>
  <si>
    <t>1/2 SIDE OUTLET 90 ELL SXSXS</t>
  </si>
  <si>
    <t>413-007</t>
  </si>
  <si>
    <t>3/4 SIDE OUTLET 90 ELL SXSXS</t>
  </si>
  <si>
    <t>413-010</t>
  </si>
  <si>
    <t>1 SIDE OUTLET 90 ELL SXSXS</t>
  </si>
  <si>
    <t>414-101</t>
  </si>
  <si>
    <t>3/4X3/4X1/2 SIDE OUTLET 90 SXSXFIPT</t>
  </si>
  <si>
    <t>417-005</t>
  </si>
  <si>
    <t>1/2 45 ELL SLIP X SLIP</t>
  </si>
  <si>
    <t>417-007</t>
  </si>
  <si>
    <t>3/4 45 ELL SLIP X SLIP</t>
  </si>
  <si>
    <t>417-010</t>
  </si>
  <si>
    <t>1 45 ELL SLIP X SLIP</t>
  </si>
  <si>
    <t>417-012</t>
  </si>
  <si>
    <t>1-1/4 45 ELL SLIP X SLIP</t>
  </si>
  <si>
    <t>417-015</t>
  </si>
  <si>
    <t>1-1/2 45 ELL SLIP X SLIP</t>
  </si>
  <si>
    <t>417-020</t>
  </si>
  <si>
    <t>2 45 ELL SLIP X SLIP</t>
  </si>
  <si>
    <t>417-025</t>
  </si>
  <si>
    <t>2-1/2 45 ELL SLIP X SLIP</t>
  </si>
  <si>
    <t>417-030</t>
  </si>
  <si>
    <t>3 45 ELL SLIP X SLIP</t>
  </si>
  <si>
    <t>417-040</t>
  </si>
  <si>
    <t>4 45 ELL SLIP X SLIP</t>
  </si>
  <si>
    <t>417-050</t>
  </si>
  <si>
    <t>5 45 ELL SLIP X SLIP</t>
  </si>
  <si>
    <t>417-060</t>
  </si>
  <si>
    <t>6 45 ELL SLIP X SLIP</t>
  </si>
  <si>
    <t>417-080</t>
  </si>
  <si>
    <t>8 45 ELL SLIP X SLIP</t>
  </si>
  <si>
    <t>420-005</t>
  </si>
  <si>
    <t>1/2 CROSS SLIP</t>
  </si>
  <si>
    <t>420-007</t>
  </si>
  <si>
    <t>3/4 CROSS SLIP</t>
  </si>
  <si>
    <t>420-010</t>
  </si>
  <si>
    <t>1 CROSS SLIP</t>
  </si>
  <si>
    <t>420-020</t>
  </si>
  <si>
    <t>2 CROSS SLIP</t>
  </si>
  <si>
    <t>427-015</t>
  </si>
  <si>
    <t>1-1/2 45 ELL SPGX SLIP</t>
  </si>
  <si>
    <t>427-020</t>
  </si>
  <si>
    <t>2 45 ELL SPGX SLIP</t>
  </si>
  <si>
    <t>429-005</t>
  </si>
  <si>
    <t>1/2 COUPLING SLIP X SLIP</t>
  </si>
  <si>
    <t>429-007</t>
  </si>
  <si>
    <t>3/4 COUPLING SLIP X SLIP</t>
  </si>
  <si>
    <t>429-010</t>
  </si>
  <si>
    <t>1 COUPLING SLIP X SLIP</t>
  </si>
  <si>
    <t>429-012</t>
  </si>
  <si>
    <t>1-1/4 COUPLING SLIP X SLIP</t>
  </si>
  <si>
    <t>429-015</t>
  </si>
  <si>
    <t>1-1/2 COUPLING SLIP X SLIP</t>
  </si>
  <si>
    <t>429-020</t>
  </si>
  <si>
    <t>2 COUPLING SLIP X SLIP</t>
  </si>
  <si>
    <t>429-025</t>
  </si>
  <si>
    <t>2-1/2 COUPLING SLIP X SLIP</t>
  </si>
  <si>
    <t>429-030</t>
  </si>
  <si>
    <t>3 COUPLING SLIP X SLIP</t>
  </si>
  <si>
    <t>429-040</t>
  </si>
  <si>
    <t>4 COUPLING SLIP X SLIP</t>
  </si>
  <si>
    <t>429-050</t>
  </si>
  <si>
    <t>5 COUPLING SLIP X SLIP</t>
  </si>
  <si>
    <t>429-060</t>
  </si>
  <si>
    <t>6 COUPLING SLIP X SLIP</t>
  </si>
  <si>
    <t>429-080</t>
  </si>
  <si>
    <t>8 COUPLING SLIP X SLIP</t>
  </si>
  <si>
    <t>S429-015</t>
  </si>
  <si>
    <t>1-1/2 SHORT COUPLING SLIP X SLIP</t>
  </si>
  <si>
    <t>S429-020</t>
  </si>
  <si>
    <t>2 SHORT COUPLING SLIP X SLIP</t>
  </si>
  <si>
    <t>429-101</t>
  </si>
  <si>
    <t>3/4X1/2 REDUCER COUPLING S X S</t>
  </si>
  <si>
    <t>429-131</t>
  </si>
  <si>
    <t>1X3/4 REDUCER COUPLING S X S</t>
  </si>
  <si>
    <t>429-211</t>
  </si>
  <si>
    <t>1-1/2X1 REDUCER COUPLING S X S</t>
  </si>
  <si>
    <t>429-251</t>
  </si>
  <si>
    <t>2X1-1/2 REDUCER COUPLING S X S</t>
  </si>
  <si>
    <t>429-338</t>
  </si>
  <si>
    <t>3X2 REDUCER COUPLING S X S</t>
  </si>
  <si>
    <t>430-005GY</t>
  </si>
  <si>
    <t>1/2 THREADED COUPLING FXF GRAY</t>
  </si>
  <si>
    <t>430-005W</t>
  </si>
  <si>
    <t>1/2 THREADED COUPLING FXF WHITE</t>
  </si>
  <si>
    <t>430-007GY</t>
  </si>
  <si>
    <t>3/4 THREADED COUPLING FXF GRAY</t>
  </si>
  <si>
    <t>430-007W</t>
  </si>
  <si>
    <t>3/4 THREADED COUPLING FXF WHITE</t>
  </si>
  <si>
    <t>430-010GY</t>
  </si>
  <si>
    <t>1 THREADED COUPLING FXF GRAY</t>
  </si>
  <si>
    <t>430-010W</t>
  </si>
  <si>
    <t>1 THREADED COUPLING FXF WHITE</t>
  </si>
  <si>
    <t>430-012GY</t>
  </si>
  <si>
    <t>1-1/4 THREADED COUPLING FXF GRAY</t>
  </si>
  <si>
    <t>430-015GY</t>
  </si>
  <si>
    <t>1-1/2 THREADED COUPLING FXF GRAY</t>
  </si>
  <si>
    <t>430-020GY</t>
  </si>
  <si>
    <t>2 THREADED COUPLING FXF GRAY</t>
  </si>
  <si>
    <t>430-073W</t>
  </si>
  <si>
    <t>1/2X3/8 RED THREADED COUPLING FXF WHITE</t>
  </si>
  <si>
    <t>430-101</t>
  </si>
  <si>
    <t>3/4X1/2 RED THREADED COUPLING FXF</t>
  </si>
  <si>
    <t>430-131</t>
  </si>
  <si>
    <t>1X3/4 RED THREADED COUPLING FXF</t>
  </si>
  <si>
    <t>430-212</t>
  </si>
  <si>
    <t>1-1/2X1-1/4 RED THREAD COUPLING FXF</t>
  </si>
  <si>
    <t>430-251</t>
  </si>
  <si>
    <t>2X1-1/2 RED THREADED COUPLING FXF</t>
  </si>
  <si>
    <t>433-007</t>
  </si>
  <si>
    <t>3/4 MALE FITTING ADAPTER SPGX MIPT</t>
  </si>
  <si>
    <t>433-010</t>
  </si>
  <si>
    <t>1 MALE FITTING ADAPTER SPGX MIPT</t>
  </si>
  <si>
    <t>433-015</t>
  </si>
  <si>
    <t>1-1/2 MALE FITTING ADAPTER SPGXMIPT</t>
  </si>
  <si>
    <t>433-020</t>
  </si>
  <si>
    <t>2 MALE FITTING ADAPTER SPGX MIPT</t>
  </si>
  <si>
    <t>435-005</t>
  </si>
  <si>
    <t>1/2 FEMALE ADAPTER SLIP X FIPT</t>
  </si>
  <si>
    <t>435-007</t>
  </si>
  <si>
    <t>3/4 FEMALE ADAPTER SLIP X FIPT</t>
  </si>
  <si>
    <t>435-010</t>
  </si>
  <si>
    <t>1 FEMALE ADAPTER SLIP X FIPT</t>
  </si>
  <si>
    <t>435-012</t>
  </si>
  <si>
    <t>1-1/4 FEMALE ADAPTER SLIP X FIPT</t>
  </si>
  <si>
    <t>435-015</t>
  </si>
  <si>
    <t>1-1/2 FEMALE ADAPTER SLIP X FIPT</t>
  </si>
  <si>
    <t>435-020</t>
  </si>
  <si>
    <t>2 FEMALE ADAPTER SLIP X FIPT</t>
  </si>
  <si>
    <t>435-025</t>
  </si>
  <si>
    <t>2-1/2 FEMALE ADAPTER SLIP X FIPT</t>
  </si>
  <si>
    <t>435-030</t>
  </si>
  <si>
    <t>3 FEMALE ADAPTER SLIP X FIPT</t>
  </si>
  <si>
    <t>435-040</t>
  </si>
  <si>
    <t>4 FEMALE ADAPTER SLIP X FIPT</t>
  </si>
  <si>
    <t>435-074</t>
  </si>
  <si>
    <t>1/2X3/4 RED FEM ADAPTER SLIPXFIPT</t>
  </si>
  <si>
    <t>435-101</t>
  </si>
  <si>
    <t>3/4X1/2 RED FEM ADAPTER SLIPXFIPT</t>
  </si>
  <si>
    <t>435-130</t>
  </si>
  <si>
    <t>1X1/2 RED FEM ADAPTER SLIPXFIPT</t>
  </si>
  <si>
    <t>435-131</t>
  </si>
  <si>
    <t>1X3/4 RED FEM ADAPTER SLIPXFIPT</t>
  </si>
  <si>
    <t>435-213</t>
  </si>
  <si>
    <t>1-1/2X2 RED FEM ADAPTER SLIPXFIPT</t>
  </si>
  <si>
    <t>436-005</t>
  </si>
  <si>
    <t>1/2 MALE ADAPTER MIPT X SLIP</t>
  </si>
  <si>
    <t>436-007</t>
  </si>
  <si>
    <t>3/4 MALE ADAPTER MIPT X SLIP</t>
  </si>
  <si>
    <t>436-010</t>
  </si>
  <si>
    <t>1 MALE ADAPTER MIPT X SLIP</t>
  </si>
  <si>
    <t>436-012</t>
  </si>
  <si>
    <t>1-1/4 MALE ADAPTER MIPT X SLIP</t>
  </si>
  <si>
    <t>436-015</t>
  </si>
  <si>
    <t>1-1/2 MALE ADAPTER MIPT X SLIP</t>
  </si>
  <si>
    <t>436-020</t>
  </si>
  <si>
    <t>2 MALE ADAPTER MIPT X SLIP</t>
  </si>
  <si>
    <t>436-030</t>
  </si>
  <si>
    <t>3 MALE ADAPTER MIPT X SLIP</t>
  </si>
  <si>
    <t>436-040</t>
  </si>
  <si>
    <t>4 MALE ADAPTER MIPT X SLIP</t>
  </si>
  <si>
    <t>436-045</t>
  </si>
  <si>
    <t>1/4X1/2 RED MALE ADAPTER MIPT X S</t>
  </si>
  <si>
    <t>436-074</t>
  </si>
  <si>
    <t>1/2X3/4 RED MALE ADAPTER MIPT X S</t>
  </si>
  <si>
    <t>436-075</t>
  </si>
  <si>
    <t>1/2X1 RED MALE ADAPTER MIPT X S</t>
  </si>
  <si>
    <t>436-101</t>
  </si>
  <si>
    <t>3/4X1/2 RED MALE ADAPTER MIPT X S</t>
  </si>
  <si>
    <t>436-102</t>
  </si>
  <si>
    <t>3/4X1 RED MALE ADAPTER MIPT X S</t>
  </si>
  <si>
    <t>436-130-2</t>
  </si>
  <si>
    <t>1X1/2 RED MALE ADAPTER MIPT X S</t>
  </si>
  <si>
    <t>436-131</t>
  </si>
  <si>
    <t>1X3/4 RED MALE ADAPTER MIPT X S</t>
  </si>
  <si>
    <t>436-132</t>
  </si>
  <si>
    <t>1x1-1/4 RED MALE ADAPTER MIPTXS</t>
  </si>
  <si>
    <t>436-168</t>
  </si>
  <si>
    <t>1-1/4X1 RED MALE ADAPTER MIPT X S</t>
  </si>
  <si>
    <t>436-169</t>
  </si>
  <si>
    <t>1-1/4X1-1/2 RED MALE ADAPT MIPTXS</t>
  </si>
  <si>
    <t>436-211-2</t>
  </si>
  <si>
    <t>1-1/2X1 RED MALE ADAPTER MIPT X S</t>
  </si>
  <si>
    <t>436-212</t>
  </si>
  <si>
    <t>1-1/2X1-1/4 RED MALE ADAPTER MXS</t>
  </si>
  <si>
    <t>436-213</t>
  </si>
  <si>
    <t>1-1/2X2 RED MALE ADAPTER MXS</t>
  </si>
  <si>
    <t>436-251-2</t>
  </si>
  <si>
    <t>2X1-1/2 RED MALE ADAPTER MIPTXS</t>
  </si>
  <si>
    <t>436-341</t>
  </si>
  <si>
    <t>3X4 REDUCING MALE ADAPTER MIPT X S</t>
  </si>
  <si>
    <t>437-101</t>
  </si>
  <si>
    <t>3/4X1/2 REDUCER BUSHING SPGX SLIP</t>
  </si>
  <si>
    <t>437-130</t>
  </si>
  <si>
    <t>1X1/2 REDUCER BUSHING SPGX SLIP</t>
  </si>
  <si>
    <t>437-131</t>
  </si>
  <si>
    <t>1X3/4 REDUCER BUSHING SPGX SLIP</t>
  </si>
  <si>
    <t>437-167</t>
  </si>
  <si>
    <t>1-1/4X3/4 RED BUSHING SPGX SLIP</t>
  </si>
  <si>
    <t>437-168</t>
  </si>
  <si>
    <t>1-1/4X1 RED BUSHING SPGX SLIP</t>
  </si>
  <si>
    <t>437-209</t>
  </si>
  <si>
    <t>1-1/2X1/2 REDUCER BUSHING SPGX S</t>
  </si>
  <si>
    <t>437-210</t>
  </si>
  <si>
    <t>1-1/2X3/4 REDUCER BUSHING SPGX S</t>
  </si>
  <si>
    <t>437-211</t>
  </si>
  <si>
    <t>1-1/2X1 REDUCER BUSHING SPGXSLIP</t>
  </si>
  <si>
    <t>437-212</t>
  </si>
  <si>
    <t>1-1/2X1-1/4 RED BUSHING SPGXS</t>
  </si>
  <si>
    <t>437-247</t>
  </si>
  <si>
    <t>2X1/2 REDUCER BUSHING SPGX S</t>
  </si>
  <si>
    <t>437-248</t>
  </si>
  <si>
    <t>2X3/4 REDUCER BUSHING SPGX S</t>
  </si>
  <si>
    <t>437-249</t>
  </si>
  <si>
    <t>2X1 REDUCER BUSHING SPGX S</t>
  </si>
  <si>
    <t>437-251</t>
  </si>
  <si>
    <t>2X1-1/2 REDUCER BUSHING SPGX S</t>
  </si>
  <si>
    <t>437-288</t>
  </si>
  <si>
    <t>2-1/2X3/4 REDUCER BUSHING SPGX S</t>
  </si>
  <si>
    <t>437-291</t>
  </si>
  <si>
    <t>2-1/2X1-1/2 RED BUSHING SPGX SLIP</t>
  </si>
  <si>
    <t>437-292</t>
  </si>
  <si>
    <t>2-1/2X2 REDUCER BUSHING SPGX SLIP</t>
  </si>
  <si>
    <t>437-335</t>
  </si>
  <si>
    <t>3X1 REDUCER BUSHING SPGX SLIP</t>
  </si>
  <si>
    <t>437-337</t>
  </si>
  <si>
    <t>3X1-1/2 REDUCER BUSHING SPGX SLIP</t>
  </si>
  <si>
    <t>437-338</t>
  </si>
  <si>
    <t>3X2 REDUCER BUSHING SPGX SLIP</t>
  </si>
  <si>
    <t>437-339</t>
  </si>
  <si>
    <t>3X2-1/2 REDUCER BUSHING SPGX SLIP</t>
  </si>
  <si>
    <t>437-420</t>
  </si>
  <si>
    <t>4X2 REDUCER BUSHING SPGX SLIP</t>
  </si>
  <si>
    <t>437-422</t>
  </si>
  <si>
    <t>4X3 REDUCER BUSHING SPGX SLIP</t>
  </si>
  <si>
    <t>437-488</t>
  </si>
  <si>
    <t>5X3 REDUCER BUSHING SPGX SLIP</t>
  </si>
  <si>
    <t>437-490</t>
  </si>
  <si>
    <t>5X4 REDUCER BUSHING SPGX SLIP</t>
  </si>
  <si>
    <t>437-528</t>
  </si>
  <si>
    <t>6X2 REDUCER BUSHING SPGX SLIP</t>
  </si>
  <si>
    <t>437-530</t>
  </si>
  <si>
    <t>6X3 REDUCER BUSHING SPGX SLIP</t>
  </si>
  <si>
    <t>437-532</t>
  </si>
  <si>
    <t>6X4 REDUCER BUSHING SPGX SLIP</t>
  </si>
  <si>
    <t>437-534</t>
  </si>
  <si>
    <t>6X5 REDUCER BUSHING SPGX SLIP</t>
  </si>
  <si>
    <t>437-578</t>
  </si>
  <si>
    <t>8X2 REDUCER BUSHING SPGX SLIP</t>
  </si>
  <si>
    <t>437-582</t>
  </si>
  <si>
    <t>8X4 REDUCER BUSHING SPGX SLIP</t>
  </si>
  <si>
    <t>437-585</t>
  </si>
  <si>
    <t>8X6 REDUCER BUSHING SPGX SLIP</t>
  </si>
  <si>
    <t>438-071</t>
  </si>
  <si>
    <t>1/2X1/8 REDUCER BUSHING SPGX FIPT</t>
  </si>
  <si>
    <t>438-072</t>
  </si>
  <si>
    <t>1/2X1/4 REDUCER BUSHING SPGX FIPT</t>
  </si>
  <si>
    <t>438-073</t>
  </si>
  <si>
    <t>1/2X3/8 REDUCER BUSHING SPGX FIPT</t>
  </si>
  <si>
    <t>438-098</t>
  </si>
  <si>
    <t>3/4X1/4 REDUCER BUSHING SPGX FIPT</t>
  </si>
  <si>
    <t>438-101</t>
  </si>
  <si>
    <t>3/4X1/2 REDUCER BUSHING SPGX FIPT</t>
  </si>
  <si>
    <t>438-128</t>
  </si>
  <si>
    <t>1X1/4 REDUCER BUSHING SPGX FIPT</t>
  </si>
  <si>
    <t>438-130</t>
  </si>
  <si>
    <t>1X1/2 REDUCER BUSHING SPGX FIPT</t>
  </si>
  <si>
    <t>438-131</t>
  </si>
  <si>
    <t>1X3/4 REDUCER BUSHING SPGX FIPT</t>
  </si>
  <si>
    <t>438-166</t>
  </si>
  <si>
    <t>1-1/4X1/2 RED BUSHING SPGX FIPT</t>
  </si>
  <si>
    <t>438-167</t>
  </si>
  <si>
    <t>1-1/4X3/4 RED BUSHING SPGX FIPT</t>
  </si>
  <si>
    <t>438-168</t>
  </si>
  <si>
    <t>1-1/4X1 RED BUSHING SPGX FIPT</t>
  </si>
  <si>
    <t>438-209</t>
  </si>
  <si>
    <t>1-1/2X1/2 RED BUSHING SPGX FIPT</t>
  </si>
  <si>
    <t>438-210</t>
  </si>
  <si>
    <t>1-1/2X3/4 RED BUSHING SPGX FIPT</t>
  </si>
  <si>
    <t>438-211</t>
  </si>
  <si>
    <t>1-1/2X1 REDUCER BUSHING SPGX FIPT</t>
  </si>
  <si>
    <t>438-212</t>
  </si>
  <si>
    <t>1-1/2X1-1/4 RED BUSHING SPGX FIPT</t>
  </si>
  <si>
    <t>438-247</t>
  </si>
  <si>
    <t>2X1/2 REDUCER BUSHING SPGX FIPT</t>
  </si>
  <si>
    <t>438-248</t>
  </si>
  <si>
    <t>2X3/4 REDUCER BUSHING SPGX FIPT</t>
  </si>
  <si>
    <t>438-249</t>
  </si>
  <si>
    <t>2X1 REDUCER BUSHING SPGX FIPT</t>
  </si>
  <si>
    <t>438-250</t>
  </si>
  <si>
    <t>2X1-1/4 REDUCER BUSHING SPGX FIPT</t>
  </si>
  <si>
    <t>438-251</t>
  </si>
  <si>
    <t>2X1-1/2 REDUCER BUSHING SPGX FIPT</t>
  </si>
  <si>
    <t>438-335</t>
  </si>
  <si>
    <t>3X1 REDUCER BUSHING SPGX FIPT</t>
  </si>
  <si>
    <t>438-338</t>
  </si>
  <si>
    <t>3X2 REDUCER BUSHING SPGX FIPT</t>
  </si>
  <si>
    <t>438-417</t>
  </si>
  <si>
    <t>4X1 REDUCER BUSHING SPGX FIPT</t>
  </si>
  <si>
    <t>438-420</t>
  </si>
  <si>
    <t>4X2 REDUCER BUSHING SPGX FIPT</t>
  </si>
  <si>
    <t>438-422</t>
  </si>
  <si>
    <t>4X3 REDUCER BUSHING SPGX FIPT</t>
  </si>
  <si>
    <t>439-072</t>
  </si>
  <si>
    <t>1/2X1/4 REDUCER BUSHING MIPTXFIPT</t>
  </si>
  <si>
    <t>439-073</t>
  </si>
  <si>
    <t>1/2X3/8 REDUCER BUSHING MIPTXFIPT</t>
  </si>
  <si>
    <t>439-101</t>
  </si>
  <si>
    <t>3/4X1/2 RED BUSHING MIPT X FIPT</t>
  </si>
  <si>
    <t>439-130</t>
  </si>
  <si>
    <t>1X1/2 REDUCER BUSHING MIPT X FIPT</t>
  </si>
  <si>
    <t>439-131</t>
  </si>
  <si>
    <t>1X3/4 REDUCER BUSHING MIPT X FIPT</t>
  </si>
  <si>
    <t>439-167</t>
  </si>
  <si>
    <t>1-1/4X3/4 RED BUSHING MIPT X FIPT</t>
  </si>
  <si>
    <t>439-168</t>
  </si>
  <si>
    <t>1-1/4X1 REDUCER BUSHING MIPTXFIPT</t>
  </si>
  <si>
    <t>439-209</t>
  </si>
  <si>
    <t>1-1/2X1/2 RED BUSHING MIPTXFIPT</t>
  </si>
  <si>
    <t>439-210</t>
  </si>
  <si>
    <t>1-1/2X3/4 RED BUSHING MIPT X FIPT</t>
  </si>
  <si>
    <t>439-211</t>
  </si>
  <si>
    <t>1-1/2X1 RED BUSHING MIPT X FIPT</t>
  </si>
  <si>
    <t>439-212</t>
  </si>
  <si>
    <t>1-1/2X1-1/4 RED BUSHING MIPTXFIPT</t>
  </si>
  <si>
    <t>439-251</t>
  </si>
  <si>
    <t>2X1-1/2 REDUCER BUSHING MIPTXFIPT</t>
  </si>
  <si>
    <t>447-005</t>
  </si>
  <si>
    <t>1/2 CAP SLIP</t>
  </si>
  <si>
    <t>447-007</t>
  </si>
  <si>
    <t>3/4 CAP SLIP</t>
  </si>
  <si>
    <t>447-010</t>
  </si>
  <si>
    <t>1 CAP SLIP</t>
  </si>
  <si>
    <t>447-012</t>
  </si>
  <si>
    <t>1-1/4 CAP SLIP</t>
  </si>
  <si>
    <t>447-015</t>
  </si>
  <si>
    <t>1-1/2 CAP SLIP</t>
  </si>
  <si>
    <t>447-020</t>
  </si>
  <si>
    <t>2 CAP SLIP</t>
  </si>
  <si>
    <t>447-025</t>
  </si>
  <si>
    <t>2-1/2 CAP SLIP</t>
  </si>
  <si>
    <t>447-030</t>
  </si>
  <si>
    <t>3 CAP SLIP</t>
  </si>
  <si>
    <t>447-040</t>
  </si>
  <si>
    <t>4 CAP SLIP</t>
  </si>
  <si>
    <t>447-050</t>
  </si>
  <si>
    <t>5 CAP SLIP</t>
  </si>
  <si>
    <t>447-060</t>
  </si>
  <si>
    <t>6 CAP SLIP</t>
  </si>
  <si>
    <t>447-080</t>
  </si>
  <si>
    <t>8 CAP SLIP</t>
  </si>
  <si>
    <t>448-005</t>
  </si>
  <si>
    <t>1/2 CAP FIPT</t>
  </si>
  <si>
    <t>448-007</t>
  </si>
  <si>
    <t>3/4 CAP FIPT</t>
  </si>
  <si>
    <t>448-010</t>
  </si>
  <si>
    <t>1 CAP FIPT</t>
  </si>
  <si>
    <t>448-012</t>
  </si>
  <si>
    <t>1-1/4 CAP FIPT</t>
  </si>
  <si>
    <t>448-015</t>
  </si>
  <si>
    <t>1-1/2 CAP FIPT</t>
  </si>
  <si>
    <t>448-020</t>
  </si>
  <si>
    <t>2 CAP FIPT</t>
  </si>
  <si>
    <t>448-025</t>
  </si>
  <si>
    <t>2-1/2 CAP FIPT</t>
  </si>
  <si>
    <t>448-030</t>
  </si>
  <si>
    <t>3 CAP FIPT</t>
  </si>
  <si>
    <t>448-040</t>
  </si>
  <si>
    <t>4 CAP FIPT</t>
  </si>
  <si>
    <t>449-005</t>
  </si>
  <si>
    <t>1/2 SPIGOT PLUG</t>
  </si>
  <si>
    <t>449-007</t>
  </si>
  <si>
    <t>3/4 SPIGOT PLUG</t>
  </si>
  <si>
    <t>449-010</t>
  </si>
  <si>
    <t>1 SPIGOT PLUG</t>
  </si>
  <si>
    <t>449-015</t>
  </si>
  <si>
    <t>1-1/2 SPIGOT PLUG</t>
  </si>
  <si>
    <t>449-020</t>
  </si>
  <si>
    <t>2 SPIGOT PLUG</t>
  </si>
  <si>
    <t>449-040</t>
  </si>
  <si>
    <t>4 SPIGOT PLUG</t>
  </si>
  <si>
    <t>450-002</t>
  </si>
  <si>
    <t>1/4 PLUG MIPT</t>
  </si>
  <si>
    <t>450-005</t>
  </si>
  <si>
    <t>1/2 PLUG MIPT</t>
  </si>
  <si>
    <t>450-007</t>
  </si>
  <si>
    <t>3/4 PLUG MIPT</t>
  </si>
  <si>
    <t>450-010</t>
  </si>
  <si>
    <t>1 PLUG MIPT</t>
  </si>
  <si>
    <t>450-012</t>
  </si>
  <si>
    <t>1-1/4 PLUG MIPT</t>
  </si>
  <si>
    <t>450-015</t>
  </si>
  <si>
    <t>1-1/2 PLUG MIPT</t>
  </si>
  <si>
    <t>450-020</t>
  </si>
  <si>
    <t>2 PLUG MIPT</t>
  </si>
  <si>
    <t>450-030</t>
  </si>
  <si>
    <t>3 PLUG MIPT</t>
  </si>
  <si>
    <t>457-005</t>
  </si>
  <si>
    <t>1/2 UNION SLIP X SLIP</t>
  </si>
  <si>
    <t>457-007</t>
  </si>
  <si>
    <t>3/4 UNION SLIP X SLIP</t>
  </si>
  <si>
    <t>457-010</t>
  </si>
  <si>
    <t>1 UNION SLIP X SLIP</t>
  </si>
  <si>
    <t>457-012</t>
  </si>
  <si>
    <t>1-1/4 UNION SLIP X SLIP</t>
  </si>
  <si>
    <t>457-015</t>
  </si>
  <si>
    <t>1-1/2 UNION SLIP X SLIP</t>
  </si>
  <si>
    <t>457-020</t>
  </si>
  <si>
    <t>2 UNION SLIP X SLIP</t>
  </si>
  <si>
    <t>457-025</t>
  </si>
  <si>
    <t>2-1/2 UNION SLIP X SLIP</t>
  </si>
  <si>
    <t>457-030</t>
  </si>
  <si>
    <t>3 UNION SLIP X SLIP</t>
  </si>
  <si>
    <t>457-040</t>
  </si>
  <si>
    <t>4 UNION SLIP X SLIP</t>
  </si>
  <si>
    <t>458-005</t>
  </si>
  <si>
    <t>1/2 UNION FIPT X FIPT</t>
  </si>
  <si>
    <t>458-007</t>
  </si>
  <si>
    <t>3/4 UNION FIPT X FIPT</t>
  </si>
  <si>
    <t>458-010</t>
  </si>
  <si>
    <t>1 UNION FIPT X FIPT</t>
  </si>
  <si>
    <t>458-012</t>
  </si>
  <si>
    <t>1-1/4 UNION FIPT X FIPT</t>
  </si>
  <si>
    <t>458-015</t>
  </si>
  <si>
    <t>1-1/2 UNION FIPT X FIPT</t>
  </si>
  <si>
    <t>458-020</t>
  </si>
  <si>
    <t>2 UNION FIPT X FIPT</t>
  </si>
  <si>
    <t>458-030</t>
  </si>
  <si>
    <t>3 UNION FIPT X FIPT</t>
  </si>
  <si>
    <t>459-015</t>
  </si>
  <si>
    <t>1-1/2 UNION SLIP X FIPT</t>
  </si>
  <si>
    <t>459-020</t>
  </si>
  <si>
    <t>2 UNION SLIP X FIPT</t>
  </si>
  <si>
    <t>463-007</t>
  </si>
  <si>
    <t>3/4 SNAP TEE SNAPXSLIP</t>
  </si>
  <si>
    <t>463-010</t>
  </si>
  <si>
    <t>1 SNAP TEE SNAPXSLIP</t>
  </si>
  <si>
    <t>463-015</t>
  </si>
  <si>
    <t>1-1/2 SNAP TEE SNAPXSLIP</t>
  </si>
  <si>
    <t>463-030</t>
  </si>
  <si>
    <t>3 SNAP TEE SNAPXSLIP</t>
  </si>
  <si>
    <t>463-040</t>
  </si>
  <si>
    <t>4 SNAP TEE SNAPXSLIP</t>
  </si>
  <si>
    <t>463-130</t>
  </si>
  <si>
    <t>1X1/2 SNAP TEE SNAPXSLIP</t>
  </si>
  <si>
    <t>464-101</t>
  </si>
  <si>
    <t>3/4X1/2 SNAP TEE SNAP X FIPT</t>
  </si>
  <si>
    <t>464-130</t>
  </si>
  <si>
    <t>1X1/2 SNAP TEE SNAP X FIPT</t>
  </si>
  <si>
    <t>474-015</t>
  </si>
  <si>
    <t>1-1/2 INSERT FITG ADAPTER INSXSLIP</t>
  </si>
  <si>
    <t>474-020</t>
  </si>
  <si>
    <t>2 INSERT FITTING ADAPTER INSXSLIP</t>
  </si>
  <si>
    <t>475-010</t>
  </si>
  <si>
    <t>1 MANIFOLD TEE SLIPXSPGXMIPT</t>
  </si>
  <si>
    <t>475-131</t>
  </si>
  <si>
    <t>1X1X3/4 MANIFOLD TEE SLIPXSPGXMIPT</t>
  </si>
  <si>
    <t>476-010</t>
  </si>
  <si>
    <t>1 MANIFOLD TEE SLIPXSPGXFIPT</t>
  </si>
  <si>
    <t>477-020</t>
  </si>
  <si>
    <t>2 WYE SLIP X SLIP X SLIP</t>
  </si>
  <si>
    <t>477-040</t>
  </si>
  <si>
    <t>4 WYE SLIP X SLIP X SLIP</t>
  </si>
  <si>
    <t>477-060</t>
  </si>
  <si>
    <t>6 WYE SLIP X SLIP X SLIP</t>
  </si>
  <si>
    <t>478-007</t>
  </si>
  <si>
    <t>3/4 FEM FITTING ADAPTER SPG X FIPT</t>
  </si>
  <si>
    <t>478-010</t>
  </si>
  <si>
    <t>1 FEMALE FITTING ADAPTER SPG X FIPT</t>
  </si>
  <si>
    <t>478-020</t>
  </si>
  <si>
    <t>2 FEMALE FITTING ADAPTER SPG X FIPT</t>
  </si>
  <si>
    <t>478-040</t>
  </si>
  <si>
    <t>4 FEMALE FITTING ADAPTER SPG X FIPT</t>
  </si>
  <si>
    <t>479-020</t>
  </si>
  <si>
    <t>2 EXTRA DEEP COUPLING SLIP X SLIP</t>
  </si>
  <si>
    <t>479-030</t>
  </si>
  <si>
    <t>3 EXTRA DEEP COUPLING SLIP X SLIP</t>
  </si>
  <si>
    <t>479-040</t>
  </si>
  <si>
    <t>4 EXTRA DEEP COUPLING SLIP X SLIP</t>
  </si>
  <si>
    <t>488-007</t>
  </si>
  <si>
    <t xml:space="preserve">3/4 RUNNING TRAP </t>
  </si>
  <si>
    <t>489-007</t>
  </si>
  <si>
    <t xml:space="preserve">3/4 P TRAP </t>
  </si>
  <si>
    <t>401-100</t>
  </si>
  <si>
    <t>10 TEE SLIP X SLIP X SLIP</t>
  </si>
  <si>
    <t>401-120</t>
  </si>
  <si>
    <t>12 TEE SLIP X SLIP X SLIP</t>
  </si>
  <si>
    <t>406-100</t>
  </si>
  <si>
    <t>10 90 ELL SLIP X SLIP</t>
  </si>
  <si>
    <t>406-120</t>
  </si>
  <si>
    <t>12 90 ELL SLIP X SLIP</t>
  </si>
  <si>
    <t>417-100</t>
  </si>
  <si>
    <t>10 45 ELL SLIP X SLIP</t>
  </si>
  <si>
    <t>417-120</t>
  </si>
  <si>
    <t>12 45 ELL SLIP X SLIP</t>
  </si>
  <si>
    <t>429-100</t>
  </si>
  <si>
    <t>10 COUPLING SLIP X SLIP</t>
  </si>
  <si>
    <t>437-626</t>
  </si>
  <si>
    <t>10X6 REDUCER BUSHING SPGX SLIP</t>
  </si>
  <si>
    <t>437-628</t>
  </si>
  <si>
    <t>10X8 REDUCER BUSHING SPGX SLIP</t>
  </si>
  <si>
    <t>437-666</t>
  </si>
  <si>
    <t>12X6 REDUCER BUSHING SPGX SLIP</t>
  </si>
  <si>
    <t>437-668</t>
  </si>
  <si>
    <t>12X8 REDUCER BUSHING SPGX SLIP</t>
  </si>
  <si>
    <t>437-670</t>
  </si>
  <si>
    <t>12X10 REDUCER BUSHING SPGX SLIP</t>
  </si>
  <si>
    <t>447-100</t>
  </si>
  <si>
    <t>10 CAP SLIP</t>
  </si>
  <si>
    <t>447-120</t>
  </si>
  <si>
    <t>12 CAP SLIP</t>
  </si>
  <si>
    <t>406-015SW</t>
  </si>
  <si>
    <t>1-1/2 SLIP X SLIP POOL SWP ELL</t>
  </si>
  <si>
    <t>406-020SW</t>
  </si>
  <si>
    <t>2 SLIP X SLIP POOL SWP ELL</t>
  </si>
  <si>
    <t>409-015SW</t>
  </si>
  <si>
    <t>1-1/2 SLIP X SPGT POOL SWP ELL</t>
  </si>
  <si>
    <t>409-020SW</t>
  </si>
  <si>
    <t>2 SLIP X SPGT POOL SWP ELL</t>
  </si>
  <si>
    <t>PX-010</t>
  </si>
  <si>
    <t>1 PIPE EXTENDER (SPG X PIPE ID)</t>
  </si>
  <si>
    <t>PX-015</t>
  </si>
  <si>
    <t>1-1/2 PIPE EXTENDER (SPG X PIPE ID)</t>
  </si>
  <si>
    <t>PX-020</t>
  </si>
  <si>
    <t>2 PIPE EXTENDER (SPG X PIPE ID)</t>
  </si>
  <si>
    <t>801-002</t>
  </si>
  <si>
    <t>1/4 TEE SXSXS SCH80</t>
  </si>
  <si>
    <t>801-003</t>
  </si>
  <si>
    <t>3/8 TEE SXSXS SCH80</t>
  </si>
  <si>
    <t>801-005</t>
  </si>
  <si>
    <t>1/2 TEE SXSXS SCH80</t>
  </si>
  <si>
    <t>801-007</t>
  </si>
  <si>
    <t>3/4 TEE SXSXS SCH80</t>
  </si>
  <si>
    <t>801-010</t>
  </si>
  <si>
    <t>1 TEE SXSXS SCH80</t>
  </si>
  <si>
    <t>801-012</t>
  </si>
  <si>
    <t>1-1/4 TEE SXSXS SCH80</t>
  </si>
  <si>
    <t>801-015</t>
  </si>
  <si>
    <t>1-1/2 TEE SXSXS SCH80</t>
  </si>
  <si>
    <t>801-020</t>
  </si>
  <si>
    <t>2 TEE SXSXS SCH80</t>
  </si>
  <si>
    <t>801-025</t>
  </si>
  <si>
    <t>2-1/2 TEE SXSXS SCH80</t>
  </si>
  <si>
    <t>801-030</t>
  </si>
  <si>
    <t>3 TEE SXSXS SCH80</t>
  </si>
  <si>
    <t>801-040</t>
  </si>
  <si>
    <t>4 TEE SXSXS SCH80</t>
  </si>
  <si>
    <t>801-060</t>
  </si>
  <si>
    <t>6 TEE SXSXS SCH80</t>
  </si>
  <si>
    <t>801-080</t>
  </si>
  <si>
    <t>8 TEE SXSXS SCH80</t>
  </si>
  <si>
    <t>805-002</t>
  </si>
  <si>
    <t>1/4 TEE FIPTXFIPTXFIPT SCH80</t>
  </si>
  <si>
    <t>805-003</t>
  </si>
  <si>
    <t>3/8 TEE FIPTXFIPTXFIPT SCH80</t>
  </si>
  <si>
    <t>805-005</t>
  </si>
  <si>
    <t>1/2 TEE FIPTXFIPTXFIPT SCH80</t>
  </si>
  <si>
    <t>805-007</t>
  </si>
  <si>
    <t>3/4 TEE FIPTXFIPTXFIPT SCH80</t>
  </si>
  <si>
    <t>805-010</t>
  </si>
  <si>
    <t>1 TEE FIPTXFIPTXFIPT SCH80</t>
  </si>
  <si>
    <t>805-025</t>
  </si>
  <si>
    <t>2-1/2 TEE FIPTXFIPTXFIPT SCH80</t>
  </si>
  <si>
    <t>806-005</t>
  </si>
  <si>
    <t>1/2 ELBOW 90 SXS SCH80</t>
  </si>
  <si>
    <t>806-007</t>
  </si>
  <si>
    <t>3/4 ELBOW 90 SXS SCH80</t>
  </si>
  <si>
    <t>806-010</t>
  </si>
  <si>
    <t>1 ELBOW 90 SXS SCH80</t>
  </si>
  <si>
    <t>806-012</t>
  </si>
  <si>
    <t>1-1/4 ELBOW 90 SXS SCH80</t>
  </si>
  <si>
    <t>806-015</t>
  </si>
  <si>
    <t>1-1/2 ELBOW 90 SXS SCH80</t>
  </si>
  <si>
    <t>806-020</t>
  </si>
  <si>
    <t>2 ELBOW 90 SXS SCH80</t>
  </si>
  <si>
    <t>806-030</t>
  </si>
  <si>
    <t>3 ELBOW 90 SXS SCH80</t>
  </si>
  <si>
    <t>806-040</t>
  </si>
  <si>
    <t>4 ELBOW 90 SXS SCH80</t>
  </si>
  <si>
    <t>806-080</t>
  </si>
  <si>
    <t>8 ELBOW 90 SXS SCH80</t>
  </si>
  <si>
    <t>807-007</t>
  </si>
  <si>
    <t>3/4 ELBOW 90 SXFIPT SCH80</t>
  </si>
  <si>
    <t>807-010</t>
  </si>
  <si>
    <t>1 ELBOW 90 SXFIPT SCH80</t>
  </si>
  <si>
    <t>807-020</t>
  </si>
  <si>
    <t>2 ELBOW 90 SXFIPT SCH80</t>
  </si>
  <si>
    <t>808-002</t>
  </si>
  <si>
    <t>1/4 ELBOW 90 FIPTXFIPT SCH80</t>
  </si>
  <si>
    <t>808-003</t>
  </si>
  <si>
    <t>3/8 ELBOW 90 FIPTXFIPT SCH80</t>
  </si>
  <si>
    <t>808-005</t>
  </si>
  <si>
    <t>1/2 ELBOW 90 FIPTXFIPT SCH80</t>
  </si>
  <si>
    <t>808-007</t>
  </si>
  <si>
    <t>3/4 ELBOW 90 FIPTXFIPT SCH80</t>
  </si>
  <si>
    <t>808-010</t>
  </si>
  <si>
    <t>1 ELBOW 90 FIPTXFIPT SCH80</t>
  </si>
  <si>
    <t>808-012</t>
  </si>
  <si>
    <t>1-1/4 ELBOW 90 FIPTXFIPT SCH80</t>
  </si>
  <si>
    <t>808-015</t>
  </si>
  <si>
    <t>1-1/2 ELBOW 90 FIPTXFIPT SCH80</t>
  </si>
  <si>
    <t>808-020</t>
  </si>
  <si>
    <t>2 ELBOW 90 FIPTXFIPT SCH80</t>
  </si>
  <si>
    <t>810-010</t>
  </si>
  <si>
    <t>1 ELBOW 90 STREET MIPTXS SCH80</t>
  </si>
  <si>
    <t>810-015</t>
  </si>
  <si>
    <t>1-1/2 ELBOW 90 STREET MIPTXS SCH80</t>
  </si>
  <si>
    <t>812-010</t>
  </si>
  <si>
    <t>1 ELBOW 90 ST MIPTXFIPT SCH80</t>
  </si>
  <si>
    <t>817-002</t>
  </si>
  <si>
    <t>1/4 ELBOW 45 SXS SCH80</t>
  </si>
  <si>
    <t>817-003</t>
  </si>
  <si>
    <t>3/8 ELBOW 45 SXS SCH80</t>
  </si>
  <si>
    <t>817-005</t>
  </si>
  <si>
    <t>1/2 ELBOW 45 SXS SCH80</t>
  </si>
  <si>
    <t>817-007</t>
  </si>
  <si>
    <t>3/4 ELBOW 45 SXS SCH80</t>
  </si>
  <si>
    <t>817-010</t>
  </si>
  <si>
    <t>1 ELBOW 45 SXS SCH80</t>
  </si>
  <si>
    <t>817-012</t>
  </si>
  <si>
    <t>1-1/4 ELBOW 45 SXS SCH80</t>
  </si>
  <si>
    <t>817-015</t>
  </si>
  <si>
    <t>1-1/2 ELBOW 45 SXS SCH80</t>
  </si>
  <si>
    <t>817-020</t>
  </si>
  <si>
    <t>2 ELBOW 45 SXS SCH80</t>
  </si>
  <si>
    <t>817-025</t>
  </si>
  <si>
    <t>2-1/2 ELBOW 45 SXS SCH80</t>
  </si>
  <si>
    <t>817-030</t>
  </si>
  <si>
    <t>3 ELBOW 45 SXS SCH80</t>
  </si>
  <si>
    <t>817-040</t>
  </si>
  <si>
    <t>4 ELBOW 45 SXS SCH80</t>
  </si>
  <si>
    <t>817-060</t>
  </si>
  <si>
    <t>6 ELBOW 45 SXS SCH80</t>
  </si>
  <si>
    <t>817-080</t>
  </si>
  <si>
    <t>8 ELBOW 45 SXS SCH80</t>
  </si>
  <si>
    <t>819-012</t>
  </si>
  <si>
    <t>1-1/4 ELBOW 45 FIPTXFIPT SCH80</t>
  </si>
  <si>
    <t>819-020</t>
  </si>
  <si>
    <t>2 ELBOW 45 FIPTXFIPT SCH80</t>
  </si>
  <si>
    <t>819-030</t>
  </si>
  <si>
    <t>3 ELBOW 45 FIPTXFIPT SCH80</t>
  </si>
  <si>
    <t>819-040</t>
  </si>
  <si>
    <t>4 ELBOW 45 FIPTXFIPT SCH80</t>
  </si>
  <si>
    <t>829-002</t>
  </si>
  <si>
    <t>1/4 COUPLING SXS SCH80</t>
  </si>
  <si>
    <t>829-003</t>
  </si>
  <si>
    <t>3/8 COUPLING SXS SCH80</t>
  </si>
  <si>
    <t>829-005</t>
  </si>
  <si>
    <t>1/2 COUPLING SXS SCH80</t>
  </si>
  <si>
    <t>829-007</t>
  </si>
  <si>
    <t>3/4 COUPLING SXS SCH80</t>
  </si>
  <si>
    <t>829-010</t>
  </si>
  <si>
    <t>1 COUPLING SXS SCH80</t>
  </si>
  <si>
    <t>829-012</t>
  </si>
  <si>
    <t>1-1/4 COUPLING SXS SCH80</t>
  </si>
  <si>
    <t>829-015</t>
  </si>
  <si>
    <t>1-1/2 COUPLING SXS SCH80</t>
  </si>
  <si>
    <t>829-020</t>
  </si>
  <si>
    <t>2 COUPLING SXS SCH80</t>
  </si>
  <si>
    <t>829-025</t>
  </si>
  <si>
    <t>2-1/2 COUPLING SXS SCH80</t>
  </si>
  <si>
    <t>829-030</t>
  </si>
  <si>
    <t>3 COUPLING SXS SCH80</t>
  </si>
  <si>
    <t>829-040</t>
  </si>
  <si>
    <t>4 COUPLING SXS SCH80</t>
  </si>
  <si>
    <t>829-060</t>
  </si>
  <si>
    <t>6 COUPLING SXS SCH80</t>
  </si>
  <si>
    <t>829-080</t>
  </si>
  <si>
    <t>8 COUPLING SXS SCH80</t>
  </si>
  <si>
    <t>829-422</t>
  </si>
  <si>
    <t>4 X 3 RED COUPLING SXS SCH80</t>
  </si>
  <si>
    <t>829-585</t>
  </si>
  <si>
    <t>8 X 6 RED COUPLING SXS SCH80</t>
  </si>
  <si>
    <t>830-003</t>
  </si>
  <si>
    <t>3/8 COUPLING FIPTXFIPT SCH80</t>
  </si>
  <si>
    <t>830-005</t>
  </si>
  <si>
    <t>1/2 COUPLING FIPTXFIPT SCH80</t>
  </si>
  <si>
    <t>830-007</t>
  </si>
  <si>
    <t>3/4 COUPLING FIPTXFIPT SCH80</t>
  </si>
  <si>
    <t>830-010</t>
  </si>
  <si>
    <t>1 COUPLING FIPTXFIPT SCH80</t>
  </si>
  <si>
    <t>830-012</t>
  </si>
  <si>
    <t>1-1/4 COUPLING FIPTXFIPT SCH80</t>
  </si>
  <si>
    <t>830-015</t>
  </si>
  <si>
    <t>1-1/2 COUPLING FIPTXFIPT SCH80</t>
  </si>
  <si>
    <t>830-020</t>
  </si>
  <si>
    <t>2 COUPLING FIPTXFIPT SCH80</t>
  </si>
  <si>
    <t>830-025</t>
  </si>
  <si>
    <t>2-1/2 COUPLING FPTXFPT SCH80</t>
  </si>
  <si>
    <t>830-030</t>
  </si>
  <si>
    <t>3 COUPLING FIPTXFIPT SCH80</t>
  </si>
  <si>
    <t>830-040</t>
  </si>
  <si>
    <t>4 COUPLING FIPTXFIPT SCH80</t>
  </si>
  <si>
    <t>830-073</t>
  </si>
  <si>
    <t>1/2X3/8 COUPLING FIPTXFIPT SCH80</t>
  </si>
  <si>
    <t>833-015</t>
  </si>
  <si>
    <t>835-002</t>
  </si>
  <si>
    <t>1/4 FEMALE ADAPTER SXFIPT SCH80</t>
  </si>
  <si>
    <t>835-003</t>
  </si>
  <si>
    <t>3/8 FEMALE ADAPTER SXFIPT SCH80</t>
  </si>
  <si>
    <t>835-005</t>
  </si>
  <si>
    <t>1/2 FEMALE ADAPTER SXFIPT SCH80</t>
  </si>
  <si>
    <t>835-007</t>
  </si>
  <si>
    <t>3/4 FEMALE ADAPTER SXFIPT SCH80</t>
  </si>
  <si>
    <t>835-010</t>
  </si>
  <si>
    <t>1 FEMALE ADAPTER SXFIPT SCH80</t>
  </si>
  <si>
    <t>835-012</t>
  </si>
  <si>
    <t>1-1/4 FEMALE ADAPTER SXFIPT SCH80</t>
  </si>
  <si>
    <t>835-015</t>
  </si>
  <si>
    <t>1-1/2 FEMALE ADAPTER SXFIPT SCH80</t>
  </si>
  <si>
    <t>835-020</t>
  </si>
  <si>
    <t>2 FEMALE ADAPTER SXFIPT SCH80</t>
  </si>
  <si>
    <t>835-030</t>
  </si>
  <si>
    <t>3 FEMALE ADAPTER SXFIPT SCH80</t>
  </si>
  <si>
    <t>835-040</t>
  </si>
  <si>
    <t>4 FEMALE ADAPTER SXFIPT SCH80</t>
  </si>
  <si>
    <t>836-002</t>
  </si>
  <si>
    <t>1/4 MALE ADAPTER MIPTXS SCH80</t>
  </si>
  <si>
    <t>836-003</t>
  </si>
  <si>
    <t>3/8 MALE ADAPTER MIPTXS SCH80</t>
  </si>
  <si>
    <t>836-005</t>
  </si>
  <si>
    <t>1/2 MALE ADAPTER MIPTXS SCH80</t>
  </si>
  <si>
    <t>836-007</t>
  </si>
  <si>
    <t>3/4 MALE ADAPTER MIPTXS SCH80</t>
  </si>
  <si>
    <t>836-010</t>
  </si>
  <si>
    <t>1 MALE ADAPTER MIPTXS SCH80</t>
  </si>
  <si>
    <t>836-012</t>
  </si>
  <si>
    <t>1-1/4 MALE ADAPTER MIPTXS SCH80</t>
  </si>
  <si>
    <t>836-015</t>
  </si>
  <si>
    <t>1-1/2 MALE ADAPTER MIPTXS SCH80</t>
  </si>
  <si>
    <t>836-020</t>
  </si>
  <si>
    <t>2 MALE ADAPTER MIPTXS SCH80</t>
  </si>
  <si>
    <t>836-025</t>
  </si>
  <si>
    <t>2-1/2 MALE ADAPTER MIPTXS SCH80</t>
  </si>
  <si>
    <t>836-030</t>
  </si>
  <si>
    <t>3 MALE ADAPTER MIPTXS SCH80</t>
  </si>
  <si>
    <t>836-040</t>
  </si>
  <si>
    <t>4 MALE ADAPTER MIPTXS SCH80</t>
  </si>
  <si>
    <t>836-102</t>
  </si>
  <si>
    <t>3/4X1 MALE ADAPTER MIPTXS SCH80</t>
  </si>
  <si>
    <t>836-131</t>
  </si>
  <si>
    <t>1X3/4 MALE ADAPTER MIPTXS SCH80</t>
  </si>
  <si>
    <t>836-132</t>
  </si>
  <si>
    <t>1X1-1/4 MALE ADAPTER MIPTXS SCH80</t>
  </si>
  <si>
    <t>836-213</t>
  </si>
  <si>
    <t>1-1/2X2 MALE ADAPTER MIPTXS SCH80</t>
  </si>
  <si>
    <t>836-251-2</t>
  </si>
  <si>
    <t>2X1-1/2 FLUSH MALE ADAPTER MIPTXS</t>
  </si>
  <si>
    <t>837-072</t>
  </si>
  <si>
    <t>1/2X1/4 RED BUSHING SPGXS SCH80</t>
  </si>
  <si>
    <t>837-073</t>
  </si>
  <si>
    <t>1/2X3/8 RED BUSHING SPGXS SCH80</t>
  </si>
  <si>
    <t>837-101</t>
  </si>
  <si>
    <t>3/4X1/2 RED BUSHING SPGXS SCH80</t>
  </si>
  <si>
    <t>837-130</t>
  </si>
  <si>
    <t>1X1/2 RED BUSHING SPGXS SCH80</t>
  </si>
  <si>
    <t>837-131</t>
  </si>
  <si>
    <t>1X3/4 RED BUSHING SPGXS SCH80</t>
  </si>
  <si>
    <t>837-166</t>
  </si>
  <si>
    <t>1-1/4X1/2 RED BUSHING SPGXS SCH80</t>
  </si>
  <si>
    <t>837-167</t>
  </si>
  <si>
    <t>1-1/4X3/4 RED BUSHING SPGXS SCH80</t>
  </si>
  <si>
    <t>837-168</t>
  </si>
  <si>
    <t>1-1/4X1 RED BUSHING SPGXS SCH80</t>
  </si>
  <si>
    <t>837-209</t>
  </si>
  <si>
    <t>1-1/2X1/2 RED BUSHING SPGXS SCH80</t>
  </si>
  <si>
    <t>837-210</t>
  </si>
  <si>
    <t>1-1/2X3/4 RED BUSHING SPGXS SCH80</t>
  </si>
  <si>
    <t>837-211</t>
  </si>
  <si>
    <t>1-1/2X1 RED BUSHING SPGXS SCH80</t>
  </si>
  <si>
    <t>837-212</t>
  </si>
  <si>
    <t>1-1/2X1-1/4 RED BUSHING SPGXS SCH80</t>
  </si>
  <si>
    <t>837-247</t>
  </si>
  <si>
    <t>2X1/2 RED BUSHING SPGXS SCH80</t>
  </si>
  <si>
    <t>837-248</t>
  </si>
  <si>
    <t>2X3/4 RED BUSHING SPGXS SCH80</t>
  </si>
  <si>
    <t>837-249</t>
  </si>
  <si>
    <t>2X1 RED BUSHING SPGXS SCH80</t>
  </si>
  <si>
    <t>837-250</t>
  </si>
  <si>
    <t>2X1-1/4 RED BUSHING SPGXS SCH80</t>
  </si>
  <si>
    <t>837-251</t>
  </si>
  <si>
    <t>2X1-1/2 RED BUSHING SPGXS SCH80</t>
  </si>
  <si>
    <t>837-292</t>
  </si>
  <si>
    <t>2-1/2X2 RED BUSHING SPGXS SCH80</t>
  </si>
  <si>
    <t>837-335</t>
  </si>
  <si>
    <t>3X1 RED BUSHING SPGXS SCH80</t>
  </si>
  <si>
    <t>837-336</t>
  </si>
  <si>
    <t>3X1-1/4 RED BUSHING SPGXS SCH80</t>
  </si>
  <si>
    <t>837-337</t>
  </si>
  <si>
    <t>3X1-1/2 RED BUSHING SPGXS SCH80</t>
  </si>
  <si>
    <t>837-338</t>
  </si>
  <si>
    <t>3X2 RED BUSHING SPGXS SCH80</t>
  </si>
  <si>
    <t>837-339</t>
  </si>
  <si>
    <t>3X2-1/2 RED BUSHING SPGXS SCH80</t>
  </si>
  <si>
    <t>837-420</t>
  </si>
  <si>
    <t>4X2 RED BUSHING SPGXS SCH80</t>
  </si>
  <si>
    <t>837-421</t>
  </si>
  <si>
    <t>4X2-1/2 RED BUSHING SPGXS SCH80</t>
  </si>
  <si>
    <t>837-422</t>
  </si>
  <si>
    <t>4X3 RED BUSHING SPGXS SCH80</t>
  </si>
  <si>
    <t>837-532</t>
  </si>
  <si>
    <t>6X4 RED BUSHING SPGXS SCH80</t>
  </si>
  <si>
    <t>838-052</t>
  </si>
  <si>
    <t>3/8X1/4 RED BUSHING SPGXFIPT SCH80</t>
  </si>
  <si>
    <t>838-072</t>
  </si>
  <si>
    <t>1/2X1/4 RED BUSHING SPGXFIPT SCH80</t>
  </si>
  <si>
    <t>838-073</t>
  </si>
  <si>
    <t>1/2X3/8 RED BUSHING SPGXFIPT SCH80</t>
  </si>
  <si>
    <t>838-098</t>
  </si>
  <si>
    <t>3/4X1/4 RED BUSHING SPGXFIPT SCH80</t>
  </si>
  <si>
    <t>838-101</t>
  </si>
  <si>
    <t>3/4X1/2 RED BUSHING SPGXFIPT SCH80</t>
  </si>
  <si>
    <t>838-129</t>
  </si>
  <si>
    <t>1X3/8 RED BUSHING SPGXFIPT SCH80</t>
  </si>
  <si>
    <t>838-130</t>
  </si>
  <si>
    <t>1X1/2 RED BUSHING SPGXFIPT SCH80</t>
  </si>
  <si>
    <t>838-131</t>
  </si>
  <si>
    <t>1X3/4 RED BUSHING SPGXFIPT SCH80</t>
  </si>
  <si>
    <t>838-166</t>
  </si>
  <si>
    <t>1-1/4X1/2 RED BUSHING SPGXFPT SCH80</t>
  </si>
  <si>
    <t>838-167</t>
  </si>
  <si>
    <t>1-1/4X3/4 RED BUSHING SPGXFPT SCH80</t>
  </si>
  <si>
    <t>838-168</t>
  </si>
  <si>
    <t>1-1/4X1 RED BUSHING SPGXFIPT SCH80</t>
  </si>
  <si>
    <t>838-209</t>
  </si>
  <si>
    <t>1-1/2X1/2 RED BUSHING SPGXFPT SCH80</t>
  </si>
  <si>
    <t>838-210</t>
  </si>
  <si>
    <t>1-1/2X3/4 RED BUSHING SPGXFPT SCH80</t>
  </si>
  <si>
    <t>838-211</t>
  </si>
  <si>
    <t>1-1/2X1 RED BUSHING SPGXFIPT SCH80</t>
  </si>
  <si>
    <t>838-212</t>
  </si>
  <si>
    <t>1-1/2X1-1/4 BUSHING SPGXFIPT SCH80</t>
  </si>
  <si>
    <t>838-247</t>
  </si>
  <si>
    <t>2X1/2 RED BUSHING SPGXFIPT SCH80</t>
  </si>
  <si>
    <t>838-248</t>
  </si>
  <si>
    <t>2X3/4 RED BUSHING SPGXFIPT SCH80</t>
  </si>
  <si>
    <t>838-249</t>
  </si>
  <si>
    <t>2X1 RED BUSHING SPGXFIPT SCH80</t>
  </si>
  <si>
    <t>838-250</t>
  </si>
  <si>
    <t>2X1-1/4 RED BUSHING SPGXFIPT SCH80</t>
  </si>
  <si>
    <t>838-251</t>
  </si>
  <si>
    <t>2X1-1/2 RED BUSHING SPGXFIPT SCH80</t>
  </si>
  <si>
    <t>838-292</t>
  </si>
  <si>
    <t>2-1/2X2 RED BUSHING SPGXFIPT SCH80</t>
  </si>
  <si>
    <t>838-334</t>
  </si>
  <si>
    <t>3X3/4 RED BUSHING SPGXFIPT SCH80</t>
  </si>
  <si>
    <t>838-335</t>
  </si>
  <si>
    <t>3X1 RED BUSHING SPGXFIPT SCH80</t>
  </si>
  <si>
    <t>838-338</t>
  </si>
  <si>
    <t>3X2 RED BUSHING SPGXFIPT SCH80</t>
  </si>
  <si>
    <t>838-339</t>
  </si>
  <si>
    <t>3X2-1/2 RED BUSHING SPGXFIPT SCH80</t>
  </si>
  <si>
    <t>838-420</t>
  </si>
  <si>
    <t>4X2 RED BUSHING SPGXFIPT SCH80</t>
  </si>
  <si>
    <t>838-421</t>
  </si>
  <si>
    <t>4X2-1/2 RED BUSHING SPGXFIPT SCH80</t>
  </si>
  <si>
    <t>838-422</t>
  </si>
  <si>
    <t>4X3 RED BUSHING SPGXFIPT SCH80</t>
  </si>
  <si>
    <t>839-041</t>
  </si>
  <si>
    <t>1/4X1/8 RED BUSHING MIPTXFIPT SCH80</t>
  </si>
  <si>
    <t>839-052</t>
  </si>
  <si>
    <t>3/8X1/4 RED BUSHING MIPTXFIPT SCH80</t>
  </si>
  <si>
    <t>839-072</t>
  </si>
  <si>
    <t>1/2X1/4 RED BUSHING MIPTXFIPT SCH80</t>
  </si>
  <si>
    <t>839-073</t>
  </si>
  <si>
    <t>1/2X3/8 RED BUSHING MIPTXFIPT SCH80</t>
  </si>
  <si>
    <t>839-098</t>
  </si>
  <si>
    <t>3/4X1/4 RED BUSHING MIPTXFIPT SCH80</t>
  </si>
  <si>
    <t>839-099</t>
  </si>
  <si>
    <t>3/4X3/8 RED BUSHING MIPTXFIPT SCH80</t>
  </si>
  <si>
    <t>839-101</t>
  </si>
  <si>
    <t>3/4X1/2 RED BUSHING MIPTXFIPT SCH80</t>
  </si>
  <si>
    <t>839-128</t>
  </si>
  <si>
    <t>1X1/4 RED BUSHING MIPTXFIPT SCH80</t>
  </si>
  <si>
    <t>839-129</t>
  </si>
  <si>
    <t>1X3/8 RED BUSHING MIPTXFIPT SCH80</t>
  </si>
  <si>
    <t>839-130</t>
  </si>
  <si>
    <t>1X1/2 RED BUSHING MIPTXFIPT SCH80</t>
  </si>
  <si>
    <t>839-131</t>
  </si>
  <si>
    <t>1X3/4 RED BUSHING MIPTXFIPT SCH80</t>
  </si>
  <si>
    <t>839-166</t>
  </si>
  <si>
    <t>1-1/4X1/2 BUSHING MIPTXFIPT SCH80</t>
  </si>
  <si>
    <t>839-167</t>
  </si>
  <si>
    <t>1-1/4X3/4 BUSHING MIPTXFIPT SCH80</t>
  </si>
  <si>
    <t>839-168</t>
  </si>
  <si>
    <t>1-1/4X1 RED BUSHING MIPTXFIPT SCH80</t>
  </si>
  <si>
    <t>839-209</t>
  </si>
  <si>
    <t>1-1/2X1/2 BUSHING MIPTXFIPT SCH80</t>
  </si>
  <si>
    <t>839-210</t>
  </si>
  <si>
    <t>1-1/2X3/4 BUSHING MIPTXFIPT SCH80</t>
  </si>
  <si>
    <t>839-211</t>
  </si>
  <si>
    <t>1-1/2X1 RED BUSHING MIPTXFIPT SCH80</t>
  </si>
  <si>
    <t>839-212</t>
  </si>
  <si>
    <t>1-1/2X1-1/4 BUSHING MIPTXFIPT SCH80</t>
  </si>
  <si>
    <t>839-247</t>
  </si>
  <si>
    <t>2X1/2 RED BUSHING MIPTXFIPT SCH80</t>
  </si>
  <si>
    <t>839-250</t>
  </si>
  <si>
    <t>2X1-1/4 RED BUSHING MIPTXFIPT SCH80</t>
  </si>
  <si>
    <t>839-251</t>
  </si>
  <si>
    <t>2X1-1/2 RED BUSHING MIPTXFIPT SCH80</t>
  </si>
  <si>
    <t>839-422</t>
  </si>
  <si>
    <t>4X3 RED BUSHING MIPTXFIPT SCH80</t>
  </si>
  <si>
    <t>847-002</t>
  </si>
  <si>
    <t>1/4 CAP SLIP SCH80</t>
  </si>
  <si>
    <t>847-003</t>
  </si>
  <si>
    <t>3/8 CAP SLIP SCH80</t>
  </si>
  <si>
    <t>847-005</t>
  </si>
  <si>
    <t>1/2 CAP SLIP SCH80</t>
  </si>
  <si>
    <t>847-007</t>
  </si>
  <si>
    <t>3/4 CAP SLIP SCH80</t>
  </si>
  <si>
    <t>847-010</t>
  </si>
  <si>
    <t>1 CAP SLIP SCH80</t>
  </si>
  <si>
    <t>847-012</t>
  </si>
  <si>
    <t>1-1/4 CAP SLIP SCH80</t>
  </si>
  <si>
    <t>847-015</t>
  </si>
  <si>
    <t>1-1/2 CAP SLIP SCH80</t>
  </si>
  <si>
    <t>847-020</t>
  </si>
  <si>
    <t>2 CAP SLIP SCH80</t>
  </si>
  <si>
    <t>847-025</t>
  </si>
  <si>
    <t>2-1/2 CAP SLIP SCH80</t>
  </si>
  <si>
    <t>847-030</t>
  </si>
  <si>
    <t>3 CAP SLIP SCH80</t>
  </si>
  <si>
    <t>847-040</t>
  </si>
  <si>
    <t>4 CAP SLIP SCH80</t>
  </si>
  <si>
    <t>847-060</t>
  </si>
  <si>
    <t>6 CAP SLIP SCH80</t>
  </si>
  <si>
    <t>848-002</t>
  </si>
  <si>
    <t>1/4 CAP FIPT SCH80</t>
  </si>
  <si>
    <t>848-003</t>
  </si>
  <si>
    <t>3/8 CAP FIPT SCH80</t>
  </si>
  <si>
    <t>848-005</t>
  </si>
  <si>
    <t>1/2 CAP FIPT SCH80</t>
  </si>
  <si>
    <t>848-007</t>
  </si>
  <si>
    <t>3/4 CAP FIPT SCH80</t>
  </si>
  <si>
    <t>848-010</t>
  </si>
  <si>
    <t>1 CAP FIPT SCH80</t>
  </si>
  <si>
    <t>848-012</t>
  </si>
  <si>
    <t>1-1/4 CAP FIPT SCH80</t>
  </si>
  <si>
    <t>848-015</t>
  </si>
  <si>
    <t>1-1/2 CAP FIPT SCH80</t>
  </si>
  <si>
    <t>848-020</t>
  </si>
  <si>
    <t>2 CAP FIPT SCH80</t>
  </si>
  <si>
    <t>850-002</t>
  </si>
  <si>
    <t>1/4 PLUG MIPT SCH80</t>
  </si>
  <si>
    <t>850-003</t>
  </si>
  <si>
    <t>3/8 PLUG MIPT SCH80</t>
  </si>
  <si>
    <t>850-005</t>
  </si>
  <si>
    <t>1/2 PLUG MIPT SCH80</t>
  </si>
  <si>
    <t>850-007</t>
  </si>
  <si>
    <t>3/4 PLUG MIPT SCH80</t>
  </si>
  <si>
    <t>850-010</t>
  </si>
  <si>
    <t>1 PLUG MIPT SCH80</t>
  </si>
  <si>
    <t>850-012</t>
  </si>
  <si>
    <t>1-1/4 PLUG MIPT SCH80</t>
  </si>
  <si>
    <t>850-015</t>
  </si>
  <si>
    <t>1-1/2 PLUG MIPT SCH80</t>
  </si>
  <si>
    <t>850-020</t>
  </si>
  <si>
    <t>2 PLUG MIPT SCH80</t>
  </si>
  <si>
    <t>850-030</t>
  </si>
  <si>
    <t>3 PLUG MIPT SCH80</t>
  </si>
  <si>
    <t>877-060</t>
  </si>
  <si>
    <t>6 WYE SXSXS SCH80</t>
  </si>
  <si>
    <t>878-007</t>
  </si>
  <si>
    <t>3/4 FEMALE FITTING ADAPTER SPGXFIPT</t>
  </si>
  <si>
    <t>878-020</t>
  </si>
  <si>
    <t>2 FEMALE FITTING ADAPTER SPGXFIPT</t>
  </si>
  <si>
    <t>897-002</t>
  </si>
  <si>
    <t>1/4 UNION SXS SCH80</t>
  </si>
  <si>
    <t>897-003</t>
  </si>
  <si>
    <t>3/8 UNION SXS SCH80</t>
  </si>
  <si>
    <t>897-005</t>
  </si>
  <si>
    <t>1/2 UNION SXS SCH80</t>
  </si>
  <si>
    <t>897-007</t>
  </si>
  <si>
    <t>3/4 UNION SXS SCH80</t>
  </si>
  <si>
    <t>897-010</t>
  </si>
  <si>
    <t>1 UNION SXS SCH80</t>
  </si>
  <si>
    <t>897-012</t>
  </si>
  <si>
    <t>1-1/4 UNION SXS SCH80</t>
  </si>
  <si>
    <t>897-015</t>
  </si>
  <si>
    <t>1-1/2 UNION SXS SCH80</t>
  </si>
  <si>
    <t>897-020</t>
  </si>
  <si>
    <t>2 UNION SXS SCH80</t>
  </si>
  <si>
    <t>897-025</t>
  </si>
  <si>
    <t>2-1/2 UNION SXS SCH80</t>
  </si>
  <si>
    <t>897-030</t>
  </si>
  <si>
    <t>3 UNION SXS SCH80</t>
  </si>
  <si>
    <t>897-040</t>
  </si>
  <si>
    <t>4 UNION SXS SCH80</t>
  </si>
  <si>
    <t>898-002</t>
  </si>
  <si>
    <t>1/4 UNION FIPTXFIPT SCH80</t>
  </si>
  <si>
    <t>898-003</t>
  </si>
  <si>
    <t>3/8 UNION FIPTXFIPT SCH80</t>
  </si>
  <si>
    <t>898-005</t>
  </si>
  <si>
    <t>1/2 UNION FIPTXFIPT SCH80</t>
  </si>
  <si>
    <t>898-007</t>
  </si>
  <si>
    <t>3/4 UNION FIPTXFIPT SCH80</t>
  </si>
  <si>
    <t>898-010</t>
  </si>
  <si>
    <t>1 UNION FIPTXFIPT SCH80</t>
  </si>
  <si>
    <t>898-012</t>
  </si>
  <si>
    <t>1-1/4 UNION FIPTXFIPT SCH80</t>
  </si>
  <si>
    <t>898-015</t>
  </si>
  <si>
    <t>1-1/2 UNION FIPTXFIPT SCH80</t>
  </si>
  <si>
    <t>898-020</t>
  </si>
  <si>
    <t>2 UNION FIPTXFIPT SCH80</t>
  </si>
  <si>
    <t>898-030</t>
  </si>
  <si>
    <t>3 UNION FIPTXFIPT SCH80</t>
  </si>
  <si>
    <t>898-040</t>
  </si>
  <si>
    <t>4 UNION FIPTXFIPT SCH80</t>
  </si>
  <si>
    <t>852-007</t>
  </si>
  <si>
    <t>3/4 THREADED FLANGE GASKET TYPE</t>
  </si>
  <si>
    <t>852-010</t>
  </si>
  <si>
    <t>1 THREADED FLANGE GASKET TYPE</t>
  </si>
  <si>
    <t>852-012</t>
  </si>
  <si>
    <t>1-1/4 THREADED FLANGE GASKET TYPE</t>
  </si>
  <si>
    <t>852-015</t>
  </si>
  <si>
    <t>1-1/2 THREADED FLANGE GASKET TYPE</t>
  </si>
  <si>
    <t>852-020</t>
  </si>
  <si>
    <t>2 THREADED FLANGE GASKET TYPE</t>
  </si>
  <si>
    <t>852-025</t>
  </si>
  <si>
    <t>2-1/2 THREADED FLANGE GASKET TYPE</t>
  </si>
  <si>
    <t>852-030</t>
  </si>
  <si>
    <t>3 THREADED FLANGE GASKET TYPE</t>
  </si>
  <si>
    <t>852-040</t>
  </si>
  <si>
    <t>4 THREADED FLANGE GASKET TYPE</t>
  </si>
  <si>
    <t>853-015</t>
  </si>
  <si>
    <t>1-1/2 BLIND FLANGE GASKET TYPE</t>
  </si>
  <si>
    <t>853-020</t>
  </si>
  <si>
    <t>2 BLIND FLANGE GASKET TYPE</t>
  </si>
  <si>
    <t>853-020-1</t>
  </si>
  <si>
    <t>2 BLIND FLANGE O-RING TYPE</t>
  </si>
  <si>
    <t>853-025</t>
  </si>
  <si>
    <t>2-1/2 BLIND FLANGE GASKET TYPE</t>
  </si>
  <si>
    <t>853-025-1</t>
  </si>
  <si>
    <t>2-1/2 BLIND FLANGE O-RING TYPE</t>
  </si>
  <si>
    <t>853-030</t>
  </si>
  <si>
    <t>3 BLIND FLANGE GASKET TYPE</t>
  </si>
  <si>
    <t>853-030-1</t>
  </si>
  <si>
    <t>3 BLIND FLANGE O-RING TYPE</t>
  </si>
  <si>
    <t>853-040</t>
  </si>
  <si>
    <t>4 BLIND FLANGE GASKET TYPE</t>
  </si>
  <si>
    <t>853-040-1</t>
  </si>
  <si>
    <t>4 BLIND FLANGE O-RING TYPE</t>
  </si>
  <si>
    <t>853-060</t>
  </si>
  <si>
    <t>6 BLIND FLANGE GASKET TYPE</t>
  </si>
  <si>
    <t>853-060-1</t>
  </si>
  <si>
    <t>6 BLIND FLANGE O-RING TYPE</t>
  </si>
  <si>
    <t>853-080-1</t>
  </si>
  <si>
    <t>8 BLIND FLANGE O-RING TYPE</t>
  </si>
  <si>
    <t>854-020</t>
  </si>
  <si>
    <t>2 VANSTONE FLANGE SLIP GASKET TYPE</t>
  </si>
  <si>
    <t>854-020-1</t>
  </si>
  <si>
    <t>2 VANSTONE FLANGE SLIP O-RING TYPE</t>
  </si>
  <si>
    <t>854-025-1</t>
  </si>
  <si>
    <t>2-1/2 VANSTONE FLANGE SLIP O-RING</t>
  </si>
  <si>
    <t>854-030</t>
  </si>
  <si>
    <t>3 VANSTONE FLANGE SLIP GASKET TYPE</t>
  </si>
  <si>
    <t>854-030-1</t>
  </si>
  <si>
    <t>3 VANSTONE FLANGE SLIP O-RING TYPE</t>
  </si>
  <si>
    <t>854-040</t>
  </si>
  <si>
    <t>4 VANSTONE FLANGE SLIP GASKET TYPE</t>
  </si>
  <si>
    <t>854-040-1</t>
  </si>
  <si>
    <t>4 VANSTONE FLANGE SLIP O-RING TYPE</t>
  </si>
  <si>
    <t>854-050</t>
  </si>
  <si>
    <t>5 VANSTONE FLANGE SLIP GASKET TYPE</t>
  </si>
  <si>
    <t>854-050-1</t>
  </si>
  <si>
    <t>5 VANSTONE FLANGE SLIP O-RING TYPE</t>
  </si>
  <si>
    <t>854-060</t>
  </si>
  <si>
    <t>6 VANSTONE FLANGE SLIP GASKET TYPE</t>
  </si>
  <si>
    <t>854-060-1</t>
  </si>
  <si>
    <t>6 VANSTONE FLANGE SLIP O-RING TYPE</t>
  </si>
  <si>
    <t>854-080</t>
  </si>
  <si>
    <t>8 VANSTONE FLANGE SLIP GASKET TYPE</t>
  </si>
  <si>
    <t>854-080-1</t>
  </si>
  <si>
    <t>8 VANSTONE FLANGE SLIP O-RING TYPE</t>
  </si>
  <si>
    <t>856-020-1</t>
  </si>
  <si>
    <t>2 VANSTONE FLANGE SPG O-RING TYPE</t>
  </si>
  <si>
    <t>856-025-1</t>
  </si>
  <si>
    <t>2-1/2 VANSTONE FLANGE SPG O-RING</t>
  </si>
  <si>
    <t>856-030-1</t>
  </si>
  <si>
    <t>3 VANSTONE FLANGE SPG O-RING TYPE</t>
  </si>
  <si>
    <t>856-040-1</t>
  </si>
  <si>
    <t>4 VANSTONE FLANGE SPG O-RING TYPE</t>
  </si>
  <si>
    <t>856-050-1</t>
  </si>
  <si>
    <t>5 VANSTONE FLANGE SPG O-RING TYPE</t>
  </si>
  <si>
    <t>856-060</t>
  </si>
  <si>
    <t>6 VANSTONE FLANGE SPG GASKET TYPE</t>
  </si>
  <si>
    <t>856-060-1</t>
  </si>
  <si>
    <t>6 VANSTONE FLANGE SPG O-RING TYPE</t>
  </si>
  <si>
    <t>856-080-1</t>
  </si>
  <si>
    <t>8 VANSTONE FLANGE SPG O-RING TYPE</t>
  </si>
  <si>
    <t>853-100-1</t>
  </si>
  <si>
    <t>10 VANSTONE FLANGE BLIND O-RING</t>
  </si>
  <si>
    <t>853-120</t>
  </si>
  <si>
    <t>12 VANSTONE FLANGE BLIND GASKET</t>
  </si>
  <si>
    <t>853-120-1</t>
  </si>
  <si>
    <t>12 VANSTONE FLANGE BLIND O-RING</t>
  </si>
  <si>
    <t>854-100</t>
  </si>
  <si>
    <t>10 VANSTONE FLANGE SLIP GASKET TYPE</t>
  </si>
  <si>
    <t>854-100-1</t>
  </si>
  <si>
    <t>10 VANSTONE FLANGE SLIP O-RING TYPE</t>
  </si>
  <si>
    <t>854-120</t>
  </si>
  <si>
    <t>12 VANSTONE FLANGE SLIP GASKET TYPE</t>
  </si>
  <si>
    <t>854-120-1</t>
  </si>
  <si>
    <t>12 VANSTONE FLANGE SLIP O-RING TYPE</t>
  </si>
  <si>
    <t>856-100-1</t>
  </si>
  <si>
    <t>10 VANSTONE FLANGE SPG O-RING TYPE</t>
  </si>
  <si>
    <t>856-120-1</t>
  </si>
  <si>
    <t>12 VANSTONE FLANGE SPG O-RING TYPE</t>
  </si>
  <si>
    <t>4101-005</t>
  </si>
  <si>
    <t>CPVC TEE ASTM 1/2"</t>
  </si>
  <si>
    <t>3 weeks</t>
  </si>
  <si>
    <t>4101-007</t>
  </si>
  <si>
    <t>CPVC TEE ASTM 3/4"</t>
  </si>
  <si>
    <t>4101-010</t>
  </si>
  <si>
    <t>CPVC TEE ASTM 1"</t>
  </si>
  <si>
    <t>4101-012</t>
  </si>
  <si>
    <t>CPVC TEE ASTM  1.1/4"</t>
  </si>
  <si>
    <t>4101-015</t>
  </si>
  <si>
    <t>CPVC TEE ASTM 1.1/2"</t>
  </si>
  <si>
    <t>4101-020</t>
  </si>
  <si>
    <t>CPVC TEE ASTM 2"</t>
  </si>
  <si>
    <t>4101-094</t>
  </si>
  <si>
    <t>3/4 X 1/2 X 1/2" CPVC REDUCTION TEE ASTM</t>
  </si>
  <si>
    <t>4101-095</t>
  </si>
  <si>
    <t>3/4 X 1/2 X 3/4" CPVC REDUCTION TEE ASTM</t>
  </si>
  <si>
    <t>4101-101</t>
  </si>
  <si>
    <t>3/4 X 3/4 X 1/2" CPVC REDUCTION TEE ASTM</t>
  </si>
  <si>
    <t>4101-130</t>
  </si>
  <si>
    <t>1 X 1 X 1/2 CPVC REDUCTION TEE ASTM</t>
  </si>
  <si>
    <t>4101-131</t>
  </si>
  <si>
    <t>1 X 1 X 3/4 CPVC REDUCTION TEE ASTM</t>
  </si>
  <si>
    <t>4101-167</t>
  </si>
  <si>
    <t>1.1/4 X 1.1/4 X 3/4 CPVC REDUCTION TEE ASTM</t>
  </si>
  <si>
    <t>4101-210</t>
  </si>
  <si>
    <t>1.1/2 X 1.1/2 X 3/4 CPVC REDUCTION TEE ASTM</t>
  </si>
  <si>
    <t>4101-248</t>
  </si>
  <si>
    <t>2 X 2 X 3/4 CPVC REDUCTION TEE ASTM</t>
  </si>
  <si>
    <t>4106-005</t>
  </si>
  <si>
    <t>90º CPVC ELBOW ASTM 1/2"</t>
  </si>
  <si>
    <t>4106-007</t>
  </si>
  <si>
    <t>90º CPVC ELBOW ASTM 3/4"</t>
  </si>
  <si>
    <t>4106-010</t>
  </si>
  <si>
    <t>90º CPVC ELBOW ASTM 1"</t>
  </si>
  <si>
    <t>4106-012</t>
  </si>
  <si>
    <t>90º CPVC ELBOW ASTM  1.1/4"</t>
  </si>
  <si>
    <t>4106-015</t>
  </si>
  <si>
    <t>90º CPVC ELBOW ASTM  1.1/2"</t>
  </si>
  <si>
    <t>4106-020</t>
  </si>
  <si>
    <t>90º CPVC ELBOW ASTM 2"</t>
  </si>
  <si>
    <t>4109-005</t>
  </si>
  <si>
    <t>90 CPVC 1/2  STREET ELBOW</t>
  </si>
  <si>
    <t>4109-007</t>
  </si>
  <si>
    <t>90 CPVC 3/4 STREET ELBOW</t>
  </si>
  <si>
    <t>4109-010</t>
  </si>
  <si>
    <t>90 CPVC 1 STREET ELBOW</t>
  </si>
  <si>
    <t>4117-005</t>
  </si>
  <si>
    <t>45º CPVC ELBOW ASTM 1/2"</t>
  </si>
  <si>
    <t>4117-007</t>
  </si>
  <si>
    <t>45º CPVC ELBOW ASTM 3/4"</t>
  </si>
  <si>
    <t>4117-010</t>
  </si>
  <si>
    <t>45º CPVC ELBOW ASTM 1"</t>
  </si>
  <si>
    <t>4117-012</t>
  </si>
  <si>
    <t>45º CPVC ELBOW ASTM  1.1/4"</t>
  </si>
  <si>
    <t>4117-015</t>
  </si>
  <si>
    <t>45º CPVC ELBOW ASTM  1.1/2"</t>
  </si>
  <si>
    <t>4117-020</t>
  </si>
  <si>
    <t>45º CPVC ELBOW ASTM      2"</t>
  </si>
  <si>
    <t>4127-005</t>
  </si>
  <si>
    <t>45 CPVC 1/2 STREET ELBOW</t>
  </si>
  <si>
    <t>4127-007</t>
  </si>
  <si>
    <t>45 CPVC 3/4 STREET ELBOW</t>
  </si>
  <si>
    <t>4127-010</t>
  </si>
  <si>
    <t>45 CPVC 1 STREET ELBOW</t>
  </si>
  <si>
    <t>4129-005</t>
  </si>
  <si>
    <t>CPVC COUPLING ASTM 1/2"</t>
  </si>
  <si>
    <t>4129-007</t>
  </si>
  <si>
    <t>CPVC COUPLING ASTM 3/4"</t>
  </si>
  <si>
    <t>4129-010</t>
  </si>
  <si>
    <t>CPVC COUPLING ASTM 1"</t>
  </si>
  <si>
    <t>4129-012</t>
  </si>
  <si>
    <t>CPVC COUPLING ASTM 1.1/4</t>
  </si>
  <si>
    <t>4129-015</t>
  </si>
  <si>
    <t>CPVC COUPLING ASTM 1.1/2</t>
  </si>
  <si>
    <t>4129-020</t>
  </si>
  <si>
    <t>CPVC COUPLING ASTM 2"</t>
  </si>
  <si>
    <t>4129-101</t>
  </si>
  <si>
    <t>CPVC RED COUPLING 3/4X1/2"</t>
  </si>
  <si>
    <t>4129-131</t>
  </si>
  <si>
    <t>CPVC RED COUPLING 1X3/4"</t>
  </si>
  <si>
    <t>4135-005</t>
  </si>
  <si>
    <t>1/2" CPVC FEMALE ADAPTER</t>
  </si>
  <si>
    <t>4135-007</t>
  </si>
  <si>
    <t>3/4" CPVC FEMALE ADAPTER</t>
  </si>
  <si>
    <t>4135-010</t>
  </si>
  <si>
    <t>1" CPVC FEMALE ADAPTER</t>
  </si>
  <si>
    <t>4135-005BR</t>
  </si>
  <si>
    <t>CPVC FEMALE ADAPTER ASTM 1/2" BRASS X CPVC</t>
  </si>
  <si>
    <t>4135-007BR</t>
  </si>
  <si>
    <t>CPVC FEMALE ADAPTER ASTM 3/4" BRASS X CPVC</t>
  </si>
  <si>
    <t>4135-010BR</t>
  </si>
  <si>
    <t>CPVC FEMALE ADAPTER ASTM 1" BRASS X CPVC</t>
  </si>
  <si>
    <t>4135-012BR</t>
  </si>
  <si>
    <t>CPVC FEMALE ADAPTER ASTM 1.1/4" BRASS X CPVC</t>
  </si>
  <si>
    <t>4135-015BR</t>
  </si>
  <si>
    <t>CPVC FEMALE ADAPTER ASTM 1.1/2" BRASS X CPVC</t>
  </si>
  <si>
    <t>4135-020BR</t>
  </si>
  <si>
    <t>CPVC FEMALE ADAPTER ASTM 2" BRASS X CPVC</t>
  </si>
  <si>
    <t>4136-005</t>
  </si>
  <si>
    <t>1/2" CPVC MALE ADAPTER</t>
  </si>
  <si>
    <t>4136-007</t>
  </si>
  <si>
    <t>3/4" CPVC MALE ADAPTER</t>
  </si>
  <si>
    <t>4136-007P</t>
  </si>
  <si>
    <t>4136-010</t>
  </si>
  <si>
    <t>1" CPVC MALE ADAPTER</t>
  </si>
  <si>
    <t>4136-005BR</t>
  </si>
  <si>
    <t>CPVC MALE ADAPTER ASTM 1/2" BRASS X CPVC</t>
  </si>
  <si>
    <t>4136-007BR</t>
  </si>
  <si>
    <t>CPVC MALE ADAPTER ASTM 3/4" BRASS X CPVC</t>
  </si>
  <si>
    <t>4136-010BR</t>
  </si>
  <si>
    <t>CPVC MALE ADAPTER ASTM 1" BRASS X CPVC</t>
  </si>
  <si>
    <t>4136-012BR</t>
  </si>
  <si>
    <t>CPVC MALE ADAPTER ASTM 1.1/4" BRASS X CPVC</t>
  </si>
  <si>
    <t>4136-015BR</t>
  </si>
  <si>
    <t>CPVC MALE ADAPTER ASTM 1.1/2" BRASS X CPVC</t>
  </si>
  <si>
    <t>4136-020BR</t>
  </si>
  <si>
    <t>CPVC MALE ADAPTER ASTM 2" BRASS X CPVC</t>
  </si>
  <si>
    <t>4137-101</t>
  </si>
  <si>
    <t>CPVC REDUCTION BUSHING ASTM 3/4" X 1/2"</t>
  </si>
  <si>
    <t>4137-130</t>
  </si>
  <si>
    <t>CPVC REDUCTION BUSHING ASTM 1X1/2"</t>
  </si>
  <si>
    <t>4137-131</t>
  </si>
  <si>
    <t>CPVC REDUCTION BUSHING ASTM 1" X 3/4"</t>
  </si>
  <si>
    <t>4137-166</t>
  </si>
  <si>
    <t>CPVC REDUCTION BUSHING ASTM 1.1/4X1/2"</t>
  </si>
  <si>
    <t>4137-167</t>
  </si>
  <si>
    <t>CPVC REDUCTION BUSHING ASTM  1.1/4X3/4"</t>
  </si>
  <si>
    <t>4137-168</t>
  </si>
  <si>
    <t>CPVC REDUCTION BUSHING ASTM 1.1/4X 1"</t>
  </si>
  <si>
    <t>4137-210</t>
  </si>
  <si>
    <t>CPVC REDUCTION BUSHING ASTM 1.1/2X3/4"</t>
  </si>
  <si>
    <t>4137-211</t>
  </si>
  <si>
    <t>CPVC REDUCTION BUSHING ASTM 1.1/2X1"</t>
  </si>
  <si>
    <t>4137-212</t>
  </si>
  <si>
    <t>CPVC REDUCTION BUSHING ASTM 1.1/2" X1.1/4</t>
  </si>
  <si>
    <t>4137-249</t>
  </si>
  <si>
    <t>CPVC REDUCTION BUSHING ASTM 2X1"</t>
  </si>
  <si>
    <t>4137-250</t>
  </si>
  <si>
    <t>CPVC REDUCTION BUSHING ASTM 2X1.1/4"</t>
  </si>
  <si>
    <t>4137-251</t>
  </si>
  <si>
    <t>CPVC REDUCTION BUSHING ASTM 2" X1.1/2"</t>
  </si>
  <si>
    <t>4147-005</t>
  </si>
  <si>
    <t>CPVC CAP ASTM 1/2"</t>
  </si>
  <si>
    <t>4147-007</t>
  </si>
  <si>
    <t>CPVC CAP ASTM 3/4"</t>
  </si>
  <si>
    <t>4147-010</t>
  </si>
  <si>
    <t>CPVC CAP ASTM 1"</t>
  </si>
  <si>
    <t>4147-012</t>
  </si>
  <si>
    <t>CPVC CAP ASTM 1.1/4"</t>
  </si>
  <si>
    <t>4147-015</t>
  </si>
  <si>
    <t>CPVC CAP ASTM 1.1/2"</t>
  </si>
  <si>
    <t>4147-020</t>
  </si>
  <si>
    <t>CPVC CAP ASTM 2"</t>
  </si>
  <si>
    <t>4197-005</t>
  </si>
  <si>
    <t>CPVC UNION ASTM 1/2"</t>
  </si>
  <si>
    <t>4197-007</t>
  </si>
  <si>
    <t>CPVC UNION ASTM 3/4"</t>
  </si>
  <si>
    <t>4197-010</t>
  </si>
  <si>
    <t>CPVC UNION ASTM 1"</t>
  </si>
  <si>
    <t>4197-012</t>
  </si>
  <si>
    <t>CPVC UNION ASTM 1.1/4"</t>
  </si>
  <si>
    <t>4197-015</t>
  </si>
  <si>
    <t>CPVC UNION ASTM 1.1/2"</t>
  </si>
  <si>
    <t>4197-020</t>
  </si>
  <si>
    <t>CPVC UNION ASTM    2"</t>
  </si>
  <si>
    <t>4724-005-25</t>
  </si>
  <si>
    <t>25 PK 1/2 CPVC TUBING STRAPS</t>
  </si>
  <si>
    <t>4724-007-25</t>
  </si>
  <si>
    <t>25 PK 3/4 CPVC TUBING STRAPS</t>
  </si>
  <si>
    <t>DE4107-005BR</t>
  </si>
  <si>
    <t>CPVC 1/2 DROP EAR ELBOW BRASS FPT X CPVC H</t>
  </si>
  <si>
    <t>T4106-005</t>
  </si>
  <si>
    <t>CPVC TRANSITION ELBOW ASTM 1/2"</t>
  </si>
  <si>
    <t>SDR35 SW</t>
  </si>
  <si>
    <t>SDR35 G</t>
  </si>
  <si>
    <t>SDR26 G</t>
  </si>
  <si>
    <t>DuraFix</t>
  </si>
  <si>
    <t>DWV042026</t>
  </si>
  <si>
    <t>PVCSCH40042026</t>
  </si>
  <si>
    <t>SCH40042026</t>
  </si>
  <si>
    <t>LDPVCSCH40042026</t>
  </si>
  <si>
    <t>POOLPIPEEXT042026</t>
  </si>
  <si>
    <t>SCH80042026</t>
  </si>
  <si>
    <t>LSCH80042026</t>
  </si>
  <si>
    <t>CPVCCTS042026</t>
  </si>
  <si>
    <t>INSERTFITTINGS042026</t>
  </si>
  <si>
    <t>VALVES042026</t>
  </si>
  <si>
    <t>SDR35SW042026</t>
  </si>
  <si>
    <t>SDR35G042026</t>
  </si>
  <si>
    <t>SDR26G042026</t>
  </si>
  <si>
    <t>CEMENTS042026</t>
  </si>
  <si>
    <t>VALVEBOX042026</t>
  </si>
  <si>
    <t>DRAINAGE042026</t>
  </si>
  <si>
    <t>NIPPLES042026</t>
  </si>
  <si>
    <t>MANIFOLD042026</t>
  </si>
  <si>
    <t>FRC042026</t>
  </si>
  <si>
    <t>DF042026</t>
  </si>
  <si>
    <t>COMPFIT042026</t>
  </si>
  <si>
    <t>HOSEFIT042026</t>
  </si>
  <si>
    <t>SJ042026</t>
  </si>
  <si>
    <t>SJC042026</t>
  </si>
  <si>
    <t>TEE  (Insert x Insert x Insert)</t>
  </si>
  <si>
    <t>REDUCING TEE  (Insert x Insert x Reducing Insert)</t>
  </si>
  <si>
    <t>REDUCING TEE  (Insert x Reducing Insert x Reducing Insert)</t>
  </si>
  <si>
    <t>BULL HEAD TEE (Insert x Insert x Bullhead Insert)</t>
  </si>
  <si>
    <t>FUNNY PIPE TEE (Insert x Insert x Funny Pipe)</t>
  </si>
  <si>
    <t>COMBINATION TEE (Insert x Insert x FIPT)</t>
  </si>
  <si>
    <t>COMBINATION AND REDUCING TEE (Insert x Insert x FIPT)</t>
  </si>
  <si>
    <t>COMBINATION REDUCING TEE (Insert x Reducing Insert x Reducing FIPT)</t>
  </si>
  <si>
    <t>COMBINATION TEE (Insert x Insert x MIPT)</t>
  </si>
  <si>
    <t>90 DEGREE ELBOW (Insert x Insert)</t>
  </si>
  <si>
    <t>FUNNY PIPE ELBOW (Insert x Funny Pipe)</t>
  </si>
  <si>
    <t>REDUCING 90 DEGREE ELBOW (Insert x Reducing Insert)</t>
  </si>
  <si>
    <t>COMBINATION 90 DEGREE ELBOW (Insert x FIPT)</t>
  </si>
  <si>
    <t>COMBINATION REDUCING 90 DEGREE ELBOW (Insert x FIPT)</t>
  </si>
  <si>
    <t>COMBINATION 90 DEGREE ELBOW (Insert x MIPT)</t>
  </si>
  <si>
    <t>SIDE OUTLET 90 DEGREE ELBOW (Insert x Insert x FIPT)</t>
  </si>
  <si>
    <t>SIDE OUTLET TEE (Insert x Insert x Insert x FIPT)</t>
  </si>
  <si>
    <t>CROSS (Insert x Insert x Insert x Insert)</t>
  </si>
  <si>
    <t>REDUCING CROSS (Insert x Insert x Reducing Insert x Reducing Insert)</t>
  </si>
  <si>
    <t>COUPLING (Insert x Insert)</t>
  </si>
  <si>
    <t>REDUCING COUPLING (Insert x Insert)</t>
  </si>
  <si>
    <t>FUNNY PIPE COUPLING (Insert x Funny Pipe)</t>
  </si>
  <si>
    <t>FITTING ADAPTER (Spigot x Insert)</t>
  </si>
  <si>
    <t>FEMALE ADAPTER (FIPT x Insert)</t>
  </si>
  <si>
    <t>MALE ADAPTER (MIPT x Insert)</t>
  </si>
  <si>
    <t>REDUCING MALE ADAPTER (Reducing MIPT x Insert)</t>
  </si>
  <si>
    <t>REDUCING MALE ADAPTER (MIPT x Reducing Insert)</t>
  </si>
  <si>
    <t>PLUG (Insert)</t>
  </si>
  <si>
    <r>
      <rPr>
        <b/>
        <sz val="11"/>
        <color theme="0"/>
        <rFont val="Wingdings 2"/>
        <family val="1"/>
        <charset val="2"/>
      </rPr>
      <t>P</t>
    </r>
    <r>
      <rPr>
        <b/>
        <sz val="11"/>
        <color theme="0"/>
        <rFont val="Calibri"/>
        <family val="2"/>
      </rPr>
      <t xml:space="preserve"> Pallet Quantity</t>
    </r>
  </si>
  <si>
    <t>Rectangular Valve Box 10" X 15", 10" Deep</t>
  </si>
  <si>
    <t>Rectangular Valve Box 12" X 17", 12" Deep</t>
  </si>
  <si>
    <t>Rectangular Valve Box 12" X 17", 6" Deep</t>
  </si>
  <si>
    <t>Rectangular Extension Box 12" X 17", 6" Deep</t>
  </si>
  <si>
    <t>Rectangular Dry Box 12" X 17", 12" Deep</t>
  </si>
  <si>
    <t>Rectangular Valve Box 15" X 21", 6" Deep</t>
  </si>
  <si>
    <t>Rectangular Valve Box 15" X 21", 12" Deep</t>
  </si>
  <si>
    <t>Rectangular Extension Box 15" X 21", 6" Deep</t>
  </si>
  <si>
    <t>Round Valve Box, 6" Lid</t>
  </si>
  <si>
    <t>Round Valve Box, 7" Body</t>
  </si>
  <si>
    <t>Round Valve Box, 7" Lid</t>
  </si>
  <si>
    <t>Round Valve Box, 10" Body</t>
  </si>
  <si>
    <t>Round Valve Box, 10" Lid</t>
  </si>
  <si>
    <t>Round Dry Box, 12" Body</t>
  </si>
  <si>
    <t>Round Dry Box, 12" Lid</t>
  </si>
  <si>
    <t>Rectangular Valve Box, 12x17, 6" Deep, Body</t>
  </si>
  <si>
    <t>Rectangular Valve Box, 12x17, 12" Deep, Body</t>
  </si>
  <si>
    <t>Rectangular Extension Box, 12x17, 6" Deep, Body</t>
  </si>
  <si>
    <t>Rectangular Valve Box, 12x17, Lid</t>
  </si>
  <si>
    <t>Rectangular Dry Box, 12x17, 12" Deep, Body</t>
  </si>
  <si>
    <t>Rectangular Dry Box, 12x17, 12" Deep, Lid</t>
  </si>
  <si>
    <t>Rectangular Valve Box, 15x21, 12" Deep, Body</t>
  </si>
  <si>
    <t>Rectangular Extension Box, 15x21, 6" Deep, Body</t>
  </si>
  <si>
    <t>Rectangular Valve Box, 15x21, Lid</t>
  </si>
  <si>
    <t>3" ROUND GRATE, TAN</t>
  </si>
  <si>
    <t>4" ROUND GRATE, TAN</t>
  </si>
  <si>
    <t>Couplings</t>
  </si>
  <si>
    <t>Female Adapters</t>
  </si>
  <si>
    <t>Trap Adpaters</t>
  </si>
  <si>
    <t>Cleanout Adapters and Plugs</t>
  </si>
  <si>
    <t>Flush Bushings</t>
  </si>
  <si>
    <t>Male Adapters</t>
  </si>
  <si>
    <t>Caps</t>
  </si>
  <si>
    <t>Spigot Plugs</t>
  </si>
  <si>
    <t>Repair Couplings</t>
  </si>
  <si>
    <t>Test Caps</t>
  </si>
  <si>
    <t>Double Bends</t>
  </si>
  <si>
    <t>Closet Bends</t>
  </si>
  <si>
    <t>Vent Elbows</t>
  </si>
  <si>
    <t>Sanitary Tees</t>
  </si>
  <si>
    <t>Double Sanitary Tees</t>
  </si>
  <si>
    <t>Vent Tees</t>
  </si>
  <si>
    <t>Cleanout Tees</t>
  </si>
  <si>
    <t>Combo Wye &amp; 1/8 Bends</t>
  </si>
  <si>
    <t>Double Fixture Fittings</t>
  </si>
  <si>
    <t>Wyes</t>
  </si>
  <si>
    <t>Double Wyes</t>
  </si>
  <si>
    <t>PTraps and Return Bends</t>
  </si>
  <si>
    <t>Closet Flanges</t>
  </si>
  <si>
    <t>Body Material</t>
  </si>
  <si>
    <t>PVC</t>
  </si>
  <si>
    <t>EPDM</t>
  </si>
  <si>
    <t>O-ring Material</t>
  </si>
  <si>
    <t>Seat Material</t>
  </si>
  <si>
    <t>PTFE</t>
  </si>
  <si>
    <t>FPM</t>
  </si>
  <si>
    <t>ABS</t>
  </si>
  <si>
    <t>Working Pressure</t>
  </si>
  <si>
    <t>150 PSI</t>
  </si>
  <si>
    <t>Tees</t>
  </si>
  <si>
    <r>
      <t>90</t>
    </r>
    <r>
      <rPr>
        <b/>
        <sz val="11"/>
        <color theme="1"/>
        <rFont val="Aptos Narrow"/>
        <family val="2"/>
        <charset val="1"/>
      </rPr>
      <t>°</t>
    </r>
    <r>
      <rPr>
        <b/>
        <sz val="11"/>
        <color theme="1"/>
        <rFont val="Calibri"/>
        <family val="2"/>
        <scheme val="minor"/>
      </rPr>
      <t xml:space="preserve"> Elbows</t>
    </r>
  </si>
  <si>
    <r>
      <rPr>
        <b/>
        <sz val="11"/>
        <color theme="1"/>
        <rFont val="Aptos Narrow"/>
        <family val="2"/>
        <charset val="1"/>
      </rPr>
      <t>45°</t>
    </r>
    <r>
      <rPr>
        <b/>
        <sz val="11"/>
        <color theme="1"/>
        <rFont val="Calibri"/>
        <family val="2"/>
        <scheme val="minor"/>
      </rPr>
      <t xml:space="preserve"> Elbows</t>
    </r>
  </si>
  <si>
    <t>Adapters</t>
  </si>
  <si>
    <t>Bushings</t>
  </si>
  <si>
    <t>Unions</t>
  </si>
  <si>
    <t>Tubing Straps</t>
  </si>
  <si>
    <t>Specialty Elbows</t>
  </si>
  <si>
    <t>Check Valves</t>
  </si>
  <si>
    <t>Compact Ball Valves (Socket)</t>
  </si>
  <si>
    <t>Compact Ball Valves (Threaded)</t>
  </si>
  <si>
    <t>Compact Ball Valves (Copper Tube Size)</t>
  </si>
  <si>
    <t>Single Union Ball Valves (Pool &amp; Spa)</t>
  </si>
  <si>
    <t>"Safety Block" Single Union Ball Valves (Threaded)</t>
  </si>
  <si>
    <t>"Safety Block" Single Union Ball Valves (Socket)</t>
  </si>
  <si>
    <t>"Safety Block" True Union Ball Valve</t>
  </si>
  <si>
    <t>Lever Handle Butterfly Valve</t>
  </si>
  <si>
    <t>Economy Swing Check Valves</t>
  </si>
  <si>
    <t>Replacement Handles</t>
  </si>
  <si>
    <t>Drainage Fittings</t>
  </si>
  <si>
    <t>Elbows</t>
  </si>
  <si>
    <t>Cleanout Tees and Plugs</t>
  </si>
  <si>
    <t>Saddle Tees &amp; Wyes</t>
  </si>
  <si>
    <t>1/4 Bends (90°)</t>
  </si>
  <si>
    <t>1/6 Bends (60°)</t>
  </si>
  <si>
    <t>1/8 Bends (45°)</t>
  </si>
  <si>
    <t>1/16 Bends (22.5°)</t>
  </si>
  <si>
    <t>1/32 Bends (11.25°)</t>
  </si>
  <si>
    <t>Increaser/Reducer Adapters</t>
  </si>
  <si>
    <t>Tees &amp; Wyes</t>
  </si>
  <si>
    <t>Cleanout Tees &amp; Plugs</t>
  </si>
  <si>
    <t>Increaser / Reducer Fittings</t>
  </si>
  <si>
    <t>Adapters and Transition Fittings</t>
  </si>
  <si>
    <t>Adapter Couplings</t>
  </si>
  <si>
    <t>NO - Hub Adapters</t>
  </si>
  <si>
    <t>Hub Adapters, Cast Iron Soil Pipe</t>
  </si>
  <si>
    <t>Quote Required</t>
  </si>
  <si>
    <t>401-012</t>
  </si>
  <si>
    <t>401-156</t>
  </si>
  <si>
    <t>401-157</t>
  </si>
  <si>
    <t>401-158</t>
  </si>
  <si>
    <t>401-168</t>
  </si>
  <si>
    <t>401-169</t>
  </si>
  <si>
    <t>401-202</t>
  </si>
  <si>
    <t>401-212</t>
  </si>
  <si>
    <t>402-012</t>
  </si>
  <si>
    <t>402-132</t>
  </si>
  <si>
    <t>402-157</t>
  </si>
  <si>
    <t>402-158</t>
  </si>
  <si>
    <t>402-169</t>
  </si>
  <si>
    <t>402-202</t>
  </si>
  <si>
    <t>402-212</t>
  </si>
  <si>
    <t>402-250</t>
  </si>
  <si>
    <t>406-168</t>
  </si>
  <si>
    <t>407-012</t>
  </si>
  <si>
    <t>407-168</t>
  </si>
  <si>
    <t>408-012</t>
  </si>
  <si>
    <t>411-012</t>
  </si>
  <si>
    <t>412-012</t>
  </si>
  <si>
    <t>420-012</t>
  </si>
  <si>
    <t>427-012</t>
  </si>
  <si>
    <t>429-167</t>
  </si>
  <si>
    <t>429-168</t>
  </si>
  <si>
    <t>429-212</t>
  </si>
  <si>
    <t>429-250</t>
  </si>
  <si>
    <t>430-168</t>
  </si>
  <si>
    <t>433-012</t>
  </si>
  <si>
    <t>435-132</t>
  </si>
  <si>
    <t>435-168</t>
  </si>
  <si>
    <t>435-169</t>
  </si>
  <si>
    <t>435-212</t>
  </si>
  <si>
    <t>436-103</t>
  </si>
  <si>
    <t>436-168-2</t>
  </si>
  <si>
    <t>436-212-2</t>
  </si>
  <si>
    <t>437-166</t>
  </si>
  <si>
    <t>437-250</t>
  </si>
  <si>
    <t>437-290</t>
  </si>
  <si>
    <t>437-336</t>
  </si>
  <si>
    <t>438-290</t>
  </si>
  <si>
    <t>438-336</t>
  </si>
  <si>
    <t>438-418</t>
  </si>
  <si>
    <t>439-166</t>
  </si>
  <si>
    <t>449-012</t>
  </si>
  <si>
    <t>459-012</t>
  </si>
  <si>
    <t>463-012</t>
  </si>
  <si>
    <t>478-012</t>
  </si>
  <si>
    <t>1-1/4 TEE SLIP X SLIP X SLIP</t>
  </si>
  <si>
    <t>1-1/4 X 1 X 1/2" REDUCING TEE SXSXS</t>
  </si>
  <si>
    <t>1X3/4 REDUCING TEE SXSXS</t>
  </si>
  <si>
    <t>1X1/2 REDUCING TEE SXSXS</t>
  </si>
  <si>
    <t>1-1/4 X 1 X 3/4" REDUCING TEE SXSXS</t>
  </si>
  <si>
    <t>1-1/4 X 1 X 1" REDUCING TEE SXSXS</t>
  </si>
  <si>
    <t>1-1/4 X 1-1/4 X 1" REDUCING TEE SXSXS</t>
  </si>
  <si>
    <t>1-1/4 X 1-1/4 X 1-1/2" REDUCING TEE SXSXS</t>
  </si>
  <si>
    <t>1-1/2 X 1-1/4 X 1" REDUCING TEE SXSXS</t>
  </si>
  <si>
    <t>1-1/2 X 1-1/2 X 1-1/4" REDUCING TEE SXSXS</t>
  </si>
  <si>
    <t>1-1/4" TEESLIP X SLIP X FIPT</t>
  </si>
  <si>
    <t>1-1/4 X 1 X 1" REDUCING TEE SXSXFIPT</t>
  </si>
  <si>
    <t>1-1/4 X 1 X 3/4" REDUCING TEE SXSXFIPT</t>
  </si>
  <si>
    <t>1 X 1 X 1-1/4" REDUCING TEE SXSXFIPT</t>
  </si>
  <si>
    <t>2 X 2 X 1-1/4" REDUCING TEE SXSXFIPT</t>
  </si>
  <si>
    <t>1-1/2 X 1-1/2 X 1-1/4"REDUCING TEE SXSXFIPT</t>
  </si>
  <si>
    <t>1-1/2X1-1/2X1 REDUCING TEE SXSXFIPT</t>
  </si>
  <si>
    <t>1-1/2X1-1/2X3/4 REDUCING TEE SXSXFIPT</t>
  </si>
  <si>
    <t>1-1/2X1-1/2X1/2 REDUCING TEE SXSXFIPT</t>
  </si>
  <si>
    <t>1-1/2 X 1-1/4 X 1" REDUCING TEE SXSXFIPT</t>
  </si>
  <si>
    <t>1-1/4 X 1-1/4 X 1-1/2" REDUCING TEE SXSXFIPT</t>
  </si>
  <si>
    <t>1-1/4X1-1/4X1 REDUCING TEE SXSXFIPT</t>
  </si>
  <si>
    <t>1-1/4X1-1/4X3/4 REDUCING TEE SXSXFIPT</t>
  </si>
  <si>
    <t>1-1/4X1-1/4X1/2 REDUCING TEE SXSXFIPT</t>
  </si>
  <si>
    <t>1-1/4 X 1" REDUCING ELL SLIP X SLIP</t>
  </si>
  <si>
    <t>1-1/4" ELL SLIP X FIPT</t>
  </si>
  <si>
    <t>1-1/4 X 1" REDUCING ELL SXFIPT</t>
  </si>
  <si>
    <t>1-1/4" ELL FIPT X FIPT</t>
  </si>
  <si>
    <t>1-1/4" STREET ELL SPGXFIPT</t>
  </si>
  <si>
    <t>1-1/4" 90 STREET ELL MIPT X FIPT MARLEX</t>
  </si>
  <si>
    <t>1-1/4" CROSS SLIP</t>
  </si>
  <si>
    <t>1-1/4" 45 ELL SPGX SLIP</t>
  </si>
  <si>
    <t>1-1/4 X 3/4" REDUCER COUPLING S X S</t>
  </si>
  <si>
    <t>1-1/4 X 1" REDUCER COUPLING S X S</t>
  </si>
  <si>
    <t>1-1/2 X 1-1/4" REDUCER COUPLING S X S</t>
  </si>
  <si>
    <t>2 X 1-1/4" REDUCER COUPLING S X S</t>
  </si>
  <si>
    <t>1-1/4 X 1" RED THREADED COUPLING FXF</t>
  </si>
  <si>
    <t>1-1/4" MALE FITTING ADAPTER SPGX MIPT</t>
  </si>
  <si>
    <t>1 X 1-1/4" RED FEM ADAPTER SLIPXFIPT</t>
  </si>
  <si>
    <t>1-1/4 X 1" RED FEM ADAPTER SLIPXFIPT</t>
  </si>
  <si>
    <t>1-1/4 X 1-1/2" RED FEM ADAPTER SLIPXFIPT</t>
  </si>
  <si>
    <t>1-1/2 X 1-1/4" RED FEM ADAPTER SLIPXFIPT</t>
  </si>
  <si>
    <t>3/4 X 1-1/4" RED MALE ADAPTER MIPT X S</t>
  </si>
  <si>
    <t>1-1/4 X 1/2" REDUCER BUSHING SPGX SLIP</t>
  </si>
  <si>
    <t>2 X 1-1/4" REDUCER BUSHING SPGX S</t>
  </si>
  <si>
    <t>2-1/2 X 1-1/4" REDUCER BUSHING SPGX S</t>
  </si>
  <si>
    <t>3 X 1-1/4" REDUCER BUSHING SPGX SLIP</t>
  </si>
  <si>
    <t>2-1/2 X 1-1/4" REDUCER BUSHING SPGX FIPT</t>
  </si>
  <si>
    <t>3 X 1-1/4" REDUCER BUSHING SPGX FIPT</t>
  </si>
  <si>
    <t>4 X 1-1/4" REDUCER BUSHING SPGX FIPT</t>
  </si>
  <si>
    <t>1-1/4 X 1/2" REDUCER BUSHING MIPT X FIPT</t>
  </si>
  <si>
    <t>1-1/4" SPIGOT PLUG</t>
  </si>
  <si>
    <t>1-1/4" UNION SLIP X FIPT</t>
  </si>
  <si>
    <t>1-1/4" SNAP TEE SNAPXSLIP</t>
  </si>
  <si>
    <t>1-1/4" FEMALE FITTING ADAPTER SPG X FIPT</t>
  </si>
  <si>
    <t>1-1/4 X 1"RED MALE ADAPTER MIPT X S FLUSH STYLE</t>
  </si>
  <si>
    <t>1-1/2X1-1/4"RED MALE ADAPTER MIPT X S FLUSH STYLE</t>
  </si>
  <si>
    <t>Effective August, 18, 2026</t>
  </si>
  <si>
    <t>DWV082026</t>
  </si>
  <si>
    <t>PVCSCH40082026</t>
  </si>
  <si>
    <t>LDPVCSCH40082026</t>
  </si>
  <si>
    <t>POOLSWEEPELBOW082026</t>
  </si>
  <si>
    <t>POOLPIPEEXT082026</t>
  </si>
  <si>
    <t>PVCSCH80082026</t>
  </si>
  <si>
    <t>FLANGESSCH80082026</t>
  </si>
  <si>
    <t>LDFLANGESSCH80082026</t>
  </si>
  <si>
    <t>CPVCCTS082026</t>
  </si>
  <si>
    <t>INSERTFITTINGS082026</t>
  </si>
  <si>
    <t>VALVES082026</t>
  </si>
  <si>
    <t>SDR35SW082026</t>
  </si>
  <si>
    <t>SDR35G082026</t>
  </si>
  <si>
    <t>SDR26G082026</t>
  </si>
  <si>
    <t>CEMENTS082026</t>
  </si>
  <si>
    <t>VALVEBOX082026</t>
  </si>
  <si>
    <t>VALVEBOXCOMP082026</t>
  </si>
  <si>
    <t>DRAINAGE082026</t>
  </si>
  <si>
    <t>NIPPLES082026</t>
  </si>
  <si>
    <t>MANIFOLD082026</t>
  </si>
  <si>
    <t>FRC082026</t>
  </si>
  <si>
    <t>DF082026</t>
  </si>
  <si>
    <t>COMPFIT082026</t>
  </si>
  <si>
    <t>HOSEFIT082026</t>
  </si>
  <si>
    <t>SJ082026</t>
  </si>
  <si>
    <t>SJC082026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</si>
</sst>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4" formatCode="_(&quot;$&quot;* #,##0.00_);_(&quot;$&quot;* \(#,##0.00\);_(&quot;$&quot;* &quot;-&quot;??_);_(@_)"/>
    <numFmt numFmtId="43" formatCode="_(* #,##0.00_);_(* \(#,##0.00\);_(* &quot;-&quot;??_);_(@_)"/>
    <numFmt numFmtId="164" formatCode="_-* #,##0.00_-;\-* #,##0.00_-;_-* &quot;-&quot;??_-;_-@_-"/>
    <numFmt numFmtId="165" formatCode="[&lt;=9999999]###\-####;\(###\)\ ###\-####"/>
    <numFmt numFmtId="166" formatCode="0.0000"/>
    <numFmt numFmtId="167" formatCode="#,##0.0000_);[Red]\(#,##0.0000\)"/>
    <numFmt numFmtId="168" formatCode="_(* #,##0.0000_);_(* \(#,##0.0000\);_(* &quot;-&quot;????_);_(@_)"/>
    <numFmt numFmtId="169" formatCode="#,##0.0000"/>
    <numFmt numFmtId="170" formatCode="_(* #,##0.000_);_(* \(#,##0.000\);_(* &quot;-&quot;???_);_(@_)"/>
    <numFmt numFmtId="171" formatCode="#,##0.000_);[Red]\(#,##0.000\)"/>
    <numFmt numFmtId="172" formatCode="0.000"/>
  </numFmts>
  <fonts count="51">
    <font>
      <sz val="11"/>
      <color theme="1"/>
      <name val="Calibri"/>
      <family val="2"/>
      <scheme val="minor"/>
    </font>
    <font>
      <sz val="11"/>
      <color indexed="8"/>
      <name val="Calibri"/>
      <family val="2"/>
    </font>
    <font>
      <b/>
      <u/>
      <sz val="12"/>
      <color indexed="8"/>
      <name val="Arial Narrow"/>
      <family val="2"/>
    </font>
    <font>
      <b/>
      <sz val="12"/>
      <color indexed="8"/>
      <name val="Calibri"/>
      <family val="2"/>
    </font>
    <font>
      <sz val="12"/>
      <color indexed="8"/>
      <name val="Calibri"/>
      <family val="2"/>
    </font>
    <font>
      <b/>
      <u/>
      <sz val="12"/>
      <color indexed="8"/>
      <name val="Calibri"/>
      <family val="2"/>
    </font>
    <font>
      <sz val="11"/>
      <color theme="1"/>
      <name val="Calibri"/>
      <family val="2"/>
      <scheme val="minor"/>
    </font>
    <font>
      <sz val="11"/>
      <color theme="0"/>
      <name val="Calibri"/>
      <family val="2"/>
      <scheme val="minor"/>
    </font>
    <font>
      <b/>
      <sz val="11"/>
      <color theme="1"/>
      <name val="Calibri"/>
      <family val="2"/>
      <scheme val="minor"/>
    </font>
    <font>
      <b/>
      <u/>
      <sz val="12"/>
      <color theme="1"/>
      <name val="Arial Narrow"/>
      <family val="2"/>
    </font>
    <font>
      <sz val="11"/>
      <color indexed="8"/>
      <name val="Calibri"/>
      <family val="2"/>
      <scheme val="minor"/>
    </font>
    <font>
      <b/>
      <sz val="12"/>
      <color theme="1"/>
      <name val="Calibri"/>
      <family val="2"/>
      <scheme val="minor"/>
    </font>
    <font>
      <sz val="11"/>
      <name val="Calibri"/>
      <family val="2"/>
      <scheme val="minor"/>
    </font>
    <font>
      <u/>
      <sz val="11"/>
      <color theme="1"/>
      <name val="Calibri"/>
      <family val="2"/>
      <scheme val="minor"/>
    </font>
    <font>
      <sz val="12"/>
      <color theme="1"/>
      <name val="Calibri"/>
      <family val="2"/>
      <scheme val="minor"/>
    </font>
    <font>
      <sz val="11"/>
      <color rgb="FFFF0000"/>
      <name val="Calibri"/>
      <family val="2"/>
      <scheme val="minor"/>
    </font>
    <font>
      <sz val="9"/>
      <color rgb="FFFF0000"/>
      <name val="Arial"/>
      <family val="2"/>
    </font>
    <font>
      <b/>
      <sz val="9"/>
      <color theme="1"/>
      <name val="Calibri"/>
      <family val="2"/>
      <scheme val="minor"/>
    </font>
    <font>
      <b/>
      <sz val="11"/>
      <color theme="0"/>
      <name val="Calibri"/>
      <family val="2"/>
      <scheme val="minor"/>
    </font>
    <font>
      <b/>
      <sz val="11"/>
      <color rgb="FF002060"/>
      <name val="Calibri"/>
      <family val="2"/>
      <scheme val="minor"/>
    </font>
    <font>
      <sz val="12"/>
      <color indexed="8"/>
      <name val="Calibri"/>
      <family val="2"/>
      <scheme val="minor"/>
    </font>
    <font>
      <b/>
      <sz val="12"/>
      <color indexed="8"/>
      <name val="Calibri"/>
      <family val="2"/>
      <scheme val="minor"/>
    </font>
    <font>
      <b/>
      <u/>
      <sz val="12"/>
      <color indexed="8"/>
      <name val="Calibri"/>
      <family val="2"/>
      <scheme val="minor"/>
    </font>
    <font>
      <b/>
      <sz val="9"/>
      <name val="Calibri"/>
      <family val="2"/>
      <scheme val="minor"/>
    </font>
    <font>
      <b/>
      <sz val="10"/>
      <name val="Calibri"/>
      <family val="2"/>
      <scheme val="minor"/>
    </font>
    <font>
      <b/>
      <sz val="10"/>
      <color theme="0"/>
      <name val="Calibri"/>
      <family val="2"/>
      <scheme val="minor"/>
    </font>
    <font>
      <sz val="8"/>
      <color rgb="FF002060"/>
      <name val="Calibri"/>
      <family val="2"/>
      <scheme val="minor"/>
    </font>
    <font>
      <b/>
      <sz val="11"/>
      <color theme="0"/>
      <name val="Calibri"/>
      <family val="2"/>
    </font>
    <font>
      <b/>
      <sz val="11"/>
      <color theme="0"/>
      <name val="Wingdings 2"/>
      <family val="1"/>
      <charset val="2"/>
    </font>
    <font>
      <b/>
      <sz val="11"/>
      <color rgb="FFFF0000"/>
      <name val="Calibri"/>
      <family val="2"/>
      <scheme val="minor"/>
    </font>
    <font>
      <b/>
      <u/>
      <sz val="14"/>
      <color theme="1"/>
      <name val="Calibri"/>
      <family val="2"/>
      <scheme val="minor"/>
    </font>
    <font>
      <u/>
      <sz val="11"/>
      <color indexed="8"/>
      <name val="Calibri"/>
      <family val="2"/>
    </font>
    <font>
      <sz val="8"/>
      <name val="Calibri"/>
      <family val="2"/>
      <scheme val="minor"/>
    </font>
    <font>
      <sz val="9"/>
      <color theme="1"/>
      <name val="Calibri"/>
      <family val="2"/>
      <scheme val="minor"/>
    </font>
    <font>
      <b/>
      <sz val="9"/>
      <color theme="0"/>
      <name val="Calibri"/>
      <family val="2"/>
      <scheme val="minor"/>
    </font>
    <font>
      <sz val="14"/>
      <color theme="1"/>
      <name val="Calibri"/>
      <family val="2"/>
      <scheme val="minor"/>
    </font>
    <font>
      <b/>
      <u/>
      <sz val="16"/>
      <color theme="1"/>
      <name val="Calibri"/>
      <family val="2"/>
      <scheme val="minor"/>
    </font>
    <font>
      <b/>
      <sz val="8"/>
      <color theme="0"/>
      <name val="Calibri"/>
      <family val="2"/>
      <scheme val="minor"/>
    </font>
    <font>
      <sz val="8"/>
      <color theme="1"/>
      <name val="Calibri"/>
      <family val="2"/>
      <scheme val="minor"/>
    </font>
    <font>
      <sz val="10"/>
      <name val="Arial"/>
      <family val="2"/>
    </font>
    <font>
      <b/>
      <u/>
      <sz val="8"/>
      <color theme="1"/>
      <name val="Calibri"/>
      <family val="2"/>
      <scheme val="minor"/>
    </font>
    <font>
      <u/>
      <sz val="12"/>
      <color indexed="8"/>
      <name val="Arial Narrow"/>
      <family val="2"/>
    </font>
    <font>
      <b/>
      <sz val="11"/>
      <color theme="0"/>
      <name val="Calibri"/>
      <family val="1"/>
      <charset val="2"/>
    </font>
    <font>
      <b/>
      <u/>
      <sz val="11"/>
      <color theme="1"/>
      <name val="Calibri"/>
      <family val="2"/>
      <scheme val="minor"/>
    </font>
    <font>
      <sz val="11"/>
      <name val="Calibri"/>
      <scheme val="minor"/>
    </font>
    <font>
      <sz val="8"/>
      <color rgb="FF000000"/>
      <name val="Calibri"/>
      <scheme val="minor"/>
    </font>
    <font>
      <b/>
      <sz val="11"/>
      <color theme="1"/>
      <name val="Aptos Narrow"/>
      <family val="2"/>
      <charset val="1"/>
    </font>
    <font>
      <b/>
      <sz val="11"/>
      <color theme="1"/>
      <name val="Calibri"/>
      <family val="2"/>
      <charset val="1"/>
      <scheme val="minor"/>
    </font>
    <font>
      <b/>
      <sz val="11"/>
      <name val="Calibri"/>
      <family val="2"/>
      <scheme val="minor"/>
    </font>
    <font>
      <sz val="11"/>
      <color rgb="FF000000"/>
      <name val="Aptos Narrow"/>
      <family val="2"/>
    </font>
    <font>
      <sz val="8"/>
      <color rgb="FF00000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002060"/>
        <bgColor indexed="64"/>
      </patternFill>
    </fill>
    <fill>
      <patternFill patternType="solid">
        <fgColor theme="0" tint="-0.14999847407452621"/>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rgb="FFFF0000"/>
      </left>
      <right style="medium">
        <color rgb="FFFF0000"/>
      </right>
      <top style="medium">
        <color rgb="FFFF0000"/>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medium">
        <color rgb="FFFF0000"/>
      </left>
      <right style="medium">
        <color rgb="FFFF0000"/>
      </right>
      <top/>
      <bottom style="thin">
        <color indexed="64"/>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medium">
        <color rgb="FFFF0000"/>
      </left>
      <right style="medium">
        <color rgb="FFFF0000"/>
      </right>
      <top style="thin">
        <color indexed="64"/>
      </top>
      <bottom/>
      <diagonal/>
    </border>
    <border>
      <left style="medium">
        <color indexed="10"/>
      </left>
      <right style="medium">
        <color indexed="10"/>
      </right>
      <top style="medium">
        <color indexed="10"/>
      </top>
      <bottom style="thin">
        <color indexed="64"/>
      </bottom>
      <diagonal/>
    </border>
    <border>
      <left style="medium">
        <color indexed="10"/>
      </left>
      <right style="medium">
        <color indexed="10"/>
      </right>
      <top style="thin">
        <color indexed="64"/>
      </top>
      <bottom style="thin">
        <color indexed="64"/>
      </bottom>
      <diagonal/>
    </border>
    <border>
      <left style="medium">
        <color indexed="10"/>
      </left>
      <right style="medium">
        <color indexed="10"/>
      </right>
      <top/>
      <bottom style="thin">
        <color indexed="64"/>
      </bottom>
      <diagonal/>
    </border>
    <border>
      <left style="medium">
        <color indexed="10"/>
      </left>
      <right style="medium">
        <color indexed="10"/>
      </right>
      <top style="thin">
        <color indexed="64"/>
      </top>
      <bottom/>
      <diagonal/>
    </border>
    <border>
      <left style="medium">
        <color indexed="10"/>
      </left>
      <right style="medium">
        <color indexed="10"/>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rgb="FFFF0000"/>
      </left>
      <right style="medium">
        <color rgb="FFFF0000"/>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FF0000"/>
      </left>
      <right style="medium">
        <color rgb="FFFF0000"/>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rgb="FFFF0000"/>
      </left>
      <right style="medium">
        <color rgb="FFFF0000"/>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rgb="FFFF0000"/>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rgb="FFFF0000"/>
      </left>
      <right style="thin">
        <color indexed="64"/>
      </right>
      <top/>
      <bottom/>
      <diagonal/>
    </border>
    <border>
      <left/>
      <right style="medium">
        <color rgb="FFFF0000"/>
      </right>
      <top style="thin">
        <color indexed="64"/>
      </top>
      <bottom style="thin">
        <color indexed="64"/>
      </bottom>
      <diagonal/>
    </border>
    <border>
      <left/>
      <right style="medium">
        <color rgb="FFFF0000"/>
      </right>
      <top/>
      <bottom style="thin">
        <color indexed="64"/>
      </bottom>
      <diagonal/>
    </border>
    <border>
      <left/>
      <right style="medium">
        <color rgb="FFFF0000"/>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rgb="FFFF0000"/>
      </left>
      <right style="thin">
        <color indexed="64"/>
      </right>
      <top/>
      <bottom style="thin">
        <color indexed="64"/>
      </bottom>
      <diagonal/>
    </border>
    <border>
      <left style="medium">
        <color rgb="FFFF0000"/>
      </left>
      <right style="medium">
        <color rgb="FFFF0000"/>
      </right>
      <top style="thin">
        <color theme="1"/>
      </top>
      <bottom style="thin">
        <color indexed="64"/>
      </bottom>
      <diagonal/>
    </border>
    <border>
      <left style="thin">
        <color indexed="64"/>
      </left>
      <right style="medium">
        <color rgb="FFFF0000"/>
      </right>
      <top/>
      <bottom style="thin">
        <color indexed="64"/>
      </bottom>
      <diagonal/>
    </border>
    <border>
      <left style="medium">
        <color rgb="FFFF0000"/>
      </left>
      <right style="medium">
        <color rgb="FFFF0000"/>
      </right>
      <top/>
      <bottom style="thin">
        <color theme="1"/>
      </bottom>
      <diagonal/>
    </border>
    <border>
      <left style="thin">
        <color indexed="64"/>
      </left>
      <right style="thin">
        <color indexed="64"/>
      </right>
      <top/>
      <bottom style="thin">
        <color theme="1"/>
      </bottom>
      <diagonal/>
    </border>
    <border>
      <left/>
      <right style="thin">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1">
    <xf numFmtId="0" fontId="0" fillId="0" borderId="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44" fontId="1" fillId="0" borderId="0" applyFont="0" applyFill="0" applyBorder="0" applyAlignment="0" applyProtection="0"/>
    <xf numFmtId="9" fontId="1" fillId="0" borderId="0" applyFont="0" applyFill="0" applyBorder="0" applyAlignment="0" applyProtection="0"/>
    <xf numFmtId="164" fontId="6" fillId="0" borderId="0" applyFont="0" applyFill="0" applyBorder="0" applyAlignment="0" applyProtection="0"/>
    <xf numFmtId="0" fontId="39" fillId="0" borderId="0"/>
  </cellStyleXfs>
  <cellXfs count="728">
    <xf numFmtId="0" fontId="0" fillId="0" borderId="0" xfId="0"/>
    <xf numFmtId="0" fontId="0" fillId="0" borderId="1" xfId="0" applyBorder="1" applyAlignment="1" applyProtection="1">
      <alignment horizontal="center"/>
      <protection hidden="1"/>
    </xf>
    <xf numFmtId="0" fontId="0" fillId="0" borderId="0" xfId="0" applyProtection="1">
      <protection hidden="1"/>
    </xf>
    <xf numFmtId="0" fontId="0" fillId="0" borderId="0" xfId="0" applyAlignment="1" applyProtection="1">
      <alignment horizontal="right"/>
      <protection hidden="1"/>
    </xf>
    <xf numFmtId="0" fontId="0" fillId="0" borderId="0" xfId="0" applyAlignment="1" applyProtection="1">
      <alignment horizontal="center"/>
      <protection hidden="1"/>
    </xf>
    <xf numFmtId="0" fontId="7" fillId="0" borderId="0" xfId="0" applyFont="1" applyProtection="1">
      <protection hidden="1"/>
    </xf>
    <xf numFmtId="0" fontId="12" fillId="0" borderId="1" xfId="0" applyFont="1" applyBorder="1" applyAlignment="1" applyProtection="1">
      <alignment horizontal="center"/>
      <protection hidden="1"/>
    </xf>
    <xf numFmtId="169" fontId="0" fillId="0" borderId="0" xfId="0" applyNumberFormat="1" applyAlignment="1" applyProtection="1">
      <alignment horizontal="right"/>
      <protection hidden="1"/>
    </xf>
    <xf numFmtId="0" fontId="0" fillId="0" borderId="0" xfId="0" applyAlignment="1" applyProtection="1">
      <alignment horizontal="left"/>
      <protection hidden="1"/>
    </xf>
    <xf numFmtId="1" fontId="0" fillId="0" borderId="0" xfId="0" applyNumberFormat="1" applyProtection="1">
      <protection hidden="1"/>
    </xf>
    <xf numFmtId="167" fontId="0" fillId="0" borderId="0" xfId="0" applyNumberFormat="1" applyAlignment="1" applyProtection="1">
      <alignment horizontal="right"/>
      <protection hidden="1"/>
    </xf>
    <xf numFmtId="166" fontId="0" fillId="0" borderId="0" xfId="0" applyNumberFormat="1" applyProtection="1">
      <protection hidden="1"/>
    </xf>
    <xf numFmtId="0" fontId="9" fillId="0" borderId="0" xfId="0" applyFont="1" applyAlignment="1" applyProtection="1">
      <alignment horizontal="center"/>
      <protection hidden="1"/>
    </xf>
    <xf numFmtId="166" fontId="6" fillId="0" borderId="0" xfId="15" applyNumberFormat="1" applyFont="1" applyFill="1" applyAlignment="1" applyProtection="1">
      <alignment horizontal="center"/>
      <protection hidden="1"/>
    </xf>
    <xf numFmtId="0" fontId="7" fillId="0" borderId="0" xfId="0" applyFont="1" applyAlignment="1" applyProtection="1">
      <alignment horizontal="center"/>
      <protection hidden="1"/>
    </xf>
    <xf numFmtId="0" fontId="0" fillId="0" borderId="1" xfId="0" applyBorder="1" applyAlignment="1" applyProtection="1">
      <alignment horizontal="left"/>
      <protection hidden="1"/>
    </xf>
    <xf numFmtId="0" fontId="0" fillId="0" borderId="17" xfId="0" applyBorder="1" applyAlignment="1" applyProtection="1">
      <alignment horizontal="center"/>
      <protection hidden="1"/>
    </xf>
    <xf numFmtId="0" fontId="0" fillId="0" borderId="0" xfId="0" applyAlignment="1" applyProtection="1">
      <alignment vertical="center"/>
      <protection hidden="1"/>
    </xf>
    <xf numFmtId="167" fontId="0" fillId="0" borderId="0" xfId="0" applyNumberFormat="1" applyProtection="1">
      <protection hidden="1"/>
    </xf>
    <xf numFmtId="0" fontId="2" fillId="0" borderId="0" xfId="0" applyFont="1" applyAlignment="1" applyProtection="1">
      <alignment horizontal="center"/>
      <protection hidden="1"/>
    </xf>
    <xf numFmtId="0" fontId="0" fillId="0" borderId="0" xfId="0" applyAlignment="1" applyProtection="1">
      <alignment horizontal="center" vertical="center"/>
      <protection hidden="1"/>
    </xf>
    <xf numFmtId="167" fontId="0" fillId="0" borderId="0" xfId="0" applyNumberFormat="1" applyAlignment="1" applyProtection="1">
      <alignment horizontal="right" vertical="center"/>
      <protection hidden="1"/>
    </xf>
    <xf numFmtId="0" fontId="12" fillId="0" borderId="9" xfId="0" applyFont="1" applyBorder="1" applyAlignment="1" applyProtection="1">
      <alignment horizontal="center"/>
      <protection hidden="1"/>
    </xf>
    <xf numFmtId="0" fontId="0" fillId="0" borderId="4" xfId="0" applyBorder="1" applyProtection="1">
      <protection hidden="1"/>
    </xf>
    <xf numFmtId="0" fontId="2" fillId="0" borderId="0" xfId="0" applyFont="1" applyAlignment="1" applyProtection="1">
      <alignment horizontal="left"/>
      <protection hidden="1"/>
    </xf>
    <xf numFmtId="169" fontId="0" fillId="0" borderId="0" xfId="0" applyNumberFormat="1" applyAlignment="1" applyProtection="1">
      <alignment horizontal="right" vertical="center"/>
      <protection hidden="1"/>
    </xf>
    <xf numFmtId="4" fontId="16" fillId="0" borderId="0" xfId="0" applyNumberFormat="1" applyFont="1" applyAlignment="1" applyProtection="1">
      <alignment horizontal="center" vertical="center"/>
      <protection hidden="1"/>
    </xf>
    <xf numFmtId="4" fontId="16" fillId="0" borderId="0" xfId="0" applyNumberFormat="1" applyFont="1" applyAlignment="1" applyProtection="1">
      <alignment horizontal="left" vertical="center"/>
      <protection hidden="1"/>
    </xf>
    <xf numFmtId="0" fontId="6" fillId="0" borderId="0" xfId="15" applyNumberFormat="1" applyFont="1" applyFill="1" applyAlignment="1" applyProtection="1">
      <alignment horizontal="center"/>
      <protection hidden="1"/>
    </xf>
    <xf numFmtId="43" fontId="6" fillId="0" borderId="0" xfId="1" applyFont="1" applyBorder="1" applyAlignment="1" applyProtection="1">
      <alignment horizontal="center"/>
      <protection hidden="1"/>
    </xf>
    <xf numFmtId="14" fontId="0" fillId="0" borderId="0" xfId="0" applyNumberFormat="1" applyAlignment="1" applyProtection="1">
      <alignment horizontal="left"/>
      <protection hidden="1"/>
    </xf>
    <xf numFmtId="0" fontId="0" fillId="0" borderId="3" xfId="0" applyBorder="1" applyAlignment="1" applyProtection="1">
      <alignment horizontal="center" wrapText="1"/>
      <protection hidden="1"/>
    </xf>
    <xf numFmtId="0" fontId="0" fillId="0" borderId="0" xfId="0" applyAlignment="1" applyProtection="1">
      <alignment horizontal="center" wrapText="1"/>
      <protection hidden="1"/>
    </xf>
    <xf numFmtId="0" fontId="0" fillId="0" borderId="6" xfId="0" applyBorder="1" applyProtection="1">
      <protection hidden="1"/>
    </xf>
    <xf numFmtId="0" fontId="0" fillId="0" borderId="1" xfId="0" applyBorder="1" applyAlignment="1" applyProtection="1">
      <alignment horizontal="center"/>
      <protection locked="0" hidden="1"/>
    </xf>
    <xf numFmtId="0" fontId="0" fillId="0" borderId="11" xfId="0" applyBorder="1" applyAlignment="1" applyProtection="1">
      <alignment horizontal="center"/>
      <protection locked="0" hidden="1"/>
    </xf>
    <xf numFmtId="0" fontId="0" fillId="0" borderId="1" xfId="0" applyBorder="1" applyAlignment="1" applyProtection="1">
      <alignment horizontal="left"/>
      <protection locked="0" hidden="1"/>
    </xf>
    <xf numFmtId="166" fontId="0" fillId="0" borderId="12" xfId="0" applyNumberFormat="1" applyBorder="1" applyAlignment="1" applyProtection="1">
      <alignment horizontal="right"/>
      <protection locked="0" hidden="1"/>
    </xf>
    <xf numFmtId="168" fontId="6" fillId="0" borderId="1" xfId="1" applyNumberFormat="1" applyFont="1" applyBorder="1" applyAlignment="1" applyProtection="1">
      <alignment horizontal="right"/>
      <protection hidden="1"/>
    </xf>
    <xf numFmtId="14" fontId="0" fillId="0" borderId="1" xfId="0" applyNumberFormat="1" applyBorder="1" applyAlignment="1" applyProtection="1">
      <alignment horizontal="center"/>
      <protection locked="0" hidden="1"/>
    </xf>
    <xf numFmtId="1" fontId="18" fillId="4" borderId="25" xfId="0" applyNumberFormat="1" applyFont="1" applyFill="1" applyBorder="1" applyAlignment="1" applyProtection="1">
      <alignment horizontal="center" vertical="center" wrapText="1"/>
      <protection hidden="1"/>
    </xf>
    <xf numFmtId="40" fontId="18" fillId="4" borderId="25" xfId="0" applyNumberFormat="1" applyFont="1" applyFill="1" applyBorder="1" applyAlignment="1" applyProtection="1">
      <alignment horizontal="center" vertical="center" wrapText="1"/>
      <protection hidden="1"/>
    </xf>
    <xf numFmtId="0" fontId="18" fillId="4" borderId="25" xfId="0" applyFont="1" applyFill="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8" fillId="4" borderId="25" xfId="0" applyFont="1" applyFill="1" applyBorder="1" applyAlignment="1" applyProtection="1">
      <alignment vertical="center" wrapText="1"/>
      <protection hidden="1"/>
    </xf>
    <xf numFmtId="0" fontId="0" fillId="0" borderId="0" xfId="0" applyAlignment="1" applyProtection="1">
      <alignment horizontal="center" vertical="center" wrapText="1"/>
      <protection hidden="1"/>
    </xf>
    <xf numFmtId="170" fontId="6" fillId="0" borderId="1" xfId="1" applyNumberFormat="1" applyFont="1" applyBorder="1" applyProtection="1">
      <protection hidden="1"/>
    </xf>
    <xf numFmtId="2" fontId="19" fillId="0" borderId="15" xfId="0" applyNumberFormat="1" applyFont="1" applyBorder="1" applyAlignment="1" applyProtection="1">
      <alignment horizontal="center"/>
      <protection hidden="1"/>
    </xf>
    <xf numFmtId="0" fontId="0" fillId="0" borderId="17" xfId="0" applyBorder="1" applyProtection="1">
      <protection hidden="1"/>
    </xf>
    <xf numFmtId="0" fontId="0" fillId="0" borderId="18" xfId="0" applyBorder="1" applyProtection="1">
      <protection hidden="1"/>
    </xf>
    <xf numFmtId="170" fontId="6" fillId="0" borderId="9" xfId="1" applyNumberFormat="1" applyFont="1" applyBorder="1" applyProtection="1">
      <protection hidden="1"/>
    </xf>
    <xf numFmtId="1" fontId="10" fillId="0" borderId="1" xfId="0" applyNumberFormat="1"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10" fillId="0" borderId="1" xfId="0" applyFont="1" applyBorder="1" applyAlignment="1" applyProtection="1">
      <alignment horizontal="left" vertical="center"/>
      <protection hidden="1"/>
    </xf>
    <xf numFmtId="170" fontId="6" fillId="0" borderId="1" xfId="1" applyNumberFormat="1" applyFont="1" applyBorder="1" applyAlignment="1" applyProtection="1">
      <alignment horizontal="center"/>
      <protection hidden="1"/>
    </xf>
    <xf numFmtId="168" fontId="6" fillId="0" borderId="9" xfId="1" applyNumberFormat="1" applyFont="1" applyBorder="1" applyAlignment="1" applyProtection="1">
      <alignment horizontal="right"/>
      <protection hidden="1"/>
    </xf>
    <xf numFmtId="0" fontId="0" fillId="0" borderId="0" xfId="0" applyAlignment="1" applyProtection="1">
      <alignment vertical="center" wrapText="1"/>
      <protection hidden="1"/>
    </xf>
    <xf numFmtId="0" fontId="18" fillId="0" borderId="0" xfId="0" applyFont="1" applyAlignment="1" applyProtection="1">
      <alignment horizontal="center" wrapText="1"/>
      <protection hidden="1"/>
    </xf>
    <xf numFmtId="49" fontId="18" fillId="4" borderId="0" xfId="0" applyNumberFormat="1" applyFont="1" applyFill="1" applyAlignment="1" applyProtection="1">
      <alignment horizontal="center" wrapText="1"/>
      <protection hidden="1"/>
    </xf>
    <xf numFmtId="40" fontId="18" fillId="4" borderId="0" xfId="0" applyNumberFormat="1" applyFont="1" applyFill="1" applyAlignment="1" applyProtection="1">
      <alignment horizontal="center" wrapText="1"/>
      <protection hidden="1"/>
    </xf>
    <xf numFmtId="0" fontId="27" fillId="4" borderId="0" xfId="0" applyFont="1" applyFill="1" applyAlignment="1" applyProtection="1">
      <alignment horizontal="center" wrapText="1"/>
      <protection hidden="1"/>
    </xf>
    <xf numFmtId="0" fontId="24" fillId="2" borderId="13" xfId="0" applyFont="1" applyFill="1" applyBorder="1" applyAlignment="1" applyProtection="1">
      <alignment horizontal="center"/>
      <protection hidden="1"/>
    </xf>
    <xf numFmtId="0" fontId="0" fillId="2" borderId="1" xfId="0" applyFill="1" applyBorder="1" applyAlignment="1" applyProtection="1">
      <alignment horizontal="center"/>
      <protection locked="0" hidden="1"/>
    </xf>
    <xf numFmtId="0" fontId="0" fillId="2" borderId="11" xfId="0" applyFill="1" applyBorder="1" applyAlignment="1" applyProtection="1">
      <alignment horizontal="center"/>
      <protection locked="0" hidden="1"/>
    </xf>
    <xf numFmtId="0" fontId="0" fillId="2" borderId="1" xfId="0" applyFill="1" applyBorder="1" applyAlignment="1" applyProtection="1">
      <alignment horizontal="left"/>
      <protection locked="0" hidden="1"/>
    </xf>
    <xf numFmtId="166" fontId="0" fillId="2" borderId="12" xfId="0" applyNumberFormat="1" applyFill="1" applyBorder="1" applyAlignment="1" applyProtection="1">
      <alignment horizontal="right"/>
      <protection locked="0" hidden="1"/>
    </xf>
    <xf numFmtId="168" fontId="6" fillId="2" borderId="1" xfId="1" applyNumberFormat="1" applyFont="1" applyFill="1" applyBorder="1" applyAlignment="1" applyProtection="1">
      <alignment horizontal="right"/>
      <protection hidden="1"/>
    </xf>
    <xf numFmtId="44" fontId="6" fillId="2" borderId="10" xfId="14" applyFont="1" applyFill="1" applyBorder="1" applyAlignment="1" applyProtection="1">
      <alignment horizontal="right"/>
      <protection hidden="1"/>
    </xf>
    <xf numFmtId="0" fontId="0" fillId="0" borderId="0" xfId="0" applyAlignment="1" applyProtection="1">
      <alignment horizontal="right" vertical="top"/>
      <protection hidden="1"/>
    </xf>
    <xf numFmtId="0" fontId="29" fillId="0" borderId="0" xfId="0" applyFont="1" applyAlignment="1" applyProtection="1">
      <alignment horizontal="right"/>
      <protection hidden="1"/>
    </xf>
    <xf numFmtId="0" fontId="0" fillId="0" borderId="30" xfId="0" applyBorder="1" applyProtection="1">
      <protection locked="0" hidden="1"/>
    </xf>
    <xf numFmtId="0" fontId="0" fillId="0" borderId="31" xfId="0" applyBorder="1" applyProtection="1">
      <protection locked="0" hidden="1"/>
    </xf>
    <xf numFmtId="0" fontId="0" fillId="0" borderId="33" xfId="0" applyBorder="1" applyProtection="1">
      <protection locked="0" hidden="1"/>
    </xf>
    <xf numFmtId="0" fontId="0" fillId="0" borderId="31" xfId="0" applyBorder="1" applyAlignment="1" applyProtection="1">
      <alignment vertical="center"/>
      <protection locked="0" hidden="1"/>
    </xf>
    <xf numFmtId="0" fontId="0" fillId="0" borderId="31" xfId="0" applyBorder="1" applyAlignment="1" applyProtection="1">
      <alignment horizontal="center"/>
      <protection locked="0" hidden="1"/>
    </xf>
    <xf numFmtId="0" fontId="0" fillId="0" borderId="31" xfId="0" applyBorder="1" applyAlignment="1" applyProtection="1">
      <alignment horizontal="center" vertical="center"/>
      <protection locked="0" hidden="1"/>
    </xf>
    <xf numFmtId="0" fontId="0" fillId="0" borderId="17" xfId="0" applyBorder="1" applyAlignment="1" applyProtection="1">
      <alignment vertical="center"/>
      <protection hidden="1"/>
    </xf>
    <xf numFmtId="0" fontId="8" fillId="0" borderId="4" xfId="0" applyFont="1" applyBorder="1" applyAlignment="1" applyProtection="1">
      <alignment horizontal="center"/>
      <protection hidden="1"/>
    </xf>
    <xf numFmtId="0" fontId="8" fillId="2" borderId="12" xfId="0" applyFont="1" applyFill="1" applyBorder="1" applyAlignment="1" applyProtection="1">
      <alignment horizontal="center"/>
      <protection hidden="1"/>
    </xf>
    <xf numFmtId="0" fontId="8" fillId="0" borderId="12" xfId="0" applyFont="1" applyBorder="1" applyAlignment="1" applyProtection="1">
      <alignment horizontal="center"/>
      <protection hidden="1"/>
    </xf>
    <xf numFmtId="0" fontId="8" fillId="2" borderId="4" xfId="0" applyFont="1" applyFill="1" applyBorder="1" applyAlignment="1" applyProtection="1">
      <alignment horizontal="center"/>
      <protection hidden="1"/>
    </xf>
    <xf numFmtId="168" fontId="6" fillId="0" borderId="18" xfId="1" applyNumberFormat="1" applyFont="1" applyBorder="1" applyAlignment="1" applyProtection="1">
      <alignment horizontal="right"/>
      <protection hidden="1"/>
    </xf>
    <xf numFmtId="168" fontId="6" fillId="2" borderId="11" xfId="1" applyNumberFormat="1" applyFont="1" applyFill="1" applyBorder="1" applyAlignment="1" applyProtection="1">
      <alignment horizontal="right"/>
      <protection hidden="1"/>
    </xf>
    <xf numFmtId="168" fontId="6" fillId="0" borderId="11" xfId="1" applyNumberFormat="1" applyFont="1" applyBorder="1" applyAlignment="1" applyProtection="1">
      <alignment horizontal="right"/>
      <protection hidden="1"/>
    </xf>
    <xf numFmtId="0" fontId="18" fillId="4" borderId="7" xfId="0" applyFont="1" applyFill="1" applyBorder="1" applyAlignment="1" applyProtection="1">
      <alignment horizontal="center" vertical="center" wrapText="1"/>
      <protection hidden="1"/>
    </xf>
    <xf numFmtId="0" fontId="8" fillId="0" borderId="34" xfId="0" applyFont="1" applyBorder="1" applyAlignment="1" applyProtection="1">
      <alignment horizontal="center"/>
      <protection locked="0" hidden="1"/>
    </xf>
    <xf numFmtId="0" fontId="0" fillId="0" borderId="35" xfId="0" applyBorder="1" applyAlignment="1" applyProtection="1">
      <alignment horizontal="center"/>
      <protection locked="0" hidden="1"/>
    </xf>
    <xf numFmtId="0" fontId="0" fillId="0" borderId="36" xfId="0" applyBorder="1" applyAlignment="1" applyProtection="1">
      <alignment horizontal="center"/>
      <protection locked="0" hidden="1"/>
    </xf>
    <xf numFmtId="0" fontId="0" fillId="0" borderId="35" xfId="0" applyBorder="1" applyAlignment="1" applyProtection="1">
      <alignment horizontal="left"/>
      <protection locked="0" hidden="1"/>
    </xf>
    <xf numFmtId="166" fontId="0" fillId="0" borderId="37" xfId="0" applyNumberFormat="1" applyBorder="1" applyAlignment="1" applyProtection="1">
      <alignment horizontal="right"/>
      <protection locked="0" hidden="1"/>
    </xf>
    <xf numFmtId="0" fontId="0" fillId="0" borderId="38" xfId="0" applyBorder="1" applyAlignment="1" applyProtection="1">
      <alignment horizontal="center"/>
      <protection locked="0" hidden="1"/>
    </xf>
    <xf numFmtId="0" fontId="8" fillId="2" borderId="39" xfId="0" applyFont="1" applyFill="1" applyBorder="1" applyAlignment="1" applyProtection="1">
      <alignment horizontal="center"/>
      <protection locked="0" hidden="1"/>
    </xf>
    <xf numFmtId="0" fontId="0" fillId="2" borderId="40" xfId="0" applyFill="1" applyBorder="1" applyAlignment="1" applyProtection="1">
      <alignment horizontal="center"/>
      <protection locked="0" hidden="1"/>
    </xf>
    <xf numFmtId="0" fontId="8" fillId="0" borderId="39" xfId="0" applyFont="1" applyBorder="1" applyAlignment="1" applyProtection="1">
      <alignment horizontal="center"/>
      <protection locked="0" hidden="1"/>
    </xf>
    <xf numFmtId="0" fontId="0" fillId="0" borderId="40" xfId="0" applyBorder="1" applyAlignment="1" applyProtection="1">
      <alignment horizontal="center"/>
      <protection locked="0" hidden="1"/>
    </xf>
    <xf numFmtId="0" fontId="8" fillId="0" borderId="41" xfId="0" applyFont="1" applyBorder="1" applyAlignment="1" applyProtection="1">
      <alignment horizontal="center"/>
      <protection locked="0" hidden="1"/>
    </xf>
    <xf numFmtId="0" fontId="0" fillId="0" borderId="42" xfId="0" applyBorder="1" applyAlignment="1" applyProtection="1">
      <alignment horizontal="center"/>
      <protection locked="0" hidden="1"/>
    </xf>
    <xf numFmtId="0" fontId="0" fillId="0" borderId="43" xfId="0" applyBorder="1" applyAlignment="1" applyProtection="1">
      <alignment horizontal="center"/>
      <protection locked="0" hidden="1"/>
    </xf>
    <xf numFmtId="0" fontId="0" fillId="0" borderId="42" xfId="0" applyBorder="1" applyAlignment="1" applyProtection="1">
      <alignment horizontal="left"/>
      <protection locked="0" hidden="1"/>
    </xf>
    <xf numFmtId="166" fontId="0" fillId="0" borderId="44" xfId="0" applyNumberFormat="1" applyBorder="1" applyAlignment="1" applyProtection="1">
      <alignment horizontal="right"/>
      <protection locked="0" hidden="1"/>
    </xf>
    <xf numFmtId="0" fontId="0" fillId="0" borderId="45" xfId="0" applyBorder="1" applyAlignment="1" applyProtection="1">
      <alignment horizontal="center"/>
      <protection locked="0" hidden="1"/>
    </xf>
    <xf numFmtId="0" fontId="7" fillId="0" borderId="0" xfId="0" applyFont="1" applyAlignment="1" applyProtection="1">
      <alignment vertical="center"/>
      <protection hidden="1"/>
    </xf>
    <xf numFmtId="0" fontId="0" fillId="0" borderId="1" xfId="0" applyBorder="1" applyAlignment="1" applyProtection="1">
      <alignment vertical="center"/>
      <protection hidden="1"/>
    </xf>
    <xf numFmtId="0" fontId="0" fillId="0" borderId="1" xfId="0" applyBorder="1" applyAlignment="1" applyProtection="1">
      <alignment horizontal="center" vertical="center"/>
      <protection hidden="1"/>
    </xf>
    <xf numFmtId="170" fontId="6" fillId="0" borderId="11" xfId="1" applyNumberFormat="1" applyFont="1" applyBorder="1" applyAlignment="1" applyProtection="1">
      <alignment horizontal="center" vertical="center"/>
      <protection hidden="1"/>
    </xf>
    <xf numFmtId="0" fontId="0" fillId="0" borderId="32" xfId="0" applyBorder="1" applyAlignment="1" applyProtection="1">
      <alignment vertical="center"/>
      <protection locked="0" hidden="1"/>
    </xf>
    <xf numFmtId="0" fontId="0" fillId="0" borderId="30" xfId="0" applyBorder="1" applyAlignment="1" applyProtection="1">
      <alignment vertical="center"/>
      <protection locked="0" hidden="1"/>
    </xf>
    <xf numFmtId="0" fontId="0" fillId="0" borderId="2" xfId="0" applyBorder="1" applyAlignment="1" applyProtection="1">
      <alignment vertical="center"/>
      <protection hidden="1"/>
    </xf>
    <xf numFmtId="0" fontId="0" fillId="0" borderId="20" xfId="0" applyBorder="1" applyAlignment="1" applyProtection="1">
      <alignment vertical="center"/>
      <protection hidden="1"/>
    </xf>
    <xf numFmtId="0" fontId="0" fillId="0" borderId="6" xfId="0" applyBorder="1" applyAlignment="1" applyProtection="1">
      <alignment vertical="center"/>
      <protection hidden="1"/>
    </xf>
    <xf numFmtId="0" fontId="0" fillId="0" borderId="4" xfId="0" applyBorder="1" applyAlignment="1" applyProtection="1">
      <alignment vertical="center"/>
      <protection hidden="1"/>
    </xf>
    <xf numFmtId="0" fontId="0" fillId="0" borderId="18" xfId="0" applyBorder="1" applyAlignment="1" applyProtection="1">
      <alignment vertical="center"/>
      <protection hidden="1"/>
    </xf>
    <xf numFmtId="0" fontId="0" fillId="0" borderId="6"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170" fontId="6" fillId="0" borderId="1" xfId="1" applyNumberFormat="1" applyFont="1" applyBorder="1" applyAlignment="1" applyProtection="1">
      <alignment vertical="center"/>
      <protection hidden="1"/>
    </xf>
    <xf numFmtId="170" fontId="6" fillId="0" borderId="9" xfId="1" applyNumberFormat="1" applyFont="1" applyBorder="1" applyAlignment="1" applyProtection="1">
      <alignment vertical="center"/>
      <protection hidden="1"/>
    </xf>
    <xf numFmtId="171" fontId="0" fillId="0" borderId="0" xfId="0" applyNumberFormat="1" applyProtection="1">
      <protection hidden="1"/>
    </xf>
    <xf numFmtId="171" fontId="0" fillId="0" borderId="0" xfId="0" applyNumberFormat="1" applyAlignment="1" applyProtection="1">
      <alignment vertical="center"/>
      <protection hidden="1"/>
    </xf>
    <xf numFmtId="0" fontId="0" fillId="0" borderId="48" xfId="0" applyBorder="1" applyAlignment="1" applyProtection="1">
      <alignment vertical="center"/>
      <protection locked="0" hidden="1"/>
    </xf>
    <xf numFmtId="0" fontId="0" fillId="0" borderId="47" xfId="0" applyBorder="1" applyAlignment="1" applyProtection="1">
      <alignment vertical="center"/>
      <protection locked="0" hidden="1"/>
    </xf>
    <xf numFmtId="0" fontId="0" fillId="0" borderId="50" xfId="0" applyBorder="1" applyAlignment="1" applyProtection="1">
      <alignment vertical="center"/>
      <protection locked="0" hidden="1"/>
    </xf>
    <xf numFmtId="0" fontId="0" fillId="0" borderId="51" xfId="0" applyBorder="1" applyAlignment="1" applyProtection="1">
      <alignment vertical="center"/>
      <protection locked="0" hidden="1"/>
    </xf>
    <xf numFmtId="0" fontId="0" fillId="0" borderId="49" xfId="0" applyBorder="1" applyAlignment="1" applyProtection="1">
      <alignment vertical="center"/>
      <protection locked="0" hidden="1"/>
    </xf>
    <xf numFmtId="43" fontId="0" fillId="0" borderId="1" xfId="1" applyFont="1" applyBorder="1" applyAlignment="1" applyProtection="1">
      <alignment horizontal="right" vertical="center"/>
      <protection hidden="1"/>
    </xf>
    <xf numFmtId="41" fontId="0" fillId="0" borderId="1" xfId="1" applyNumberFormat="1" applyFont="1" applyBorder="1" applyAlignment="1" applyProtection="1">
      <alignment horizontal="center" vertical="center"/>
      <protection hidden="1"/>
    </xf>
    <xf numFmtId="0" fontId="0" fillId="0" borderId="1" xfId="0" applyBorder="1" applyAlignment="1">
      <alignment horizontal="center"/>
    </xf>
    <xf numFmtId="0" fontId="0" fillId="0" borderId="7" xfId="0" applyBorder="1" applyAlignment="1">
      <alignment horizontal="center"/>
    </xf>
    <xf numFmtId="17" fontId="7" fillId="0" borderId="0" xfId="0" applyNumberFormat="1" applyFont="1" applyAlignment="1" applyProtection="1">
      <alignment horizontal="center"/>
      <protection hidden="1"/>
    </xf>
    <xf numFmtId="40" fontId="0" fillId="0" borderId="12" xfId="0" applyNumberFormat="1" applyBorder="1" applyAlignment="1" applyProtection="1">
      <alignment horizontal="right" vertical="center"/>
      <protection hidden="1"/>
    </xf>
    <xf numFmtId="40" fontId="0" fillId="0" borderId="12" xfId="0" applyNumberFormat="1" applyBorder="1" applyProtection="1">
      <protection hidden="1"/>
    </xf>
    <xf numFmtId="4" fontId="0" fillId="0" borderId="12" xfId="0" applyNumberFormat="1" applyBorder="1" applyAlignment="1" applyProtection="1">
      <alignment horizontal="right" vertical="center"/>
      <protection hidden="1"/>
    </xf>
    <xf numFmtId="4" fontId="0" fillId="0" borderId="12" xfId="0" applyNumberFormat="1" applyBorder="1" applyAlignment="1" applyProtection="1">
      <alignment horizontal="right"/>
      <protection hidden="1"/>
    </xf>
    <xf numFmtId="4" fontId="0" fillId="0" borderId="1" xfId="0" applyNumberFormat="1" applyBorder="1" applyAlignment="1" applyProtection="1">
      <alignment horizontal="right" indent="1"/>
      <protection hidden="1"/>
    </xf>
    <xf numFmtId="0" fontId="0" fillId="0" borderId="61" xfId="0" applyBorder="1" applyAlignment="1" applyProtection="1">
      <alignment horizontal="center"/>
      <protection hidden="1"/>
    </xf>
    <xf numFmtId="0" fontId="0" fillId="0" borderId="61" xfId="0" applyBorder="1" applyAlignment="1" applyProtection="1">
      <alignment horizontal="left"/>
      <protection hidden="1"/>
    </xf>
    <xf numFmtId="0" fontId="12" fillId="0" borderId="63" xfId="0" applyFont="1" applyBorder="1" applyAlignment="1" applyProtection="1">
      <alignment horizontal="center"/>
      <protection locked="0" hidden="1"/>
    </xf>
    <xf numFmtId="0" fontId="18" fillId="4" borderId="0" xfId="0" applyFont="1" applyFill="1" applyAlignment="1" applyProtection="1">
      <alignment horizontal="center" vertical="center" wrapText="1"/>
      <protection hidden="1"/>
    </xf>
    <xf numFmtId="0" fontId="0" fillId="0" borderId="61" xfId="0" applyBorder="1" applyAlignment="1" applyProtection="1">
      <alignment horizontal="center" vertical="center"/>
      <protection hidden="1"/>
    </xf>
    <xf numFmtId="0" fontId="0" fillId="0" borderId="66" xfId="0" applyBorder="1" applyAlignment="1" applyProtection="1">
      <alignment horizontal="center" vertical="center"/>
      <protection hidden="1"/>
    </xf>
    <xf numFmtId="0" fontId="0" fillId="0" borderId="0" xfId="0" applyAlignment="1">
      <alignment vertical="center"/>
    </xf>
    <xf numFmtId="4" fontId="0" fillId="0" borderId="1" xfId="0" applyNumberFormat="1" applyBorder="1" applyAlignment="1" applyProtection="1">
      <alignment horizontal="right" vertical="center"/>
      <protection hidden="1"/>
    </xf>
    <xf numFmtId="0" fontId="0" fillId="0" borderId="0" xfId="0" applyAlignment="1">
      <alignment horizontal="center" vertical="center"/>
    </xf>
    <xf numFmtId="4" fontId="0" fillId="0" borderId="1" xfId="0" applyNumberFormat="1" applyBorder="1" applyAlignment="1" applyProtection="1">
      <alignment horizontal="center" vertical="center"/>
      <protection hidden="1"/>
    </xf>
    <xf numFmtId="0" fontId="27" fillId="4" borderId="0" xfId="0" applyFont="1" applyFill="1" applyAlignment="1" applyProtection="1">
      <alignment horizontal="center" vertical="center" wrapText="1"/>
      <protection hidden="1"/>
    </xf>
    <xf numFmtId="0" fontId="0" fillId="0" borderId="1" xfId="0" applyBorder="1" applyAlignment="1" applyProtection="1">
      <alignment horizontal="left" vertical="center"/>
      <protection hidden="1"/>
    </xf>
    <xf numFmtId="0" fontId="14" fillId="5" borderId="69" xfId="0" applyFont="1" applyFill="1" applyBorder="1" applyAlignment="1" applyProtection="1">
      <alignment horizontal="center" vertical="center"/>
      <protection hidden="1"/>
    </xf>
    <xf numFmtId="0" fontId="33" fillId="0" borderId="1" xfId="0" applyFont="1" applyBorder="1" applyAlignment="1" applyProtection="1">
      <alignment horizontal="center" vertical="center" wrapText="1"/>
      <protection hidden="1"/>
    </xf>
    <xf numFmtId="0" fontId="7" fillId="0" borderId="0" xfId="0" applyFont="1" applyAlignment="1" applyProtection="1">
      <alignment horizontal="center" vertical="center"/>
      <protection hidden="1"/>
    </xf>
    <xf numFmtId="169" fontId="0" fillId="0" borderId="0" xfId="0" applyNumberFormat="1" applyAlignment="1" applyProtection="1">
      <alignment horizontal="center"/>
      <protection hidden="1"/>
    </xf>
    <xf numFmtId="167" fontId="0" fillId="0" borderId="0" xfId="0" applyNumberFormat="1" applyAlignment="1" applyProtection="1">
      <alignment horizontal="center"/>
      <protection hidden="1"/>
    </xf>
    <xf numFmtId="0" fontId="14" fillId="5" borderId="21" xfId="0" applyFont="1" applyFill="1" applyBorder="1" applyAlignment="1" applyProtection="1">
      <alignment vertical="center"/>
      <protection hidden="1"/>
    </xf>
    <xf numFmtId="0" fontId="14" fillId="5" borderId="69" xfId="0" applyFont="1" applyFill="1" applyBorder="1" applyAlignment="1" applyProtection="1">
      <alignment vertical="center"/>
      <protection hidden="1"/>
    </xf>
    <xf numFmtId="0" fontId="30" fillId="0" borderId="0" xfId="0" applyFont="1" applyProtection="1">
      <protection hidden="1"/>
    </xf>
    <xf numFmtId="0" fontId="0" fillId="0" borderId="9" xfId="0" applyBorder="1" applyAlignment="1" applyProtection="1">
      <alignment horizontal="center" vertical="center"/>
      <protection hidden="1"/>
    </xf>
    <xf numFmtId="0" fontId="0" fillId="0" borderId="7" xfId="0" applyBorder="1" applyAlignment="1" applyProtection="1">
      <alignment horizontal="center" vertical="center"/>
      <protection hidden="1"/>
    </xf>
    <xf numFmtId="0" fontId="30" fillId="0" borderId="0" xfId="0" applyFont="1" applyAlignment="1" applyProtection="1">
      <alignment horizontal="center" vertical="center"/>
      <protection hidden="1"/>
    </xf>
    <xf numFmtId="0" fontId="0" fillId="0" borderId="71" xfId="0" applyBorder="1" applyAlignment="1" applyProtection="1">
      <alignment horizontal="center" vertical="center"/>
      <protection hidden="1"/>
    </xf>
    <xf numFmtId="167" fontId="18" fillId="4" borderId="0" xfId="0" applyNumberFormat="1" applyFont="1" applyFill="1" applyAlignment="1" applyProtection="1">
      <alignment horizontal="center" vertical="center" wrapText="1"/>
      <protection hidden="1"/>
    </xf>
    <xf numFmtId="49" fontId="18" fillId="4" borderId="0" xfId="0" applyNumberFormat="1" applyFont="1" applyFill="1" applyAlignment="1" applyProtection="1">
      <alignment horizontal="center" vertical="center" wrapText="1"/>
      <protection hidden="1"/>
    </xf>
    <xf numFmtId="40" fontId="18" fillId="4" borderId="0" xfId="0" applyNumberFormat="1" applyFont="1" applyFill="1" applyAlignment="1" applyProtection="1">
      <alignment horizontal="center" vertical="center" wrapText="1"/>
      <protection hidden="1"/>
    </xf>
    <xf numFmtId="0" fontId="0" fillId="0" borderId="61" xfId="0" applyBorder="1" applyAlignment="1" applyProtection="1">
      <alignment horizontal="left" vertical="center"/>
      <protection hidden="1"/>
    </xf>
    <xf numFmtId="0" fontId="0" fillId="0" borderId="33" xfId="0" applyBorder="1" applyAlignment="1" applyProtection="1">
      <alignment horizontal="center" vertical="center"/>
      <protection locked="0" hidden="1"/>
    </xf>
    <xf numFmtId="0" fontId="0" fillId="0" borderId="66" xfId="0" applyBorder="1" applyAlignment="1" applyProtection="1">
      <alignment horizontal="left" vertical="center"/>
      <protection hidden="1"/>
    </xf>
    <xf numFmtId="0" fontId="0" fillId="0" borderId="68" xfId="0" applyBorder="1" applyAlignment="1" applyProtection="1">
      <alignment horizontal="center" vertical="center"/>
      <protection locked="0" hidden="1"/>
    </xf>
    <xf numFmtId="0" fontId="0" fillId="0" borderId="73" xfId="0" applyBorder="1" applyAlignment="1" applyProtection="1">
      <alignment horizontal="center" vertical="center"/>
      <protection locked="0" hidden="1"/>
    </xf>
    <xf numFmtId="0" fontId="0" fillId="0" borderId="63" xfId="0" applyBorder="1" applyAlignment="1" applyProtection="1">
      <alignment horizontal="center" vertical="center"/>
      <protection locked="0" hidden="1"/>
    </xf>
    <xf numFmtId="0" fontId="0" fillId="0" borderId="78" xfId="0" applyBorder="1" applyAlignment="1" applyProtection="1">
      <alignment horizontal="center" vertical="center"/>
      <protection hidden="1"/>
    </xf>
    <xf numFmtId="0" fontId="0" fillId="0" borderId="46" xfId="0" applyBorder="1" applyAlignment="1" applyProtection="1">
      <alignment horizontal="center" vertical="center"/>
      <protection locked="0" hidden="1"/>
    </xf>
    <xf numFmtId="0" fontId="0" fillId="0" borderId="11" xfId="0" applyBorder="1" applyAlignment="1" applyProtection="1">
      <alignment horizontal="center" vertical="center"/>
      <protection hidden="1"/>
    </xf>
    <xf numFmtId="0" fontId="7" fillId="0" borderId="0" xfId="0" applyFont="1"/>
    <xf numFmtId="49" fontId="0" fillId="0" borderId="0" xfId="0" applyNumberFormat="1" applyAlignment="1" applyProtection="1">
      <alignment horizontal="left"/>
      <protection hidden="1"/>
    </xf>
    <xf numFmtId="170" fontId="6" fillId="0" borderId="1" xfId="1" applyNumberFormat="1" applyFont="1" applyBorder="1" applyAlignment="1" applyProtection="1">
      <alignment horizontal="center" vertical="center"/>
      <protection hidden="1"/>
    </xf>
    <xf numFmtId="0" fontId="0" fillId="0" borderId="30" xfId="0" applyBorder="1" applyAlignment="1" applyProtection="1">
      <alignment horizontal="center" vertical="center"/>
      <protection locked="0" hidden="1"/>
    </xf>
    <xf numFmtId="4" fontId="0" fillId="0" borderId="12" xfId="0" applyNumberFormat="1" applyBorder="1" applyAlignment="1" applyProtection="1">
      <alignment horizontal="center" vertical="center"/>
      <protection hidden="1"/>
    </xf>
    <xf numFmtId="0" fontId="0" fillId="0" borderId="0" xfId="0" applyAlignment="1" applyProtection="1">
      <alignment horizontal="left"/>
      <protection locked="0" hidden="1"/>
    </xf>
    <xf numFmtId="0" fontId="12" fillId="0" borderId="63" xfId="0" applyFont="1" applyBorder="1" applyAlignment="1" applyProtection="1">
      <alignment horizontal="center" vertical="center"/>
      <protection locked="0" hidden="1"/>
    </xf>
    <xf numFmtId="0" fontId="13" fillId="0" borderId="1" xfId="0" applyFont="1" applyBorder="1" applyAlignment="1" applyProtection="1">
      <alignment horizontal="center" vertical="center"/>
      <protection hidden="1"/>
    </xf>
    <xf numFmtId="4" fontId="0" fillId="0" borderId="75" xfId="0" applyNumberFormat="1" applyBorder="1" applyAlignment="1" applyProtection="1">
      <alignment horizontal="center"/>
      <protection hidden="1"/>
    </xf>
    <xf numFmtId="4" fontId="0" fillId="0" borderId="40" xfId="0" applyNumberFormat="1" applyBorder="1" applyAlignment="1" applyProtection="1">
      <alignment horizontal="center"/>
      <protection hidden="1"/>
    </xf>
    <xf numFmtId="4" fontId="0" fillId="0" borderId="12" xfId="0" applyNumberFormat="1" applyBorder="1" applyAlignment="1" applyProtection="1">
      <alignment horizontal="center"/>
      <protection hidden="1"/>
    </xf>
    <xf numFmtId="4" fontId="0" fillId="0" borderId="62" xfId="0" applyNumberFormat="1" applyBorder="1" applyAlignment="1" applyProtection="1">
      <alignment horizontal="center" vertical="center"/>
      <protection hidden="1"/>
    </xf>
    <xf numFmtId="4" fontId="0" fillId="0" borderId="67" xfId="0" applyNumberFormat="1" applyBorder="1" applyAlignment="1" applyProtection="1">
      <alignment horizontal="center" vertical="center"/>
      <protection hidden="1"/>
    </xf>
    <xf numFmtId="167" fontId="0" fillId="0" borderId="0" xfId="0" applyNumberFormat="1" applyAlignment="1" applyProtection="1">
      <alignment horizontal="center" vertical="center"/>
      <protection hidden="1"/>
    </xf>
    <xf numFmtId="40" fontId="0" fillId="0" borderId="12" xfId="0" applyNumberFormat="1" applyBorder="1" applyAlignment="1" applyProtection="1">
      <alignment horizontal="center" vertical="center"/>
      <protection hidden="1"/>
    </xf>
    <xf numFmtId="0" fontId="0" fillId="0" borderId="0" xfId="0" applyAlignment="1" applyProtection="1">
      <alignment horizontal="left" vertical="center"/>
      <protection hidden="1"/>
    </xf>
    <xf numFmtId="0" fontId="24" fillId="2" borderId="14" xfId="0" applyFont="1" applyFill="1" applyBorder="1" applyAlignment="1" applyProtection="1">
      <alignment horizontal="center"/>
      <protection hidden="1"/>
    </xf>
    <xf numFmtId="0" fontId="24" fillId="2" borderId="83" xfId="0" applyFont="1" applyFill="1" applyBorder="1" applyAlignment="1" applyProtection="1">
      <alignment horizontal="center"/>
      <protection hidden="1"/>
    </xf>
    <xf numFmtId="2" fontId="19" fillId="0" borderId="77" xfId="0" applyNumberFormat="1" applyFont="1" applyBorder="1" applyAlignment="1" applyProtection="1">
      <alignment horizontal="center"/>
      <protection hidden="1"/>
    </xf>
    <xf numFmtId="0" fontId="18" fillId="4" borderId="84" xfId="0" applyFont="1" applyFill="1" applyBorder="1" applyAlignment="1" applyProtection="1">
      <alignment horizontal="center"/>
      <protection hidden="1"/>
    </xf>
    <xf numFmtId="0" fontId="18" fillId="4" borderId="74" xfId="0" applyFont="1" applyFill="1" applyBorder="1" applyAlignment="1" applyProtection="1">
      <alignment horizontal="center"/>
      <protection hidden="1"/>
    </xf>
    <xf numFmtId="4" fontId="18" fillId="4" borderId="0" xfId="0" applyNumberFormat="1" applyFont="1" applyFill="1" applyAlignment="1" applyProtection="1">
      <alignment horizontal="center" vertical="center" wrapText="1"/>
      <protection hidden="1"/>
    </xf>
    <xf numFmtId="4" fontId="0" fillId="0" borderId="72" xfId="0" applyNumberFormat="1" applyBorder="1" applyAlignment="1" applyProtection="1">
      <alignment horizontal="center" vertical="center"/>
      <protection hidden="1"/>
    </xf>
    <xf numFmtId="4" fontId="14" fillId="5" borderId="69" xfId="0" applyNumberFormat="1" applyFont="1" applyFill="1" applyBorder="1" applyAlignment="1" applyProtection="1">
      <alignment vertical="center"/>
      <protection hidden="1"/>
    </xf>
    <xf numFmtId="0" fontId="12" fillId="0" borderId="9" xfId="0" applyFont="1" applyBorder="1" applyAlignment="1" applyProtection="1">
      <alignment horizontal="center" vertical="center"/>
      <protection hidden="1"/>
    </xf>
    <xf numFmtId="0" fontId="12" fillId="0" borderId="1" xfId="0" applyFont="1" applyBorder="1" applyAlignment="1" applyProtection="1">
      <alignment horizontal="center" vertical="center"/>
      <protection hidden="1"/>
    </xf>
    <xf numFmtId="4" fontId="0" fillId="0" borderId="1" xfId="0" applyNumberFormat="1" applyBorder="1" applyAlignment="1" applyProtection="1">
      <alignment vertical="center"/>
      <protection hidden="1"/>
    </xf>
    <xf numFmtId="3" fontId="0" fillId="0" borderId="1" xfId="0" applyNumberFormat="1" applyBorder="1" applyAlignment="1" applyProtection="1">
      <alignment horizontal="center" vertical="center"/>
      <protection hidden="1"/>
    </xf>
    <xf numFmtId="40" fontId="0" fillId="0" borderId="12" xfId="0" applyNumberFormat="1" applyBorder="1" applyAlignment="1" applyProtection="1">
      <alignment vertical="center"/>
      <protection hidden="1"/>
    </xf>
    <xf numFmtId="0" fontId="30" fillId="0" borderId="0" xfId="0" applyFont="1" applyAlignment="1" applyProtection="1">
      <alignment vertical="center"/>
      <protection hidden="1"/>
    </xf>
    <xf numFmtId="4" fontId="0" fillId="0" borderId="0" xfId="0" applyNumberFormat="1" applyAlignment="1" applyProtection="1">
      <alignment horizontal="center" vertical="center"/>
      <protection hidden="1"/>
    </xf>
    <xf numFmtId="0" fontId="2" fillId="0" borderId="0" xfId="0" applyFont="1" applyAlignment="1" applyProtection="1">
      <alignment horizontal="center" vertical="center"/>
      <protection hidden="1"/>
    </xf>
    <xf numFmtId="0" fontId="6" fillId="0" borderId="0" xfId="15" applyNumberFormat="1" applyFont="1" applyFill="1" applyAlignment="1" applyProtection="1">
      <alignment horizontal="center" vertical="center"/>
      <protection hidden="1"/>
    </xf>
    <xf numFmtId="0" fontId="33" fillId="0" borderId="0" xfId="0" applyFont="1" applyAlignment="1" applyProtection="1">
      <alignment horizontal="center" vertical="center"/>
      <protection hidden="1"/>
    </xf>
    <xf numFmtId="0" fontId="34" fillId="4" borderId="0" xfId="0" applyFont="1" applyFill="1" applyAlignment="1" applyProtection="1">
      <alignment horizontal="center" vertical="center" wrapText="1"/>
      <protection hidden="1"/>
    </xf>
    <xf numFmtId="0" fontId="33" fillId="0" borderId="61" xfId="0" applyFont="1" applyBorder="1" applyAlignment="1" applyProtection="1">
      <alignment horizontal="center" vertical="center"/>
      <protection hidden="1"/>
    </xf>
    <xf numFmtId="4" fontId="0" fillId="0" borderId="61" xfId="0" applyNumberFormat="1" applyBorder="1" applyAlignment="1" applyProtection="1">
      <alignment horizontal="right" vertical="center"/>
      <protection hidden="1"/>
    </xf>
    <xf numFmtId="0" fontId="33" fillId="0" borderId="1" xfId="0" applyFont="1" applyBorder="1" applyAlignment="1" applyProtection="1">
      <alignment horizontal="center" vertical="center"/>
      <protection hidden="1"/>
    </xf>
    <xf numFmtId="0" fontId="33" fillId="0" borderId="66" xfId="0" applyFont="1" applyBorder="1" applyAlignment="1" applyProtection="1">
      <alignment horizontal="center" vertical="center"/>
      <protection hidden="1"/>
    </xf>
    <xf numFmtId="0" fontId="33" fillId="0" borderId="0" xfId="0" applyFont="1" applyAlignment="1">
      <alignment horizontal="center" vertical="center"/>
    </xf>
    <xf numFmtId="4" fontId="0" fillId="0" borderId="0" xfId="0" applyNumberFormat="1" applyAlignment="1">
      <alignment horizontal="center" vertical="center"/>
    </xf>
    <xf numFmtId="0" fontId="33" fillId="0" borderId="71" xfId="0" applyFont="1" applyBorder="1" applyAlignment="1" applyProtection="1">
      <alignment horizontal="center" vertical="center"/>
      <protection hidden="1"/>
    </xf>
    <xf numFmtId="0" fontId="30" fillId="0" borderId="0" xfId="0" applyFont="1" applyAlignment="1" applyProtection="1">
      <alignment horizontal="center"/>
      <protection hidden="1"/>
    </xf>
    <xf numFmtId="0" fontId="0" fillId="0" borderId="18" xfId="0" applyBorder="1" applyAlignment="1" applyProtection="1">
      <alignment horizontal="center"/>
      <protection hidden="1"/>
    </xf>
    <xf numFmtId="0" fontId="37" fillId="4" borderId="0" xfId="0" applyFont="1" applyFill="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38" fillId="0" borderId="1" xfId="0" applyFont="1" applyBorder="1" applyAlignment="1" applyProtection="1">
      <alignment horizontal="center" vertical="center"/>
      <protection hidden="1"/>
    </xf>
    <xf numFmtId="166" fontId="0" fillId="0" borderId="0" xfId="0" applyNumberFormat="1" applyAlignment="1" applyProtection="1">
      <alignment vertical="center"/>
      <protection hidden="1"/>
    </xf>
    <xf numFmtId="43" fontId="0" fillId="0" borderId="1" xfId="1" applyFont="1" applyFill="1" applyBorder="1" applyAlignment="1" applyProtection="1">
      <alignment horizontal="right" vertical="center"/>
      <protection hidden="1"/>
    </xf>
    <xf numFmtId="166" fontId="6" fillId="0" borderId="0" xfId="15" applyNumberFormat="1" applyFont="1" applyFill="1" applyAlignment="1" applyProtection="1">
      <alignment horizontal="center" vertical="center"/>
      <protection hidden="1"/>
    </xf>
    <xf numFmtId="0" fontId="8" fillId="0" borderId="0" xfId="0" applyFont="1" applyAlignment="1" applyProtection="1">
      <alignment horizontal="center" vertical="center"/>
      <protection hidden="1"/>
    </xf>
    <xf numFmtId="0" fontId="2" fillId="0" borderId="0" xfId="0" applyFont="1" applyAlignment="1" applyProtection="1">
      <alignment horizontal="left" vertical="center"/>
      <protection hidden="1"/>
    </xf>
    <xf numFmtId="0" fontId="18" fillId="0" borderId="2" xfId="0" applyFont="1" applyBorder="1" applyAlignment="1" applyProtection="1">
      <alignment vertical="center" wrapText="1"/>
      <protection hidden="1"/>
    </xf>
    <xf numFmtId="0" fontId="18" fillId="0" borderId="20" xfId="0" applyFont="1" applyBorder="1" applyAlignment="1" applyProtection="1">
      <alignment vertical="center" wrapText="1"/>
      <protection hidden="1"/>
    </xf>
    <xf numFmtId="0" fontId="18" fillId="0" borderId="6" xfId="0" applyFont="1" applyBorder="1" applyAlignment="1" applyProtection="1">
      <alignment vertical="center" wrapText="1"/>
      <protection hidden="1"/>
    </xf>
    <xf numFmtId="0" fontId="18" fillId="0" borderId="17" xfId="0" applyFont="1" applyBorder="1" applyAlignment="1" applyProtection="1">
      <alignment vertical="center" wrapText="1"/>
      <protection hidden="1"/>
    </xf>
    <xf numFmtId="0" fontId="15" fillId="0" borderId="0" xfId="0" applyFont="1" applyAlignment="1" applyProtection="1">
      <alignment vertical="center"/>
      <protection hidden="1"/>
    </xf>
    <xf numFmtId="0" fontId="16" fillId="0" borderId="0" xfId="0" applyFont="1" applyAlignment="1" applyProtection="1">
      <alignment horizontal="center" vertical="center"/>
      <protection hidden="1"/>
    </xf>
    <xf numFmtId="169" fontId="16" fillId="0" borderId="0" xfId="0" applyNumberFormat="1" applyFont="1" applyAlignment="1" applyProtection="1">
      <alignment horizontal="right" vertical="center"/>
      <protection hidden="1"/>
    </xf>
    <xf numFmtId="169" fontId="15" fillId="0" borderId="0" xfId="0" applyNumberFormat="1" applyFont="1" applyAlignment="1" applyProtection="1">
      <alignment horizontal="right" vertical="center"/>
      <protection hidden="1"/>
    </xf>
    <xf numFmtId="1" fontId="10" fillId="0" borderId="11" xfId="0" applyNumberFormat="1" applyFont="1" applyBorder="1" applyAlignment="1" applyProtection="1">
      <alignment horizontal="center" vertical="center"/>
      <protection hidden="1"/>
    </xf>
    <xf numFmtId="1" fontId="0" fillId="0" borderId="0" xfId="0" applyNumberFormat="1" applyAlignment="1" applyProtection="1">
      <alignment horizontal="center"/>
      <protection hidden="1"/>
    </xf>
    <xf numFmtId="1" fontId="18" fillId="4" borderId="0" xfId="0" applyNumberFormat="1" applyFont="1" applyFill="1" applyAlignment="1" applyProtection="1">
      <alignment horizontal="center" vertical="center" wrapText="1"/>
      <protection hidden="1"/>
    </xf>
    <xf numFmtId="1" fontId="0" fillId="0" borderId="1" xfId="1" applyNumberFormat="1" applyFont="1" applyBorder="1" applyAlignment="1" applyProtection="1">
      <alignment horizontal="center" vertical="center"/>
      <protection hidden="1"/>
    </xf>
    <xf numFmtId="1" fontId="0" fillId="0" borderId="1" xfId="0" applyNumberFormat="1" applyBorder="1" applyAlignment="1" applyProtection="1">
      <alignment horizontal="center" vertical="center"/>
      <protection hidden="1"/>
    </xf>
    <xf numFmtId="167" fontId="0" fillId="0" borderId="0" xfId="0" applyNumberFormat="1" applyAlignment="1" applyProtection="1">
      <alignment vertical="center"/>
      <protection hidden="1"/>
    </xf>
    <xf numFmtId="167" fontId="29" fillId="0" borderId="0" xfId="0" applyNumberFormat="1" applyFont="1" applyAlignment="1" applyProtection="1">
      <alignment wrapText="1"/>
      <protection hidden="1"/>
    </xf>
    <xf numFmtId="0" fontId="0" fillId="0" borderId="9" xfId="0" applyBorder="1" applyAlignment="1" applyProtection="1">
      <alignment horizontal="left" vertical="center"/>
      <protection hidden="1"/>
    </xf>
    <xf numFmtId="0" fontId="36" fillId="0" borderId="0" xfId="0" applyFont="1" applyAlignment="1" applyProtection="1">
      <alignment vertical="center"/>
      <protection hidden="1"/>
    </xf>
    <xf numFmtId="0" fontId="0" fillId="0" borderId="20"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169" fontId="0" fillId="0" borderId="0" xfId="0" applyNumberFormat="1" applyAlignment="1" applyProtection="1">
      <alignment horizontal="center" vertical="center"/>
      <protection hidden="1"/>
    </xf>
    <xf numFmtId="167" fontId="29" fillId="0" borderId="0" xfId="0" applyNumberFormat="1" applyFont="1" applyAlignment="1" applyProtection="1">
      <alignment vertical="center" wrapText="1"/>
      <protection hidden="1"/>
    </xf>
    <xf numFmtId="4" fontId="38" fillId="0" borderId="1" xfId="0" applyNumberFormat="1" applyFont="1" applyBorder="1" applyAlignment="1" applyProtection="1">
      <alignment horizontal="center" vertical="center"/>
      <protection hidden="1"/>
    </xf>
    <xf numFmtId="170" fontId="6" fillId="0" borderId="9" xfId="1" applyNumberFormat="1" applyFont="1" applyBorder="1" applyAlignment="1" applyProtection="1">
      <alignment horizontal="center" vertical="center"/>
      <protection hidden="1"/>
    </xf>
    <xf numFmtId="170" fontId="6" fillId="0" borderId="7" xfId="1" applyNumberFormat="1" applyFont="1" applyBorder="1" applyAlignment="1" applyProtection="1">
      <alignment horizontal="center" vertical="center"/>
      <protection hidden="1"/>
    </xf>
    <xf numFmtId="0" fontId="0" fillId="0" borderId="88" xfId="0" applyBorder="1" applyAlignment="1" applyProtection="1">
      <alignment horizontal="center" vertical="center"/>
      <protection hidden="1"/>
    </xf>
    <xf numFmtId="0" fontId="0" fillId="0" borderId="89" xfId="0" applyBorder="1" applyAlignment="1" applyProtection="1">
      <alignment horizontal="center" vertical="center"/>
      <protection locked="0" hidden="1"/>
    </xf>
    <xf numFmtId="0" fontId="38" fillId="0" borderId="9" xfId="0" applyFont="1" applyBorder="1" applyAlignment="1" applyProtection="1">
      <alignment horizontal="center" vertical="center"/>
      <protection hidden="1"/>
    </xf>
    <xf numFmtId="0" fontId="18" fillId="5" borderId="16" xfId="0" applyFont="1" applyFill="1" applyBorder="1" applyAlignment="1" applyProtection="1">
      <alignment horizontal="center" vertical="center" wrapText="1"/>
      <protection hidden="1"/>
    </xf>
    <xf numFmtId="0" fontId="27" fillId="5" borderId="11" xfId="0" applyFont="1" applyFill="1" applyBorder="1" applyAlignment="1" applyProtection="1">
      <alignment horizontal="center" vertical="center" wrapText="1"/>
      <protection hidden="1"/>
    </xf>
    <xf numFmtId="4" fontId="18" fillId="5" borderId="16" xfId="0" applyNumberFormat="1" applyFont="1" applyFill="1" applyBorder="1" applyAlignment="1" applyProtection="1">
      <alignment horizontal="center" vertical="center" wrapText="1"/>
      <protection hidden="1"/>
    </xf>
    <xf numFmtId="49" fontId="18" fillId="5" borderId="16" xfId="0" applyNumberFormat="1" applyFont="1" applyFill="1" applyBorder="1" applyAlignment="1" applyProtection="1">
      <alignment horizontal="center" vertical="center" wrapText="1"/>
      <protection hidden="1"/>
    </xf>
    <xf numFmtId="40" fontId="18" fillId="5" borderId="16" xfId="0" applyNumberFormat="1" applyFont="1" applyFill="1" applyBorder="1" applyAlignment="1" applyProtection="1">
      <alignment horizontal="center" vertical="center" wrapText="1"/>
      <protection hidden="1"/>
    </xf>
    <xf numFmtId="0" fontId="0" fillId="5" borderId="16" xfId="0" applyFill="1" applyBorder="1" applyAlignment="1" applyProtection="1">
      <alignment horizontal="center" vertical="center"/>
      <protection hidden="1"/>
    </xf>
    <xf numFmtId="170" fontId="6" fillId="5" borderId="11" xfId="1" applyNumberFormat="1" applyFont="1" applyFill="1" applyBorder="1" applyAlignment="1" applyProtection="1">
      <alignment horizontal="center" vertical="center"/>
      <protection hidden="1"/>
    </xf>
    <xf numFmtId="4" fontId="0" fillId="0" borderId="4" xfId="0" applyNumberFormat="1" applyBorder="1" applyAlignment="1" applyProtection="1">
      <alignment horizontal="center" vertical="center"/>
      <protection hidden="1"/>
    </xf>
    <xf numFmtId="4" fontId="0" fillId="0" borderId="90" xfId="0" applyNumberFormat="1" applyBorder="1" applyAlignment="1" applyProtection="1">
      <alignment horizontal="center" vertical="center"/>
      <protection hidden="1"/>
    </xf>
    <xf numFmtId="0" fontId="0" fillId="0" borderId="91" xfId="0" applyBorder="1" applyAlignment="1" applyProtection="1">
      <alignment horizontal="center" vertical="center"/>
      <protection locked="0" hidden="1"/>
    </xf>
    <xf numFmtId="4" fontId="0" fillId="5" borderId="16" xfId="0" applyNumberFormat="1" applyFill="1" applyBorder="1" applyAlignment="1" applyProtection="1">
      <alignment horizontal="center" vertical="center"/>
      <protection hidden="1"/>
    </xf>
    <xf numFmtId="170" fontId="6" fillId="0" borderId="92" xfId="1" applyNumberFormat="1" applyFont="1" applyBorder="1" applyAlignment="1" applyProtection="1">
      <alignment horizontal="center" vertical="center"/>
      <protection hidden="1"/>
    </xf>
    <xf numFmtId="0" fontId="12" fillId="0" borderId="31" xfId="0" applyFont="1" applyBorder="1" applyAlignment="1" applyProtection="1">
      <alignment horizontal="center" vertical="center"/>
      <protection locked="0" hidden="1"/>
    </xf>
    <xf numFmtId="0" fontId="7" fillId="0" borderId="0" xfId="0" applyFont="1" applyAlignment="1">
      <alignment vertical="center"/>
    </xf>
    <xf numFmtId="167" fontId="29" fillId="0" borderId="0" xfId="0" applyNumberFormat="1" applyFont="1" applyAlignment="1" applyProtection="1">
      <alignment vertical="center"/>
      <protection hidden="1"/>
    </xf>
    <xf numFmtId="170" fontId="6" fillId="0" borderId="61" xfId="1" applyNumberFormat="1" applyFont="1" applyBorder="1" applyAlignment="1" applyProtection="1">
      <alignment horizontal="center" vertical="center"/>
      <protection hidden="1"/>
    </xf>
    <xf numFmtId="172" fontId="38" fillId="0" borderId="1" xfId="0" applyNumberFormat="1" applyFont="1" applyBorder="1" applyAlignment="1" applyProtection="1">
      <alignment horizontal="center" vertical="center"/>
      <protection hidden="1"/>
    </xf>
    <xf numFmtId="2" fontId="38" fillId="0" borderId="1" xfId="0" applyNumberFormat="1" applyFont="1" applyBorder="1" applyAlignment="1" applyProtection="1">
      <alignment horizontal="center" vertical="center"/>
      <protection hidden="1"/>
    </xf>
    <xf numFmtId="1" fontId="38" fillId="0" borderId="1" xfId="0" applyNumberFormat="1" applyFont="1" applyBorder="1" applyAlignment="1" applyProtection="1">
      <alignment horizontal="center" vertical="center"/>
      <protection hidden="1"/>
    </xf>
    <xf numFmtId="2" fontId="38" fillId="0" borderId="0" xfId="0" applyNumberFormat="1" applyFont="1" applyAlignment="1" applyProtection="1">
      <alignment horizontal="center" vertical="center"/>
      <protection hidden="1"/>
    </xf>
    <xf numFmtId="1" fontId="0" fillId="0" borderId="1" xfId="1" applyNumberFormat="1" applyFont="1" applyFill="1" applyBorder="1" applyAlignment="1" applyProtection="1">
      <alignment horizontal="center" vertical="center"/>
      <protection hidden="1"/>
    </xf>
    <xf numFmtId="43" fontId="0" fillId="0" borderId="1" xfId="1" applyFont="1" applyFill="1" applyBorder="1" applyAlignment="1" applyProtection="1">
      <alignment horizontal="right"/>
      <protection hidden="1"/>
    </xf>
    <xf numFmtId="0" fontId="0" fillId="5" borderId="4" xfId="0" applyFill="1" applyBorder="1" applyAlignment="1" applyProtection="1">
      <alignment vertical="center"/>
      <protection hidden="1"/>
    </xf>
    <xf numFmtId="0" fontId="0" fillId="5" borderId="18" xfId="0" applyFill="1" applyBorder="1" applyAlignment="1" applyProtection="1">
      <alignment vertical="center"/>
      <protection hidden="1"/>
    </xf>
    <xf numFmtId="4" fontId="33" fillId="0" borderId="1" xfId="0" applyNumberFormat="1" applyFont="1" applyBorder="1" applyAlignment="1" applyProtection="1">
      <alignment horizontal="center" vertical="center"/>
      <protection hidden="1"/>
    </xf>
    <xf numFmtId="1" fontId="32" fillId="0" borderId="1" xfId="20" applyNumberFormat="1" applyFont="1" applyBorder="1" applyAlignment="1">
      <alignment horizontal="center" vertical="center"/>
    </xf>
    <xf numFmtId="0" fontId="0" fillId="0" borderId="1" xfId="0" applyBorder="1" applyAlignment="1">
      <alignment horizontal="center" vertical="center"/>
    </xf>
    <xf numFmtId="0" fontId="0" fillId="0" borderId="32" xfId="0" applyBorder="1" applyAlignment="1" applyProtection="1">
      <alignment horizontal="center" vertical="center"/>
      <protection locked="0" hidden="1"/>
    </xf>
    <xf numFmtId="0" fontId="40" fillId="0" borderId="0" xfId="0" applyFont="1" applyAlignment="1" applyProtection="1">
      <alignment horizontal="center" vertical="center"/>
      <protection hidden="1"/>
    </xf>
    <xf numFmtId="0" fontId="38" fillId="0" borderId="0" xfId="0" applyFont="1" applyAlignment="1" applyProtection="1">
      <alignment horizontal="center"/>
      <protection hidden="1"/>
    </xf>
    <xf numFmtId="0" fontId="38" fillId="0" borderId="1" xfId="0" applyFont="1" applyBorder="1" applyAlignment="1" applyProtection="1">
      <alignment horizontal="center"/>
      <protection hidden="1"/>
    </xf>
    <xf numFmtId="0" fontId="38" fillId="0" borderId="0" xfId="0" applyFont="1" applyAlignment="1">
      <alignment horizontal="center"/>
    </xf>
    <xf numFmtId="0" fontId="36" fillId="0" borderId="0" xfId="0" applyFont="1" applyAlignment="1" applyProtection="1">
      <alignment horizontal="center" vertical="center"/>
      <protection hidden="1"/>
    </xf>
    <xf numFmtId="2" fontId="0" fillId="2" borderId="9" xfId="0" applyNumberFormat="1" applyFill="1" applyBorder="1" applyAlignment="1" applyProtection="1">
      <alignment horizontal="center" vertical="center"/>
      <protection hidden="1"/>
    </xf>
    <xf numFmtId="1" fontId="20" fillId="0" borderId="0" xfId="0" applyNumberFormat="1" applyFont="1" applyAlignment="1" applyProtection="1">
      <alignment vertical="center"/>
      <protection hidden="1"/>
    </xf>
    <xf numFmtId="0" fontId="18" fillId="4" borderId="52" xfId="0" applyFont="1" applyFill="1" applyBorder="1" applyAlignment="1" applyProtection="1">
      <alignment horizontal="center" vertical="center"/>
      <protection hidden="1"/>
    </xf>
    <xf numFmtId="0" fontId="18" fillId="4" borderId="55" xfId="0" applyFont="1" applyFill="1" applyBorder="1" applyAlignment="1" applyProtection="1">
      <alignment horizontal="center" vertical="center"/>
      <protection hidden="1"/>
    </xf>
    <xf numFmtId="0" fontId="18" fillId="4" borderId="29" xfId="0" applyFont="1" applyFill="1" applyBorder="1" applyAlignment="1" applyProtection="1">
      <alignment horizontal="center" vertical="center"/>
      <protection hidden="1"/>
    </xf>
    <xf numFmtId="0" fontId="25" fillId="4" borderId="56" xfId="0" applyFont="1" applyFill="1" applyBorder="1" applyAlignment="1" applyProtection="1">
      <alignment horizontal="center" vertical="center"/>
      <protection hidden="1"/>
    </xf>
    <xf numFmtId="0" fontId="0" fillId="0" borderId="0" xfId="0" applyAlignment="1" applyProtection="1">
      <alignment horizontal="right" vertical="center"/>
      <protection hidden="1"/>
    </xf>
    <xf numFmtId="1" fontId="0" fillId="0" borderId="0" xfId="0" applyNumberFormat="1" applyAlignment="1" applyProtection="1">
      <alignment horizontal="right" vertical="center"/>
      <protection hidden="1"/>
    </xf>
    <xf numFmtId="0" fontId="23" fillId="2" borderId="53" xfId="0" applyFont="1" applyFill="1" applyBorder="1" applyAlignment="1" applyProtection="1">
      <alignment horizontal="center" vertical="center"/>
      <protection hidden="1"/>
    </xf>
    <xf numFmtId="0" fontId="26" fillId="0" borderId="57" xfId="0" applyFont="1" applyBorder="1" applyAlignment="1" applyProtection="1">
      <alignment horizontal="center" vertical="center"/>
      <protection hidden="1"/>
    </xf>
    <xf numFmtId="166" fontId="8" fillId="3" borderId="31" xfId="0" applyNumberFormat="1" applyFont="1" applyFill="1" applyBorder="1" applyAlignment="1" applyProtection="1">
      <alignment horizontal="center" vertical="center"/>
      <protection locked="0" hidden="1"/>
    </xf>
    <xf numFmtId="2" fontId="8" fillId="3" borderId="58" xfId="0" applyNumberFormat="1" applyFont="1" applyFill="1" applyBorder="1" applyAlignment="1" applyProtection="1">
      <alignment horizontal="center" vertical="center"/>
      <protection hidden="1"/>
    </xf>
    <xf numFmtId="0" fontId="23" fillId="2" borderId="86" xfId="0" applyFont="1" applyFill="1" applyBorder="1" applyAlignment="1" applyProtection="1">
      <alignment horizontal="center" vertical="center"/>
      <protection hidden="1"/>
    </xf>
    <xf numFmtId="0" fontId="26" fillId="0" borderId="5" xfId="0" applyFont="1" applyBorder="1" applyAlignment="1" applyProtection="1">
      <alignment horizontal="center" vertical="center"/>
      <protection hidden="1"/>
    </xf>
    <xf numFmtId="2" fontId="8" fillId="3" borderId="87" xfId="0" applyNumberFormat="1" applyFont="1" applyFill="1" applyBorder="1" applyAlignment="1" applyProtection="1">
      <alignment horizontal="center" vertical="center"/>
      <protection hidden="1"/>
    </xf>
    <xf numFmtId="0" fontId="23" fillId="2" borderId="24" xfId="0" applyFont="1" applyFill="1" applyBorder="1" applyAlignment="1" applyProtection="1">
      <alignment horizontal="center" vertical="center"/>
      <protection hidden="1"/>
    </xf>
    <xf numFmtId="0" fontId="26" fillId="3" borderId="16" xfId="0" applyFont="1" applyFill="1" applyBorder="1" applyAlignment="1" applyProtection="1">
      <alignment horizontal="center" vertical="center"/>
      <protection hidden="1"/>
    </xf>
    <xf numFmtId="2" fontId="8" fillId="3" borderId="28" xfId="0" applyNumberFormat="1" applyFont="1" applyFill="1" applyBorder="1" applyAlignment="1" applyProtection="1">
      <alignment horizontal="center" vertical="center"/>
      <protection hidden="1"/>
    </xf>
    <xf numFmtId="1" fontId="8" fillId="0" borderId="0" xfId="0" applyNumberFormat="1" applyFont="1" applyAlignment="1" applyProtection="1">
      <alignment horizontal="right" vertical="center"/>
      <protection hidden="1"/>
    </xf>
    <xf numFmtId="0" fontId="29" fillId="0" borderId="0" xfId="0" applyFont="1" applyAlignment="1" applyProtection="1">
      <alignment horizontal="right" vertical="center"/>
      <protection hidden="1"/>
    </xf>
    <xf numFmtId="0" fontId="8" fillId="0" borderId="0" xfId="0" applyFont="1" applyAlignment="1" applyProtection="1">
      <alignment horizontal="left" vertical="center"/>
      <protection hidden="1"/>
    </xf>
    <xf numFmtId="0" fontId="23" fillId="2" borderId="82" xfId="0" applyFont="1" applyFill="1" applyBorder="1" applyAlignment="1" applyProtection="1">
      <alignment horizontal="center" vertical="center"/>
      <protection hidden="1"/>
    </xf>
    <xf numFmtId="0" fontId="23" fillId="2" borderId="54" xfId="0" applyFont="1" applyFill="1" applyBorder="1" applyAlignment="1" applyProtection="1">
      <alignment horizontal="center" vertical="center"/>
      <protection hidden="1"/>
    </xf>
    <xf numFmtId="0" fontId="26" fillId="3" borderId="59" xfId="0" applyFont="1" applyFill="1" applyBorder="1" applyAlignment="1" applyProtection="1">
      <alignment horizontal="center" vertical="center"/>
      <protection hidden="1"/>
    </xf>
    <xf numFmtId="2" fontId="8" fillId="3" borderId="85" xfId="0" applyNumberFormat="1" applyFont="1" applyFill="1" applyBorder="1" applyAlignment="1" applyProtection="1">
      <alignment horizontal="center" vertical="center"/>
      <protection hidden="1"/>
    </xf>
    <xf numFmtId="0" fontId="17" fillId="3" borderId="0" xfId="0" applyFont="1" applyFill="1" applyAlignment="1" applyProtection="1">
      <alignment horizontal="center" vertical="center" shrinkToFit="1"/>
      <protection hidden="1"/>
    </xf>
    <xf numFmtId="166" fontId="8" fillId="3" borderId="0" xfId="0" applyNumberFormat="1" applyFont="1" applyFill="1" applyAlignment="1" applyProtection="1">
      <alignment horizontal="center" vertical="center"/>
      <protection hidden="1"/>
    </xf>
    <xf numFmtId="2" fontId="0" fillId="3" borderId="0" xfId="0" applyNumberFormat="1" applyFill="1" applyAlignment="1" applyProtection="1">
      <alignment horizontal="center" vertical="center"/>
      <protection hidden="1"/>
    </xf>
    <xf numFmtId="0" fontId="8" fillId="0" borderId="0" xfId="0" applyFont="1" applyAlignment="1" applyProtection="1">
      <alignment vertical="center"/>
      <protection hidden="1"/>
    </xf>
    <xf numFmtId="0" fontId="11" fillId="0" borderId="0" xfId="0" applyFont="1" applyAlignment="1" applyProtection="1">
      <alignment horizontal="right" vertical="center"/>
      <protection hidden="1"/>
    </xf>
    <xf numFmtId="44" fontId="8" fillId="0" borderId="0" xfId="0" applyNumberFormat="1" applyFont="1" applyAlignment="1" applyProtection="1">
      <alignment vertical="center"/>
      <protection hidden="1"/>
    </xf>
    <xf numFmtId="0" fontId="11" fillId="2" borderId="9" xfId="0" applyFont="1" applyFill="1" applyBorder="1" applyAlignment="1" applyProtection="1">
      <alignment horizontal="center" vertical="center"/>
      <protection hidden="1"/>
    </xf>
    <xf numFmtId="40" fontId="11" fillId="2" borderId="9" xfId="0" applyNumberFormat="1" applyFont="1" applyFill="1" applyBorder="1" applyAlignment="1" applyProtection="1">
      <alignment horizontal="right" vertical="center"/>
      <protection hidden="1"/>
    </xf>
    <xf numFmtId="40" fontId="0" fillId="2" borderId="9" xfId="0" applyNumberFormat="1" applyFill="1" applyBorder="1" applyAlignment="1" applyProtection="1">
      <alignment horizontal="right" vertical="center"/>
      <protection hidden="1"/>
    </xf>
    <xf numFmtId="167" fontId="0" fillId="2" borderId="1" xfId="0" applyNumberFormat="1" applyFill="1" applyBorder="1" applyAlignment="1" applyProtection="1">
      <alignment horizontal="center" vertical="center"/>
      <protection hidden="1"/>
    </xf>
    <xf numFmtId="0" fontId="0" fillId="2" borderId="11" xfId="0" applyFill="1" applyBorder="1" applyAlignment="1" applyProtection="1">
      <alignment horizontal="left" vertical="center"/>
      <protection hidden="1"/>
    </xf>
    <xf numFmtId="1" fontId="11" fillId="0" borderId="0" xfId="0" applyNumberFormat="1" applyFont="1" applyAlignment="1" applyProtection="1">
      <alignment horizontal="center" vertical="center"/>
      <protection hidden="1"/>
    </xf>
    <xf numFmtId="0" fontId="8" fillId="0" borderId="3" xfId="0" applyFont="1" applyBorder="1" applyAlignment="1" applyProtection="1">
      <alignment horizontal="right" vertical="center"/>
      <protection hidden="1"/>
    </xf>
    <xf numFmtId="44" fontId="8" fillId="2" borderId="10" xfId="14" applyFont="1" applyFill="1" applyBorder="1" applyAlignment="1" applyProtection="1">
      <alignment vertical="center"/>
      <protection hidden="1"/>
    </xf>
    <xf numFmtId="44" fontId="8" fillId="0" borderId="23" xfId="14" applyFont="1" applyBorder="1" applyAlignment="1" applyProtection="1">
      <alignment vertical="center"/>
      <protection hidden="1"/>
    </xf>
    <xf numFmtId="1" fontId="0" fillId="0" borderId="0" xfId="0" applyNumberFormat="1" applyAlignment="1" applyProtection="1">
      <alignment vertical="center"/>
      <protection hidden="1"/>
    </xf>
    <xf numFmtId="0" fontId="0" fillId="2" borderId="93" xfId="0" applyFill="1" applyBorder="1" applyAlignment="1" applyProtection="1">
      <alignment horizontal="left" vertical="center"/>
      <protection hidden="1"/>
    </xf>
    <xf numFmtId="0" fontId="0" fillId="2" borderId="7" xfId="0" applyFill="1" applyBorder="1" applyAlignment="1" applyProtection="1">
      <alignment vertical="center"/>
      <protection hidden="1"/>
    </xf>
    <xf numFmtId="0" fontId="0" fillId="2" borderId="8" xfId="0" applyFill="1" applyBorder="1" applyProtection="1">
      <protection hidden="1"/>
    </xf>
    <xf numFmtId="0" fontId="0" fillId="2" borderId="9" xfId="0" applyFill="1" applyBorder="1" applyAlignment="1" applyProtection="1">
      <alignment vertical="center"/>
      <protection hidden="1"/>
    </xf>
    <xf numFmtId="0" fontId="0" fillId="2" borderId="8" xfId="0" applyFill="1" applyBorder="1" applyAlignment="1" applyProtection="1">
      <alignment vertical="center"/>
      <protection hidden="1"/>
    </xf>
    <xf numFmtId="0" fontId="0" fillId="2" borderId="8" xfId="0" applyFill="1" applyBorder="1" applyAlignment="1" applyProtection="1">
      <alignment horizontal="left" vertical="center"/>
      <protection hidden="1"/>
    </xf>
    <xf numFmtId="4" fontId="33" fillId="0" borderId="1" xfId="0" applyNumberFormat="1" applyFont="1" applyBorder="1" applyAlignment="1" applyProtection="1">
      <alignment horizontal="center" vertical="center" wrapText="1"/>
      <protection hidden="1"/>
    </xf>
    <xf numFmtId="40" fontId="8" fillId="0" borderId="17" xfId="0" applyNumberFormat="1" applyFont="1" applyBorder="1" applyAlignment="1" applyProtection="1">
      <alignment horizontal="center" vertical="center"/>
      <protection hidden="1"/>
    </xf>
    <xf numFmtId="0" fontId="12" fillId="0" borderId="33" xfId="0" applyFont="1" applyBorder="1" applyAlignment="1" applyProtection="1">
      <alignment horizontal="center" vertical="center"/>
      <protection locked="0" hidden="1"/>
    </xf>
    <xf numFmtId="172" fontId="0" fillId="0" borderId="0" xfId="0" applyNumberFormat="1" applyAlignment="1" applyProtection="1">
      <alignment vertical="center"/>
      <protection hidden="1"/>
    </xf>
    <xf numFmtId="0" fontId="0" fillId="5" borderId="16" xfId="0" applyFill="1" applyBorder="1" applyAlignment="1" applyProtection="1">
      <alignment vertical="center"/>
      <protection hidden="1"/>
    </xf>
    <xf numFmtId="0" fontId="0" fillId="5" borderId="16" xfId="0" applyFill="1" applyBorder="1" applyAlignment="1">
      <alignment vertical="center"/>
    </xf>
    <xf numFmtId="4" fontId="0" fillId="5" borderId="16" xfId="0" applyNumberFormat="1" applyFill="1" applyBorder="1" applyAlignment="1">
      <alignment vertical="center"/>
    </xf>
    <xf numFmtId="0" fontId="0" fillId="5" borderId="11" xfId="0" applyFill="1" applyBorder="1" applyAlignment="1">
      <alignment vertical="center"/>
    </xf>
    <xf numFmtId="0" fontId="0" fillId="5" borderId="16" xfId="0" applyFill="1" applyBorder="1" applyAlignment="1" applyProtection="1">
      <alignment horizontal="center" vertical="center"/>
      <protection locked="0" hidden="1"/>
    </xf>
    <xf numFmtId="0" fontId="0" fillId="5" borderId="12" xfId="0" applyFill="1" applyBorder="1" applyAlignment="1" applyProtection="1">
      <alignment horizontal="center" vertical="center"/>
      <protection hidden="1"/>
    </xf>
    <xf numFmtId="4" fontId="0" fillId="5" borderId="16" xfId="0" applyNumberFormat="1" applyFill="1" applyBorder="1" applyAlignment="1" applyProtection="1">
      <alignment vertical="center"/>
      <protection hidden="1"/>
    </xf>
    <xf numFmtId="0" fontId="0" fillId="5" borderId="11" xfId="0" applyFill="1" applyBorder="1" applyAlignment="1" applyProtection="1">
      <alignment vertical="center"/>
      <protection hidden="1"/>
    </xf>
    <xf numFmtId="0" fontId="0" fillId="0" borderId="80" xfId="0" applyBorder="1" applyAlignment="1" applyProtection="1">
      <alignment horizontal="center" vertical="center"/>
      <protection locked="0" hidden="1"/>
    </xf>
    <xf numFmtId="0" fontId="0" fillId="0" borderId="79" xfId="0" applyBorder="1" applyAlignment="1" applyProtection="1">
      <alignment horizontal="center" vertical="center"/>
      <protection locked="0" hidden="1"/>
    </xf>
    <xf numFmtId="4" fontId="0" fillId="5" borderId="16" xfId="0" applyNumberFormat="1" applyFill="1" applyBorder="1" applyAlignment="1" applyProtection="1">
      <alignment horizontal="right" vertical="center"/>
      <protection hidden="1"/>
    </xf>
    <xf numFmtId="0" fontId="35" fillId="5" borderId="16" xfId="0" applyFont="1" applyFill="1" applyBorder="1" applyAlignment="1" applyProtection="1">
      <alignment vertical="center"/>
      <protection hidden="1"/>
    </xf>
    <xf numFmtId="4" fontId="35" fillId="5" borderId="16" xfId="0" applyNumberFormat="1" applyFont="1" applyFill="1" applyBorder="1" applyAlignment="1" applyProtection="1">
      <alignment vertical="center"/>
      <protection hidden="1"/>
    </xf>
    <xf numFmtId="0" fontId="35" fillId="5" borderId="11" xfId="0" applyFont="1" applyFill="1" applyBorder="1" applyAlignment="1" applyProtection="1">
      <alignment vertical="center"/>
      <protection hidden="1"/>
    </xf>
    <xf numFmtId="0" fontId="0" fillId="0" borderId="81" xfId="0" applyBorder="1" applyAlignment="1" applyProtection="1">
      <alignment horizontal="center" vertical="center"/>
      <protection locked="0" hidden="1"/>
    </xf>
    <xf numFmtId="4" fontId="0" fillId="0" borderId="0" xfId="0" applyNumberFormat="1" applyAlignment="1">
      <alignment vertical="center"/>
    </xf>
    <xf numFmtId="172" fontId="19" fillId="0" borderId="77" xfId="0" applyNumberFormat="1" applyFont="1" applyBorder="1" applyAlignment="1" applyProtection="1">
      <alignment horizontal="center"/>
      <protection hidden="1"/>
    </xf>
    <xf numFmtId="172" fontId="19" fillId="0" borderId="15" xfId="0" applyNumberFormat="1" applyFont="1" applyBorder="1" applyAlignment="1" applyProtection="1">
      <alignment horizontal="center"/>
      <protection hidden="1"/>
    </xf>
    <xf numFmtId="167" fontId="29" fillId="0" borderId="0" xfId="0" applyNumberFormat="1" applyFont="1" applyProtection="1">
      <protection hidden="1"/>
    </xf>
    <xf numFmtId="0" fontId="0" fillId="5" borderId="2" xfId="0" applyFill="1" applyBorder="1" applyAlignment="1">
      <alignment vertical="center"/>
    </xf>
    <xf numFmtId="2" fontId="0" fillId="0" borderId="0" xfId="0" applyNumberFormat="1" applyAlignment="1" applyProtection="1">
      <alignment vertical="center"/>
      <protection hidden="1"/>
    </xf>
    <xf numFmtId="0" fontId="38" fillId="0" borderId="0" xfId="0" applyFont="1" applyAlignment="1" applyProtection="1">
      <alignment horizontal="left" vertical="center"/>
      <protection hidden="1"/>
    </xf>
    <xf numFmtId="0" fontId="0" fillId="0" borderId="65" xfId="0" applyBorder="1" applyAlignment="1" applyProtection="1">
      <alignment horizontal="center" vertical="center"/>
      <protection hidden="1"/>
    </xf>
    <xf numFmtId="165" fontId="0" fillId="0" borderId="16" xfId="0" applyNumberFormat="1" applyBorder="1" applyAlignment="1" applyProtection="1">
      <alignment horizontal="left"/>
      <protection locked="0" hidden="1"/>
    </xf>
    <xf numFmtId="0" fontId="0" fillId="0" borderId="3" xfId="0" applyBorder="1" applyProtection="1">
      <protection hidden="1"/>
    </xf>
    <xf numFmtId="0" fontId="14" fillId="5" borderId="21" xfId="0" applyFont="1" applyFill="1" applyBorder="1" applyAlignment="1" applyProtection="1">
      <alignment horizontal="center" vertical="center"/>
      <protection hidden="1"/>
    </xf>
    <xf numFmtId="0" fontId="14" fillId="5" borderId="22" xfId="0" applyFont="1" applyFill="1" applyBorder="1" applyAlignment="1" applyProtection="1">
      <alignment vertical="center"/>
      <protection hidden="1"/>
    </xf>
    <xf numFmtId="0" fontId="33" fillId="0" borderId="94" xfId="0" applyFont="1" applyBorder="1" applyAlignment="1" applyProtection="1">
      <alignment horizontal="center" vertical="center"/>
      <protection hidden="1"/>
    </xf>
    <xf numFmtId="0" fontId="33" fillId="0" borderId="13" xfId="0" applyFont="1" applyBorder="1" applyAlignment="1" applyProtection="1">
      <alignment horizontal="center" vertical="center"/>
      <protection hidden="1"/>
    </xf>
    <xf numFmtId="0" fontId="33" fillId="0" borderId="14" xfId="0" applyFont="1" applyBorder="1" applyAlignment="1" applyProtection="1">
      <alignment horizontal="center" vertical="center"/>
      <protection hidden="1"/>
    </xf>
    <xf numFmtId="0" fontId="12" fillId="0" borderId="0" xfId="0" applyFont="1" applyAlignment="1" applyProtection="1">
      <alignment vertical="center"/>
      <protection hidden="1"/>
    </xf>
    <xf numFmtId="172" fontId="15" fillId="0" borderId="0" xfId="0" applyNumberFormat="1" applyFont="1" applyAlignment="1" applyProtection="1">
      <alignment vertical="center"/>
      <protection hidden="1"/>
    </xf>
    <xf numFmtId="0" fontId="24" fillId="2" borderId="97" xfId="0" applyFont="1" applyFill="1" applyBorder="1" applyAlignment="1" applyProtection="1">
      <alignment horizontal="center"/>
      <protection hidden="1"/>
    </xf>
    <xf numFmtId="2" fontId="19" fillId="0" borderId="96" xfId="0" applyNumberFormat="1" applyFont="1" applyBorder="1" applyAlignment="1" applyProtection="1">
      <alignment horizontal="center"/>
      <protection hidden="1"/>
    </xf>
    <xf numFmtId="0" fontId="7" fillId="0" borderId="0" xfId="0" applyFont="1" applyAlignment="1" applyProtection="1">
      <alignment vertical="center" wrapText="1"/>
      <protection hidden="1"/>
    </xf>
    <xf numFmtId="171" fontId="0" fillId="0" borderId="0" xfId="0" applyNumberFormat="1" applyAlignment="1" applyProtection="1">
      <alignment horizontal="center"/>
      <protection hidden="1"/>
    </xf>
    <xf numFmtId="171" fontId="0" fillId="0" borderId="0" xfId="0" applyNumberFormat="1" applyAlignment="1" applyProtection="1">
      <alignment horizontal="center" vertical="center"/>
      <protection hidden="1"/>
    </xf>
    <xf numFmtId="43" fontId="0" fillId="0" borderId="1" xfId="1" applyFont="1" applyBorder="1" applyAlignment="1" applyProtection="1">
      <alignment horizontal="center" vertical="center"/>
      <protection hidden="1"/>
    </xf>
    <xf numFmtId="0" fontId="18" fillId="5" borderId="16" xfId="0" applyFont="1" applyFill="1" applyBorder="1" applyAlignment="1" applyProtection="1">
      <alignment vertical="center" wrapText="1"/>
      <protection hidden="1"/>
    </xf>
    <xf numFmtId="39" fontId="0" fillId="0" borderId="9" xfId="1" applyNumberFormat="1" applyFont="1" applyBorder="1" applyAlignment="1" applyProtection="1">
      <alignment vertical="center"/>
      <protection hidden="1"/>
    </xf>
    <xf numFmtId="39" fontId="0" fillId="0" borderId="1" xfId="1" applyNumberFormat="1" applyFont="1" applyBorder="1" applyAlignment="1" applyProtection="1">
      <alignment vertical="center"/>
      <protection hidden="1"/>
    </xf>
    <xf numFmtId="39" fontId="0" fillId="5" borderId="16" xfId="1" applyNumberFormat="1" applyFont="1" applyFill="1" applyBorder="1" applyAlignment="1" applyProtection="1">
      <alignment vertical="center"/>
      <protection hidden="1"/>
    </xf>
    <xf numFmtId="39" fontId="0" fillId="0" borderId="7" xfId="1" applyNumberFormat="1" applyFont="1" applyBorder="1" applyAlignment="1" applyProtection="1">
      <alignment vertical="center"/>
      <protection hidden="1"/>
    </xf>
    <xf numFmtId="0" fontId="9" fillId="0" borderId="0" xfId="0" applyFont="1" applyAlignment="1" applyProtection="1">
      <alignment horizontal="center" vertical="center"/>
      <protection hidden="1"/>
    </xf>
    <xf numFmtId="43" fontId="0" fillId="0" borderId="1" xfId="1" applyFont="1" applyBorder="1" applyAlignment="1" applyProtection="1">
      <alignment horizontal="left" vertical="center"/>
      <protection hidden="1"/>
    </xf>
    <xf numFmtId="3" fontId="0" fillId="0" borderId="0" xfId="0" applyNumberFormat="1" applyAlignment="1" applyProtection="1">
      <alignment horizontal="center"/>
      <protection hidden="1"/>
    </xf>
    <xf numFmtId="3" fontId="18" fillId="4" borderId="0" xfId="0" applyNumberFormat="1" applyFont="1" applyFill="1" applyAlignment="1" applyProtection="1">
      <alignment horizontal="center" vertical="center" wrapText="1"/>
      <protection hidden="1"/>
    </xf>
    <xf numFmtId="3" fontId="38" fillId="0" borderId="1" xfId="1" applyNumberFormat="1" applyFont="1" applyBorder="1" applyAlignment="1" applyProtection="1">
      <alignment horizontal="center" vertical="center"/>
      <protection hidden="1"/>
    </xf>
    <xf numFmtId="0" fontId="40" fillId="0" borderId="0" xfId="0" applyFont="1" applyAlignment="1" applyProtection="1">
      <alignment horizontal="center"/>
      <protection hidden="1"/>
    </xf>
    <xf numFmtId="0" fontId="38" fillId="0" borderId="0" xfId="0" applyFont="1" applyAlignment="1" applyProtection="1">
      <alignment horizontal="center" vertical="center"/>
      <protection hidden="1"/>
    </xf>
    <xf numFmtId="2" fontId="0" fillId="0" borderId="0" xfId="0" applyNumberFormat="1" applyProtection="1">
      <protection hidden="1"/>
    </xf>
    <xf numFmtId="2" fontId="37" fillId="4" borderId="0" xfId="0" applyNumberFormat="1" applyFont="1" applyFill="1" applyAlignment="1" applyProtection="1">
      <alignment horizontal="center" vertical="center" wrapText="1"/>
      <protection hidden="1"/>
    </xf>
    <xf numFmtId="2" fontId="38" fillId="0" borderId="1" xfId="1" applyNumberFormat="1" applyFont="1" applyBorder="1" applyAlignment="1" applyProtection="1">
      <alignment horizontal="center" vertical="center"/>
      <protection hidden="1"/>
    </xf>
    <xf numFmtId="1" fontId="30" fillId="0" borderId="0" xfId="0" applyNumberFormat="1" applyFont="1" applyAlignment="1" applyProtection="1">
      <alignment horizontal="center"/>
      <protection hidden="1"/>
    </xf>
    <xf numFmtId="3" fontId="30" fillId="0" borderId="0" xfId="0" applyNumberFormat="1" applyFont="1" applyAlignment="1" applyProtection="1">
      <alignment horizontal="center"/>
      <protection hidden="1"/>
    </xf>
    <xf numFmtId="3" fontId="0" fillId="0" borderId="1" xfId="1" applyNumberFormat="1" applyFont="1" applyBorder="1" applyAlignment="1" applyProtection="1">
      <alignment horizontal="center" vertical="center"/>
      <protection hidden="1"/>
    </xf>
    <xf numFmtId="40" fontId="0" fillId="0" borderId="0" xfId="0" applyNumberFormat="1" applyAlignment="1" applyProtection="1">
      <alignment horizontal="center"/>
      <protection hidden="1"/>
    </xf>
    <xf numFmtId="1" fontId="30" fillId="0" borderId="0" xfId="0" applyNumberFormat="1" applyFont="1" applyAlignment="1" applyProtection="1">
      <alignment vertical="center"/>
      <protection hidden="1"/>
    </xf>
    <xf numFmtId="1" fontId="0" fillId="0" borderId="0" xfId="0" applyNumberFormat="1" applyAlignment="1" applyProtection="1">
      <alignment horizontal="center" vertical="center"/>
      <protection hidden="1"/>
    </xf>
    <xf numFmtId="3" fontId="30" fillId="0" borderId="0" xfId="0" applyNumberFormat="1" applyFont="1" applyAlignment="1" applyProtection="1">
      <alignment vertical="center"/>
      <protection hidden="1"/>
    </xf>
    <xf numFmtId="3" fontId="0" fillId="0" borderId="0" xfId="0" applyNumberFormat="1" applyAlignment="1" applyProtection="1">
      <alignment horizontal="center" vertical="center"/>
      <protection hidden="1"/>
    </xf>
    <xf numFmtId="2" fontId="18" fillId="4" borderId="0" xfId="0" applyNumberFormat="1" applyFont="1" applyFill="1" applyAlignment="1" applyProtection="1">
      <alignment horizontal="center" vertical="center" wrapText="1"/>
      <protection hidden="1"/>
    </xf>
    <xf numFmtId="2" fontId="0" fillId="0" borderId="1" xfId="1" applyNumberFormat="1" applyFont="1" applyBorder="1" applyAlignment="1" applyProtection="1">
      <alignment horizontal="center" vertical="center"/>
      <protection hidden="1"/>
    </xf>
    <xf numFmtId="1" fontId="0" fillId="0" borderId="0" xfId="0" applyNumberFormat="1" applyAlignment="1" applyProtection="1">
      <alignment horizontal="left" vertical="center"/>
      <protection hidden="1"/>
    </xf>
    <xf numFmtId="1" fontId="37" fillId="4" borderId="0" xfId="0" applyNumberFormat="1" applyFont="1" applyFill="1" applyAlignment="1" applyProtection="1">
      <alignment horizontal="center" vertical="center" wrapText="1"/>
      <protection hidden="1"/>
    </xf>
    <xf numFmtId="1" fontId="38" fillId="0" borderId="1" xfId="1" applyNumberFormat="1" applyFont="1" applyBorder="1" applyAlignment="1" applyProtection="1">
      <alignment horizontal="center" vertical="center"/>
      <protection hidden="1"/>
    </xf>
    <xf numFmtId="2" fontId="30" fillId="0" borderId="0" xfId="0" applyNumberFormat="1" applyFont="1" applyAlignment="1" applyProtection="1">
      <alignment vertical="center"/>
      <protection hidden="1"/>
    </xf>
    <xf numFmtId="2" fontId="0" fillId="0" borderId="0" xfId="0" applyNumberFormat="1" applyAlignment="1" applyProtection="1">
      <alignment horizontal="left" vertical="center"/>
      <protection hidden="1"/>
    </xf>
    <xf numFmtId="1" fontId="38" fillId="0" borderId="0" xfId="0" applyNumberFormat="1" applyFont="1" applyAlignment="1" applyProtection="1">
      <alignment horizontal="center" vertical="center"/>
      <protection hidden="1"/>
    </xf>
    <xf numFmtId="43" fontId="0" fillId="0" borderId="1" xfId="1" applyFont="1" applyFill="1" applyBorder="1" applyAlignment="1" applyProtection="1">
      <alignment horizontal="center" vertical="center"/>
      <protection hidden="1"/>
    </xf>
    <xf numFmtId="43" fontId="0" fillId="0" borderId="1" xfId="1" applyFont="1" applyFill="1" applyBorder="1" applyAlignment="1" applyProtection="1">
      <alignment horizontal="left" vertical="center"/>
      <protection hidden="1"/>
    </xf>
    <xf numFmtId="1" fontId="30" fillId="0" borderId="0" xfId="0" applyNumberFormat="1" applyFont="1" applyAlignment="1" applyProtection="1">
      <alignment horizontal="center" vertical="center"/>
      <protection hidden="1"/>
    </xf>
    <xf numFmtId="2" fontId="0" fillId="0" borderId="1" xfId="1" applyNumberFormat="1" applyFont="1" applyFill="1" applyBorder="1" applyAlignment="1" applyProtection="1">
      <alignment horizontal="center" vertical="center"/>
      <protection hidden="1"/>
    </xf>
    <xf numFmtId="0" fontId="40" fillId="0" borderId="0" xfId="0" applyFont="1" applyAlignment="1" applyProtection="1">
      <alignment vertical="center"/>
      <protection hidden="1"/>
    </xf>
    <xf numFmtId="0" fontId="38" fillId="0" borderId="0" xfId="0" applyFont="1" applyAlignment="1" applyProtection="1">
      <alignment vertical="center"/>
      <protection hidden="1"/>
    </xf>
    <xf numFmtId="2" fontId="38" fillId="0" borderId="1" xfId="1" applyNumberFormat="1" applyFont="1" applyFill="1" applyBorder="1" applyAlignment="1" applyProtection="1">
      <alignment horizontal="center" vertical="center"/>
      <protection hidden="1"/>
    </xf>
    <xf numFmtId="3" fontId="0" fillId="0" borderId="1" xfId="1" applyNumberFormat="1" applyFont="1" applyFill="1" applyBorder="1" applyAlignment="1" applyProtection="1">
      <alignment horizontal="center" vertical="center"/>
      <protection hidden="1"/>
    </xf>
    <xf numFmtId="43" fontId="38" fillId="0" borderId="1" xfId="1" applyFont="1" applyFill="1" applyBorder="1" applyAlignment="1" applyProtection="1">
      <alignment horizontal="center" vertical="center"/>
      <protection hidden="1"/>
    </xf>
    <xf numFmtId="2" fontId="30" fillId="0" borderId="0" xfId="0" applyNumberFormat="1" applyFont="1" applyAlignment="1" applyProtection="1">
      <alignment horizontal="center" vertical="center"/>
      <protection hidden="1"/>
    </xf>
    <xf numFmtId="2" fontId="0" fillId="0" borderId="0" xfId="0" applyNumberFormat="1" applyAlignment="1" applyProtection="1">
      <alignment horizontal="center" vertical="center"/>
      <protection hidden="1"/>
    </xf>
    <xf numFmtId="1" fontId="38" fillId="0" borderId="1" xfId="1" applyNumberFormat="1" applyFont="1" applyFill="1" applyBorder="1" applyAlignment="1" applyProtection="1">
      <alignment horizontal="center" vertical="center"/>
      <protection hidden="1"/>
    </xf>
    <xf numFmtId="4" fontId="0" fillId="0" borderId="1" xfId="0" applyNumberFormat="1" applyBorder="1" applyAlignment="1" applyProtection="1">
      <alignment horizontal="left" vertical="center"/>
      <protection hidden="1"/>
    </xf>
    <xf numFmtId="2" fontId="0" fillId="0" borderId="0" xfId="0" applyNumberFormat="1" applyAlignment="1" applyProtection="1">
      <alignment horizontal="right" vertical="center"/>
      <protection hidden="1"/>
    </xf>
    <xf numFmtId="2" fontId="0" fillId="0" borderId="1" xfId="0" applyNumberFormat="1" applyBorder="1" applyAlignment="1" applyProtection="1">
      <alignment horizontal="right" vertical="center"/>
      <protection hidden="1"/>
    </xf>
    <xf numFmtId="2" fontId="0" fillId="0" borderId="1" xfId="0" applyNumberFormat="1" applyBorder="1" applyAlignment="1" applyProtection="1">
      <alignment horizontal="center" vertical="center"/>
      <protection hidden="1"/>
    </xf>
    <xf numFmtId="2" fontId="0" fillId="0" borderId="1" xfId="0" applyNumberFormat="1" applyBorder="1" applyAlignment="1" applyProtection="1">
      <alignment horizontal="left" vertical="center"/>
      <protection hidden="1"/>
    </xf>
    <xf numFmtId="2" fontId="0" fillId="0" borderId="0" xfId="0" applyNumberFormat="1" applyAlignment="1" applyProtection="1">
      <alignment horizontal="right"/>
      <protection hidden="1"/>
    </xf>
    <xf numFmtId="2" fontId="0" fillId="0" borderId="1" xfId="0" applyNumberFormat="1" applyBorder="1" applyAlignment="1" applyProtection="1">
      <alignment horizontal="right"/>
      <protection hidden="1"/>
    </xf>
    <xf numFmtId="2" fontId="0" fillId="0" borderId="1" xfId="0" applyNumberFormat="1" applyBorder="1" applyAlignment="1" applyProtection="1">
      <alignment horizontal="left"/>
      <protection hidden="1"/>
    </xf>
    <xf numFmtId="2" fontId="0" fillId="0" borderId="1" xfId="0" applyNumberFormat="1" applyBorder="1" applyAlignment="1" applyProtection="1">
      <alignment horizontal="center"/>
      <protection hidden="1"/>
    </xf>
    <xf numFmtId="1" fontId="0" fillId="0" borderId="1" xfId="0" applyNumberFormat="1" applyBorder="1" applyAlignment="1" applyProtection="1">
      <alignment horizontal="center"/>
      <protection hidden="1"/>
    </xf>
    <xf numFmtId="0" fontId="40" fillId="0" borderId="0" xfId="0" applyFont="1" applyProtection="1">
      <protection hidden="1"/>
    </xf>
    <xf numFmtId="1" fontId="38" fillId="0" borderId="1" xfId="0" applyNumberFormat="1" applyFont="1" applyBorder="1" applyAlignment="1" applyProtection="1">
      <alignment horizontal="center"/>
      <protection hidden="1"/>
    </xf>
    <xf numFmtId="2" fontId="38" fillId="0" borderId="1" xfId="0" applyNumberFormat="1" applyFont="1" applyBorder="1" applyAlignment="1" applyProtection="1">
      <alignment horizontal="center"/>
      <protection hidden="1"/>
    </xf>
    <xf numFmtId="43" fontId="0" fillId="0" borderId="1" xfId="1" applyFont="1" applyFill="1" applyBorder="1" applyAlignment="1" applyProtection="1">
      <alignment horizontal="center"/>
      <protection hidden="1"/>
    </xf>
    <xf numFmtId="43" fontId="0" fillId="0" borderId="1" xfId="1" applyFont="1" applyFill="1" applyBorder="1" applyAlignment="1" applyProtection="1">
      <alignment horizontal="left"/>
      <protection hidden="1"/>
    </xf>
    <xf numFmtId="1" fontId="0" fillId="0" borderId="1" xfId="1" applyNumberFormat="1" applyFont="1" applyFill="1" applyBorder="1" applyAlignment="1" applyProtection="1">
      <alignment horizontal="center"/>
      <protection hidden="1"/>
    </xf>
    <xf numFmtId="1" fontId="0" fillId="0" borderId="0" xfId="0" applyNumberFormat="1" applyAlignment="1">
      <alignment horizontal="center"/>
    </xf>
    <xf numFmtId="0" fontId="18" fillId="0" borderId="0" xfId="0" applyFont="1" applyAlignment="1" applyProtection="1">
      <alignment vertical="center"/>
      <protection hidden="1"/>
    </xf>
    <xf numFmtId="0" fontId="8" fillId="5" borderId="12" xfId="0" applyFont="1" applyFill="1" applyBorder="1" applyAlignment="1" applyProtection="1">
      <alignment vertical="center"/>
      <protection hidden="1"/>
    </xf>
    <xf numFmtId="0" fontId="8" fillId="5" borderId="2" xfId="0" applyFont="1" applyFill="1" applyBorder="1" applyAlignment="1">
      <alignment vertical="center"/>
    </xf>
    <xf numFmtId="0" fontId="8" fillId="5" borderId="12" xfId="0" applyFont="1" applyFill="1" applyBorder="1" applyAlignment="1" applyProtection="1">
      <alignment horizontal="left" vertical="center"/>
      <protection hidden="1"/>
    </xf>
    <xf numFmtId="0" fontId="8" fillId="5" borderId="67" xfId="0" applyFont="1" applyFill="1" applyBorder="1" applyAlignment="1" applyProtection="1">
      <alignment horizontal="left" vertical="center"/>
      <protection hidden="1"/>
    </xf>
    <xf numFmtId="0" fontId="11" fillId="5" borderId="12" xfId="0" applyFont="1" applyFill="1" applyBorder="1" applyAlignment="1" applyProtection="1">
      <alignment vertical="center"/>
      <protection hidden="1"/>
    </xf>
    <xf numFmtId="0" fontId="11" fillId="5" borderId="12" xfId="0" applyFont="1" applyFill="1" applyBorder="1" applyAlignment="1">
      <alignment vertical="center"/>
    </xf>
    <xf numFmtId="0" fontId="8" fillId="5" borderId="12" xfId="0" applyFont="1" applyFill="1" applyBorder="1" applyAlignment="1">
      <alignment vertical="center"/>
    </xf>
    <xf numFmtId="0" fontId="8" fillId="5" borderId="16" xfId="0" applyFont="1" applyFill="1" applyBorder="1" applyAlignment="1">
      <alignment vertical="center"/>
    </xf>
    <xf numFmtId="4" fontId="8" fillId="5" borderId="16" xfId="0" applyNumberFormat="1" applyFont="1" applyFill="1" applyBorder="1" applyAlignment="1">
      <alignment vertical="center"/>
    </xf>
    <xf numFmtId="0" fontId="8" fillId="5" borderId="11" xfId="0" applyFont="1" applyFill="1" applyBorder="1" applyAlignment="1">
      <alignment vertical="center"/>
    </xf>
    <xf numFmtId="0" fontId="41" fillId="0" borderId="0" xfId="0" applyFont="1" applyAlignment="1" applyProtection="1">
      <alignment horizontal="center" vertical="center"/>
      <protection hidden="1"/>
    </xf>
    <xf numFmtId="0" fontId="7" fillId="5" borderId="16" xfId="0" applyFont="1" applyFill="1" applyBorder="1" applyAlignment="1" applyProtection="1">
      <alignment horizontal="center" vertical="center" wrapText="1"/>
      <protection hidden="1"/>
    </xf>
    <xf numFmtId="0" fontId="0" fillId="0" borderId="9" xfId="0" applyBorder="1" applyAlignment="1">
      <alignment horizontal="center" vertical="center"/>
    </xf>
    <xf numFmtId="4" fontId="0" fillId="0" borderId="0" xfId="0" applyNumberFormat="1" applyAlignment="1" applyProtection="1">
      <alignment horizontal="right" vertical="center"/>
      <protection hidden="1"/>
    </xf>
    <xf numFmtId="167" fontId="42" fillId="4" borderId="0" xfId="0" applyNumberFormat="1" applyFont="1" applyFill="1" applyAlignment="1" applyProtection="1">
      <alignment horizontal="center" vertical="center" wrapText="1"/>
      <protection hidden="1"/>
    </xf>
    <xf numFmtId="0" fontId="8" fillId="5" borderId="21" xfId="0" applyFont="1" applyFill="1" applyBorder="1" applyAlignment="1" applyProtection="1">
      <alignment vertical="center"/>
      <protection hidden="1"/>
    </xf>
    <xf numFmtId="0" fontId="30" fillId="0" borderId="0" xfId="0" applyFont="1" applyAlignment="1" applyProtection="1">
      <alignment horizontal="left" vertical="center"/>
      <protection hidden="1"/>
    </xf>
    <xf numFmtId="0" fontId="0" fillId="2" borderId="7" xfId="0" applyFill="1" applyBorder="1" applyAlignment="1" applyProtection="1">
      <alignment horizontal="left" vertical="center"/>
      <protection hidden="1"/>
    </xf>
    <xf numFmtId="0" fontId="0" fillId="2" borderId="9" xfId="0" applyFill="1" applyBorder="1" applyAlignment="1" applyProtection="1">
      <alignment horizontal="left" vertical="center"/>
      <protection hidden="1"/>
    </xf>
    <xf numFmtId="0" fontId="14" fillId="5" borderId="69" xfId="0" applyFont="1" applyFill="1" applyBorder="1" applyAlignment="1" applyProtection="1">
      <alignment horizontal="left" vertical="center"/>
      <protection hidden="1"/>
    </xf>
    <xf numFmtId="0" fontId="0" fillId="0" borderId="0" xfId="0" applyAlignment="1">
      <alignment horizontal="left" vertical="center"/>
    </xf>
    <xf numFmtId="4" fontId="0" fillId="0" borderId="61" xfId="0" applyNumberFormat="1" applyBorder="1" applyAlignment="1" applyProtection="1">
      <alignment horizontal="center" vertical="center"/>
      <protection hidden="1"/>
    </xf>
    <xf numFmtId="4" fontId="0" fillId="0" borderId="66" xfId="0" applyNumberFormat="1" applyBorder="1" applyAlignment="1" applyProtection="1">
      <alignment horizontal="center" vertical="center"/>
      <protection hidden="1"/>
    </xf>
    <xf numFmtId="0" fontId="33" fillId="0" borderId="95" xfId="0" applyFont="1" applyBorder="1" applyAlignment="1" applyProtection="1">
      <alignment horizontal="center" vertical="center"/>
      <protection hidden="1"/>
    </xf>
    <xf numFmtId="0" fontId="33" fillId="0" borderId="15" xfId="0" applyFont="1" applyBorder="1" applyAlignment="1" applyProtection="1">
      <alignment horizontal="center" vertical="center"/>
      <protection hidden="1"/>
    </xf>
    <xf numFmtId="0" fontId="33" fillId="0" borderId="96" xfId="0" applyFont="1" applyBorder="1" applyAlignment="1" applyProtection="1">
      <alignment horizontal="center" vertical="center"/>
      <protection hidden="1"/>
    </xf>
    <xf numFmtId="1" fontId="6" fillId="0" borderId="0" xfId="15" applyNumberFormat="1" applyFont="1" applyFill="1" applyAlignment="1" applyProtection="1">
      <alignment horizontal="center" vertical="center"/>
      <protection hidden="1"/>
    </xf>
    <xf numFmtId="1" fontId="7" fillId="0" borderId="0" xfId="0" applyNumberFormat="1" applyFont="1" applyAlignment="1" applyProtection="1">
      <alignment horizontal="center" vertical="center"/>
      <protection hidden="1"/>
    </xf>
    <xf numFmtId="1" fontId="14" fillId="5" borderId="69" xfId="0" applyNumberFormat="1" applyFont="1" applyFill="1" applyBorder="1" applyAlignment="1" applyProtection="1">
      <alignment vertical="center"/>
      <protection hidden="1"/>
    </xf>
    <xf numFmtId="1" fontId="0" fillId="0" borderId="61" xfId="0" applyNumberFormat="1" applyBorder="1" applyAlignment="1" applyProtection="1">
      <alignment horizontal="center" vertical="center"/>
      <protection hidden="1"/>
    </xf>
    <xf numFmtId="1" fontId="0" fillId="0" borderId="66" xfId="0" applyNumberFormat="1" applyBorder="1" applyAlignment="1" applyProtection="1">
      <alignment horizontal="center" vertical="center"/>
      <protection hidden="1"/>
    </xf>
    <xf numFmtId="1" fontId="0" fillId="0" borderId="71" xfId="0" applyNumberFormat="1" applyBorder="1" applyAlignment="1" applyProtection="1">
      <alignment horizontal="center" vertical="center"/>
      <protection hidden="1"/>
    </xf>
    <xf numFmtId="1" fontId="0" fillId="0" borderId="0" xfId="0" applyNumberFormat="1" applyAlignment="1">
      <alignment vertical="center"/>
    </xf>
    <xf numFmtId="1" fontId="0" fillId="0" borderId="1" xfId="0" applyNumberFormat="1" applyBorder="1" applyAlignment="1" applyProtection="1">
      <alignment horizontal="left" vertical="center"/>
      <protection hidden="1"/>
    </xf>
    <xf numFmtId="1" fontId="0" fillId="0" borderId="61" xfId="0" applyNumberFormat="1" applyBorder="1" applyAlignment="1" applyProtection="1">
      <alignment horizontal="left" vertical="center"/>
      <protection hidden="1"/>
    </xf>
    <xf numFmtId="1" fontId="0" fillId="0" borderId="66" xfId="0" applyNumberFormat="1" applyBorder="1" applyAlignment="1" applyProtection="1">
      <alignment horizontal="left" vertical="center"/>
      <protection hidden="1"/>
    </xf>
    <xf numFmtId="0" fontId="43" fillId="0" borderId="0" xfId="0" applyFont="1" applyAlignment="1" applyProtection="1">
      <alignment vertical="center"/>
      <protection hidden="1"/>
    </xf>
    <xf numFmtId="0" fontId="0" fillId="5" borderId="69" xfId="0" applyFill="1" applyBorder="1" applyAlignment="1" applyProtection="1">
      <alignment vertical="center"/>
      <protection hidden="1"/>
    </xf>
    <xf numFmtId="0" fontId="41" fillId="0" borderId="0" xfId="0" applyFont="1" applyAlignment="1" applyProtection="1">
      <alignment horizontal="center"/>
      <protection hidden="1"/>
    </xf>
    <xf numFmtId="0" fontId="43" fillId="0" borderId="0" xfId="0" applyFont="1" applyAlignment="1" applyProtection="1">
      <alignment horizontal="center" vertical="center"/>
      <protection hidden="1"/>
    </xf>
    <xf numFmtId="0" fontId="0" fillId="0" borderId="0" xfId="0" applyAlignment="1">
      <alignment horizontal="center"/>
    </xf>
    <xf numFmtId="0" fontId="38" fillId="5" borderId="69" xfId="0" applyFont="1" applyFill="1" applyBorder="1" applyAlignment="1" applyProtection="1">
      <alignment vertical="center"/>
      <protection hidden="1"/>
    </xf>
    <xf numFmtId="2" fontId="0" fillId="0" borderId="0" xfId="0" applyNumberFormat="1"/>
    <xf numFmtId="2" fontId="38" fillId="0" borderId="9" xfId="0" applyNumberFormat="1" applyFont="1" applyBorder="1" applyAlignment="1" applyProtection="1">
      <alignment horizontal="center" vertical="center"/>
      <protection hidden="1"/>
    </xf>
    <xf numFmtId="0" fontId="14" fillId="5" borderId="72" xfId="0" applyFont="1" applyFill="1" applyBorder="1" applyAlignment="1" applyProtection="1">
      <alignment horizontal="center" vertical="center"/>
      <protection hidden="1"/>
    </xf>
    <xf numFmtId="0" fontId="14" fillId="5" borderId="71" xfId="0" applyFont="1" applyFill="1" applyBorder="1" applyAlignment="1" applyProtection="1">
      <alignment vertical="center"/>
      <protection hidden="1"/>
    </xf>
    <xf numFmtId="4" fontId="14" fillId="5" borderId="70" xfId="0" applyNumberFormat="1" applyFont="1" applyFill="1" applyBorder="1" applyAlignment="1" applyProtection="1">
      <alignment vertical="center"/>
      <protection hidden="1"/>
    </xf>
    <xf numFmtId="0" fontId="14" fillId="5" borderId="19" xfId="0" applyFont="1" applyFill="1" applyBorder="1" applyAlignment="1" applyProtection="1">
      <alignment horizontal="center" vertical="center"/>
      <protection hidden="1"/>
    </xf>
    <xf numFmtId="2" fontId="14" fillId="5" borderId="69" xfId="0" applyNumberFormat="1" applyFont="1" applyFill="1" applyBorder="1" applyAlignment="1" applyProtection="1">
      <alignment horizontal="center" vertical="center"/>
      <protection hidden="1"/>
    </xf>
    <xf numFmtId="2" fontId="0" fillId="0" borderId="0" xfId="0" applyNumberFormat="1" applyAlignment="1">
      <alignment vertical="center"/>
    </xf>
    <xf numFmtId="2" fontId="14" fillId="5" borderId="69" xfId="0" applyNumberFormat="1" applyFont="1" applyFill="1" applyBorder="1" applyAlignment="1" applyProtection="1">
      <alignment vertical="center"/>
      <protection hidden="1"/>
    </xf>
    <xf numFmtId="0" fontId="8" fillId="0" borderId="0" xfId="0" applyFont="1" applyProtection="1">
      <protection hidden="1"/>
    </xf>
    <xf numFmtId="0" fontId="38" fillId="0" borderId="61" xfId="0" applyFont="1" applyBorder="1" applyAlignment="1" applyProtection="1">
      <alignment horizontal="center"/>
      <protection hidden="1"/>
    </xf>
    <xf numFmtId="2" fontId="30" fillId="0" borderId="0" xfId="0" applyNumberFormat="1" applyFont="1" applyProtection="1">
      <protection hidden="1"/>
    </xf>
    <xf numFmtId="0" fontId="0" fillId="0" borderId="11" xfId="0" applyBorder="1" applyAlignment="1">
      <alignment horizontal="center" vertical="center"/>
    </xf>
    <xf numFmtId="43" fontId="38" fillId="0" borderId="1" xfId="1" applyFont="1" applyBorder="1" applyAlignment="1" applyProtection="1">
      <alignment horizontal="center" vertical="center"/>
      <protection hidden="1"/>
    </xf>
    <xf numFmtId="0" fontId="44" fillId="0" borderId="98" xfId="0" applyFont="1" applyBorder="1" applyAlignment="1">
      <alignment vertical="top"/>
    </xf>
    <xf numFmtId="1" fontId="45" fillId="0" borderId="98" xfId="0" applyNumberFormat="1" applyFont="1" applyBorder="1" applyAlignment="1">
      <alignment horizontal="center"/>
    </xf>
    <xf numFmtId="2" fontId="14" fillId="5" borderId="70" xfId="0" applyNumberFormat="1" applyFont="1" applyFill="1" applyBorder="1" applyAlignment="1" applyProtection="1">
      <alignment vertical="center"/>
      <protection hidden="1"/>
    </xf>
    <xf numFmtId="0" fontId="7" fillId="4" borderId="0" xfId="0" applyFont="1" applyFill="1" applyAlignment="1" applyProtection="1">
      <alignment horizontal="center" vertical="center" wrapText="1"/>
      <protection hidden="1"/>
    </xf>
    <xf numFmtId="1" fontId="30" fillId="0" borderId="0" xfId="0" applyNumberFormat="1" applyFont="1" applyProtection="1">
      <protection hidden="1"/>
    </xf>
    <xf numFmtId="1" fontId="14" fillId="5" borderId="19" xfId="0" applyNumberFormat="1" applyFont="1" applyFill="1" applyBorder="1" applyAlignment="1" applyProtection="1">
      <alignment horizontal="center" vertical="center"/>
      <protection hidden="1"/>
    </xf>
    <xf numFmtId="1" fontId="14" fillId="5" borderId="69" xfId="0" applyNumberFormat="1" applyFont="1" applyFill="1" applyBorder="1" applyAlignment="1" applyProtection="1">
      <alignment horizontal="center" vertical="center"/>
      <protection hidden="1"/>
    </xf>
    <xf numFmtId="0" fontId="14" fillId="5" borderId="99" xfId="0" applyFont="1" applyFill="1" applyBorder="1" applyAlignment="1" applyProtection="1">
      <alignment horizontal="center" vertical="center"/>
      <protection hidden="1"/>
    </xf>
    <xf numFmtId="2" fontId="14" fillId="5" borderId="19" xfId="0" applyNumberFormat="1" applyFont="1" applyFill="1" applyBorder="1" applyAlignment="1" applyProtection="1">
      <alignment horizontal="center" vertical="center"/>
      <protection hidden="1"/>
    </xf>
    <xf numFmtId="1" fontId="14" fillId="5" borderId="19" xfId="0" applyNumberFormat="1" applyFont="1" applyFill="1" applyBorder="1" applyAlignment="1" applyProtection="1">
      <alignment vertical="center"/>
      <protection hidden="1"/>
    </xf>
    <xf numFmtId="2" fontId="14" fillId="5" borderId="65" xfId="0" applyNumberFormat="1" applyFont="1" applyFill="1" applyBorder="1" applyAlignment="1" applyProtection="1">
      <alignment vertical="center"/>
      <protection hidden="1"/>
    </xf>
    <xf numFmtId="0" fontId="37" fillId="4" borderId="5" xfId="0" applyFont="1" applyFill="1" applyBorder="1" applyAlignment="1" applyProtection="1">
      <alignment horizontal="center" vertical="center" wrapText="1"/>
      <protection hidden="1"/>
    </xf>
    <xf numFmtId="1" fontId="37" fillId="4" borderId="5" xfId="0" applyNumberFormat="1" applyFont="1" applyFill="1" applyBorder="1" applyAlignment="1" applyProtection="1">
      <alignment horizontal="center" vertical="center" wrapText="1"/>
      <protection hidden="1"/>
    </xf>
    <xf numFmtId="2" fontId="37" fillId="4" borderId="5" xfId="0" applyNumberFormat="1" applyFont="1" applyFill="1" applyBorder="1" applyAlignment="1" applyProtection="1">
      <alignment horizontal="center" vertical="center" wrapText="1"/>
      <protection hidden="1"/>
    </xf>
    <xf numFmtId="0" fontId="8" fillId="5" borderId="72" xfId="0" applyFont="1" applyFill="1" applyBorder="1" applyAlignment="1" applyProtection="1">
      <alignment vertical="center"/>
      <protection hidden="1"/>
    </xf>
    <xf numFmtId="0" fontId="14" fillId="5" borderId="72" xfId="0" applyFont="1" applyFill="1" applyBorder="1" applyAlignment="1" applyProtection="1">
      <alignment vertical="center"/>
      <protection hidden="1"/>
    </xf>
    <xf numFmtId="0" fontId="8" fillId="5" borderId="71" xfId="0" applyFont="1" applyFill="1" applyBorder="1" applyAlignment="1" applyProtection="1">
      <alignment vertical="center"/>
      <protection hidden="1"/>
    </xf>
    <xf numFmtId="1" fontId="38" fillId="0" borderId="66" xfId="1" applyNumberFormat="1" applyFont="1" applyBorder="1" applyAlignment="1" applyProtection="1">
      <alignment horizontal="center" vertical="center"/>
      <protection hidden="1"/>
    </xf>
    <xf numFmtId="1" fontId="0" fillId="0" borderId="0" xfId="0" applyNumberFormat="1" applyAlignment="1" applyProtection="1">
      <alignment horizontal="left"/>
      <protection hidden="1"/>
    </xf>
    <xf numFmtId="1" fontId="0" fillId="0" borderId="0" xfId="0" applyNumberFormat="1"/>
    <xf numFmtId="1" fontId="18" fillId="5" borderId="16" xfId="0" applyNumberFormat="1" applyFont="1" applyFill="1" applyBorder="1" applyAlignment="1" applyProtection="1">
      <alignment horizontal="center" vertical="center" wrapText="1"/>
      <protection hidden="1"/>
    </xf>
    <xf numFmtId="1" fontId="38" fillId="0" borderId="9" xfId="0" applyNumberFormat="1" applyFont="1" applyBorder="1" applyAlignment="1" applyProtection="1">
      <alignment horizontal="center" vertical="center"/>
      <protection hidden="1"/>
    </xf>
    <xf numFmtId="1" fontId="0" fillId="5" borderId="16" xfId="0" applyNumberFormat="1" applyFill="1" applyBorder="1" applyAlignment="1">
      <alignment vertical="center"/>
    </xf>
    <xf numFmtId="1" fontId="0" fillId="5" borderId="16" xfId="0" applyNumberFormat="1" applyFill="1" applyBorder="1" applyAlignment="1" applyProtection="1">
      <alignment horizontal="center" vertical="center"/>
      <protection hidden="1"/>
    </xf>
    <xf numFmtId="1" fontId="0" fillId="5" borderId="16" xfId="0" applyNumberFormat="1" applyFill="1" applyBorder="1" applyAlignment="1" applyProtection="1">
      <alignment vertical="center"/>
      <protection hidden="1"/>
    </xf>
    <xf numFmtId="1" fontId="0" fillId="5" borderId="16" xfId="0" applyNumberFormat="1" applyFill="1" applyBorder="1" applyAlignment="1" applyProtection="1">
      <alignment horizontal="right" vertical="center"/>
      <protection hidden="1"/>
    </xf>
    <xf numFmtId="1" fontId="8" fillId="5" borderId="16" xfId="0" applyNumberFormat="1" applyFont="1" applyFill="1" applyBorder="1" applyAlignment="1">
      <alignment vertical="center"/>
    </xf>
    <xf numFmtId="1" fontId="35" fillId="5" borderId="16" xfId="0" applyNumberFormat="1" applyFont="1" applyFill="1" applyBorder="1" applyAlignment="1" applyProtection="1">
      <alignment vertical="center"/>
      <protection hidden="1"/>
    </xf>
    <xf numFmtId="1" fontId="33" fillId="0" borderId="0" xfId="0" applyNumberFormat="1" applyFont="1" applyAlignment="1" applyProtection="1">
      <alignment horizontal="center" vertical="center"/>
      <protection hidden="1"/>
    </xf>
    <xf numFmtId="1" fontId="34" fillId="4" borderId="0" xfId="0" applyNumberFormat="1" applyFont="1" applyFill="1" applyAlignment="1" applyProtection="1">
      <alignment horizontal="center" vertical="center" wrapText="1"/>
      <protection hidden="1"/>
    </xf>
    <xf numFmtId="1" fontId="33" fillId="0" borderId="61" xfId="0" applyNumberFormat="1" applyFont="1" applyBorder="1" applyAlignment="1" applyProtection="1">
      <alignment horizontal="center" vertical="center"/>
      <protection hidden="1"/>
    </xf>
    <xf numFmtId="1" fontId="33" fillId="0" borderId="1" xfId="0" applyNumberFormat="1" applyFont="1" applyBorder="1" applyAlignment="1" applyProtection="1">
      <alignment horizontal="center" vertical="center"/>
      <protection hidden="1"/>
    </xf>
    <xf numFmtId="1" fontId="33" fillId="0" borderId="66" xfId="0" applyNumberFormat="1" applyFont="1" applyBorder="1" applyAlignment="1" applyProtection="1">
      <alignment horizontal="center" vertical="center"/>
      <protection hidden="1"/>
    </xf>
    <xf numFmtId="1" fontId="33" fillId="0" borderId="0" xfId="0" applyNumberFormat="1" applyFont="1" applyAlignment="1">
      <alignment horizontal="center" vertical="center"/>
    </xf>
    <xf numFmtId="0" fontId="47" fillId="5" borderId="21" xfId="0" applyFont="1" applyFill="1" applyBorder="1" applyAlignment="1" applyProtection="1">
      <alignment vertical="center"/>
      <protection hidden="1"/>
    </xf>
    <xf numFmtId="0" fontId="46" fillId="5" borderId="21" xfId="0" applyFont="1" applyFill="1" applyBorder="1" applyAlignment="1" applyProtection="1">
      <alignment vertical="center"/>
      <protection hidden="1"/>
    </xf>
    <xf numFmtId="0" fontId="0" fillId="0" borderId="8" xfId="0" applyBorder="1" applyAlignment="1" applyProtection="1">
      <alignment vertical="center"/>
      <protection hidden="1"/>
    </xf>
    <xf numFmtId="0" fontId="18" fillId="5" borderId="12" xfId="0" applyFont="1" applyFill="1" applyBorder="1" applyAlignment="1" applyProtection="1">
      <alignment horizontal="center" vertical="center" wrapText="1"/>
      <protection hidden="1"/>
    </xf>
    <xf numFmtId="0" fontId="0" fillId="5" borderId="12" xfId="0" applyFill="1" applyBorder="1" applyAlignment="1">
      <alignment vertical="center"/>
    </xf>
    <xf numFmtId="0" fontId="0" fillId="5" borderId="12" xfId="0" applyFill="1" applyBorder="1" applyAlignment="1" applyProtection="1">
      <alignment vertical="center"/>
      <protection hidden="1"/>
    </xf>
    <xf numFmtId="4" fontId="0" fillId="5" borderId="12" xfId="0" applyNumberFormat="1" applyFill="1" applyBorder="1" applyAlignment="1" applyProtection="1">
      <alignment horizontal="right" vertical="center"/>
      <protection hidden="1"/>
    </xf>
    <xf numFmtId="0" fontId="35" fillId="5" borderId="12" xfId="0" applyFont="1" applyFill="1" applyBorder="1" applyAlignment="1" applyProtection="1">
      <alignment vertical="center"/>
      <protection hidden="1"/>
    </xf>
    <xf numFmtId="0" fontId="0" fillId="5" borderId="11" xfId="0" applyFill="1" applyBorder="1" applyAlignment="1" applyProtection="1">
      <alignment horizontal="center" vertical="center"/>
      <protection hidden="1"/>
    </xf>
    <xf numFmtId="4" fontId="0" fillId="5" borderId="11" xfId="0" applyNumberFormat="1" applyFill="1" applyBorder="1" applyAlignment="1" applyProtection="1">
      <alignment horizontal="right" vertical="center"/>
      <protection hidden="1"/>
    </xf>
    <xf numFmtId="0" fontId="18" fillId="5" borderId="11" xfId="0" applyFont="1" applyFill="1" applyBorder="1" applyAlignment="1" applyProtection="1">
      <alignment horizontal="center" vertical="center" wrapText="1"/>
      <protection hidden="1"/>
    </xf>
    <xf numFmtId="1" fontId="8" fillId="0" borderId="0" xfId="0" applyNumberFormat="1" applyFont="1" applyAlignment="1" applyProtection="1">
      <alignment horizontal="center" vertical="center"/>
      <protection hidden="1"/>
    </xf>
    <xf numFmtId="1" fontId="8" fillId="2" borderId="9" xfId="0" applyNumberFormat="1" applyFont="1" applyFill="1" applyBorder="1" applyAlignment="1" applyProtection="1">
      <alignment horizontal="center" vertical="center"/>
      <protection hidden="1"/>
    </xf>
    <xf numFmtId="0" fontId="14" fillId="2" borderId="9" xfId="0" applyFont="1" applyFill="1" applyBorder="1" applyAlignment="1" applyProtection="1">
      <alignment horizontal="center" vertical="center"/>
      <protection hidden="1"/>
    </xf>
    <xf numFmtId="0" fontId="48" fillId="0" borderId="0" xfId="0" applyFont="1" applyAlignment="1" applyProtection="1">
      <alignment horizontal="center" vertical="center" wrapText="1"/>
      <protection hidden="1"/>
    </xf>
    <xf numFmtId="0" fontId="11" fillId="0" borderId="9" xfId="0" applyFont="1" applyBorder="1" applyAlignment="1" applyProtection="1">
      <alignment horizontal="center" vertical="center"/>
      <protection hidden="1"/>
    </xf>
    <xf numFmtId="0" fontId="14" fillId="0" borderId="9" xfId="0" applyFont="1" applyBorder="1" applyAlignment="1" applyProtection="1">
      <alignment horizontal="center" vertical="center"/>
      <protection hidden="1"/>
    </xf>
    <xf numFmtId="0" fontId="0" fillId="0" borderId="11" xfId="0" applyBorder="1" applyAlignment="1" applyProtection="1">
      <alignment horizontal="left" vertical="center"/>
      <protection hidden="1"/>
    </xf>
    <xf numFmtId="40" fontId="0" fillId="0" borderId="9" xfId="0" applyNumberFormat="1" applyBorder="1" applyAlignment="1" applyProtection="1">
      <alignment horizontal="right" vertical="center"/>
      <protection hidden="1"/>
    </xf>
    <xf numFmtId="1" fontId="8" fillId="0" borderId="9" xfId="0" applyNumberFormat="1" applyFont="1" applyBorder="1" applyAlignment="1" applyProtection="1">
      <alignment horizontal="center" vertical="center"/>
      <protection hidden="1"/>
    </xf>
    <xf numFmtId="2" fontId="0" fillId="0" borderId="9" xfId="0" applyNumberFormat="1" applyBorder="1" applyAlignment="1" applyProtection="1">
      <alignment horizontal="center" vertical="center"/>
      <protection hidden="1"/>
    </xf>
    <xf numFmtId="167" fontId="0" fillId="0" borderId="1" xfId="0" applyNumberFormat="1" applyBorder="1" applyAlignment="1" applyProtection="1">
      <alignment horizontal="center" vertical="center"/>
      <protection hidden="1"/>
    </xf>
    <xf numFmtId="0" fontId="33" fillId="0" borderId="9" xfId="0" applyFont="1" applyBorder="1" applyAlignment="1" applyProtection="1">
      <alignment horizontal="center" vertical="center"/>
      <protection hidden="1"/>
    </xf>
    <xf numFmtId="4" fontId="0" fillId="0" borderId="9" xfId="0" applyNumberFormat="1" applyBorder="1" applyAlignment="1" applyProtection="1">
      <alignment horizontal="center" vertical="center"/>
      <protection hidden="1"/>
    </xf>
    <xf numFmtId="0" fontId="14" fillId="5" borderId="10" xfId="0" applyFont="1" applyFill="1" applyBorder="1" applyAlignment="1" applyProtection="1">
      <alignment vertical="center"/>
      <protection hidden="1"/>
    </xf>
    <xf numFmtId="170" fontId="6" fillId="0" borderId="66" xfId="1" applyNumberFormat="1" applyFont="1" applyBorder="1" applyAlignment="1" applyProtection="1">
      <alignment horizontal="center" vertical="center"/>
      <protection hidden="1"/>
    </xf>
    <xf numFmtId="0" fontId="33" fillId="0" borderId="83" xfId="0" applyFont="1" applyBorder="1" applyAlignment="1" applyProtection="1">
      <alignment horizontal="center" vertical="center"/>
      <protection hidden="1"/>
    </xf>
    <xf numFmtId="1" fontId="33" fillId="0" borderId="9" xfId="0" applyNumberFormat="1" applyFont="1" applyBorder="1" applyAlignment="1" applyProtection="1">
      <alignment horizontal="center" vertical="center"/>
      <protection hidden="1"/>
    </xf>
    <xf numFmtId="0" fontId="33" fillId="0" borderId="77" xfId="0" applyFont="1" applyBorder="1" applyAlignment="1" applyProtection="1">
      <alignment horizontal="center" vertical="center"/>
      <protection hidden="1"/>
    </xf>
    <xf numFmtId="1" fontId="0" fillId="0" borderId="9" xfId="0" applyNumberFormat="1" applyBorder="1" applyAlignment="1" applyProtection="1">
      <alignment horizontal="center" vertical="center"/>
      <protection hidden="1"/>
    </xf>
    <xf numFmtId="1" fontId="0" fillId="0" borderId="9" xfId="0" applyNumberFormat="1" applyBorder="1" applyAlignment="1" applyProtection="1">
      <alignment horizontal="left" vertical="center"/>
      <protection hidden="1"/>
    </xf>
    <xf numFmtId="4" fontId="0" fillId="0" borderId="4" xfId="0" applyNumberFormat="1" applyBorder="1" applyAlignment="1" applyProtection="1">
      <alignment horizontal="center"/>
      <protection hidden="1"/>
    </xf>
    <xf numFmtId="0" fontId="0" fillId="0" borderId="9" xfId="0" applyBorder="1" applyAlignment="1">
      <alignment horizontal="center"/>
    </xf>
    <xf numFmtId="0" fontId="0" fillId="0" borderId="9" xfId="0" applyBorder="1" applyAlignment="1" applyProtection="1">
      <alignment horizontal="center"/>
      <protection hidden="1"/>
    </xf>
    <xf numFmtId="0" fontId="0" fillId="0" borderId="9" xfId="0" applyBorder="1" applyAlignment="1" applyProtection="1">
      <alignment horizontal="left"/>
      <protection hidden="1"/>
    </xf>
    <xf numFmtId="0" fontId="38" fillId="0" borderId="9" xfId="0" applyFont="1" applyBorder="1" applyAlignment="1" applyProtection="1">
      <alignment horizontal="center"/>
      <protection hidden="1"/>
    </xf>
    <xf numFmtId="4" fontId="0" fillId="0" borderId="9" xfId="0" applyNumberFormat="1" applyBorder="1" applyAlignment="1" applyProtection="1">
      <alignment horizontal="right" indent="1"/>
      <protection hidden="1"/>
    </xf>
    <xf numFmtId="0" fontId="0" fillId="0" borderId="33" xfId="0" applyBorder="1" applyAlignment="1" applyProtection="1">
      <alignment horizontal="center"/>
      <protection locked="0" hidden="1"/>
    </xf>
    <xf numFmtId="4" fontId="0" fillId="0" borderId="2" xfId="0" applyNumberFormat="1" applyBorder="1" applyAlignment="1" applyProtection="1">
      <alignment horizontal="center"/>
      <protection hidden="1"/>
    </xf>
    <xf numFmtId="0" fontId="0" fillId="0" borderId="7" xfId="0" applyBorder="1" applyAlignment="1" applyProtection="1">
      <alignment horizontal="center"/>
      <protection hidden="1"/>
    </xf>
    <xf numFmtId="0" fontId="0" fillId="0" borderId="7" xfId="0" applyBorder="1" applyAlignment="1" applyProtection="1">
      <alignment horizontal="left"/>
      <protection hidden="1"/>
    </xf>
    <xf numFmtId="0" fontId="38" fillId="0" borderId="7" xfId="0" applyFont="1" applyBorder="1" applyAlignment="1" applyProtection="1">
      <alignment horizontal="center"/>
      <protection hidden="1"/>
    </xf>
    <xf numFmtId="4" fontId="0" fillId="0" borderId="7" xfId="0" applyNumberFormat="1" applyBorder="1" applyAlignment="1" applyProtection="1">
      <alignment horizontal="right" indent="1"/>
      <protection hidden="1"/>
    </xf>
    <xf numFmtId="0" fontId="0" fillId="0" borderId="46" xfId="0" applyBorder="1" applyAlignment="1" applyProtection="1">
      <alignment horizontal="center"/>
      <protection locked="0" hidden="1"/>
    </xf>
    <xf numFmtId="0" fontId="14" fillId="5" borderId="10" xfId="0" applyFont="1" applyFill="1" applyBorder="1" applyAlignment="1" applyProtection="1">
      <alignment horizontal="center" vertical="center"/>
      <protection hidden="1"/>
    </xf>
    <xf numFmtId="4" fontId="14" fillId="5" borderId="22" xfId="0" applyNumberFormat="1" applyFont="1" applyFill="1" applyBorder="1" applyAlignment="1" applyProtection="1">
      <alignment vertical="center"/>
      <protection hidden="1"/>
    </xf>
    <xf numFmtId="0" fontId="38" fillId="0" borderId="7" xfId="0" applyFont="1" applyBorder="1" applyAlignment="1" applyProtection="1">
      <alignment horizontal="center" vertical="center"/>
      <protection hidden="1"/>
    </xf>
    <xf numFmtId="1" fontId="38" fillId="0" borderId="8" xfId="0" applyNumberFormat="1" applyFont="1" applyBorder="1" applyAlignment="1" applyProtection="1">
      <alignment horizontal="center" vertical="center"/>
      <protection hidden="1"/>
    </xf>
    <xf numFmtId="1" fontId="38" fillId="0" borderId="7" xfId="0" applyNumberFormat="1" applyFont="1" applyBorder="1" applyAlignment="1" applyProtection="1">
      <alignment horizontal="center" vertical="center"/>
      <protection hidden="1"/>
    </xf>
    <xf numFmtId="2" fontId="38" fillId="0" borderId="7" xfId="0" applyNumberFormat="1" applyFont="1" applyBorder="1" applyAlignment="1" applyProtection="1">
      <alignment horizontal="center" vertical="center"/>
      <protection hidden="1"/>
    </xf>
    <xf numFmtId="0" fontId="11" fillId="5" borderId="21" xfId="0" applyFont="1" applyFill="1" applyBorder="1" applyAlignment="1" applyProtection="1">
      <alignment horizontal="left"/>
      <protection hidden="1"/>
    </xf>
    <xf numFmtId="0" fontId="18" fillId="5" borderId="69" xfId="0" applyFont="1" applyFill="1" applyBorder="1" applyAlignment="1" applyProtection="1">
      <alignment horizontal="center" wrapText="1"/>
      <protection hidden="1"/>
    </xf>
    <xf numFmtId="0" fontId="7" fillId="5" borderId="69" xfId="0" applyFont="1" applyFill="1" applyBorder="1" applyAlignment="1" applyProtection="1">
      <alignment horizontal="center" wrapText="1"/>
      <protection hidden="1"/>
    </xf>
    <xf numFmtId="0" fontId="18" fillId="5" borderId="69" xfId="0" applyFont="1" applyFill="1" applyBorder="1" applyAlignment="1" applyProtection="1">
      <alignment horizontal="center" vertical="center" wrapText="1"/>
      <protection hidden="1"/>
    </xf>
    <xf numFmtId="167" fontId="18" fillId="5" borderId="69" xfId="0" applyNumberFormat="1" applyFont="1" applyFill="1" applyBorder="1" applyAlignment="1" applyProtection="1">
      <alignment horizontal="center" wrapText="1"/>
      <protection hidden="1"/>
    </xf>
    <xf numFmtId="49" fontId="18" fillId="5" borderId="22" xfId="0" applyNumberFormat="1" applyFont="1" applyFill="1" applyBorder="1" applyAlignment="1" applyProtection="1">
      <alignment horizontal="center" wrapText="1"/>
      <protection hidden="1"/>
    </xf>
    <xf numFmtId="0" fontId="27" fillId="5" borderId="10" xfId="0" applyFont="1" applyFill="1" applyBorder="1" applyAlignment="1" applyProtection="1">
      <alignment horizontal="center" vertical="center" wrapText="1"/>
      <protection hidden="1"/>
    </xf>
    <xf numFmtId="0" fontId="18" fillId="5" borderId="21" xfId="0" applyFont="1" applyFill="1" applyBorder="1" applyAlignment="1" applyProtection="1">
      <alignment horizontal="center" vertical="center" wrapText="1"/>
      <protection hidden="1"/>
    </xf>
    <xf numFmtId="1" fontId="18" fillId="5" borderId="69" xfId="0" applyNumberFormat="1" applyFont="1" applyFill="1" applyBorder="1" applyAlignment="1" applyProtection="1">
      <alignment horizontal="center" vertical="center" wrapText="1"/>
      <protection hidden="1"/>
    </xf>
    <xf numFmtId="2" fontId="18" fillId="5" borderId="69" xfId="0" applyNumberFormat="1" applyFont="1" applyFill="1" applyBorder="1" applyAlignment="1" applyProtection="1">
      <alignment horizontal="center" vertical="center" wrapText="1"/>
      <protection hidden="1"/>
    </xf>
    <xf numFmtId="0" fontId="18" fillId="5" borderId="22" xfId="0" applyFont="1" applyFill="1" applyBorder="1" applyAlignment="1" applyProtection="1">
      <alignment horizontal="center" vertical="center" wrapText="1"/>
      <protection hidden="1"/>
    </xf>
    <xf numFmtId="2" fontId="14" fillId="5" borderId="22" xfId="0" applyNumberFormat="1" applyFont="1" applyFill="1" applyBorder="1" applyAlignment="1" applyProtection="1">
      <alignment vertical="center"/>
      <protection hidden="1"/>
    </xf>
    <xf numFmtId="172" fontId="38" fillId="0" borderId="7" xfId="0" applyNumberFormat="1" applyFont="1" applyBorder="1" applyAlignment="1" applyProtection="1">
      <alignment horizontal="center" vertical="center"/>
      <protection hidden="1"/>
    </xf>
    <xf numFmtId="0" fontId="18" fillId="4" borderId="21" xfId="0" applyFont="1" applyFill="1" applyBorder="1" applyAlignment="1" applyProtection="1">
      <alignment horizontal="center" vertical="center" wrapText="1"/>
      <protection hidden="1"/>
    </xf>
    <xf numFmtId="0" fontId="18" fillId="4" borderId="69" xfId="0" applyFont="1" applyFill="1" applyBorder="1" applyAlignment="1" applyProtection="1">
      <alignment horizontal="center" vertical="center" wrapText="1"/>
      <protection hidden="1"/>
    </xf>
    <xf numFmtId="0" fontId="7" fillId="4" borderId="69" xfId="0" applyFont="1" applyFill="1" applyBorder="1" applyAlignment="1" applyProtection="1">
      <alignment horizontal="center" vertical="center" wrapText="1"/>
      <protection hidden="1"/>
    </xf>
    <xf numFmtId="167" fontId="18" fillId="4" borderId="69" xfId="0" applyNumberFormat="1" applyFont="1" applyFill="1" applyBorder="1" applyAlignment="1" applyProtection="1">
      <alignment horizontal="center" vertical="center" wrapText="1"/>
      <protection hidden="1"/>
    </xf>
    <xf numFmtId="49" fontId="18" fillId="4" borderId="22" xfId="0" applyNumberFormat="1" applyFont="1" applyFill="1" applyBorder="1" applyAlignment="1" applyProtection="1">
      <alignment horizontal="center" vertical="center" wrapText="1"/>
      <protection hidden="1"/>
    </xf>
    <xf numFmtId="0" fontId="37" fillId="4" borderId="21" xfId="0" applyFont="1" applyFill="1" applyBorder="1" applyAlignment="1" applyProtection="1">
      <alignment horizontal="center" vertical="center" wrapText="1"/>
      <protection hidden="1"/>
    </xf>
    <xf numFmtId="0" fontId="37" fillId="4" borderId="69" xfId="0" applyFont="1" applyFill="1" applyBorder="1" applyAlignment="1" applyProtection="1">
      <alignment horizontal="center" vertical="center" wrapText="1"/>
      <protection hidden="1"/>
    </xf>
    <xf numFmtId="1" fontId="34" fillId="4" borderId="69" xfId="0" applyNumberFormat="1" applyFont="1" applyFill="1" applyBorder="1" applyAlignment="1" applyProtection="1">
      <alignment horizontal="center" vertical="center" wrapText="1"/>
      <protection hidden="1"/>
    </xf>
    <xf numFmtId="0" fontId="37" fillId="4" borderId="22" xfId="0" applyFont="1" applyFill="1" applyBorder="1" applyAlignment="1" applyProtection="1">
      <alignment horizontal="center" vertical="center" wrapText="1"/>
      <protection hidden="1"/>
    </xf>
    <xf numFmtId="0" fontId="27" fillId="4" borderId="10" xfId="0" applyFont="1" applyFill="1" applyBorder="1" applyAlignment="1" applyProtection="1">
      <alignment horizontal="center" vertical="center" wrapText="1"/>
      <protection hidden="1"/>
    </xf>
    <xf numFmtId="166" fontId="8" fillId="3" borderId="68" xfId="0" applyNumberFormat="1" applyFont="1" applyFill="1" applyBorder="1" applyAlignment="1" applyProtection="1">
      <alignment horizontal="center" vertical="center"/>
      <protection locked="0" hidden="1"/>
    </xf>
    <xf numFmtId="170" fontId="6" fillId="0" borderId="7" xfId="1" applyNumberFormat="1" applyFont="1" applyBorder="1" applyAlignment="1" applyProtection="1">
      <alignment vertical="center"/>
      <protection hidden="1"/>
    </xf>
    <xf numFmtId="170" fontId="6" fillId="0" borderId="8" xfId="1" applyNumberFormat="1" applyFont="1" applyBorder="1" applyAlignment="1" applyProtection="1">
      <alignment vertical="center"/>
      <protection hidden="1"/>
    </xf>
    <xf numFmtId="1" fontId="37" fillId="4" borderId="69" xfId="0" applyNumberFormat="1" applyFont="1" applyFill="1" applyBorder="1" applyAlignment="1" applyProtection="1">
      <alignment horizontal="center" vertical="center" wrapText="1"/>
      <protection hidden="1"/>
    </xf>
    <xf numFmtId="2" fontId="37" fillId="4" borderId="69" xfId="0" applyNumberFormat="1" applyFont="1" applyFill="1" applyBorder="1" applyAlignment="1" applyProtection="1">
      <alignment horizontal="center" vertical="center" wrapText="1"/>
      <protection hidden="1"/>
    </xf>
    <xf numFmtId="40" fontId="11" fillId="0" borderId="9" xfId="0" applyNumberFormat="1" applyFont="1" applyBorder="1" applyAlignment="1" applyProtection="1">
      <alignment horizontal="right" vertical="center"/>
      <protection hidden="1"/>
    </xf>
    <xf numFmtId="0" fontId="49" fillId="0" borderId="1" xfId="0" applyFont="1" applyBorder="1"/>
    <xf numFmtId="3" fontId="49" fillId="0" borderId="1" xfId="0" applyNumberFormat="1" applyFont="1" applyBorder="1"/>
    <xf numFmtId="0" fontId="39" fillId="0" borderId="1" xfId="0" applyFont="1" applyBorder="1" applyAlignment="1">
      <alignment vertical="top"/>
    </xf>
    <xf numFmtId="0" fontId="49" fillId="0" borderId="1" xfId="0" applyFont="1" applyBorder="1" applyAlignment="1">
      <alignment horizontal="center"/>
    </xf>
    <xf numFmtId="1" fontId="10" fillId="0" borderId="1" xfId="0" applyNumberFormat="1" applyFont="1" applyBorder="1" applyAlignment="1" applyProtection="1">
      <alignment horizontal="right" vertical="center"/>
      <protection hidden="1"/>
    </xf>
    <xf numFmtId="0" fontId="50" fillId="0" borderId="1" xfId="0" applyFont="1" applyBorder="1" applyAlignment="1">
      <alignment horizontal="center" vertical="center"/>
    </xf>
    <xf numFmtId="0" fontId="14" fillId="5" borderId="19" xfId="0" applyFont="1" applyFill="1" applyBorder="1" applyAlignment="1" applyProtection="1">
      <alignment vertical="center"/>
      <protection hidden="1"/>
    </xf>
    <xf numFmtId="167" fontId="29" fillId="0" borderId="0" xfId="0" applyNumberFormat="1" applyFont="1" applyAlignment="1" applyProtection="1">
      <alignment horizontal="center" vertical="center" wrapText="1"/>
      <protection hidden="1"/>
    </xf>
    <xf numFmtId="0" fontId="0" fillId="0" borderId="2"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37" fillId="4" borderId="0" xfId="0" applyFont="1" applyFill="1" applyAlignment="1" applyProtection="1">
      <alignment horizontal="center" vertical="center" wrapText="1"/>
      <protection hidden="1"/>
    </xf>
    <xf numFmtId="0" fontId="0" fillId="0" borderId="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1" fontId="0" fillId="2" borderId="12" xfId="0" applyNumberFormat="1" applyFill="1" applyBorder="1" applyAlignment="1" applyProtection="1">
      <alignment horizontal="center" vertical="center"/>
      <protection hidden="1"/>
    </xf>
    <xf numFmtId="1" fontId="0" fillId="2" borderId="11" xfId="0" applyNumberFormat="1" applyFill="1" applyBorder="1" applyAlignment="1" applyProtection="1">
      <alignment horizontal="center" vertical="center"/>
      <protection hidden="1"/>
    </xf>
    <xf numFmtId="1" fontId="0" fillId="0" borderId="12" xfId="0" applyNumberFormat="1" applyBorder="1" applyAlignment="1" applyProtection="1">
      <alignment horizontal="center" vertical="center"/>
      <protection hidden="1"/>
    </xf>
    <xf numFmtId="1" fontId="0" fillId="0" borderId="11" xfId="0" applyNumberFormat="1" applyBorder="1" applyAlignment="1" applyProtection="1">
      <alignment horizontal="center" vertical="center"/>
      <protection hidden="1"/>
    </xf>
    <xf numFmtId="0" fontId="0" fillId="0" borderId="16" xfId="0" applyBorder="1" applyAlignment="1" applyProtection="1">
      <alignment horizontal="left" vertical="center"/>
      <protection locked="0" hidden="1"/>
    </xf>
    <xf numFmtId="165" fontId="0" fillId="0" borderId="16" xfId="0" applyNumberFormat="1" applyBorder="1" applyAlignment="1" applyProtection="1">
      <alignment horizontal="left" vertical="center"/>
      <protection locked="0" hidden="1"/>
    </xf>
    <xf numFmtId="0" fontId="0" fillId="0" borderId="5" xfId="0" applyBorder="1" applyAlignment="1" applyProtection="1">
      <alignment horizontal="left" vertical="center"/>
      <protection locked="0" hidden="1"/>
    </xf>
    <xf numFmtId="1" fontId="20" fillId="0" borderId="0" xfId="0" applyNumberFormat="1" applyFont="1" applyAlignment="1" applyProtection="1">
      <alignment horizontal="center" vertical="center"/>
      <protection hidden="1"/>
    </xf>
    <xf numFmtId="1" fontId="14" fillId="0" borderId="0" xfId="0" applyNumberFormat="1" applyFont="1" applyAlignment="1" applyProtection="1">
      <alignment horizontal="center" vertical="center"/>
      <protection hidden="1"/>
    </xf>
    <xf numFmtId="0" fontId="0" fillId="0" borderId="19" xfId="0" applyBorder="1" applyAlignment="1" applyProtection="1">
      <alignment horizontal="left" vertical="center"/>
      <protection locked="0" hidden="1"/>
    </xf>
    <xf numFmtId="44" fontId="11" fillId="2" borderId="21" xfId="0" applyNumberFormat="1" applyFont="1" applyFill="1" applyBorder="1" applyAlignment="1" applyProtection="1">
      <alignment horizontal="center" vertical="center"/>
      <protection hidden="1"/>
    </xf>
    <xf numFmtId="44" fontId="11" fillId="2" borderId="22" xfId="0" applyNumberFormat="1" applyFont="1" applyFill="1" applyBorder="1" applyAlignment="1" applyProtection="1">
      <alignment horizontal="center" vertical="center"/>
      <protection hidden="1"/>
    </xf>
    <xf numFmtId="0" fontId="18" fillId="4" borderId="26" xfId="0" applyFont="1" applyFill="1" applyBorder="1" applyAlignment="1" applyProtection="1">
      <alignment horizontal="center" vertical="center" wrapText="1"/>
      <protection hidden="1"/>
    </xf>
    <xf numFmtId="0" fontId="18" fillId="4" borderId="27" xfId="0" applyFont="1" applyFill="1" applyBorder="1" applyAlignment="1" applyProtection="1">
      <alignment horizontal="center" vertical="center" wrapText="1"/>
      <protection hidden="1"/>
    </xf>
    <xf numFmtId="1" fontId="18" fillId="4" borderId="26" xfId="0" applyNumberFormat="1" applyFont="1" applyFill="1" applyBorder="1" applyAlignment="1" applyProtection="1">
      <alignment horizontal="center" vertical="center" wrapText="1"/>
      <protection hidden="1"/>
    </xf>
    <xf numFmtId="1" fontId="18" fillId="4" borderId="27" xfId="0" applyNumberFormat="1" applyFont="1" applyFill="1" applyBorder="1" applyAlignment="1" applyProtection="1">
      <alignment horizontal="center" vertical="center" wrapText="1"/>
      <protection hidden="1"/>
    </xf>
    <xf numFmtId="0" fontId="29" fillId="0" borderId="0" xfId="0" applyFont="1" applyAlignment="1" applyProtection="1">
      <alignment horizontal="right" vertical="center"/>
      <protection hidden="1"/>
    </xf>
    <xf numFmtId="0" fontId="0" fillId="0" borderId="0" xfId="0" applyAlignment="1" applyProtection="1">
      <alignment horizontal="right" vertical="center"/>
      <protection hidden="1"/>
    </xf>
    <xf numFmtId="0" fontId="0" fillId="0" borderId="0" xfId="0" applyAlignment="1" applyProtection="1">
      <alignment horizontal="right" vertical="center" wrapText="1"/>
      <protection hidden="1"/>
    </xf>
    <xf numFmtId="14" fontId="8" fillId="0" borderId="12" xfId="0" applyNumberFormat="1" applyFont="1" applyBorder="1" applyAlignment="1" applyProtection="1">
      <alignment horizontal="center" vertical="center"/>
      <protection locked="0" hidden="1"/>
    </xf>
    <xf numFmtId="14" fontId="8" fillId="0" borderId="11" xfId="0" applyNumberFormat="1" applyFont="1" applyBorder="1" applyAlignment="1" applyProtection="1">
      <alignment horizontal="center" vertical="center"/>
      <protection locked="0" hidden="1"/>
    </xf>
    <xf numFmtId="0" fontId="31" fillId="0" borderId="5" xfId="0" applyFont="1" applyBorder="1" applyAlignment="1" applyProtection="1">
      <alignment horizontal="left" vertical="center"/>
      <protection locked="0" hidden="1"/>
    </xf>
    <xf numFmtId="0" fontId="8" fillId="0" borderId="16" xfId="0" applyFont="1" applyBorder="1" applyAlignment="1" applyProtection="1">
      <alignment horizontal="left" vertical="center"/>
      <protection locked="0" hidden="1"/>
    </xf>
    <xf numFmtId="0" fontId="0" fillId="0" borderId="5" xfId="0" applyBorder="1" applyAlignment="1" applyProtection="1">
      <alignment horizontal="left" vertical="center" wrapText="1"/>
      <protection locked="0" hidden="1"/>
    </xf>
    <xf numFmtId="0" fontId="8" fillId="0" borderId="5" xfId="0" applyFont="1" applyBorder="1" applyAlignment="1" applyProtection="1">
      <alignment horizontal="left" vertical="center"/>
      <protection locked="0" hidden="1"/>
    </xf>
    <xf numFmtId="0" fontId="0" fillId="0" borderId="1" xfId="0" applyBorder="1" applyAlignment="1" applyProtection="1">
      <alignment horizontal="center"/>
      <protection hidden="1"/>
    </xf>
    <xf numFmtId="0" fontId="0" fillId="0" borderId="2" xfId="0" applyBorder="1" applyAlignment="1" applyProtection="1">
      <alignment horizontal="center"/>
      <protection hidden="1"/>
    </xf>
    <xf numFmtId="0" fontId="0" fillId="0" borderId="20" xfId="0" applyBorder="1" applyAlignment="1" applyProtection="1">
      <alignment horizontal="center"/>
      <protection hidden="1"/>
    </xf>
    <xf numFmtId="0" fontId="0" fillId="0" borderId="6" xfId="0" applyBorder="1" applyAlignment="1" applyProtection="1">
      <alignment horizontal="center"/>
      <protection hidden="1"/>
    </xf>
    <xf numFmtId="0" fontId="0" fillId="0" borderId="17" xfId="0" applyBorder="1" applyAlignment="1" applyProtection="1">
      <alignment horizontal="center"/>
      <protection hidden="1"/>
    </xf>
    <xf numFmtId="0" fontId="0" fillId="0" borderId="0" xfId="0" applyProtection="1">
      <protection hidden="1"/>
    </xf>
    <xf numFmtId="0" fontId="0" fillId="0" borderId="0" xfId="0" applyAlignment="1" applyProtection="1">
      <alignment horizontal="center"/>
      <protection hidden="1"/>
    </xf>
    <xf numFmtId="0" fontId="0" fillId="0" borderId="12"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4" xfId="0" applyBorder="1" applyAlignment="1" applyProtection="1">
      <alignment horizontal="center"/>
      <protection hidden="1"/>
    </xf>
    <xf numFmtId="0" fontId="0" fillId="0" borderId="18" xfId="0" applyBorder="1" applyAlignment="1" applyProtection="1">
      <alignment horizontal="center"/>
      <protection hidden="1"/>
    </xf>
    <xf numFmtId="44" fontId="0" fillId="0" borderId="1" xfId="14" applyFont="1" applyBorder="1" applyAlignment="1" applyProtection="1">
      <alignment horizontal="center"/>
      <protection hidden="1"/>
    </xf>
    <xf numFmtId="44" fontId="0" fillId="0" borderId="2" xfId="14" applyFont="1" applyBorder="1" applyAlignment="1" applyProtection="1">
      <alignment horizontal="center"/>
      <protection hidden="1"/>
    </xf>
    <xf numFmtId="44" fontId="0" fillId="0" borderId="20" xfId="14" applyFont="1" applyBorder="1" applyAlignment="1" applyProtection="1">
      <alignment horizontal="center"/>
      <protection hidden="1"/>
    </xf>
    <xf numFmtId="44" fontId="0" fillId="0" borderId="6" xfId="14" applyFont="1" applyBorder="1" applyAlignment="1" applyProtection="1">
      <alignment horizontal="center"/>
      <protection hidden="1"/>
    </xf>
    <xf numFmtId="44" fontId="0" fillId="0" borderId="17" xfId="14" applyFont="1" applyBorder="1" applyAlignment="1" applyProtection="1">
      <alignment horizontal="center"/>
      <protection hidden="1"/>
    </xf>
    <xf numFmtId="44" fontId="0" fillId="0" borderId="4" xfId="14" applyFont="1" applyBorder="1" applyAlignment="1" applyProtection="1">
      <alignment horizontal="center"/>
      <protection hidden="1"/>
    </xf>
    <xf numFmtId="44" fontId="0" fillId="0" borderId="18" xfId="14" applyFont="1" applyBorder="1" applyAlignment="1" applyProtection="1">
      <alignment horizontal="center"/>
      <protection hidden="1"/>
    </xf>
    <xf numFmtId="167" fontId="29" fillId="0" borderId="0" xfId="0" applyNumberFormat="1" applyFont="1" applyAlignment="1" applyProtection="1">
      <alignment horizontal="center" wrapText="1"/>
      <protection hidden="1"/>
    </xf>
    <xf numFmtId="1" fontId="37" fillId="4" borderId="0" xfId="0" applyNumberFormat="1" applyFont="1" applyFill="1" applyAlignment="1" applyProtection="1">
      <alignment horizontal="center" vertical="center" wrapText="1"/>
      <protection hidden="1"/>
    </xf>
    <xf numFmtId="0" fontId="34" fillId="4" borderId="0" xfId="0" applyFont="1" applyFill="1" applyAlignment="1" applyProtection="1">
      <alignment horizontal="center" vertical="center" wrapText="1"/>
      <protection hidden="1"/>
    </xf>
    <xf numFmtId="0" fontId="0" fillId="0" borderId="76" xfId="0" applyBorder="1" applyAlignment="1" applyProtection="1">
      <alignment horizontal="center"/>
      <protection hidden="1"/>
    </xf>
    <xf numFmtId="0" fontId="0" fillId="0" borderId="55" xfId="0" applyBorder="1" applyAlignment="1" applyProtection="1">
      <alignment horizontal="center"/>
      <protection hidden="1"/>
    </xf>
    <xf numFmtId="0" fontId="0" fillId="0" borderId="99" xfId="0" applyBorder="1" applyAlignment="1" applyProtection="1">
      <alignment horizontal="center"/>
      <protection hidden="1"/>
    </xf>
    <xf numFmtId="0" fontId="0" fillId="0" borderId="65" xfId="0" applyBorder="1" applyAlignment="1" applyProtection="1">
      <alignment horizontal="center"/>
      <protection hidden="1"/>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14" fillId="0" borderId="12" xfId="0" applyFont="1" applyBorder="1" applyAlignment="1" applyProtection="1">
      <alignment horizontal="center" vertical="center"/>
      <protection hidden="1"/>
    </xf>
    <xf numFmtId="0" fontId="14" fillId="0" borderId="11" xfId="0" applyFont="1" applyBorder="1" applyAlignment="1" applyProtection="1">
      <alignment horizontal="center" vertical="center"/>
      <protection hidden="1"/>
    </xf>
    <xf numFmtId="0" fontId="14" fillId="0" borderId="2" xfId="0" applyFont="1" applyBorder="1" applyAlignment="1" applyProtection="1">
      <alignment horizontal="center" vertical="center"/>
      <protection hidden="1"/>
    </xf>
    <xf numFmtId="0" fontId="14" fillId="0" borderId="20" xfId="0" applyFont="1" applyBorder="1" applyAlignment="1" applyProtection="1">
      <alignment horizontal="center" vertical="center"/>
      <protection hidden="1"/>
    </xf>
    <xf numFmtId="0" fontId="14" fillId="0" borderId="4" xfId="0" applyFont="1" applyBorder="1" applyAlignment="1" applyProtection="1">
      <alignment horizontal="center" vertical="center"/>
      <protection hidden="1"/>
    </xf>
    <xf numFmtId="0" fontId="14" fillId="0" borderId="18" xfId="0" applyFont="1" applyBorder="1" applyAlignment="1" applyProtection="1">
      <alignment horizontal="center" vertical="center"/>
      <protection hidden="1"/>
    </xf>
    <xf numFmtId="0" fontId="0" fillId="0" borderId="76" xfId="0" applyBorder="1" applyAlignment="1" applyProtection="1">
      <alignment horizontal="center" vertical="center"/>
      <protection hidden="1"/>
    </xf>
    <xf numFmtId="0" fontId="0" fillId="0" borderId="55" xfId="0" applyBorder="1" applyAlignment="1" applyProtection="1">
      <alignment horizontal="center" vertical="center"/>
      <protection hidden="1"/>
    </xf>
    <xf numFmtId="0" fontId="0" fillId="0" borderId="99" xfId="0" applyBorder="1" applyAlignment="1">
      <alignment horizontal="center" vertical="center"/>
    </xf>
    <xf numFmtId="0" fontId="0" fillId="0" borderId="65" xfId="0" applyBorder="1" applyAlignment="1">
      <alignment horizontal="center" vertical="center"/>
    </xf>
    <xf numFmtId="0" fontId="0" fillId="5" borderId="6" xfId="0" applyFill="1" applyBorder="1" applyAlignment="1" applyProtection="1">
      <alignment horizontal="center" vertical="center"/>
      <protection hidden="1"/>
    </xf>
    <xf numFmtId="0" fontId="0" fillId="5" borderId="17" xfId="0" applyFill="1" applyBorder="1" applyAlignment="1" applyProtection="1">
      <alignment horizontal="center" vertical="center"/>
      <protection hidden="1"/>
    </xf>
    <xf numFmtId="0" fontId="0" fillId="5" borderId="2" xfId="0" applyFill="1" applyBorder="1" applyAlignment="1" applyProtection="1">
      <alignment horizontal="center" vertical="center"/>
      <protection hidden="1"/>
    </xf>
    <xf numFmtId="0" fontId="0" fillId="5" borderId="20" xfId="0" applyFill="1" applyBorder="1" applyAlignment="1" applyProtection="1">
      <alignment horizontal="center" vertical="center"/>
      <protection hidden="1"/>
    </xf>
    <xf numFmtId="0" fontId="0" fillId="5" borderId="4" xfId="0" applyFill="1" applyBorder="1" applyAlignment="1" applyProtection="1">
      <alignment horizontal="center" vertical="center"/>
      <protection hidden="1"/>
    </xf>
    <xf numFmtId="0" fontId="0" fillId="5" borderId="18" xfId="0" applyFill="1" applyBorder="1" applyAlignment="1" applyProtection="1">
      <alignment horizontal="center" vertical="center"/>
      <protection hidden="1"/>
    </xf>
    <xf numFmtId="0" fontId="0" fillId="5" borderId="12" xfId="0" applyFill="1" applyBorder="1" applyAlignment="1" applyProtection="1">
      <alignment horizontal="center" vertical="center"/>
      <protection hidden="1"/>
    </xf>
    <xf numFmtId="0" fontId="0" fillId="5" borderId="11" xfId="0" applyFill="1" applyBorder="1" applyAlignment="1" applyProtection="1">
      <alignment horizontal="center" vertical="center"/>
      <protection hidden="1"/>
    </xf>
    <xf numFmtId="0" fontId="0" fillId="0" borderId="60"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0" fillId="0" borderId="64" xfId="0" applyBorder="1" applyAlignment="1" applyProtection="1">
      <alignment horizontal="center" vertical="center"/>
      <protection hidden="1"/>
    </xf>
    <xf numFmtId="0" fontId="0" fillId="0" borderId="65" xfId="0" applyBorder="1" applyAlignment="1" applyProtection="1">
      <alignment horizontal="center" vertical="center"/>
      <protection hidden="1"/>
    </xf>
    <xf numFmtId="1" fontId="34" fillId="4" borderId="0" xfId="0" applyNumberFormat="1" applyFont="1" applyFill="1" applyAlignment="1" applyProtection="1">
      <alignment horizontal="center" vertical="center" wrapText="1"/>
      <protection hidden="1"/>
    </xf>
    <xf numFmtId="0" fontId="14" fillId="0" borderId="60" xfId="0" applyFont="1" applyBorder="1" applyAlignment="1" applyProtection="1">
      <alignment horizontal="center" vertical="center"/>
      <protection hidden="1"/>
    </xf>
    <xf numFmtId="0" fontId="14" fillId="0" borderId="55" xfId="0" applyFont="1" applyBorder="1" applyAlignment="1" applyProtection="1">
      <alignment horizontal="center" vertical="center"/>
      <protection hidden="1"/>
    </xf>
    <xf numFmtId="0" fontId="14" fillId="0" borderId="23" xfId="0" applyFont="1" applyBorder="1" applyAlignment="1" applyProtection="1">
      <alignment horizontal="center" vertical="center"/>
      <protection hidden="1"/>
    </xf>
    <xf numFmtId="0" fontId="14" fillId="0" borderId="17" xfId="0" applyFont="1" applyBorder="1" applyAlignment="1" applyProtection="1">
      <alignment horizontal="center" vertical="center"/>
      <protection hidden="1"/>
    </xf>
    <xf numFmtId="0" fontId="14" fillId="0" borderId="64" xfId="0" applyFont="1" applyBorder="1" applyAlignment="1" applyProtection="1">
      <alignment horizontal="center" vertical="center"/>
      <protection hidden="1"/>
    </xf>
    <xf numFmtId="0" fontId="14" fillId="0" borderId="65" xfId="0" applyFont="1" applyBorder="1" applyAlignment="1" applyProtection="1">
      <alignment horizontal="center" vertical="center"/>
      <protection hidden="1"/>
    </xf>
    <xf numFmtId="0" fontId="0" fillId="0" borderId="60" xfId="0" applyBorder="1" applyAlignment="1">
      <alignment horizontal="center" vertical="center"/>
    </xf>
    <xf numFmtId="0" fontId="0" fillId="0" borderId="55" xfId="0" applyBorder="1" applyAlignment="1">
      <alignment horizontal="center" vertical="center"/>
    </xf>
    <xf numFmtId="0" fontId="0" fillId="0" borderId="64" xfId="0" applyBorder="1" applyAlignment="1">
      <alignment horizontal="center" vertical="center"/>
    </xf>
    <xf numFmtId="0" fontId="0" fillId="0" borderId="21" xfId="0" applyBorder="1" applyAlignment="1" applyProtection="1">
      <alignment horizontal="center" vertical="center"/>
      <protection hidden="1"/>
    </xf>
    <xf numFmtId="0" fontId="0" fillId="0" borderId="70" xfId="0" applyBorder="1" applyAlignment="1" applyProtection="1">
      <alignment horizontal="center" vertical="center"/>
      <protection hidden="1"/>
    </xf>
    <xf numFmtId="0" fontId="0" fillId="0" borderId="67" xfId="0" applyBorder="1" applyAlignment="1" applyProtection="1">
      <alignment horizontal="center" vertical="center"/>
      <protection hidden="1"/>
    </xf>
    <xf numFmtId="0" fontId="0" fillId="0" borderId="101" xfId="0" applyBorder="1" applyAlignment="1" applyProtection="1">
      <alignment horizontal="center" vertical="center"/>
      <protection hidden="1"/>
    </xf>
    <xf numFmtId="0" fontId="0" fillId="0" borderId="62" xfId="0" applyBorder="1" applyAlignment="1" applyProtection="1">
      <alignment horizontal="center" vertical="center"/>
      <protection hidden="1"/>
    </xf>
    <xf numFmtId="0" fontId="0" fillId="0" borderId="100" xfId="0" applyBorder="1" applyAlignment="1" applyProtection="1">
      <alignment horizontal="center" vertical="center"/>
      <protection hidden="1"/>
    </xf>
    <xf numFmtId="0" fontId="0" fillId="0" borderId="72" xfId="0" applyBorder="1" applyAlignment="1" applyProtection="1">
      <alignment horizontal="center" vertical="center"/>
      <protection hidden="1"/>
    </xf>
    <xf numFmtId="0" fontId="0" fillId="0" borderId="99" xfId="0" applyBorder="1" applyAlignment="1" applyProtection="1">
      <alignment horizontal="center" vertical="center"/>
      <protection hidden="1"/>
    </xf>
    <xf numFmtId="0" fontId="8" fillId="0" borderId="0" xfId="0" applyFont="1" applyAlignment="1" applyProtection="1">
      <alignment horizontal="right"/>
      <protection hidden="1"/>
    </xf>
    <xf numFmtId="0" fontId="8" fillId="0" borderId="3" xfId="0" applyFont="1" applyBorder="1" applyAlignment="1" applyProtection="1">
      <alignment horizontal="right"/>
      <protection hidden="1"/>
    </xf>
    <xf numFmtId="0" fontId="0" fillId="0" borderId="5" xfId="0" applyBorder="1" applyAlignment="1" applyProtection="1">
      <alignment horizontal="left" wrapText="1"/>
      <protection locked="0" hidden="1"/>
    </xf>
    <xf numFmtId="0" fontId="0" fillId="0" borderId="16" xfId="0" applyBorder="1" applyAlignment="1" applyProtection="1">
      <alignment horizontal="left"/>
      <protection locked="0" hidden="1"/>
    </xf>
    <xf numFmtId="165" fontId="0" fillId="0" borderId="16" xfId="0" applyNumberFormat="1" applyBorder="1" applyAlignment="1" applyProtection="1">
      <alignment horizontal="left"/>
      <protection locked="0" hidden="1"/>
    </xf>
    <xf numFmtId="1" fontId="4" fillId="0" borderId="0" xfId="0" applyNumberFormat="1" applyFont="1" applyAlignment="1" applyProtection="1">
      <alignment horizontal="left"/>
      <protection hidden="1"/>
    </xf>
    <xf numFmtId="0" fontId="8" fillId="0" borderId="5" xfId="0" applyFont="1" applyBorder="1" applyAlignment="1" applyProtection="1">
      <alignment horizontal="left"/>
      <protection locked="0" hidden="1"/>
    </xf>
    <xf numFmtId="0" fontId="0" fillId="0" borderId="0" xfId="0" applyAlignment="1" applyProtection="1">
      <alignment horizontal="left" wrapText="1"/>
      <protection hidden="1"/>
    </xf>
    <xf numFmtId="0" fontId="13" fillId="0" borderId="5" xfId="0" applyFont="1" applyBorder="1" applyAlignment="1" applyProtection="1">
      <alignment horizontal="left"/>
      <protection locked="0" hidden="1"/>
    </xf>
    <xf numFmtId="0" fontId="0" fillId="0" borderId="5" xfId="0" applyBorder="1" applyAlignment="1" applyProtection="1">
      <alignment horizontal="left"/>
      <protection locked="0" hidden="1"/>
    </xf>
    <xf numFmtId="0" fontId="0" fillId="0" borderId="16" xfId="0" applyBorder="1" applyAlignment="1" applyProtection="1">
      <alignment horizontal="left" wrapText="1"/>
      <protection locked="0" hidden="1"/>
    </xf>
    <xf numFmtId="0" fontId="8" fillId="0" borderId="16" xfId="0" applyFont="1" applyBorder="1" applyAlignment="1" applyProtection="1">
      <alignment horizontal="left"/>
      <protection locked="0" hidden="1"/>
    </xf>
  </cellXfs>
  <cellStyles count="21">
    <cellStyle name="Comma" xfId="1" builtinId="3"/>
    <cellStyle name="Comma 2" xfId="2" xr:uid="{00000000-0005-0000-0000-000001000000}"/>
    <cellStyle name="Comma 2 2" xfId="3" xr:uid="{00000000-0005-0000-0000-000002000000}"/>
    <cellStyle name="Comma 3" xfId="4" xr:uid="{00000000-0005-0000-0000-000003000000}"/>
    <cellStyle name="Comma 3 2" xfId="5" xr:uid="{00000000-0005-0000-0000-000004000000}"/>
    <cellStyle name="Comma 4" xfId="6" xr:uid="{00000000-0005-0000-0000-000005000000}"/>
    <cellStyle name="Comma 4 2" xfId="7" xr:uid="{00000000-0005-0000-0000-000006000000}"/>
    <cellStyle name="Comma 5" xfId="8" xr:uid="{00000000-0005-0000-0000-000007000000}"/>
    <cellStyle name="Comma 5 2" xfId="9" xr:uid="{00000000-0005-0000-0000-000008000000}"/>
    <cellStyle name="Comma 6" xfId="10" xr:uid="{00000000-0005-0000-0000-000009000000}"/>
    <cellStyle name="Comma 6 2" xfId="11" xr:uid="{00000000-0005-0000-0000-00000A000000}"/>
    <cellStyle name="Comma 7" xfId="12" xr:uid="{00000000-0005-0000-0000-00000B000000}"/>
    <cellStyle name="Comma 7 2" xfId="13" xr:uid="{00000000-0005-0000-0000-00000C000000}"/>
    <cellStyle name="Currency" xfId="14" builtinId="4"/>
    <cellStyle name="Currency 2" xfId="17" xr:uid="{00000000-0005-0000-0000-00000E000000}"/>
    <cellStyle name="Normal" xfId="0" builtinId="0"/>
    <cellStyle name="Normal 2" xfId="16" xr:uid="{00000000-0005-0000-0000-000011000000}"/>
    <cellStyle name="Normal 42" xfId="20" xr:uid="{9382BAAD-4884-40C5-BB71-96CC4F972DCE}"/>
    <cellStyle name="Percent" xfId="15" builtinId="5"/>
    <cellStyle name="Percent 2" xfId="18" xr:uid="{00000000-0005-0000-0000-000013000000}"/>
    <cellStyle name="Vírgula 2" xfId="19" xr:uid="{01092E2A-29B6-4916-A4BC-6096F2E7EC6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06/relationships/rdRichValueStructure" Target="richData/rdrichvaluestructure.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22/10/relationships/richValueRel" Target="richData/richValueRel.xml"/><Relationship Id="rId40" Type="http://schemas.microsoft.com/office/2017/06/relationships/rdRichValueTypes" Target="richData/rdRichValueTyp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microsoft.com/office/2017/06/relationships/rdRichValue" Target="richData/rdrichvalue.xml"/><Relationship Id="rId20" Type="http://schemas.openxmlformats.org/officeDocument/2006/relationships/worksheet" Target="worksheets/sheet20.xml"/><Relationship Id="rId41" Type="http://schemas.microsoft.com/office/2017/10/relationships/person" Target="persons/person.xml"/></Relationships>
</file>

<file path=xl/drawings/_rels/drawing10.xml.rels><?xml version="1.0" encoding="UTF-8" standalone="yes"?>
<Relationships xmlns="http://schemas.openxmlformats.org/package/2006/relationships"><Relationship Id="rId3" Type="http://schemas.openxmlformats.org/officeDocument/2006/relationships/image" Target="../media/image206.png"/><Relationship Id="rId2" Type="http://schemas.openxmlformats.org/officeDocument/2006/relationships/image" Target="../media/image205.png"/><Relationship Id="rId1" Type="http://schemas.openxmlformats.org/officeDocument/2006/relationships/image" Target="../media/image8.jpeg"/><Relationship Id="rId5" Type="http://schemas.openxmlformats.org/officeDocument/2006/relationships/image" Target="../media/image45.png"/><Relationship Id="rId4" Type="http://schemas.openxmlformats.org/officeDocument/2006/relationships/image" Target="../media/image204.png"/></Relationships>
</file>

<file path=xl/drawings/_rels/drawing1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209.jpeg"/><Relationship Id="rId7" Type="http://schemas.openxmlformats.org/officeDocument/2006/relationships/image" Target="../media/image213.png"/><Relationship Id="rId2" Type="http://schemas.openxmlformats.org/officeDocument/2006/relationships/image" Target="../media/image208.png"/><Relationship Id="rId1" Type="http://schemas.openxmlformats.org/officeDocument/2006/relationships/image" Target="../media/image207.png"/><Relationship Id="rId6" Type="http://schemas.openxmlformats.org/officeDocument/2006/relationships/image" Target="../media/image212.png"/><Relationship Id="rId11" Type="http://schemas.openxmlformats.org/officeDocument/2006/relationships/image" Target="../media/image45.png"/><Relationship Id="rId5" Type="http://schemas.openxmlformats.org/officeDocument/2006/relationships/image" Target="../media/image211.jpeg"/><Relationship Id="rId10" Type="http://schemas.openxmlformats.org/officeDocument/2006/relationships/image" Target="../media/image157.png"/><Relationship Id="rId4" Type="http://schemas.openxmlformats.org/officeDocument/2006/relationships/image" Target="../media/image210.jpeg"/><Relationship Id="rId9" Type="http://schemas.openxmlformats.org/officeDocument/2006/relationships/image" Target="../media/image141.png"/></Relationships>
</file>

<file path=xl/drawings/_rels/drawing12.xml.rels><?xml version="1.0" encoding="UTF-8" standalone="yes"?>
<Relationships xmlns="http://schemas.openxmlformats.org/package/2006/relationships"><Relationship Id="rId13" Type="http://schemas.microsoft.com/office/2007/relationships/hdphoto" Target="../media/hdphoto10.wdp"/><Relationship Id="rId18" Type="http://schemas.openxmlformats.org/officeDocument/2006/relationships/image" Target="../media/image222.png"/><Relationship Id="rId26" Type="http://schemas.openxmlformats.org/officeDocument/2006/relationships/image" Target="../media/image226.png"/><Relationship Id="rId39" Type="http://schemas.microsoft.com/office/2007/relationships/hdphoto" Target="../media/hdphoto23.wdp"/><Relationship Id="rId21" Type="http://schemas.microsoft.com/office/2007/relationships/hdphoto" Target="../media/hdphoto14.wdp"/><Relationship Id="rId34" Type="http://schemas.openxmlformats.org/officeDocument/2006/relationships/image" Target="../media/image230.png"/><Relationship Id="rId42" Type="http://schemas.openxmlformats.org/officeDocument/2006/relationships/image" Target="../media/image234.png"/><Relationship Id="rId47" Type="http://schemas.microsoft.com/office/2007/relationships/hdphoto" Target="../media/hdphoto27.wdp"/><Relationship Id="rId50" Type="http://schemas.openxmlformats.org/officeDocument/2006/relationships/image" Target="../media/image238.png"/><Relationship Id="rId55" Type="http://schemas.microsoft.com/office/2007/relationships/hdphoto" Target="../media/hdphoto31.wdp"/><Relationship Id="rId7" Type="http://schemas.microsoft.com/office/2007/relationships/hdphoto" Target="../media/hdphoto7.wdp"/><Relationship Id="rId2" Type="http://schemas.openxmlformats.org/officeDocument/2006/relationships/image" Target="../media/image214.png"/><Relationship Id="rId16" Type="http://schemas.openxmlformats.org/officeDocument/2006/relationships/image" Target="../media/image221.png"/><Relationship Id="rId29" Type="http://schemas.microsoft.com/office/2007/relationships/hdphoto" Target="../media/hdphoto18.wdp"/><Relationship Id="rId11" Type="http://schemas.microsoft.com/office/2007/relationships/hdphoto" Target="../media/hdphoto9.wdp"/><Relationship Id="rId24" Type="http://schemas.openxmlformats.org/officeDocument/2006/relationships/image" Target="../media/image225.png"/><Relationship Id="rId32" Type="http://schemas.openxmlformats.org/officeDocument/2006/relationships/image" Target="../media/image229.png"/><Relationship Id="rId37" Type="http://schemas.microsoft.com/office/2007/relationships/hdphoto" Target="../media/hdphoto22.wdp"/><Relationship Id="rId40" Type="http://schemas.openxmlformats.org/officeDocument/2006/relationships/image" Target="../media/image233.png"/><Relationship Id="rId45" Type="http://schemas.microsoft.com/office/2007/relationships/hdphoto" Target="../media/hdphoto26.wdp"/><Relationship Id="rId53" Type="http://schemas.microsoft.com/office/2007/relationships/hdphoto" Target="../media/hdphoto30.wdp"/><Relationship Id="rId58" Type="http://schemas.openxmlformats.org/officeDocument/2006/relationships/image" Target="../media/image242.png"/><Relationship Id="rId5" Type="http://schemas.microsoft.com/office/2007/relationships/hdphoto" Target="../media/hdphoto6.wdp"/><Relationship Id="rId19" Type="http://schemas.microsoft.com/office/2007/relationships/hdphoto" Target="../media/hdphoto13.wdp"/><Relationship Id="rId4" Type="http://schemas.openxmlformats.org/officeDocument/2006/relationships/image" Target="../media/image215.png"/><Relationship Id="rId9" Type="http://schemas.microsoft.com/office/2007/relationships/hdphoto" Target="../media/hdphoto8.wdp"/><Relationship Id="rId14" Type="http://schemas.openxmlformats.org/officeDocument/2006/relationships/image" Target="../media/image220.png"/><Relationship Id="rId22" Type="http://schemas.openxmlformats.org/officeDocument/2006/relationships/image" Target="../media/image224.png"/><Relationship Id="rId27" Type="http://schemas.microsoft.com/office/2007/relationships/hdphoto" Target="../media/hdphoto17.wdp"/><Relationship Id="rId30" Type="http://schemas.openxmlformats.org/officeDocument/2006/relationships/image" Target="../media/image228.png"/><Relationship Id="rId35" Type="http://schemas.microsoft.com/office/2007/relationships/hdphoto" Target="../media/hdphoto21.wdp"/><Relationship Id="rId43" Type="http://schemas.microsoft.com/office/2007/relationships/hdphoto" Target="../media/hdphoto25.wdp"/><Relationship Id="rId48" Type="http://schemas.openxmlformats.org/officeDocument/2006/relationships/image" Target="../media/image237.png"/><Relationship Id="rId56" Type="http://schemas.openxmlformats.org/officeDocument/2006/relationships/image" Target="../media/image241.png"/><Relationship Id="rId8" Type="http://schemas.openxmlformats.org/officeDocument/2006/relationships/image" Target="../media/image217.png"/><Relationship Id="rId51" Type="http://schemas.microsoft.com/office/2007/relationships/hdphoto" Target="../media/hdphoto29.wdp"/><Relationship Id="rId3" Type="http://schemas.microsoft.com/office/2007/relationships/hdphoto" Target="../media/hdphoto5.wdp"/><Relationship Id="rId12" Type="http://schemas.openxmlformats.org/officeDocument/2006/relationships/image" Target="../media/image219.png"/><Relationship Id="rId17" Type="http://schemas.microsoft.com/office/2007/relationships/hdphoto" Target="../media/hdphoto12.wdp"/><Relationship Id="rId25" Type="http://schemas.microsoft.com/office/2007/relationships/hdphoto" Target="../media/hdphoto16.wdp"/><Relationship Id="rId33" Type="http://schemas.microsoft.com/office/2007/relationships/hdphoto" Target="../media/hdphoto20.wdp"/><Relationship Id="rId38" Type="http://schemas.openxmlformats.org/officeDocument/2006/relationships/image" Target="../media/image232.png"/><Relationship Id="rId46" Type="http://schemas.openxmlformats.org/officeDocument/2006/relationships/image" Target="../media/image236.png"/><Relationship Id="rId59" Type="http://schemas.microsoft.com/office/2007/relationships/hdphoto" Target="../media/hdphoto33.wdp"/><Relationship Id="rId20" Type="http://schemas.openxmlformats.org/officeDocument/2006/relationships/image" Target="../media/image223.png"/><Relationship Id="rId41" Type="http://schemas.microsoft.com/office/2007/relationships/hdphoto" Target="../media/hdphoto24.wdp"/><Relationship Id="rId54" Type="http://schemas.openxmlformats.org/officeDocument/2006/relationships/image" Target="../media/image240.png"/><Relationship Id="rId1" Type="http://schemas.openxmlformats.org/officeDocument/2006/relationships/image" Target="../media/image173.jpeg"/><Relationship Id="rId6" Type="http://schemas.openxmlformats.org/officeDocument/2006/relationships/image" Target="../media/image216.png"/><Relationship Id="rId15" Type="http://schemas.microsoft.com/office/2007/relationships/hdphoto" Target="../media/hdphoto11.wdp"/><Relationship Id="rId23" Type="http://schemas.microsoft.com/office/2007/relationships/hdphoto" Target="../media/hdphoto15.wdp"/><Relationship Id="rId28" Type="http://schemas.openxmlformats.org/officeDocument/2006/relationships/image" Target="../media/image227.png"/><Relationship Id="rId36" Type="http://schemas.openxmlformats.org/officeDocument/2006/relationships/image" Target="../media/image231.png"/><Relationship Id="rId49" Type="http://schemas.microsoft.com/office/2007/relationships/hdphoto" Target="../media/hdphoto28.wdp"/><Relationship Id="rId57" Type="http://schemas.microsoft.com/office/2007/relationships/hdphoto" Target="../media/hdphoto32.wdp"/><Relationship Id="rId10" Type="http://schemas.openxmlformats.org/officeDocument/2006/relationships/image" Target="../media/image218.png"/><Relationship Id="rId31" Type="http://schemas.microsoft.com/office/2007/relationships/hdphoto" Target="../media/hdphoto19.wdp"/><Relationship Id="rId44" Type="http://schemas.openxmlformats.org/officeDocument/2006/relationships/image" Target="../media/image235.png"/><Relationship Id="rId52" Type="http://schemas.openxmlformats.org/officeDocument/2006/relationships/image" Target="../media/image239.png"/><Relationship Id="rId60" Type="http://schemas.openxmlformats.org/officeDocument/2006/relationships/image" Target="../media/image45.png"/></Relationships>
</file>

<file path=xl/drawings/_rels/drawing13.xml.rels><?xml version="1.0" encoding="UTF-8" standalone="yes"?>
<Relationships xmlns="http://schemas.openxmlformats.org/package/2006/relationships"><Relationship Id="rId8" Type="http://schemas.openxmlformats.org/officeDocument/2006/relationships/image" Target="../media/image250.jpeg"/><Relationship Id="rId13" Type="http://schemas.openxmlformats.org/officeDocument/2006/relationships/image" Target="../media/image255.jpeg"/><Relationship Id="rId3" Type="http://schemas.openxmlformats.org/officeDocument/2006/relationships/image" Target="../media/image245.jpeg"/><Relationship Id="rId7" Type="http://schemas.openxmlformats.org/officeDocument/2006/relationships/image" Target="../media/image249.jpeg"/><Relationship Id="rId12" Type="http://schemas.openxmlformats.org/officeDocument/2006/relationships/image" Target="../media/image254.jpeg"/><Relationship Id="rId17" Type="http://schemas.openxmlformats.org/officeDocument/2006/relationships/image" Target="../media/image45.png"/><Relationship Id="rId2" Type="http://schemas.openxmlformats.org/officeDocument/2006/relationships/image" Target="../media/image244.jpeg"/><Relationship Id="rId16" Type="http://schemas.openxmlformats.org/officeDocument/2006/relationships/image" Target="../media/image258.jpeg"/><Relationship Id="rId1" Type="http://schemas.openxmlformats.org/officeDocument/2006/relationships/image" Target="../media/image243.jpeg"/><Relationship Id="rId6" Type="http://schemas.openxmlformats.org/officeDocument/2006/relationships/image" Target="../media/image248.jpeg"/><Relationship Id="rId11" Type="http://schemas.openxmlformats.org/officeDocument/2006/relationships/image" Target="../media/image253.jpeg"/><Relationship Id="rId5" Type="http://schemas.openxmlformats.org/officeDocument/2006/relationships/image" Target="../media/image247.jpeg"/><Relationship Id="rId15" Type="http://schemas.openxmlformats.org/officeDocument/2006/relationships/image" Target="../media/image257.jpeg"/><Relationship Id="rId10" Type="http://schemas.openxmlformats.org/officeDocument/2006/relationships/image" Target="../media/image252.jpeg"/><Relationship Id="rId4" Type="http://schemas.openxmlformats.org/officeDocument/2006/relationships/image" Target="../media/image246.jpeg"/><Relationship Id="rId9" Type="http://schemas.openxmlformats.org/officeDocument/2006/relationships/image" Target="../media/image251.jpeg"/><Relationship Id="rId14" Type="http://schemas.openxmlformats.org/officeDocument/2006/relationships/image" Target="../media/image256.jpeg"/></Relationships>
</file>

<file path=xl/drawings/_rels/drawing14.xml.rels><?xml version="1.0" encoding="UTF-8" standalone="yes"?>
<Relationships xmlns="http://schemas.openxmlformats.org/package/2006/relationships"><Relationship Id="rId13" Type="http://schemas.openxmlformats.org/officeDocument/2006/relationships/image" Target="../media/image271.png"/><Relationship Id="rId18" Type="http://schemas.openxmlformats.org/officeDocument/2006/relationships/image" Target="../media/image276.png"/><Relationship Id="rId26" Type="http://schemas.openxmlformats.org/officeDocument/2006/relationships/image" Target="../media/image284.jpeg"/><Relationship Id="rId21" Type="http://schemas.openxmlformats.org/officeDocument/2006/relationships/image" Target="../media/image279.jpeg"/><Relationship Id="rId34" Type="http://schemas.openxmlformats.org/officeDocument/2006/relationships/image" Target="../media/image292.png"/><Relationship Id="rId7" Type="http://schemas.openxmlformats.org/officeDocument/2006/relationships/image" Target="../media/image265.png"/><Relationship Id="rId12" Type="http://schemas.openxmlformats.org/officeDocument/2006/relationships/image" Target="../media/image270.png"/><Relationship Id="rId17" Type="http://schemas.openxmlformats.org/officeDocument/2006/relationships/image" Target="../media/image275.png"/><Relationship Id="rId25" Type="http://schemas.openxmlformats.org/officeDocument/2006/relationships/image" Target="../media/image283.png"/><Relationship Id="rId33" Type="http://schemas.openxmlformats.org/officeDocument/2006/relationships/image" Target="../media/image291.jpeg"/><Relationship Id="rId38" Type="http://schemas.openxmlformats.org/officeDocument/2006/relationships/image" Target="../media/image45.png"/><Relationship Id="rId2" Type="http://schemas.openxmlformats.org/officeDocument/2006/relationships/image" Target="../media/image260.jpeg"/><Relationship Id="rId16" Type="http://schemas.openxmlformats.org/officeDocument/2006/relationships/image" Target="../media/image274.jpeg"/><Relationship Id="rId20" Type="http://schemas.openxmlformats.org/officeDocument/2006/relationships/image" Target="../media/image278.png"/><Relationship Id="rId29" Type="http://schemas.openxmlformats.org/officeDocument/2006/relationships/image" Target="../media/image287.jpeg"/><Relationship Id="rId1" Type="http://schemas.openxmlformats.org/officeDocument/2006/relationships/image" Target="../media/image259.png"/><Relationship Id="rId6" Type="http://schemas.openxmlformats.org/officeDocument/2006/relationships/image" Target="../media/image264.png"/><Relationship Id="rId11" Type="http://schemas.openxmlformats.org/officeDocument/2006/relationships/image" Target="../media/image269.png"/><Relationship Id="rId24" Type="http://schemas.openxmlformats.org/officeDocument/2006/relationships/image" Target="../media/image282.png"/><Relationship Id="rId32" Type="http://schemas.openxmlformats.org/officeDocument/2006/relationships/image" Target="../media/image290.png"/><Relationship Id="rId37" Type="http://schemas.openxmlformats.org/officeDocument/2006/relationships/image" Target="../media/image8.jpeg"/><Relationship Id="rId5" Type="http://schemas.openxmlformats.org/officeDocument/2006/relationships/image" Target="../media/image263.png"/><Relationship Id="rId15" Type="http://schemas.openxmlformats.org/officeDocument/2006/relationships/image" Target="../media/image273.jpeg"/><Relationship Id="rId23" Type="http://schemas.openxmlformats.org/officeDocument/2006/relationships/image" Target="../media/image281.png"/><Relationship Id="rId28" Type="http://schemas.openxmlformats.org/officeDocument/2006/relationships/image" Target="../media/image286.png"/><Relationship Id="rId36" Type="http://schemas.openxmlformats.org/officeDocument/2006/relationships/image" Target="../media/image294.png"/><Relationship Id="rId10" Type="http://schemas.openxmlformats.org/officeDocument/2006/relationships/image" Target="../media/image268.png"/><Relationship Id="rId19" Type="http://schemas.openxmlformats.org/officeDocument/2006/relationships/image" Target="../media/image277.png"/><Relationship Id="rId31" Type="http://schemas.openxmlformats.org/officeDocument/2006/relationships/image" Target="../media/image289.png"/><Relationship Id="rId4" Type="http://schemas.openxmlformats.org/officeDocument/2006/relationships/image" Target="../media/image262.jpeg"/><Relationship Id="rId9" Type="http://schemas.openxmlformats.org/officeDocument/2006/relationships/image" Target="../media/image267.png"/><Relationship Id="rId14" Type="http://schemas.openxmlformats.org/officeDocument/2006/relationships/image" Target="../media/image272.png"/><Relationship Id="rId22" Type="http://schemas.openxmlformats.org/officeDocument/2006/relationships/image" Target="../media/image280.png"/><Relationship Id="rId27" Type="http://schemas.openxmlformats.org/officeDocument/2006/relationships/image" Target="../media/image285.jpeg"/><Relationship Id="rId30" Type="http://schemas.openxmlformats.org/officeDocument/2006/relationships/image" Target="../media/image288.jpeg"/><Relationship Id="rId35" Type="http://schemas.openxmlformats.org/officeDocument/2006/relationships/image" Target="../media/image293.png"/><Relationship Id="rId8" Type="http://schemas.openxmlformats.org/officeDocument/2006/relationships/image" Target="../media/image266.png"/><Relationship Id="rId3" Type="http://schemas.openxmlformats.org/officeDocument/2006/relationships/image" Target="../media/image261.png"/></Relationships>
</file>

<file path=xl/drawings/_rels/drawing15.xml.rels><?xml version="1.0" encoding="UTF-8" standalone="yes"?>
<Relationships xmlns="http://schemas.openxmlformats.org/package/2006/relationships"><Relationship Id="rId13" Type="http://schemas.openxmlformats.org/officeDocument/2006/relationships/image" Target="../media/image307.jpeg"/><Relationship Id="rId18" Type="http://schemas.openxmlformats.org/officeDocument/2006/relationships/image" Target="../media/image312.png"/><Relationship Id="rId26" Type="http://schemas.openxmlformats.org/officeDocument/2006/relationships/image" Target="../media/image319.png"/><Relationship Id="rId3" Type="http://schemas.openxmlformats.org/officeDocument/2006/relationships/image" Target="../media/image297.png"/><Relationship Id="rId21" Type="http://schemas.openxmlformats.org/officeDocument/2006/relationships/image" Target="../media/image315.jpeg"/><Relationship Id="rId34" Type="http://schemas.openxmlformats.org/officeDocument/2006/relationships/image" Target="../media/image326.png"/><Relationship Id="rId7" Type="http://schemas.openxmlformats.org/officeDocument/2006/relationships/image" Target="../media/image301.png"/><Relationship Id="rId12" Type="http://schemas.openxmlformats.org/officeDocument/2006/relationships/image" Target="../media/image306.png"/><Relationship Id="rId17" Type="http://schemas.openxmlformats.org/officeDocument/2006/relationships/image" Target="../media/image311.jpeg"/><Relationship Id="rId25" Type="http://schemas.openxmlformats.org/officeDocument/2006/relationships/image" Target="../media/image318.jpeg"/><Relationship Id="rId33" Type="http://schemas.openxmlformats.org/officeDocument/2006/relationships/image" Target="../media/image45.png"/><Relationship Id="rId2" Type="http://schemas.openxmlformats.org/officeDocument/2006/relationships/image" Target="../media/image296.png"/><Relationship Id="rId16" Type="http://schemas.openxmlformats.org/officeDocument/2006/relationships/image" Target="../media/image310.jpeg"/><Relationship Id="rId20" Type="http://schemas.openxmlformats.org/officeDocument/2006/relationships/image" Target="../media/image314.jpeg"/><Relationship Id="rId29" Type="http://schemas.openxmlformats.org/officeDocument/2006/relationships/image" Target="../media/image322.png"/><Relationship Id="rId1" Type="http://schemas.openxmlformats.org/officeDocument/2006/relationships/image" Target="../media/image295.png"/><Relationship Id="rId6" Type="http://schemas.openxmlformats.org/officeDocument/2006/relationships/image" Target="../media/image300.png"/><Relationship Id="rId11" Type="http://schemas.openxmlformats.org/officeDocument/2006/relationships/image" Target="../media/image305.png"/><Relationship Id="rId24" Type="http://schemas.openxmlformats.org/officeDocument/2006/relationships/image" Target="../media/image8.jpeg"/><Relationship Id="rId32" Type="http://schemas.openxmlformats.org/officeDocument/2006/relationships/image" Target="../media/image325.png"/><Relationship Id="rId5" Type="http://schemas.openxmlformats.org/officeDocument/2006/relationships/image" Target="../media/image299.png"/><Relationship Id="rId15" Type="http://schemas.openxmlformats.org/officeDocument/2006/relationships/image" Target="../media/image309.png"/><Relationship Id="rId23" Type="http://schemas.openxmlformats.org/officeDocument/2006/relationships/image" Target="../media/image317.png"/><Relationship Id="rId28" Type="http://schemas.openxmlformats.org/officeDocument/2006/relationships/image" Target="../media/image321.png"/><Relationship Id="rId10" Type="http://schemas.openxmlformats.org/officeDocument/2006/relationships/image" Target="../media/image304.png"/><Relationship Id="rId19" Type="http://schemas.openxmlformats.org/officeDocument/2006/relationships/image" Target="../media/image313.png"/><Relationship Id="rId31" Type="http://schemas.openxmlformats.org/officeDocument/2006/relationships/image" Target="../media/image324.png"/><Relationship Id="rId4" Type="http://schemas.openxmlformats.org/officeDocument/2006/relationships/image" Target="../media/image298.png"/><Relationship Id="rId9" Type="http://schemas.openxmlformats.org/officeDocument/2006/relationships/image" Target="../media/image303.png"/><Relationship Id="rId14" Type="http://schemas.openxmlformats.org/officeDocument/2006/relationships/image" Target="../media/image308.jpeg"/><Relationship Id="rId22" Type="http://schemas.openxmlformats.org/officeDocument/2006/relationships/image" Target="../media/image316.jpeg"/><Relationship Id="rId27" Type="http://schemas.openxmlformats.org/officeDocument/2006/relationships/image" Target="../media/image320.png"/><Relationship Id="rId30" Type="http://schemas.openxmlformats.org/officeDocument/2006/relationships/image" Target="../media/image323.png"/><Relationship Id="rId8" Type="http://schemas.openxmlformats.org/officeDocument/2006/relationships/image" Target="../media/image302.png"/></Relationships>
</file>

<file path=xl/drawings/_rels/drawing16.xml.rels><?xml version="1.0" encoding="UTF-8" standalone="yes"?>
<Relationships xmlns="http://schemas.openxmlformats.org/package/2006/relationships"><Relationship Id="rId8" Type="http://schemas.openxmlformats.org/officeDocument/2006/relationships/image" Target="../media/image334.png"/><Relationship Id="rId13" Type="http://schemas.openxmlformats.org/officeDocument/2006/relationships/image" Target="../media/image339.png"/><Relationship Id="rId18" Type="http://schemas.openxmlformats.org/officeDocument/2006/relationships/image" Target="../media/image344.png"/><Relationship Id="rId3" Type="http://schemas.openxmlformats.org/officeDocument/2006/relationships/image" Target="../media/image329.png"/><Relationship Id="rId7" Type="http://schemas.openxmlformats.org/officeDocument/2006/relationships/image" Target="../media/image333.jpeg"/><Relationship Id="rId12" Type="http://schemas.openxmlformats.org/officeDocument/2006/relationships/image" Target="../media/image338.jpeg"/><Relationship Id="rId17" Type="http://schemas.openxmlformats.org/officeDocument/2006/relationships/image" Target="../media/image343.png"/><Relationship Id="rId2" Type="http://schemas.openxmlformats.org/officeDocument/2006/relationships/image" Target="../media/image328.png"/><Relationship Id="rId16" Type="http://schemas.openxmlformats.org/officeDocument/2006/relationships/image" Target="../media/image342.png"/><Relationship Id="rId20" Type="http://schemas.openxmlformats.org/officeDocument/2006/relationships/image" Target="../media/image45.png"/><Relationship Id="rId1" Type="http://schemas.openxmlformats.org/officeDocument/2006/relationships/image" Target="../media/image327.png"/><Relationship Id="rId6" Type="http://schemas.openxmlformats.org/officeDocument/2006/relationships/image" Target="../media/image332.jpeg"/><Relationship Id="rId11" Type="http://schemas.openxmlformats.org/officeDocument/2006/relationships/image" Target="../media/image337.png"/><Relationship Id="rId5" Type="http://schemas.openxmlformats.org/officeDocument/2006/relationships/image" Target="../media/image331.png"/><Relationship Id="rId15" Type="http://schemas.openxmlformats.org/officeDocument/2006/relationships/image" Target="../media/image341.png"/><Relationship Id="rId10" Type="http://schemas.openxmlformats.org/officeDocument/2006/relationships/image" Target="../media/image336.jpeg"/><Relationship Id="rId19" Type="http://schemas.openxmlformats.org/officeDocument/2006/relationships/image" Target="../media/image345.jpeg"/><Relationship Id="rId4" Type="http://schemas.openxmlformats.org/officeDocument/2006/relationships/image" Target="../media/image330.jpeg"/><Relationship Id="rId9" Type="http://schemas.openxmlformats.org/officeDocument/2006/relationships/image" Target="../media/image335.jpeg"/><Relationship Id="rId14" Type="http://schemas.openxmlformats.org/officeDocument/2006/relationships/image" Target="../media/image340.jpeg"/></Relationships>
</file>

<file path=xl/drawings/_rels/drawing17.xml.rels><?xml version="1.0" encoding="UTF-8" standalone="yes"?>
<Relationships xmlns="http://schemas.openxmlformats.org/package/2006/relationships"><Relationship Id="rId8" Type="http://schemas.openxmlformats.org/officeDocument/2006/relationships/image" Target="../media/image352.png"/><Relationship Id="rId13" Type="http://schemas.openxmlformats.org/officeDocument/2006/relationships/image" Target="../media/image357.png"/><Relationship Id="rId18" Type="http://schemas.openxmlformats.org/officeDocument/2006/relationships/image" Target="../media/image362.png"/><Relationship Id="rId3" Type="http://schemas.openxmlformats.org/officeDocument/2006/relationships/image" Target="../media/image347.png"/><Relationship Id="rId21" Type="http://schemas.openxmlformats.org/officeDocument/2006/relationships/image" Target="../media/image365.png"/><Relationship Id="rId7" Type="http://schemas.openxmlformats.org/officeDocument/2006/relationships/image" Target="../media/image351.png"/><Relationship Id="rId12" Type="http://schemas.openxmlformats.org/officeDocument/2006/relationships/image" Target="../media/image356.png"/><Relationship Id="rId17" Type="http://schemas.openxmlformats.org/officeDocument/2006/relationships/image" Target="../media/image361.png"/><Relationship Id="rId2" Type="http://schemas.openxmlformats.org/officeDocument/2006/relationships/image" Target="../media/image346.png"/><Relationship Id="rId16" Type="http://schemas.openxmlformats.org/officeDocument/2006/relationships/image" Target="../media/image360.png"/><Relationship Id="rId20" Type="http://schemas.openxmlformats.org/officeDocument/2006/relationships/image" Target="../media/image364.png"/><Relationship Id="rId1" Type="http://schemas.openxmlformats.org/officeDocument/2006/relationships/image" Target="../media/image8.jpeg"/><Relationship Id="rId6" Type="http://schemas.openxmlformats.org/officeDocument/2006/relationships/image" Target="../media/image350.png"/><Relationship Id="rId11" Type="http://schemas.openxmlformats.org/officeDocument/2006/relationships/image" Target="../media/image355.png"/><Relationship Id="rId24" Type="http://schemas.openxmlformats.org/officeDocument/2006/relationships/image" Target="../media/image45.png"/><Relationship Id="rId5" Type="http://schemas.openxmlformats.org/officeDocument/2006/relationships/image" Target="../media/image349.png"/><Relationship Id="rId15" Type="http://schemas.openxmlformats.org/officeDocument/2006/relationships/image" Target="../media/image359.png"/><Relationship Id="rId23" Type="http://schemas.openxmlformats.org/officeDocument/2006/relationships/image" Target="../media/image367.png"/><Relationship Id="rId10" Type="http://schemas.openxmlformats.org/officeDocument/2006/relationships/image" Target="../media/image354.png"/><Relationship Id="rId19" Type="http://schemas.openxmlformats.org/officeDocument/2006/relationships/image" Target="../media/image363.png"/><Relationship Id="rId4" Type="http://schemas.openxmlformats.org/officeDocument/2006/relationships/image" Target="../media/image348.png"/><Relationship Id="rId9" Type="http://schemas.openxmlformats.org/officeDocument/2006/relationships/image" Target="../media/image353.png"/><Relationship Id="rId14" Type="http://schemas.openxmlformats.org/officeDocument/2006/relationships/image" Target="../media/image358.png"/><Relationship Id="rId22" Type="http://schemas.openxmlformats.org/officeDocument/2006/relationships/image" Target="../media/image366.png"/></Relationships>
</file>

<file path=xl/drawings/_rels/drawing18.xml.rels><?xml version="1.0" encoding="UTF-8" standalone="yes"?>
<Relationships xmlns="http://schemas.openxmlformats.org/package/2006/relationships"><Relationship Id="rId8" Type="http://schemas.openxmlformats.org/officeDocument/2006/relationships/image" Target="../media/image371.png"/><Relationship Id="rId13" Type="http://schemas.openxmlformats.org/officeDocument/2006/relationships/image" Target="../media/image374.png"/><Relationship Id="rId18" Type="http://schemas.microsoft.com/office/2007/relationships/hdphoto" Target="../media/hdphoto41.wdp"/><Relationship Id="rId3" Type="http://schemas.microsoft.com/office/2007/relationships/hdphoto" Target="../media/hdphoto34.wdp"/><Relationship Id="rId21" Type="http://schemas.openxmlformats.org/officeDocument/2006/relationships/image" Target="../media/image378.png"/><Relationship Id="rId7" Type="http://schemas.microsoft.com/office/2007/relationships/hdphoto" Target="../media/hdphoto36.wdp"/><Relationship Id="rId12" Type="http://schemas.microsoft.com/office/2007/relationships/hdphoto" Target="../media/hdphoto38.wdp"/><Relationship Id="rId17" Type="http://schemas.openxmlformats.org/officeDocument/2006/relationships/image" Target="../media/image376.png"/><Relationship Id="rId2" Type="http://schemas.openxmlformats.org/officeDocument/2006/relationships/image" Target="../media/image368.png"/><Relationship Id="rId16" Type="http://schemas.microsoft.com/office/2007/relationships/hdphoto" Target="../media/hdphoto40.wdp"/><Relationship Id="rId20" Type="http://schemas.microsoft.com/office/2007/relationships/hdphoto" Target="../media/hdphoto42.wdp"/><Relationship Id="rId1" Type="http://schemas.openxmlformats.org/officeDocument/2006/relationships/image" Target="../media/image173.jpeg"/><Relationship Id="rId6" Type="http://schemas.openxmlformats.org/officeDocument/2006/relationships/image" Target="../media/image370.png"/><Relationship Id="rId11" Type="http://schemas.openxmlformats.org/officeDocument/2006/relationships/image" Target="../media/image373.png"/><Relationship Id="rId24" Type="http://schemas.openxmlformats.org/officeDocument/2006/relationships/image" Target="../media/image45.png"/><Relationship Id="rId5" Type="http://schemas.microsoft.com/office/2007/relationships/hdphoto" Target="../media/hdphoto35.wdp"/><Relationship Id="rId15" Type="http://schemas.openxmlformats.org/officeDocument/2006/relationships/image" Target="../media/image375.png"/><Relationship Id="rId23" Type="http://schemas.openxmlformats.org/officeDocument/2006/relationships/image" Target="../media/image379.png"/><Relationship Id="rId10" Type="http://schemas.microsoft.com/office/2007/relationships/hdphoto" Target="../media/hdphoto37.wdp"/><Relationship Id="rId19" Type="http://schemas.openxmlformats.org/officeDocument/2006/relationships/image" Target="../media/image377.png"/><Relationship Id="rId4" Type="http://schemas.openxmlformats.org/officeDocument/2006/relationships/image" Target="../media/image369.png"/><Relationship Id="rId9" Type="http://schemas.openxmlformats.org/officeDocument/2006/relationships/image" Target="../media/image372.png"/><Relationship Id="rId14" Type="http://schemas.microsoft.com/office/2007/relationships/hdphoto" Target="../media/hdphoto39.wdp"/><Relationship Id="rId22" Type="http://schemas.microsoft.com/office/2007/relationships/hdphoto" Target="../media/hdphoto43.wdp"/></Relationships>
</file>

<file path=xl/drawings/_rels/drawing19.xml.rels><?xml version="1.0" encoding="UTF-8" standalone="yes"?>
<Relationships xmlns="http://schemas.openxmlformats.org/package/2006/relationships"><Relationship Id="rId8" Type="http://schemas.openxmlformats.org/officeDocument/2006/relationships/image" Target="../media/image383.png"/><Relationship Id="rId13" Type="http://schemas.microsoft.com/office/2007/relationships/hdphoto" Target="../media/hdphoto49.wdp"/><Relationship Id="rId18" Type="http://schemas.openxmlformats.org/officeDocument/2006/relationships/image" Target="../media/image388.png"/><Relationship Id="rId3" Type="http://schemas.microsoft.com/office/2007/relationships/hdphoto" Target="../media/hdphoto44.wdp"/><Relationship Id="rId21" Type="http://schemas.microsoft.com/office/2007/relationships/hdphoto" Target="../media/hdphoto53.wdp"/><Relationship Id="rId7" Type="http://schemas.microsoft.com/office/2007/relationships/hdphoto" Target="../media/hdphoto46.wdp"/><Relationship Id="rId12" Type="http://schemas.openxmlformats.org/officeDocument/2006/relationships/image" Target="../media/image385.png"/><Relationship Id="rId17" Type="http://schemas.microsoft.com/office/2007/relationships/hdphoto" Target="../media/hdphoto51.wdp"/><Relationship Id="rId2" Type="http://schemas.openxmlformats.org/officeDocument/2006/relationships/image" Target="../media/image380.png"/><Relationship Id="rId16" Type="http://schemas.openxmlformats.org/officeDocument/2006/relationships/image" Target="../media/image387.png"/><Relationship Id="rId20" Type="http://schemas.openxmlformats.org/officeDocument/2006/relationships/image" Target="../media/image389.png"/><Relationship Id="rId1" Type="http://schemas.openxmlformats.org/officeDocument/2006/relationships/image" Target="../media/image173.jpeg"/><Relationship Id="rId6" Type="http://schemas.openxmlformats.org/officeDocument/2006/relationships/image" Target="../media/image382.png"/><Relationship Id="rId11" Type="http://schemas.microsoft.com/office/2007/relationships/hdphoto" Target="../media/hdphoto48.wdp"/><Relationship Id="rId5" Type="http://schemas.microsoft.com/office/2007/relationships/hdphoto" Target="../media/hdphoto45.wdp"/><Relationship Id="rId15" Type="http://schemas.microsoft.com/office/2007/relationships/hdphoto" Target="../media/hdphoto50.wdp"/><Relationship Id="rId10" Type="http://schemas.openxmlformats.org/officeDocument/2006/relationships/image" Target="../media/image384.png"/><Relationship Id="rId19" Type="http://schemas.microsoft.com/office/2007/relationships/hdphoto" Target="../media/hdphoto52.wdp"/><Relationship Id="rId4" Type="http://schemas.openxmlformats.org/officeDocument/2006/relationships/image" Target="../media/image381.png"/><Relationship Id="rId9" Type="http://schemas.microsoft.com/office/2007/relationships/hdphoto" Target="../media/hdphoto47.wdp"/><Relationship Id="rId14" Type="http://schemas.openxmlformats.org/officeDocument/2006/relationships/image" Target="../media/image386.png"/><Relationship Id="rId22" Type="http://schemas.openxmlformats.org/officeDocument/2006/relationships/image" Target="../media/image45.png"/></Relationships>
</file>

<file path=xl/drawings/_rels/drawing2.xml.rels><?xml version="1.0" encoding="UTF-8" standalone="yes"?>
<Relationships xmlns="http://schemas.openxmlformats.org/package/2006/relationships"><Relationship Id="rId13" Type="http://schemas.openxmlformats.org/officeDocument/2006/relationships/image" Target="../media/image20.png"/><Relationship Id="rId18" Type="http://schemas.openxmlformats.org/officeDocument/2006/relationships/image" Target="../media/image25.png"/><Relationship Id="rId26" Type="http://schemas.openxmlformats.org/officeDocument/2006/relationships/image" Target="../media/image33.png"/><Relationship Id="rId39" Type="http://schemas.openxmlformats.org/officeDocument/2006/relationships/image" Target="../media/image44.png"/><Relationship Id="rId21" Type="http://schemas.openxmlformats.org/officeDocument/2006/relationships/image" Target="../media/image28.png"/><Relationship Id="rId34" Type="http://schemas.microsoft.com/office/2007/relationships/hdphoto" Target="../media/hdphoto1.wdp"/><Relationship Id="rId7" Type="http://schemas.openxmlformats.org/officeDocument/2006/relationships/image" Target="../media/image14.png"/><Relationship Id="rId2" Type="http://schemas.openxmlformats.org/officeDocument/2006/relationships/image" Target="../media/image9.png"/><Relationship Id="rId16" Type="http://schemas.openxmlformats.org/officeDocument/2006/relationships/image" Target="../media/image23.png"/><Relationship Id="rId20" Type="http://schemas.openxmlformats.org/officeDocument/2006/relationships/image" Target="../media/image27.png"/><Relationship Id="rId29" Type="http://schemas.openxmlformats.org/officeDocument/2006/relationships/image" Target="../media/image36.png"/><Relationship Id="rId41" Type="http://schemas.openxmlformats.org/officeDocument/2006/relationships/image" Target="../media/image45.png"/><Relationship Id="rId1" Type="http://schemas.openxmlformats.org/officeDocument/2006/relationships/image" Target="../media/image8.jpeg"/><Relationship Id="rId6" Type="http://schemas.openxmlformats.org/officeDocument/2006/relationships/image" Target="../media/image13.png"/><Relationship Id="rId11" Type="http://schemas.openxmlformats.org/officeDocument/2006/relationships/image" Target="../media/image18.png"/><Relationship Id="rId24" Type="http://schemas.openxmlformats.org/officeDocument/2006/relationships/image" Target="../media/image31.png"/><Relationship Id="rId32" Type="http://schemas.openxmlformats.org/officeDocument/2006/relationships/image" Target="../media/image39.png"/><Relationship Id="rId37" Type="http://schemas.openxmlformats.org/officeDocument/2006/relationships/image" Target="../media/image43.png"/><Relationship Id="rId40" Type="http://schemas.microsoft.com/office/2007/relationships/hdphoto" Target="../media/hdphoto3.wdp"/><Relationship Id="rId5" Type="http://schemas.openxmlformats.org/officeDocument/2006/relationships/image" Target="../media/image12.png"/><Relationship Id="rId15" Type="http://schemas.openxmlformats.org/officeDocument/2006/relationships/image" Target="../media/image22.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2.jpeg"/><Relationship Id="rId10" Type="http://schemas.openxmlformats.org/officeDocument/2006/relationships/image" Target="../media/image17.png"/><Relationship Id="rId19" Type="http://schemas.openxmlformats.org/officeDocument/2006/relationships/image" Target="../media/image26.png"/><Relationship Id="rId31" Type="http://schemas.openxmlformats.org/officeDocument/2006/relationships/image" Target="../media/image38.png"/><Relationship Id="rId4" Type="http://schemas.openxmlformats.org/officeDocument/2006/relationships/image" Target="../media/image11.png"/><Relationship Id="rId9" Type="http://schemas.openxmlformats.org/officeDocument/2006/relationships/image" Target="../media/image16.png"/><Relationship Id="rId14" Type="http://schemas.openxmlformats.org/officeDocument/2006/relationships/image" Target="../media/image21.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png"/><Relationship Id="rId35" Type="http://schemas.openxmlformats.org/officeDocument/2006/relationships/image" Target="../media/image41.png"/><Relationship Id="rId8" Type="http://schemas.openxmlformats.org/officeDocument/2006/relationships/image" Target="../media/image15.png"/><Relationship Id="rId3" Type="http://schemas.openxmlformats.org/officeDocument/2006/relationships/image" Target="../media/image10.png"/><Relationship Id="rId12" Type="http://schemas.openxmlformats.org/officeDocument/2006/relationships/image" Target="../media/image19.png"/><Relationship Id="rId17" Type="http://schemas.openxmlformats.org/officeDocument/2006/relationships/image" Target="../media/image24.png"/><Relationship Id="rId25" Type="http://schemas.openxmlformats.org/officeDocument/2006/relationships/image" Target="../media/image32.png"/><Relationship Id="rId33" Type="http://schemas.openxmlformats.org/officeDocument/2006/relationships/image" Target="../media/image40.png"/><Relationship Id="rId38" Type="http://schemas.microsoft.com/office/2007/relationships/hdphoto" Target="../media/hdphoto2.wdp"/></Relationships>
</file>

<file path=xl/drawings/_rels/drawing20.xml.rels><?xml version="1.0" encoding="UTF-8" standalone="yes"?>
<Relationships xmlns="http://schemas.openxmlformats.org/package/2006/relationships"><Relationship Id="rId13" Type="http://schemas.openxmlformats.org/officeDocument/2006/relationships/image" Target="../media/image401.jpeg"/><Relationship Id="rId18" Type="http://schemas.openxmlformats.org/officeDocument/2006/relationships/image" Target="../media/image406.jpeg"/><Relationship Id="rId26" Type="http://schemas.openxmlformats.org/officeDocument/2006/relationships/image" Target="../media/image414.jpeg"/><Relationship Id="rId21" Type="http://schemas.openxmlformats.org/officeDocument/2006/relationships/image" Target="../media/image409.jpeg"/><Relationship Id="rId34" Type="http://schemas.openxmlformats.org/officeDocument/2006/relationships/image" Target="../media/image422.png"/><Relationship Id="rId7" Type="http://schemas.openxmlformats.org/officeDocument/2006/relationships/image" Target="../media/image395.jpeg"/><Relationship Id="rId12" Type="http://schemas.openxmlformats.org/officeDocument/2006/relationships/image" Target="../media/image400.jpeg"/><Relationship Id="rId17" Type="http://schemas.openxmlformats.org/officeDocument/2006/relationships/image" Target="../media/image405.jpeg"/><Relationship Id="rId25" Type="http://schemas.openxmlformats.org/officeDocument/2006/relationships/image" Target="../media/image413.png"/><Relationship Id="rId33" Type="http://schemas.openxmlformats.org/officeDocument/2006/relationships/image" Target="../media/image421.jpeg"/><Relationship Id="rId38" Type="http://schemas.openxmlformats.org/officeDocument/2006/relationships/image" Target="../media/image45.png"/><Relationship Id="rId2" Type="http://schemas.openxmlformats.org/officeDocument/2006/relationships/image" Target="../media/image390.jpeg"/><Relationship Id="rId16" Type="http://schemas.openxmlformats.org/officeDocument/2006/relationships/image" Target="../media/image404.jpeg"/><Relationship Id="rId20" Type="http://schemas.openxmlformats.org/officeDocument/2006/relationships/image" Target="../media/image408.jpeg"/><Relationship Id="rId29" Type="http://schemas.openxmlformats.org/officeDocument/2006/relationships/image" Target="../media/image417.jpeg"/><Relationship Id="rId1" Type="http://schemas.openxmlformats.org/officeDocument/2006/relationships/image" Target="../media/image8.jpeg"/><Relationship Id="rId6" Type="http://schemas.openxmlformats.org/officeDocument/2006/relationships/image" Target="../media/image394.jpeg"/><Relationship Id="rId11" Type="http://schemas.openxmlformats.org/officeDocument/2006/relationships/image" Target="../media/image399.jpeg"/><Relationship Id="rId24" Type="http://schemas.openxmlformats.org/officeDocument/2006/relationships/image" Target="../media/image412.png"/><Relationship Id="rId32" Type="http://schemas.openxmlformats.org/officeDocument/2006/relationships/image" Target="../media/image420.jpeg"/><Relationship Id="rId37" Type="http://schemas.openxmlformats.org/officeDocument/2006/relationships/image" Target="../media/image425.jpeg"/><Relationship Id="rId5" Type="http://schemas.openxmlformats.org/officeDocument/2006/relationships/image" Target="../media/image393.jpeg"/><Relationship Id="rId15" Type="http://schemas.openxmlformats.org/officeDocument/2006/relationships/image" Target="../media/image403.jpeg"/><Relationship Id="rId23" Type="http://schemas.openxmlformats.org/officeDocument/2006/relationships/image" Target="../media/image411.jpeg"/><Relationship Id="rId28" Type="http://schemas.openxmlformats.org/officeDocument/2006/relationships/image" Target="../media/image416.png"/><Relationship Id="rId36" Type="http://schemas.openxmlformats.org/officeDocument/2006/relationships/image" Target="../media/image424.jpeg"/><Relationship Id="rId10" Type="http://schemas.openxmlformats.org/officeDocument/2006/relationships/image" Target="../media/image398.jpeg"/><Relationship Id="rId19" Type="http://schemas.openxmlformats.org/officeDocument/2006/relationships/image" Target="../media/image407.png"/><Relationship Id="rId31" Type="http://schemas.openxmlformats.org/officeDocument/2006/relationships/image" Target="../media/image419.jpeg"/><Relationship Id="rId4" Type="http://schemas.openxmlformats.org/officeDocument/2006/relationships/image" Target="../media/image392.jpeg"/><Relationship Id="rId9" Type="http://schemas.openxmlformats.org/officeDocument/2006/relationships/image" Target="../media/image397.jpeg"/><Relationship Id="rId14" Type="http://schemas.openxmlformats.org/officeDocument/2006/relationships/image" Target="../media/image402.jpeg"/><Relationship Id="rId22" Type="http://schemas.openxmlformats.org/officeDocument/2006/relationships/image" Target="../media/image410.jpeg"/><Relationship Id="rId27" Type="http://schemas.openxmlformats.org/officeDocument/2006/relationships/image" Target="../media/image415.jpeg"/><Relationship Id="rId30" Type="http://schemas.openxmlformats.org/officeDocument/2006/relationships/image" Target="../media/image418.jpeg"/><Relationship Id="rId35" Type="http://schemas.openxmlformats.org/officeDocument/2006/relationships/image" Target="../media/image423.jpeg"/><Relationship Id="rId8" Type="http://schemas.openxmlformats.org/officeDocument/2006/relationships/image" Target="../media/image396.jpeg"/><Relationship Id="rId3" Type="http://schemas.openxmlformats.org/officeDocument/2006/relationships/image" Target="../media/image391.jpeg"/></Relationships>
</file>

<file path=xl/drawings/_rels/drawing21.xml.rels><?xml version="1.0" encoding="UTF-8" standalone="yes"?>
<Relationships xmlns="http://schemas.openxmlformats.org/package/2006/relationships"><Relationship Id="rId3" Type="http://schemas.openxmlformats.org/officeDocument/2006/relationships/image" Target="../media/image427.jpeg"/><Relationship Id="rId2" Type="http://schemas.openxmlformats.org/officeDocument/2006/relationships/image" Target="../media/image426.jpeg"/><Relationship Id="rId1" Type="http://schemas.openxmlformats.org/officeDocument/2006/relationships/image" Target="../media/image173.jpeg"/><Relationship Id="rId4" Type="http://schemas.openxmlformats.org/officeDocument/2006/relationships/image" Target="../media/image45.png"/></Relationships>
</file>

<file path=xl/drawings/_rels/drawing22.xml.rels><?xml version="1.0" encoding="UTF-8" standalone="yes"?>
<Relationships xmlns="http://schemas.openxmlformats.org/package/2006/relationships"><Relationship Id="rId8" Type="http://schemas.openxmlformats.org/officeDocument/2006/relationships/image" Target="../media/image434.jpeg"/><Relationship Id="rId13" Type="http://schemas.openxmlformats.org/officeDocument/2006/relationships/image" Target="../media/image439.jpeg"/><Relationship Id="rId18" Type="http://schemas.openxmlformats.org/officeDocument/2006/relationships/image" Target="../media/image444.jpeg"/><Relationship Id="rId3" Type="http://schemas.openxmlformats.org/officeDocument/2006/relationships/image" Target="../media/image429.jpeg"/><Relationship Id="rId21" Type="http://schemas.openxmlformats.org/officeDocument/2006/relationships/image" Target="../media/image447.jpeg"/><Relationship Id="rId7" Type="http://schemas.openxmlformats.org/officeDocument/2006/relationships/image" Target="../media/image433.jpeg"/><Relationship Id="rId12" Type="http://schemas.openxmlformats.org/officeDocument/2006/relationships/image" Target="../media/image438.jpeg"/><Relationship Id="rId17" Type="http://schemas.openxmlformats.org/officeDocument/2006/relationships/image" Target="../media/image443.jpeg"/><Relationship Id="rId2" Type="http://schemas.openxmlformats.org/officeDocument/2006/relationships/image" Target="../media/image428.jpeg"/><Relationship Id="rId16" Type="http://schemas.openxmlformats.org/officeDocument/2006/relationships/image" Target="../media/image442.jpeg"/><Relationship Id="rId20" Type="http://schemas.openxmlformats.org/officeDocument/2006/relationships/image" Target="../media/image446.jpeg"/><Relationship Id="rId1" Type="http://schemas.openxmlformats.org/officeDocument/2006/relationships/image" Target="../media/image173.jpeg"/><Relationship Id="rId6" Type="http://schemas.openxmlformats.org/officeDocument/2006/relationships/image" Target="../media/image432.jpeg"/><Relationship Id="rId11" Type="http://schemas.openxmlformats.org/officeDocument/2006/relationships/image" Target="../media/image437.jpeg"/><Relationship Id="rId5" Type="http://schemas.openxmlformats.org/officeDocument/2006/relationships/image" Target="../media/image431.jpeg"/><Relationship Id="rId15" Type="http://schemas.openxmlformats.org/officeDocument/2006/relationships/image" Target="../media/image441.jpeg"/><Relationship Id="rId23" Type="http://schemas.openxmlformats.org/officeDocument/2006/relationships/image" Target="../media/image45.png"/><Relationship Id="rId10" Type="http://schemas.openxmlformats.org/officeDocument/2006/relationships/image" Target="../media/image436.jpeg"/><Relationship Id="rId19" Type="http://schemas.openxmlformats.org/officeDocument/2006/relationships/image" Target="../media/image445.jpeg"/><Relationship Id="rId4" Type="http://schemas.openxmlformats.org/officeDocument/2006/relationships/image" Target="../media/image430.jpeg"/><Relationship Id="rId9" Type="http://schemas.openxmlformats.org/officeDocument/2006/relationships/image" Target="../media/image435.jpeg"/><Relationship Id="rId14" Type="http://schemas.openxmlformats.org/officeDocument/2006/relationships/image" Target="../media/image440.jpeg"/><Relationship Id="rId22" Type="http://schemas.openxmlformats.org/officeDocument/2006/relationships/image" Target="../media/image448.jpeg"/></Relationships>
</file>

<file path=xl/drawings/_rels/drawing23.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49.jpeg"/><Relationship Id="rId1" Type="http://schemas.openxmlformats.org/officeDocument/2006/relationships/image" Target="../media/image173.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50.jpeg"/><Relationship Id="rId1" Type="http://schemas.openxmlformats.org/officeDocument/2006/relationships/image" Target="../media/image173.jpeg"/></Relationships>
</file>

<file path=xl/drawings/_rels/drawing25.xml.rels><?xml version="1.0" encoding="UTF-8" standalone="yes"?>
<Relationships xmlns="http://schemas.openxmlformats.org/package/2006/relationships"><Relationship Id="rId3" Type="http://schemas.openxmlformats.org/officeDocument/2006/relationships/image" Target="../media/image451.png"/><Relationship Id="rId2" Type="http://schemas.openxmlformats.org/officeDocument/2006/relationships/image" Target="../media/image45.png"/><Relationship Id="rId1" Type="http://schemas.openxmlformats.org/officeDocument/2006/relationships/image" Target="../media/image167.jpeg"/></Relationships>
</file>

<file path=xl/drawings/_rels/drawing26.xml.rels><?xml version="1.0" encoding="UTF-8" standalone="yes"?>
<Relationships xmlns="http://schemas.openxmlformats.org/package/2006/relationships"><Relationship Id="rId8" Type="http://schemas.openxmlformats.org/officeDocument/2006/relationships/image" Target="../media/image457.png"/><Relationship Id="rId13" Type="http://schemas.openxmlformats.org/officeDocument/2006/relationships/image" Target="../media/image462.png"/><Relationship Id="rId3" Type="http://schemas.openxmlformats.org/officeDocument/2006/relationships/image" Target="../media/image452.png"/><Relationship Id="rId7" Type="http://schemas.openxmlformats.org/officeDocument/2006/relationships/image" Target="../media/image456.png"/><Relationship Id="rId12" Type="http://schemas.openxmlformats.org/officeDocument/2006/relationships/image" Target="../media/image461.png"/><Relationship Id="rId2" Type="http://schemas.openxmlformats.org/officeDocument/2006/relationships/image" Target="../media/image45.png"/><Relationship Id="rId1" Type="http://schemas.openxmlformats.org/officeDocument/2006/relationships/image" Target="../media/image167.jpeg"/><Relationship Id="rId6" Type="http://schemas.openxmlformats.org/officeDocument/2006/relationships/image" Target="../media/image455.png"/><Relationship Id="rId11" Type="http://schemas.openxmlformats.org/officeDocument/2006/relationships/image" Target="../media/image460.png"/><Relationship Id="rId5" Type="http://schemas.openxmlformats.org/officeDocument/2006/relationships/image" Target="../media/image454.png"/><Relationship Id="rId15" Type="http://schemas.openxmlformats.org/officeDocument/2006/relationships/image" Target="../media/image464.png"/><Relationship Id="rId10" Type="http://schemas.openxmlformats.org/officeDocument/2006/relationships/image" Target="../media/image459.png"/><Relationship Id="rId4" Type="http://schemas.openxmlformats.org/officeDocument/2006/relationships/image" Target="../media/image453.png"/><Relationship Id="rId9" Type="http://schemas.openxmlformats.org/officeDocument/2006/relationships/image" Target="../media/image458.png"/><Relationship Id="rId14" Type="http://schemas.openxmlformats.org/officeDocument/2006/relationships/image" Target="../media/image463.png"/></Relationships>
</file>

<file path=xl/drawings/_rels/drawing27.xml.rels><?xml version="1.0" encoding="UTF-8" standalone="yes"?>
<Relationships xmlns="http://schemas.openxmlformats.org/package/2006/relationships"><Relationship Id="rId8" Type="http://schemas.openxmlformats.org/officeDocument/2006/relationships/image" Target="../media/image471.jpeg"/><Relationship Id="rId13" Type="http://schemas.openxmlformats.org/officeDocument/2006/relationships/image" Target="../media/image476.jpeg"/><Relationship Id="rId3" Type="http://schemas.openxmlformats.org/officeDocument/2006/relationships/image" Target="../media/image466.jpeg"/><Relationship Id="rId7" Type="http://schemas.openxmlformats.org/officeDocument/2006/relationships/image" Target="../media/image470.jpeg"/><Relationship Id="rId12" Type="http://schemas.openxmlformats.org/officeDocument/2006/relationships/image" Target="../media/image475.png"/><Relationship Id="rId2" Type="http://schemas.openxmlformats.org/officeDocument/2006/relationships/image" Target="../media/image465.jpeg"/><Relationship Id="rId1" Type="http://schemas.openxmlformats.org/officeDocument/2006/relationships/image" Target="../media/image173.jpeg"/><Relationship Id="rId6" Type="http://schemas.openxmlformats.org/officeDocument/2006/relationships/image" Target="../media/image469.jpeg"/><Relationship Id="rId11" Type="http://schemas.openxmlformats.org/officeDocument/2006/relationships/image" Target="../media/image474.jpeg"/><Relationship Id="rId5" Type="http://schemas.openxmlformats.org/officeDocument/2006/relationships/image" Target="../media/image468.jpeg"/><Relationship Id="rId10" Type="http://schemas.openxmlformats.org/officeDocument/2006/relationships/image" Target="../media/image473.jpeg"/><Relationship Id="rId4" Type="http://schemas.openxmlformats.org/officeDocument/2006/relationships/image" Target="../media/image467.jpeg"/><Relationship Id="rId9" Type="http://schemas.openxmlformats.org/officeDocument/2006/relationships/image" Target="../media/image472.jpeg"/><Relationship Id="rId14" Type="http://schemas.openxmlformats.org/officeDocument/2006/relationships/image" Target="../media/image45.png"/></Relationships>
</file>

<file path=xl/drawings/_rels/drawing28.xml.rels><?xml version="1.0" encoding="UTF-8" standalone="yes"?>
<Relationships xmlns="http://schemas.openxmlformats.org/package/2006/relationships"><Relationship Id="rId3" Type="http://schemas.openxmlformats.org/officeDocument/2006/relationships/image" Target="../media/image478.png"/><Relationship Id="rId2" Type="http://schemas.openxmlformats.org/officeDocument/2006/relationships/image" Target="../media/image477.jpeg"/><Relationship Id="rId1" Type="http://schemas.openxmlformats.org/officeDocument/2006/relationships/image" Target="../media/image173.jpeg"/><Relationship Id="rId5" Type="http://schemas.openxmlformats.org/officeDocument/2006/relationships/image" Target="../media/image479.png"/><Relationship Id="rId4" Type="http://schemas.openxmlformats.org/officeDocument/2006/relationships/image" Target="../media/image45.png"/></Relationships>
</file>

<file path=xl/drawings/_rels/drawing3.xml.rels><?xml version="1.0" encoding="UTF-8" standalone="yes"?>
<Relationships xmlns="http://schemas.openxmlformats.org/package/2006/relationships"><Relationship Id="rId26" Type="http://schemas.openxmlformats.org/officeDocument/2006/relationships/image" Target="../media/image71.png"/><Relationship Id="rId21" Type="http://schemas.openxmlformats.org/officeDocument/2006/relationships/image" Target="../media/image66.png"/><Relationship Id="rId42" Type="http://schemas.openxmlformats.org/officeDocument/2006/relationships/image" Target="../media/image87.png"/><Relationship Id="rId47" Type="http://schemas.openxmlformats.org/officeDocument/2006/relationships/image" Target="../media/image92.jpeg"/><Relationship Id="rId63" Type="http://schemas.openxmlformats.org/officeDocument/2006/relationships/image" Target="../media/image108.png"/><Relationship Id="rId68" Type="http://schemas.openxmlformats.org/officeDocument/2006/relationships/image" Target="../media/image113.png"/><Relationship Id="rId16" Type="http://schemas.openxmlformats.org/officeDocument/2006/relationships/image" Target="../media/image61.png"/><Relationship Id="rId11" Type="http://schemas.openxmlformats.org/officeDocument/2006/relationships/image" Target="../media/image56.png"/><Relationship Id="rId24" Type="http://schemas.openxmlformats.org/officeDocument/2006/relationships/image" Target="../media/image69.png"/><Relationship Id="rId32" Type="http://schemas.openxmlformats.org/officeDocument/2006/relationships/image" Target="../media/image77.png"/><Relationship Id="rId37" Type="http://schemas.openxmlformats.org/officeDocument/2006/relationships/image" Target="../media/image82.png"/><Relationship Id="rId40" Type="http://schemas.openxmlformats.org/officeDocument/2006/relationships/image" Target="../media/image85.png"/><Relationship Id="rId45" Type="http://schemas.openxmlformats.org/officeDocument/2006/relationships/image" Target="../media/image90.jpeg"/><Relationship Id="rId53" Type="http://schemas.openxmlformats.org/officeDocument/2006/relationships/image" Target="../media/image98.jpeg"/><Relationship Id="rId58" Type="http://schemas.openxmlformats.org/officeDocument/2006/relationships/image" Target="../media/image103.jpeg"/><Relationship Id="rId66" Type="http://schemas.openxmlformats.org/officeDocument/2006/relationships/image" Target="../media/image111.png"/><Relationship Id="rId74" Type="http://schemas.openxmlformats.org/officeDocument/2006/relationships/image" Target="../media/image119.jpeg"/><Relationship Id="rId79" Type="http://schemas.openxmlformats.org/officeDocument/2006/relationships/image" Target="../media/image8.jpeg"/><Relationship Id="rId5" Type="http://schemas.openxmlformats.org/officeDocument/2006/relationships/image" Target="../media/image50.png"/><Relationship Id="rId61" Type="http://schemas.openxmlformats.org/officeDocument/2006/relationships/image" Target="../media/image106.jpeg"/><Relationship Id="rId19" Type="http://schemas.openxmlformats.org/officeDocument/2006/relationships/image" Target="../media/image64.png"/><Relationship Id="rId14" Type="http://schemas.openxmlformats.org/officeDocument/2006/relationships/image" Target="../media/image59.png"/><Relationship Id="rId22" Type="http://schemas.openxmlformats.org/officeDocument/2006/relationships/image" Target="../media/image67.png"/><Relationship Id="rId27" Type="http://schemas.openxmlformats.org/officeDocument/2006/relationships/image" Target="../media/image72.png"/><Relationship Id="rId30" Type="http://schemas.openxmlformats.org/officeDocument/2006/relationships/image" Target="../media/image75.png"/><Relationship Id="rId35" Type="http://schemas.openxmlformats.org/officeDocument/2006/relationships/image" Target="../media/image80.png"/><Relationship Id="rId43" Type="http://schemas.openxmlformats.org/officeDocument/2006/relationships/image" Target="../media/image88.png"/><Relationship Id="rId48" Type="http://schemas.openxmlformats.org/officeDocument/2006/relationships/image" Target="../media/image93.jpeg"/><Relationship Id="rId56" Type="http://schemas.openxmlformats.org/officeDocument/2006/relationships/image" Target="../media/image101.jpeg"/><Relationship Id="rId64" Type="http://schemas.openxmlformats.org/officeDocument/2006/relationships/image" Target="../media/image109.jpeg"/><Relationship Id="rId69" Type="http://schemas.openxmlformats.org/officeDocument/2006/relationships/image" Target="../media/image114.jpeg"/><Relationship Id="rId77" Type="http://schemas.openxmlformats.org/officeDocument/2006/relationships/image" Target="../media/image122.jpeg"/><Relationship Id="rId8" Type="http://schemas.openxmlformats.org/officeDocument/2006/relationships/image" Target="../media/image53.png"/><Relationship Id="rId51" Type="http://schemas.openxmlformats.org/officeDocument/2006/relationships/image" Target="../media/image96.jpeg"/><Relationship Id="rId72" Type="http://schemas.openxmlformats.org/officeDocument/2006/relationships/image" Target="../media/image117.jpeg"/><Relationship Id="rId80" Type="http://schemas.openxmlformats.org/officeDocument/2006/relationships/image" Target="../media/image45.png"/><Relationship Id="rId3" Type="http://schemas.openxmlformats.org/officeDocument/2006/relationships/image" Target="../media/image48.png"/><Relationship Id="rId12" Type="http://schemas.openxmlformats.org/officeDocument/2006/relationships/image" Target="../media/image57.jpeg"/><Relationship Id="rId17" Type="http://schemas.openxmlformats.org/officeDocument/2006/relationships/image" Target="../media/image62.png"/><Relationship Id="rId25" Type="http://schemas.openxmlformats.org/officeDocument/2006/relationships/image" Target="../media/image70.png"/><Relationship Id="rId33" Type="http://schemas.openxmlformats.org/officeDocument/2006/relationships/image" Target="../media/image78.png"/><Relationship Id="rId38" Type="http://schemas.openxmlformats.org/officeDocument/2006/relationships/image" Target="../media/image83.png"/><Relationship Id="rId46" Type="http://schemas.openxmlformats.org/officeDocument/2006/relationships/image" Target="../media/image91.jpeg"/><Relationship Id="rId59" Type="http://schemas.openxmlformats.org/officeDocument/2006/relationships/image" Target="../media/image104.png"/><Relationship Id="rId67" Type="http://schemas.openxmlformats.org/officeDocument/2006/relationships/image" Target="../media/image112.jpeg"/><Relationship Id="rId20" Type="http://schemas.openxmlformats.org/officeDocument/2006/relationships/image" Target="../media/image65.png"/><Relationship Id="rId41" Type="http://schemas.openxmlformats.org/officeDocument/2006/relationships/image" Target="../media/image86.png"/><Relationship Id="rId54" Type="http://schemas.openxmlformats.org/officeDocument/2006/relationships/image" Target="../media/image99.jpeg"/><Relationship Id="rId62" Type="http://schemas.openxmlformats.org/officeDocument/2006/relationships/image" Target="../media/image107.jpeg"/><Relationship Id="rId70" Type="http://schemas.openxmlformats.org/officeDocument/2006/relationships/image" Target="../media/image115.jpeg"/><Relationship Id="rId75" Type="http://schemas.openxmlformats.org/officeDocument/2006/relationships/image" Target="../media/image120.png"/><Relationship Id="rId1" Type="http://schemas.openxmlformats.org/officeDocument/2006/relationships/image" Target="../media/image46.png"/><Relationship Id="rId6" Type="http://schemas.openxmlformats.org/officeDocument/2006/relationships/image" Target="../media/image51.png"/><Relationship Id="rId15" Type="http://schemas.openxmlformats.org/officeDocument/2006/relationships/image" Target="../media/image60.png"/><Relationship Id="rId23" Type="http://schemas.openxmlformats.org/officeDocument/2006/relationships/image" Target="../media/image68.png"/><Relationship Id="rId28" Type="http://schemas.openxmlformats.org/officeDocument/2006/relationships/image" Target="../media/image73.tiff"/><Relationship Id="rId36" Type="http://schemas.openxmlformats.org/officeDocument/2006/relationships/image" Target="../media/image81.png"/><Relationship Id="rId49" Type="http://schemas.openxmlformats.org/officeDocument/2006/relationships/image" Target="../media/image94.jpeg"/><Relationship Id="rId57" Type="http://schemas.openxmlformats.org/officeDocument/2006/relationships/image" Target="../media/image102.jpeg"/><Relationship Id="rId10" Type="http://schemas.openxmlformats.org/officeDocument/2006/relationships/image" Target="../media/image55.png"/><Relationship Id="rId31" Type="http://schemas.openxmlformats.org/officeDocument/2006/relationships/image" Target="../media/image76.png"/><Relationship Id="rId44" Type="http://schemas.openxmlformats.org/officeDocument/2006/relationships/image" Target="../media/image89.png"/><Relationship Id="rId52" Type="http://schemas.openxmlformats.org/officeDocument/2006/relationships/image" Target="../media/image97.jpeg"/><Relationship Id="rId60" Type="http://schemas.openxmlformats.org/officeDocument/2006/relationships/image" Target="../media/image105.png"/><Relationship Id="rId65" Type="http://schemas.openxmlformats.org/officeDocument/2006/relationships/image" Target="../media/image110.jpeg"/><Relationship Id="rId73" Type="http://schemas.openxmlformats.org/officeDocument/2006/relationships/image" Target="../media/image118.jpeg"/><Relationship Id="rId78" Type="http://schemas.openxmlformats.org/officeDocument/2006/relationships/image" Target="../media/image123.jpeg"/><Relationship Id="rId4" Type="http://schemas.openxmlformats.org/officeDocument/2006/relationships/image" Target="../media/image49.png"/><Relationship Id="rId9" Type="http://schemas.openxmlformats.org/officeDocument/2006/relationships/image" Target="../media/image54.png"/><Relationship Id="rId13" Type="http://schemas.openxmlformats.org/officeDocument/2006/relationships/image" Target="../media/image58.png"/><Relationship Id="rId18" Type="http://schemas.openxmlformats.org/officeDocument/2006/relationships/image" Target="../media/image63.png"/><Relationship Id="rId39" Type="http://schemas.openxmlformats.org/officeDocument/2006/relationships/image" Target="../media/image84.png"/><Relationship Id="rId34" Type="http://schemas.openxmlformats.org/officeDocument/2006/relationships/image" Target="../media/image79.png"/><Relationship Id="rId50" Type="http://schemas.openxmlformats.org/officeDocument/2006/relationships/image" Target="../media/image95.jpeg"/><Relationship Id="rId55" Type="http://schemas.openxmlformats.org/officeDocument/2006/relationships/image" Target="../media/image100.jpeg"/><Relationship Id="rId76" Type="http://schemas.openxmlformats.org/officeDocument/2006/relationships/image" Target="../media/image121.png"/><Relationship Id="rId7" Type="http://schemas.openxmlformats.org/officeDocument/2006/relationships/image" Target="../media/image52.png"/><Relationship Id="rId71" Type="http://schemas.openxmlformats.org/officeDocument/2006/relationships/image" Target="../media/image116.jpeg"/><Relationship Id="rId2" Type="http://schemas.openxmlformats.org/officeDocument/2006/relationships/image" Target="../media/image47.png"/><Relationship Id="rId29" Type="http://schemas.openxmlformats.org/officeDocument/2006/relationships/image" Target="../media/image74.png"/></Relationships>
</file>

<file path=xl/drawings/_rels/drawing30.x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167.jpeg"/></Relationships>
</file>

<file path=xl/drawings/_rels/drawing4.xml.rels><?xml version="1.0" encoding="UTF-8" standalone="yes"?>
<Relationships xmlns="http://schemas.openxmlformats.org/package/2006/relationships"><Relationship Id="rId13" Type="http://schemas.openxmlformats.org/officeDocument/2006/relationships/image" Target="../media/image136.png"/><Relationship Id="rId18" Type="http://schemas.openxmlformats.org/officeDocument/2006/relationships/image" Target="../media/image141.png"/><Relationship Id="rId26" Type="http://schemas.openxmlformats.org/officeDocument/2006/relationships/image" Target="../media/image149.png"/><Relationship Id="rId39" Type="http://schemas.openxmlformats.org/officeDocument/2006/relationships/image" Target="../media/image162.jpeg"/><Relationship Id="rId21" Type="http://schemas.openxmlformats.org/officeDocument/2006/relationships/image" Target="../media/image144.png"/><Relationship Id="rId34" Type="http://schemas.openxmlformats.org/officeDocument/2006/relationships/image" Target="../media/image157.png"/><Relationship Id="rId42" Type="http://schemas.openxmlformats.org/officeDocument/2006/relationships/image" Target="../media/image165.png"/><Relationship Id="rId47" Type="http://schemas.openxmlformats.org/officeDocument/2006/relationships/image" Target="../media/image170.png"/><Relationship Id="rId7" Type="http://schemas.openxmlformats.org/officeDocument/2006/relationships/image" Target="../media/image130.png"/><Relationship Id="rId2" Type="http://schemas.openxmlformats.org/officeDocument/2006/relationships/image" Target="../media/image125.jpeg"/><Relationship Id="rId16" Type="http://schemas.openxmlformats.org/officeDocument/2006/relationships/image" Target="../media/image139.png"/><Relationship Id="rId29" Type="http://schemas.openxmlformats.org/officeDocument/2006/relationships/image" Target="../media/image152.png"/><Relationship Id="rId11" Type="http://schemas.openxmlformats.org/officeDocument/2006/relationships/image" Target="../media/image134.png"/><Relationship Id="rId24" Type="http://schemas.openxmlformats.org/officeDocument/2006/relationships/image" Target="../media/image147.png"/><Relationship Id="rId32" Type="http://schemas.openxmlformats.org/officeDocument/2006/relationships/image" Target="../media/image155.png"/><Relationship Id="rId37" Type="http://schemas.openxmlformats.org/officeDocument/2006/relationships/image" Target="../media/image160.png"/><Relationship Id="rId40" Type="http://schemas.openxmlformats.org/officeDocument/2006/relationships/image" Target="../media/image163.jpeg"/><Relationship Id="rId45" Type="http://schemas.openxmlformats.org/officeDocument/2006/relationships/image" Target="../media/image168.jpeg"/><Relationship Id="rId5" Type="http://schemas.openxmlformats.org/officeDocument/2006/relationships/image" Target="../media/image128.jpeg"/><Relationship Id="rId15" Type="http://schemas.openxmlformats.org/officeDocument/2006/relationships/image" Target="../media/image138.png"/><Relationship Id="rId23" Type="http://schemas.openxmlformats.org/officeDocument/2006/relationships/image" Target="../media/image146.png"/><Relationship Id="rId28" Type="http://schemas.openxmlformats.org/officeDocument/2006/relationships/image" Target="../media/image151.png"/><Relationship Id="rId36" Type="http://schemas.openxmlformats.org/officeDocument/2006/relationships/image" Target="../media/image159.png"/><Relationship Id="rId49" Type="http://schemas.openxmlformats.org/officeDocument/2006/relationships/image" Target="../media/image45.png"/><Relationship Id="rId10" Type="http://schemas.openxmlformats.org/officeDocument/2006/relationships/image" Target="../media/image133.png"/><Relationship Id="rId19" Type="http://schemas.openxmlformats.org/officeDocument/2006/relationships/image" Target="../media/image142.png"/><Relationship Id="rId31" Type="http://schemas.openxmlformats.org/officeDocument/2006/relationships/image" Target="../media/image154.png"/><Relationship Id="rId44" Type="http://schemas.openxmlformats.org/officeDocument/2006/relationships/image" Target="../media/image167.jpeg"/><Relationship Id="rId4" Type="http://schemas.openxmlformats.org/officeDocument/2006/relationships/image" Target="../media/image127.png"/><Relationship Id="rId9" Type="http://schemas.openxmlformats.org/officeDocument/2006/relationships/image" Target="../media/image132.jpeg"/><Relationship Id="rId14" Type="http://schemas.openxmlformats.org/officeDocument/2006/relationships/image" Target="../media/image137.png"/><Relationship Id="rId22" Type="http://schemas.openxmlformats.org/officeDocument/2006/relationships/image" Target="../media/image145.png"/><Relationship Id="rId27" Type="http://schemas.openxmlformats.org/officeDocument/2006/relationships/image" Target="../media/image150.png"/><Relationship Id="rId30" Type="http://schemas.openxmlformats.org/officeDocument/2006/relationships/image" Target="../media/image153.png"/><Relationship Id="rId35" Type="http://schemas.openxmlformats.org/officeDocument/2006/relationships/image" Target="../media/image158.png"/><Relationship Id="rId43" Type="http://schemas.openxmlformats.org/officeDocument/2006/relationships/image" Target="../media/image166.png"/><Relationship Id="rId48" Type="http://schemas.openxmlformats.org/officeDocument/2006/relationships/image" Target="../media/image171.png"/><Relationship Id="rId8" Type="http://schemas.openxmlformats.org/officeDocument/2006/relationships/image" Target="../media/image131.jpeg"/><Relationship Id="rId3" Type="http://schemas.openxmlformats.org/officeDocument/2006/relationships/image" Target="../media/image126.jpeg"/><Relationship Id="rId12" Type="http://schemas.openxmlformats.org/officeDocument/2006/relationships/image" Target="../media/image135.png"/><Relationship Id="rId17" Type="http://schemas.openxmlformats.org/officeDocument/2006/relationships/image" Target="../media/image140.png"/><Relationship Id="rId25" Type="http://schemas.openxmlformats.org/officeDocument/2006/relationships/image" Target="../media/image148.png"/><Relationship Id="rId33" Type="http://schemas.openxmlformats.org/officeDocument/2006/relationships/image" Target="../media/image156.png"/><Relationship Id="rId38" Type="http://schemas.openxmlformats.org/officeDocument/2006/relationships/image" Target="../media/image161.png"/><Relationship Id="rId46" Type="http://schemas.openxmlformats.org/officeDocument/2006/relationships/image" Target="../media/image169.jpeg"/><Relationship Id="rId20" Type="http://schemas.openxmlformats.org/officeDocument/2006/relationships/image" Target="../media/image143.png"/><Relationship Id="rId41" Type="http://schemas.openxmlformats.org/officeDocument/2006/relationships/image" Target="../media/image164.png"/><Relationship Id="rId1" Type="http://schemas.openxmlformats.org/officeDocument/2006/relationships/image" Target="../media/image124.png"/><Relationship Id="rId6" Type="http://schemas.openxmlformats.org/officeDocument/2006/relationships/image" Target="../media/image129.png"/></Relationships>
</file>

<file path=xl/drawings/_rels/drawing5.xml.rels><?xml version="1.0" encoding="UTF-8" standalone="yes"?>
<Relationships xmlns="http://schemas.openxmlformats.org/package/2006/relationships"><Relationship Id="rId8" Type="http://schemas.openxmlformats.org/officeDocument/2006/relationships/image" Target="../media/image45.png"/><Relationship Id="rId3" Type="http://schemas.openxmlformats.org/officeDocument/2006/relationships/image" Target="../media/image129.png"/><Relationship Id="rId7" Type="http://schemas.openxmlformats.org/officeDocument/2006/relationships/image" Target="../media/image167.jpeg"/><Relationship Id="rId2" Type="http://schemas.openxmlformats.org/officeDocument/2006/relationships/image" Target="../media/image127.png"/><Relationship Id="rId1" Type="http://schemas.openxmlformats.org/officeDocument/2006/relationships/image" Target="../media/image124.png"/><Relationship Id="rId6" Type="http://schemas.openxmlformats.org/officeDocument/2006/relationships/image" Target="../media/image134.png"/><Relationship Id="rId5" Type="http://schemas.openxmlformats.org/officeDocument/2006/relationships/image" Target="../media/image133.png"/><Relationship Id="rId4" Type="http://schemas.openxmlformats.org/officeDocument/2006/relationships/image" Target="../media/image130.png"/></Relationships>
</file>

<file path=xl/drawings/_rels/drawing6.x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167.jpeg"/></Relationships>
</file>

<file path=xl/drawings/_rels/drawing7.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172.png"/><Relationship Id="rId1" Type="http://schemas.openxmlformats.org/officeDocument/2006/relationships/image" Target="../media/image167.jpeg"/></Relationships>
</file>

<file path=xl/drawings/_rels/drawing8.xml.rels><?xml version="1.0" encoding="UTF-8" standalone="yes"?>
<Relationships xmlns="http://schemas.openxmlformats.org/package/2006/relationships"><Relationship Id="rId8" Type="http://schemas.openxmlformats.org/officeDocument/2006/relationships/image" Target="../media/image180.png"/><Relationship Id="rId13" Type="http://schemas.openxmlformats.org/officeDocument/2006/relationships/image" Target="../media/image185.png"/><Relationship Id="rId18" Type="http://schemas.openxmlformats.org/officeDocument/2006/relationships/image" Target="../media/image189.png"/><Relationship Id="rId26" Type="http://schemas.openxmlformats.org/officeDocument/2006/relationships/image" Target="../media/image197.png"/><Relationship Id="rId3" Type="http://schemas.openxmlformats.org/officeDocument/2006/relationships/image" Target="../media/image175.png"/><Relationship Id="rId21" Type="http://schemas.openxmlformats.org/officeDocument/2006/relationships/image" Target="../media/image192.png"/><Relationship Id="rId7" Type="http://schemas.openxmlformats.org/officeDocument/2006/relationships/image" Target="../media/image179.png"/><Relationship Id="rId12" Type="http://schemas.openxmlformats.org/officeDocument/2006/relationships/image" Target="../media/image184.png"/><Relationship Id="rId17" Type="http://schemas.openxmlformats.org/officeDocument/2006/relationships/image" Target="../media/image188.png"/><Relationship Id="rId25" Type="http://schemas.openxmlformats.org/officeDocument/2006/relationships/image" Target="../media/image196.png"/><Relationship Id="rId2" Type="http://schemas.openxmlformats.org/officeDocument/2006/relationships/image" Target="../media/image174.png"/><Relationship Id="rId16" Type="http://schemas.openxmlformats.org/officeDocument/2006/relationships/image" Target="../media/image187.png"/><Relationship Id="rId20" Type="http://schemas.openxmlformats.org/officeDocument/2006/relationships/image" Target="../media/image191.png"/><Relationship Id="rId29" Type="http://schemas.openxmlformats.org/officeDocument/2006/relationships/image" Target="../media/image200.png"/><Relationship Id="rId1" Type="http://schemas.openxmlformats.org/officeDocument/2006/relationships/image" Target="../media/image173.jpeg"/><Relationship Id="rId6" Type="http://schemas.openxmlformats.org/officeDocument/2006/relationships/image" Target="../media/image178.png"/><Relationship Id="rId11" Type="http://schemas.openxmlformats.org/officeDocument/2006/relationships/image" Target="../media/image183.png"/><Relationship Id="rId24" Type="http://schemas.openxmlformats.org/officeDocument/2006/relationships/image" Target="../media/image195.png"/><Relationship Id="rId5" Type="http://schemas.openxmlformats.org/officeDocument/2006/relationships/image" Target="../media/image177.png"/><Relationship Id="rId15" Type="http://schemas.microsoft.com/office/2007/relationships/hdphoto" Target="../media/hdphoto4.wdp"/><Relationship Id="rId23" Type="http://schemas.openxmlformats.org/officeDocument/2006/relationships/image" Target="../media/image194.png"/><Relationship Id="rId28" Type="http://schemas.openxmlformats.org/officeDocument/2006/relationships/image" Target="../media/image199.png"/><Relationship Id="rId10" Type="http://schemas.openxmlformats.org/officeDocument/2006/relationships/image" Target="../media/image182.png"/><Relationship Id="rId19" Type="http://schemas.openxmlformats.org/officeDocument/2006/relationships/image" Target="../media/image190.png"/><Relationship Id="rId4" Type="http://schemas.openxmlformats.org/officeDocument/2006/relationships/image" Target="../media/image176.png"/><Relationship Id="rId9" Type="http://schemas.openxmlformats.org/officeDocument/2006/relationships/image" Target="../media/image181.png"/><Relationship Id="rId14" Type="http://schemas.openxmlformats.org/officeDocument/2006/relationships/image" Target="../media/image186.png"/><Relationship Id="rId22" Type="http://schemas.openxmlformats.org/officeDocument/2006/relationships/image" Target="../media/image193.png"/><Relationship Id="rId27" Type="http://schemas.openxmlformats.org/officeDocument/2006/relationships/image" Target="../media/image198.png"/><Relationship Id="rId30" Type="http://schemas.openxmlformats.org/officeDocument/2006/relationships/image" Target="../media/image45.png"/></Relationships>
</file>

<file path=xl/drawings/_rels/drawing9.xml.rels><?xml version="1.0" encoding="UTF-8" standalone="yes"?>
<Relationships xmlns="http://schemas.openxmlformats.org/package/2006/relationships"><Relationship Id="rId3" Type="http://schemas.openxmlformats.org/officeDocument/2006/relationships/image" Target="../media/image202.png"/><Relationship Id="rId2" Type="http://schemas.openxmlformats.org/officeDocument/2006/relationships/image" Target="../media/image201.png"/><Relationship Id="rId1" Type="http://schemas.openxmlformats.org/officeDocument/2006/relationships/image" Target="../media/image173.jpeg"/><Relationship Id="rId6" Type="http://schemas.openxmlformats.org/officeDocument/2006/relationships/image" Target="../media/image45.png"/><Relationship Id="rId5" Type="http://schemas.openxmlformats.org/officeDocument/2006/relationships/image" Target="../media/image204.png"/><Relationship Id="rId4" Type="http://schemas.openxmlformats.org/officeDocument/2006/relationships/image" Target="../media/image20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80.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274320</xdr:colOff>
          <xdr:row>58</xdr:row>
          <xdr:rowOff>7620</xdr:rowOff>
        </xdr:from>
        <xdr:to>
          <xdr:col>12</xdr:col>
          <xdr:colOff>236220</xdr:colOff>
          <xdr:row>65</xdr:row>
          <xdr:rowOff>7620</xdr:rowOff>
        </xdr:to>
        <xdr:sp macro="" textlink="">
          <xdr:nvSpPr>
            <xdr:cNvPr id="24605" name="Object 29" hidden="1">
              <a:extLst>
                <a:ext uri="{63B3BB69-23CF-44E3-9099-C40C66FF867C}">
                  <a14:compatExt spid="_x0000_s24605"/>
                </a:ext>
                <a:ext uri="{FF2B5EF4-FFF2-40B4-BE49-F238E27FC236}">
                  <a16:creationId xmlns:a16="http://schemas.microsoft.com/office/drawing/2014/main" id="{00000000-0008-0000-0000-00001D6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0</xdr:row>
          <xdr:rowOff>137160</xdr:rowOff>
        </xdr:from>
        <xdr:to>
          <xdr:col>12</xdr:col>
          <xdr:colOff>45720</xdr:colOff>
          <xdr:row>59</xdr:row>
          <xdr:rowOff>160020</xdr:rowOff>
        </xdr:to>
        <xdr:sp macro="" textlink="">
          <xdr:nvSpPr>
            <xdr:cNvPr id="24608" name="Object 32" hidden="1">
              <a:extLst>
                <a:ext uri="{63B3BB69-23CF-44E3-9099-C40C66FF867C}">
                  <a14:compatExt spid="_x0000_s24608"/>
                </a:ext>
                <a:ext uri="{FF2B5EF4-FFF2-40B4-BE49-F238E27FC236}">
                  <a16:creationId xmlns:a16="http://schemas.microsoft.com/office/drawing/2014/main" id="{00000000-0008-0000-0000-0000206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10</xdr:col>
      <xdr:colOff>323850</xdr:colOff>
      <xdr:row>2</xdr:row>
      <xdr:rowOff>123825</xdr:rowOff>
    </xdr:from>
    <xdr:to>
      <xdr:col>10</xdr:col>
      <xdr:colOff>323850</xdr:colOff>
      <xdr:row>5</xdr:row>
      <xdr:rowOff>142875</xdr:rowOff>
    </xdr:to>
    <xdr:cxnSp macro="">
      <xdr:nvCxnSpPr>
        <xdr:cNvPr id="5" name="Straight Arrow Connector 4">
          <a:extLst>
            <a:ext uri="{FF2B5EF4-FFF2-40B4-BE49-F238E27FC236}">
              <a16:creationId xmlns:a16="http://schemas.microsoft.com/office/drawing/2014/main" id="{00000000-0008-0000-0A00-000005000000}"/>
            </a:ext>
          </a:extLst>
        </xdr:cNvPr>
        <xdr:cNvCxnSpPr/>
      </xdr:nvCxnSpPr>
      <xdr:spPr>
        <a:xfrm>
          <a:off x="8448675" y="552450"/>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66675</xdr:colOff>
      <xdr:row>1</xdr:row>
      <xdr:rowOff>19050</xdr:rowOff>
    </xdr:from>
    <xdr:to>
      <xdr:col>13</xdr:col>
      <xdr:colOff>135255</xdr:colOff>
      <xdr:row>5</xdr:row>
      <xdr:rowOff>40959</xdr:rowOff>
    </xdr:to>
    <xdr:pic>
      <xdr:nvPicPr>
        <xdr:cNvPr id="6" name="Picture 42">
          <a:extLst>
            <a:ext uri="{FF2B5EF4-FFF2-40B4-BE49-F238E27FC236}">
              <a16:creationId xmlns:a16="http://schemas.microsoft.com/office/drawing/2014/main" id="{00000000-0008-0000-0A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903" t="10485" r="9678" b="10483"/>
        <a:stretch/>
      </xdr:blipFill>
      <xdr:spPr bwMode="auto">
        <a:xfrm>
          <a:off x="9763125" y="257175"/>
          <a:ext cx="777240" cy="793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114301</xdr:colOff>
      <xdr:row>7</xdr:row>
      <xdr:rowOff>28575</xdr:rowOff>
    </xdr:from>
    <xdr:to>
      <xdr:col>2</xdr:col>
      <xdr:colOff>476251</xdr:colOff>
      <xdr:row>9</xdr:row>
      <xdr:rowOff>168604</xdr:rowOff>
    </xdr:to>
    <xdr:pic>
      <xdr:nvPicPr>
        <xdr:cNvPr id="4" name="Imagem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a:stretch>
          <a:fillRect/>
        </a:stretch>
      </xdr:blipFill>
      <xdr:spPr>
        <a:xfrm>
          <a:off x="266701" y="1685925"/>
          <a:ext cx="933450" cy="517219"/>
        </a:xfrm>
        <a:prstGeom prst="rect">
          <a:avLst/>
        </a:prstGeom>
      </xdr:spPr>
    </xdr:pic>
    <xdr:clientData/>
  </xdr:twoCellAnchor>
  <xdr:twoCellAnchor editAs="oneCell">
    <xdr:from>
      <xdr:col>1</xdr:col>
      <xdr:colOff>152401</xdr:colOff>
      <xdr:row>10</xdr:row>
      <xdr:rowOff>123825</xdr:rowOff>
    </xdr:from>
    <xdr:to>
      <xdr:col>2</xdr:col>
      <xdr:colOff>438637</xdr:colOff>
      <xdr:row>13</xdr:row>
      <xdr:rowOff>95250</xdr:rowOff>
    </xdr:to>
    <xdr:pic>
      <xdr:nvPicPr>
        <xdr:cNvPr id="8" name="Imagem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3"/>
        <a:stretch>
          <a:fillRect/>
        </a:stretch>
      </xdr:blipFill>
      <xdr:spPr>
        <a:xfrm>
          <a:off x="238126" y="2924175"/>
          <a:ext cx="853926" cy="533400"/>
        </a:xfrm>
        <a:prstGeom prst="rect">
          <a:avLst/>
        </a:prstGeom>
      </xdr:spPr>
    </xdr:pic>
    <xdr:clientData/>
  </xdr:twoCellAnchor>
  <xdr:twoCellAnchor editAs="oneCell">
    <xdr:from>
      <xdr:col>1</xdr:col>
      <xdr:colOff>66675</xdr:colOff>
      <xdr:row>14</xdr:row>
      <xdr:rowOff>85725</xdr:rowOff>
    </xdr:from>
    <xdr:to>
      <xdr:col>2</xdr:col>
      <xdr:colOff>534253</xdr:colOff>
      <xdr:row>15</xdr:row>
      <xdr:rowOff>266700</xdr:rowOff>
    </xdr:to>
    <xdr:pic>
      <xdr:nvPicPr>
        <xdr:cNvPr id="9" name="Imagem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4"/>
        <a:stretch>
          <a:fillRect/>
        </a:stretch>
      </xdr:blipFill>
      <xdr:spPr>
        <a:xfrm>
          <a:off x="219075" y="3076575"/>
          <a:ext cx="1048603" cy="514350"/>
        </a:xfrm>
        <a:prstGeom prst="rect">
          <a:avLst/>
        </a:prstGeom>
      </xdr:spPr>
    </xdr:pic>
    <xdr:clientData/>
  </xdr:twoCellAnchor>
  <xdr:twoCellAnchor editAs="oneCell">
    <xdr:from>
      <xdr:col>1</xdr:col>
      <xdr:colOff>0</xdr:colOff>
      <xdr:row>1</xdr:row>
      <xdr:rowOff>0</xdr:rowOff>
    </xdr:from>
    <xdr:to>
      <xdr:col>4</xdr:col>
      <xdr:colOff>514035</xdr:colOff>
      <xdr:row>5</xdr:row>
      <xdr:rowOff>16792</xdr:rowOff>
    </xdr:to>
    <xdr:pic>
      <xdr:nvPicPr>
        <xdr:cNvPr id="10" name="Picture 1">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5"/>
        <a:stretch>
          <a:fillRect/>
        </a:stretch>
      </xdr:blipFill>
      <xdr:spPr>
        <a:xfrm rot="5400000">
          <a:off x="1044911" y="-625811"/>
          <a:ext cx="792127" cy="252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360046</xdr:colOff>
      <xdr:row>8</xdr:row>
      <xdr:rowOff>169545</xdr:rowOff>
    </xdr:from>
    <xdr:to>
      <xdr:col>2</xdr:col>
      <xdr:colOff>322418</xdr:colOff>
      <xdr:row>13</xdr:row>
      <xdr:rowOff>53340</xdr:rowOff>
    </xdr:to>
    <xdr:pic>
      <xdr:nvPicPr>
        <xdr:cNvPr id="4" name="Picture 13" descr="401-005NEW.tif">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1496" y="1826895"/>
          <a:ext cx="543397"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238125</xdr:colOff>
      <xdr:row>15</xdr:row>
      <xdr:rowOff>24765</xdr:rowOff>
    </xdr:from>
    <xdr:to>
      <xdr:col>2</xdr:col>
      <xdr:colOff>247651</xdr:colOff>
      <xdr:row>19</xdr:row>
      <xdr:rowOff>171942</xdr:rowOff>
    </xdr:to>
    <xdr:pic>
      <xdr:nvPicPr>
        <xdr:cNvPr id="5" name="Picture 14" descr="401-101NEW.tif">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0" y="3501390"/>
          <a:ext cx="611506" cy="880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421005</xdr:colOff>
      <xdr:row>24</xdr:row>
      <xdr:rowOff>135256</xdr:rowOff>
    </xdr:from>
    <xdr:to>
      <xdr:col>2</xdr:col>
      <xdr:colOff>284408</xdr:colOff>
      <xdr:row>26</xdr:row>
      <xdr:rowOff>173355</xdr:rowOff>
    </xdr:to>
    <xdr:pic>
      <xdr:nvPicPr>
        <xdr:cNvPr id="6" name="Picture 16" descr="03 ELBOW406.tif">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3880" y="5173981"/>
          <a:ext cx="474908" cy="415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468631</xdr:colOff>
      <xdr:row>34</xdr:row>
      <xdr:rowOff>139065</xdr:rowOff>
    </xdr:from>
    <xdr:to>
      <xdr:col>2</xdr:col>
      <xdr:colOff>244737</xdr:colOff>
      <xdr:row>37</xdr:row>
      <xdr:rowOff>76199</xdr:rowOff>
    </xdr:to>
    <xdr:pic>
      <xdr:nvPicPr>
        <xdr:cNvPr id="7" name="Picture 18" descr="05 ELBOW417.tif">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1506" y="6130290"/>
          <a:ext cx="359036"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320040</xdr:colOff>
      <xdr:row>42</xdr:row>
      <xdr:rowOff>167641</xdr:rowOff>
    </xdr:from>
    <xdr:to>
      <xdr:col>2</xdr:col>
      <xdr:colOff>396240</xdr:colOff>
      <xdr:row>46</xdr:row>
      <xdr:rowOff>170392</xdr:rowOff>
    </xdr:to>
    <xdr:pic>
      <xdr:nvPicPr>
        <xdr:cNvPr id="8" name="Picture 19" descr="06 COUPLING429.tif">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62915" y="7682866"/>
          <a:ext cx="661035" cy="722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209550</xdr:colOff>
      <xdr:row>75</xdr:row>
      <xdr:rowOff>15240</xdr:rowOff>
    </xdr:from>
    <xdr:to>
      <xdr:col>2</xdr:col>
      <xdr:colOff>473127</xdr:colOff>
      <xdr:row>79</xdr:row>
      <xdr:rowOff>76200</xdr:rowOff>
    </xdr:to>
    <xdr:pic>
      <xdr:nvPicPr>
        <xdr:cNvPr id="11" name="Picture 22" descr="09 REDUCBUSHSLIP.tif">
          <a:extLst>
            <a:ext uri="{FF2B5EF4-FFF2-40B4-BE49-F238E27FC236}">
              <a16:creationId xmlns:a16="http://schemas.microsoft.com/office/drawing/2014/main" id="{00000000-0008-0000-0B00-00000B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52425" y="12102465"/>
          <a:ext cx="848412"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472440</xdr:colOff>
      <xdr:row>86</xdr:row>
      <xdr:rowOff>125730</xdr:rowOff>
    </xdr:from>
    <xdr:to>
      <xdr:col>2</xdr:col>
      <xdr:colOff>281940</xdr:colOff>
      <xdr:row>89</xdr:row>
      <xdr:rowOff>19594</xdr:rowOff>
    </xdr:to>
    <xdr:pic>
      <xdr:nvPicPr>
        <xdr:cNvPr id="12" name="Picture 24" descr="SCH40CapNEW.tif">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15315" y="14117955"/>
          <a:ext cx="403860" cy="436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323850</xdr:colOff>
      <xdr:row>2</xdr:row>
      <xdr:rowOff>123825</xdr:rowOff>
    </xdr:from>
    <xdr:to>
      <xdr:col>10</xdr:col>
      <xdr:colOff>323850</xdr:colOff>
      <xdr:row>5</xdr:row>
      <xdr:rowOff>142875</xdr:rowOff>
    </xdr:to>
    <xdr:cxnSp macro="">
      <xdr:nvCxnSpPr>
        <xdr:cNvPr id="14" name="Straight Arrow Connector 13">
          <a:extLst>
            <a:ext uri="{FF2B5EF4-FFF2-40B4-BE49-F238E27FC236}">
              <a16:creationId xmlns:a16="http://schemas.microsoft.com/office/drawing/2014/main" id="{00000000-0008-0000-0B00-00000E000000}"/>
            </a:ext>
          </a:extLst>
        </xdr:cNvPr>
        <xdr:cNvCxnSpPr/>
      </xdr:nvCxnSpPr>
      <xdr:spPr>
        <a:xfrm>
          <a:off x="8058150" y="552450"/>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28575</xdr:colOff>
      <xdr:row>1</xdr:row>
      <xdr:rowOff>19050</xdr:rowOff>
    </xdr:from>
    <xdr:to>
      <xdr:col>12</xdr:col>
      <xdr:colOff>815340</xdr:colOff>
      <xdr:row>5</xdr:row>
      <xdr:rowOff>40959</xdr:rowOff>
    </xdr:to>
    <xdr:pic>
      <xdr:nvPicPr>
        <xdr:cNvPr id="15" name="Picture 42">
          <a:extLst>
            <a:ext uri="{FF2B5EF4-FFF2-40B4-BE49-F238E27FC236}">
              <a16:creationId xmlns:a16="http://schemas.microsoft.com/office/drawing/2014/main" id="{00000000-0008-0000-0B00-00000F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2903" t="10485" r="9678" b="10483"/>
        <a:stretch/>
      </xdr:blipFill>
      <xdr:spPr bwMode="auto">
        <a:xfrm>
          <a:off x="9772650" y="257175"/>
          <a:ext cx="777240" cy="793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419101</xdr:colOff>
      <xdr:row>29</xdr:row>
      <xdr:rowOff>66675</xdr:rowOff>
    </xdr:from>
    <xdr:to>
      <xdr:col>2</xdr:col>
      <xdr:colOff>320040</xdr:colOff>
      <xdr:row>31</xdr:row>
      <xdr:rowOff>95339</xdr:rowOff>
    </xdr:to>
    <xdr:pic>
      <xdr:nvPicPr>
        <xdr:cNvPr id="37" name="Picture 3">
          <a:extLst>
            <a:ext uri="{FF2B5EF4-FFF2-40B4-BE49-F238E27FC236}">
              <a16:creationId xmlns:a16="http://schemas.microsoft.com/office/drawing/2014/main" id="{00000000-0008-0000-0B00-000025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5400000">
          <a:off x="605746" y="5252130"/>
          <a:ext cx="396329" cy="4838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295275</xdr:colOff>
      <xdr:row>93</xdr:row>
      <xdr:rowOff>19050</xdr:rowOff>
    </xdr:from>
    <xdr:to>
      <xdr:col>2</xdr:col>
      <xdr:colOff>325755</xdr:colOff>
      <xdr:row>96</xdr:row>
      <xdr:rowOff>172304</xdr:rowOff>
    </xdr:to>
    <xdr:pic>
      <xdr:nvPicPr>
        <xdr:cNvPr id="42" name="Picture 5">
          <a:extLst>
            <a:ext uri="{FF2B5EF4-FFF2-40B4-BE49-F238E27FC236}">
              <a16:creationId xmlns:a16="http://schemas.microsoft.com/office/drawing/2014/main" id="{00000000-0008-0000-0B00-00002A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38150" y="15154275"/>
          <a:ext cx="640080" cy="692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517845</xdr:colOff>
      <xdr:row>5</xdr:row>
      <xdr:rowOff>20602</xdr:rowOff>
    </xdr:to>
    <xdr:pic>
      <xdr:nvPicPr>
        <xdr:cNvPr id="16" name="Picture 1">
          <a:extLst>
            <a:ext uri="{FF2B5EF4-FFF2-40B4-BE49-F238E27FC236}">
              <a16:creationId xmlns:a16="http://schemas.microsoft.com/office/drawing/2014/main" id="{00000000-0008-0000-0B00-000010000000}"/>
            </a:ext>
          </a:extLst>
        </xdr:cNvPr>
        <xdr:cNvPicPr>
          <a:picLocks noChangeAspect="1"/>
        </xdr:cNvPicPr>
      </xdr:nvPicPr>
      <xdr:blipFill>
        <a:blip xmlns:r="http://schemas.openxmlformats.org/officeDocument/2006/relationships" r:embed="rId11"/>
        <a:stretch>
          <a:fillRect/>
        </a:stretch>
      </xdr:blipFill>
      <xdr:spPr>
        <a:xfrm rot="5400000">
          <a:off x="1035386" y="-625811"/>
          <a:ext cx="792127" cy="252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323850</xdr:colOff>
      <xdr:row>2</xdr:row>
      <xdr:rowOff>123825</xdr:rowOff>
    </xdr:from>
    <xdr:to>
      <xdr:col>10</xdr:col>
      <xdr:colOff>323850</xdr:colOff>
      <xdr:row>5</xdr:row>
      <xdr:rowOff>142875</xdr:rowOff>
    </xdr:to>
    <xdr:cxnSp macro="">
      <xdr:nvCxnSpPr>
        <xdr:cNvPr id="2" name="Straight Arrow Connector 1">
          <a:extLst>
            <a:ext uri="{FF2B5EF4-FFF2-40B4-BE49-F238E27FC236}">
              <a16:creationId xmlns:a16="http://schemas.microsoft.com/office/drawing/2014/main" id="{00000000-0008-0000-0C00-000002000000}"/>
            </a:ext>
          </a:extLst>
        </xdr:cNvPr>
        <xdr:cNvCxnSpPr/>
      </xdr:nvCxnSpPr>
      <xdr:spPr>
        <a:xfrm>
          <a:off x="8401050" y="561975"/>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38100</xdr:colOff>
      <xdr:row>0</xdr:row>
      <xdr:rowOff>133350</xdr:rowOff>
    </xdr:from>
    <xdr:to>
      <xdr:col>12</xdr:col>
      <xdr:colOff>819150</xdr:colOff>
      <xdr:row>4</xdr:row>
      <xdr:rowOff>153129</xdr:rowOff>
    </xdr:to>
    <xdr:pic>
      <xdr:nvPicPr>
        <xdr:cNvPr id="3" name="Picture 4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903" t="10485" r="9678" b="10483"/>
        <a:stretch/>
      </xdr:blipFill>
      <xdr:spPr bwMode="auto">
        <a:xfrm>
          <a:off x="10058400" y="133350"/>
          <a:ext cx="781050" cy="7817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78386</xdr:colOff>
      <xdr:row>9</xdr:row>
      <xdr:rowOff>83820</xdr:rowOff>
    </xdr:from>
    <xdr:to>
      <xdr:col>2</xdr:col>
      <xdr:colOff>513880</xdr:colOff>
      <xdr:row>12</xdr:row>
      <xdr:rowOff>93345</xdr:rowOff>
    </xdr:to>
    <xdr:pic>
      <xdr:nvPicPr>
        <xdr:cNvPr id="5" name="Imagem 4">
          <a:extLst>
            <a:ext uri="{FF2B5EF4-FFF2-40B4-BE49-F238E27FC236}">
              <a16:creationId xmlns:a16="http://schemas.microsoft.com/office/drawing/2014/main" id="{00000000-0008-0000-0C00-000005000000}"/>
            </a:ext>
          </a:extLst>
        </xdr:cNvPr>
        <xdr:cNvPicPr>
          <a:picLocks noChangeAspect="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ackgroundRemoval t="10000" b="90000" l="10000" r="90000">
                      <a14:foregroundMark x1="43300" y1="60902" x2="46300" y2="63008"/>
                      <a14:foregroundMark x1="56200" y1="59699" x2="59500" y2="60902"/>
                      <a14:foregroundMark x1="54400" y1="61353" x2="58800" y2="61353"/>
                    </a14:backgroundRemoval>
                  </a14:imgEffect>
                </a14:imgLayer>
              </a14:imgProps>
            </a:ext>
            <a:ext uri="{28A0092B-C50C-407E-A947-70E740481C1C}">
              <a14:useLocalDpi xmlns:a14="http://schemas.microsoft.com/office/drawing/2010/main" val="0"/>
            </a:ext>
          </a:extLst>
        </a:blip>
        <a:srcRect l="19667" t="20184" r="19489" b="17431"/>
        <a:stretch/>
      </xdr:blipFill>
      <xdr:spPr>
        <a:xfrm>
          <a:off x="238406" y="1965960"/>
          <a:ext cx="1026044" cy="594360"/>
        </a:xfrm>
        <a:prstGeom prst="rect">
          <a:avLst/>
        </a:prstGeom>
      </xdr:spPr>
    </xdr:pic>
    <xdr:clientData/>
  </xdr:twoCellAnchor>
  <xdr:twoCellAnchor editAs="oneCell">
    <xdr:from>
      <xdr:col>1</xdr:col>
      <xdr:colOff>188818</xdr:colOff>
      <xdr:row>26</xdr:row>
      <xdr:rowOff>122144</xdr:rowOff>
    </xdr:from>
    <xdr:to>
      <xdr:col>2</xdr:col>
      <xdr:colOff>425494</xdr:colOff>
      <xdr:row>28</xdr:row>
      <xdr:rowOff>188595</xdr:rowOff>
    </xdr:to>
    <xdr:pic>
      <xdr:nvPicPr>
        <xdr:cNvPr id="6" name="Imagem 5">
          <a:extLst>
            <a:ext uri="{FF2B5EF4-FFF2-40B4-BE49-F238E27FC236}">
              <a16:creationId xmlns:a16="http://schemas.microsoft.com/office/drawing/2014/main" id="{00000000-0008-0000-0C00-000006000000}"/>
            </a:ext>
          </a:extLst>
        </xdr:cNvPr>
        <xdr:cNvPicPr>
          <a:picLocks noChangeAspect="1"/>
        </xdr:cNvPicPr>
      </xdr:nvPicPr>
      <xdr:blipFill rotWithShape="1">
        <a:blip xmlns:r="http://schemas.openxmlformats.org/officeDocument/2006/relationships" r:embed="rId4" cstate="print">
          <a:extLst>
            <a:ext uri="{BEBA8EAE-BF5A-486C-A8C5-ECC9F3942E4B}">
              <a14:imgProps xmlns:a14="http://schemas.microsoft.com/office/drawing/2010/main">
                <a14:imgLayer r:embed="rId5">
                  <a14:imgEffect>
                    <a14:backgroundRemoval t="10000" b="90000" l="10000" r="90000"/>
                  </a14:imgEffect>
                </a14:imgLayer>
              </a14:imgProps>
            </a:ext>
            <a:ext uri="{28A0092B-C50C-407E-A947-70E740481C1C}">
              <a14:useLocalDpi xmlns:a14="http://schemas.microsoft.com/office/drawing/2010/main" val="0"/>
            </a:ext>
          </a:extLst>
        </a:blip>
        <a:srcRect l="23636" t="25984" r="22727" b="20942"/>
        <a:stretch/>
      </xdr:blipFill>
      <xdr:spPr>
        <a:xfrm>
          <a:off x="341218" y="5599019"/>
          <a:ext cx="817701" cy="533176"/>
        </a:xfrm>
        <a:prstGeom prst="rect">
          <a:avLst/>
        </a:prstGeom>
      </xdr:spPr>
    </xdr:pic>
    <xdr:clientData/>
  </xdr:twoCellAnchor>
  <xdr:twoCellAnchor editAs="oneCell">
    <xdr:from>
      <xdr:col>1</xdr:col>
      <xdr:colOff>125506</xdr:colOff>
      <xdr:row>101</xdr:row>
      <xdr:rowOff>66673</xdr:rowOff>
    </xdr:from>
    <xdr:to>
      <xdr:col>2</xdr:col>
      <xdr:colOff>476250</xdr:colOff>
      <xdr:row>103</xdr:row>
      <xdr:rowOff>136692</xdr:rowOff>
    </xdr:to>
    <xdr:pic>
      <xdr:nvPicPr>
        <xdr:cNvPr id="7" name="Imagem 6">
          <a:extLst>
            <a:ext uri="{FF2B5EF4-FFF2-40B4-BE49-F238E27FC236}">
              <a16:creationId xmlns:a16="http://schemas.microsoft.com/office/drawing/2014/main" id="{00000000-0008-0000-0C00-000007000000}"/>
            </a:ext>
          </a:extLst>
        </xdr:cNvPr>
        <xdr:cNvPicPr>
          <a:picLocks noChangeAspect="1"/>
        </xdr:cNvPicPr>
      </xdr:nvPicPr>
      <xdr:blipFill rotWithShape="1">
        <a:blip xmlns:r="http://schemas.openxmlformats.org/officeDocument/2006/relationships" r:embed="rId6" cstate="print">
          <a:extLst>
            <a:ext uri="{BEBA8EAE-BF5A-486C-A8C5-ECC9F3942E4B}">
              <a14:imgProps xmlns:a14="http://schemas.microsoft.com/office/drawing/2010/main">
                <a14:imgLayer r:embed="rId7">
                  <a14:imgEffect>
                    <a14:backgroundRemoval t="10000" b="90000" l="10000" r="90000">
                      <a14:foregroundMark x1="56300" y1="43158" x2="61000" y2="49173"/>
                    </a14:backgroundRemoval>
                  </a14:imgEffect>
                </a14:imgLayer>
              </a14:imgProps>
            </a:ext>
            <a:ext uri="{28A0092B-C50C-407E-A947-70E740481C1C}">
              <a14:useLocalDpi xmlns:a14="http://schemas.microsoft.com/office/drawing/2010/main" val="0"/>
            </a:ext>
          </a:extLst>
        </a:blip>
        <a:srcRect l="23897" t="24677" r="20956" b="27761"/>
        <a:stretch/>
      </xdr:blipFill>
      <xdr:spPr>
        <a:xfrm>
          <a:off x="277906" y="28336873"/>
          <a:ext cx="931769" cy="451019"/>
        </a:xfrm>
        <a:prstGeom prst="rect">
          <a:avLst/>
        </a:prstGeom>
      </xdr:spPr>
    </xdr:pic>
    <xdr:clientData/>
  </xdr:twoCellAnchor>
  <xdr:twoCellAnchor editAs="oneCell">
    <xdr:from>
      <xdr:col>1</xdr:col>
      <xdr:colOff>44822</xdr:colOff>
      <xdr:row>96</xdr:row>
      <xdr:rowOff>62193</xdr:rowOff>
    </xdr:from>
    <xdr:to>
      <xdr:col>2</xdr:col>
      <xdr:colOff>573086</xdr:colOff>
      <xdr:row>99</xdr:row>
      <xdr:rowOff>142875</xdr:rowOff>
    </xdr:to>
    <xdr:pic>
      <xdr:nvPicPr>
        <xdr:cNvPr id="8" name="Imagem 7">
          <a:extLst>
            <a:ext uri="{FF2B5EF4-FFF2-40B4-BE49-F238E27FC236}">
              <a16:creationId xmlns:a16="http://schemas.microsoft.com/office/drawing/2014/main" id="{00000000-0008-0000-0C00-000008000000}"/>
            </a:ext>
          </a:extLst>
        </xdr:cNvPr>
        <xdr:cNvPicPr>
          <a:picLocks noChangeAspect="1"/>
        </xdr:cNvPicPr>
      </xdr:nvPicPr>
      <xdr:blipFill rotWithShape="1">
        <a:blip xmlns:r="http://schemas.openxmlformats.org/officeDocument/2006/relationships" r:embed="rId8" cstate="print">
          <a:extLst>
            <a:ext uri="{BEBA8EAE-BF5A-486C-A8C5-ECC9F3942E4B}">
              <a14:imgProps xmlns:a14="http://schemas.microsoft.com/office/drawing/2010/main">
                <a14:imgLayer r:embed="rId9">
                  <a14:imgEffect>
                    <a14:backgroundRemoval t="10000" b="90000" l="10000" r="90000"/>
                  </a14:imgEffect>
                </a14:imgLayer>
              </a14:imgProps>
            </a:ext>
            <a:ext uri="{28A0092B-C50C-407E-A947-70E740481C1C}">
              <a14:useLocalDpi xmlns:a14="http://schemas.microsoft.com/office/drawing/2010/main" val="0"/>
            </a:ext>
          </a:extLst>
        </a:blip>
        <a:srcRect l="22875" t="26812" r="23516" b="22464"/>
        <a:stretch/>
      </xdr:blipFill>
      <xdr:spPr>
        <a:xfrm>
          <a:off x="197222" y="20331393"/>
          <a:ext cx="1109289" cy="652182"/>
        </a:xfrm>
        <a:prstGeom prst="rect">
          <a:avLst/>
        </a:prstGeom>
      </xdr:spPr>
    </xdr:pic>
    <xdr:clientData/>
  </xdr:twoCellAnchor>
  <xdr:twoCellAnchor editAs="oneCell">
    <xdr:from>
      <xdr:col>1</xdr:col>
      <xdr:colOff>219075</xdr:colOff>
      <xdr:row>24</xdr:row>
      <xdr:rowOff>80906</xdr:rowOff>
    </xdr:from>
    <xdr:to>
      <xdr:col>2</xdr:col>
      <xdr:colOff>344580</xdr:colOff>
      <xdr:row>24</xdr:row>
      <xdr:rowOff>476249</xdr:rowOff>
    </xdr:to>
    <xdr:pic>
      <xdr:nvPicPr>
        <xdr:cNvPr id="9" name="Imagem 8">
          <a:extLst>
            <a:ext uri="{FF2B5EF4-FFF2-40B4-BE49-F238E27FC236}">
              <a16:creationId xmlns:a16="http://schemas.microsoft.com/office/drawing/2014/main" id="{00000000-0008-0000-0C00-000009000000}"/>
            </a:ext>
          </a:extLst>
        </xdr:cNvPr>
        <xdr:cNvPicPr>
          <a:picLocks noChangeAspect="1"/>
        </xdr:cNvPicPr>
      </xdr:nvPicPr>
      <xdr:blipFill rotWithShape="1">
        <a:blip xmlns:r="http://schemas.openxmlformats.org/officeDocument/2006/relationships" r:embed="rId10" cstate="print">
          <a:extLst>
            <a:ext uri="{BEBA8EAE-BF5A-486C-A8C5-ECC9F3942E4B}">
              <a14:imgProps xmlns:a14="http://schemas.microsoft.com/office/drawing/2010/main">
                <a14:imgLayer r:embed="rId11">
                  <a14:imgEffect>
                    <a14:backgroundRemoval t="10000" b="90000" l="10000" r="90000">
                      <a14:foregroundMark x1="54000" y1="59098" x2="57000" y2="56391"/>
                      <a14:foregroundMark x1="57000" y1="51429" x2="60300" y2="59699"/>
                    </a14:backgroundRemoval>
                  </a14:imgEffect>
                </a14:imgLayer>
              </a14:imgProps>
            </a:ext>
            <a:ext uri="{28A0092B-C50C-407E-A947-70E740481C1C}">
              <a14:useLocalDpi xmlns:a14="http://schemas.microsoft.com/office/drawing/2010/main" val="0"/>
            </a:ext>
          </a:extLst>
        </a:blip>
        <a:srcRect l="22466" t="13513" r="23166" b="21623"/>
        <a:stretch/>
      </xdr:blipFill>
      <xdr:spPr>
        <a:xfrm>
          <a:off x="371475" y="5700656"/>
          <a:ext cx="706530" cy="395343"/>
        </a:xfrm>
        <a:prstGeom prst="rect">
          <a:avLst/>
        </a:prstGeom>
      </xdr:spPr>
    </xdr:pic>
    <xdr:clientData/>
  </xdr:twoCellAnchor>
  <xdr:twoCellAnchor editAs="oneCell">
    <xdr:from>
      <xdr:col>1</xdr:col>
      <xdr:colOff>51915</xdr:colOff>
      <xdr:row>17</xdr:row>
      <xdr:rowOff>139800</xdr:rowOff>
    </xdr:from>
    <xdr:to>
      <xdr:col>3</xdr:col>
      <xdr:colOff>15240</xdr:colOff>
      <xdr:row>19</xdr:row>
      <xdr:rowOff>175259</xdr:rowOff>
    </xdr:to>
    <xdr:pic>
      <xdr:nvPicPr>
        <xdr:cNvPr id="10" name="Imagem 9">
          <a:extLst>
            <a:ext uri="{FF2B5EF4-FFF2-40B4-BE49-F238E27FC236}">
              <a16:creationId xmlns:a16="http://schemas.microsoft.com/office/drawing/2014/main" id="{00000000-0008-0000-0C00-00000A000000}"/>
            </a:ext>
          </a:extLst>
        </xdr:cNvPr>
        <xdr:cNvPicPr>
          <a:picLocks noChangeAspect="1"/>
        </xdr:cNvPicPr>
      </xdr:nvPicPr>
      <xdr:blipFill rotWithShape="1">
        <a:blip xmlns:r="http://schemas.openxmlformats.org/officeDocument/2006/relationships" r:embed="rId12" cstate="print">
          <a:extLst>
            <a:ext uri="{BEBA8EAE-BF5A-486C-A8C5-ECC9F3942E4B}">
              <a14:imgProps xmlns:a14="http://schemas.microsoft.com/office/drawing/2010/main">
                <a14:imgLayer r:embed="rId13">
                  <a14:imgEffect>
                    <a14:backgroundRemoval t="10000" b="90000" l="10000" r="90000"/>
                  </a14:imgEffect>
                </a14:imgLayer>
              </a14:imgProps>
            </a:ext>
            <a:ext uri="{28A0092B-C50C-407E-A947-70E740481C1C}">
              <a14:useLocalDpi xmlns:a14="http://schemas.microsoft.com/office/drawing/2010/main" val="0"/>
            </a:ext>
          </a:extLst>
        </a:blip>
        <a:srcRect l="30515" t="24879" r="22426" b="16520"/>
        <a:stretch/>
      </xdr:blipFill>
      <xdr:spPr>
        <a:xfrm>
          <a:off x="211935" y="3545940"/>
          <a:ext cx="1144425" cy="420269"/>
        </a:xfrm>
        <a:prstGeom prst="rect">
          <a:avLst/>
        </a:prstGeom>
      </xdr:spPr>
    </xdr:pic>
    <xdr:clientData/>
  </xdr:twoCellAnchor>
  <xdr:twoCellAnchor editAs="oneCell">
    <xdr:from>
      <xdr:col>1</xdr:col>
      <xdr:colOff>123489</xdr:colOff>
      <xdr:row>163</xdr:row>
      <xdr:rowOff>130659</xdr:rowOff>
    </xdr:from>
    <xdr:to>
      <xdr:col>2</xdr:col>
      <xdr:colOff>402740</xdr:colOff>
      <xdr:row>166</xdr:row>
      <xdr:rowOff>99059</xdr:rowOff>
    </xdr:to>
    <xdr:pic>
      <xdr:nvPicPr>
        <xdr:cNvPr id="11" name="Imagem 10">
          <a:extLst>
            <a:ext uri="{FF2B5EF4-FFF2-40B4-BE49-F238E27FC236}">
              <a16:creationId xmlns:a16="http://schemas.microsoft.com/office/drawing/2014/main" id="{00000000-0008-0000-0C00-00000B000000}"/>
            </a:ext>
          </a:extLst>
        </xdr:cNvPr>
        <xdr:cNvPicPr>
          <a:picLocks noChangeAspect="1"/>
        </xdr:cNvPicPr>
      </xdr:nvPicPr>
      <xdr:blipFill rotWithShape="1">
        <a:blip xmlns:r="http://schemas.openxmlformats.org/officeDocument/2006/relationships" r:embed="rId14" cstate="print">
          <a:extLst>
            <a:ext uri="{BEBA8EAE-BF5A-486C-A8C5-ECC9F3942E4B}">
              <a14:imgProps xmlns:a14="http://schemas.microsoft.com/office/drawing/2010/main">
                <a14:imgLayer r:embed="rId15">
                  <a14:imgEffect>
                    <a14:backgroundRemoval t="10000" b="90000" l="10000" r="90000"/>
                  </a14:imgEffect>
                </a14:imgLayer>
              </a14:imgProps>
            </a:ext>
            <a:ext uri="{28A0092B-C50C-407E-A947-70E740481C1C}">
              <a14:useLocalDpi xmlns:a14="http://schemas.microsoft.com/office/drawing/2010/main" val="0"/>
            </a:ext>
          </a:extLst>
        </a:blip>
        <a:srcRect l="35294" t="26537" r="36397" b="19836"/>
        <a:stretch/>
      </xdr:blipFill>
      <xdr:spPr>
        <a:xfrm>
          <a:off x="283509" y="34085379"/>
          <a:ext cx="881231" cy="551330"/>
        </a:xfrm>
        <a:prstGeom prst="rect">
          <a:avLst/>
        </a:prstGeom>
      </xdr:spPr>
    </xdr:pic>
    <xdr:clientData/>
  </xdr:twoCellAnchor>
  <xdr:twoCellAnchor editAs="oneCell">
    <xdr:from>
      <xdr:col>1</xdr:col>
      <xdr:colOff>107352</xdr:colOff>
      <xdr:row>170</xdr:row>
      <xdr:rowOff>184113</xdr:rowOff>
    </xdr:from>
    <xdr:to>
      <xdr:col>2</xdr:col>
      <xdr:colOff>479835</xdr:colOff>
      <xdr:row>174</xdr:row>
      <xdr:rowOff>55245</xdr:rowOff>
    </xdr:to>
    <xdr:pic>
      <xdr:nvPicPr>
        <xdr:cNvPr id="12" name="Imagem 11">
          <a:extLst>
            <a:ext uri="{FF2B5EF4-FFF2-40B4-BE49-F238E27FC236}">
              <a16:creationId xmlns:a16="http://schemas.microsoft.com/office/drawing/2014/main" id="{00000000-0008-0000-0C00-00000C000000}"/>
            </a:ext>
          </a:extLst>
        </xdr:cNvPr>
        <xdr:cNvPicPr>
          <a:picLocks noChangeAspect="1"/>
        </xdr:cNvPicPr>
      </xdr:nvPicPr>
      <xdr:blipFill rotWithShape="1">
        <a:blip xmlns:r="http://schemas.openxmlformats.org/officeDocument/2006/relationships" r:embed="rId16" cstate="print">
          <a:extLst>
            <a:ext uri="{BEBA8EAE-BF5A-486C-A8C5-ECC9F3942E4B}">
              <a14:imgProps xmlns:a14="http://schemas.microsoft.com/office/drawing/2010/main">
                <a14:imgLayer r:embed="rId17">
                  <a14:imgEffect>
                    <a14:backgroundRemoval t="10000" b="90000" l="10000" r="90000"/>
                  </a14:imgEffect>
                </a14:imgLayer>
              </a14:imgProps>
            </a:ext>
            <a:ext uri="{28A0092B-C50C-407E-A947-70E740481C1C}">
              <a14:useLocalDpi xmlns:a14="http://schemas.microsoft.com/office/drawing/2010/main" val="0"/>
            </a:ext>
          </a:extLst>
        </a:blip>
        <a:srcRect l="34927" t="12163" r="33455" b="8846"/>
        <a:stretch/>
      </xdr:blipFill>
      <xdr:spPr>
        <a:xfrm>
          <a:off x="267372" y="35472333"/>
          <a:ext cx="974463" cy="642657"/>
        </a:xfrm>
        <a:prstGeom prst="rect">
          <a:avLst/>
        </a:prstGeom>
      </xdr:spPr>
    </xdr:pic>
    <xdr:clientData/>
  </xdr:twoCellAnchor>
  <xdr:twoCellAnchor editAs="oneCell">
    <xdr:from>
      <xdr:col>1</xdr:col>
      <xdr:colOff>198665</xdr:colOff>
      <xdr:row>109</xdr:row>
      <xdr:rowOff>80282</xdr:rowOff>
    </xdr:from>
    <xdr:to>
      <xdr:col>2</xdr:col>
      <xdr:colOff>358140</xdr:colOff>
      <xdr:row>109</xdr:row>
      <xdr:rowOff>588787</xdr:rowOff>
    </xdr:to>
    <xdr:pic>
      <xdr:nvPicPr>
        <xdr:cNvPr id="13" name="Imagem 12">
          <a:extLst>
            <a:ext uri="{FF2B5EF4-FFF2-40B4-BE49-F238E27FC236}">
              <a16:creationId xmlns:a16="http://schemas.microsoft.com/office/drawing/2014/main" id="{00000000-0008-0000-0C00-00000D000000}"/>
            </a:ext>
          </a:extLst>
        </xdr:cNvPr>
        <xdr:cNvPicPr>
          <a:picLocks noChangeAspect="1"/>
        </xdr:cNvPicPr>
      </xdr:nvPicPr>
      <xdr:blipFill rotWithShape="1">
        <a:blip xmlns:r="http://schemas.openxmlformats.org/officeDocument/2006/relationships" r:embed="rId18" cstate="print">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rcRect l="22581" t="10069" r="22581" b="20784"/>
        <a:stretch/>
      </xdr:blipFill>
      <xdr:spPr>
        <a:xfrm>
          <a:off x="351065" y="30731732"/>
          <a:ext cx="734785" cy="508505"/>
        </a:xfrm>
        <a:prstGeom prst="rect">
          <a:avLst/>
        </a:prstGeom>
      </xdr:spPr>
    </xdr:pic>
    <xdr:clientData/>
  </xdr:twoCellAnchor>
  <xdr:twoCellAnchor editAs="oneCell">
    <xdr:from>
      <xdr:col>1</xdr:col>
      <xdr:colOff>274321</xdr:colOff>
      <xdr:row>120</xdr:row>
      <xdr:rowOff>45004</xdr:rowOff>
    </xdr:from>
    <xdr:to>
      <xdr:col>2</xdr:col>
      <xdr:colOff>403773</xdr:colOff>
      <xdr:row>124</xdr:row>
      <xdr:rowOff>17146</xdr:rowOff>
    </xdr:to>
    <xdr:pic>
      <xdr:nvPicPr>
        <xdr:cNvPr id="14" name="Imagem 13">
          <a:extLst>
            <a:ext uri="{FF2B5EF4-FFF2-40B4-BE49-F238E27FC236}">
              <a16:creationId xmlns:a16="http://schemas.microsoft.com/office/drawing/2014/main" id="{00000000-0008-0000-0C00-00000E000000}"/>
            </a:ext>
          </a:extLst>
        </xdr:cNvPr>
        <xdr:cNvPicPr>
          <a:picLocks noChangeAspect="1"/>
        </xdr:cNvPicPr>
      </xdr:nvPicPr>
      <xdr:blipFill rotWithShape="1">
        <a:blip xmlns:r="http://schemas.openxmlformats.org/officeDocument/2006/relationships" r:embed="rId20" cstate="print">
          <a:extLst>
            <a:ext uri="{BEBA8EAE-BF5A-486C-A8C5-ECC9F3942E4B}">
              <a14:imgProps xmlns:a14="http://schemas.microsoft.com/office/drawing/2010/main">
                <a14:imgLayer r:embed="rId21">
                  <a14:imgEffect>
                    <a14:backgroundRemoval t="10000" b="90000" l="10000" r="90000"/>
                  </a14:imgEffect>
                </a14:imgLayer>
              </a14:imgProps>
            </a:ext>
            <a:ext uri="{28A0092B-C50C-407E-A947-70E740481C1C}">
              <a14:useLocalDpi xmlns:a14="http://schemas.microsoft.com/office/drawing/2010/main" val="0"/>
            </a:ext>
          </a:extLst>
        </a:blip>
        <a:srcRect l="34714" r="34132"/>
        <a:stretch/>
      </xdr:blipFill>
      <xdr:spPr>
        <a:xfrm>
          <a:off x="434341" y="25274824"/>
          <a:ext cx="731432" cy="743667"/>
        </a:xfrm>
        <a:prstGeom prst="rect">
          <a:avLst/>
        </a:prstGeom>
      </xdr:spPr>
    </xdr:pic>
    <xdr:clientData/>
  </xdr:twoCellAnchor>
  <xdr:twoCellAnchor editAs="oneCell">
    <xdr:from>
      <xdr:col>1</xdr:col>
      <xdr:colOff>77545</xdr:colOff>
      <xdr:row>179</xdr:row>
      <xdr:rowOff>53004</xdr:rowOff>
    </xdr:from>
    <xdr:to>
      <xdr:col>2</xdr:col>
      <xdr:colOff>482413</xdr:colOff>
      <xdr:row>182</xdr:row>
      <xdr:rowOff>116205</xdr:rowOff>
    </xdr:to>
    <xdr:pic>
      <xdr:nvPicPr>
        <xdr:cNvPr id="15" name="Imagem 14">
          <a:extLst>
            <a:ext uri="{FF2B5EF4-FFF2-40B4-BE49-F238E27FC236}">
              <a16:creationId xmlns:a16="http://schemas.microsoft.com/office/drawing/2014/main" id="{00000000-0008-0000-0C00-00000F000000}"/>
            </a:ext>
          </a:extLst>
        </xdr:cNvPr>
        <xdr:cNvPicPr>
          <a:picLocks noChangeAspect="1"/>
        </xdr:cNvPicPr>
      </xdr:nvPicPr>
      <xdr:blipFill rotWithShape="1">
        <a:blip xmlns:r="http://schemas.openxmlformats.org/officeDocument/2006/relationships" r:embed="rId22" cstate="print">
          <a:extLst>
            <a:ext uri="{BEBA8EAE-BF5A-486C-A8C5-ECC9F3942E4B}">
              <a14:imgProps xmlns:a14="http://schemas.microsoft.com/office/drawing/2010/main">
                <a14:imgLayer r:embed="rId23">
                  <a14:imgEffect>
                    <a14:backgroundRemoval t="10000" b="90000" l="10000" r="90000"/>
                  </a14:imgEffect>
                </a14:imgLayer>
              </a14:imgProps>
            </a:ext>
            <a:ext uri="{28A0092B-C50C-407E-A947-70E740481C1C}">
              <a14:useLocalDpi xmlns:a14="http://schemas.microsoft.com/office/drawing/2010/main" val="0"/>
            </a:ext>
          </a:extLst>
        </a:blip>
        <a:srcRect l="32353" t="23220" r="32721" b="25918"/>
        <a:stretch/>
      </xdr:blipFill>
      <xdr:spPr>
        <a:xfrm>
          <a:off x="229945" y="37114779"/>
          <a:ext cx="985893" cy="634701"/>
        </a:xfrm>
        <a:prstGeom prst="rect">
          <a:avLst/>
        </a:prstGeom>
      </xdr:spPr>
    </xdr:pic>
    <xdr:clientData/>
  </xdr:twoCellAnchor>
  <xdr:twoCellAnchor editAs="oneCell">
    <xdr:from>
      <xdr:col>1</xdr:col>
      <xdr:colOff>171672</xdr:colOff>
      <xdr:row>157</xdr:row>
      <xdr:rowOff>124163</xdr:rowOff>
    </xdr:from>
    <xdr:to>
      <xdr:col>2</xdr:col>
      <xdr:colOff>436455</xdr:colOff>
      <xdr:row>158</xdr:row>
      <xdr:rowOff>98613</xdr:rowOff>
    </xdr:to>
    <xdr:pic>
      <xdr:nvPicPr>
        <xdr:cNvPr id="16" name="Imagem 15">
          <a:extLst>
            <a:ext uri="{FF2B5EF4-FFF2-40B4-BE49-F238E27FC236}">
              <a16:creationId xmlns:a16="http://schemas.microsoft.com/office/drawing/2014/main" id="{00000000-0008-0000-0C00-000010000000}"/>
            </a:ext>
          </a:extLst>
        </xdr:cNvPr>
        <xdr:cNvPicPr>
          <a:picLocks noChangeAspect="1"/>
        </xdr:cNvPicPr>
      </xdr:nvPicPr>
      <xdr:blipFill rotWithShape="1">
        <a:blip xmlns:r="http://schemas.openxmlformats.org/officeDocument/2006/relationships" r:embed="rId24" cstate="print">
          <a:extLst>
            <a:ext uri="{BEBA8EAE-BF5A-486C-A8C5-ECC9F3942E4B}">
              <a14:imgProps xmlns:a14="http://schemas.microsoft.com/office/drawing/2010/main">
                <a14:imgLayer r:embed="rId25">
                  <a14:imgEffect>
                    <a14:backgroundRemoval t="10000" b="90000" l="10000" r="90000"/>
                  </a14:imgEffect>
                </a14:imgLayer>
              </a14:imgProps>
            </a:ext>
            <a:ext uri="{28A0092B-C50C-407E-A947-70E740481C1C}">
              <a14:useLocalDpi xmlns:a14="http://schemas.microsoft.com/office/drawing/2010/main" val="0"/>
            </a:ext>
          </a:extLst>
        </a:blip>
        <a:srcRect l="32353" t="18244" r="31986" b="13201"/>
        <a:stretch/>
      </xdr:blipFill>
      <xdr:spPr>
        <a:xfrm>
          <a:off x="331692" y="32935883"/>
          <a:ext cx="868668" cy="168760"/>
        </a:xfrm>
        <a:prstGeom prst="rect">
          <a:avLst/>
        </a:prstGeom>
      </xdr:spPr>
    </xdr:pic>
    <xdr:clientData/>
  </xdr:twoCellAnchor>
  <xdr:twoCellAnchor editAs="oneCell">
    <xdr:from>
      <xdr:col>1</xdr:col>
      <xdr:colOff>168535</xdr:colOff>
      <xdr:row>30</xdr:row>
      <xdr:rowOff>144780</xdr:rowOff>
    </xdr:from>
    <xdr:to>
      <xdr:col>2</xdr:col>
      <xdr:colOff>454177</xdr:colOff>
      <xdr:row>31</xdr:row>
      <xdr:rowOff>213359</xdr:rowOff>
    </xdr:to>
    <xdr:pic>
      <xdr:nvPicPr>
        <xdr:cNvPr id="17" name="Imagem 16">
          <a:extLst>
            <a:ext uri="{FF2B5EF4-FFF2-40B4-BE49-F238E27FC236}">
              <a16:creationId xmlns:a16="http://schemas.microsoft.com/office/drawing/2014/main" id="{00000000-0008-0000-0C00-000011000000}"/>
            </a:ext>
          </a:extLst>
        </xdr:cNvPr>
        <xdr:cNvPicPr>
          <a:picLocks noChangeAspect="1"/>
        </xdr:cNvPicPr>
      </xdr:nvPicPr>
      <xdr:blipFill rotWithShape="1">
        <a:blip xmlns:r="http://schemas.openxmlformats.org/officeDocument/2006/relationships" r:embed="rId26" cstate="print">
          <a:extLst>
            <a:ext uri="{BEBA8EAE-BF5A-486C-A8C5-ECC9F3942E4B}">
              <a14:imgProps xmlns:a14="http://schemas.microsoft.com/office/drawing/2010/main">
                <a14:imgLayer r:embed="rId27">
                  <a14:imgEffect>
                    <a14:backgroundRemoval t="10000" b="90000" l="10000" r="90000">
                      <a14:foregroundMark x1="46000" y1="59248" x2="55800" y2="69323"/>
                      <a14:foregroundMark x1="54500" y1="61955" x2="63100" y2="65714"/>
                    </a14:backgroundRemoval>
                  </a14:imgEffect>
                </a14:imgLayer>
              </a14:imgProps>
            </a:ext>
            <a:ext uri="{28A0092B-C50C-407E-A947-70E740481C1C}">
              <a14:useLocalDpi xmlns:a14="http://schemas.microsoft.com/office/drawing/2010/main" val="0"/>
            </a:ext>
          </a:extLst>
        </a:blip>
        <a:srcRect l="26333" t="25924" r="21613" b="22337"/>
        <a:stretch/>
      </xdr:blipFill>
      <xdr:spPr>
        <a:xfrm>
          <a:off x="328555" y="6522720"/>
          <a:ext cx="880002" cy="472439"/>
        </a:xfrm>
        <a:prstGeom prst="rect">
          <a:avLst/>
        </a:prstGeom>
      </xdr:spPr>
    </xdr:pic>
    <xdr:clientData/>
  </xdr:twoCellAnchor>
  <xdr:twoCellAnchor editAs="oneCell">
    <xdr:from>
      <xdr:col>1</xdr:col>
      <xdr:colOff>123824</xdr:colOff>
      <xdr:row>66</xdr:row>
      <xdr:rowOff>47624</xdr:rowOff>
    </xdr:from>
    <xdr:to>
      <xdr:col>2</xdr:col>
      <xdr:colOff>435407</xdr:colOff>
      <xdr:row>66</xdr:row>
      <xdr:rowOff>400049</xdr:rowOff>
    </xdr:to>
    <xdr:pic>
      <xdr:nvPicPr>
        <xdr:cNvPr id="18" name="Imagem 17">
          <a:extLst>
            <a:ext uri="{FF2B5EF4-FFF2-40B4-BE49-F238E27FC236}">
              <a16:creationId xmlns:a16="http://schemas.microsoft.com/office/drawing/2014/main" id="{00000000-0008-0000-0C00-000012000000}"/>
            </a:ext>
          </a:extLst>
        </xdr:cNvPr>
        <xdr:cNvPicPr>
          <a:picLocks noChangeAspect="1"/>
        </xdr:cNvPicPr>
      </xdr:nvPicPr>
      <xdr:blipFill rotWithShape="1">
        <a:blip xmlns:r="http://schemas.openxmlformats.org/officeDocument/2006/relationships" r:embed="rId28" cstate="print">
          <a:extLst>
            <a:ext uri="{BEBA8EAE-BF5A-486C-A8C5-ECC9F3942E4B}">
              <a14:imgProps xmlns:a14="http://schemas.microsoft.com/office/drawing/2010/main">
                <a14:imgLayer r:embed="rId29">
                  <a14:imgEffect>
                    <a14:backgroundRemoval t="10000" b="90000" l="10000" r="90000"/>
                  </a14:imgEffect>
                </a14:imgLayer>
              </a14:imgProps>
            </a:ext>
            <a:ext uri="{28A0092B-C50C-407E-A947-70E740481C1C}">
              <a14:useLocalDpi xmlns:a14="http://schemas.microsoft.com/office/drawing/2010/main" val="0"/>
            </a:ext>
          </a:extLst>
        </a:blip>
        <a:srcRect l="23802" t="34455" r="26642" b="25481"/>
        <a:stretch/>
      </xdr:blipFill>
      <xdr:spPr>
        <a:xfrm>
          <a:off x="276224" y="18630899"/>
          <a:ext cx="892608" cy="352425"/>
        </a:xfrm>
        <a:prstGeom prst="rect">
          <a:avLst/>
        </a:prstGeom>
      </xdr:spPr>
    </xdr:pic>
    <xdr:clientData/>
  </xdr:twoCellAnchor>
  <xdr:twoCellAnchor editAs="oneCell">
    <xdr:from>
      <xdr:col>1</xdr:col>
      <xdr:colOff>283845</xdr:colOff>
      <xdr:row>137</xdr:row>
      <xdr:rowOff>104775</xdr:rowOff>
    </xdr:from>
    <xdr:to>
      <xdr:col>2</xdr:col>
      <xdr:colOff>364697</xdr:colOff>
      <xdr:row>140</xdr:row>
      <xdr:rowOff>0</xdr:rowOff>
    </xdr:to>
    <xdr:pic>
      <xdr:nvPicPr>
        <xdr:cNvPr id="19" name="Imagem 18">
          <a:extLst>
            <a:ext uri="{FF2B5EF4-FFF2-40B4-BE49-F238E27FC236}">
              <a16:creationId xmlns:a16="http://schemas.microsoft.com/office/drawing/2014/main" id="{00000000-0008-0000-0C00-000013000000}"/>
            </a:ext>
          </a:extLst>
        </xdr:cNvPr>
        <xdr:cNvPicPr>
          <a:picLocks noChangeAspect="1"/>
        </xdr:cNvPicPr>
      </xdr:nvPicPr>
      <xdr:blipFill rotWithShape="1">
        <a:blip xmlns:r="http://schemas.openxmlformats.org/officeDocument/2006/relationships" r:embed="rId30" cstate="print">
          <a:extLst>
            <a:ext uri="{BEBA8EAE-BF5A-486C-A8C5-ECC9F3942E4B}">
              <a14:imgProps xmlns:a14="http://schemas.microsoft.com/office/drawing/2010/main">
                <a14:imgLayer r:embed="rId31">
                  <a14:imgEffect>
                    <a14:backgroundRemoval t="10000" b="90000" l="10000" r="90000"/>
                  </a14:imgEffect>
                </a14:imgLayer>
              </a14:imgProps>
            </a:ext>
            <a:ext uri="{28A0092B-C50C-407E-A947-70E740481C1C}">
              <a14:useLocalDpi xmlns:a14="http://schemas.microsoft.com/office/drawing/2010/main" val="0"/>
            </a:ext>
          </a:extLst>
        </a:blip>
        <a:srcRect l="37813" t="26316" r="34687" b="18233"/>
        <a:stretch/>
      </xdr:blipFill>
      <xdr:spPr>
        <a:xfrm>
          <a:off x="443865" y="29106495"/>
          <a:ext cx="682832" cy="466725"/>
        </a:xfrm>
        <a:prstGeom prst="rect">
          <a:avLst/>
        </a:prstGeom>
      </xdr:spPr>
    </xdr:pic>
    <xdr:clientData/>
  </xdr:twoCellAnchor>
  <xdr:twoCellAnchor editAs="oneCell">
    <xdr:from>
      <xdr:col>1</xdr:col>
      <xdr:colOff>201931</xdr:colOff>
      <xdr:row>149</xdr:row>
      <xdr:rowOff>160020</xdr:rowOff>
    </xdr:from>
    <xdr:to>
      <xdr:col>2</xdr:col>
      <xdr:colOff>399614</xdr:colOff>
      <xdr:row>152</xdr:row>
      <xdr:rowOff>76200</xdr:rowOff>
    </xdr:to>
    <xdr:pic>
      <xdr:nvPicPr>
        <xdr:cNvPr id="20" name="Imagem 19">
          <a:extLst>
            <a:ext uri="{FF2B5EF4-FFF2-40B4-BE49-F238E27FC236}">
              <a16:creationId xmlns:a16="http://schemas.microsoft.com/office/drawing/2014/main" id="{00000000-0008-0000-0C00-000014000000}"/>
            </a:ext>
          </a:extLst>
        </xdr:cNvPr>
        <xdr:cNvPicPr>
          <a:picLocks noChangeAspect="1"/>
        </xdr:cNvPicPr>
      </xdr:nvPicPr>
      <xdr:blipFill rotWithShape="1">
        <a:blip xmlns:r="http://schemas.openxmlformats.org/officeDocument/2006/relationships" r:embed="rId32" cstate="print">
          <a:extLst>
            <a:ext uri="{BEBA8EAE-BF5A-486C-A8C5-ECC9F3942E4B}">
              <a14:imgProps xmlns:a14="http://schemas.microsoft.com/office/drawing/2010/main">
                <a14:imgLayer r:embed="rId33">
                  <a14:imgEffect>
                    <a14:backgroundRemoval t="10000" b="90000" l="10000" r="90000"/>
                  </a14:imgEffect>
                </a14:imgLayer>
              </a14:imgProps>
            </a:ext>
            <a:ext uri="{28A0092B-C50C-407E-A947-70E740481C1C}">
              <a14:useLocalDpi xmlns:a14="http://schemas.microsoft.com/office/drawing/2010/main" val="0"/>
            </a:ext>
          </a:extLst>
        </a:blip>
        <a:srcRect l="36875" t="28665" r="35000" b="24342"/>
        <a:stretch/>
      </xdr:blipFill>
      <xdr:spPr>
        <a:xfrm>
          <a:off x="361951" y="31866840"/>
          <a:ext cx="801568" cy="487680"/>
        </a:xfrm>
        <a:prstGeom prst="rect">
          <a:avLst/>
        </a:prstGeom>
      </xdr:spPr>
    </xdr:pic>
    <xdr:clientData/>
  </xdr:twoCellAnchor>
  <xdr:twoCellAnchor editAs="oneCell">
    <xdr:from>
      <xdr:col>1</xdr:col>
      <xdr:colOff>200025</xdr:colOff>
      <xdr:row>105</xdr:row>
      <xdr:rowOff>28575</xdr:rowOff>
    </xdr:from>
    <xdr:to>
      <xdr:col>2</xdr:col>
      <xdr:colOff>321781</xdr:colOff>
      <xdr:row>108</xdr:row>
      <xdr:rowOff>0</xdr:rowOff>
    </xdr:to>
    <xdr:pic>
      <xdr:nvPicPr>
        <xdr:cNvPr id="21" name="Imagem 20">
          <a:extLst>
            <a:ext uri="{FF2B5EF4-FFF2-40B4-BE49-F238E27FC236}">
              <a16:creationId xmlns:a16="http://schemas.microsoft.com/office/drawing/2014/main" id="{00000000-0008-0000-0C00-000015000000}"/>
            </a:ext>
          </a:extLst>
        </xdr:cNvPr>
        <xdr:cNvPicPr>
          <a:picLocks noChangeAspect="1"/>
        </xdr:cNvPicPr>
      </xdr:nvPicPr>
      <xdr:blipFill rotWithShape="1">
        <a:blip xmlns:r="http://schemas.openxmlformats.org/officeDocument/2006/relationships" r:embed="rId34" cstate="print">
          <a:extLst>
            <a:ext uri="{BEBA8EAE-BF5A-486C-A8C5-ECC9F3942E4B}">
              <a14:imgProps xmlns:a14="http://schemas.microsoft.com/office/drawing/2010/main">
                <a14:imgLayer r:embed="rId35">
                  <a14:imgEffect>
                    <a14:backgroundRemoval t="10000" b="90000" l="10000" r="90000">
                      <a14:foregroundMark x1="38800" y1="45564" x2="59500" y2="51278"/>
                      <a14:foregroundMark x1="59500" y1="51278" x2="55300" y2="43759"/>
                    </a14:backgroundRemoval>
                  </a14:imgEffect>
                </a14:imgLayer>
              </a14:imgProps>
            </a:ext>
            <a:ext uri="{28A0092B-C50C-407E-A947-70E740481C1C}">
              <a14:useLocalDpi xmlns:a14="http://schemas.microsoft.com/office/drawing/2010/main" val="0"/>
            </a:ext>
          </a:extLst>
        </a:blip>
        <a:srcRect l="26250" t="15508" r="26563" b="15414"/>
        <a:stretch/>
      </xdr:blipFill>
      <xdr:spPr>
        <a:xfrm>
          <a:off x="352425" y="29298900"/>
          <a:ext cx="710401" cy="542925"/>
        </a:xfrm>
        <a:prstGeom prst="rect">
          <a:avLst/>
        </a:prstGeom>
      </xdr:spPr>
    </xdr:pic>
    <xdr:clientData/>
  </xdr:twoCellAnchor>
  <xdr:twoCellAnchor editAs="oneCell">
    <xdr:from>
      <xdr:col>1</xdr:col>
      <xdr:colOff>89534</xdr:colOff>
      <xdr:row>54</xdr:row>
      <xdr:rowOff>144780</xdr:rowOff>
    </xdr:from>
    <xdr:to>
      <xdr:col>2</xdr:col>
      <xdr:colOff>495739</xdr:colOff>
      <xdr:row>57</xdr:row>
      <xdr:rowOff>53340</xdr:rowOff>
    </xdr:to>
    <xdr:pic>
      <xdr:nvPicPr>
        <xdr:cNvPr id="22" name="Imagem 21">
          <a:extLst>
            <a:ext uri="{FF2B5EF4-FFF2-40B4-BE49-F238E27FC236}">
              <a16:creationId xmlns:a16="http://schemas.microsoft.com/office/drawing/2014/main" id="{00000000-0008-0000-0C00-000016000000}"/>
            </a:ext>
          </a:extLst>
        </xdr:cNvPr>
        <xdr:cNvPicPr>
          <a:picLocks noChangeAspect="1"/>
        </xdr:cNvPicPr>
      </xdr:nvPicPr>
      <xdr:blipFill rotWithShape="1">
        <a:blip xmlns:r="http://schemas.openxmlformats.org/officeDocument/2006/relationships" r:embed="rId36" cstate="print">
          <a:extLst>
            <a:ext uri="{BEBA8EAE-BF5A-486C-A8C5-ECC9F3942E4B}">
              <a14:imgProps xmlns:a14="http://schemas.microsoft.com/office/drawing/2010/main">
                <a14:imgLayer r:embed="rId37">
                  <a14:imgEffect>
                    <a14:backgroundRemoval t="10000" b="90000" l="10000" r="90000">
                      <a14:foregroundMark x1="35200" y1="43759" x2="63100" y2="58195"/>
                      <a14:foregroundMark x1="61900" y1="55489" x2="59600" y2="50075"/>
                      <a14:foregroundMark x1="59600" y1="50075" x2="64900" y2="50075"/>
                      <a14:foregroundMark x1="32200" y1="53684" x2="45300" y2="52782"/>
                      <a14:foregroundMark x1="42300" y1="52782" x2="33400" y2="49173"/>
                    </a14:backgroundRemoval>
                  </a14:imgEffect>
                </a14:imgLayer>
              </a14:imgProps>
            </a:ext>
            <a:ext uri="{28A0092B-C50C-407E-A947-70E740481C1C}">
              <a14:useLocalDpi xmlns:a14="http://schemas.microsoft.com/office/drawing/2010/main" val="0"/>
            </a:ext>
          </a:extLst>
        </a:blip>
        <a:srcRect l="16131" t="16994" r="18439" b="19499"/>
        <a:stretch/>
      </xdr:blipFill>
      <xdr:spPr>
        <a:xfrm>
          <a:off x="241934" y="11851005"/>
          <a:ext cx="987230" cy="480060"/>
        </a:xfrm>
        <a:prstGeom prst="rect">
          <a:avLst/>
        </a:prstGeom>
      </xdr:spPr>
    </xdr:pic>
    <xdr:clientData/>
  </xdr:twoCellAnchor>
  <xdr:twoCellAnchor editAs="oneCell">
    <xdr:from>
      <xdr:col>1</xdr:col>
      <xdr:colOff>64771</xdr:colOff>
      <xdr:row>34</xdr:row>
      <xdr:rowOff>22860</xdr:rowOff>
    </xdr:from>
    <xdr:to>
      <xdr:col>2</xdr:col>
      <xdr:colOff>523633</xdr:colOff>
      <xdr:row>36</xdr:row>
      <xdr:rowOff>95250</xdr:rowOff>
    </xdr:to>
    <xdr:pic>
      <xdr:nvPicPr>
        <xdr:cNvPr id="23" name="Imagem 22">
          <a:extLst>
            <a:ext uri="{FF2B5EF4-FFF2-40B4-BE49-F238E27FC236}">
              <a16:creationId xmlns:a16="http://schemas.microsoft.com/office/drawing/2014/main" id="{00000000-0008-0000-0C00-000017000000}"/>
            </a:ext>
          </a:extLst>
        </xdr:cNvPr>
        <xdr:cNvPicPr>
          <a:picLocks noChangeAspect="1"/>
        </xdr:cNvPicPr>
      </xdr:nvPicPr>
      <xdr:blipFill rotWithShape="1">
        <a:blip xmlns:r="http://schemas.openxmlformats.org/officeDocument/2006/relationships" r:embed="rId38" cstate="print">
          <a:extLst>
            <a:ext uri="{BEBA8EAE-BF5A-486C-A8C5-ECC9F3942E4B}">
              <a14:imgProps xmlns:a14="http://schemas.microsoft.com/office/drawing/2010/main">
                <a14:imgLayer r:embed="rId39">
                  <a14:imgEffect>
                    <a14:backgroundRemoval t="10000" b="90000" l="10000" r="90000"/>
                  </a14:imgEffect>
                </a14:imgLayer>
              </a14:imgProps>
            </a:ext>
            <a:ext uri="{28A0092B-C50C-407E-A947-70E740481C1C}">
              <a14:useLocalDpi xmlns:a14="http://schemas.microsoft.com/office/drawing/2010/main" val="0"/>
            </a:ext>
          </a:extLst>
        </a:blip>
        <a:srcRect l="23255" t="31288" r="23300" b="24540"/>
        <a:stretch/>
      </xdr:blipFill>
      <xdr:spPr>
        <a:xfrm>
          <a:off x="217171" y="7614285"/>
          <a:ext cx="1039887" cy="453390"/>
        </a:xfrm>
        <a:prstGeom prst="rect">
          <a:avLst/>
        </a:prstGeom>
      </xdr:spPr>
    </xdr:pic>
    <xdr:clientData/>
  </xdr:twoCellAnchor>
  <xdr:twoCellAnchor editAs="oneCell">
    <xdr:from>
      <xdr:col>1</xdr:col>
      <xdr:colOff>132230</xdr:colOff>
      <xdr:row>44</xdr:row>
      <xdr:rowOff>29334</xdr:rowOff>
    </xdr:from>
    <xdr:to>
      <xdr:col>2</xdr:col>
      <xdr:colOff>457200</xdr:colOff>
      <xdr:row>46</xdr:row>
      <xdr:rowOff>45720</xdr:rowOff>
    </xdr:to>
    <xdr:pic>
      <xdr:nvPicPr>
        <xdr:cNvPr id="26" name="Imagem 25">
          <a:extLst>
            <a:ext uri="{FF2B5EF4-FFF2-40B4-BE49-F238E27FC236}">
              <a16:creationId xmlns:a16="http://schemas.microsoft.com/office/drawing/2014/main" id="{00000000-0008-0000-0C00-00001A000000}"/>
            </a:ext>
          </a:extLst>
        </xdr:cNvPr>
        <xdr:cNvPicPr>
          <a:picLocks noChangeAspect="1"/>
        </xdr:cNvPicPr>
      </xdr:nvPicPr>
      <xdr:blipFill rotWithShape="1">
        <a:blip xmlns:r="http://schemas.openxmlformats.org/officeDocument/2006/relationships" r:embed="rId40" cstate="print">
          <a:extLst>
            <a:ext uri="{BEBA8EAE-BF5A-486C-A8C5-ECC9F3942E4B}">
              <a14:imgProps xmlns:a14="http://schemas.microsoft.com/office/drawing/2010/main">
                <a14:imgLayer r:embed="rId41">
                  <a14:imgEffect>
                    <a14:backgroundRemoval t="10000" b="90000" l="10000" r="90000">
                      <a14:foregroundMark x1="40235" y1="54551" x2="54996" y2="55973"/>
                      <a14:foregroundMark x1="46669" y1="52446" x2="59538" y2="52446"/>
                    </a14:backgroundRemoval>
                  </a14:imgEffect>
                </a14:imgLayer>
              </a14:imgProps>
            </a:ext>
            <a:ext uri="{28A0092B-C50C-407E-A947-70E740481C1C}">
              <a14:useLocalDpi xmlns:a14="http://schemas.microsoft.com/office/drawing/2010/main" val="0"/>
            </a:ext>
          </a:extLst>
        </a:blip>
        <a:srcRect l="23095" t="27729" r="25000" b="19314"/>
        <a:stretch/>
      </xdr:blipFill>
      <xdr:spPr>
        <a:xfrm>
          <a:off x="284630" y="9525759"/>
          <a:ext cx="905995" cy="397386"/>
        </a:xfrm>
        <a:prstGeom prst="rect">
          <a:avLst/>
        </a:prstGeom>
      </xdr:spPr>
    </xdr:pic>
    <xdr:clientData/>
  </xdr:twoCellAnchor>
  <xdr:twoCellAnchor editAs="oneCell">
    <xdr:from>
      <xdr:col>1</xdr:col>
      <xdr:colOff>209549</xdr:colOff>
      <xdr:row>52</xdr:row>
      <xdr:rowOff>69044</xdr:rowOff>
    </xdr:from>
    <xdr:to>
      <xdr:col>2</xdr:col>
      <xdr:colOff>358140</xdr:colOff>
      <xdr:row>52</xdr:row>
      <xdr:rowOff>435803</xdr:rowOff>
    </xdr:to>
    <xdr:pic>
      <xdr:nvPicPr>
        <xdr:cNvPr id="27" name="Imagem 26">
          <a:extLst>
            <a:ext uri="{FF2B5EF4-FFF2-40B4-BE49-F238E27FC236}">
              <a16:creationId xmlns:a16="http://schemas.microsoft.com/office/drawing/2014/main" id="{00000000-0008-0000-0C00-00001B000000}"/>
            </a:ext>
          </a:extLst>
        </xdr:cNvPr>
        <xdr:cNvPicPr>
          <a:picLocks noChangeAspect="1"/>
        </xdr:cNvPicPr>
      </xdr:nvPicPr>
      <xdr:blipFill rotWithShape="1">
        <a:blip xmlns:r="http://schemas.openxmlformats.org/officeDocument/2006/relationships" r:embed="rId42" cstate="print">
          <a:extLst>
            <a:ext uri="{BEBA8EAE-BF5A-486C-A8C5-ECC9F3942E4B}">
              <a14:imgProps xmlns:a14="http://schemas.microsoft.com/office/drawing/2010/main">
                <a14:imgLayer r:embed="rId43">
                  <a14:imgEffect>
                    <a14:backgroundRemoval t="27247" b="80091" l="27896" r="80772">
                      <a14:foregroundMark x1="27896" y1="59613" x2="31151" y2="61092"/>
                      <a14:foregroundMark x1="42619" y1="55688" x2="57381" y2="56143"/>
                      <a14:foregroundMark x1="69833" y1="54664" x2="50833" y2="56655"/>
                    </a14:backgroundRemoval>
                  </a14:imgEffect>
                </a14:imgLayer>
              </a14:imgProps>
            </a:ext>
            <a:ext uri="{28A0092B-C50C-407E-A947-70E740481C1C}">
              <a14:useLocalDpi xmlns:a14="http://schemas.microsoft.com/office/drawing/2010/main" val="0"/>
            </a:ext>
          </a:extLst>
        </a:blip>
        <a:srcRect l="22961" t="20692" r="12785" b="13291"/>
        <a:stretch/>
      </xdr:blipFill>
      <xdr:spPr>
        <a:xfrm>
          <a:off x="361949" y="14089844"/>
          <a:ext cx="723901" cy="374379"/>
        </a:xfrm>
        <a:prstGeom prst="rect">
          <a:avLst/>
        </a:prstGeom>
      </xdr:spPr>
    </xdr:pic>
    <xdr:clientData/>
  </xdr:twoCellAnchor>
  <xdr:twoCellAnchor editAs="oneCell">
    <xdr:from>
      <xdr:col>1</xdr:col>
      <xdr:colOff>190500</xdr:colOff>
      <xdr:row>60</xdr:row>
      <xdr:rowOff>121919</xdr:rowOff>
    </xdr:from>
    <xdr:to>
      <xdr:col>2</xdr:col>
      <xdr:colOff>457923</xdr:colOff>
      <xdr:row>63</xdr:row>
      <xdr:rowOff>93344</xdr:rowOff>
    </xdr:to>
    <xdr:pic>
      <xdr:nvPicPr>
        <xdr:cNvPr id="28" name="Imagem 27">
          <a:extLst>
            <a:ext uri="{FF2B5EF4-FFF2-40B4-BE49-F238E27FC236}">
              <a16:creationId xmlns:a16="http://schemas.microsoft.com/office/drawing/2014/main" id="{00000000-0008-0000-0C00-00001C000000}"/>
            </a:ext>
          </a:extLst>
        </xdr:cNvPr>
        <xdr:cNvPicPr>
          <a:picLocks noChangeAspect="1"/>
        </xdr:cNvPicPr>
      </xdr:nvPicPr>
      <xdr:blipFill rotWithShape="1">
        <a:blip xmlns:r="http://schemas.openxmlformats.org/officeDocument/2006/relationships" r:embed="rId44" cstate="print">
          <a:extLst>
            <a:ext uri="{BEBA8EAE-BF5A-486C-A8C5-ECC9F3942E4B}">
              <a14:imgProps xmlns:a14="http://schemas.microsoft.com/office/drawing/2010/main">
                <a14:imgLayer r:embed="rId45">
                  <a14:imgEffect>
                    <a14:backgroundRemoval t="10000" b="90000" l="10000" r="90000">
                      <a14:foregroundMark x1="55689" y1="37613" x2="51347" y2="37613"/>
                      <a14:foregroundMark x1="61228" y1="37162" x2="45808" y2="40766"/>
                      <a14:backgroundMark x1="62575" y1="71171" x2="58533" y2="65541"/>
                    </a14:backgroundRemoval>
                  </a14:imgEffect>
                </a14:imgLayer>
              </a14:imgProps>
            </a:ext>
            <a:ext uri="{28A0092B-C50C-407E-A947-70E740481C1C}">
              <a14:useLocalDpi xmlns:a14="http://schemas.microsoft.com/office/drawing/2010/main" val="0"/>
            </a:ext>
          </a:extLst>
        </a:blip>
        <a:srcRect l="34823" t="24230" r="26757" b="14938"/>
        <a:stretch/>
      </xdr:blipFill>
      <xdr:spPr>
        <a:xfrm>
          <a:off x="342900" y="12971144"/>
          <a:ext cx="848448" cy="542925"/>
        </a:xfrm>
        <a:prstGeom prst="rect">
          <a:avLst/>
        </a:prstGeom>
      </xdr:spPr>
    </xdr:pic>
    <xdr:clientData/>
  </xdr:twoCellAnchor>
  <xdr:twoCellAnchor editAs="oneCell">
    <xdr:from>
      <xdr:col>1</xdr:col>
      <xdr:colOff>47625</xdr:colOff>
      <xdr:row>68</xdr:row>
      <xdr:rowOff>19051</xdr:rowOff>
    </xdr:from>
    <xdr:to>
      <xdr:col>2</xdr:col>
      <xdr:colOff>573405</xdr:colOff>
      <xdr:row>69</xdr:row>
      <xdr:rowOff>247650</xdr:rowOff>
    </xdr:to>
    <xdr:pic>
      <xdr:nvPicPr>
        <xdr:cNvPr id="29" name="Imagem 28">
          <a:extLst>
            <a:ext uri="{FF2B5EF4-FFF2-40B4-BE49-F238E27FC236}">
              <a16:creationId xmlns:a16="http://schemas.microsoft.com/office/drawing/2014/main" id="{00000000-0008-0000-0C00-00001D000000}"/>
            </a:ext>
          </a:extLst>
        </xdr:cNvPr>
        <xdr:cNvPicPr>
          <a:picLocks noChangeAspect="1"/>
        </xdr:cNvPicPr>
      </xdr:nvPicPr>
      <xdr:blipFill rotWithShape="1">
        <a:blip xmlns:r="http://schemas.openxmlformats.org/officeDocument/2006/relationships" r:embed="rId46" cstate="print">
          <a:extLst>
            <a:ext uri="{BEBA8EAE-BF5A-486C-A8C5-ECC9F3942E4B}">
              <a14:imgProps xmlns:a14="http://schemas.microsoft.com/office/drawing/2010/main">
                <a14:imgLayer r:embed="rId47">
                  <a14:imgEffect>
                    <a14:backgroundRemoval t="36563" b="72163" l="32444" r="75671"/>
                  </a14:imgEffect>
                </a14:imgLayer>
              </a14:imgProps>
            </a:ext>
            <a:ext uri="{28A0092B-C50C-407E-A947-70E740481C1C}">
              <a14:useLocalDpi xmlns:a14="http://schemas.microsoft.com/office/drawing/2010/main" val="0"/>
            </a:ext>
          </a:extLst>
        </a:blip>
        <a:srcRect l="30094" t="32113" r="30220" b="23387"/>
        <a:stretch/>
      </xdr:blipFill>
      <xdr:spPr>
        <a:xfrm>
          <a:off x="200025" y="14630401"/>
          <a:ext cx="1106805" cy="581024"/>
        </a:xfrm>
        <a:prstGeom prst="rect">
          <a:avLst/>
        </a:prstGeom>
      </xdr:spPr>
    </xdr:pic>
    <xdr:clientData/>
  </xdr:twoCellAnchor>
  <xdr:twoCellAnchor editAs="oneCell">
    <xdr:from>
      <xdr:col>1</xdr:col>
      <xdr:colOff>158115</xdr:colOff>
      <xdr:row>72</xdr:row>
      <xdr:rowOff>89535</xdr:rowOff>
    </xdr:from>
    <xdr:to>
      <xdr:col>2</xdr:col>
      <xdr:colOff>399993</xdr:colOff>
      <xdr:row>75</xdr:row>
      <xdr:rowOff>156209</xdr:rowOff>
    </xdr:to>
    <xdr:pic>
      <xdr:nvPicPr>
        <xdr:cNvPr id="30" name="Imagem 29">
          <a:extLst>
            <a:ext uri="{FF2B5EF4-FFF2-40B4-BE49-F238E27FC236}">
              <a16:creationId xmlns:a16="http://schemas.microsoft.com/office/drawing/2014/main" id="{00000000-0008-0000-0C00-00001E000000}"/>
            </a:ext>
          </a:extLst>
        </xdr:cNvPr>
        <xdr:cNvPicPr>
          <a:picLocks noChangeAspect="1"/>
        </xdr:cNvPicPr>
      </xdr:nvPicPr>
      <xdr:blipFill rotWithShape="1">
        <a:blip xmlns:r="http://schemas.openxmlformats.org/officeDocument/2006/relationships" r:embed="rId48" cstate="print">
          <a:extLst>
            <a:ext uri="{BEBA8EAE-BF5A-486C-A8C5-ECC9F3942E4B}">
              <a14:imgProps xmlns:a14="http://schemas.microsoft.com/office/drawing/2010/main">
                <a14:imgLayer r:embed="rId49">
                  <a14:imgEffect>
                    <a14:backgroundRemoval t="10000" b="90000" l="10000" r="90000">
                      <a14:backgroundMark x1="60889" y1="63697" x2="79556" y2="95323"/>
                      <a14:backgroundMark x1="60296" y1="65256" x2="72148" y2="60802"/>
                      <a14:backgroundMark x1="58222" y1="61693" x2="62370" y2="65256"/>
                    </a14:backgroundRemoval>
                  </a14:imgEffect>
                </a14:imgLayer>
              </a14:imgProps>
            </a:ext>
            <a:ext uri="{28A0092B-C50C-407E-A947-70E740481C1C}">
              <a14:useLocalDpi xmlns:a14="http://schemas.microsoft.com/office/drawing/2010/main" val="0"/>
            </a:ext>
          </a:extLst>
        </a:blip>
        <a:srcRect l="28358" t="23983" r="25805" b="14785"/>
        <a:stretch/>
      </xdr:blipFill>
      <xdr:spPr>
        <a:xfrm>
          <a:off x="318135" y="15741015"/>
          <a:ext cx="849573" cy="638174"/>
        </a:xfrm>
        <a:prstGeom prst="rect">
          <a:avLst/>
        </a:prstGeom>
      </xdr:spPr>
    </xdr:pic>
    <xdr:clientData/>
  </xdr:twoCellAnchor>
  <xdr:twoCellAnchor editAs="oneCell">
    <xdr:from>
      <xdr:col>1</xdr:col>
      <xdr:colOff>171450</xdr:colOff>
      <xdr:row>79</xdr:row>
      <xdr:rowOff>47625</xdr:rowOff>
    </xdr:from>
    <xdr:to>
      <xdr:col>2</xdr:col>
      <xdr:colOff>478154</xdr:colOff>
      <xdr:row>82</xdr:row>
      <xdr:rowOff>91440</xdr:rowOff>
    </xdr:to>
    <xdr:pic>
      <xdr:nvPicPr>
        <xdr:cNvPr id="31" name="Imagem 30">
          <a:extLst>
            <a:ext uri="{FF2B5EF4-FFF2-40B4-BE49-F238E27FC236}">
              <a16:creationId xmlns:a16="http://schemas.microsoft.com/office/drawing/2014/main" id="{00000000-0008-0000-0C00-00001F000000}"/>
            </a:ext>
          </a:extLst>
        </xdr:cNvPr>
        <xdr:cNvPicPr>
          <a:picLocks noChangeAspect="1"/>
        </xdr:cNvPicPr>
      </xdr:nvPicPr>
      <xdr:blipFill rotWithShape="1">
        <a:blip xmlns:r="http://schemas.openxmlformats.org/officeDocument/2006/relationships" r:embed="rId50" cstate="print">
          <a:extLst>
            <a:ext uri="{BEBA8EAE-BF5A-486C-A8C5-ECC9F3942E4B}">
              <a14:imgProps xmlns:a14="http://schemas.microsoft.com/office/drawing/2010/main">
                <a14:imgLayer r:embed="rId51">
                  <a14:imgEffect>
                    <a14:backgroundRemoval t="10000" b="90000" l="10000" r="90000">
                      <a14:foregroundMark x1="52242" y1="39589" x2="42300" y2="39589"/>
                      <a14:backgroundMark x1="54971" y1="65103" x2="61598" y2="75073"/>
                    </a14:backgroundRemoval>
                  </a14:imgEffect>
                </a14:imgLayer>
              </a14:imgProps>
            </a:ext>
            <a:ext uri="{28A0092B-C50C-407E-A947-70E740481C1C}">
              <a14:useLocalDpi xmlns:a14="http://schemas.microsoft.com/office/drawing/2010/main" val="0"/>
            </a:ext>
          </a:extLst>
        </a:blip>
        <a:srcRect l="28535" t="25506" r="30373" b="20123"/>
        <a:stretch/>
      </xdr:blipFill>
      <xdr:spPr>
        <a:xfrm>
          <a:off x="323850" y="22840950"/>
          <a:ext cx="876299" cy="609600"/>
        </a:xfrm>
        <a:prstGeom prst="rect">
          <a:avLst/>
        </a:prstGeom>
      </xdr:spPr>
    </xdr:pic>
    <xdr:clientData/>
  </xdr:twoCellAnchor>
  <xdr:twoCellAnchor editAs="oneCell">
    <xdr:from>
      <xdr:col>1</xdr:col>
      <xdr:colOff>70485</xdr:colOff>
      <xdr:row>87</xdr:row>
      <xdr:rowOff>171450</xdr:rowOff>
    </xdr:from>
    <xdr:to>
      <xdr:col>2</xdr:col>
      <xdr:colOff>457256</xdr:colOff>
      <xdr:row>90</xdr:row>
      <xdr:rowOff>186690</xdr:rowOff>
    </xdr:to>
    <xdr:pic>
      <xdr:nvPicPr>
        <xdr:cNvPr id="32" name="Imagem 31">
          <a:extLst>
            <a:ext uri="{FF2B5EF4-FFF2-40B4-BE49-F238E27FC236}">
              <a16:creationId xmlns:a16="http://schemas.microsoft.com/office/drawing/2014/main" id="{00000000-0008-0000-0C00-000020000000}"/>
            </a:ext>
          </a:extLst>
        </xdr:cNvPr>
        <xdr:cNvPicPr>
          <a:picLocks noChangeAspect="1"/>
        </xdr:cNvPicPr>
      </xdr:nvPicPr>
      <xdr:blipFill rotWithShape="1">
        <a:blip xmlns:r="http://schemas.openxmlformats.org/officeDocument/2006/relationships" r:embed="rId52" cstate="print">
          <a:extLst>
            <a:ext uri="{BEBA8EAE-BF5A-486C-A8C5-ECC9F3942E4B}">
              <a14:imgProps xmlns:a14="http://schemas.microsoft.com/office/drawing/2010/main">
                <a14:imgLayer r:embed="rId53">
                  <a14:imgEffect>
                    <a14:backgroundRemoval t="10000" b="90000" l="10000" r="90000">
                      <a14:foregroundMark x1="34306" y1="31699" x2="49475" y2="31349"/>
                      <a14:backgroundMark x1="40140" y1="59895" x2="44924" y2="69002"/>
                    </a14:backgroundRemoval>
                  </a14:imgEffect>
                </a14:imgLayer>
              </a14:imgProps>
            </a:ext>
            <a:ext uri="{28A0092B-C50C-407E-A947-70E740481C1C}">
              <a14:useLocalDpi xmlns:a14="http://schemas.microsoft.com/office/drawing/2010/main" val="0"/>
            </a:ext>
          </a:extLst>
        </a:blip>
        <a:srcRect l="24900" t="18074" r="26993" b="21679"/>
        <a:stretch/>
      </xdr:blipFill>
      <xdr:spPr>
        <a:xfrm>
          <a:off x="222885" y="18726150"/>
          <a:ext cx="967796" cy="586740"/>
        </a:xfrm>
        <a:prstGeom prst="rect">
          <a:avLst/>
        </a:prstGeom>
      </xdr:spPr>
    </xdr:pic>
    <xdr:clientData/>
  </xdr:twoCellAnchor>
  <xdr:twoCellAnchor editAs="oneCell">
    <xdr:from>
      <xdr:col>1</xdr:col>
      <xdr:colOff>133350</xdr:colOff>
      <xdr:row>126</xdr:row>
      <xdr:rowOff>161925</xdr:rowOff>
    </xdr:from>
    <xdr:to>
      <xdr:col>2</xdr:col>
      <xdr:colOff>474345</xdr:colOff>
      <xdr:row>128</xdr:row>
      <xdr:rowOff>26233</xdr:rowOff>
    </xdr:to>
    <xdr:pic>
      <xdr:nvPicPr>
        <xdr:cNvPr id="34" name="Imagem 33">
          <a:extLst>
            <a:ext uri="{FF2B5EF4-FFF2-40B4-BE49-F238E27FC236}">
              <a16:creationId xmlns:a16="http://schemas.microsoft.com/office/drawing/2014/main" id="{00000000-0008-0000-0C00-000022000000}"/>
            </a:ext>
          </a:extLst>
        </xdr:cNvPr>
        <xdr:cNvPicPr>
          <a:picLocks noChangeAspect="1"/>
        </xdr:cNvPicPr>
      </xdr:nvPicPr>
      <xdr:blipFill rotWithShape="1">
        <a:blip xmlns:r="http://schemas.openxmlformats.org/officeDocument/2006/relationships" r:embed="rId54" cstate="print">
          <a:extLst>
            <a:ext uri="{BEBA8EAE-BF5A-486C-A8C5-ECC9F3942E4B}">
              <a14:imgProps xmlns:a14="http://schemas.microsoft.com/office/drawing/2010/main">
                <a14:imgLayer r:embed="rId55">
                  <a14:imgEffect>
                    <a14:backgroundRemoval t="10000" b="90000" l="10000" r="90000"/>
                  </a14:imgEffect>
                </a14:imgLayer>
              </a14:imgProps>
            </a:ext>
            <a:ext uri="{28A0092B-C50C-407E-A947-70E740481C1C}">
              <a14:useLocalDpi xmlns:a14="http://schemas.microsoft.com/office/drawing/2010/main" val="0"/>
            </a:ext>
          </a:extLst>
        </a:blip>
        <a:srcRect l="27246" t="30877" r="18262" b="30191"/>
        <a:stretch/>
      </xdr:blipFill>
      <xdr:spPr>
        <a:xfrm>
          <a:off x="285750" y="26584275"/>
          <a:ext cx="922020" cy="369133"/>
        </a:xfrm>
        <a:prstGeom prst="rect">
          <a:avLst/>
        </a:prstGeom>
      </xdr:spPr>
    </xdr:pic>
    <xdr:clientData/>
  </xdr:twoCellAnchor>
  <xdr:twoCellAnchor editAs="oneCell">
    <xdr:from>
      <xdr:col>1</xdr:col>
      <xdr:colOff>276226</xdr:colOff>
      <xdr:row>129</xdr:row>
      <xdr:rowOff>95250</xdr:rowOff>
    </xdr:from>
    <xdr:to>
      <xdr:col>2</xdr:col>
      <xdr:colOff>282729</xdr:colOff>
      <xdr:row>130</xdr:row>
      <xdr:rowOff>245745</xdr:rowOff>
    </xdr:to>
    <xdr:pic>
      <xdr:nvPicPr>
        <xdr:cNvPr id="35" name="Imagem 34">
          <a:extLst>
            <a:ext uri="{FF2B5EF4-FFF2-40B4-BE49-F238E27FC236}">
              <a16:creationId xmlns:a16="http://schemas.microsoft.com/office/drawing/2014/main" id="{00000000-0008-0000-0C00-000023000000}"/>
            </a:ext>
          </a:extLst>
        </xdr:cNvPr>
        <xdr:cNvPicPr>
          <a:picLocks noChangeAspect="1"/>
        </xdr:cNvPicPr>
      </xdr:nvPicPr>
      <xdr:blipFill rotWithShape="1">
        <a:blip xmlns:r="http://schemas.openxmlformats.org/officeDocument/2006/relationships" r:embed="rId56" cstate="print">
          <a:extLst>
            <a:ext uri="{BEBA8EAE-BF5A-486C-A8C5-ECC9F3942E4B}">
              <a14:imgProps xmlns:a14="http://schemas.microsoft.com/office/drawing/2010/main">
                <a14:imgLayer r:embed="rId57">
                  <a14:imgEffect>
                    <a14:backgroundRemoval t="10000" b="90000" l="10000" r="90000"/>
                  </a14:imgEffect>
                </a14:imgLayer>
              </a14:imgProps>
            </a:ext>
            <a:ext uri="{28A0092B-C50C-407E-A947-70E740481C1C}">
              <a14:useLocalDpi xmlns:a14="http://schemas.microsoft.com/office/drawing/2010/main" val="0"/>
            </a:ext>
          </a:extLst>
        </a:blip>
        <a:srcRect l="39166" t="16003" r="41135" b="15184"/>
        <a:stretch/>
      </xdr:blipFill>
      <xdr:spPr>
        <a:xfrm>
          <a:off x="428626" y="36214050"/>
          <a:ext cx="595148" cy="561975"/>
        </a:xfrm>
        <a:prstGeom prst="rect">
          <a:avLst/>
        </a:prstGeom>
      </xdr:spPr>
    </xdr:pic>
    <xdr:clientData/>
  </xdr:twoCellAnchor>
  <xdr:twoCellAnchor editAs="oneCell">
    <xdr:from>
      <xdr:col>1</xdr:col>
      <xdr:colOff>163702</xdr:colOff>
      <xdr:row>113</xdr:row>
      <xdr:rowOff>8106</xdr:rowOff>
    </xdr:from>
    <xdr:to>
      <xdr:col>2</xdr:col>
      <xdr:colOff>400050</xdr:colOff>
      <xdr:row>115</xdr:row>
      <xdr:rowOff>97154</xdr:rowOff>
    </xdr:to>
    <xdr:pic>
      <xdr:nvPicPr>
        <xdr:cNvPr id="36" name="Imagem 35">
          <a:extLst>
            <a:ext uri="{FF2B5EF4-FFF2-40B4-BE49-F238E27FC236}">
              <a16:creationId xmlns:a16="http://schemas.microsoft.com/office/drawing/2014/main" id="{00000000-0008-0000-0C00-000024000000}"/>
            </a:ext>
          </a:extLst>
        </xdr:cNvPr>
        <xdr:cNvPicPr>
          <a:picLocks noChangeAspect="1"/>
        </xdr:cNvPicPr>
      </xdr:nvPicPr>
      <xdr:blipFill rotWithShape="1">
        <a:blip xmlns:r="http://schemas.openxmlformats.org/officeDocument/2006/relationships" r:embed="rId58" cstate="print">
          <a:extLst>
            <a:ext uri="{BEBA8EAE-BF5A-486C-A8C5-ECC9F3942E4B}">
              <a14:imgProps xmlns:a14="http://schemas.microsoft.com/office/drawing/2010/main">
                <a14:imgLayer r:embed="rId59">
                  <a14:imgEffect>
                    <a14:backgroundRemoval t="10000" b="90000" l="3800" r="97800">
                      <a14:foregroundMark x1="3800" y1="43000" x2="3800" y2="43000"/>
                      <a14:foregroundMark x1="94400" y1="56400" x2="94400" y2="56400"/>
                      <a14:foregroundMark x1="97800" y1="50000" x2="97800" y2="50000"/>
                    </a14:backgroundRemoval>
                  </a14:imgEffect>
                </a14:imgLayer>
              </a14:imgProps>
            </a:ext>
            <a:ext uri="{28A0092B-C50C-407E-A947-70E740481C1C}">
              <a14:useLocalDpi xmlns:a14="http://schemas.microsoft.com/office/drawing/2010/main" val="0"/>
            </a:ext>
          </a:extLst>
        </a:blip>
        <a:srcRect t="19138" b="19973"/>
        <a:stretch/>
      </xdr:blipFill>
      <xdr:spPr>
        <a:xfrm>
          <a:off x="323722" y="23904426"/>
          <a:ext cx="834518" cy="456713"/>
        </a:xfrm>
        <a:prstGeom prst="rect">
          <a:avLst/>
        </a:prstGeom>
      </xdr:spPr>
    </xdr:pic>
    <xdr:clientData/>
  </xdr:twoCellAnchor>
  <xdr:twoCellAnchor editAs="oneCell">
    <xdr:from>
      <xdr:col>1</xdr:col>
      <xdr:colOff>0</xdr:colOff>
      <xdr:row>1</xdr:row>
      <xdr:rowOff>0</xdr:rowOff>
    </xdr:from>
    <xdr:to>
      <xdr:col>4</xdr:col>
      <xdr:colOff>517845</xdr:colOff>
      <xdr:row>5</xdr:row>
      <xdr:rowOff>18697</xdr:rowOff>
    </xdr:to>
    <xdr:pic>
      <xdr:nvPicPr>
        <xdr:cNvPr id="38" name="Picture 1">
          <a:extLst>
            <a:ext uri="{FF2B5EF4-FFF2-40B4-BE49-F238E27FC236}">
              <a16:creationId xmlns:a16="http://schemas.microsoft.com/office/drawing/2014/main" id="{00000000-0008-0000-0C00-000026000000}"/>
            </a:ext>
          </a:extLst>
        </xdr:cNvPr>
        <xdr:cNvPicPr>
          <a:picLocks noChangeAspect="1"/>
        </xdr:cNvPicPr>
      </xdr:nvPicPr>
      <xdr:blipFill>
        <a:blip xmlns:r="http://schemas.openxmlformats.org/officeDocument/2006/relationships" r:embed="rId60"/>
        <a:stretch>
          <a:fillRect/>
        </a:stretch>
      </xdr:blipFill>
      <xdr:spPr>
        <a:xfrm rot="5400000">
          <a:off x="968711" y="-673436"/>
          <a:ext cx="792127" cy="252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14</xdr:col>
      <xdr:colOff>323850</xdr:colOff>
      <xdr:row>2</xdr:row>
      <xdr:rowOff>123825</xdr:rowOff>
    </xdr:from>
    <xdr:to>
      <xdr:col>14</xdr:col>
      <xdr:colOff>323850</xdr:colOff>
      <xdr:row>5</xdr:row>
      <xdr:rowOff>142875</xdr:rowOff>
    </xdr:to>
    <xdr:cxnSp macro="">
      <xdr:nvCxnSpPr>
        <xdr:cNvPr id="32" name="Straight Arrow Connector 31">
          <a:extLst>
            <a:ext uri="{FF2B5EF4-FFF2-40B4-BE49-F238E27FC236}">
              <a16:creationId xmlns:a16="http://schemas.microsoft.com/office/drawing/2014/main" id="{00000000-0008-0000-0D00-000020000000}"/>
            </a:ext>
          </a:extLst>
        </xdr:cNvPr>
        <xdr:cNvCxnSpPr/>
      </xdr:nvCxnSpPr>
      <xdr:spPr>
        <a:xfrm>
          <a:off x="8591550" y="552450"/>
          <a:ext cx="0" cy="600075"/>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15</xdr:col>
      <xdr:colOff>85724</xdr:colOff>
      <xdr:row>1</xdr:row>
      <xdr:rowOff>19049</xdr:rowOff>
    </xdr:from>
    <xdr:to>
      <xdr:col>16</xdr:col>
      <xdr:colOff>741604</xdr:colOff>
      <xdr:row>5</xdr:row>
      <xdr:rowOff>38100</xdr:rowOff>
    </xdr:to>
    <xdr:pic>
      <xdr:nvPicPr>
        <xdr:cNvPr id="45" name="Picture 64">
          <a:extLst>
            <a:ext uri="{FF2B5EF4-FFF2-40B4-BE49-F238E27FC236}">
              <a16:creationId xmlns:a16="http://schemas.microsoft.com/office/drawing/2014/main" id="{00000000-0008-0000-0D00-00002D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628" t="10465" r="13954" b="10465"/>
        <a:stretch/>
      </xdr:blipFill>
      <xdr:spPr bwMode="auto">
        <a:xfrm>
          <a:off x="9858374" y="257174"/>
          <a:ext cx="753035" cy="800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46</xdr:row>
      <xdr:rowOff>19050</xdr:rowOff>
    </xdr:from>
    <xdr:to>
      <xdr:col>2</xdr:col>
      <xdr:colOff>281940</xdr:colOff>
      <xdr:row>47</xdr:row>
      <xdr:rowOff>282025</xdr:rowOff>
    </xdr:to>
    <xdr:pic>
      <xdr:nvPicPr>
        <xdr:cNvPr id="2" name="Picture 48">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4820" y="8858250"/>
          <a:ext cx="579120" cy="569680"/>
        </a:xfrm>
        <a:prstGeom prst="rect">
          <a:avLst/>
        </a:prstGeom>
      </xdr:spPr>
    </xdr:pic>
    <xdr:clientData/>
  </xdr:twoCellAnchor>
  <xdr:twoCellAnchor editAs="oneCell">
    <xdr:from>
      <xdr:col>1</xdr:col>
      <xdr:colOff>78106</xdr:colOff>
      <xdr:row>82</xdr:row>
      <xdr:rowOff>106679</xdr:rowOff>
    </xdr:from>
    <xdr:to>
      <xdr:col>2</xdr:col>
      <xdr:colOff>498906</xdr:colOff>
      <xdr:row>85</xdr:row>
      <xdr:rowOff>59518</xdr:rowOff>
    </xdr:to>
    <xdr:pic>
      <xdr:nvPicPr>
        <xdr:cNvPr id="6" name="Imagem 5">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3"/>
        <a:stretch>
          <a:fillRect/>
        </a:stretch>
      </xdr:blipFill>
      <xdr:spPr>
        <a:xfrm>
          <a:off x="238126" y="18341339"/>
          <a:ext cx="1015160" cy="505289"/>
        </a:xfrm>
        <a:prstGeom prst="rect">
          <a:avLst/>
        </a:prstGeom>
      </xdr:spPr>
    </xdr:pic>
    <xdr:clientData/>
  </xdr:twoCellAnchor>
  <xdr:twoCellAnchor editAs="oneCell">
    <xdr:from>
      <xdr:col>1</xdr:col>
      <xdr:colOff>215266</xdr:colOff>
      <xdr:row>90</xdr:row>
      <xdr:rowOff>60959</xdr:rowOff>
    </xdr:from>
    <xdr:to>
      <xdr:col>2</xdr:col>
      <xdr:colOff>322191</xdr:colOff>
      <xdr:row>90</xdr:row>
      <xdr:rowOff>340994</xdr:rowOff>
    </xdr:to>
    <xdr:pic>
      <xdr:nvPicPr>
        <xdr:cNvPr id="7" name="Imagem 6">
          <a:extLst>
            <a:ext uri="{FF2B5EF4-FFF2-40B4-BE49-F238E27FC236}">
              <a16:creationId xmlns:a16="http://schemas.microsoft.com/office/drawing/2014/main" id="{00000000-0008-0000-0D00-000007000000}"/>
            </a:ext>
          </a:extLst>
        </xdr:cNvPr>
        <xdr:cNvPicPr>
          <a:picLocks noChangeAspect="1"/>
        </xdr:cNvPicPr>
      </xdr:nvPicPr>
      <xdr:blipFill>
        <a:blip xmlns:r="http://schemas.openxmlformats.org/officeDocument/2006/relationships" r:embed="rId4"/>
        <a:stretch>
          <a:fillRect/>
        </a:stretch>
      </xdr:blipFill>
      <xdr:spPr>
        <a:xfrm>
          <a:off x="377191" y="19749134"/>
          <a:ext cx="697475" cy="280035"/>
        </a:xfrm>
        <a:prstGeom prst="rect">
          <a:avLst/>
        </a:prstGeom>
      </xdr:spPr>
    </xdr:pic>
    <xdr:clientData/>
  </xdr:twoCellAnchor>
  <xdr:twoCellAnchor editAs="oneCell">
    <xdr:from>
      <xdr:col>1</xdr:col>
      <xdr:colOff>213361</xdr:colOff>
      <xdr:row>88</xdr:row>
      <xdr:rowOff>38422</xdr:rowOff>
    </xdr:from>
    <xdr:to>
      <xdr:col>2</xdr:col>
      <xdr:colOff>320040</xdr:colOff>
      <xdr:row>89</xdr:row>
      <xdr:rowOff>167688</xdr:rowOff>
    </xdr:to>
    <xdr:pic>
      <xdr:nvPicPr>
        <xdr:cNvPr id="8" name="Imagem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5"/>
        <a:stretch>
          <a:fillRect/>
        </a:stretch>
      </xdr:blipFill>
      <xdr:spPr>
        <a:xfrm>
          <a:off x="373381" y="19400842"/>
          <a:ext cx="693419" cy="308336"/>
        </a:xfrm>
        <a:prstGeom prst="rect">
          <a:avLst/>
        </a:prstGeom>
      </xdr:spPr>
    </xdr:pic>
    <xdr:clientData/>
  </xdr:twoCellAnchor>
  <xdr:twoCellAnchor editAs="oneCell">
    <xdr:from>
      <xdr:col>1</xdr:col>
      <xdr:colOff>133351</xdr:colOff>
      <xdr:row>17</xdr:row>
      <xdr:rowOff>161925</xdr:rowOff>
    </xdr:from>
    <xdr:to>
      <xdr:col>2</xdr:col>
      <xdr:colOff>436246</xdr:colOff>
      <xdr:row>21</xdr:row>
      <xdr:rowOff>171450</xdr:rowOff>
    </xdr:to>
    <xdr:pic>
      <xdr:nvPicPr>
        <xdr:cNvPr id="18" name="Imagem 17">
          <a:extLst>
            <a:ext uri="{FF2B5EF4-FFF2-40B4-BE49-F238E27FC236}">
              <a16:creationId xmlns:a16="http://schemas.microsoft.com/office/drawing/2014/main" id="{00000000-0008-0000-0D00-000012000000}"/>
            </a:ext>
          </a:extLst>
        </xdr:cNvPr>
        <xdr:cNvPicPr>
          <a:picLocks noChangeAspect="1"/>
        </xdr:cNvPicPr>
      </xdr:nvPicPr>
      <xdr:blipFill>
        <a:blip xmlns:r="http://schemas.openxmlformats.org/officeDocument/2006/relationships" r:embed="rId6"/>
        <a:stretch>
          <a:fillRect/>
        </a:stretch>
      </xdr:blipFill>
      <xdr:spPr>
        <a:xfrm>
          <a:off x="209551" y="3543300"/>
          <a:ext cx="895350" cy="762001"/>
        </a:xfrm>
        <a:prstGeom prst="rect">
          <a:avLst/>
        </a:prstGeom>
      </xdr:spPr>
    </xdr:pic>
    <xdr:clientData/>
  </xdr:twoCellAnchor>
  <xdr:twoCellAnchor editAs="oneCell">
    <xdr:from>
      <xdr:col>1</xdr:col>
      <xdr:colOff>178015</xdr:colOff>
      <xdr:row>9</xdr:row>
      <xdr:rowOff>95250</xdr:rowOff>
    </xdr:from>
    <xdr:to>
      <xdr:col>2</xdr:col>
      <xdr:colOff>419184</xdr:colOff>
      <xdr:row>14</xdr:row>
      <xdr:rowOff>2370</xdr:rowOff>
    </xdr:to>
    <xdr:pic>
      <xdr:nvPicPr>
        <xdr:cNvPr id="19" name="Picture 46">
          <a:extLst>
            <a:ext uri="{FF2B5EF4-FFF2-40B4-BE49-F238E27FC236}">
              <a16:creationId xmlns:a16="http://schemas.microsoft.com/office/drawing/2014/main" id="{00000000-0008-0000-0D00-00001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54215" y="1952625"/>
          <a:ext cx="822194" cy="850095"/>
        </a:xfrm>
        <a:prstGeom prst="rect">
          <a:avLst/>
        </a:prstGeom>
      </xdr:spPr>
    </xdr:pic>
    <xdr:clientData/>
  </xdr:twoCellAnchor>
  <xdr:twoCellAnchor editAs="oneCell">
    <xdr:from>
      <xdr:col>1</xdr:col>
      <xdr:colOff>323850</xdr:colOff>
      <xdr:row>59</xdr:row>
      <xdr:rowOff>91440</xdr:rowOff>
    </xdr:from>
    <xdr:to>
      <xdr:col>2</xdr:col>
      <xdr:colOff>246708</xdr:colOff>
      <xdr:row>63</xdr:row>
      <xdr:rowOff>96092</xdr:rowOff>
    </xdr:to>
    <xdr:pic>
      <xdr:nvPicPr>
        <xdr:cNvPr id="22" name="Imagem 21">
          <a:extLst>
            <a:ext uri="{FF2B5EF4-FFF2-40B4-BE49-F238E27FC236}">
              <a16:creationId xmlns:a16="http://schemas.microsoft.com/office/drawing/2014/main" id="{00000000-0008-0000-0D00-000016000000}"/>
            </a:ext>
          </a:extLst>
        </xdr:cNvPr>
        <xdr:cNvPicPr>
          <a:picLocks noChangeAspect="1"/>
        </xdr:cNvPicPr>
      </xdr:nvPicPr>
      <xdr:blipFill>
        <a:blip xmlns:r="http://schemas.openxmlformats.org/officeDocument/2006/relationships" r:embed="rId8"/>
        <a:stretch>
          <a:fillRect/>
        </a:stretch>
      </xdr:blipFill>
      <xdr:spPr>
        <a:xfrm>
          <a:off x="485775" y="11559540"/>
          <a:ext cx="524838" cy="804752"/>
        </a:xfrm>
        <a:prstGeom prst="rect">
          <a:avLst/>
        </a:prstGeom>
      </xdr:spPr>
    </xdr:pic>
    <xdr:clientData/>
  </xdr:twoCellAnchor>
  <xdr:twoCellAnchor editAs="oneCell">
    <xdr:from>
      <xdr:col>1</xdr:col>
      <xdr:colOff>285751</xdr:colOff>
      <xdr:row>75</xdr:row>
      <xdr:rowOff>36194</xdr:rowOff>
    </xdr:from>
    <xdr:to>
      <xdr:col>2</xdr:col>
      <xdr:colOff>323850</xdr:colOff>
      <xdr:row>76</xdr:row>
      <xdr:rowOff>264365</xdr:rowOff>
    </xdr:to>
    <xdr:pic>
      <xdr:nvPicPr>
        <xdr:cNvPr id="24" name="Imagem 23">
          <a:extLst>
            <a:ext uri="{FF2B5EF4-FFF2-40B4-BE49-F238E27FC236}">
              <a16:creationId xmlns:a16="http://schemas.microsoft.com/office/drawing/2014/main" id="{00000000-0008-0000-0D00-000018000000}"/>
            </a:ext>
          </a:extLst>
        </xdr:cNvPr>
        <xdr:cNvPicPr>
          <a:picLocks noChangeAspect="1"/>
        </xdr:cNvPicPr>
      </xdr:nvPicPr>
      <xdr:blipFill>
        <a:blip xmlns:r="http://schemas.openxmlformats.org/officeDocument/2006/relationships" r:embed="rId9"/>
        <a:stretch>
          <a:fillRect/>
        </a:stretch>
      </xdr:blipFill>
      <xdr:spPr>
        <a:xfrm>
          <a:off x="447676" y="15685769"/>
          <a:ext cx="628649" cy="485346"/>
        </a:xfrm>
        <a:prstGeom prst="rect">
          <a:avLst/>
        </a:prstGeom>
      </xdr:spPr>
    </xdr:pic>
    <xdr:clientData/>
  </xdr:twoCellAnchor>
  <xdr:twoCellAnchor editAs="oneCell">
    <xdr:from>
      <xdr:col>1</xdr:col>
      <xdr:colOff>97155</xdr:colOff>
      <xdr:row>51</xdr:row>
      <xdr:rowOff>46289</xdr:rowOff>
    </xdr:from>
    <xdr:to>
      <xdr:col>2</xdr:col>
      <xdr:colOff>476250</xdr:colOff>
      <xdr:row>55</xdr:row>
      <xdr:rowOff>53419</xdr:rowOff>
    </xdr:to>
    <xdr:pic>
      <xdr:nvPicPr>
        <xdr:cNvPr id="25" name="Imagem 24">
          <a:extLst>
            <a:ext uri="{FF2B5EF4-FFF2-40B4-BE49-F238E27FC236}">
              <a16:creationId xmlns:a16="http://schemas.microsoft.com/office/drawing/2014/main" id="{00000000-0008-0000-0D00-000019000000}"/>
            </a:ext>
          </a:extLst>
        </xdr:cNvPr>
        <xdr:cNvPicPr>
          <a:picLocks noChangeAspect="1"/>
        </xdr:cNvPicPr>
      </xdr:nvPicPr>
      <xdr:blipFill>
        <a:blip xmlns:r="http://schemas.openxmlformats.org/officeDocument/2006/relationships" r:embed="rId10"/>
        <a:stretch>
          <a:fillRect/>
        </a:stretch>
      </xdr:blipFill>
      <xdr:spPr>
        <a:xfrm>
          <a:off x="259080" y="10028489"/>
          <a:ext cx="969645" cy="725315"/>
        </a:xfrm>
        <a:prstGeom prst="rect">
          <a:avLst/>
        </a:prstGeom>
      </xdr:spPr>
    </xdr:pic>
    <xdr:clientData/>
  </xdr:twoCellAnchor>
  <xdr:twoCellAnchor editAs="oneCell">
    <xdr:from>
      <xdr:col>1</xdr:col>
      <xdr:colOff>120016</xdr:colOff>
      <xdr:row>38</xdr:row>
      <xdr:rowOff>100965</xdr:rowOff>
    </xdr:from>
    <xdr:to>
      <xdr:col>2</xdr:col>
      <xdr:colOff>440255</xdr:colOff>
      <xdr:row>42</xdr:row>
      <xdr:rowOff>131445</xdr:rowOff>
    </xdr:to>
    <xdr:pic>
      <xdr:nvPicPr>
        <xdr:cNvPr id="26" name="Imagem 25">
          <a:extLst>
            <a:ext uri="{FF2B5EF4-FFF2-40B4-BE49-F238E27FC236}">
              <a16:creationId xmlns:a16="http://schemas.microsoft.com/office/drawing/2014/main" id="{00000000-0008-0000-0D00-00001A000000}"/>
            </a:ext>
          </a:extLst>
        </xdr:cNvPr>
        <xdr:cNvPicPr>
          <a:picLocks noChangeAspect="1"/>
        </xdr:cNvPicPr>
      </xdr:nvPicPr>
      <xdr:blipFill>
        <a:blip xmlns:r="http://schemas.openxmlformats.org/officeDocument/2006/relationships" r:embed="rId11"/>
        <a:stretch>
          <a:fillRect/>
        </a:stretch>
      </xdr:blipFill>
      <xdr:spPr>
        <a:xfrm>
          <a:off x="281941" y="7397115"/>
          <a:ext cx="920314" cy="765810"/>
        </a:xfrm>
        <a:prstGeom prst="rect">
          <a:avLst/>
        </a:prstGeom>
      </xdr:spPr>
    </xdr:pic>
    <xdr:clientData/>
  </xdr:twoCellAnchor>
  <xdr:twoCellAnchor editAs="oneCell">
    <xdr:from>
      <xdr:col>1</xdr:col>
      <xdr:colOff>140970</xdr:colOff>
      <xdr:row>28</xdr:row>
      <xdr:rowOff>160020</xdr:rowOff>
    </xdr:from>
    <xdr:to>
      <xdr:col>2</xdr:col>
      <xdr:colOff>474560</xdr:colOff>
      <xdr:row>33</xdr:row>
      <xdr:rowOff>17145</xdr:rowOff>
    </xdr:to>
    <xdr:pic>
      <xdr:nvPicPr>
        <xdr:cNvPr id="27" name="Imagem 26">
          <a:extLst>
            <a:ext uri="{FF2B5EF4-FFF2-40B4-BE49-F238E27FC236}">
              <a16:creationId xmlns:a16="http://schemas.microsoft.com/office/drawing/2014/main" id="{00000000-0008-0000-0D00-00001B000000}"/>
            </a:ext>
          </a:extLst>
        </xdr:cNvPr>
        <xdr:cNvPicPr>
          <a:picLocks noChangeAspect="1"/>
        </xdr:cNvPicPr>
      </xdr:nvPicPr>
      <xdr:blipFill>
        <a:blip xmlns:r="http://schemas.openxmlformats.org/officeDocument/2006/relationships" r:embed="rId12"/>
        <a:stretch>
          <a:fillRect/>
        </a:stretch>
      </xdr:blipFill>
      <xdr:spPr>
        <a:xfrm>
          <a:off x="302895" y="5646420"/>
          <a:ext cx="924140" cy="773430"/>
        </a:xfrm>
        <a:prstGeom prst="rect">
          <a:avLst/>
        </a:prstGeom>
      </xdr:spPr>
    </xdr:pic>
    <xdr:clientData/>
  </xdr:twoCellAnchor>
  <xdr:twoCellAnchor editAs="oneCell">
    <xdr:from>
      <xdr:col>1</xdr:col>
      <xdr:colOff>264795</xdr:colOff>
      <xdr:row>71</xdr:row>
      <xdr:rowOff>24734</xdr:rowOff>
    </xdr:from>
    <xdr:to>
      <xdr:col>2</xdr:col>
      <xdr:colOff>320040</xdr:colOff>
      <xdr:row>73</xdr:row>
      <xdr:rowOff>168864</xdr:rowOff>
    </xdr:to>
    <xdr:pic>
      <xdr:nvPicPr>
        <xdr:cNvPr id="28" name="Imagem 27">
          <a:extLst>
            <a:ext uri="{FF2B5EF4-FFF2-40B4-BE49-F238E27FC236}">
              <a16:creationId xmlns:a16="http://schemas.microsoft.com/office/drawing/2014/main" id="{00000000-0008-0000-0D00-00001C000000}"/>
            </a:ext>
          </a:extLst>
        </xdr:cNvPr>
        <xdr:cNvPicPr>
          <a:picLocks noChangeAspect="1"/>
        </xdr:cNvPicPr>
      </xdr:nvPicPr>
      <xdr:blipFill>
        <a:blip xmlns:r="http://schemas.openxmlformats.org/officeDocument/2006/relationships" r:embed="rId13"/>
        <a:stretch>
          <a:fillRect/>
        </a:stretch>
      </xdr:blipFill>
      <xdr:spPr>
        <a:xfrm>
          <a:off x="424815" y="14944694"/>
          <a:ext cx="649605" cy="509890"/>
        </a:xfrm>
        <a:prstGeom prst="rect">
          <a:avLst/>
        </a:prstGeom>
      </xdr:spPr>
    </xdr:pic>
    <xdr:clientData/>
  </xdr:twoCellAnchor>
  <xdr:twoCellAnchor editAs="oneCell">
    <xdr:from>
      <xdr:col>1</xdr:col>
      <xdr:colOff>333375</xdr:colOff>
      <xdr:row>64</xdr:row>
      <xdr:rowOff>39804</xdr:rowOff>
    </xdr:from>
    <xdr:to>
      <xdr:col>2</xdr:col>
      <xdr:colOff>224790</xdr:colOff>
      <xdr:row>66</xdr:row>
      <xdr:rowOff>246579</xdr:rowOff>
    </xdr:to>
    <xdr:pic>
      <xdr:nvPicPr>
        <xdr:cNvPr id="35" name="Imagem 34">
          <a:extLst>
            <a:ext uri="{FF2B5EF4-FFF2-40B4-BE49-F238E27FC236}">
              <a16:creationId xmlns:a16="http://schemas.microsoft.com/office/drawing/2014/main" id="{00000000-0008-0000-0D00-000023000000}"/>
            </a:ext>
          </a:extLst>
        </xdr:cNvPr>
        <xdr:cNvPicPr>
          <a:picLocks noChangeAspect="1"/>
        </xdr:cNvPicPr>
      </xdr:nvPicPr>
      <xdr:blipFill>
        <a:blip xmlns:r="http://schemas.openxmlformats.org/officeDocument/2006/relationships" r:embed="rId14"/>
        <a:stretch>
          <a:fillRect/>
        </a:stretch>
      </xdr:blipFill>
      <xdr:spPr>
        <a:xfrm>
          <a:off x="495300" y="12508029"/>
          <a:ext cx="481965" cy="778275"/>
        </a:xfrm>
        <a:prstGeom prst="rect">
          <a:avLst/>
        </a:prstGeom>
      </xdr:spPr>
    </xdr:pic>
    <xdr:clientData/>
  </xdr:twoCellAnchor>
  <xdr:twoCellAnchor editAs="oneCell">
    <xdr:from>
      <xdr:col>1</xdr:col>
      <xdr:colOff>217171</xdr:colOff>
      <xdr:row>68</xdr:row>
      <xdr:rowOff>120796</xdr:rowOff>
    </xdr:from>
    <xdr:to>
      <xdr:col>2</xdr:col>
      <xdr:colOff>342900</xdr:colOff>
      <xdr:row>69</xdr:row>
      <xdr:rowOff>419191</xdr:rowOff>
    </xdr:to>
    <xdr:pic>
      <xdr:nvPicPr>
        <xdr:cNvPr id="36" name="Imagem 35">
          <a:extLst>
            <a:ext uri="{FF2B5EF4-FFF2-40B4-BE49-F238E27FC236}">
              <a16:creationId xmlns:a16="http://schemas.microsoft.com/office/drawing/2014/main" id="{00000000-0008-0000-0D00-000024000000}"/>
            </a:ext>
          </a:extLst>
        </xdr:cNvPr>
        <xdr:cNvPicPr>
          <a:picLocks noChangeAspect="1"/>
        </xdr:cNvPicPr>
      </xdr:nvPicPr>
      <xdr:blipFill>
        <a:blip xmlns:r="http://schemas.openxmlformats.org/officeDocument/2006/relationships" r:embed="rId15"/>
        <a:stretch>
          <a:fillRect/>
        </a:stretch>
      </xdr:blipFill>
      <xdr:spPr>
        <a:xfrm>
          <a:off x="377191" y="13692016"/>
          <a:ext cx="720089" cy="869895"/>
        </a:xfrm>
        <a:prstGeom prst="rect">
          <a:avLst/>
        </a:prstGeom>
      </xdr:spPr>
    </xdr:pic>
    <xdr:clientData/>
  </xdr:twoCellAnchor>
  <xdr:twoCellAnchor editAs="oneCell">
    <xdr:from>
      <xdr:col>1</xdr:col>
      <xdr:colOff>228601</xdr:colOff>
      <xdr:row>78</xdr:row>
      <xdr:rowOff>265751</xdr:rowOff>
    </xdr:from>
    <xdr:to>
      <xdr:col>2</xdr:col>
      <xdr:colOff>360046</xdr:colOff>
      <xdr:row>79</xdr:row>
      <xdr:rowOff>396764</xdr:rowOff>
    </xdr:to>
    <xdr:pic>
      <xdr:nvPicPr>
        <xdr:cNvPr id="37" name="Imagem 36">
          <a:extLst>
            <a:ext uri="{FF2B5EF4-FFF2-40B4-BE49-F238E27FC236}">
              <a16:creationId xmlns:a16="http://schemas.microsoft.com/office/drawing/2014/main" id="{00000000-0008-0000-0D00-000025000000}"/>
            </a:ext>
          </a:extLst>
        </xdr:cNvPr>
        <xdr:cNvPicPr>
          <a:picLocks noChangeAspect="1"/>
        </xdr:cNvPicPr>
      </xdr:nvPicPr>
      <xdr:blipFill>
        <a:blip xmlns:r="http://schemas.openxmlformats.org/officeDocument/2006/relationships" r:embed="rId16"/>
        <a:stretch>
          <a:fillRect/>
        </a:stretch>
      </xdr:blipFill>
      <xdr:spPr>
        <a:xfrm>
          <a:off x="304801" y="18763301"/>
          <a:ext cx="723900" cy="748233"/>
        </a:xfrm>
        <a:prstGeom prst="rect">
          <a:avLst/>
        </a:prstGeom>
      </xdr:spPr>
    </xdr:pic>
    <xdr:clientData/>
  </xdr:twoCellAnchor>
  <xdr:twoCellAnchor editAs="oneCell">
    <xdr:from>
      <xdr:col>1</xdr:col>
      <xdr:colOff>0</xdr:colOff>
      <xdr:row>1</xdr:row>
      <xdr:rowOff>0</xdr:rowOff>
    </xdr:from>
    <xdr:to>
      <xdr:col>4</xdr:col>
      <xdr:colOff>517845</xdr:colOff>
      <xdr:row>5</xdr:row>
      <xdr:rowOff>16792</xdr:rowOff>
    </xdr:to>
    <xdr:pic>
      <xdr:nvPicPr>
        <xdr:cNvPr id="33" name="Picture 1">
          <a:extLst>
            <a:ext uri="{FF2B5EF4-FFF2-40B4-BE49-F238E27FC236}">
              <a16:creationId xmlns:a16="http://schemas.microsoft.com/office/drawing/2014/main" id="{00000000-0008-0000-0D00-000021000000}"/>
            </a:ext>
          </a:extLst>
        </xdr:cNvPr>
        <xdr:cNvPicPr>
          <a:picLocks noChangeAspect="1"/>
        </xdr:cNvPicPr>
      </xdr:nvPicPr>
      <xdr:blipFill>
        <a:blip xmlns:r="http://schemas.openxmlformats.org/officeDocument/2006/relationships" r:embed="rId17"/>
        <a:stretch>
          <a:fillRect/>
        </a:stretch>
      </xdr:blipFill>
      <xdr:spPr>
        <a:xfrm rot="5400000">
          <a:off x="1006811" y="-625811"/>
          <a:ext cx="792127" cy="2520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285750</xdr:colOff>
      <xdr:row>84</xdr:row>
      <xdr:rowOff>19050</xdr:rowOff>
    </xdr:from>
    <xdr:to>
      <xdr:col>2</xdr:col>
      <xdr:colOff>281940</xdr:colOff>
      <xdr:row>88</xdr:row>
      <xdr:rowOff>57150</xdr:rowOff>
    </xdr:to>
    <xdr:pic>
      <xdr:nvPicPr>
        <xdr:cNvPr id="96225" name="Picture 1" descr="18teehxhxh.tif">
          <a:extLst>
            <a:ext uri="{FF2B5EF4-FFF2-40B4-BE49-F238E27FC236}">
              <a16:creationId xmlns:a16="http://schemas.microsoft.com/office/drawing/2014/main" id="{00000000-0008-0000-0E00-0000E1770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866900"/>
          <a:ext cx="5715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274320</xdr:colOff>
      <xdr:row>89</xdr:row>
      <xdr:rowOff>76200</xdr:rowOff>
    </xdr:from>
    <xdr:to>
      <xdr:col>2</xdr:col>
      <xdr:colOff>167640</xdr:colOff>
      <xdr:row>89</xdr:row>
      <xdr:rowOff>517472</xdr:rowOff>
    </xdr:to>
    <xdr:pic>
      <xdr:nvPicPr>
        <xdr:cNvPr id="96227" name="Picture 3" descr="19crosshxhxhxhxh.tif">
          <a:extLst>
            <a:ext uri="{FF2B5EF4-FFF2-40B4-BE49-F238E27FC236}">
              <a16:creationId xmlns:a16="http://schemas.microsoft.com/office/drawing/2014/main" id="{00000000-0008-0000-0E00-0000E37701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6245" y="4143375"/>
          <a:ext cx="487680" cy="4374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314325</xdr:colOff>
      <xdr:row>97</xdr:row>
      <xdr:rowOff>123826</xdr:rowOff>
    </xdr:from>
    <xdr:to>
      <xdr:col>2</xdr:col>
      <xdr:colOff>325755</xdr:colOff>
      <xdr:row>101</xdr:row>
      <xdr:rowOff>15241</xdr:rowOff>
    </xdr:to>
    <xdr:pic>
      <xdr:nvPicPr>
        <xdr:cNvPr id="96228" name="Picture 4" descr="36-730A.tif">
          <a:extLst>
            <a:ext uri="{FF2B5EF4-FFF2-40B4-BE49-F238E27FC236}">
              <a16:creationId xmlns:a16="http://schemas.microsoft.com/office/drawing/2014/main" id="{00000000-0008-0000-0E00-0000E47701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6725" y="5619751"/>
          <a:ext cx="598170" cy="6534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409575</xdr:colOff>
      <xdr:row>103</xdr:row>
      <xdr:rowOff>84455</xdr:rowOff>
    </xdr:from>
    <xdr:to>
      <xdr:col>2</xdr:col>
      <xdr:colOff>247650</xdr:colOff>
      <xdr:row>103</xdr:row>
      <xdr:rowOff>548640</xdr:rowOff>
    </xdr:to>
    <xdr:pic>
      <xdr:nvPicPr>
        <xdr:cNvPr id="96229" name="Picture 5" descr="36-731B.tif">
          <a:extLst>
            <a:ext uri="{FF2B5EF4-FFF2-40B4-BE49-F238E27FC236}">
              <a16:creationId xmlns:a16="http://schemas.microsoft.com/office/drawing/2014/main" id="{00000000-0008-0000-0E00-0000E57701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81025" y="7104380"/>
          <a:ext cx="419100" cy="473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171450</xdr:colOff>
      <xdr:row>104</xdr:row>
      <xdr:rowOff>38100</xdr:rowOff>
    </xdr:from>
    <xdr:to>
      <xdr:col>2</xdr:col>
      <xdr:colOff>325755</xdr:colOff>
      <xdr:row>105</xdr:row>
      <xdr:rowOff>285750</xdr:rowOff>
    </xdr:to>
    <xdr:pic>
      <xdr:nvPicPr>
        <xdr:cNvPr id="96230" name="Picture 6" descr="36-736.tif">
          <a:extLst>
            <a:ext uri="{FF2B5EF4-FFF2-40B4-BE49-F238E27FC236}">
              <a16:creationId xmlns:a16="http://schemas.microsoft.com/office/drawing/2014/main" id="{00000000-0008-0000-0E00-0000E67701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42900" y="8239125"/>
          <a:ext cx="74104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62</xdr:row>
      <xdr:rowOff>85725</xdr:rowOff>
    </xdr:from>
    <xdr:to>
      <xdr:col>2</xdr:col>
      <xdr:colOff>247650</xdr:colOff>
      <xdr:row>65</xdr:row>
      <xdr:rowOff>59055</xdr:rowOff>
    </xdr:to>
    <xdr:pic>
      <xdr:nvPicPr>
        <xdr:cNvPr id="96232" name="Picture 8" descr="36-677.tif">
          <a:extLst>
            <a:ext uri="{FF2B5EF4-FFF2-40B4-BE49-F238E27FC236}">
              <a16:creationId xmlns:a16="http://schemas.microsoft.com/office/drawing/2014/main" id="{00000000-0008-0000-0E00-0000E87701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57200" y="25869900"/>
          <a:ext cx="5238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285751</xdr:colOff>
      <xdr:row>66</xdr:row>
      <xdr:rowOff>76200</xdr:rowOff>
    </xdr:from>
    <xdr:to>
      <xdr:col>2</xdr:col>
      <xdr:colOff>129541</xdr:colOff>
      <xdr:row>67</xdr:row>
      <xdr:rowOff>193229</xdr:rowOff>
    </xdr:to>
    <xdr:pic>
      <xdr:nvPicPr>
        <xdr:cNvPr id="96233" name="Picture 9" descr="36-680.tif">
          <a:extLst>
            <a:ext uri="{FF2B5EF4-FFF2-40B4-BE49-F238E27FC236}">
              <a16:creationId xmlns:a16="http://schemas.microsoft.com/office/drawing/2014/main" id="{00000000-0008-0000-0E00-0000E97701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38151" y="19478625"/>
          <a:ext cx="419100" cy="410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295275</xdr:colOff>
      <xdr:row>55</xdr:row>
      <xdr:rowOff>66675</xdr:rowOff>
    </xdr:from>
    <xdr:to>
      <xdr:col>2</xdr:col>
      <xdr:colOff>190500</xdr:colOff>
      <xdr:row>57</xdr:row>
      <xdr:rowOff>129540</xdr:rowOff>
    </xdr:to>
    <xdr:pic>
      <xdr:nvPicPr>
        <xdr:cNvPr id="96234" name="Picture 10" descr="36-683.tif">
          <a:extLst>
            <a:ext uri="{FF2B5EF4-FFF2-40B4-BE49-F238E27FC236}">
              <a16:creationId xmlns:a16="http://schemas.microsoft.com/office/drawing/2014/main" id="{00000000-0008-0000-0E00-0000EA7701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09575" y="21802725"/>
          <a:ext cx="4762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58</xdr:row>
      <xdr:rowOff>180975</xdr:rowOff>
    </xdr:from>
    <xdr:to>
      <xdr:col>2</xdr:col>
      <xdr:colOff>169545</xdr:colOff>
      <xdr:row>60</xdr:row>
      <xdr:rowOff>171450</xdr:rowOff>
    </xdr:to>
    <xdr:pic>
      <xdr:nvPicPr>
        <xdr:cNvPr id="96235" name="Picture 11" descr="36-742.tif">
          <a:extLst>
            <a:ext uri="{FF2B5EF4-FFF2-40B4-BE49-F238E27FC236}">
              <a16:creationId xmlns:a16="http://schemas.microsoft.com/office/drawing/2014/main" id="{00000000-0008-0000-0E00-0000EB7701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57200" y="28060650"/>
          <a:ext cx="4572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342900</xdr:colOff>
      <xdr:row>78</xdr:row>
      <xdr:rowOff>123825</xdr:rowOff>
    </xdr:from>
    <xdr:to>
      <xdr:col>2</xdr:col>
      <xdr:colOff>209550</xdr:colOff>
      <xdr:row>81</xdr:row>
      <xdr:rowOff>38100</xdr:rowOff>
    </xdr:to>
    <xdr:pic>
      <xdr:nvPicPr>
        <xdr:cNvPr id="96236" name="Picture 12" descr="36-671.tif">
          <a:extLst>
            <a:ext uri="{FF2B5EF4-FFF2-40B4-BE49-F238E27FC236}">
              <a16:creationId xmlns:a16="http://schemas.microsoft.com/office/drawing/2014/main" id="{00000000-0008-0000-0E00-0000EC7701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95300" y="23088600"/>
          <a:ext cx="4476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381001</xdr:colOff>
      <xdr:row>75</xdr:row>
      <xdr:rowOff>38101</xdr:rowOff>
    </xdr:from>
    <xdr:to>
      <xdr:col>2</xdr:col>
      <xdr:colOff>192224</xdr:colOff>
      <xdr:row>77</xdr:row>
      <xdr:rowOff>116206</xdr:rowOff>
    </xdr:to>
    <xdr:pic>
      <xdr:nvPicPr>
        <xdr:cNvPr id="96237" name="Picture 13" descr="36-674.tif">
          <a:extLst>
            <a:ext uri="{FF2B5EF4-FFF2-40B4-BE49-F238E27FC236}">
              <a16:creationId xmlns:a16="http://schemas.microsoft.com/office/drawing/2014/main" id="{00000000-0008-0000-0E00-0000ED7701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52451" y="17230726"/>
          <a:ext cx="392248"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381000</xdr:colOff>
      <xdr:row>68</xdr:row>
      <xdr:rowOff>67418</xdr:rowOff>
    </xdr:from>
    <xdr:to>
      <xdr:col>2</xdr:col>
      <xdr:colOff>247650</xdr:colOff>
      <xdr:row>70</xdr:row>
      <xdr:rowOff>173354</xdr:rowOff>
    </xdr:to>
    <xdr:pic>
      <xdr:nvPicPr>
        <xdr:cNvPr id="96238" name="Picture 14" descr="36-668.tif">
          <a:extLst>
            <a:ext uri="{FF2B5EF4-FFF2-40B4-BE49-F238E27FC236}">
              <a16:creationId xmlns:a16="http://schemas.microsoft.com/office/drawing/2014/main" id="{00000000-0008-0000-0E00-0000EE7701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52450" y="19222193"/>
          <a:ext cx="447675" cy="465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381000</xdr:colOff>
      <xdr:row>71</xdr:row>
      <xdr:rowOff>114300</xdr:rowOff>
    </xdr:from>
    <xdr:to>
      <xdr:col>2</xdr:col>
      <xdr:colOff>209550</xdr:colOff>
      <xdr:row>74</xdr:row>
      <xdr:rowOff>20955</xdr:rowOff>
    </xdr:to>
    <xdr:pic>
      <xdr:nvPicPr>
        <xdr:cNvPr id="96239" name="Picture 15" descr="36-1043.tif">
          <a:extLst>
            <a:ext uri="{FF2B5EF4-FFF2-40B4-BE49-F238E27FC236}">
              <a16:creationId xmlns:a16="http://schemas.microsoft.com/office/drawing/2014/main" id="{00000000-0008-0000-0E00-0000EF7701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52450" y="19840575"/>
          <a:ext cx="4095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295275</xdr:colOff>
      <xdr:row>8</xdr:row>
      <xdr:rowOff>161925</xdr:rowOff>
    </xdr:from>
    <xdr:to>
      <xdr:col>2</xdr:col>
      <xdr:colOff>283845</xdr:colOff>
      <xdr:row>11</xdr:row>
      <xdr:rowOff>76200</xdr:rowOff>
    </xdr:to>
    <xdr:pic>
      <xdr:nvPicPr>
        <xdr:cNvPr id="96246" name="Picture 33" descr="09cap.tif">
          <a:extLst>
            <a:ext uri="{FF2B5EF4-FFF2-40B4-BE49-F238E27FC236}">
              <a16:creationId xmlns:a16="http://schemas.microsoft.com/office/drawing/2014/main" id="{00000000-0008-0000-0E00-0000F67701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66725" y="1819275"/>
          <a:ext cx="57721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342900</xdr:colOff>
      <xdr:row>35</xdr:row>
      <xdr:rowOff>123825</xdr:rowOff>
    </xdr:from>
    <xdr:to>
      <xdr:col>2</xdr:col>
      <xdr:colOff>250758</xdr:colOff>
      <xdr:row>37</xdr:row>
      <xdr:rowOff>167640</xdr:rowOff>
    </xdr:to>
    <xdr:pic>
      <xdr:nvPicPr>
        <xdr:cNvPr id="96247" name="Picture 32" descr="05fitcleanspig.tif">
          <a:extLst>
            <a:ext uri="{FF2B5EF4-FFF2-40B4-BE49-F238E27FC236}">
              <a16:creationId xmlns:a16="http://schemas.microsoft.com/office/drawing/2014/main" id="{00000000-0008-0000-0E00-0000F77701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14350" y="11915775"/>
          <a:ext cx="481263"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161925</xdr:colOff>
      <xdr:row>33</xdr:row>
      <xdr:rowOff>76200</xdr:rowOff>
    </xdr:from>
    <xdr:to>
      <xdr:col>2</xdr:col>
      <xdr:colOff>321945</xdr:colOff>
      <xdr:row>34</xdr:row>
      <xdr:rowOff>247650</xdr:rowOff>
    </xdr:to>
    <xdr:pic>
      <xdr:nvPicPr>
        <xdr:cNvPr id="96249" name="Picture 30" descr="06ANEWFemadaptplug.tif">
          <a:extLst>
            <a:ext uri="{FF2B5EF4-FFF2-40B4-BE49-F238E27FC236}">
              <a16:creationId xmlns:a16="http://schemas.microsoft.com/office/drawing/2014/main" id="{00000000-0008-0000-0E00-0000F97701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76225" y="10906125"/>
          <a:ext cx="7524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285749</xdr:colOff>
      <xdr:row>38</xdr:row>
      <xdr:rowOff>95250</xdr:rowOff>
    </xdr:from>
    <xdr:to>
      <xdr:col>2</xdr:col>
      <xdr:colOff>228599</xdr:colOff>
      <xdr:row>39</xdr:row>
      <xdr:rowOff>249555</xdr:rowOff>
    </xdr:to>
    <xdr:pic>
      <xdr:nvPicPr>
        <xdr:cNvPr id="96250" name="Picture 29" descr="29maleadapthubxmipt.tif">
          <a:extLst>
            <a:ext uri="{FF2B5EF4-FFF2-40B4-BE49-F238E27FC236}">
              <a16:creationId xmlns:a16="http://schemas.microsoft.com/office/drawing/2014/main" id="{00000000-0008-0000-0E00-0000FA7701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438149" y="17449800"/>
          <a:ext cx="5238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285750</xdr:colOff>
      <xdr:row>118</xdr:row>
      <xdr:rowOff>95251</xdr:rowOff>
    </xdr:from>
    <xdr:to>
      <xdr:col>2</xdr:col>
      <xdr:colOff>247504</xdr:colOff>
      <xdr:row>119</xdr:row>
      <xdr:rowOff>300991</xdr:rowOff>
    </xdr:to>
    <xdr:pic>
      <xdr:nvPicPr>
        <xdr:cNvPr id="96251" name="Picture 28" descr="07saddlewyewss.tif">
          <a:extLst>
            <a:ext uri="{FF2B5EF4-FFF2-40B4-BE49-F238E27FC236}">
              <a16:creationId xmlns:a16="http://schemas.microsoft.com/office/drawing/2014/main" id="{00000000-0008-0000-0E00-0000FB7701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38150" y="27603451"/>
          <a:ext cx="550399"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371476</xdr:colOff>
      <xdr:row>117</xdr:row>
      <xdr:rowOff>57151</xdr:rowOff>
    </xdr:from>
    <xdr:to>
      <xdr:col>2</xdr:col>
      <xdr:colOff>211025</xdr:colOff>
      <xdr:row>117</xdr:row>
      <xdr:rowOff>434341</xdr:rowOff>
    </xdr:to>
    <xdr:pic>
      <xdr:nvPicPr>
        <xdr:cNvPr id="96252" name="Picture 27" descr="08saddleteewss.tif">
          <a:extLst>
            <a:ext uri="{FF2B5EF4-FFF2-40B4-BE49-F238E27FC236}">
              <a16:creationId xmlns:a16="http://schemas.microsoft.com/office/drawing/2014/main" id="{00000000-0008-0000-0E00-0000FC7701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23876" y="27089101"/>
          <a:ext cx="409144"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257175</xdr:colOff>
      <xdr:row>110</xdr:row>
      <xdr:rowOff>133350</xdr:rowOff>
    </xdr:from>
    <xdr:to>
      <xdr:col>2</xdr:col>
      <xdr:colOff>360045</xdr:colOff>
      <xdr:row>113</xdr:row>
      <xdr:rowOff>1905</xdr:rowOff>
    </xdr:to>
    <xdr:pic>
      <xdr:nvPicPr>
        <xdr:cNvPr id="96253" name="Picture 26" descr="21cleanoutplug.tif">
          <a:extLst>
            <a:ext uri="{FF2B5EF4-FFF2-40B4-BE49-F238E27FC236}">
              <a16:creationId xmlns:a16="http://schemas.microsoft.com/office/drawing/2014/main" id="{00000000-0008-0000-0E00-0000FD7701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09575" y="21840825"/>
          <a:ext cx="68389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304801</xdr:colOff>
      <xdr:row>114</xdr:row>
      <xdr:rowOff>76200</xdr:rowOff>
    </xdr:from>
    <xdr:to>
      <xdr:col>2</xdr:col>
      <xdr:colOff>171450</xdr:colOff>
      <xdr:row>115</xdr:row>
      <xdr:rowOff>171450</xdr:rowOff>
    </xdr:to>
    <xdr:pic>
      <xdr:nvPicPr>
        <xdr:cNvPr id="96254" name="Picture 25" descr="22cleanoutthrplug.tif">
          <a:extLst>
            <a:ext uri="{FF2B5EF4-FFF2-40B4-BE49-F238E27FC236}">
              <a16:creationId xmlns:a16="http://schemas.microsoft.com/office/drawing/2014/main" id="{00000000-0008-0000-0E00-0000FE7701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457201" y="22545675"/>
          <a:ext cx="447674" cy="379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295276</xdr:colOff>
      <xdr:row>108</xdr:row>
      <xdr:rowOff>152400</xdr:rowOff>
    </xdr:from>
    <xdr:to>
      <xdr:col>2</xdr:col>
      <xdr:colOff>285750</xdr:colOff>
      <xdr:row>109</xdr:row>
      <xdr:rowOff>400050</xdr:rowOff>
    </xdr:to>
    <xdr:pic>
      <xdr:nvPicPr>
        <xdr:cNvPr id="96255" name="Picture 24" descr="25twowayhxhxh.tif">
          <a:extLst>
            <a:ext uri="{FF2B5EF4-FFF2-40B4-BE49-F238E27FC236}">
              <a16:creationId xmlns:a16="http://schemas.microsoft.com/office/drawing/2014/main" id="{00000000-0008-0000-0E00-0000FF7701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7676" y="12325350"/>
          <a:ext cx="571499"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200025</xdr:colOff>
      <xdr:row>128</xdr:row>
      <xdr:rowOff>104775</xdr:rowOff>
    </xdr:from>
    <xdr:to>
      <xdr:col>2</xdr:col>
      <xdr:colOff>323850</xdr:colOff>
      <xdr:row>131</xdr:row>
      <xdr:rowOff>91440</xdr:rowOff>
    </xdr:to>
    <xdr:pic>
      <xdr:nvPicPr>
        <xdr:cNvPr id="98304" name="Picture 23" descr="27adaptdownsewhub.tif">
          <a:extLst>
            <a:ext uri="{FF2B5EF4-FFF2-40B4-BE49-F238E27FC236}">
              <a16:creationId xmlns:a16="http://schemas.microsoft.com/office/drawing/2014/main" id="{00000000-0008-0000-0E00-0000008001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352425" y="19783425"/>
          <a:ext cx="7048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257175</xdr:colOff>
      <xdr:row>124</xdr:row>
      <xdr:rowOff>104775</xdr:rowOff>
    </xdr:from>
    <xdr:to>
      <xdr:col>2</xdr:col>
      <xdr:colOff>304800</xdr:colOff>
      <xdr:row>127</xdr:row>
      <xdr:rowOff>76200</xdr:rowOff>
    </xdr:to>
    <xdr:pic>
      <xdr:nvPicPr>
        <xdr:cNvPr id="98305" name="Picture 22" descr="28adaptdownflushhub.tif">
          <a:extLst>
            <a:ext uri="{FF2B5EF4-FFF2-40B4-BE49-F238E27FC236}">
              <a16:creationId xmlns:a16="http://schemas.microsoft.com/office/drawing/2014/main" id="{00000000-0008-0000-0E00-0000018001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09575" y="19021425"/>
          <a:ext cx="6286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323850</xdr:colOff>
      <xdr:row>2</xdr:row>
      <xdr:rowOff>123825</xdr:rowOff>
    </xdr:from>
    <xdr:to>
      <xdr:col>10</xdr:col>
      <xdr:colOff>323850</xdr:colOff>
      <xdr:row>5</xdr:row>
      <xdr:rowOff>142875</xdr:rowOff>
    </xdr:to>
    <xdr:cxnSp macro="">
      <xdr:nvCxnSpPr>
        <xdr:cNvPr id="39" name="Straight Arrow Connector 38">
          <a:extLst>
            <a:ext uri="{FF2B5EF4-FFF2-40B4-BE49-F238E27FC236}">
              <a16:creationId xmlns:a16="http://schemas.microsoft.com/office/drawing/2014/main" id="{00000000-0008-0000-0E00-000027000000}"/>
            </a:ext>
          </a:extLst>
        </xdr:cNvPr>
        <xdr:cNvCxnSpPr/>
      </xdr:nvCxnSpPr>
      <xdr:spPr>
        <a:xfrm>
          <a:off x="8343900" y="552450"/>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257175</xdr:colOff>
      <xdr:row>91</xdr:row>
      <xdr:rowOff>0</xdr:rowOff>
    </xdr:from>
    <xdr:to>
      <xdr:col>2</xdr:col>
      <xdr:colOff>362442</xdr:colOff>
      <xdr:row>95</xdr:row>
      <xdr:rowOff>93345</xdr:rowOff>
    </xdr:to>
    <xdr:pic>
      <xdr:nvPicPr>
        <xdr:cNvPr id="40" name="Picture 103" descr="30-29santee02.tif">
          <a:extLst>
            <a:ext uri="{FF2B5EF4-FFF2-40B4-BE49-F238E27FC236}">
              <a16:creationId xmlns:a16="http://schemas.microsoft.com/office/drawing/2014/main" id="{00000000-0008-0000-0E00-000028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09575" y="3943350"/>
          <a:ext cx="671052"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417195</xdr:colOff>
      <xdr:row>107</xdr:row>
      <xdr:rowOff>38100</xdr:rowOff>
    </xdr:from>
    <xdr:to>
      <xdr:col>2</xdr:col>
      <xdr:colOff>207857</xdr:colOff>
      <xdr:row>108</xdr:row>
      <xdr:rowOff>0</xdr:rowOff>
    </xdr:to>
    <xdr:pic>
      <xdr:nvPicPr>
        <xdr:cNvPr id="45" name="Picture 47">
          <a:extLst>
            <a:ext uri="{FF2B5EF4-FFF2-40B4-BE49-F238E27FC236}">
              <a16:creationId xmlns:a16="http://schemas.microsoft.com/office/drawing/2014/main" id="{00000000-0008-0000-0E00-00002D00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79120" y="8924925"/>
          <a:ext cx="390737"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381000</xdr:colOff>
      <xdr:row>40</xdr:row>
      <xdr:rowOff>47625</xdr:rowOff>
    </xdr:from>
    <xdr:to>
      <xdr:col>2</xdr:col>
      <xdr:colOff>152400</xdr:colOff>
      <xdr:row>40</xdr:row>
      <xdr:rowOff>476062</xdr:rowOff>
    </xdr:to>
    <xdr:pic>
      <xdr:nvPicPr>
        <xdr:cNvPr id="46" name="Picture 4">
          <a:extLst>
            <a:ext uri="{FF2B5EF4-FFF2-40B4-BE49-F238E27FC236}">
              <a16:creationId xmlns:a16="http://schemas.microsoft.com/office/drawing/2014/main" id="{00000000-0008-0000-0E00-00002E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533400" y="14525625"/>
          <a:ext cx="352425" cy="441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333375</xdr:colOff>
      <xdr:row>41</xdr:row>
      <xdr:rowOff>28576</xdr:rowOff>
    </xdr:from>
    <xdr:to>
      <xdr:col>2</xdr:col>
      <xdr:colOff>230054</xdr:colOff>
      <xdr:row>43</xdr:row>
      <xdr:rowOff>167641</xdr:rowOff>
    </xdr:to>
    <xdr:pic>
      <xdr:nvPicPr>
        <xdr:cNvPr id="47" name="Picture 53">
          <a:extLst>
            <a:ext uri="{FF2B5EF4-FFF2-40B4-BE49-F238E27FC236}">
              <a16:creationId xmlns:a16="http://schemas.microsoft.com/office/drawing/2014/main" id="{00000000-0008-0000-0E00-00002F000000}"/>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504825" y="11058526"/>
          <a:ext cx="47770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30</xdr:row>
      <xdr:rowOff>66676</xdr:rowOff>
    </xdr:from>
    <xdr:to>
      <xdr:col>2</xdr:col>
      <xdr:colOff>286776</xdr:colOff>
      <xdr:row>32</xdr:row>
      <xdr:rowOff>91441</xdr:rowOff>
    </xdr:to>
    <xdr:pic>
      <xdr:nvPicPr>
        <xdr:cNvPr id="48" name="Picture 2">
          <a:extLst>
            <a:ext uri="{FF2B5EF4-FFF2-40B4-BE49-F238E27FC236}">
              <a16:creationId xmlns:a16="http://schemas.microsoft.com/office/drawing/2014/main" id="{00000000-0008-0000-0E00-000030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476250" y="12658726"/>
          <a:ext cx="555381"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247650</xdr:colOff>
      <xdr:row>121</xdr:row>
      <xdr:rowOff>47625</xdr:rowOff>
    </xdr:from>
    <xdr:to>
      <xdr:col>2</xdr:col>
      <xdr:colOff>266700</xdr:colOff>
      <xdr:row>123</xdr:row>
      <xdr:rowOff>136121</xdr:rowOff>
    </xdr:to>
    <xdr:pic>
      <xdr:nvPicPr>
        <xdr:cNvPr id="49" name="Picture 5">
          <a:extLst>
            <a:ext uri="{FF2B5EF4-FFF2-40B4-BE49-F238E27FC236}">
              <a16:creationId xmlns:a16="http://schemas.microsoft.com/office/drawing/2014/main" id="{00000000-0008-0000-0E00-000031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00050" y="18392775"/>
          <a:ext cx="600075" cy="467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274320</xdr:colOff>
      <xdr:row>13</xdr:row>
      <xdr:rowOff>312420</xdr:rowOff>
    </xdr:from>
    <xdr:to>
      <xdr:col>2</xdr:col>
      <xdr:colOff>265541</xdr:colOff>
      <xdr:row>15</xdr:row>
      <xdr:rowOff>20955</xdr:rowOff>
    </xdr:to>
    <xdr:pic>
      <xdr:nvPicPr>
        <xdr:cNvPr id="50" name="Picture 40" descr="01stopcouplinghxh.tif">
          <a:extLst>
            <a:ext uri="{FF2B5EF4-FFF2-40B4-BE49-F238E27FC236}">
              <a16:creationId xmlns:a16="http://schemas.microsoft.com/office/drawing/2014/main" id="{00000000-0008-0000-0E00-000032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436245" y="21877020"/>
          <a:ext cx="581771"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238125</xdr:colOff>
      <xdr:row>18</xdr:row>
      <xdr:rowOff>66675</xdr:rowOff>
    </xdr:from>
    <xdr:to>
      <xdr:col>2</xdr:col>
      <xdr:colOff>320040</xdr:colOff>
      <xdr:row>21</xdr:row>
      <xdr:rowOff>133350</xdr:rowOff>
    </xdr:to>
    <xdr:pic>
      <xdr:nvPicPr>
        <xdr:cNvPr id="51" name="Picture 21" descr="02inccouplinghxh.tif">
          <a:extLst>
            <a:ext uri="{FF2B5EF4-FFF2-40B4-BE49-F238E27FC236}">
              <a16:creationId xmlns:a16="http://schemas.microsoft.com/office/drawing/2014/main" id="{00000000-0008-0000-0E00-000033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09575" y="27603450"/>
          <a:ext cx="66294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44</xdr:row>
      <xdr:rowOff>133350</xdr:rowOff>
    </xdr:from>
    <xdr:to>
      <xdr:col>2</xdr:col>
      <xdr:colOff>281940</xdr:colOff>
      <xdr:row>47</xdr:row>
      <xdr:rowOff>173355</xdr:rowOff>
    </xdr:to>
    <xdr:pic>
      <xdr:nvPicPr>
        <xdr:cNvPr id="52" name="Picture 25" descr="26dwvbushsewspighub.tif">
          <a:extLst>
            <a:ext uri="{FF2B5EF4-FFF2-40B4-BE49-F238E27FC236}">
              <a16:creationId xmlns:a16="http://schemas.microsoft.com/office/drawing/2014/main" id="{00000000-0008-0000-0E00-000034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361950" y="25936575"/>
          <a:ext cx="66675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257175</xdr:colOff>
      <xdr:row>50</xdr:row>
      <xdr:rowOff>85725</xdr:rowOff>
    </xdr:from>
    <xdr:to>
      <xdr:col>2</xdr:col>
      <xdr:colOff>358140</xdr:colOff>
      <xdr:row>53</xdr:row>
      <xdr:rowOff>133350</xdr:rowOff>
    </xdr:to>
    <xdr:pic>
      <xdr:nvPicPr>
        <xdr:cNvPr id="53" name="Picture 81" descr="117-3308.tif">
          <a:extLst>
            <a:ext uri="{FF2B5EF4-FFF2-40B4-BE49-F238E27FC236}">
              <a16:creationId xmlns:a16="http://schemas.microsoft.com/office/drawing/2014/main" id="{00000000-0008-0000-0E00-000035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428625" y="27793950"/>
          <a:ext cx="676275" cy="605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266700</xdr:colOff>
      <xdr:row>22</xdr:row>
      <xdr:rowOff>66675</xdr:rowOff>
    </xdr:from>
    <xdr:to>
      <xdr:col>2</xdr:col>
      <xdr:colOff>396240</xdr:colOff>
      <xdr:row>25</xdr:row>
      <xdr:rowOff>97155</xdr:rowOff>
    </xdr:to>
    <xdr:pic>
      <xdr:nvPicPr>
        <xdr:cNvPr id="54" name="Picture 22" descr="03redbushcon.tif">
          <a:extLst>
            <a:ext uri="{FF2B5EF4-FFF2-40B4-BE49-F238E27FC236}">
              <a16:creationId xmlns:a16="http://schemas.microsoft.com/office/drawing/2014/main" id="{00000000-0008-0000-0E00-00003600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438150" y="33280350"/>
          <a:ext cx="70104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314325</xdr:colOff>
      <xdr:row>26</xdr:row>
      <xdr:rowOff>57150</xdr:rowOff>
    </xdr:from>
    <xdr:to>
      <xdr:col>2</xdr:col>
      <xdr:colOff>285750</xdr:colOff>
      <xdr:row>28</xdr:row>
      <xdr:rowOff>151924</xdr:rowOff>
    </xdr:to>
    <xdr:pic>
      <xdr:nvPicPr>
        <xdr:cNvPr id="55" name="Picture 26" descr="04redbusheccsxh.tif">
          <a:extLst>
            <a:ext uri="{FF2B5EF4-FFF2-40B4-BE49-F238E27FC236}">
              <a16:creationId xmlns:a16="http://schemas.microsoft.com/office/drawing/2014/main" id="{00000000-0008-0000-0E00-000037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485775" y="34042350"/>
          <a:ext cx="552450" cy="475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66675</xdr:colOff>
      <xdr:row>1</xdr:row>
      <xdr:rowOff>19050</xdr:rowOff>
    </xdr:from>
    <xdr:to>
      <xdr:col>13</xdr:col>
      <xdr:colOff>53340</xdr:colOff>
      <xdr:row>5</xdr:row>
      <xdr:rowOff>40959</xdr:rowOff>
    </xdr:to>
    <xdr:pic>
      <xdr:nvPicPr>
        <xdr:cNvPr id="57" name="Picture 42">
          <a:extLst>
            <a:ext uri="{FF2B5EF4-FFF2-40B4-BE49-F238E27FC236}">
              <a16:creationId xmlns:a16="http://schemas.microsoft.com/office/drawing/2014/main" id="{00000000-0008-0000-0E00-000039000000}"/>
            </a:ext>
          </a:extLst>
        </xdr:cNvPr>
        <xdr:cNvPicPr>
          <a:picLocks noChangeAspect="1"/>
        </xdr:cNvPicPr>
      </xdr:nvPicPr>
      <xdr:blipFill rotWithShape="1">
        <a:blip xmlns:r="http://schemas.openxmlformats.org/officeDocument/2006/relationships" r:embed="rId37" cstate="print">
          <a:extLst>
            <a:ext uri="{28A0092B-C50C-407E-A947-70E740481C1C}">
              <a14:useLocalDpi xmlns:a14="http://schemas.microsoft.com/office/drawing/2010/main" val="0"/>
            </a:ext>
          </a:extLst>
        </a:blip>
        <a:srcRect l="12903" t="10485" r="9678" b="10483"/>
        <a:stretch/>
      </xdr:blipFill>
      <xdr:spPr bwMode="auto">
        <a:xfrm>
          <a:off x="9810750" y="257175"/>
          <a:ext cx="777240" cy="793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517845</xdr:colOff>
      <xdr:row>5</xdr:row>
      <xdr:rowOff>20602</xdr:rowOff>
    </xdr:to>
    <xdr:pic>
      <xdr:nvPicPr>
        <xdr:cNvPr id="42" name="Picture 1">
          <a:extLst>
            <a:ext uri="{FF2B5EF4-FFF2-40B4-BE49-F238E27FC236}">
              <a16:creationId xmlns:a16="http://schemas.microsoft.com/office/drawing/2014/main" id="{00000000-0008-0000-0E00-00002A000000}"/>
            </a:ext>
          </a:extLst>
        </xdr:cNvPr>
        <xdr:cNvPicPr>
          <a:picLocks noChangeAspect="1"/>
        </xdr:cNvPicPr>
      </xdr:nvPicPr>
      <xdr:blipFill>
        <a:blip xmlns:r="http://schemas.openxmlformats.org/officeDocument/2006/relationships" r:embed="rId38"/>
        <a:stretch>
          <a:fillRect/>
        </a:stretch>
      </xdr:blipFill>
      <xdr:spPr>
        <a:xfrm rot="5400000">
          <a:off x="1035386" y="-625811"/>
          <a:ext cx="792127" cy="2520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257175</xdr:colOff>
      <xdr:row>102</xdr:row>
      <xdr:rowOff>161926</xdr:rowOff>
    </xdr:from>
    <xdr:to>
      <xdr:col>2</xdr:col>
      <xdr:colOff>363455</xdr:colOff>
      <xdr:row>106</xdr:row>
      <xdr:rowOff>131445</xdr:rowOff>
    </xdr:to>
    <xdr:pic>
      <xdr:nvPicPr>
        <xdr:cNvPr id="97417" name="Picture 41" descr="01wyegxgxg.tif">
          <a:extLst>
            <a:ext uri="{FF2B5EF4-FFF2-40B4-BE49-F238E27FC236}">
              <a16:creationId xmlns:a16="http://schemas.microsoft.com/office/drawing/2014/main" id="{00000000-0008-0000-0F00-0000897C0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533776"/>
          <a:ext cx="691115" cy="742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285750</xdr:colOff>
      <xdr:row>114</xdr:row>
      <xdr:rowOff>104775</xdr:rowOff>
    </xdr:from>
    <xdr:to>
      <xdr:col>2</xdr:col>
      <xdr:colOff>320040</xdr:colOff>
      <xdr:row>118</xdr:row>
      <xdr:rowOff>57150</xdr:rowOff>
    </xdr:to>
    <xdr:pic>
      <xdr:nvPicPr>
        <xdr:cNvPr id="97418" name="Picture 42" descr="02NEWwyesxgxg.tif">
          <a:extLst>
            <a:ext uri="{FF2B5EF4-FFF2-40B4-BE49-F238E27FC236}">
              <a16:creationId xmlns:a16="http://schemas.microsoft.com/office/drawing/2014/main" id="{00000000-0008-0000-0F00-00008A7C01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0050" y="5953125"/>
          <a:ext cx="600075" cy="702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266700</xdr:colOff>
      <xdr:row>120</xdr:row>
      <xdr:rowOff>66677</xdr:rowOff>
    </xdr:from>
    <xdr:to>
      <xdr:col>2</xdr:col>
      <xdr:colOff>304800</xdr:colOff>
      <xdr:row>122</xdr:row>
      <xdr:rowOff>156203</xdr:rowOff>
    </xdr:to>
    <xdr:pic>
      <xdr:nvPicPr>
        <xdr:cNvPr id="97419" name="Picture 44" descr="03dblwyegxgxgxg02.tif">
          <a:extLst>
            <a:ext uri="{FF2B5EF4-FFF2-40B4-BE49-F238E27FC236}">
              <a16:creationId xmlns:a16="http://schemas.microsoft.com/office/drawing/2014/main" id="{00000000-0008-0000-0F00-00008B7C01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38150" y="6134102"/>
          <a:ext cx="619125" cy="4705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266700</xdr:colOff>
      <xdr:row>82</xdr:row>
      <xdr:rowOff>28576</xdr:rowOff>
    </xdr:from>
    <xdr:to>
      <xdr:col>2</xdr:col>
      <xdr:colOff>358827</xdr:colOff>
      <xdr:row>86</xdr:row>
      <xdr:rowOff>95250</xdr:rowOff>
    </xdr:to>
    <xdr:pic>
      <xdr:nvPicPr>
        <xdr:cNvPr id="97421" name="Picture 45" descr="04teegxgxg.tif">
          <a:extLst>
            <a:ext uri="{FF2B5EF4-FFF2-40B4-BE49-F238E27FC236}">
              <a16:creationId xmlns:a16="http://schemas.microsoft.com/office/drawing/2014/main" id="{00000000-0008-0000-0F00-00008D7C01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0" y="9115426"/>
          <a:ext cx="652197" cy="828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180975</xdr:colOff>
      <xdr:row>19</xdr:row>
      <xdr:rowOff>209550</xdr:rowOff>
    </xdr:from>
    <xdr:to>
      <xdr:col>2</xdr:col>
      <xdr:colOff>434340</xdr:colOff>
      <xdr:row>23</xdr:row>
      <xdr:rowOff>0</xdr:rowOff>
    </xdr:to>
    <xdr:pic>
      <xdr:nvPicPr>
        <xdr:cNvPr id="97422" name="Picture 46" descr="05couplingstop.tif">
          <a:extLst>
            <a:ext uri="{FF2B5EF4-FFF2-40B4-BE49-F238E27FC236}">
              <a16:creationId xmlns:a16="http://schemas.microsoft.com/office/drawing/2014/main" id="{00000000-0008-0000-0F00-00008E7C01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23850" y="13820775"/>
          <a:ext cx="8286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200025</xdr:colOff>
      <xdr:row>14</xdr:row>
      <xdr:rowOff>152400</xdr:rowOff>
    </xdr:from>
    <xdr:to>
      <xdr:col>2</xdr:col>
      <xdr:colOff>434340</xdr:colOff>
      <xdr:row>17</xdr:row>
      <xdr:rowOff>167640</xdr:rowOff>
    </xdr:to>
    <xdr:pic>
      <xdr:nvPicPr>
        <xdr:cNvPr id="97423" name="Picture 47" descr="06repaircoupling.tif">
          <a:extLst>
            <a:ext uri="{FF2B5EF4-FFF2-40B4-BE49-F238E27FC236}">
              <a16:creationId xmlns:a16="http://schemas.microsoft.com/office/drawing/2014/main" id="{00000000-0008-0000-0F00-00008F7C01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42900" y="15078075"/>
          <a:ext cx="8001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228600</xdr:colOff>
      <xdr:row>93</xdr:row>
      <xdr:rowOff>152400</xdr:rowOff>
    </xdr:from>
    <xdr:to>
      <xdr:col>2</xdr:col>
      <xdr:colOff>320040</xdr:colOff>
      <xdr:row>97</xdr:row>
      <xdr:rowOff>0</xdr:rowOff>
    </xdr:to>
    <xdr:pic>
      <xdr:nvPicPr>
        <xdr:cNvPr id="97424" name="Picture 48" descr="07teewyegxgxg.tif">
          <a:extLst>
            <a:ext uri="{FF2B5EF4-FFF2-40B4-BE49-F238E27FC236}">
              <a16:creationId xmlns:a16="http://schemas.microsoft.com/office/drawing/2014/main" id="{00000000-0008-0000-0F00-0000907C01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00050" y="30108525"/>
          <a:ext cx="666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100</xdr:row>
      <xdr:rowOff>99060</xdr:rowOff>
    </xdr:from>
    <xdr:to>
      <xdr:col>2</xdr:col>
      <xdr:colOff>230660</xdr:colOff>
      <xdr:row>101</xdr:row>
      <xdr:rowOff>249555</xdr:rowOff>
    </xdr:to>
    <xdr:pic>
      <xdr:nvPicPr>
        <xdr:cNvPr id="97426" name="Picture 50" descr="09teewyegxsxg.tif">
          <a:extLst>
            <a:ext uri="{FF2B5EF4-FFF2-40B4-BE49-F238E27FC236}">
              <a16:creationId xmlns:a16="http://schemas.microsoft.com/office/drawing/2014/main" id="{00000000-0008-0000-0F00-0000927C01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4820" y="6522720"/>
          <a:ext cx="520220" cy="5353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180975</xdr:colOff>
      <xdr:row>143</xdr:row>
      <xdr:rowOff>19051</xdr:rowOff>
    </xdr:from>
    <xdr:to>
      <xdr:col>2</xdr:col>
      <xdr:colOff>437156</xdr:colOff>
      <xdr:row>146</xdr:row>
      <xdr:rowOff>53340</xdr:rowOff>
    </xdr:to>
    <xdr:pic>
      <xdr:nvPicPr>
        <xdr:cNvPr id="97430" name="Picture 54" descr="11saddlewye.tif">
          <a:extLst>
            <a:ext uri="{FF2B5EF4-FFF2-40B4-BE49-F238E27FC236}">
              <a16:creationId xmlns:a16="http://schemas.microsoft.com/office/drawing/2014/main" id="{00000000-0008-0000-0F00-0000967C01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52425" y="34356676"/>
          <a:ext cx="844826" cy="600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133350</xdr:colOff>
      <xdr:row>134</xdr:row>
      <xdr:rowOff>161925</xdr:rowOff>
    </xdr:from>
    <xdr:to>
      <xdr:col>2</xdr:col>
      <xdr:colOff>435533</xdr:colOff>
      <xdr:row>138</xdr:row>
      <xdr:rowOff>22859</xdr:rowOff>
    </xdr:to>
    <xdr:pic>
      <xdr:nvPicPr>
        <xdr:cNvPr id="97431" name="Picture 55" descr="12saddletee.tif">
          <a:extLst>
            <a:ext uri="{FF2B5EF4-FFF2-40B4-BE49-F238E27FC236}">
              <a16:creationId xmlns:a16="http://schemas.microsoft.com/office/drawing/2014/main" id="{00000000-0008-0000-0F00-0000977C01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04800" y="32213550"/>
          <a:ext cx="873683" cy="628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266700</xdr:colOff>
      <xdr:row>55</xdr:row>
      <xdr:rowOff>47625</xdr:rowOff>
    </xdr:from>
    <xdr:to>
      <xdr:col>2</xdr:col>
      <xdr:colOff>287111</xdr:colOff>
      <xdr:row>57</xdr:row>
      <xdr:rowOff>152400</xdr:rowOff>
    </xdr:to>
    <xdr:pic>
      <xdr:nvPicPr>
        <xdr:cNvPr id="97433" name="Picture 57" descr="14-14bendlongggxg.tif">
          <a:extLst>
            <a:ext uri="{FF2B5EF4-FFF2-40B4-BE49-F238E27FC236}">
              <a16:creationId xmlns:a16="http://schemas.microsoft.com/office/drawing/2014/main" id="{00000000-0008-0000-0F00-0000997C01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81000" y="15039975"/>
          <a:ext cx="601436"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228600</xdr:colOff>
      <xdr:row>47</xdr:row>
      <xdr:rowOff>180975</xdr:rowOff>
    </xdr:from>
    <xdr:to>
      <xdr:col>2</xdr:col>
      <xdr:colOff>324890</xdr:colOff>
      <xdr:row>51</xdr:row>
      <xdr:rowOff>38100</xdr:rowOff>
    </xdr:to>
    <xdr:pic>
      <xdr:nvPicPr>
        <xdr:cNvPr id="97434" name="Picture 59" descr="16elbow90gxg.tif">
          <a:extLst>
            <a:ext uri="{FF2B5EF4-FFF2-40B4-BE49-F238E27FC236}">
              <a16:creationId xmlns:a16="http://schemas.microsoft.com/office/drawing/2014/main" id="{00000000-0008-0000-0F00-00009A7C01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342900" y="18030825"/>
          <a:ext cx="67541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247650</xdr:colOff>
      <xdr:row>52</xdr:row>
      <xdr:rowOff>57151</xdr:rowOff>
    </xdr:from>
    <xdr:to>
      <xdr:col>2</xdr:col>
      <xdr:colOff>189254</xdr:colOff>
      <xdr:row>54</xdr:row>
      <xdr:rowOff>133351</xdr:rowOff>
    </xdr:to>
    <xdr:pic>
      <xdr:nvPicPr>
        <xdr:cNvPr id="97435" name="Picture 60" descr="17elbow90gxs.tif">
          <a:extLst>
            <a:ext uri="{FF2B5EF4-FFF2-40B4-BE49-F238E27FC236}">
              <a16:creationId xmlns:a16="http://schemas.microsoft.com/office/drawing/2014/main" id="{00000000-0008-0000-0F00-00009B7C01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19100" y="17325976"/>
          <a:ext cx="522629"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238125</xdr:colOff>
      <xdr:row>60</xdr:row>
      <xdr:rowOff>190499</xdr:rowOff>
    </xdr:from>
    <xdr:to>
      <xdr:col>2</xdr:col>
      <xdr:colOff>323850</xdr:colOff>
      <xdr:row>64</xdr:row>
      <xdr:rowOff>152400</xdr:rowOff>
    </xdr:to>
    <xdr:pic>
      <xdr:nvPicPr>
        <xdr:cNvPr id="97436" name="Picture 61" descr="18elbow45gxg.tif">
          <a:extLst>
            <a:ext uri="{FF2B5EF4-FFF2-40B4-BE49-F238E27FC236}">
              <a16:creationId xmlns:a16="http://schemas.microsoft.com/office/drawing/2014/main" id="{00000000-0008-0000-0F00-00009C7C01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52425" y="20516849"/>
          <a:ext cx="666750" cy="723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285750</xdr:colOff>
      <xdr:row>66</xdr:row>
      <xdr:rowOff>161925</xdr:rowOff>
    </xdr:from>
    <xdr:to>
      <xdr:col>2</xdr:col>
      <xdr:colOff>323850</xdr:colOff>
      <xdr:row>70</xdr:row>
      <xdr:rowOff>57150</xdr:rowOff>
    </xdr:to>
    <xdr:pic>
      <xdr:nvPicPr>
        <xdr:cNvPr id="97437" name="Picture 62" descr="19elbow45gxs.tif">
          <a:extLst>
            <a:ext uri="{FF2B5EF4-FFF2-40B4-BE49-F238E27FC236}">
              <a16:creationId xmlns:a16="http://schemas.microsoft.com/office/drawing/2014/main" id="{00000000-0008-0000-0F00-00009D7C01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00050" y="21821775"/>
          <a:ext cx="6191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266700</xdr:colOff>
      <xdr:row>72</xdr:row>
      <xdr:rowOff>38100</xdr:rowOff>
    </xdr:from>
    <xdr:to>
      <xdr:col>2</xdr:col>
      <xdr:colOff>283845</xdr:colOff>
      <xdr:row>75</xdr:row>
      <xdr:rowOff>91440</xdr:rowOff>
    </xdr:to>
    <xdr:pic>
      <xdr:nvPicPr>
        <xdr:cNvPr id="97438" name="Picture 63" descr="20elbow225gxg.tif">
          <a:extLst>
            <a:ext uri="{FF2B5EF4-FFF2-40B4-BE49-F238E27FC236}">
              <a16:creationId xmlns:a16="http://schemas.microsoft.com/office/drawing/2014/main" id="{00000000-0008-0000-0F00-00009E7C01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381000" y="23221950"/>
          <a:ext cx="6096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349249</xdr:colOff>
      <xdr:row>76</xdr:row>
      <xdr:rowOff>174626</xdr:rowOff>
    </xdr:from>
    <xdr:to>
      <xdr:col>2</xdr:col>
      <xdr:colOff>244475</xdr:colOff>
      <xdr:row>79</xdr:row>
      <xdr:rowOff>136443</xdr:rowOff>
    </xdr:to>
    <xdr:pic>
      <xdr:nvPicPr>
        <xdr:cNvPr id="97439" name="Picture 64" descr="21elbow225gxs.tif">
          <a:extLst>
            <a:ext uri="{FF2B5EF4-FFF2-40B4-BE49-F238E27FC236}">
              <a16:creationId xmlns:a16="http://schemas.microsoft.com/office/drawing/2014/main" id="{00000000-0008-0000-0F00-00009F7C01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14349" y="15757526"/>
          <a:ext cx="492126" cy="500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409575</xdr:colOff>
      <xdr:row>127</xdr:row>
      <xdr:rowOff>57151</xdr:rowOff>
    </xdr:from>
    <xdr:to>
      <xdr:col>2</xdr:col>
      <xdr:colOff>129540</xdr:colOff>
      <xdr:row>127</xdr:row>
      <xdr:rowOff>401399</xdr:rowOff>
    </xdr:to>
    <xdr:pic>
      <xdr:nvPicPr>
        <xdr:cNvPr id="97441" name="Picture 66" descr="23tempplug.tif">
          <a:extLst>
            <a:ext uri="{FF2B5EF4-FFF2-40B4-BE49-F238E27FC236}">
              <a16:creationId xmlns:a16="http://schemas.microsoft.com/office/drawing/2014/main" id="{00000000-0008-0000-0F00-0000A17C01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581025" y="18468976"/>
          <a:ext cx="295275" cy="3442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333375</xdr:colOff>
      <xdr:row>124</xdr:row>
      <xdr:rowOff>57150</xdr:rowOff>
    </xdr:from>
    <xdr:to>
      <xdr:col>2</xdr:col>
      <xdr:colOff>247650</xdr:colOff>
      <xdr:row>125</xdr:row>
      <xdr:rowOff>247650</xdr:rowOff>
    </xdr:to>
    <xdr:pic>
      <xdr:nvPicPr>
        <xdr:cNvPr id="97450" name="Picture 75" descr="32twowayclouttee.tif">
          <a:extLst>
            <a:ext uri="{FF2B5EF4-FFF2-40B4-BE49-F238E27FC236}">
              <a16:creationId xmlns:a16="http://schemas.microsoft.com/office/drawing/2014/main" id="{00000000-0008-0000-0F00-0000AA7C01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447675" y="34404300"/>
          <a:ext cx="4953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352425</xdr:colOff>
      <xdr:row>126</xdr:row>
      <xdr:rowOff>38100</xdr:rowOff>
    </xdr:from>
    <xdr:to>
      <xdr:col>2</xdr:col>
      <xdr:colOff>205740</xdr:colOff>
      <xdr:row>126</xdr:row>
      <xdr:rowOff>476250</xdr:rowOff>
    </xdr:to>
    <xdr:pic>
      <xdr:nvPicPr>
        <xdr:cNvPr id="97451" name="Picture 76" descr="32twowayclouttee.tif">
          <a:extLst>
            <a:ext uri="{FF2B5EF4-FFF2-40B4-BE49-F238E27FC236}">
              <a16:creationId xmlns:a16="http://schemas.microsoft.com/office/drawing/2014/main" id="{00000000-0008-0000-0F00-0000AB7C01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12445" y="11704320"/>
          <a:ext cx="443865" cy="424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342901</xdr:colOff>
      <xdr:row>129</xdr:row>
      <xdr:rowOff>95250</xdr:rowOff>
    </xdr:from>
    <xdr:to>
      <xdr:col>2</xdr:col>
      <xdr:colOff>283846</xdr:colOff>
      <xdr:row>132</xdr:row>
      <xdr:rowOff>55246</xdr:rowOff>
    </xdr:to>
    <xdr:pic>
      <xdr:nvPicPr>
        <xdr:cNvPr id="97452" name="Picture 77" descr="34permplug.tif">
          <a:extLst>
            <a:ext uri="{FF2B5EF4-FFF2-40B4-BE49-F238E27FC236}">
              <a16:creationId xmlns:a16="http://schemas.microsoft.com/office/drawing/2014/main" id="{00000000-0008-0000-0F00-0000AC7C01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485776" y="28927425"/>
          <a:ext cx="533400" cy="542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304799</xdr:colOff>
      <xdr:row>8</xdr:row>
      <xdr:rowOff>161925</xdr:rowOff>
    </xdr:from>
    <xdr:to>
      <xdr:col>2</xdr:col>
      <xdr:colOff>321944</xdr:colOff>
      <xdr:row>12</xdr:row>
      <xdr:rowOff>93345</xdr:rowOff>
    </xdr:to>
    <xdr:pic>
      <xdr:nvPicPr>
        <xdr:cNvPr id="97453" name="Picture 78" descr="35capgasket.tif">
          <a:extLst>
            <a:ext uri="{FF2B5EF4-FFF2-40B4-BE49-F238E27FC236}">
              <a16:creationId xmlns:a16="http://schemas.microsoft.com/office/drawing/2014/main" id="{00000000-0008-0000-0F00-0000AD7C01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19099" y="29632275"/>
          <a:ext cx="57721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293444</xdr:colOff>
      <xdr:row>58</xdr:row>
      <xdr:rowOff>66675</xdr:rowOff>
    </xdr:from>
    <xdr:to>
      <xdr:col>2</xdr:col>
      <xdr:colOff>209550</xdr:colOff>
      <xdr:row>59</xdr:row>
      <xdr:rowOff>249554</xdr:rowOff>
    </xdr:to>
    <xdr:pic>
      <xdr:nvPicPr>
        <xdr:cNvPr id="97456" name="Picture 58" descr="15-14bendlonggxs.tif">
          <a:extLst>
            <a:ext uri="{FF2B5EF4-FFF2-40B4-BE49-F238E27FC236}">
              <a16:creationId xmlns:a16="http://schemas.microsoft.com/office/drawing/2014/main" id="{00000000-0008-0000-0F00-0000B07C01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64894" y="11658600"/>
          <a:ext cx="497131" cy="4381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647313</xdr:colOff>
      <xdr:row>0</xdr:row>
      <xdr:rowOff>200025</xdr:rowOff>
    </xdr:from>
    <xdr:to>
      <xdr:col>12</xdr:col>
      <xdr:colOff>628263</xdr:colOff>
      <xdr:row>4</xdr:row>
      <xdr:rowOff>174309</xdr:rowOff>
    </xdr:to>
    <xdr:pic>
      <xdr:nvPicPr>
        <xdr:cNvPr id="97458" name="Picture 42">
          <a:extLst>
            <a:ext uri="{FF2B5EF4-FFF2-40B4-BE49-F238E27FC236}">
              <a16:creationId xmlns:a16="http://schemas.microsoft.com/office/drawing/2014/main" id="{00000000-0008-0000-0F00-0000B27C0100}"/>
            </a:ext>
          </a:extLst>
        </xdr:cNvPr>
        <xdr:cNvPicPr>
          <a:picLocks noChangeAspect="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l="12903" t="10485" r="9678" b="10483"/>
        <a:stretch/>
      </xdr:blipFill>
      <xdr:spPr bwMode="auto">
        <a:xfrm>
          <a:off x="9810363" y="200025"/>
          <a:ext cx="777240" cy="793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323850</xdr:colOff>
      <xdr:row>2</xdr:row>
      <xdr:rowOff>123825</xdr:rowOff>
    </xdr:from>
    <xdr:to>
      <xdr:col>10</xdr:col>
      <xdr:colOff>323850</xdr:colOff>
      <xdr:row>5</xdr:row>
      <xdr:rowOff>142875</xdr:rowOff>
    </xdr:to>
    <xdr:cxnSp macro="">
      <xdr:nvCxnSpPr>
        <xdr:cNvPr id="44" name="Straight Arrow Connector 43">
          <a:extLst>
            <a:ext uri="{FF2B5EF4-FFF2-40B4-BE49-F238E27FC236}">
              <a16:creationId xmlns:a16="http://schemas.microsoft.com/office/drawing/2014/main" id="{00000000-0008-0000-0F00-00002C000000}"/>
            </a:ext>
          </a:extLst>
        </xdr:cNvPr>
        <xdr:cNvCxnSpPr/>
      </xdr:nvCxnSpPr>
      <xdr:spPr>
        <a:xfrm>
          <a:off x="8229600" y="552450"/>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285750</xdr:colOff>
      <xdr:row>37</xdr:row>
      <xdr:rowOff>95250</xdr:rowOff>
    </xdr:from>
    <xdr:to>
      <xdr:col>2</xdr:col>
      <xdr:colOff>285750</xdr:colOff>
      <xdr:row>37</xdr:row>
      <xdr:rowOff>574826</xdr:rowOff>
    </xdr:to>
    <xdr:pic>
      <xdr:nvPicPr>
        <xdr:cNvPr id="47" name="Picture 40" descr="30adaptsewspigxdwv.tif">
          <a:extLst>
            <a:ext uri="{FF2B5EF4-FFF2-40B4-BE49-F238E27FC236}">
              <a16:creationId xmlns:a16="http://schemas.microsoft.com/office/drawing/2014/main" id="{00000000-0008-0000-0F00-00002F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57200" y="1752600"/>
          <a:ext cx="581025" cy="4795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257175</xdr:colOff>
      <xdr:row>38</xdr:row>
      <xdr:rowOff>66675</xdr:rowOff>
    </xdr:from>
    <xdr:to>
      <xdr:col>2</xdr:col>
      <xdr:colOff>262890</xdr:colOff>
      <xdr:row>39</xdr:row>
      <xdr:rowOff>249555</xdr:rowOff>
    </xdr:to>
    <xdr:pic>
      <xdr:nvPicPr>
        <xdr:cNvPr id="48" name="Picture 44" descr="27adaptsewhubxdwv.tif">
          <a:extLst>
            <a:ext uri="{FF2B5EF4-FFF2-40B4-BE49-F238E27FC236}">
              <a16:creationId xmlns:a16="http://schemas.microsoft.com/office/drawing/2014/main" id="{00000000-0008-0000-0F00-000030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428625" y="2343150"/>
          <a:ext cx="586740" cy="459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247650</xdr:colOff>
      <xdr:row>42</xdr:row>
      <xdr:rowOff>85725</xdr:rowOff>
    </xdr:from>
    <xdr:to>
      <xdr:col>2</xdr:col>
      <xdr:colOff>323850</xdr:colOff>
      <xdr:row>45</xdr:row>
      <xdr:rowOff>97155</xdr:rowOff>
    </xdr:to>
    <xdr:pic>
      <xdr:nvPicPr>
        <xdr:cNvPr id="50" name="Picture 41" descr="22manholeslv.tif">
          <a:extLst>
            <a:ext uri="{FF2B5EF4-FFF2-40B4-BE49-F238E27FC236}">
              <a16:creationId xmlns:a16="http://schemas.microsoft.com/office/drawing/2014/main" id="{00000000-0008-0000-0F00-000032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419100" y="17735550"/>
          <a:ext cx="64579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419100</xdr:colOff>
      <xdr:row>26</xdr:row>
      <xdr:rowOff>95250</xdr:rowOff>
    </xdr:from>
    <xdr:to>
      <xdr:col>2</xdr:col>
      <xdr:colOff>228600</xdr:colOff>
      <xdr:row>28</xdr:row>
      <xdr:rowOff>131952</xdr:rowOff>
    </xdr:to>
    <xdr:pic>
      <xdr:nvPicPr>
        <xdr:cNvPr id="51" name="Picture 32" descr="Increaser Coupling Concentric.TIF">
          <a:extLst>
            <a:ext uri="{FF2B5EF4-FFF2-40B4-BE49-F238E27FC236}">
              <a16:creationId xmlns:a16="http://schemas.microsoft.com/office/drawing/2014/main" id="{00000000-0008-0000-0F00-000033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590550" y="30241875"/>
          <a:ext cx="390525" cy="4177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333375</xdr:colOff>
      <xdr:row>29</xdr:row>
      <xdr:rowOff>66675</xdr:rowOff>
    </xdr:from>
    <xdr:to>
      <xdr:col>2</xdr:col>
      <xdr:colOff>323850</xdr:colOff>
      <xdr:row>31</xdr:row>
      <xdr:rowOff>135190</xdr:rowOff>
    </xdr:to>
    <xdr:pic>
      <xdr:nvPicPr>
        <xdr:cNvPr id="52" name="Picture 28" descr="24rdcbuecsxg.tif">
          <a:extLst>
            <a:ext uri="{FF2B5EF4-FFF2-40B4-BE49-F238E27FC236}">
              <a16:creationId xmlns:a16="http://schemas.microsoft.com/office/drawing/2014/main" id="{00000000-0008-0000-0F00-000034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504825" y="28498800"/>
          <a:ext cx="571500" cy="434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266700</xdr:colOff>
      <xdr:row>32</xdr:row>
      <xdr:rowOff>133350</xdr:rowOff>
    </xdr:from>
    <xdr:to>
      <xdr:col>2</xdr:col>
      <xdr:colOff>358140</xdr:colOff>
      <xdr:row>35</xdr:row>
      <xdr:rowOff>129540</xdr:rowOff>
    </xdr:to>
    <xdr:pic>
      <xdr:nvPicPr>
        <xdr:cNvPr id="53" name="Picture 33" descr="25reducbushing.tif">
          <a:extLst>
            <a:ext uri="{FF2B5EF4-FFF2-40B4-BE49-F238E27FC236}">
              <a16:creationId xmlns:a16="http://schemas.microsoft.com/office/drawing/2014/main" id="{00000000-0008-0000-0F00-000035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381000" y="32270700"/>
          <a:ext cx="6572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371475</xdr:colOff>
      <xdr:row>25</xdr:row>
      <xdr:rowOff>104776</xdr:rowOff>
    </xdr:from>
    <xdr:to>
      <xdr:col>2</xdr:col>
      <xdr:colOff>174996</xdr:colOff>
      <xdr:row>25</xdr:row>
      <xdr:rowOff>474346</xdr:rowOff>
    </xdr:to>
    <xdr:pic>
      <xdr:nvPicPr>
        <xdr:cNvPr id="54" name="Picture 27" descr="26inccoupgxg.tif">
          <a:extLst>
            <a:ext uri="{FF2B5EF4-FFF2-40B4-BE49-F238E27FC236}">
              <a16:creationId xmlns:a16="http://schemas.microsoft.com/office/drawing/2014/main" id="{00000000-0008-0000-0F00-000036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542925" y="27851101"/>
          <a:ext cx="384546" cy="390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331471</xdr:colOff>
      <xdr:row>40</xdr:row>
      <xdr:rowOff>30480</xdr:rowOff>
    </xdr:from>
    <xdr:to>
      <xdr:col>2</xdr:col>
      <xdr:colOff>169546</xdr:colOff>
      <xdr:row>40</xdr:row>
      <xdr:rowOff>358896</xdr:rowOff>
    </xdr:to>
    <xdr:pic>
      <xdr:nvPicPr>
        <xdr:cNvPr id="56" name="Picture 34" descr="27adaptsewhubxdwv.tif">
          <a:extLst>
            <a:ext uri="{FF2B5EF4-FFF2-40B4-BE49-F238E27FC236}">
              <a16:creationId xmlns:a16="http://schemas.microsoft.com/office/drawing/2014/main" id="{00000000-0008-0000-0F00-000038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91491" y="15415260"/>
          <a:ext cx="441960" cy="332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200025</xdr:colOff>
      <xdr:row>0</xdr:row>
      <xdr:rowOff>171450</xdr:rowOff>
    </xdr:from>
    <xdr:to>
      <xdr:col>4</xdr:col>
      <xdr:colOff>704535</xdr:colOff>
      <xdr:row>4</xdr:row>
      <xdr:rowOff>136807</xdr:rowOff>
    </xdr:to>
    <xdr:pic>
      <xdr:nvPicPr>
        <xdr:cNvPr id="37" name="Picture 1">
          <a:extLst>
            <a:ext uri="{FF2B5EF4-FFF2-40B4-BE49-F238E27FC236}">
              <a16:creationId xmlns:a16="http://schemas.microsoft.com/office/drawing/2014/main" id="{00000000-0008-0000-0F00-000025000000}"/>
            </a:ext>
          </a:extLst>
        </xdr:cNvPr>
        <xdr:cNvPicPr>
          <a:picLocks noChangeAspect="1"/>
        </xdr:cNvPicPr>
      </xdr:nvPicPr>
      <xdr:blipFill>
        <a:blip xmlns:r="http://schemas.openxmlformats.org/officeDocument/2006/relationships" r:embed="rId33"/>
        <a:stretch>
          <a:fillRect/>
        </a:stretch>
      </xdr:blipFill>
      <xdr:spPr>
        <a:xfrm rot="5400000">
          <a:off x="1263034" y="-729634"/>
          <a:ext cx="763552" cy="2565720"/>
        </a:xfrm>
        <a:prstGeom prst="rect">
          <a:avLst/>
        </a:prstGeom>
      </xdr:spPr>
    </xdr:pic>
    <xdr:clientData/>
  </xdr:twoCellAnchor>
  <xdr:twoCellAnchor editAs="oneCell">
    <xdr:from>
      <xdr:col>1</xdr:col>
      <xdr:colOff>367665</xdr:colOff>
      <xdr:row>41</xdr:row>
      <xdr:rowOff>47625</xdr:rowOff>
    </xdr:from>
    <xdr:to>
      <xdr:col>2</xdr:col>
      <xdr:colOff>131445</xdr:colOff>
      <xdr:row>41</xdr:row>
      <xdr:rowOff>362825</xdr:rowOff>
    </xdr:to>
    <xdr:pic>
      <xdr:nvPicPr>
        <xdr:cNvPr id="2" name="Picture 40" descr="30adaptsewspigxdwv.tif">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529590" y="9201150"/>
          <a:ext cx="361950" cy="31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285750</xdr:colOff>
      <xdr:row>43</xdr:row>
      <xdr:rowOff>163606</xdr:rowOff>
    </xdr:from>
    <xdr:to>
      <xdr:col>2</xdr:col>
      <xdr:colOff>434340</xdr:colOff>
      <xdr:row>47</xdr:row>
      <xdr:rowOff>19050</xdr:rowOff>
    </xdr:to>
    <xdr:pic>
      <xdr:nvPicPr>
        <xdr:cNvPr id="93701" name="Picture 21" descr="03teegxgxg.tif">
          <a:extLst>
            <a:ext uri="{FF2B5EF4-FFF2-40B4-BE49-F238E27FC236}">
              <a16:creationId xmlns:a16="http://schemas.microsoft.com/office/drawing/2014/main" id="{00000000-0008-0000-1000-0000056E0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9126631"/>
          <a:ext cx="725805" cy="6079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238125</xdr:colOff>
      <xdr:row>49</xdr:row>
      <xdr:rowOff>171450</xdr:rowOff>
    </xdr:from>
    <xdr:to>
      <xdr:col>2</xdr:col>
      <xdr:colOff>400050</xdr:colOff>
      <xdr:row>52</xdr:row>
      <xdr:rowOff>152400</xdr:rowOff>
    </xdr:to>
    <xdr:pic>
      <xdr:nvPicPr>
        <xdr:cNvPr id="93702" name="Picture 22" descr="06teewyegxgxg.tif">
          <a:extLst>
            <a:ext uri="{FF2B5EF4-FFF2-40B4-BE49-F238E27FC236}">
              <a16:creationId xmlns:a16="http://schemas.microsoft.com/office/drawing/2014/main" id="{00000000-0008-0000-1000-0000066E01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5" y="10791825"/>
          <a:ext cx="72961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276225</xdr:colOff>
      <xdr:row>54</xdr:row>
      <xdr:rowOff>0</xdr:rowOff>
    </xdr:from>
    <xdr:to>
      <xdr:col>2</xdr:col>
      <xdr:colOff>438150</xdr:colOff>
      <xdr:row>56</xdr:row>
      <xdr:rowOff>133350</xdr:rowOff>
    </xdr:to>
    <xdr:pic>
      <xdr:nvPicPr>
        <xdr:cNvPr id="93704" name="Picture 24" descr="01wyegxgxg.tif">
          <a:extLst>
            <a:ext uri="{FF2B5EF4-FFF2-40B4-BE49-F238E27FC236}">
              <a16:creationId xmlns:a16="http://schemas.microsoft.com/office/drawing/2014/main" id="{00000000-0008-0000-1000-0000086E01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8625" y="11763375"/>
          <a:ext cx="7334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266742</xdr:colOff>
      <xdr:row>28</xdr:row>
      <xdr:rowOff>74519</xdr:rowOff>
    </xdr:from>
    <xdr:to>
      <xdr:col>2</xdr:col>
      <xdr:colOff>247536</xdr:colOff>
      <xdr:row>29</xdr:row>
      <xdr:rowOff>169643</xdr:rowOff>
    </xdr:to>
    <xdr:pic>
      <xdr:nvPicPr>
        <xdr:cNvPr id="93706" name="Picture 28" descr="08elbow90gxg.tif">
          <a:extLst>
            <a:ext uri="{FF2B5EF4-FFF2-40B4-BE49-F238E27FC236}">
              <a16:creationId xmlns:a16="http://schemas.microsoft.com/office/drawing/2014/main" id="{00000000-0008-0000-1000-00000A6E01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19142" y="5637119"/>
          <a:ext cx="558009" cy="3084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220756</xdr:colOff>
      <xdr:row>33</xdr:row>
      <xdr:rowOff>56031</xdr:rowOff>
    </xdr:from>
    <xdr:to>
      <xdr:col>2</xdr:col>
      <xdr:colOff>208085</xdr:colOff>
      <xdr:row>35</xdr:row>
      <xdr:rowOff>57198</xdr:rowOff>
    </xdr:to>
    <xdr:pic>
      <xdr:nvPicPr>
        <xdr:cNvPr id="93707" name="Picture 29" descr="09elbow90gxs.tif">
          <a:extLst>
            <a:ext uri="{FF2B5EF4-FFF2-40B4-BE49-F238E27FC236}">
              <a16:creationId xmlns:a16="http://schemas.microsoft.com/office/drawing/2014/main" id="{00000000-0008-0000-1000-00000B6E01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73156" y="6618756"/>
          <a:ext cx="577879" cy="3916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335057</xdr:colOff>
      <xdr:row>22</xdr:row>
      <xdr:rowOff>66676</xdr:rowOff>
    </xdr:from>
    <xdr:to>
      <xdr:col>2</xdr:col>
      <xdr:colOff>362511</xdr:colOff>
      <xdr:row>24</xdr:row>
      <xdr:rowOff>60624</xdr:rowOff>
    </xdr:to>
    <xdr:pic>
      <xdr:nvPicPr>
        <xdr:cNvPr id="93708" name="Picture 30" descr="10elbow45gxg.tif">
          <a:extLst>
            <a:ext uri="{FF2B5EF4-FFF2-40B4-BE49-F238E27FC236}">
              <a16:creationId xmlns:a16="http://schemas.microsoft.com/office/drawing/2014/main" id="{00000000-0008-0000-1000-00000C6E01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87457" y="4429126"/>
          <a:ext cx="598954" cy="397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257175</xdr:colOff>
      <xdr:row>25</xdr:row>
      <xdr:rowOff>180974</xdr:rowOff>
    </xdr:from>
    <xdr:to>
      <xdr:col>2</xdr:col>
      <xdr:colOff>321945</xdr:colOff>
      <xdr:row>27</xdr:row>
      <xdr:rowOff>99059</xdr:rowOff>
    </xdr:to>
    <xdr:pic>
      <xdr:nvPicPr>
        <xdr:cNvPr id="93709" name="Picture 31" descr="11elbow45gxs.tif">
          <a:extLst>
            <a:ext uri="{FF2B5EF4-FFF2-40B4-BE49-F238E27FC236}">
              <a16:creationId xmlns:a16="http://schemas.microsoft.com/office/drawing/2014/main" id="{00000000-0008-0000-1000-00000D6E01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09575" y="5143499"/>
          <a:ext cx="64960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336176</xdr:colOff>
      <xdr:row>16</xdr:row>
      <xdr:rowOff>63134</xdr:rowOff>
    </xdr:from>
    <xdr:to>
      <xdr:col>2</xdr:col>
      <xdr:colOff>326651</xdr:colOff>
      <xdr:row>18</xdr:row>
      <xdr:rowOff>74633</xdr:rowOff>
    </xdr:to>
    <xdr:pic>
      <xdr:nvPicPr>
        <xdr:cNvPr id="93710" name="Picture 32" descr="12elbow225gxg.tif">
          <a:extLst>
            <a:ext uri="{FF2B5EF4-FFF2-40B4-BE49-F238E27FC236}">
              <a16:creationId xmlns:a16="http://schemas.microsoft.com/office/drawing/2014/main" id="{00000000-0008-0000-1000-00000E6E01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8576" y="3225434"/>
          <a:ext cx="567690" cy="411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293593</xdr:colOff>
      <xdr:row>19</xdr:row>
      <xdr:rowOff>50890</xdr:rowOff>
    </xdr:from>
    <xdr:to>
      <xdr:col>2</xdr:col>
      <xdr:colOff>320263</xdr:colOff>
      <xdr:row>21</xdr:row>
      <xdr:rowOff>58270</xdr:rowOff>
    </xdr:to>
    <xdr:pic>
      <xdr:nvPicPr>
        <xdr:cNvPr id="93711" name="Picture 33" descr="13elbow225gxs.tif">
          <a:extLst>
            <a:ext uri="{FF2B5EF4-FFF2-40B4-BE49-F238E27FC236}">
              <a16:creationId xmlns:a16="http://schemas.microsoft.com/office/drawing/2014/main" id="{00000000-0008-0000-1000-00000F6E01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45993" y="3813265"/>
          <a:ext cx="596265" cy="394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212351</xdr:colOff>
      <xdr:row>13</xdr:row>
      <xdr:rowOff>28014</xdr:rowOff>
    </xdr:from>
    <xdr:to>
      <xdr:col>2</xdr:col>
      <xdr:colOff>359036</xdr:colOff>
      <xdr:row>14</xdr:row>
      <xdr:rowOff>171450</xdr:rowOff>
    </xdr:to>
    <xdr:pic>
      <xdr:nvPicPr>
        <xdr:cNvPr id="93712" name="Picture 34" descr="04couplingstop.tif">
          <a:extLst>
            <a:ext uri="{FF2B5EF4-FFF2-40B4-BE49-F238E27FC236}">
              <a16:creationId xmlns:a16="http://schemas.microsoft.com/office/drawing/2014/main" id="{00000000-0008-0000-1000-0000106E01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64751" y="2790264"/>
          <a:ext cx="723900" cy="3339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218854</xdr:colOff>
      <xdr:row>10</xdr:row>
      <xdr:rowOff>78441</xdr:rowOff>
    </xdr:from>
    <xdr:to>
      <xdr:col>2</xdr:col>
      <xdr:colOff>326427</xdr:colOff>
      <xdr:row>12</xdr:row>
      <xdr:rowOff>53340</xdr:rowOff>
    </xdr:to>
    <xdr:pic>
      <xdr:nvPicPr>
        <xdr:cNvPr id="93713" name="Picture 35" descr="05repaircoupling.tif">
          <a:extLst>
            <a:ext uri="{FF2B5EF4-FFF2-40B4-BE49-F238E27FC236}">
              <a16:creationId xmlns:a16="http://schemas.microsoft.com/office/drawing/2014/main" id="{00000000-0008-0000-1000-0000116E01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71254" y="2240616"/>
          <a:ext cx="700028" cy="3787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330575</xdr:colOff>
      <xdr:row>8</xdr:row>
      <xdr:rowOff>59713</xdr:rowOff>
    </xdr:from>
    <xdr:to>
      <xdr:col>2</xdr:col>
      <xdr:colOff>171467</xdr:colOff>
      <xdr:row>8</xdr:row>
      <xdr:rowOff>434341</xdr:rowOff>
    </xdr:to>
    <xdr:pic>
      <xdr:nvPicPr>
        <xdr:cNvPr id="93715" name="Picture 37" descr="16capgasket.tif">
          <a:extLst>
            <a:ext uri="{FF2B5EF4-FFF2-40B4-BE49-F238E27FC236}">
              <a16:creationId xmlns:a16="http://schemas.microsoft.com/office/drawing/2014/main" id="{00000000-0008-0000-1000-0000136E01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82975" y="1717063"/>
          <a:ext cx="408582" cy="378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323850</xdr:colOff>
      <xdr:row>2</xdr:row>
      <xdr:rowOff>123825</xdr:rowOff>
    </xdr:from>
    <xdr:to>
      <xdr:col>11</xdr:col>
      <xdr:colOff>323850</xdr:colOff>
      <xdr:row>5</xdr:row>
      <xdr:rowOff>142875</xdr:rowOff>
    </xdr:to>
    <xdr:cxnSp macro="">
      <xdr:nvCxnSpPr>
        <xdr:cNvPr id="22" name="Straight Arrow Connector 21">
          <a:extLst>
            <a:ext uri="{FF2B5EF4-FFF2-40B4-BE49-F238E27FC236}">
              <a16:creationId xmlns:a16="http://schemas.microsoft.com/office/drawing/2014/main" id="{00000000-0008-0000-1000-000016000000}"/>
            </a:ext>
          </a:extLst>
        </xdr:cNvPr>
        <xdr:cNvCxnSpPr/>
      </xdr:nvCxnSpPr>
      <xdr:spPr>
        <a:xfrm>
          <a:off x="8496300" y="552450"/>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263898</xdr:colOff>
      <xdr:row>31</xdr:row>
      <xdr:rowOff>53684</xdr:rowOff>
    </xdr:from>
    <xdr:to>
      <xdr:col>2</xdr:col>
      <xdr:colOff>231961</xdr:colOff>
      <xdr:row>32</xdr:row>
      <xdr:rowOff>170417</xdr:rowOff>
    </xdr:to>
    <xdr:pic>
      <xdr:nvPicPr>
        <xdr:cNvPr id="23" name="Picture 19" descr="14-14bendlongggxg.tif">
          <a:extLst>
            <a:ext uri="{FF2B5EF4-FFF2-40B4-BE49-F238E27FC236}">
              <a16:creationId xmlns:a16="http://schemas.microsoft.com/office/drawing/2014/main" id="{00000000-0008-0000-1000-000017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16298" y="6216359"/>
          <a:ext cx="549088" cy="312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36</xdr:row>
      <xdr:rowOff>66674</xdr:rowOff>
    </xdr:from>
    <xdr:to>
      <xdr:col>2</xdr:col>
      <xdr:colOff>323850</xdr:colOff>
      <xdr:row>36</xdr:row>
      <xdr:rowOff>454086</xdr:rowOff>
    </xdr:to>
    <xdr:pic>
      <xdr:nvPicPr>
        <xdr:cNvPr id="24" name="Picture 20" descr="15-14bendlonggxs.tif">
          <a:extLst>
            <a:ext uri="{FF2B5EF4-FFF2-40B4-BE49-F238E27FC236}">
              <a16:creationId xmlns:a16="http://schemas.microsoft.com/office/drawing/2014/main" id="{00000000-0008-0000-1000-000018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57200" y="7229474"/>
          <a:ext cx="586740" cy="3874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343146</xdr:colOff>
      <xdr:row>38</xdr:row>
      <xdr:rowOff>59952</xdr:rowOff>
    </xdr:from>
    <xdr:to>
      <xdr:col>2</xdr:col>
      <xdr:colOff>232036</xdr:colOff>
      <xdr:row>40</xdr:row>
      <xdr:rowOff>53340</xdr:rowOff>
    </xdr:to>
    <xdr:pic>
      <xdr:nvPicPr>
        <xdr:cNvPr id="25" name="Picture 32" descr="Increaser Coupling Concentric.TIF">
          <a:extLst>
            <a:ext uri="{FF2B5EF4-FFF2-40B4-BE49-F238E27FC236}">
              <a16:creationId xmlns:a16="http://schemas.microsoft.com/office/drawing/2014/main" id="{00000000-0008-0000-1000-000019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95546" y="7537077"/>
          <a:ext cx="469915" cy="3972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390526</xdr:colOff>
      <xdr:row>41</xdr:row>
      <xdr:rowOff>66676</xdr:rowOff>
    </xdr:from>
    <xdr:to>
      <xdr:col>2</xdr:col>
      <xdr:colOff>205741</xdr:colOff>
      <xdr:row>41</xdr:row>
      <xdr:rowOff>516163</xdr:rowOff>
    </xdr:to>
    <xdr:pic>
      <xdr:nvPicPr>
        <xdr:cNvPr id="27" name="Picture 28" descr="24rdcbuecsxg.tif">
          <a:extLst>
            <a:ext uri="{FF2B5EF4-FFF2-40B4-BE49-F238E27FC236}">
              <a16:creationId xmlns:a16="http://schemas.microsoft.com/office/drawing/2014/main" id="{00000000-0008-0000-1000-00001B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42926" y="8382001"/>
          <a:ext cx="400050" cy="453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377190</xdr:colOff>
      <xdr:row>64</xdr:row>
      <xdr:rowOff>60961</xdr:rowOff>
    </xdr:from>
    <xdr:to>
      <xdr:col>2</xdr:col>
      <xdr:colOff>283845</xdr:colOff>
      <xdr:row>65</xdr:row>
      <xdr:rowOff>268141</xdr:rowOff>
    </xdr:to>
    <xdr:pic>
      <xdr:nvPicPr>
        <xdr:cNvPr id="30" name="Picture 4" descr="33twowayclouttee02.tif">
          <a:extLst>
            <a:ext uri="{FF2B5EF4-FFF2-40B4-BE49-F238E27FC236}">
              <a16:creationId xmlns:a16="http://schemas.microsoft.com/office/drawing/2014/main" id="{00000000-0008-0000-1000-00001E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674370" y="14577061"/>
          <a:ext cx="514350" cy="55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222437</xdr:colOff>
      <xdr:row>61</xdr:row>
      <xdr:rowOff>72838</xdr:rowOff>
    </xdr:from>
    <xdr:to>
      <xdr:col>2</xdr:col>
      <xdr:colOff>327212</xdr:colOff>
      <xdr:row>62</xdr:row>
      <xdr:rowOff>137159</xdr:rowOff>
    </xdr:to>
    <xdr:pic>
      <xdr:nvPicPr>
        <xdr:cNvPr id="34" name="Picture 9" descr="02dblwyegxgxgxg.tif">
          <a:extLst>
            <a:ext uri="{FF2B5EF4-FFF2-40B4-BE49-F238E27FC236}">
              <a16:creationId xmlns:a16="http://schemas.microsoft.com/office/drawing/2014/main" id="{00000000-0008-0000-1000-000022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74837" y="13169713"/>
          <a:ext cx="697230" cy="4415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xdr:row>
      <xdr:rowOff>19050</xdr:rowOff>
    </xdr:from>
    <xdr:to>
      <xdr:col>13</xdr:col>
      <xdr:colOff>741605</xdr:colOff>
      <xdr:row>5</xdr:row>
      <xdr:rowOff>53341</xdr:rowOff>
    </xdr:to>
    <xdr:pic>
      <xdr:nvPicPr>
        <xdr:cNvPr id="41" name="Picture 64">
          <a:extLst>
            <a:ext uri="{FF2B5EF4-FFF2-40B4-BE49-F238E27FC236}">
              <a16:creationId xmlns:a16="http://schemas.microsoft.com/office/drawing/2014/main" id="{00000000-0008-0000-1000-000029000000}"/>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11628" t="10465" r="13954" b="10465"/>
        <a:stretch/>
      </xdr:blipFill>
      <xdr:spPr bwMode="auto">
        <a:xfrm>
          <a:off x="9839325" y="257175"/>
          <a:ext cx="753035" cy="800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5</xdr:col>
      <xdr:colOff>232095</xdr:colOff>
      <xdr:row>5</xdr:row>
      <xdr:rowOff>16792</xdr:rowOff>
    </xdr:to>
    <xdr:pic>
      <xdr:nvPicPr>
        <xdr:cNvPr id="26" name="Picture 1">
          <a:extLst>
            <a:ext uri="{FF2B5EF4-FFF2-40B4-BE49-F238E27FC236}">
              <a16:creationId xmlns:a16="http://schemas.microsoft.com/office/drawing/2014/main" id="{00000000-0008-0000-1000-00001A000000}"/>
            </a:ext>
          </a:extLst>
        </xdr:cNvPr>
        <xdr:cNvPicPr>
          <a:picLocks noChangeAspect="1"/>
        </xdr:cNvPicPr>
      </xdr:nvPicPr>
      <xdr:blipFill>
        <a:blip xmlns:r="http://schemas.openxmlformats.org/officeDocument/2006/relationships" r:embed="rId20"/>
        <a:stretch>
          <a:fillRect/>
        </a:stretch>
      </xdr:blipFill>
      <xdr:spPr>
        <a:xfrm rot="5400000">
          <a:off x="1035386" y="-625811"/>
          <a:ext cx="792127" cy="2520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323850</xdr:colOff>
      <xdr:row>2</xdr:row>
      <xdr:rowOff>123825</xdr:rowOff>
    </xdr:from>
    <xdr:to>
      <xdr:col>14</xdr:col>
      <xdr:colOff>323850</xdr:colOff>
      <xdr:row>5</xdr:row>
      <xdr:rowOff>142875</xdr:rowOff>
    </xdr:to>
    <xdr:cxnSp macro="">
      <xdr:nvCxnSpPr>
        <xdr:cNvPr id="5" name="Straight Arrow Connector 4">
          <a:extLst>
            <a:ext uri="{FF2B5EF4-FFF2-40B4-BE49-F238E27FC236}">
              <a16:creationId xmlns:a16="http://schemas.microsoft.com/office/drawing/2014/main" id="{00000000-0008-0000-1100-000005000000}"/>
            </a:ext>
          </a:extLst>
        </xdr:cNvPr>
        <xdr:cNvCxnSpPr/>
      </xdr:nvCxnSpPr>
      <xdr:spPr>
        <a:xfrm>
          <a:off x="8258175" y="552450"/>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16</xdr:col>
      <xdr:colOff>0</xdr:colOff>
      <xdr:row>1</xdr:row>
      <xdr:rowOff>19050</xdr:rowOff>
    </xdr:from>
    <xdr:to>
      <xdr:col>17</xdr:col>
      <xdr:colOff>76200</xdr:colOff>
      <xdr:row>5</xdr:row>
      <xdr:rowOff>58104</xdr:rowOff>
    </xdr:to>
    <xdr:pic>
      <xdr:nvPicPr>
        <xdr:cNvPr id="6" name="Picture 42">
          <a:extLst>
            <a:ext uri="{FF2B5EF4-FFF2-40B4-BE49-F238E27FC236}">
              <a16:creationId xmlns:a16="http://schemas.microsoft.com/office/drawing/2014/main" id="{00000000-0008-0000-11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903" t="10485" r="9678" b="10483"/>
        <a:stretch/>
      </xdr:blipFill>
      <xdr:spPr bwMode="auto">
        <a:xfrm>
          <a:off x="9829800" y="257175"/>
          <a:ext cx="777240" cy="793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217884</xdr:colOff>
      <xdr:row>7</xdr:row>
      <xdr:rowOff>51197</xdr:rowOff>
    </xdr:from>
    <xdr:to>
      <xdr:col>2</xdr:col>
      <xdr:colOff>208667</xdr:colOff>
      <xdr:row>11</xdr:row>
      <xdr:rowOff>59766</xdr:rowOff>
    </xdr:to>
    <xdr:pic>
      <xdr:nvPicPr>
        <xdr:cNvPr id="59" name="Imagem 58">
          <a:extLst>
            <a:ext uri="{FF2B5EF4-FFF2-40B4-BE49-F238E27FC236}">
              <a16:creationId xmlns:a16="http://schemas.microsoft.com/office/drawing/2014/main" id="{00000000-0008-0000-1100-00003B000000}"/>
            </a:ext>
          </a:extLst>
        </xdr:cNvPr>
        <xdr:cNvPicPr>
          <a:picLocks noChangeAspect="1"/>
        </xdr:cNvPicPr>
      </xdr:nvPicPr>
      <xdr:blipFill>
        <a:blip xmlns:r="http://schemas.openxmlformats.org/officeDocument/2006/relationships" r:embed="rId2"/>
        <a:stretch>
          <a:fillRect/>
        </a:stretch>
      </xdr:blipFill>
      <xdr:spPr>
        <a:xfrm>
          <a:off x="389334" y="1679972"/>
          <a:ext cx="579428" cy="780094"/>
        </a:xfrm>
        <a:prstGeom prst="rect">
          <a:avLst/>
        </a:prstGeom>
      </xdr:spPr>
    </xdr:pic>
    <xdr:clientData/>
  </xdr:twoCellAnchor>
  <xdr:twoCellAnchor editAs="oneCell">
    <xdr:from>
      <xdr:col>1</xdr:col>
      <xdr:colOff>227410</xdr:colOff>
      <xdr:row>12</xdr:row>
      <xdr:rowOff>64892</xdr:rowOff>
    </xdr:from>
    <xdr:to>
      <xdr:col>2</xdr:col>
      <xdr:colOff>227665</xdr:colOff>
      <xdr:row>16</xdr:row>
      <xdr:rowOff>92510</xdr:rowOff>
    </xdr:to>
    <xdr:pic>
      <xdr:nvPicPr>
        <xdr:cNvPr id="60" name="Imagem 59">
          <a:extLst>
            <a:ext uri="{FF2B5EF4-FFF2-40B4-BE49-F238E27FC236}">
              <a16:creationId xmlns:a16="http://schemas.microsoft.com/office/drawing/2014/main" id="{00000000-0008-0000-1100-00003C000000}"/>
            </a:ext>
          </a:extLst>
        </xdr:cNvPr>
        <xdr:cNvPicPr>
          <a:picLocks noChangeAspect="1"/>
        </xdr:cNvPicPr>
      </xdr:nvPicPr>
      <xdr:blipFill>
        <a:blip xmlns:r="http://schemas.openxmlformats.org/officeDocument/2006/relationships" r:embed="rId3"/>
        <a:stretch>
          <a:fillRect/>
        </a:stretch>
      </xdr:blipFill>
      <xdr:spPr>
        <a:xfrm>
          <a:off x="331590" y="4961337"/>
          <a:ext cx="574136" cy="792000"/>
        </a:xfrm>
        <a:prstGeom prst="rect">
          <a:avLst/>
        </a:prstGeom>
      </xdr:spPr>
    </xdr:pic>
    <xdr:clientData/>
  </xdr:twoCellAnchor>
  <xdr:twoCellAnchor editAs="oneCell">
    <xdr:from>
      <xdr:col>1</xdr:col>
      <xdr:colOff>208359</xdr:colOff>
      <xdr:row>17</xdr:row>
      <xdr:rowOff>50009</xdr:rowOff>
    </xdr:from>
    <xdr:to>
      <xdr:col>2</xdr:col>
      <xdr:colOff>194158</xdr:colOff>
      <xdr:row>21</xdr:row>
      <xdr:rowOff>56673</xdr:rowOff>
    </xdr:to>
    <xdr:pic>
      <xdr:nvPicPr>
        <xdr:cNvPr id="61" name="Imagem 60">
          <a:extLst>
            <a:ext uri="{FF2B5EF4-FFF2-40B4-BE49-F238E27FC236}">
              <a16:creationId xmlns:a16="http://schemas.microsoft.com/office/drawing/2014/main" id="{00000000-0008-0000-1100-00003D000000}"/>
            </a:ext>
          </a:extLst>
        </xdr:cNvPr>
        <xdr:cNvPicPr>
          <a:picLocks noChangeAspect="1"/>
        </xdr:cNvPicPr>
      </xdr:nvPicPr>
      <xdr:blipFill>
        <a:blip xmlns:r="http://schemas.openxmlformats.org/officeDocument/2006/relationships" r:embed="rId4"/>
        <a:stretch>
          <a:fillRect/>
        </a:stretch>
      </xdr:blipFill>
      <xdr:spPr>
        <a:xfrm>
          <a:off x="312539" y="5913837"/>
          <a:ext cx="559680" cy="792000"/>
        </a:xfrm>
        <a:prstGeom prst="rect">
          <a:avLst/>
        </a:prstGeom>
      </xdr:spPr>
    </xdr:pic>
    <xdr:clientData/>
  </xdr:twoCellAnchor>
  <xdr:twoCellAnchor editAs="oneCell">
    <xdr:from>
      <xdr:col>1</xdr:col>
      <xdr:colOff>208359</xdr:colOff>
      <xdr:row>22</xdr:row>
      <xdr:rowOff>54176</xdr:rowOff>
    </xdr:from>
    <xdr:to>
      <xdr:col>2</xdr:col>
      <xdr:colOff>209749</xdr:colOff>
      <xdr:row>26</xdr:row>
      <xdr:rowOff>57030</xdr:rowOff>
    </xdr:to>
    <xdr:pic>
      <xdr:nvPicPr>
        <xdr:cNvPr id="62" name="Imagem 61">
          <a:extLst>
            <a:ext uri="{FF2B5EF4-FFF2-40B4-BE49-F238E27FC236}">
              <a16:creationId xmlns:a16="http://schemas.microsoft.com/office/drawing/2014/main" id="{00000000-0008-0000-1100-00003E000000}"/>
            </a:ext>
          </a:extLst>
        </xdr:cNvPr>
        <xdr:cNvPicPr>
          <a:picLocks noChangeAspect="1"/>
        </xdr:cNvPicPr>
      </xdr:nvPicPr>
      <xdr:blipFill>
        <a:blip xmlns:r="http://schemas.openxmlformats.org/officeDocument/2006/relationships" r:embed="rId5"/>
        <a:stretch>
          <a:fillRect/>
        </a:stretch>
      </xdr:blipFill>
      <xdr:spPr>
        <a:xfrm>
          <a:off x="312539" y="6885387"/>
          <a:ext cx="563841" cy="792000"/>
        </a:xfrm>
        <a:prstGeom prst="rect">
          <a:avLst/>
        </a:prstGeom>
      </xdr:spPr>
    </xdr:pic>
    <xdr:clientData/>
  </xdr:twoCellAnchor>
  <xdr:twoCellAnchor editAs="oneCell">
    <xdr:from>
      <xdr:col>1</xdr:col>
      <xdr:colOff>263604</xdr:colOff>
      <xdr:row>28</xdr:row>
      <xdr:rowOff>86917</xdr:rowOff>
    </xdr:from>
    <xdr:to>
      <xdr:col>2</xdr:col>
      <xdr:colOff>213359</xdr:colOff>
      <xdr:row>32</xdr:row>
      <xdr:rowOff>60820</xdr:rowOff>
    </xdr:to>
    <xdr:pic>
      <xdr:nvPicPr>
        <xdr:cNvPr id="63" name="Imagem 62">
          <a:extLst>
            <a:ext uri="{FF2B5EF4-FFF2-40B4-BE49-F238E27FC236}">
              <a16:creationId xmlns:a16="http://schemas.microsoft.com/office/drawing/2014/main" id="{00000000-0008-0000-1100-00003F000000}"/>
            </a:ext>
          </a:extLst>
        </xdr:cNvPr>
        <xdr:cNvPicPr>
          <a:picLocks noChangeAspect="1"/>
        </xdr:cNvPicPr>
      </xdr:nvPicPr>
      <xdr:blipFill>
        <a:blip xmlns:r="http://schemas.openxmlformats.org/officeDocument/2006/relationships" r:embed="rId6"/>
        <a:stretch>
          <a:fillRect/>
        </a:stretch>
      </xdr:blipFill>
      <xdr:spPr>
        <a:xfrm>
          <a:off x="423624" y="5710477"/>
          <a:ext cx="544115" cy="728283"/>
        </a:xfrm>
        <a:prstGeom prst="rect">
          <a:avLst/>
        </a:prstGeom>
      </xdr:spPr>
    </xdr:pic>
    <xdr:clientData/>
  </xdr:twoCellAnchor>
  <xdr:twoCellAnchor editAs="oneCell">
    <xdr:from>
      <xdr:col>1</xdr:col>
      <xdr:colOff>242292</xdr:colOff>
      <xdr:row>60</xdr:row>
      <xdr:rowOff>93464</xdr:rowOff>
    </xdr:from>
    <xdr:to>
      <xdr:col>2</xdr:col>
      <xdr:colOff>248975</xdr:colOff>
      <xdr:row>64</xdr:row>
      <xdr:rowOff>111558</xdr:rowOff>
    </xdr:to>
    <xdr:pic>
      <xdr:nvPicPr>
        <xdr:cNvPr id="64" name="Imagem 63">
          <a:extLst>
            <a:ext uri="{FF2B5EF4-FFF2-40B4-BE49-F238E27FC236}">
              <a16:creationId xmlns:a16="http://schemas.microsoft.com/office/drawing/2014/main" id="{00000000-0008-0000-1100-000040000000}"/>
            </a:ext>
          </a:extLst>
        </xdr:cNvPr>
        <xdr:cNvPicPr>
          <a:picLocks noChangeAspect="1"/>
        </xdr:cNvPicPr>
      </xdr:nvPicPr>
      <xdr:blipFill>
        <a:blip xmlns:r="http://schemas.openxmlformats.org/officeDocument/2006/relationships" r:embed="rId7"/>
        <a:stretch>
          <a:fillRect/>
        </a:stretch>
      </xdr:blipFill>
      <xdr:spPr>
        <a:xfrm>
          <a:off x="346472" y="10794206"/>
          <a:ext cx="565324" cy="792000"/>
        </a:xfrm>
        <a:prstGeom prst="rect">
          <a:avLst/>
        </a:prstGeom>
      </xdr:spPr>
    </xdr:pic>
    <xdr:clientData/>
  </xdr:twoCellAnchor>
  <xdr:twoCellAnchor editAs="oneCell">
    <xdr:from>
      <xdr:col>1</xdr:col>
      <xdr:colOff>242292</xdr:colOff>
      <xdr:row>65</xdr:row>
      <xdr:rowOff>88106</xdr:rowOff>
    </xdr:from>
    <xdr:to>
      <xdr:col>2</xdr:col>
      <xdr:colOff>248975</xdr:colOff>
      <xdr:row>69</xdr:row>
      <xdr:rowOff>94770</xdr:rowOff>
    </xdr:to>
    <xdr:pic>
      <xdr:nvPicPr>
        <xdr:cNvPr id="65" name="Imagem 64">
          <a:extLst>
            <a:ext uri="{FF2B5EF4-FFF2-40B4-BE49-F238E27FC236}">
              <a16:creationId xmlns:a16="http://schemas.microsoft.com/office/drawing/2014/main" id="{00000000-0008-0000-1100-000041000000}"/>
            </a:ext>
          </a:extLst>
        </xdr:cNvPr>
        <xdr:cNvPicPr>
          <a:picLocks noChangeAspect="1"/>
        </xdr:cNvPicPr>
      </xdr:nvPicPr>
      <xdr:blipFill>
        <a:blip xmlns:r="http://schemas.openxmlformats.org/officeDocument/2006/relationships" r:embed="rId8"/>
        <a:stretch>
          <a:fillRect/>
        </a:stretch>
      </xdr:blipFill>
      <xdr:spPr>
        <a:xfrm>
          <a:off x="347067" y="11584781"/>
          <a:ext cx="572468" cy="780094"/>
        </a:xfrm>
        <a:prstGeom prst="rect">
          <a:avLst/>
        </a:prstGeom>
      </xdr:spPr>
    </xdr:pic>
    <xdr:clientData/>
  </xdr:twoCellAnchor>
  <xdr:twoCellAnchor editAs="oneCell">
    <xdr:from>
      <xdr:col>1</xdr:col>
      <xdr:colOff>242293</xdr:colOff>
      <xdr:row>33</xdr:row>
      <xdr:rowOff>98822</xdr:rowOff>
    </xdr:from>
    <xdr:to>
      <xdr:col>2</xdr:col>
      <xdr:colOff>208111</xdr:colOff>
      <xdr:row>37</xdr:row>
      <xdr:rowOff>116915</xdr:rowOff>
    </xdr:to>
    <xdr:pic>
      <xdr:nvPicPr>
        <xdr:cNvPr id="66" name="Imagem 65">
          <a:extLst>
            <a:ext uri="{FF2B5EF4-FFF2-40B4-BE49-F238E27FC236}">
              <a16:creationId xmlns:a16="http://schemas.microsoft.com/office/drawing/2014/main" id="{00000000-0008-0000-1100-000042000000}"/>
            </a:ext>
          </a:extLst>
        </xdr:cNvPr>
        <xdr:cNvPicPr>
          <a:picLocks noChangeAspect="1"/>
        </xdr:cNvPicPr>
      </xdr:nvPicPr>
      <xdr:blipFill>
        <a:blip xmlns:r="http://schemas.openxmlformats.org/officeDocument/2006/relationships" r:embed="rId9"/>
        <a:stretch>
          <a:fillRect/>
        </a:stretch>
      </xdr:blipFill>
      <xdr:spPr>
        <a:xfrm>
          <a:off x="346473" y="9832181"/>
          <a:ext cx="554939" cy="792000"/>
        </a:xfrm>
        <a:prstGeom prst="rect">
          <a:avLst/>
        </a:prstGeom>
      </xdr:spPr>
    </xdr:pic>
    <xdr:clientData/>
  </xdr:twoCellAnchor>
  <xdr:twoCellAnchor editAs="oneCell">
    <xdr:from>
      <xdr:col>1</xdr:col>
      <xdr:colOff>308968</xdr:colOff>
      <xdr:row>52</xdr:row>
      <xdr:rowOff>44648</xdr:rowOff>
    </xdr:from>
    <xdr:to>
      <xdr:col>2</xdr:col>
      <xdr:colOff>170402</xdr:colOff>
      <xdr:row>55</xdr:row>
      <xdr:rowOff>112218</xdr:rowOff>
    </xdr:to>
    <xdr:pic>
      <xdr:nvPicPr>
        <xdr:cNvPr id="67" name="Imagem 66">
          <a:extLst>
            <a:ext uri="{FF2B5EF4-FFF2-40B4-BE49-F238E27FC236}">
              <a16:creationId xmlns:a16="http://schemas.microsoft.com/office/drawing/2014/main" id="{00000000-0008-0000-1100-000043000000}"/>
            </a:ext>
          </a:extLst>
        </xdr:cNvPr>
        <xdr:cNvPicPr>
          <a:picLocks noChangeAspect="1"/>
        </xdr:cNvPicPr>
      </xdr:nvPicPr>
      <xdr:blipFill>
        <a:blip xmlns:r="http://schemas.openxmlformats.org/officeDocument/2006/relationships" r:embed="rId10"/>
        <a:stretch>
          <a:fillRect/>
        </a:stretch>
      </xdr:blipFill>
      <xdr:spPr>
        <a:xfrm>
          <a:off x="413743" y="12493823"/>
          <a:ext cx="453889" cy="639070"/>
        </a:xfrm>
        <a:prstGeom prst="rect">
          <a:avLst/>
        </a:prstGeom>
      </xdr:spPr>
    </xdr:pic>
    <xdr:clientData/>
  </xdr:twoCellAnchor>
  <xdr:twoCellAnchor editAs="oneCell">
    <xdr:from>
      <xdr:col>1</xdr:col>
      <xdr:colOff>308967</xdr:colOff>
      <xdr:row>56</xdr:row>
      <xdr:rowOff>70842</xdr:rowOff>
    </xdr:from>
    <xdr:to>
      <xdr:col>2</xdr:col>
      <xdr:colOff>209691</xdr:colOff>
      <xdr:row>59</xdr:row>
      <xdr:rowOff>130792</xdr:rowOff>
    </xdr:to>
    <xdr:pic>
      <xdr:nvPicPr>
        <xdr:cNvPr id="68" name="Imagem 67">
          <a:extLst>
            <a:ext uri="{FF2B5EF4-FFF2-40B4-BE49-F238E27FC236}">
              <a16:creationId xmlns:a16="http://schemas.microsoft.com/office/drawing/2014/main" id="{00000000-0008-0000-1100-000044000000}"/>
            </a:ext>
          </a:extLst>
        </xdr:cNvPr>
        <xdr:cNvPicPr>
          <a:picLocks noChangeAspect="1"/>
        </xdr:cNvPicPr>
      </xdr:nvPicPr>
      <xdr:blipFill>
        <a:blip xmlns:r="http://schemas.openxmlformats.org/officeDocument/2006/relationships" r:embed="rId11"/>
        <a:stretch>
          <a:fillRect/>
        </a:stretch>
      </xdr:blipFill>
      <xdr:spPr>
        <a:xfrm>
          <a:off x="413742" y="13282017"/>
          <a:ext cx="470319" cy="639070"/>
        </a:xfrm>
        <a:prstGeom prst="rect">
          <a:avLst/>
        </a:prstGeom>
      </xdr:spPr>
    </xdr:pic>
    <xdr:clientData/>
  </xdr:twoCellAnchor>
  <xdr:twoCellAnchor editAs="oneCell">
    <xdr:from>
      <xdr:col>1</xdr:col>
      <xdr:colOff>270867</xdr:colOff>
      <xdr:row>70</xdr:row>
      <xdr:rowOff>77986</xdr:rowOff>
    </xdr:from>
    <xdr:to>
      <xdr:col>2</xdr:col>
      <xdr:colOff>250330</xdr:colOff>
      <xdr:row>74</xdr:row>
      <xdr:rowOff>96079</xdr:rowOff>
    </xdr:to>
    <xdr:pic>
      <xdr:nvPicPr>
        <xdr:cNvPr id="69" name="Imagem 68">
          <a:extLst>
            <a:ext uri="{FF2B5EF4-FFF2-40B4-BE49-F238E27FC236}">
              <a16:creationId xmlns:a16="http://schemas.microsoft.com/office/drawing/2014/main" id="{00000000-0008-0000-1100-000045000000}"/>
            </a:ext>
          </a:extLst>
        </xdr:cNvPr>
        <xdr:cNvPicPr>
          <a:picLocks noChangeAspect="1"/>
        </xdr:cNvPicPr>
      </xdr:nvPicPr>
      <xdr:blipFill>
        <a:blip xmlns:r="http://schemas.openxmlformats.org/officeDocument/2006/relationships" r:embed="rId12"/>
        <a:stretch>
          <a:fillRect/>
        </a:stretch>
      </xdr:blipFill>
      <xdr:spPr>
        <a:xfrm>
          <a:off x="375642" y="14051161"/>
          <a:ext cx="566203" cy="780093"/>
        </a:xfrm>
        <a:prstGeom prst="rect">
          <a:avLst/>
        </a:prstGeom>
      </xdr:spPr>
    </xdr:pic>
    <xdr:clientData/>
  </xdr:twoCellAnchor>
  <xdr:twoCellAnchor editAs="oneCell">
    <xdr:from>
      <xdr:col>1</xdr:col>
      <xdr:colOff>270867</xdr:colOff>
      <xdr:row>80</xdr:row>
      <xdr:rowOff>104179</xdr:rowOff>
    </xdr:from>
    <xdr:to>
      <xdr:col>2</xdr:col>
      <xdr:colOff>247448</xdr:colOff>
      <xdr:row>84</xdr:row>
      <xdr:rowOff>134537</xdr:rowOff>
    </xdr:to>
    <xdr:pic>
      <xdr:nvPicPr>
        <xdr:cNvPr id="70" name="Imagem 69">
          <a:extLst>
            <a:ext uri="{FF2B5EF4-FFF2-40B4-BE49-F238E27FC236}">
              <a16:creationId xmlns:a16="http://schemas.microsoft.com/office/drawing/2014/main" id="{00000000-0008-0000-1100-000046000000}"/>
            </a:ext>
          </a:extLst>
        </xdr:cNvPr>
        <xdr:cNvPicPr>
          <a:picLocks noChangeAspect="1"/>
        </xdr:cNvPicPr>
      </xdr:nvPicPr>
      <xdr:blipFill>
        <a:blip xmlns:r="http://schemas.openxmlformats.org/officeDocument/2006/relationships" r:embed="rId13"/>
        <a:stretch>
          <a:fillRect/>
        </a:stretch>
      </xdr:blipFill>
      <xdr:spPr>
        <a:xfrm>
          <a:off x="375642" y="15029854"/>
          <a:ext cx="569036" cy="777118"/>
        </a:xfrm>
        <a:prstGeom prst="rect">
          <a:avLst/>
        </a:prstGeom>
      </xdr:spPr>
    </xdr:pic>
    <xdr:clientData/>
  </xdr:twoCellAnchor>
  <xdr:twoCellAnchor editAs="oneCell">
    <xdr:from>
      <xdr:col>1</xdr:col>
      <xdr:colOff>223242</xdr:colOff>
      <xdr:row>38</xdr:row>
      <xdr:rowOff>104179</xdr:rowOff>
    </xdr:from>
    <xdr:to>
      <xdr:col>2</xdr:col>
      <xdr:colOff>248781</xdr:colOff>
      <xdr:row>42</xdr:row>
      <xdr:rowOff>133703</xdr:rowOff>
    </xdr:to>
    <xdr:pic>
      <xdr:nvPicPr>
        <xdr:cNvPr id="71" name="Imagem 70">
          <a:extLst>
            <a:ext uri="{FF2B5EF4-FFF2-40B4-BE49-F238E27FC236}">
              <a16:creationId xmlns:a16="http://schemas.microsoft.com/office/drawing/2014/main" id="{00000000-0008-0000-1100-000047000000}"/>
            </a:ext>
          </a:extLst>
        </xdr:cNvPr>
        <xdr:cNvPicPr>
          <a:picLocks noChangeAspect="1"/>
        </xdr:cNvPicPr>
      </xdr:nvPicPr>
      <xdr:blipFill>
        <a:blip xmlns:r="http://schemas.openxmlformats.org/officeDocument/2006/relationships" r:embed="rId14"/>
        <a:stretch>
          <a:fillRect/>
        </a:stretch>
      </xdr:blipFill>
      <xdr:spPr>
        <a:xfrm>
          <a:off x="327422" y="8870156"/>
          <a:ext cx="591800" cy="792000"/>
        </a:xfrm>
        <a:prstGeom prst="rect">
          <a:avLst/>
        </a:prstGeom>
      </xdr:spPr>
    </xdr:pic>
    <xdr:clientData/>
  </xdr:twoCellAnchor>
  <xdr:twoCellAnchor editAs="oneCell">
    <xdr:from>
      <xdr:col>1</xdr:col>
      <xdr:colOff>270867</xdr:colOff>
      <xdr:row>43</xdr:row>
      <xdr:rowOff>70247</xdr:rowOff>
    </xdr:from>
    <xdr:to>
      <xdr:col>2</xdr:col>
      <xdr:colOff>266786</xdr:colOff>
      <xdr:row>47</xdr:row>
      <xdr:rowOff>96794</xdr:rowOff>
    </xdr:to>
    <xdr:pic>
      <xdr:nvPicPr>
        <xdr:cNvPr id="72" name="Imagem 71">
          <a:extLst>
            <a:ext uri="{FF2B5EF4-FFF2-40B4-BE49-F238E27FC236}">
              <a16:creationId xmlns:a16="http://schemas.microsoft.com/office/drawing/2014/main" id="{00000000-0008-0000-1100-000048000000}"/>
            </a:ext>
          </a:extLst>
        </xdr:cNvPr>
        <xdr:cNvPicPr>
          <a:picLocks noChangeAspect="1"/>
        </xdr:cNvPicPr>
      </xdr:nvPicPr>
      <xdr:blipFill>
        <a:blip xmlns:r="http://schemas.openxmlformats.org/officeDocument/2006/relationships" r:embed="rId15"/>
        <a:stretch>
          <a:fillRect/>
        </a:stretch>
      </xdr:blipFill>
      <xdr:spPr>
        <a:xfrm>
          <a:off x="375642" y="15948422"/>
          <a:ext cx="576944" cy="777117"/>
        </a:xfrm>
        <a:prstGeom prst="rect">
          <a:avLst/>
        </a:prstGeom>
      </xdr:spPr>
    </xdr:pic>
    <xdr:clientData/>
  </xdr:twoCellAnchor>
  <xdr:twoCellAnchor editAs="oneCell">
    <xdr:from>
      <xdr:col>1</xdr:col>
      <xdr:colOff>299442</xdr:colOff>
      <xdr:row>48</xdr:row>
      <xdr:rowOff>36314</xdr:rowOff>
    </xdr:from>
    <xdr:to>
      <xdr:col>2</xdr:col>
      <xdr:colOff>245668</xdr:colOff>
      <xdr:row>51</xdr:row>
      <xdr:rowOff>172908</xdr:rowOff>
    </xdr:to>
    <xdr:pic>
      <xdr:nvPicPr>
        <xdr:cNvPr id="73" name="Imagem 72">
          <a:extLst>
            <a:ext uri="{FF2B5EF4-FFF2-40B4-BE49-F238E27FC236}">
              <a16:creationId xmlns:a16="http://schemas.microsoft.com/office/drawing/2014/main" id="{00000000-0008-0000-1100-000049000000}"/>
            </a:ext>
          </a:extLst>
        </xdr:cNvPr>
        <xdr:cNvPicPr>
          <a:picLocks noChangeAspect="1"/>
        </xdr:cNvPicPr>
      </xdr:nvPicPr>
      <xdr:blipFill>
        <a:blip xmlns:r="http://schemas.openxmlformats.org/officeDocument/2006/relationships" r:embed="rId16"/>
        <a:stretch>
          <a:fillRect/>
        </a:stretch>
      </xdr:blipFill>
      <xdr:spPr>
        <a:xfrm>
          <a:off x="404217" y="16866989"/>
          <a:ext cx="517726" cy="708094"/>
        </a:xfrm>
        <a:prstGeom prst="rect">
          <a:avLst/>
        </a:prstGeom>
      </xdr:spPr>
    </xdr:pic>
    <xdr:clientData/>
  </xdr:twoCellAnchor>
  <xdr:twoCellAnchor editAs="oneCell">
    <xdr:from>
      <xdr:col>1</xdr:col>
      <xdr:colOff>95250</xdr:colOff>
      <xdr:row>87</xdr:row>
      <xdr:rowOff>28575</xdr:rowOff>
    </xdr:from>
    <xdr:to>
      <xdr:col>2</xdr:col>
      <xdr:colOff>472440</xdr:colOff>
      <xdr:row>90</xdr:row>
      <xdr:rowOff>132364</xdr:rowOff>
    </xdr:to>
    <xdr:pic>
      <xdr:nvPicPr>
        <xdr:cNvPr id="74" name="Imagem 73">
          <a:extLst>
            <a:ext uri="{FF2B5EF4-FFF2-40B4-BE49-F238E27FC236}">
              <a16:creationId xmlns:a16="http://schemas.microsoft.com/office/drawing/2014/main" id="{00000000-0008-0000-1100-00004A000000}"/>
            </a:ext>
          </a:extLst>
        </xdr:cNvPr>
        <xdr:cNvPicPr>
          <a:picLocks noChangeAspect="1"/>
        </xdr:cNvPicPr>
      </xdr:nvPicPr>
      <xdr:blipFill>
        <a:blip xmlns:r="http://schemas.openxmlformats.org/officeDocument/2006/relationships" r:embed="rId17"/>
        <a:stretch>
          <a:fillRect/>
        </a:stretch>
      </xdr:blipFill>
      <xdr:spPr>
        <a:xfrm>
          <a:off x="200025" y="17621250"/>
          <a:ext cx="952500" cy="682909"/>
        </a:xfrm>
        <a:prstGeom prst="rect">
          <a:avLst/>
        </a:prstGeom>
      </xdr:spPr>
    </xdr:pic>
    <xdr:clientData/>
  </xdr:twoCellAnchor>
  <xdr:twoCellAnchor editAs="oneCell">
    <xdr:from>
      <xdr:col>1</xdr:col>
      <xdr:colOff>205740</xdr:colOff>
      <xdr:row>90</xdr:row>
      <xdr:rowOff>95250</xdr:rowOff>
    </xdr:from>
    <xdr:to>
      <xdr:col>2</xdr:col>
      <xdr:colOff>289519</xdr:colOff>
      <xdr:row>90</xdr:row>
      <xdr:rowOff>493036</xdr:rowOff>
    </xdr:to>
    <xdr:pic>
      <xdr:nvPicPr>
        <xdr:cNvPr id="76" name="Imagem 75">
          <a:extLst>
            <a:ext uri="{FF2B5EF4-FFF2-40B4-BE49-F238E27FC236}">
              <a16:creationId xmlns:a16="http://schemas.microsoft.com/office/drawing/2014/main" id="{00000000-0008-0000-1100-00004C000000}"/>
            </a:ext>
          </a:extLst>
        </xdr:cNvPr>
        <xdr:cNvPicPr>
          <a:picLocks noChangeAspect="1"/>
        </xdr:cNvPicPr>
      </xdr:nvPicPr>
      <xdr:blipFill>
        <a:blip xmlns:r="http://schemas.openxmlformats.org/officeDocument/2006/relationships" r:embed="rId18"/>
        <a:stretch>
          <a:fillRect/>
        </a:stretch>
      </xdr:blipFill>
      <xdr:spPr>
        <a:xfrm>
          <a:off x="365760" y="18672810"/>
          <a:ext cx="689569" cy="397786"/>
        </a:xfrm>
        <a:prstGeom prst="rect">
          <a:avLst/>
        </a:prstGeom>
      </xdr:spPr>
    </xdr:pic>
    <xdr:clientData/>
  </xdr:twoCellAnchor>
  <xdr:twoCellAnchor editAs="oneCell">
    <xdr:from>
      <xdr:col>1</xdr:col>
      <xdr:colOff>38100</xdr:colOff>
      <xdr:row>91</xdr:row>
      <xdr:rowOff>25003</xdr:rowOff>
    </xdr:from>
    <xdr:to>
      <xdr:col>2</xdr:col>
      <xdr:colOff>91693</xdr:colOff>
      <xdr:row>92</xdr:row>
      <xdr:rowOff>95010</xdr:rowOff>
    </xdr:to>
    <xdr:pic>
      <xdr:nvPicPr>
        <xdr:cNvPr id="77" name="Imagem 76">
          <a:extLst>
            <a:ext uri="{FF2B5EF4-FFF2-40B4-BE49-F238E27FC236}">
              <a16:creationId xmlns:a16="http://schemas.microsoft.com/office/drawing/2014/main" id="{00000000-0008-0000-1100-00004D000000}"/>
            </a:ext>
          </a:extLst>
        </xdr:cNvPr>
        <xdr:cNvPicPr>
          <a:picLocks noChangeAspect="1"/>
        </xdr:cNvPicPr>
      </xdr:nvPicPr>
      <xdr:blipFill>
        <a:blip xmlns:r="http://schemas.openxmlformats.org/officeDocument/2006/relationships" r:embed="rId19"/>
        <a:stretch>
          <a:fillRect/>
        </a:stretch>
      </xdr:blipFill>
      <xdr:spPr>
        <a:xfrm>
          <a:off x="142875" y="19198828"/>
          <a:ext cx="642238" cy="399572"/>
        </a:xfrm>
        <a:prstGeom prst="rect">
          <a:avLst/>
        </a:prstGeom>
      </xdr:spPr>
    </xdr:pic>
    <xdr:clientData/>
  </xdr:twoCellAnchor>
  <xdr:twoCellAnchor editAs="oneCell">
    <xdr:from>
      <xdr:col>1</xdr:col>
      <xdr:colOff>466725</xdr:colOff>
      <xdr:row>91</xdr:row>
      <xdr:rowOff>207764</xdr:rowOff>
    </xdr:from>
    <xdr:to>
      <xdr:col>2</xdr:col>
      <xdr:colOff>550159</xdr:colOff>
      <xdr:row>92</xdr:row>
      <xdr:rowOff>283605</xdr:rowOff>
    </xdr:to>
    <xdr:pic>
      <xdr:nvPicPr>
        <xdr:cNvPr id="78" name="Imagem 77">
          <a:extLst>
            <a:ext uri="{FF2B5EF4-FFF2-40B4-BE49-F238E27FC236}">
              <a16:creationId xmlns:a16="http://schemas.microsoft.com/office/drawing/2014/main" id="{00000000-0008-0000-1100-00004E000000}"/>
            </a:ext>
          </a:extLst>
        </xdr:cNvPr>
        <xdr:cNvPicPr>
          <a:picLocks noChangeAspect="1"/>
        </xdr:cNvPicPr>
      </xdr:nvPicPr>
      <xdr:blipFill>
        <a:blip xmlns:r="http://schemas.openxmlformats.org/officeDocument/2006/relationships" r:embed="rId20"/>
        <a:stretch>
          <a:fillRect/>
        </a:stretch>
      </xdr:blipFill>
      <xdr:spPr>
        <a:xfrm>
          <a:off x="571500" y="19381589"/>
          <a:ext cx="658744" cy="397786"/>
        </a:xfrm>
        <a:prstGeom prst="rect">
          <a:avLst/>
        </a:prstGeom>
      </xdr:spPr>
    </xdr:pic>
    <xdr:clientData/>
  </xdr:twoCellAnchor>
  <xdr:twoCellAnchor editAs="oneCell">
    <xdr:from>
      <xdr:col>1</xdr:col>
      <xdr:colOff>295276</xdr:colOff>
      <xdr:row>93</xdr:row>
      <xdr:rowOff>57150</xdr:rowOff>
    </xdr:from>
    <xdr:to>
      <xdr:col>2</xdr:col>
      <xdr:colOff>171450</xdr:colOff>
      <xdr:row>93</xdr:row>
      <xdr:rowOff>473211</xdr:rowOff>
    </xdr:to>
    <xdr:pic>
      <xdr:nvPicPr>
        <xdr:cNvPr id="79" name="Imagem 78">
          <a:extLst>
            <a:ext uri="{FF2B5EF4-FFF2-40B4-BE49-F238E27FC236}">
              <a16:creationId xmlns:a16="http://schemas.microsoft.com/office/drawing/2014/main" id="{00000000-0008-0000-1100-00004F000000}"/>
            </a:ext>
          </a:extLst>
        </xdr:cNvPr>
        <xdr:cNvPicPr>
          <a:picLocks noChangeAspect="1"/>
        </xdr:cNvPicPr>
      </xdr:nvPicPr>
      <xdr:blipFill>
        <a:blip xmlns:r="http://schemas.openxmlformats.org/officeDocument/2006/relationships" r:embed="rId21"/>
        <a:stretch>
          <a:fillRect/>
        </a:stretch>
      </xdr:blipFill>
      <xdr:spPr>
        <a:xfrm>
          <a:off x="455296" y="19762470"/>
          <a:ext cx="459104" cy="423681"/>
        </a:xfrm>
        <a:prstGeom prst="rect">
          <a:avLst/>
        </a:prstGeom>
      </xdr:spPr>
    </xdr:pic>
    <xdr:clientData/>
  </xdr:twoCellAnchor>
  <xdr:twoCellAnchor editAs="oneCell">
    <xdr:from>
      <xdr:col>1</xdr:col>
      <xdr:colOff>311350</xdr:colOff>
      <xdr:row>86</xdr:row>
      <xdr:rowOff>47625</xdr:rowOff>
    </xdr:from>
    <xdr:to>
      <xdr:col>2</xdr:col>
      <xdr:colOff>209860</xdr:colOff>
      <xdr:row>86</xdr:row>
      <xdr:rowOff>701340</xdr:rowOff>
    </xdr:to>
    <xdr:pic>
      <xdr:nvPicPr>
        <xdr:cNvPr id="81" name="Imagem 80">
          <a:extLst>
            <a:ext uri="{FF2B5EF4-FFF2-40B4-BE49-F238E27FC236}">
              <a16:creationId xmlns:a16="http://schemas.microsoft.com/office/drawing/2014/main" id="{00000000-0008-0000-1100-000051000000}"/>
            </a:ext>
          </a:extLst>
        </xdr:cNvPr>
        <xdr:cNvPicPr>
          <a:picLocks noChangeAspect="1"/>
        </xdr:cNvPicPr>
      </xdr:nvPicPr>
      <xdr:blipFill>
        <a:blip xmlns:r="http://schemas.openxmlformats.org/officeDocument/2006/relationships" r:embed="rId22"/>
        <a:stretch>
          <a:fillRect/>
        </a:stretch>
      </xdr:blipFill>
      <xdr:spPr>
        <a:xfrm>
          <a:off x="482800" y="17106900"/>
          <a:ext cx="464295" cy="648000"/>
        </a:xfrm>
        <a:prstGeom prst="rect">
          <a:avLst/>
        </a:prstGeom>
      </xdr:spPr>
    </xdr:pic>
    <xdr:clientData/>
  </xdr:twoCellAnchor>
  <xdr:twoCellAnchor editAs="oneCell">
    <xdr:from>
      <xdr:col>1</xdr:col>
      <xdr:colOff>270867</xdr:colOff>
      <xdr:row>75</xdr:row>
      <xdr:rowOff>87511</xdr:rowOff>
    </xdr:from>
    <xdr:to>
      <xdr:col>2</xdr:col>
      <xdr:colOff>250330</xdr:colOff>
      <xdr:row>79</xdr:row>
      <xdr:rowOff>94174</xdr:rowOff>
    </xdr:to>
    <xdr:pic>
      <xdr:nvPicPr>
        <xdr:cNvPr id="34" name="Imagem 33">
          <a:extLst>
            <a:ext uri="{FF2B5EF4-FFF2-40B4-BE49-F238E27FC236}">
              <a16:creationId xmlns:a16="http://schemas.microsoft.com/office/drawing/2014/main" id="{00000000-0008-0000-1100-000022000000}"/>
            </a:ext>
          </a:extLst>
        </xdr:cNvPr>
        <xdr:cNvPicPr>
          <a:picLocks noChangeAspect="1"/>
        </xdr:cNvPicPr>
      </xdr:nvPicPr>
      <xdr:blipFill>
        <a:blip xmlns:r="http://schemas.openxmlformats.org/officeDocument/2006/relationships" r:embed="rId12"/>
        <a:stretch>
          <a:fillRect/>
        </a:stretch>
      </xdr:blipFill>
      <xdr:spPr>
        <a:xfrm>
          <a:off x="375642" y="15013186"/>
          <a:ext cx="566203" cy="780093"/>
        </a:xfrm>
        <a:prstGeom prst="rect">
          <a:avLst/>
        </a:prstGeom>
      </xdr:spPr>
    </xdr:pic>
    <xdr:clientData/>
  </xdr:twoCellAnchor>
  <xdr:twoCellAnchor editAs="oneCell">
    <xdr:from>
      <xdr:col>1</xdr:col>
      <xdr:colOff>371475</xdr:colOff>
      <xdr:row>85</xdr:row>
      <xdr:rowOff>85725</xdr:rowOff>
    </xdr:from>
    <xdr:to>
      <xdr:col>2</xdr:col>
      <xdr:colOff>168886</xdr:colOff>
      <xdr:row>85</xdr:row>
      <xdr:rowOff>739440</xdr:rowOff>
    </xdr:to>
    <xdr:pic>
      <xdr:nvPicPr>
        <xdr:cNvPr id="28" name="Imagem 27">
          <a:extLst>
            <a:ext uri="{FF2B5EF4-FFF2-40B4-BE49-F238E27FC236}">
              <a16:creationId xmlns:a16="http://schemas.microsoft.com/office/drawing/2014/main" id="{00000000-0008-0000-1100-00001C000000}"/>
            </a:ext>
          </a:extLst>
        </xdr:cNvPr>
        <xdr:cNvPicPr>
          <a:picLocks noChangeAspect="1"/>
        </xdr:cNvPicPr>
      </xdr:nvPicPr>
      <xdr:blipFill>
        <a:blip xmlns:r="http://schemas.openxmlformats.org/officeDocument/2006/relationships" r:embed="rId23"/>
        <a:stretch>
          <a:fillRect/>
        </a:stretch>
      </xdr:blipFill>
      <xdr:spPr>
        <a:xfrm>
          <a:off x="542925" y="16383000"/>
          <a:ext cx="368911" cy="648000"/>
        </a:xfrm>
        <a:prstGeom prst="rect">
          <a:avLst/>
        </a:prstGeom>
      </xdr:spPr>
    </xdr:pic>
    <xdr:clientData/>
  </xdr:twoCellAnchor>
  <xdr:twoCellAnchor editAs="oneCell">
    <xdr:from>
      <xdr:col>1</xdr:col>
      <xdr:colOff>0</xdr:colOff>
      <xdr:row>1</xdr:row>
      <xdr:rowOff>0</xdr:rowOff>
    </xdr:from>
    <xdr:to>
      <xdr:col>4</xdr:col>
      <xdr:colOff>517845</xdr:colOff>
      <xdr:row>5</xdr:row>
      <xdr:rowOff>18697</xdr:rowOff>
    </xdr:to>
    <xdr:pic>
      <xdr:nvPicPr>
        <xdr:cNvPr id="29" name="Picture 1">
          <a:extLst>
            <a:ext uri="{FF2B5EF4-FFF2-40B4-BE49-F238E27FC236}">
              <a16:creationId xmlns:a16="http://schemas.microsoft.com/office/drawing/2014/main" id="{00000000-0008-0000-1100-00001D000000}"/>
            </a:ext>
          </a:extLst>
        </xdr:cNvPr>
        <xdr:cNvPicPr>
          <a:picLocks noChangeAspect="1"/>
        </xdr:cNvPicPr>
      </xdr:nvPicPr>
      <xdr:blipFill>
        <a:blip xmlns:r="http://schemas.openxmlformats.org/officeDocument/2006/relationships" r:embed="rId24"/>
        <a:stretch>
          <a:fillRect/>
        </a:stretch>
      </xdr:blipFill>
      <xdr:spPr>
        <a:xfrm rot="5400000">
          <a:off x="1035386" y="-673436"/>
          <a:ext cx="792127" cy="2520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323850</xdr:colOff>
      <xdr:row>2</xdr:row>
      <xdr:rowOff>123825</xdr:rowOff>
    </xdr:from>
    <xdr:to>
      <xdr:col>12</xdr:col>
      <xdr:colOff>323850</xdr:colOff>
      <xdr:row>5</xdr:row>
      <xdr:rowOff>142875</xdr:rowOff>
    </xdr:to>
    <xdr:cxnSp macro="">
      <xdr:nvCxnSpPr>
        <xdr:cNvPr id="2" name="Straight Arrow Connector 1">
          <a:extLst>
            <a:ext uri="{FF2B5EF4-FFF2-40B4-BE49-F238E27FC236}">
              <a16:creationId xmlns:a16="http://schemas.microsoft.com/office/drawing/2014/main" id="{00000000-0008-0000-1200-000002000000}"/>
            </a:ext>
          </a:extLst>
        </xdr:cNvPr>
        <xdr:cNvCxnSpPr/>
      </xdr:nvCxnSpPr>
      <xdr:spPr>
        <a:xfrm>
          <a:off x="9587865" y="554355"/>
          <a:ext cx="0" cy="558165"/>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14</xdr:col>
      <xdr:colOff>38100</xdr:colOff>
      <xdr:row>1</xdr:row>
      <xdr:rowOff>9525</xdr:rowOff>
    </xdr:from>
    <xdr:to>
      <xdr:col>15</xdr:col>
      <xdr:colOff>91863</xdr:colOff>
      <xdr:row>5</xdr:row>
      <xdr:rowOff>17316</xdr:rowOff>
    </xdr:to>
    <xdr:pic>
      <xdr:nvPicPr>
        <xdr:cNvPr id="3" name="Picture 42">
          <a:extLst>
            <a:ext uri="{FF2B5EF4-FFF2-40B4-BE49-F238E27FC236}">
              <a16:creationId xmlns:a16="http://schemas.microsoft.com/office/drawing/2014/main" id="{00000000-0008-0000-12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903" t="10485" r="9678" b="10483"/>
        <a:stretch/>
      </xdr:blipFill>
      <xdr:spPr bwMode="auto">
        <a:xfrm>
          <a:off x="10115550" y="240030"/>
          <a:ext cx="781050" cy="749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62193</xdr:colOff>
      <xdr:row>9</xdr:row>
      <xdr:rowOff>64770</xdr:rowOff>
    </xdr:from>
    <xdr:to>
      <xdr:col>2</xdr:col>
      <xdr:colOff>366936</xdr:colOff>
      <xdr:row>15</xdr:row>
      <xdr:rowOff>26334</xdr:rowOff>
    </xdr:to>
    <xdr:pic>
      <xdr:nvPicPr>
        <xdr:cNvPr id="5" name="Imagem 4">
          <a:extLst>
            <a:ext uri="{FF2B5EF4-FFF2-40B4-BE49-F238E27FC236}">
              <a16:creationId xmlns:a16="http://schemas.microsoft.com/office/drawing/2014/main" id="{00000000-0008-0000-1200-000005000000}"/>
            </a:ext>
          </a:extLst>
        </xdr:cNvPr>
        <xdr:cNvPicPr>
          <a:picLocks noChangeAspect="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ackgroundRemoval t="10000" b="90000" l="10000" r="90000">
                      <a14:foregroundMark x1="58468" y1="77273" x2="56850" y2="75487"/>
                    </a14:backgroundRemoval>
                  </a14:imgEffect>
                </a14:imgLayer>
              </a14:imgProps>
            </a:ext>
            <a:ext uri="{28A0092B-C50C-407E-A947-70E740481C1C}">
              <a14:useLocalDpi xmlns:a14="http://schemas.microsoft.com/office/drawing/2010/main" val="0"/>
            </a:ext>
          </a:extLst>
        </a:blip>
        <a:srcRect l="26986" r="30357" b="7860"/>
        <a:stretch/>
      </xdr:blipFill>
      <xdr:spPr>
        <a:xfrm>
          <a:off x="357468" y="2160270"/>
          <a:ext cx="895293" cy="1047414"/>
        </a:xfrm>
        <a:prstGeom prst="rect">
          <a:avLst/>
        </a:prstGeom>
      </xdr:spPr>
    </xdr:pic>
    <xdr:clientData/>
  </xdr:twoCellAnchor>
  <xdr:twoCellAnchor editAs="oneCell">
    <xdr:from>
      <xdr:col>1</xdr:col>
      <xdr:colOff>206413</xdr:colOff>
      <xdr:row>20</xdr:row>
      <xdr:rowOff>4898</xdr:rowOff>
    </xdr:from>
    <xdr:to>
      <xdr:col>2</xdr:col>
      <xdr:colOff>282773</xdr:colOff>
      <xdr:row>24</xdr:row>
      <xdr:rowOff>4112</xdr:rowOff>
    </xdr:to>
    <xdr:pic>
      <xdr:nvPicPr>
        <xdr:cNvPr id="8" name="Imagem 7">
          <a:extLst>
            <a:ext uri="{FF2B5EF4-FFF2-40B4-BE49-F238E27FC236}">
              <a16:creationId xmlns:a16="http://schemas.microsoft.com/office/drawing/2014/main" id="{00000000-0008-0000-1200-000008000000}"/>
            </a:ext>
          </a:extLst>
        </xdr:cNvPr>
        <xdr:cNvPicPr>
          <a:picLocks noChangeAspect="1"/>
        </xdr:cNvPicPr>
      </xdr:nvPicPr>
      <xdr:blipFill rotWithShape="1">
        <a:blip xmlns:r="http://schemas.openxmlformats.org/officeDocument/2006/relationships" r:embed="rId4" cstate="print">
          <a:extLst>
            <a:ext uri="{BEBA8EAE-BF5A-486C-A8C5-ECC9F3942E4B}">
              <a14:imgProps xmlns:a14="http://schemas.microsoft.com/office/drawing/2010/main">
                <a14:imgLayer r:embed="rId5">
                  <a14:imgEffect>
                    <a14:backgroundRemoval t="10000" b="90000" l="10000" r="90000">
                      <a14:foregroundMark x1="39771" y1="77011" x2="45124" y2="80747"/>
                    </a14:backgroundRemoval>
                  </a14:imgEffect>
                </a14:imgLayer>
              </a14:imgProps>
            </a:ext>
            <a:ext uri="{28A0092B-C50C-407E-A947-70E740481C1C}">
              <a14:useLocalDpi xmlns:a14="http://schemas.microsoft.com/office/drawing/2010/main" val="0"/>
            </a:ext>
          </a:extLst>
        </a:blip>
        <a:srcRect l="28431" t="12339" r="29412" b="9941"/>
        <a:stretch/>
      </xdr:blipFill>
      <xdr:spPr>
        <a:xfrm>
          <a:off x="501688" y="4129223"/>
          <a:ext cx="666910" cy="723114"/>
        </a:xfrm>
        <a:prstGeom prst="rect">
          <a:avLst/>
        </a:prstGeom>
      </xdr:spPr>
    </xdr:pic>
    <xdr:clientData/>
  </xdr:twoCellAnchor>
  <xdr:twoCellAnchor editAs="oneCell">
    <xdr:from>
      <xdr:col>1</xdr:col>
      <xdr:colOff>33618</xdr:colOff>
      <xdr:row>32</xdr:row>
      <xdr:rowOff>0</xdr:rowOff>
    </xdr:from>
    <xdr:to>
      <xdr:col>2</xdr:col>
      <xdr:colOff>552588</xdr:colOff>
      <xdr:row>39</xdr:row>
      <xdr:rowOff>54957</xdr:rowOff>
    </xdr:to>
    <xdr:pic>
      <xdr:nvPicPr>
        <xdr:cNvPr id="11" name="Imagem 10">
          <a:extLst>
            <a:ext uri="{FF2B5EF4-FFF2-40B4-BE49-F238E27FC236}">
              <a16:creationId xmlns:a16="http://schemas.microsoft.com/office/drawing/2014/main" id="{00000000-0008-0000-1200-00000B000000}"/>
            </a:ext>
          </a:extLst>
        </xdr:cNvPr>
        <xdr:cNvPicPr>
          <a:picLocks noChangeAspect="1"/>
        </xdr:cNvPicPr>
      </xdr:nvPicPr>
      <xdr:blipFill rotWithShape="1">
        <a:blip xmlns:r="http://schemas.openxmlformats.org/officeDocument/2006/relationships" r:embed="rId6" cstate="print">
          <a:extLst>
            <a:ext uri="{BEBA8EAE-BF5A-486C-A8C5-ECC9F3942E4B}">
              <a14:imgProps xmlns:a14="http://schemas.microsoft.com/office/drawing/2010/main">
                <a14:imgLayer r:embed="rId7">
                  <a14:imgEffect>
                    <a14:backgroundRemoval t="10000" b="90000" l="10000" r="90000">
                      <a14:foregroundMark x1="41551" y1="80896" x2="41551" y2="80896"/>
                    </a14:backgroundRemoval>
                  </a14:imgEffect>
                </a14:imgLayer>
              </a14:imgProps>
            </a:ext>
            <a:ext uri="{28A0092B-C50C-407E-A947-70E740481C1C}">
              <a14:useLocalDpi xmlns:a14="http://schemas.microsoft.com/office/drawing/2010/main" val="0"/>
            </a:ext>
          </a:extLst>
        </a:blip>
        <a:srcRect l="23700" r="24343"/>
        <a:stretch/>
      </xdr:blipFill>
      <xdr:spPr>
        <a:xfrm>
          <a:off x="156883" y="22546235"/>
          <a:ext cx="1085850" cy="1390649"/>
        </a:xfrm>
        <a:prstGeom prst="rect">
          <a:avLst/>
        </a:prstGeom>
      </xdr:spPr>
    </xdr:pic>
    <xdr:clientData/>
  </xdr:twoCellAnchor>
  <xdr:twoCellAnchor editAs="oneCell">
    <xdr:from>
      <xdr:col>1</xdr:col>
      <xdr:colOff>251011</xdr:colOff>
      <xdr:row>47</xdr:row>
      <xdr:rowOff>108859</xdr:rowOff>
    </xdr:from>
    <xdr:to>
      <xdr:col>2</xdr:col>
      <xdr:colOff>285750</xdr:colOff>
      <xdr:row>52</xdr:row>
      <xdr:rowOff>56977</xdr:rowOff>
    </xdr:to>
    <xdr:pic>
      <xdr:nvPicPr>
        <xdr:cNvPr id="14" name="Imagem 13">
          <a:extLst>
            <a:ext uri="{FF2B5EF4-FFF2-40B4-BE49-F238E27FC236}">
              <a16:creationId xmlns:a16="http://schemas.microsoft.com/office/drawing/2014/main" id="{00000000-0008-0000-1200-00000E000000}"/>
            </a:ext>
          </a:extLst>
        </xdr:cNvPr>
        <xdr:cNvPicPr>
          <a:picLocks noChangeAspect="1"/>
        </xdr:cNvPicPr>
      </xdr:nvPicPr>
      <xdr:blipFill>
        <a:blip xmlns:r="http://schemas.openxmlformats.org/officeDocument/2006/relationships" r:embed="rId8"/>
        <a:stretch>
          <a:fillRect/>
        </a:stretch>
      </xdr:blipFill>
      <xdr:spPr>
        <a:xfrm>
          <a:off x="403411" y="11376934"/>
          <a:ext cx="606239" cy="904428"/>
        </a:xfrm>
        <a:prstGeom prst="rect">
          <a:avLst/>
        </a:prstGeom>
      </xdr:spPr>
    </xdr:pic>
    <xdr:clientData/>
  </xdr:twoCellAnchor>
  <xdr:twoCellAnchor editAs="oneCell">
    <xdr:from>
      <xdr:col>1</xdr:col>
      <xdr:colOff>113131</xdr:colOff>
      <xdr:row>79</xdr:row>
      <xdr:rowOff>173355</xdr:rowOff>
    </xdr:from>
    <xdr:to>
      <xdr:col>3</xdr:col>
      <xdr:colOff>59927</xdr:colOff>
      <xdr:row>84</xdr:row>
      <xdr:rowOff>77521</xdr:rowOff>
    </xdr:to>
    <xdr:pic>
      <xdr:nvPicPr>
        <xdr:cNvPr id="15" name="Imagem 14">
          <a:extLst>
            <a:ext uri="{FF2B5EF4-FFF2-40B4-BE49-F238E27FC236}">
              <a16:creationId xmlns:a16="http://schemas.microsoft.com/office/drawing/2014/main" id="{00000000-0008-0000-1200-00000F000000}"/>
            </a:ext>
          </a:extLst>
        </xdr:cNvPr>
        <xdr:cNvPicPr>
          <a:picLocks noChangeAspect="1"/>
        </xdr:cNvPicPr>
      </xdr:nvPicPr>
      <xdr:blipFill rotWithShape="1">
        <a:blip xmlns:r="http://schemas.openxmlformats.org/officeDocument/2006/relationships" r:embed="rId9" cstate="print">
          <a:extLst>
            <a:ext uri="{BEBA8EAE-BF5A-486C-A8C5-ECC9F3942E4B}">
              <a14:imgProps xmlns:a14="http://schemas.microsoft.com/office/drawing/2010/main">
                <a14:imgLayer r:embed="rId10">
                  <a14:imgEffect>
                    <a14:backgroundRemoval t="10000" b="90000" l="10000" r="90000"/>
                  </a14:imgEffect>
                </a14:imgLayer>
              </a14:imgProps>
            </a:ext>
            <a:ext uri="{28A0092B-C50C-407E-A947-70E740481C1C}">
              <a14:useLocalDpi xmlns:a14="http://schemas.microsoft.com/office/drawing/2010/main" val="0"/>
            </a:ext>
          </a:extLst>
        </a:blip>
        <a:srcRect l="16673"/>
        <a:stretch/>
      </xdr:blipFill>
      <xdr:spPr>
        <a:xfrm>
          <a:off x="398881" y="16203930"/>
          <a:ext cx="1108846" cy="856666"/>
        </a:xfrm>
        <a:prstGeom prst="rect">
          <a:avLst/>
        </a:prstGeom>
      </xdr:spPr>
    </xdr:pic>
    <xdr:clientData/>
  </xdr:twoCellAnchor>
  <xdr:twoCellAnchor editAs="oneCell">
    <xdr:from>
      <xdr:col>1</xdr:col>
      <xdr:colOff>28575</xdr:colOff>
      <xdr:row>60</xdr:row>
      <xdr:rowOff>87630</xdr:rowOff>
    </xdr:from>
    <xdr:to>
      <xdr:col>2</xdr:col>
      <xdr:colOff>452877</xdr:colOff>
      <xdr:row>65</xdr:row>
      <xdr:rowOff>132006</xdr:rowOff>
    </xdr:to>
    <xdr:pic>
      <xdr:nvPicPr>
        <xdr:cNvPr id="17" name="Imagem 16">
          <a:extLst>
            <a:ext uri="{FF2B5EF4-FFF2-40B4-BE49-F238E27FC236}">
              <a16:creationId xmlns:a16="http://schemas.microsoft.com/office/drawing/2014/main" id="{00000000-0008-0000-1200-000011000000}"/>
            </a:ext>
          </a:extLst>
        </xdr:cNvPr>
        <xdr:cNvPicPr>
          <a:picLocks noChangeAspect="1"/>
        </xdr:cNvPicPr>
      </xdr:nvPicPr>
      <xdr:blipFill rotWithShape="1">
        <a:blip xmlns:r="http://schemas.openxmlformats.org/officeDocument/2006/relationships" r:embed="rId11" cstate="print">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rcRect l="21552" r="20258"/>
        <a:stretch/>
      </xdr:blipFill>
      <xdr:spPr>
        <a:xfrm>
          <a:off x="323850" y="11851005"/>
          <a:ext cx="1014852" cy="949251"/>
        </a:xfrm>
        <a:prstGeom prst="rect">
          <a:avLst/>
        </a:prstGeom>
      </xdr:spPr>
    </xdr:pic>
    <xdr:clientData/>
  </xdr:twoCellAnchor>
  <xdr:twoCellAnchor editAs="oneCell">
    <xdr:from>
      <xdr:col>1</xdr:col>
      <xdr:colOff>123826</xdr:colOff>
      <xdr:row>94</xdr:row>
      <xdr:rowOff>78122</xdr:rowOff>
    </xdr:from>
    <xdr:to>
      <xdr:col>2</xdr:col>
      <xdr:colOff>434341</xdr:colOff>
      <xdr:row>97</xdr:row>
      <xdr:rowOff>132306</xdr:rowOff>
    </xdr:to>
    <xdr:pic>
      <xdr:nvPicPr>
        <xdr:cNvPr id="19" name="Imagem 18">
          <a:extLst>
            <a:ext uri="{FF2B5EF4-FFF2-40B4-BE49-F238E27FC236}">
              <a16:creationId xmlns:a16="http://schemas.microsoft.com/office/drawing/2014/main" id="{00000000-0008-0000-1200-000013000000}"/>
            </a:ext>
          </a:extLst>
        </xdr:cNvPr>
        <xdr:cNvPicPr>
          <a:picLocks noChangeAspect="1"/>
        </xdr:cNvPicPr>
      </xdr:nvPicPr>
      <xdr:blipFill rotWithShape="1">
        <a:blip xmlns:r="http://schemas.openxmlformats.org/officeDocument/2006/relationships" r:embed="rId13" cstate="print">
          <a:extLst>
            <a:ext uri="{BEBA8EAE-BF5A-486C-A8C5-ECC9F3942E4B}">
              <a14:imgProps xmlns:a14="http://schemas.microsoft.com/office/drawing/2010/main">
                <a14:imgLayer r:embed="rId14">
                  <a14:imgEffect>
                    <a14:backgroundRemoval t="10000" b="90000" l="10000" r="90000"/>
                  </a14:imgEffect>
                </a14:imgLayer>
              </a14:imgProps>
            </a:ext>
            <a:ext uri="{28A0092B-C50C-407E-A947-70E740481C1C}">
              <a14:useLocalDpi xmlns:a14="http://schemas.microsoft.com/office/drawing/2010/main" val="0"/>
            </a:ext>
          </a:extLst>
        </a:blip>
        <a:srcRect l="15813" t="12378" r="14437" b="10098"/>
        <a:stretch/>
      </xdr:blipFill>
      <xdr:spPr>
        <a:xfrm>
          <a:off x="276226" y="17318372"/>
          <a:ext cx="895350" cy="635209"/>
        </a:xfrm>
        <a:prstGeom prst="rect">
          <a:avLst/>
        </a:prstGeom>
      </xdr:spPr>
    </xdr:pic>
    <xdr:clientData/>
  </xdr:twoCellAnchor>
  <xdr:twoCellAnchor editAs="oneCell">
    <xdr:from>
      <xdr:col>1</xdr:col>
      <xdr:colOff>81244</xdr:colOff>
      <xdr:row>99</xdr:row>
      <xdr:rowOff>100453</xdr:rowOff>
    </xdr:from>
    <xdr:to>
      <xdr:col>2</xdr:col>
      <xdr:colOff>548641</xdr:colOff>
      <xdr:row>104</xdr:row>
      <xdr:rowOff>18509</xdr:rowOff>
    </xdr:to>
    <xdr:pic>
      <xdr:nvPicPr>
        <xdr:cNvPr id="21" name="Imagem 20">
          <a:extLst>
            <a:ext uri="{FF2B5EF4-FFF2-40B4-BE49-F238E27FC236}">
              <a16:creationId xmlns:a16="http://schemas.microsoft.com/office/drawing/2014/main" id="{00000000-0008-0000-1200-000015000000}"/>
            </a:ext>
          </a:extLst>
        </xdr:cNvPr>
        <xdr:cNvPicPr>
          <a:picLocks noChangeAspect="1"/>
        </xdr:cNvPicPr>
      </xdr:nvPicPr>
      <xdr:blipFill rotWithShape="1">
        <a:blip xmlns:r="http://schemas.openxmlformats.org/officeDocument/2006/relationships" r:embed="rId15" cstate="print">
          <a:extLst>
            <a:ext uri="{BEBA8EAE-BF5A-486C-A8C5-ECC9F3942E4B}">
              <a14:imgProps xmlns:a14="http://schemas.microsoft.com/office/drawing/2010/main">
                <a14:imgLayer r:embed="rId16">
                  <a14:imgEffect>
                    <a14:backgroundRemoval t="5105" b="96997" l="10000" r="90000">
                      <a14:foregroundMark x1="51900" y1="96997" x2="51900" y2="96997"/>
                      <a14:foregroundMark x1="61200" y1="5105" x2="61200" y2="5105"/>
                    </a14:backgroundRemoval>
                  </a14:imgEffect>
                </a14:imgLayer>
              </a14:imgProps>
            </a:ext>
            <a:ext uri="{28A0092B-C50C-407E-A947-70E740481C1C}">
              <a14:useLocalDpi xmlns:a14="http://schemas.microsoft.com/office/drawing/2010/main" val="0"/>
            </a:ext>
          </a:extLst>
        </a:blip>
        <a:srcRect l="22773"/>
        <a:stretch/>
      </xdr:blipFill>
      <xdr:spPr>
        <a:xfrm>
          <a:off x="233644" y="18112228"/>
          <a:ext cx="1052232" cy="880081"/>
        </a:xfrm>
        <a:prstGeom prst="rect">
          <a:avLst/>
        </a:prstGeom>
      </xdr:spPr>
    </xdr:pic>
    <xdr:clientData/>
  </xdr:twoCellAnchor>
  <xdr:twoCellAnchor editAs="oneCell">
    <xdr:from>
      <xdr:col>1</xdr:col>
      <xdr:colOff>85725</xdr:colOff>
      <xdr:row>106</xdr:row>
      <xdr:rowOff>187140</xdr:rowOff>
    </xdr:from>
    <xdr:to>
      <xdr:col>2</xdr:col>
      <xdr:colOff>437953</xdr:colOff>
      <xdr:row>110</xdr:row>
      <xdr:rowOff>0</xdr:rowOff>
    </xdr:to>
    <xdr:pic>
      <xdr:nvPicPr>
        <xdr:cNvPr id="22" name="Imagem 21">
          <a:extLst>
            <a:ext uri="{FF2B5EF4-FFF2-40B4-BE49-F238E27FC236}">
              <a16:creationId xmlns:a16="http://schemas.microsoft.com/office/drawing/2014/main" id="{00000000-0008-0000-1200-000016000000}"/>
            </a:ext>
          </a:extLst>
        </xdr:cNvPr>
        <xdr:cNvPicPr>
          <a:picLocks noChangeAspect="1"/>
        </xdr:cNvPicPr>
      </xdr:nvPicPr>
      <xdr:blipFill>
        <a:blip xmlns:r="http://schemas.openxmlformats.org/officeDocument/2006/relationships" r:embed="rId17" cstate="print">
          <a:extLst>
            <a:ext uri="{BEBA8EAE-BF5A-486C-A8C5-ECC9F3942E4B}">
              <a14:imgProps xmlns:a14="http://schemas.microsoft.com/office/drawing/2010/main">
                <a14:imgLayer r:embed="rId18">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38125" y="25152165"/>
          <a:ext cx="937063" cy="603435"/>
        </a:xfrm>
        <a:prstGeom prst="rect">
          <a:avLst/>
        </a:prstGeom>
      </xdr:spPr>
    </xdr:pic>
    <xdr:clientData/>
  </xdr:twoCellAnchor>
  <xdr:twoCellAnchor editAs="oneCell">
    <xdr:from>
      <xdr:col>1</xdr:col>
      <xdr:colOff>47625</xdr:colOff>
      <xdr:row>111</xdr:row>
      <xdr:rowOff>33057</xdr:rowOff>
    </xdr:from>
    <xdr:to>
      <xdr:col>3</xdr:col>
      <xdr:colOff>283795</xdr:colOff>
      <xdr:row>116</xdr:row>
      <xdr:rowOff>95555</xdr:rowOff>
    </xdr:to>
    <xdr:pic>
      <xdr:nvPicPr>
        <xdr:cNvPr id="24" name="Imagem 23">
          <a:extLst>
            <a:ext uri="{FF2B5EF4-FFF2-40B4-BE49-F238E27FC236}">
              <a16:creationId xmlns:a16="http://schemas.microsoft.com/office/drawing/2014/main" id="{00000000-0008-0000-1200-000018000000}"/>
            </a:ext>
          </a:extLst>
        </xdr:cNvPr>
        <xdr:cNvPicPr>
          <a:picLocks noChangeAspect="1"/>
        </xdr:cNvPicPr>
      </xdr:nvPicPr>
      <xdr:blipFill rotWithShape="1">
        <a:blip xmlns:r="http://schemas.openxmlformats.org/officeDocument/2006/relationships" r:embed="rId19" cstate="print">
          <a:extLst>
            <a:ext uri="{BEBA8EAE-BF5A-486C-A8C5-ECC9F3942E4B}">
              <a14:imgProps xmlns:a14="http://schemas.microsoft.com/office/drawing/2010/main">
                <a14:imgLayer r:embed="rId20">
                  <a14:imgEffect>
                    <a14:backgroundRemoval t="10000" b="90000" l="10000" r="90000"/>
                  </a14:imgEffect>
                </a14:imgLayer>
              </a14:imgProps>
            </a:ext>
            <a:ext uri="{28A0092B-C50C-407E-A947-70E740481C1C}">
              <a14:useLocalDpi xmlns:a14="http://schemas.microsoft.com/office/drawing/2010/main" val="0"/>
            </a:ext>
          </a:extLst>
        </a:blip>
        <a:srcRect l="19231"/>
        <a:stretch/>
      </xdr:blipFill>
      <xdr:spPr>
        <a:xfrm>
          <a:off x="200025" y="38114007"/>
          <a:ext cx="1386790" cy="1133108"/>
        </a:xfrm>
        <a:prstGeom prst="rect">
          <a:avLst/>
        </a:prstGeom>
      </xdr:spPr>
    </xdr:pic>
    <xdr:clientData/>
  </xdr:twoCellAnchor>
  <xdr:twoCellAnchor editAs="oneCell">
    <xdr:from>
      <xdr:col>1</xdr:col>
      <xdr:colOff>200025</xdr:colOff>
      <xdr:row>119</xdr:row>
      <xdr:rowOff>191064</xdr:rowOff>
    </xdr:from>
    <xdr:to>
      <xdr:col>2</xdr:col>
      <xdr:colOff>434340</xdr:colOff>
      <xdr:row>123</xdr:row>
      <xdr:rowOff>21403</xdr:rowOff>
    </xdr:to>
    <xdr:pic>
      <xdr:nvPicPr>
        <xdr:cNvPr id="26" name="Imagem 25">
          <a:extLst>
            <a:ext uri="{FF2B5EF4-FFF2-40B4-BE49-F238E27FC236}">
              <a16:creationId xmlns:a16="http://schemas.microsoft.com/office/drawing/2014/main" id="{00000000-0008-0000-1200-00001A000000}"/>
            </a:ext>
          </a:extLst>
        </xdr:cNvPr>
        <xdr:cNvPicPr>
          <a:picLocks noChangeAspect="1"/>
        </xdr:cNvPicPr>
      </xdr:nvPicPr>
      <xdr:blipFill rotWithShape="1">
        <a:blip xmlns:r="http://schemas.openxmlformats.org/officeDocument/2006/relationships" r:embed="rId21" cstate="print">
          <a:extLst>
            <a:ext uri="{BEBA8EAE-BF5A-486C-A8C5-ECC9F3942E4B}">
              <a14:imgProps xmlns:a14="http://schemas.microsoft.com/office/drawing/2010/main">
                <a14:imgLayer r:embed="rId22">
                  <a14:imgEffect>
                    <a14:backgroundRemoval t="10000" b="90000" l="10000" r="90000"/>
                  </a14:imgEffect>
                </a14:imgLayer>
              </a14:imgProps>
            </a:ext>
            <a:ext uri="{28A0092B-C50C-407E-A947-70E740481C1C}">
              <a14:useLocalDpi xmlns:a14="http://schemas.microsoft.com/office/drawing/2010/main" val="0"/>
            </a:ext>
          </a:extLst>
        </a:blip>
        <a:srcRect l="14732"/>
        <a:stretch/>
      </xdr:blipFill>
      <xdr:spPr>
        <a:xfrm>
          <a:off x="352425" y="28242189"/>
          <a:ext cx="819150" cy="628534"/>
        </a:xfrm>
        <a:prstGeom prst="rect">
          <a:avLst/>
        </a:prstGeom>
      </xdr:spPr>
    </xdr:pic>
    <xdr:clientData/>
  </xdr:twoCellAnchor>
  <xdr:twoCellAnchor editAs="oneCell">
    <xdr:from>
      <xdr:col>1</xdr:col>
      <xdr:colOff>266139</xdr:colOff>
      <xdr:row>54</xdr:row>
      <xdr:rowOff>87967</xdr:rowOff>
    </xdr:from>
    <xdr:to>
      <xdr:col>2</xdr:col>
      <xdr:colOff>211456</xdr:colOff>
      <xdr:row>56</xdr:row>
      <xdr:rowOff>134326</xdr:rowOff>
    </xdr:to>
    <xdr:pic>
      <xdr:nvPicPr>
        <xdr:cNvPr id="31" name="Imagem 30">
          <a:extLst>
            <a:ext uri="{FF2B5EF4-FFF2-40B4-BE49-F238E27FC236}">
              <a16:creationId xmlns:a16="http://schemas.microsoft.com/office/drawing/2014/main" id="{00000000-0008-0000-1200-00001F000000}"/>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l="13333" r="15833"/>
        <a:stretch/>
      </xdr:blipFill>
      <xdr:spPr>
        <a:xfrm>
          <a:off x="418539" y="13156267"/>
          <a:ext cx="533962" cy="423549"/>
        </a:xfrm>
        <a:prstGeom prst="rect">
          <a:avLst/>
        </a:prstGeom>
      </xdr:spPr>
    </xdr:pic>
    <xdr:clientData/>
  </xdr:twoCellAnchor>
  <xdr:twoCellAnchor editAs="oneCell">
    <xdr:from>
      <xdr:col>1</xdr:col>
      <xdr:colOff>0</xdr:colOff>
      <xdr:row>1</xdr:row>
      <xdr:rowOff>0</xdr:rowOff>
    </xdr:from>
    <xdr:to>
      <xdr:col>4</xdr:col>
      <xdr:colOff>514035</xdr:colOff>
      <xdr:row>5</xdr:row>
      <xdr:rowOff>16792</xdr:rowOff>
    </xdr:to>
    <xdr:pic>
      <xdr:nvPicPr>
        <xdr:cNvPr id="30" name="Picture 1">
          <a:extLst>
            <a:ext uri="{FF2B5EF4-FFF2-40B4-BE49-F238E27FC236}">
              <a16:creationId xmlns:a16="http://schemas.microsoft.com/office/drawing/2014/main" id="{00000000-0008-0000-1200-00001E000000}"/>
            </a:ext>
          </a:extLst>
        </xdr:cNvPr>
        <xdr:cNvPicPr>
          <a:picLocks noChangeAspect="1"/>
        </xdr:cNvPicPr>
      </xdr:nvPicPr>
      <xdr:blipFill>
        <a:blip xmlns:r="http://schemas.openxmlformats.org/officeDocument/2006/relationships" r:embed="rId24"/>
        <a:stretch>
          <a:fillRect/>
        </a:stretch>
      </xdr:blipFill>
      <xdr:spPr>
        <a:xfrm rot="5400000">
          <a:off x="1054436" y="-625811"/>
          <a:ext cx="792127" cy="2520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323850</xdr:colOff>
      <xdr:row>2</xdr:row>
      <xdr:rowOff>123825</xdr:rowOff>
    </xdr:from>
    <xdr:to>
      <xdr:col>11</xdr:col>
      <xdr:colOff>323850</xdr:colOff>
      <xdr:row>5</xdr:row>
      <xdr:rowOff>142875</xdr:rowOff>
    </xdr:to>
    <xdr:cxnSp macro="">
      <xdr:nvCxnSpPr>
        <xdr:cNvPr id="2" name="Straight Arrow Connector 1">
          <a:extLst>
            <a:ext uri="{FF2B5EF4-FFF2-40B4-BE49-F238E27FC236}">
              <a16:creationId xmlns:a16="http://schemas.microsoft.com/office/drawing/2014/main" id="{00000000-0008-0000-1300-000002000000}"/>
            </a:ext>
          </a:extLst>
        </xdr:cNvPr>
        <xdr:cNvCxnSpPr/>
      </xdr:nvCxnSpPr>
      <xdr:spPr>
        <a:xfrm>
          <a:off x="11125200" y="561975"/>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13</xdr:col>
      <xdr:colOff>38100</xdr:colOff>
      <xdr:row>1</xdr:row>
      <xdr:rowOff>9525</xdr:rowOff>
    </xdr:from>
    <xdr:to>
      <xdr:col>14</xdr:col>
      <xdr:colOff>91863</xdr:colOff>
      <xdr:row>5</xdr:row>
      <xdr:rowOff>17316</xdr:rowOff>
    </xdr:to>
    <xdr:pic>
      <xdr:nvPicPr>
        <xdr:cNvPr id="3" name="Picture 42">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903" t="10485" r="9678" b="10483"/>
        <a:stretch/>
      </xdr:blipFill>
      <xdr:spPr bwMode="auto">
        <a:xfrm>
          <a:off x="11630025" y="247650"/>
          <a:ext cx="771948" cy="775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85164</xdr:colOff>
      <xdr:row>13</xdr:row>
      <xdr:rowOff>400</xdr:rowOff>
    </xdr:from>
    <xdr:to>
      <xdr:col>2</xdr:col>
      <xdr:colOff>501651</xdr:colOff>
      <xdr:row>17</xdr:row>
      <xdr:rowOff>169945</xdr:rowOff>
    </xdr:to>
    <xdr:pic>
      <xdr:nvPicPr>
        <xdr:cNvPr id="6" name="Imagem 5">
          <a:extLst>
            <a:ext uri="{FF2B5EF4-FFF2-40B4-BE49-F238E27FC236}">
              <a16:creationId xmlns:a16="http://schemas.microsoft.com/office/drawing/2014/main" id="{00000000-0008-0000-1300-000006000000}"/>
            </a:ext>
          </a:extLst>
        </xdr:cNvPr>
        <xdr:cNvPicPr>
          <a:picLocks noChangeAspect="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ackgroundRemoval t="10000" b="90000" l="10000" r="90000">
                      <a14:foregroundMark x1="33838" y1="65188" x2="41105" y2="68942"/>
                      <a14:foregroundMark x1="41105" y1="68942" x2="41900" y2="69795"/>
                      <a14:foregroundMark x1="41559" y1="69795" x2="39705" y2="68885"/>
                      <a14:foregroundMark x1="38986" y1="68885" x2="42657" y2="70933"/>
                    </a14:backgroundRemoval>
                  </a14:imgEffect>
                </a14:imgLayer>
              </a14:imgProps>
            </a:ext>
            <a:ext uri="{28A0092B-C50C-407E-A947-70E740481C1C}">
              <a14:useLocalDpi xmlns:a14="http://schemas.microsoft.com/office/drawing/2010/main" val="0"/>
            </a:ext>
          </a:extLst>
        </a:blip>
        <a:srcRect l="25146" t="14656" r="23800" b="11443"/>
        <a:stretch/>
      </xdr:blipFill>
      <xdr:spPr>
        <a:xfrm>
          <a:off x="313764" y="2943625"/>
          <a:ext cx="997512" cy="931545"/>
        </a:xfrm>
        <a:prstGeom prst="rect">
          <a:avLst/>
        </a:prstGeom>
      </xdr:spPr>
    </xdr:pic>
    <xdr:clientData/>
  </xdr:twoCellAnchor>
  <xdr:twoCellAnchor editAs="oneCell">
    <xdr:from>
      <xdr:col>1</xdr:col>
      <xdr:colOff>324971</xdr:colOff>
      <xdr:row>24</xdr:row>
      <xdr:rowOff>5757</xdr:rowOff>
    </xdr:from>
    <xdr:to>
      <xdr:col>2</xdr:col>
      <xdr:colOff>286089</xdr:colOff>
      <xdr:row>25</xdr:row>
      <xdr:rowOff>278131</xdr:rowOff>
    </xdr:to>
    <xdr:pic>
      <xdr:nvPicPr>
        <xdr:cNvPr id="8" name="Imagem 7">
          <a:extLst>
            <a:ext uri="{FF2B5EF4-FFF2-40B4-BE49-F238E27FC236}">
              <a16:creationId xmlns:a16="http://schemas.microsoft.com/office/drawing/2014/main" id="{00000000-0008-0000-1300-000008000000}"/>
            </a:ext>
          </a:extLst>
        </xdr:cNvPr>
        <xdr:cNvPicPr>
          <a:picLocks noChangeAspect="1"/>
        </xdr:cNvPicPr>
      </xdr:nvPicPr>
      <xdr:blipFill rotWithShape="1">
        <a:blip xmlns:r="http://schemas.openxmlformats.org/officeDocument/2006/relationships" r:embed="rId4" cstate="print">
          <a:extLst>
            <a:ext uri="{BEBA8EAE-BF5A-486C-A8C5-ECC9F3942E4B}">
              <a14:imgProps xmlns:a14="http://schemas.microsoft.com/office/drawing/2010/main">
                <a14:imgLayer r:embed="rId5">
                  <a14:imgEffect>
                    <a14:backgroundRemoval t="10000" b="90000" l="10000" r="90000">
                      <a14:foregroundMark x1="37507" y1="67605" x2="37507" y2="67605"/>
                      <a14:foregroundMark x1="35902" y1="73151" x2="39326" y2="76045"/>
                    </a14:backgroundRemoval>
                  </a14:imgEffect>
                </a14:imgLayer>
              </a14:imgProps>
            </a:ext>
            <a:ext uri="{28A0092B-C50C-407E-A947-70E740481C1C}">
              <a14:useLocalDpi xmlns:a14="http://schemas.microsoft.com/office/drawing/2010/main" val="0"/>
            </a:ext>
          </a:extLst>
        </a:blip>
        <a:srcRect l="26250" r="25000" b="9830"/>
        <a:stretch/>
      </xdr:blipFill>
      <xdr:spPr>
        <a:xfrm>
          <a:off x="553571" y="5073057"/>
          <a:ext cx="542143" cy="653374"/>
        </a:xfrm>
        <a:prstGeom prst="rect">
          <a:avLst/>
        </a:prstGeom>
      </xdr:spPr>
    </xdr:pic>
    <xdr:clientData/>
  </xdr:twoCellAnchor>
  <xdr:twoCellAnchor editAs="oneCell">
    <xdr:from>
      <xdr:col>1</xdr:col>
      <xdr:colOff>123265</xdr:colOff>
      <xdr:row>30</xdr:row>
      <xdr:rowOff>0</xdr:rowOff>
    </xdr:from>
    <xdr:to>
      <xdr:col>2</xdr:col>
      <xdr:colOff>475943</xdr:colOff>
      <xdr:row>33</xdr:row>
      <xdr:rowOff>116318</xdr:rowOff>
    </xdr:to>
    <xdr:pic>
      <xdr:nvPicPr>
        <xdr:cNvPr id="9" name="Imagem 8">
          <a:extLst>
            <a:ext uri="{FF2B5EF4-FFF2-40B4-BE49-F238E27FC236}">
              <a16:creationId xmlns:a16="http://schemas.microsoft.com/office/drawing/2014/main" id="{00000000-0008-0000-1300-000009000000}"/>
            </a:ext>
          </a:extLst>
        </xdr:cNvPr>
        <xdr:cNvPicPr>
          <a:picLocks noChangeAspect="1"/>
        </xdr:cNvPicPr>
      </xdr:nvPicPr>
      <xdr:blipFill rotWithShape="1">
        <a:blip xmlns:r="http://schemas.openxmlformats.org/officeDocument/2006/relationships" r:embed="rId6" cstate="print">
          <a:extLst>
            <a:ext uri="{BEBA8EAE-BF5A-486C-A8C5-ECC9F3942E4B}">
              <a14:imgProps xmlns:a14="http://schemas.microsoft.com/office/drawing/2010/main">
                <a14:imgLayer r:embed="rId7">
                  <a14:imgEffect>
                    <a14:backgroundRemoval t="10000" b="90000" l="10000" r="90000"/>
                  </a14:imgEffect>
                </a14:imgLayer>
              </a14:imgProps>
            </a:ext>
            <a:ext uri="{28A0092B-C50C-407E-A947-70E740481C1C}">
              <a14:useLocalDpi xmlns:a14="http://schemas.microsoft.com/office/drawing/2010/main" val="0"/>
            </a:ext>
          </a:extLst>
        </a:blip>
        <a:srcRect l="23879" t="21766" r="21514" b="15877"/>
        <a:stretch/>
      </xdr:blipFill>
      <xdr:spPr>
        <a:xfrm>
          <a:off x="275665" y="16474893"/>
          <a:ext cx="929893" cy="699248"/>
        </a:xfrm>
        <a:prstGeom prst="rect">
          <a:avLst/>
        </a:prstGeom>
      </xdr:spPr>
    </xdr:pic>
    <xdr:clientData/>
  </xdr:twoCellAnchor>
  <xdr:twoCellAnchor editAs="oneCell">
    <xdr:from>
      <xdr:col>1</xdr:col>
      <xdr:colOff>222998</xdr:colOff>
      <xdr:row>39</xdr:row>
      <xdr:rowOff>50827</xdr:rowOff>
    </xdr:from>
    <xdr:to>
      <xdr:col>2</xdr:col>
      <xdr:colOff>323772</xdr:colOff>
      <xdr:row>43</xdr:row>
      <xdr:rowOff>133350</xdr:rowOff>
    </xdr:to>
    <xdr:pic>
      <xdr:nvPicPr>
        <xdr:cNvPr id="11" name="Imagem 10">
          <a:extLst>
            <a:ext uri="{FF2B5EF4-FFF2-40B4-BE49-F238E27FC236}">
              <a16:creationId xmlns:a16="http://schemas.microsoft.com/office/drawing/2014/main" id="{00000000-0008-0000-1300-00000B000000}"/>
            </a:ext>
          </a:extLst>
        </xdr:cNvPr>
        <xdr:cNvPicPr>
          <a:picLocks noChangeAspect="1"/>
        </xdr:cNvPicPr>
      </xdr:nvPicPr>
      <xdr:blipFill rotWithShape="1">
        <a:blip xmlns:r="http://schemas.openxmlformats.org/officeDocument/2006/relationships" r:embed="rId8" cstate="print">
          <a:extLst>
            <a:ext uri="{BEBA8EAE-BF5A-486C-A8C5-ECC9F3942E4B}">
              <a14:imgProps xmlns:a14="http://schemas.microsoft.com/office/drawing/2010/main">
                <a14:imgLayer r:embed="rId9">
                  <a14:imgEffect>
                    <a14:backgroundRemoval t="10000" b="90000" l="10000" r="90000">
                      <a14:foregroundMark x1="33150" y1="74556" x2="33150" y2="74556"/>
                    </a14:backgroundRemoval>
                  </a14:imgEffect>
                </a14:imgLayer>
              </a14:imgProps>
            </a:ext>
            <a:ext uri="{28A0092B-C50C-407E-A947-70E740481C1C}">
              <a14:useLocalDpi xmlns:a14="http://schemas.microsoft.com/office/drawing/2010/main" val="0"/>
            </a:ext>
          </a:extLst>
        </a:blip>
        <a:srcRect l="24402" r="22010"/>
        <a:stretch/>
      </xdr:blipFill>
      <xdr:spPr>
        <a:xfrm>
          <a:off x="375398" y="9509152"/>
          <a:ext cx="695134" cy="854048"/>
        </a:xfrm>
        <a:prstGeom prst="rect">
          <a:avLst/>
        </a:prstGeom>
      </xdr:spPr>
    </xdr:pic>
    <xdr:clientData/>
  </xdr:twoCellAnchor>
  <xdr:twoCellAnchor editAs="oneCell">
    <xdr:from>
      <xdr:col>1</xdr:col>
      <xdr:colOff>91327</xdr:colOff>
      <xdr:row>50</xdr:row>
      <xdr:rowOff>169609</xdr:rowOff>
    </xdr:from>
    <xdr:to>
      <xdr:col>2</xdr:col>
      <xdr:colOff>426183</xdr:colOff>
      <xdr:row>54</xdr:row>
      <xdr:rowOff>53421</xdr:rowOff>
    </xdr:to>
    <xdr:pic>
      <xdr:nvPicPr>
        <xdr:cNvPr id="12" name="Imagem 11">
          <a:extLst>
            <a:ext uri="{FF2B5EF4-FFF2-40B4-BE49-F238E27FC236}">
              <a16:creationId xmlns:a16="http://schemas.microsoft.com/office/drawing/2014/main" id="{00000000-0008-0000-1300-00000C000000}"/>
            </a:ext>
          </a:extLst>
        </xdr:cNvPr>
        <xdr:cNvPicPr>
          <a:picLocks noChangeAspect="1"/>
        </xdr:cNvPicPr>
      </xdr:nvPicPr>
      <xdr:blipFill rotWithShape="1">
        <a:blip xmlns:r="http://schemas.openxmlformats.org/officeDocument/2006/relationships" r:embed="rId10" cstate="print">
          <a:extLst>
            <a:ext uri="{BEBA8EAE-BF5A-486C-A8C5-ECC9F3942E4B}">
              <a14:imgProps xmlns:a14="http://schemas.microsoft.com/office/drawing/2010/main">
                <a14:imgLayer r:embed="rId11">
                  <a14:imgEffect>
                    <a14:backgroundRemoval t="10000" b="90000" l="10000" r="90000"/>
                  </a14:imgEffect>
                </a14:imgLayer>
              </a14:imgProps>
            </a:ext>
            <a:ext uri="{28A0092B-C50C-407E-A947-70E740481C1C}">
              <a14:useLocalDpi xmlns:a14="http://schemas.microsoft.com/office/drawing/2010/main" val="0"/>
            </a:ext>
          </a:extLst>
        </a:blip>
        <a:srcRect l="16054" t="17496" r="20588" b="15282"/>
        <a:stretch/>
      </xdr:blipFill>
      <xdr:spPr>
        <a:xfrm>
          <a:off x="319927" y="10647109"/>
          <a:ext cx="915881" cy="645812"/>
        </a:xfrm>
        <a:prstGeom prst="rect">
          <a:avLst/>
        </a:prstGeom>
      </xdr:spPr>
    </xdr:pic>
    <xdr:clientData/>
  </xdr:twoCellAnchor>
  <xdr:twoCellAnchor editAs="oneCell">
    <xdr:from>
      <xdr:col>1</xdr:col>
      <xdr:colOff>96708</xdr:colOff>
      <xdr:row>70</xdr:row>
      <xdr:rowOff>186045</xdr:rowOff>
    </xdr:from>
    <xdr:to>
      <xdr:col>2</xdr:col>
      <xdr:colOff>502920</xdr:colOff>
      <xdr:row>72</xdr:row>
      <xdr:rowOff>439434</xdr:rowOff>
    </xdr:to>
    <xdr:pic>
      <xdr:nvPicPr>
        <xdr:cNvPr id="15" name="Imagem 14">
          <a:extLst>
            <a:ext uri="{FF2B5EF4-FFF2-40B4-BE49-F238E27FC236}">
              <a16:creationId xmlns:a16="http://schemas.microsoft.com/office/drawing/2014/main" id="{00000000-0008-0000-1300-00000F000000}"/>
            </a:ext>
          </a:extLst>
        </xdr:cNvPr>
        <xdr:cNvPicPr>
          <a:picLocks noChangeAspect="1"/>
        </xdr:cNvPicPr>
      </xdr:nvPicPr>
      <xdr:blipFill rotWithShape="1">
        <a:blip xmlns:r="http://schemas.openxmlformats.org/officeDocument/2006/relationships" r:embed="rId12" cstate="print">
          <a:extLst>
            <a:ext uri="{BEBA8EAE-BF5A-486C-A8C5-ECC9F3942E4B}">
              <a14:imgProps xmlns:a14="http://schemas.microsoft.com/office/drawing/2010/main">
                <a14:imgLayer r:embed="rId13">
                  <a14:imgEffect>
                    <a14:backgroundRemoval t="10000" b="90000" l="10000" r="90000"/>
                  </a14:imgEffect>
                </a14:imgLayer>
              </a14:imgProps>
            </a:ext>
            <a:ext uri="{28A0092B-C50C-407E-A947-70E740481C1C}">
              <a14:useLocalDpi xmlns:a14="http://schemas.microsoft.com/office/drawing/2010/main" val="0"/>
            </a:ext>
          </a:extLst>
        </a:blip>
        <a:srcRect l="16091" r="13794"/>
        <a:stretch/>
      </xdr:blipFill>
      <xdr:spPr>
        <a:xfrm>
          <a:off x="325308" y="14540220"/>
          <a:ext cx="987237" cy="929664"/>
        </a:xfrm>
        <a:prstGeom prst="rect">
          <a:avLst/>
        </a:prstGeom>
      </xdr:spPr>
    </xdr:pic>
    <xdr:clientData/>
  </xdr:twoCellAnchor>
  <xdr:twoCellAnchor editAs="oneCell">
    <xdr:from>
      <xdr:col>1</xdr:col>
      <xdr:colOff>160021</xdr:colOff>
      <xdr:row>74</xdr:row>
      <xdr:rowOff>6210</xdr:rowOff>
    </xdr:from>
    <xdr:to>
      <xdr:col>2</xdr:col>
      <xdr:colOff>438151</xdr:colOff>
      <xdr:row>76</xdr:row>
      <xdr:rowOff>20449</xdr:rowOff>
    </xdr:to>
    <xdr:pic>
      <xdr:nvPicPr>
        <xdr:cNvPr id="17" name="Imagem 16">
          <a:extLst>
            <a:ext uri="{FF2B5EF4-FFF2-40B4-BE49-F238E27FC236}">
              <a16:creationId xmlns:a16="http://schemas.microsoft.com/office/drawing/2014/main" id="{00000000-0008-0000-1300-000011000000}"/>
            </a:ext>
          </a:extLst>
        </xdr:cNvPr>
        <xdr:cNvPicPr>
          <a:picLocks noChangeAspect="1"/>
        </xdr:cNvPicPr>
      </xdr:nvPicPr>
      <xdr:blipFill rotWithShape="1">
        <a:blip xmlns:r="http://schemas.openxmlformats.org/officeDocument/2006/relationships" r:embed="rId14" cstate="print">
          <a:extLst>
            <a:ext uri="{BEBA8EAE-BF5A-486C-A8C5-ECC9F3942E4B}">
              <a14:imgProps xmlns:a14="http://schemas.microsoft.com/office/drawing/2010/main">
                <a14:imgLayer r:embed="rId15">
                  <a14:imgEffect>
                    <a14:backgroundRemoval t="10000" b="90000" l="10000" r="90000"/>
                  </a14:imgEffect>
                </a14:imgLayer>
              </a14:imgProps>
            </a:ext>
            <a:ext uri="{28A0092B-C50C-407E-A947-70E740481C1C}">
              <a14:useLocalDpi xmlns:a14="http://schemas.microsoft.com/office/drawing/2010/main" val="0"/>
            </a:ext>
          </a:extLst>
        </a:blip>
        <a:srcRect l="20243" r="12956"/>
        <a:stretch/>
      </xdr:blipFill>
      <xdr:spPr>
        <a:xfrm>
          <a:off x="396241" y="15551010"/>
          <a:ext cx="876300" cy="839104"/>
        </a:xfrm>
        <a:prstGeom prst="rect">
          <a:avLst/>
        </a:prstGeom>
      </xdr:spPr>
    </xdr:pic>
    <xdr:clientData/>
  </xdr:twoCellAnchor>
  <xdr:twoCellAnchor editAs="oneCell">
    <xdr:from>
      <xdr:col>0</xdr:col>
      <xdr:colOff>114300</xdr:colOff>
      <xdr:row>86</xdr:row>
      <xdr:rowOff>155250</xdr:rowOff>
    </xdr:from>
    <xdr:to>
      <xdr:col>3</xdr:col>
      <xdr:colOff>134022</xdr:colOff>
      <xdr:row>91</xdr:row>
      <xdr:rowOff>119469</xdr:rowOff>
    </xdr:to>
    <xdr:pic>
      <xdr:nvPicPr>
        <xdr:cNvPr id="19" name="Imagem 18">
          <a:extLst>
            <a:ext uri="{FF2B5EF4-FFF2-40B4-BE49-F238E27FC236}">
              <a16:creationId xmlns:a16="http://schemas.microsoft.com/office/drawing/2014/main" id="{00000000-0008-0000-1300-000013000000}"/>
            </a:ext>
          </a:extLst>
        </xdr:cNvPr>
        <xdr:cNvPicPr>
          <a:picLocks noChangeAspect="1"/>
        </xdr:cNvPicPr>
      </xdr:nvPicPr>
      <xdr:blipFill>
        <a:blip xmlns:r="http://schemas.openxmlformats.org/officeDocument/2006/relationships" r:embed="rId16" cstate="print">
          <a:extLst>
            <a:ext uri="{BEBA8EAE-BF5A-486C-A8C5-ECC9F3942E4B}">
              <a14:imgProps xmlns:a14="http://schemas.microsoft.com/office/drawing/2010/main">
                <a14:imgLayer r:embed="rId17">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114300" y="18054630"/>
          <a:ext cx="1444662" cy="878619"/>
        </a:xfrm>
        <a:prstGeom prst="rect">
          <a:avLst/>
        </a:prstGeom>
      </xdr:spPr>
    </xdr:pic>
    <xdr:clientData/>
  </xdr:twoCellAnchor>
  <xdr:twoCellAnchor editAs="oneCell">
    <xdr:from>
      <xdr:col>1</xdr:col>
      <xdr:colOff>100965</xdr:colOff>
      <xdr:row>111</xdr:row>
      <xdr:rowOff>171673</xdr:rowOff>
    </xdr:from>
    <xdr:to>
      <xdr:col>2</xdr:col>
      <xdr:colOff>575215</xdr:colOff>
      <xdr:row>116</xdr:row>
      <xdr:rowOff>8367</xdr:rowOff>
    </xdr:to>
    <xdr:pic>
      <xdr:nvPicPr>
        <xdr:cNvPr id="26" name="Imagem 25">
          <a:extLst>
            <a:ext uri="{FF2B5EF4-FFF2-40B4-BE49-F238E27FC236}">
              <a16:creationId xmlns:a16="http://schemas.microsoft.com/office/drawing/2014/main" id="{00000000-0008-0000-1300-00001A000000}"/>
            </a:ext>
          </a:extLst>
        </xdr:cNvPr>
        <xdr:cNvPicPr>
          <a:picLocks noChangeAspect="1"/>
        </xdr:cNvPicPr>
      </xdr:nvPicPr>
      <xdr:blipFill rotWithShape="1">
        <a:blip xmlns:r="http://schemas.openxmlformats.org/officeDocument/2006/relationships" r:embed="rId18" cstate="print">
          <a:extLst>
            <a:ext uri="{BEBA8EAE-BF5A-486C-A8C5-ECC9F3942E4B}">
              <a14:imgProps xmlns:a14="http://schemas.microsoft.com/office/drawing/2010/main">
                <a14:imgLayer r:embed="rId19">
                  <a14:imgEffect>
                    <a14:backgroundRemoval t="10000" b="90000" l="10000" r="90000">
                      <a14:foregroundMark x1="42640" y1="45547" x2="57699" y2="41985"/>
                    </a14:backgroundRemoval>
                  </a14:imgEffect>
                </a14:imgLayer>
              </a14:imgProps>
            </a:ext>
            <a:ext uri="{28A0092B-C50C-407E-A947-70E740481C1C}">
              <a14:useLocalDpi xmlns:a14="http://schemas.microsoft.com/office/drawing/2010/main" val="0"/>
            </a:ext>
          </a:extLst>
        </a:blip>
        <a:srcRect l="15116"/>
        <a:stretch/>
      </xdr:blipFill>
      <xdr:spPr>
        <a:xfrm>
          <a:off x="337185" y="23031673"/>
          <a:ext cx="1068610" cy="781574"/>
        </a:xfrm>
        <a:prstGeom prst="rect">
          <a:avLst/>
        </a:prstGeom>
      </xdr:spPr>
    </xdr:pic>
    <xdr:clientData/>
  </xdr:twoCellAnchor>
  <xdr:twoCellAnchor editAs="oneCell">
    <xdr:from>
      <xdr:col>1</xdr:col>
      <xdr:colOff>20731</xdr:colOff>
      <xdr:row>120</xdr:row>
      <xdr:rowOff>137673</xdr:rowOff>
    </xdr:from>
    <xdr:to>
      <xdr:col>3</xdr:col>
      <xdr:colOff>218125</xdr:colOff>
      <xdr:row>126</xdr:row>
      <xdr:rowOff>16025</xdr:rowOff>
    </xdr:to>
    <xdr:pic>
      <xdr:nvPicPr>
        <xdr:cNvPr id="27" name="Imagem 26">
          <a:extLst>
            <a:ext uri="{FF2B5EF4-FFF2-40B4-BE49-F238E27FC236}">
              <a16:creationId xmlns:a16="http://schemas.microsoft.com/office/drawing/2014/main" id="{00000000-0008-0000-1300-00001B000000}"/>
            </a:ext>
          </a:extLst>
        </xdr:cNvPr>
        <xdr:cNvPicPr>
          <a:picLocks noChangeAspect="1"/>
        </xdr:cNvPicPr>
      </xdr:nvPicPr>
      <xdr:blipFill rotWithShape="1">
        <a:blip xmlns:r="http://schemas.openxmlformats.org/officeDocument/2006/relationships" r:embed="rId20" cstate="print">
          <a:extLst>
            <a:ext uri="{BEBA8EAE-BF5A-486C-A8C5-ECC9F3942E4B}">
              <a14:imgProps xmlns:a14="http://schemas.microsoft.com/office/drawing/2010/main">
                <a14:imgLayer r:embed="rId21">
                  <a14:imgEffect>
                    <a14:backgroundRemoval t="10000" b="90000" l="10000" r="90000"/>
                  </a14:imgEffect>
                </a14:imgLayer>
              </a14:imgProps>
            </a:ext>
            <a:ext uri="{28A0092B-C50C-407E-A947-70E740481C1C}">
              <a14:useLocalDpi xmlns:a14="http://schemas.microsoft.com/office/drawing/2010/main" val="0"/>
            </a:ext>
          </a:extLst>
        </a:blip>
        <a:srcRect l="11905"/>
        <a:stretch/>
      </xdr:blipFill>
      <xdr:spPr>
        <a:xfrm>
          <a:off x="249331" y="25531323"/>
          <a:ext cx="1359444" cy="1021352"/>
        </a:xfrm>
        <a:prstGeom prst="rect">
          <a:avLst/>
        </a:prstGeom>
      </xdr:spPr>
    </xdr:pic>
    <xdr:clientData/>
  </xdr:twoCellAnchor>
  <xdr:twoCellAnchor editAs="oneCell">
    <xdr:from>
      <xdr:col>1</xdr:col>
      <xdr:colOff>0</xdr:colOff>
      <xdr:row>1</xdr:row>
      <xdr:rowOff>0</xdr:rowOff>
    </xdr:from>
    <xdr:to>
      <xdr:col>4</xdr:col>
      <xdr:colOff>514035</xdr:colOff>
      <xdr:row>5</xdr:row>
      <xdr:rowOff>16792</xdr:rowOff>
    </xdr:to>
    <xdr:pic>
      <xdr:nvPicPr>
        <xdr:cNvPr id="29" name="Picture 1">
          <a:extLst>
            <a:ext uri="{FF2B5EF4-FFF2-40B4-BE49-F238E27FC236}">
              <a16:creationId xmlns:a16="http://schemas.microsoft.com/office/drawing/2014/main" id="{00000000-0008-0000-1300-00001D000000}"/>
            </a:ext>
          </a:extLst>
        </xdr:cNvPr>
        <xdr:cNvPicPr>
          <a:picLocks noChangeAspect="1"/>
        </xdr:cNvPicPr>
      </xdr:nvPicPr>
      <xdr:blipFill>
        <a:blip xmlns:r="http://schemas.openxmlformats.org/officeDocument/2006/relationships" r:embed="rId22"/>
        <a:stretch>
          <a:fillRect/>
        </a:stretch>
      </xdr:blipFill>
      <xdr:spPr>
        <a:xfrm rot="5400000">
          <a:off x="1016336" y="-625811"/>
          <a:ext cx="792127" cy="25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323850</xdr:colOff>
      <xdr:row>2</xdr:row>
      <xdr:rowOff>123825</xdr:rowOff>
    </xdr:from>
    <xdr:to>
      <xdr:col>10</xdr:col>
      <xdr:colOff>323850</xdr:colOff>
      <xdr:row>5</xdr:row>
      <xdr:rowOff>142875</xdr:rowOff>
    </xdr:to>
    <xdr:cxnSp macro="">
      <xdr:nvCxnSpPr>
        <xdr:cNvPr id="63" name="Straight Arrow Connector 3">
          <a:extLst>
            <a:ext uri="{FF2B5EF4-FFF2-40B4-BE49-F238E27FC236}">
              <a16:creationId xmlns:a16="http://schemas.microsoft.com/office/drawing/2014/main" id="{00000000-0008-0000-0200-00003F000000}"/>
            </a:ext>
          </a:extLst>
        </xdr:cNvPr>
        <xdr:cNvCxnSpPr/>
      </xdr:nvCxnSpPr>
      <xdr:spPr>
        <a:xfrm>
          <a:off x="9429750" y="561975"/>
          <a:ext cx="0" cy="600075"/>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47625</xdr:colOff>
      <xdr:row>1</xdr:row>
      <xdr:rowOff>19050</xdr:rowOff>
    </xdr:from>
    <xdr:to>
      <xdr:col>13</xdr:col>
      <xdr:colOff>24765</xdr:colOff>
      <xdr:row>5</xdr:row>
      <xdr:rowOff>19369</xdr:rowOff>
    </xdr:to>
    <xdr:pic>
      <xdr:nvPicPr>
        <xdr:cNvPr id="84" name="Picture 42">
          <a:extLst>
            <a:ext uri="{FF2B5EF4-FFF2-40B4-BE49-F238E27FC236}">
              <a16:creationId xmlns:a16="http://schemas.microsoft.com/office/drawing/2014/main" id="{00000000-0008-0000-0200-00005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903" t="10485" r="9678" b="10483"/>
        <a:stretch/>
      </xdr:blipFill>
      <xdr:spPr bwMode="auto">
        <a:xfrm>
          <a:off x="9791700" y="257175"/>
          <a:ext cx="786765" cy="781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282813</xdr:colOff>
      <xdr:row>7</xdr:row>
      <xdr:rowOff>71911</xdr:rowOff>
    </xdr:from>
    <xdr:to>
      <xdr:col>2</xdr:col>
      <xdr:colOff>357621</xdr:colOff>
      <xdr:row>10</xdr:row>
      <xdr:rowOff>153698</xdr:rowOff>
    </xdr:to>
    <xdr:pic>
      <xdr:nvPicPr>
        <xdr:cNvPr id="87" name="Imagem 86">
          <a:extLst>
            <a:ext uri="{FF2B5EF4-FFF2-40B4-BE49-F238E27FC236}">
              <a16:creationId xmlns:a16="http://schemas.microsoft.com/office/drawing/2014/main" id="{00000000-0008-0000-0200-00005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995" y="1743116"/>
          <a:ext cx="652369" cy="653287"/>
        </a:xfrm>
        <a:prstGeom prst="rect">
          <a:avLst/>
        </a:prstGeom>
      </xdr:spPr>
    </xdr:pic>
    <xdr:clientData/>
  </xdr:twoCellAnchor>
  <xdr:twoCellAnchor editAs="oneCell">
    <xdr:from>
      <xdr:col>1</xdr:col>
      <xdr:colOff>265493</xdr:colOff>
      <xdr:row>11</xdr:row>
      <xdr:rowOff>185031</xdr:rowOff>
    </xdr:from>
    <xdr:to>
      <xdr:col>2</xdr:col>
      <xdr:colOff>444212</xdr:colOff>
      <xdr:row>16</xdr:row>
      <xdr:rowOff>823</xdr:rowOff>
    </xdr:to>
    <xdr:pic>
      <xdr:nvPicPr>
        <xdr:cNvPr id="88" name="Imagem 87">
          <a:extLst>
            <a:ext uri="{FF2B5EF4-FFF2-40B4-BE49-F238E27FC236}">
              <a16:creationId xmlns:a16="http://schemas.microsoft.com/office/drawing/2014/main" id="{00000000-0008-0000-0200-00005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8675" y="2618236"/>
          <a:ext cx="756280" cy="758767"/>
        </a:xfrm>
        <a:prstGeom prst="rect">
          <a:avLst/>
        </a:prstGeom>
      </xdr:spPr>
    </xdr:pic>
    <xdr:clientData/>
  </xdr:twoCellAnchor>
  <xdr:twoCellAnchor editAs="oneCell">
    <xdr:from>
      <xdr:col>1</xdr:col>
      <xdr:colOff>291472</xdr:colOff>
      <xdr:row>17</xdr:row>
      <xdr:rowOff>59930</xdr:rowOff>
    </xdr:from>
    <xdr:to>
      <xdr:col>2</xdr:col>
      <xdr:colOff>305666</xdr:colOff>
      <xdr:row>17</xdr:row>
      <xdr:rowOff>652616</xdr:rowOff>
    </xdr:to>
    <xdr:pic>
      <xdr:nvPicPr>
        <xdr:cNvPr id="89" name="Imagem 88">
          <a:extLst>
            <a:ext uri="{FF2B5EF4-FFF2-40B4-BE49-F238E27FC236}">
              <a16:creationId xmlns:a16="http://schemas.microsoft.com/office/drawing/2014/main" id="{00000000-0008-0000-0200-00005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64654" y="3636135"/>
          <a:ext cx="591755" cy="592686"/>
        </a:xfrm>
        <a:prstGeom prst="rect">
          <a:avLst/>
        </a:prstGeom>
      </xdr:spPr>
    </xdr:pic>
    <xdr:clientData/>
  </xdr:twoCellAnchor>
  <xdr:twoCellAnchor editAs="oneCell">
    <xdr:from>
      <xdr:col>1</xdr:col>
      <xdr:colOff>274153</xdr:colOff>
      <xdr:row>18</xdr:row>
      <xdr:rowOff>73065</xdr:rowOff>
    </xdr:from>
    <xdr:to>
      <xdr:col>2</xdr:col>
      <xdr:colOff>366600</xdr:colOff>
      <xdr:row>21</xdr:row>
      <xdr:rowOff>172655</xdr:rowOff>
    </xdr:to>
    <xdr:pic>
      <xdr:nvPicPr>
        <xdr:cNvPr id="90" name="Imagem 89">
          <a:extLst>
            <a:ext uri="{FF2B5EF4-FFF2-40B4-BE49-F238E27FC236}">
              <a16:creationId xmlns:a16="http://schemas.microsoft.com/office/drawing/2014/main" id="{00000000-0008-0000-0200-00005A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7335" y="4376633"/>
          <a:ext cx="670008" cy="671090"/>
        </a:xfrm>
        <a:prstGeom prst="rect">
          <a:avLst/>
        </a:prstGeom>
      </xdr:spPr>
    </xdr:pic>
    <xdr:clientData/>
  </xdr:twoCellAnchor>
  <xdr:twoCellAnchor editAs="oneCell">
    <xdr:from>
      <xdr:col>1</xdr:col>
      <xdr:colOff>204880</xdr:colOff>
      <xdr:row>22</xdr:row>
      <xdr:rowOff>69566</xdr:rowOff>
    </xdr:from>
    <xdr:to>
      <xdr:col>2</xdr:col>
      <xdr:colOff>418806</xdr:colOff>
      <xdr:row>25</xdr:row>
      <xdr:rowOff>195385</xdr:rowOff>
    </xdr:to>
    <xdr:pic>
      <xdr:nvPicPr>
        <xdr:cNvPr id="91" name="Imagem 90">
          <a:extLst>
            <a:ext uri="{FF2B5EF4-FFF2-40B4-BE49-F238E27FC236}">
              <a16:creationId xmlns:a16="http://schemas.microsoft.com/office/drawing/2014/main" id="{00000000-0008-0000-0200-00005B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78062" y="5135134"/>
          <a:ext cx="791487" cy="792569"/>
        </a:xfrm>
        <a:prstGeom prst="rect">
          <a:avLst/>
        </a:prstGeom>
      </xdr:spPr>
    </xdr:pic>
    <xdr:clientData/>
  </xdr:twoCellAnchor>
  <xdr:twoCellAnchor editAs="oneCell">
    <xdr:from>
      <xdr:col>1</xdr:col>
      <xdr:colOff>230857</xdr:colOff>
      <xdr:row>29</xdr:row>
      <xdr:rowOff>208813</xdr:rowOff>
    </xdr:from>
    <xdr:to>
      <xdr:col>2</xdr:col>
      <xdr:colOff>348961</xdr:colOff>
      <xdr:row>32</xdr:row>
      <xdr:rowOff>48662</xdr:rowOff>
    </xdr:to>
    <xdr:pic>
      <xdr:nvPicPr>
        <xdr:cNvPr id="92" name="Imagem 91">
          <a:extLst>
            <a:ext uri="{FF2B5EF4-FFF2-40B4-BE49-F238E27FC236}">
              <a16:creationId xmlns:a16="http://schemas.microsoft.com/office/drawing/2014/main" id="{00000000-0008-0000-0200-00005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04039" y="7378540"/>
          <a:ext cx="695665" cy="697099"/>
        </a:xfrm>
        <a:prstGeom prst="rect">
          <a:avLst/>
        </a:prstGeom>
      </xdr:spPr>
    </xdr:pic>
    <xdr:clientData/>
  </xdr:twoCellAnchor>
  <xdr:twoCellAnchor editAs="oneCell">
    <xdr:from>
      <xdr:col>1</xdr:col>
      <xdr:colOff>222197</xdr:colOff>
      <xdr:row>34</xdr:row>
      <xdr:rowOff>49149</xdr:rowOff>
    </xdr:from>
    <xdr:to>
      <xdr:col>2</xdr:col>
      <xdr:colOff>297007</xdr:colOff>
      <xdr:row>34</xdr:row>
      <xdr:rowOff>702562</xdr:rowOff>
    </xdr:to>
    <xdr:pic>
      <xdr:nvPicPr>
        <xdr:cNvPr id="93" name="Imagem 92">
          <a:extLst>
            <a:ext uri="{FF2B5EF4-FFF2-40B4-BE49-F238E27FC236}">
              <a16:creationId xmlns:a16="http://schemas.microsoft.com/office/drawing/2014/main" id="{00000000-0008-0000-0200-00005D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95379" y="8552376"/>
          <a:ext cx="652371" cy="653413"/>
        </a:xfrm>
        <a:prstGeom prst="rect">
          <a:avLst/>
        </a:prstGeom>
      </xdr:spPr>
    </xdr:pic>
    <xdr:clientData/>
  </xdr:twoCellAnchor>
  <xdr:twoCellAnchor editAs="oneCell">
    <xdr:from>
      <xdr:col>1</xdr:col>
      <xdr:colOff>239518</xdr:colOff>
      <xdr:row>45</xdr:row>
      <xdr:rowOff>186616</xdr:rowOff>
    </xdr:from>
    <xdr:to>
      <xdr:col>2</xdr:col>
      <xdr:colOff>245052</xdr:colOff>
      <xdr:row>49</xdr:row>
      <xdr:rowOff>8659</xdr:rowOff>
    </xdr:to>
    <xdr:pic>
      <xdr:nvPicPr>
        <xdr:cNvPr id="94" name="Imagem 93">
          <a:extLst>
            <a:ext uri="{FF2B5EF4-FFF2-40B4-BE49-F238E27FC236}">
              <a16:creationId xmlns:a16="http://schemas.microsoft.com/office/drawing/2014/main" id="{00000000-0008-0000-0200-00005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12700" y="11556002"/>
          <a:ext cx="583095" cy="584043"/>
        </a:xfrm>
        <a:prstGeom prst="rect">
          <a:avLst/>
        </a:prstGeom>
      </xdr:spPr>
    </xdr:pic>
    <xdr:clientData/>
  </xdr:twoCellAnchor>
  <xdr:twoCellAnchor editAs="oneCell">
    <xdr:from>
      <xdr:col>1</xdr:col>
      <xdr:colOff>161584</xdr:colOff>
      <xdr:row>39</xdr:row>
      <xdr:rowOff>10556</xdr:rowOff>
    </xdr:from>
    <xdr:to>
      <xdr:col>2</xdr:col>
      <xdr:colOff>288348</xdr:colOff>
      <xdr:row>41</xdr:row>
      <xdr:rowOff>334921</xdr:rowOff>
    </xdr:to>
    <xdr:pic>
      <xdr:nvPicPr>
        <xdr:cNvPr id="95" name="Imagem 94">
          <a:extLst>
            <a:ext uri="{FF2B5EF4-FFF2-40B4-BE49-F238E27FC236}">
              <a16:creationId xmlns:a16="http://schemas.microsoft.com/office/drawing/2014/main" id="{00000000-0008-0000-0200-00005F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34766" y="10020465"/>
          <a:ext cx="704325" cy="705365"/>
        </a:xfrm>
        <a:prstGeom prst="rect">
          <a:avLst/>
        </a:prstGeom>
      </xdr:spPr>
    </xdr:pic>
    <xdr:clientData/>
  </xdr:twoCellAnchor>
  <xdr:twoCellAnchor editAs="oneCell">
    <xdr:from>
      <xdr:col>1</xdr:col>
      <xdr:colOff>259433</xdr:colOff>
      <xdr:row>49</xdr:row>
      <xdr:rowOff>25889</xdr:rowOff>
    </xdr:from>
    <xdr:to>
      <xdr:col>2</xdr:col>
      <xdr:colOff>285750</xdr:colOff>
      <xdr:row>51</xdr:row>
      <xdr:rowOff>3712</xdr:rowOff>
    </xdr:to>
    <xdr:pic>
      <xdr:nvPicPr>
        <xdr:cNvPr id="96" name="Imagem 95">
          <a:extLst>
            <a:ext uri="{FF2B5EF4-FFF2-40B4-BE49-F238E27FC236}">
              <a16:creationId xmlns:a16="http://schemas.microsoft.com/office/drawing/2014/main" id="{00000000-0008-0000-0200-000060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30883" y="12151214"/>
          <a:ext cx="607342" cy="596948"/>
        </a:xfrm>
        <a:prstGeom prst="rect">
          <a:avLst/>
        </a:prstGeom>
      </xdr:spPr>
    </xdr:pic>
    <xdr:clientData/>
  </xdr:twoCellAnchor>
  <xdr:twoCellAnchor editAs="oneCell">
    <xdr:from>
      <xdr:col>1</xdr:col>
      <xdr:colOff>218736</xdr:colOff>
      <xdr:row>50</xdr:row>
      <xdr:rowOff>368970</xdr:rowOff>
    </xdr:from>
    <xdr:to>
      <xdr:col>2</xdr:col>
      <xdr:colOff>322651</xdr:colOff>
      <xdr:row>54</xdr:row>
      <xdr:rowOff>51706</xdr:rowOff>
    </xdr:to>
    <xdr:pic>
      <xdr:nvPicPr>
        <xdr:cNvPr id="97" name="Imagem 96">
          <a:extLst>
            <a:ext uri="{FF2B5EF4-FFF2-40B4-BE49-F238E27FC236}">
              <a16:creationId xmlns:a16="http://schemas.microsoft.com/office/drawing/2014/main" id="{00000000-0008-0000-0200-000061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90186" y="12684795"/>
          <a:ext cx="684940" cy="682861"/>
        </a:xfrm>
        <a:prstGeom prst="rect">
          <a:avLst/>
        </a:prstGeom>
      </xdr:spPr>
    </xdr:pic>
    <xdr:clientData/>
  </xdr:twoCellAnchor>
  <xdr:twoCellAnchor editAs="oneCell">
    <xdr:from>
      <xdr:col>1</xdr:col>
      <xdr:colOff>245578</xdr:colOff>
      <xdr:row>54</xdr:row>
      <xdr:rowOff>59573</xdr:rowOff>
    </xdr:from>
    <xdr:to>
      <xdr:col>2</xdr:col>
      <xdr:colOff>445596</xdr:colOff>
      <xdr:row>56</xdr:row>
      <xdr:rowOff>76200</xdr:rowOff>
    </xdr:to>
    <xdr:pic>
      <xdr:nvPicPr>
        <xdr:cNvPr id="98" name="Imagem 97">
          <a:extLst>
            <a:ext uri="{FF2B5EF4-FFF2-40B4-BE49-F238E27FC236}">
              <a16:creationId xmlns:a16="http://schemas.microsoft.com/office/drawing/2014/main" id="{00000000-0008-0000-0200-000062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17028" y="13375523"/>
          <a:ext cx="781043" cy="778627"/>
        </a:xfrm>
        <a:prstGeom prst="rect">
          <a:avLst/>
        </a:prstGeom>
      </xdr:spPr>
    </xdr:pic>
    <xdr:clientData/>
  </xdr:twoCellAnchor>
  <xdr:twoCellAnchor editAs="oneCell">
    <xdr:from>
      <xdr:col>1</xdr:col>
      <xdr:colOff>237786</xdr:colOff>
      <xdr:row>57</xdr:row>
      <xdr:rowOff>11245</xdr:rowOff>
    </xdr:from>
    <xdr:to>
      <xdr:col>2</xdr:col>
      <xdr:colOff>376620</xdr:colOff>
      <xdr:row>60</xdr:row>
      <xdr:rowOff>159603</xdr:rowOff>
    </xdr:to>
    <xdr:pic>
      <xdr:nvPicPr>
        <xdr:cNvPr id="99" name="Imagem 98">
          <a:extLst>
            <a:ext uri="{FF2B5EF4-FFF2-40B4-BE49-F238E27FC236}">
              <a16:creationId xmlns:a16="http://schemas.microsoft.com/office/drawing/2014/main" id="{00000000-0008-0000-0200-000063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09236" y="14279695"/>
          <a:ext cx="719859" cy="719858"/>
        </a:xfrm>
        <a:prstGeom prst="rect">
          <a:avLst/>
        </a:prstGeom>
      </xdr:spPr>
    </xdr:pic>
    <xdr:clientData/>
  </xdr:twoCellAnchor>
  <xdr:twoCellAnchor editAs="oneCell">
    <xdr:from>
      <xdr:col>1</xdr:col>
      <xdr:colOff>249043</xdr:colOff>
      <xdr:row>61</xdr:row>
      <xdr:rowOff>247791</xdr:rowOff>
    </xdr:from>
    <xdr:to>
      <xdr:col>2</xdr:col>
      <xdr:colOff>400810</xdr:colOff>
      <xdr:row>63</xdr:row>
      <xdr:rowOff>73629</xdr:rowOff>
    </xdr:to>
    <xdr:pic>
      <xdr:nvPicPr>
        <xdr:cNvPr id="100" name="Imagem 99">
          <a:extLst>
            <a:ext uri="{FF2B5EF4-FFF2-40B4-BE49-F238E27FC236}">
              <a16:creationId xmlns:a16="http://schemas.microsoft.com/office/drawing/2014/main" id="{00000000-0008-0000-0200-000064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20493" y="15278241"/>
          <a:ext cx="732792" cy="730713"/>
        </a:xfrm>
        <a:prstGeom prst="rect">
          <a:avLst/>
        </a:prstGeom>
      </xdr:spPr>
    </xdr:pic>
    <xdr:clientData/>
  </xdr:twoCellAnchor>
  <xdr:twoCellAnchor editAs="oneCell">
    <xdr:from>
      <xdr:col>1</xdr:col>
      <xdr:colOff>309656</xdr:colOff>
      <xdr:row>65</xdr:row>
      <xdr:rowOff>127777</xdr:rowOff>
    </xdr:from>
    <xdr:to>
      <xdr:col>2</xdr:col>
      <xdr:colOff>297174</xdr:colOff>
      <xdr:row>68</xdr:row>
      <xdr:rowOff>122741</xdr:rowOff>
    </xdr:to>
    <xdr:pic>
      <xdr:nvPicPr>
        <xdr:cNvPr id="101" name="Imagem 100">
          <a:extLst>
            <a:ext uri="{FF2B5EF4-FFF2-40B4-BE49-F238E27FC236}">
              <a16:creationId xmlns:a16="http://schemas.microsoft.com/office/drawing/2014/main" id="{00000000-0008-0000-0200-000065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81106" y="16444102"/>
          <a:ext cx="568543" cy="566464"/>
        </a:xfrm>
        <a:prstGeom prst="rect">
          <a:avLst/>
        </a:prstGeom>
      </xdr:spPr>
    </xdr:pic>
    <xdr:clientData/>
  </xdr:twoCellAnchor>
  <xdr:twoCellAnchor editAs="oneCell">
    <xdr:from>
      <xdr:col>1</xdr:col>
      <xdr:colOff>266361</xdr:colOff>
      <xdr:row>69</xdr:row>
      <xdr:rowOff>4904</xdr:rowOff>
    </xdr:from>
    <xdr:to>
      <xdr:col>2</xdr:col>
      <xdr:colOff>288798</xdr:colOff>
      <xdr:row>70</xdr:row>
      <xdr:rowOff>330062</xdr:rowOff>
    </xdr:to>
    <xdr:pic>
      <xdr:nvPicPr>
        <xdr:cNvPr id="102" name="Imagem 101">
          <a:extLst>
            <a:ext uri="{FF2B5EF4-FFF2-40B4-BE49-F238E27FC236}">
              <a16:creationId xmlns:a16="http://schemas.microsoft.com/office/drawing/2014/main" id="{00000000-0008-0000-0200-000066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37811" y="17168954"/>
          <a:ext cx="603462" cy="601383"/>
        </a:xfrm>
        <a:prstGeom prst="rect">
          <a:avLst/>
        </a:prstGeom>
      </xdr:spPr>
    </xdr:pic>
    <xdr:clientData/>
  </xdr:twoCellAnchor>
  <xdr:twoCellAnchor editAs="oneCell">
    <xdr:from>
      <xdr:col>1</xdr:col>
      <xdr:colOff>264412</xdr:colOff>
      <xdr:row>79</xdr:row>
      <xdr:rowOff>34626</xdr:rowOff>
    </xdr:from>
    <xdr:to>
      <xdr:col>2</xdr:col>
      <xdr:colOff>374638</xdr:colOff>
      <xdr:row>81</xdr:row>
      <xdr:rowOff>177973</xdr:rowOff>
    </xdr:to>
    <xdr:pic>
      <xdr:nvPicPr>
        <xdr:cNvPr id="103" name="Imagem 102">
          <a:extLst>
            <a:ext uri="{FF2B5EF4-FFF2-40B4-BE49-F238E27FC236}">
              <a16:creationId xmlns:a16="http://schemas.microsoft.com/office/drawing/2014/main" id="{00000000-0008-0000-0200-000067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37594" y="19517581"/>
          <a:ext cx="687787" cy="688869"/>
        </a:xfrm>
        <a:prstGeom prst="rect">
          <a:avLst/>
        </a:prstGeom>
      </xdr:spPr>
    </xdr:pic>
    <xdr:clientData/>
  </xdr:twoCellAnchor>
  <xdr:twoCellAnchor editAs="oneCell">
    <xdr:from>
      <xdr:col>1</xdr:col>
      <xdr:colOff>264414</xdr:colOff>
      <xdr:row>87</xdr:row>
      <xdr:rowOff>40203</xdr:rowOff>
    </xdr:from>
    <xdr:to>
      <xdr:col>2</xdr:col>
      <xdr:colOff>366280</xdr:colOff>
      <xdr:row>90</xdr:row>
      <xdr:rowOff>144978</xdr:rowOff>
    </xdr:to>
    <xdr:pic>
      <xdr:nvPicPr>
        <xdr:cNvPr id="105" name="Imagem 104">
          <a:extLst>
            <a:ext uri="{FF2B5EF4-FFF2-40B4-BE49-F238E27FC236}">
              <a16:creationId xmlns:a16="http://schemas.microsoft.com/office/drawing/2014/main" id="{00000000-0008-0000-0200-000069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37596" y="21558044"/>
          <a:ext cx="679427" cy="680513"/>
        </a:xfrm>
        <a:prstGeom prst="rect">
          <a:avLst/>
        </a:prstGeom>
      </xdr:spPr>
    </xdr:pic>
    <xdr:clientData/>
  </xdr:twoCellAnchor>
  <xdr:twoCellAnchor editAs="oneCell">
    <xdr:from>
      <xdr:col>1</xdr:col>
      <xdr:colOff>294935</xdr:colOff>
      <xdr:row>72</xdr:row>
      <xdr:rowOff>8560</xdr:rowOff>
    </xdr:from>
    <xdr:to>
      <xdr:col>2</xdr:col>
      <xdr:colOff>304441</xdr:colOff>
      <xdr:row>75</xdr:row>
      <xdr:rowOff>25512</xdr:rowOff>
    </xdr:to>
    <xdr:pic>
      <xdr:nvPicPr>
        <xdr:cNvPr id="107" name="Imagem 106">
          <a:extLst>
            <a:ext uri="{FF2B5EF4-FFF2-40B4-BE49-F238E27FC236}">
              <a16:creationId xmlns:a16="http://schemas.microsoft.com/office/drawing/2014/main" id="{00000000-0008-0000-0200-00006B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66385" y="17982235"/>
          <a:ext cx="590531" cy="588452"/>
        </a:xfrm>
        <a:prstGeom prst="rect">
          <a:avLst/>
        </a:prstGeom>
      </xdr:spPr>
    </xdr:pic>
    <xdr:clientData/>
  </xdr:twoCellAnchor>
  <xdr:twoCellAnchor editAs="oneCell">
    <xdr:from>
      <xdr:col>1</xdr:col>
      <xdr:colOff>161588</xdr:colOff>
      <xdr:row>26</xdr:row>
      <xdr:rowOff>193684</xdr:rowOff>
    </xdr:from>
    <xdr:to>
      <xdr:col>2</xdr:col>
      <xdr:colOff>335515</xdr:colOff>
      <xdr:row>28</xdr:row>
      <xdr:rowOff>374754</xdr:rowOff>
    </xdr:to>
    <xdr:pic>
      <xdr:nvPicPr>
        <xdr:cNvPr id="110" name="Imagem 109">
          <a:extLst>
            <a:ext uri="{FF2B5EF4-FFF2-40B4-BE49-F238E27FC236}">
              <a16:creationId xmlns:a16="http://schemas.microsoft.com/office/drawing/2014/main" id="{00000000-0008-0000-0200-00006E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334770" y="6211752"/>
          <a:ext cx="751488" cy="752570"/>
        </a:xfrm>
        <a:prstGeom prst="rect">
          <a:avLst/>
        </a:prstGeom>
      </xdr:spPr>
    </xdr:pic>
    <xdr:clientData/>
  </xdr:twoCellAnchor>
  <xdr:twoCellAnchor editAs="oneCell">
    <xdr:from>
      <xdr:col>1</xdr:col>
      <xdr:colOff>213542</xdr:colOff>
      <xdr:row>35</xdr:row>
      <xdr:rowOff>69273</xdr:rowOff>
    </xdr:from>
    <xdr:to>
      <xdr:col>2</xdr:col>
      <xdr:colOff>273346</xdr:colOff>
      <xdr:row>38</xdr:row>
      <xdr:rowOff>136009</xdr:rowOff>
    </xdr:to>
    <xdr:pic>
      <xdr:nvPicPr>
        <xdr:cNvPr id="112" name="Imagem 111">
          <a:extLst>
            <a:ext uri="{FF2B5EF4-FFF2-40B4-BE49-F238E27FC236}">
              <a16:creationId xmlns:a16="http://schemas.microsoft.com/office/drawing/2014/main" id="{00000000-0008-0000-0200-000070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386724" y="9317182"/>
          <a:ext cx="637365" cy="638236"/>
        </a:xfrm>
        <a:prstGeom prst="rect">
          <a:avLst/>
        </a:prstGeom>
      </xdr:spPr>
    </xdr:pic>
    <xdr:clientData/>
  </xdr:twoCellAnchor>
  <xdr:twoCellAnchor editAs="oneCell">
    <xdr:from>
      <xdr:col>1</xdr:col>
      <xdr:colOff>230858</xdr:colOff>
      <xdr:row>42</xdr:row>
      <xdr:rowOff>23584</xdr:rowOff>
    </xdr:from>
    <xdr:to>
      <xdr:col>2</xdr:col>
      <xdr:colOff>323305</xdr:colOff>
      <xdr:row>45</xdr:row>
      <xdr:rowOff>126420</xdr:rowOff>
    </xdr:to>
    <xdr:pic>
      <xdr:nvPicPr>
        <xdr:cNvPr id="113" name="Imagem 112">
          <a:extLst>
            <a:ext uri="{FF2B5EF4-FFF2-40B4-BE49-F238E27FC236}">
              <a16:creationId xmlns:a16="http://schemas.microsoft.com/office/drawing/2014/main" id="{00000000-0008-0000-0200-000071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04040" y="10821470"/>
          <a:ext cx="670008" cy="674336"/>
        </a:xfrm>
        <a:prstGeom prst="rect">
          <a:avLst/>
        </a:prstGeom>
      </xdr:spPr>
    </xdr:pic>
    <xdr:clientData/>
  </xdr:twoCellAnchor>
  <xdr:twoCellAnchor editAs="oneCell">
    <xdr:from>
      <xdr:col>1</xdr:col>
      <xdr:colOff>192666</xdr:colOff>
      <xdr:row>90</xdr:row>
      <xdr:rowOff>188801</xdr:rowOff>
    </xdr:from>
    <xdr:to>
      <xdr:col>2</xdr:col>
      <xdr:colOff>413999</xdr:colOff>
      <xdr:row>93</xdr:row>
      <xdr:rowOff>302545</xdr:rowOff>
    </xdr:to>
    <xdr:pic>
      <xdr:nvPicPr>
        <xdr:cNvPr id="114" name="Imagem 113">
          <a:extLst>
            <a:ext uri="{FF2B5EF4-FFF2-40B4-BE49-F238E27FC236}">
              <a16:creationId xmlns:a16="http://schemas.microsoft.com/office/drawing/2014/main" id="{00000000-0008-0000-0200-000072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365848" y="22278142"/>
          <a:ext cx="798894" cy="806471"/>
        </a:xfrm>
        <a:prstGeom prst="rect">
          <a:avLst/>
        </a:prstGeom>
      </xdr:spPr>
    </xdr:pic>
    <xdr:clientData/>
  </xdr:twoCellAnchor>
  <xdr:twoCellAnchor editAs="oneCell">
    <xdr:from>
      <xdr:col>1</xdr:col>
      <xdr:colOff>123392</xdr:colOff>
      <xdr:row>98</xdr:row>
      <xdr:rowOff>287068</xdr:rowOff>
    </xdr:from>
    <xdr:to>
      <xdr:col>2</xdr:col>
      <xdr:colOff>562895</xdr:colOff>
      <xdr:row>100</xdr:row>
      <xdr:rowOff>157811</xdr:rowOff>
    </xdr:to>
    <xdr:pic>
      <xdr:nvPicPr>
        <xdr:cNvPr id="116" name="Imagem 115">
          <a:extLst>
            <a:ext uri="{FF2B5EF4-FFF2-40B4-BE49-F238E27FC236}">
              <a16:creationId xmlns:a16="http://schemas.microsoft.com/office/drawing/2014/main" id="{00000000-0008-0000-0200-000074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296574" y="24679727"/>
          <a:ext cx="1017064" cy="1022402"/>
        </a:xfrm>
        <a:prstGeom prst="rect">
          <a:avLst/>
        </a:prstGeom>
      </xdr:spPr>
    </xdr:pic>
    <xdr:clientData/>
  </xdr:twoCellAnchor>
  <xdr:twoCellAnchor editAs="oneCell">
    <xdr:from>
      <xdr:col>1</xdr:col>
      <xdr:colOff>158029</xdr:colOff>
      <xdr:row>101</xdr:row>
      <xdr:rowOff>62259</xdr:rowOff>
    </xdr:from>
    <xdr:to>
      <xdr:col>2</xdr:col>
      <xdr:colOff>513484</xdr:colOff>
      <xdr:row>101</xdr:row>
      <xdr:rowOff>753341</xdr:rowOff>
    </xdr:to>
    <xdr:pic>
      <xdr:nvPicPr>
        <xdr:cNvPr id="117" name="Imagem 116">
          <a:extLst>
            <a:ext uri="{FF2B5EF4-FFF2-40B4-BE49-F238E27FC236}">
              <a16:creationId xmlns:a16="http://schemas.microsoft.com/office/drawing/2014/main" id="{00000000-0008-0000-0200-000075000000}"/>
            </a:ext>
          </a:extLst>
        </xdr:cNvPr>
        <xdr:cNvPicPr>
          <a:picLocks noChangeAspect="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t="14032" b="11990"/>
        <a:stretch/>
      </xdr:blipFill>
      <xdr:spPr>
        <a:xfrm>
          <a:off x="331211" y="26325282"/>
          <a:ext cx="933016" cy="691082"/>
        </a:xfrm>
        <a:prstGeom prst="rect">
          <a:avLst/>
        </a:prstGeom>
      </xdr:spPr>
    </xdr:pic>
    <xdr:clientData/>
  </xdr:twoCellAnchor>
  <xdr:twoCellAnchor editAs="oneCell">
    <xdr:from>
      <xdr:col>1</xdr:col>
      <xdr:colOff>193749</xdr:colOff>
      <xdr:row>101</xdr:row>
      <xdr:rowOff>710045</xdr:rowOff>
    </xdr:from>
    <xdr:to>
      <xdr:col>2</xdr:col>
      <xdr:colOff>476044</xdr:colOff>
      <xdr:row>103</xdr:row>
      <xdr:rowOff>350012</xdr:rowOff>
    </xdr:to>
    <xdr:pic>
      <xdr:nvPicPr>
        <xdr:cNvPr id="118" name="Imagem 117">
          <a:extLst>
            <a:ext uri="{FF2B5EF4-FFF2-40B4-BE49-F238E27FC236}">
              <a16:creationId xmlns:a16="http://schemas.microsoft.com/office/drawing/2014/main" id="{00000000-0008-0000-0200-000076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366931" y="26973068"/>
          <a:ext cx="859856" cy="860899"/>
        </a:xfrm>
        <a:prstGeom prst="rect">
          <a:avLst/>
        </a:prstGeom>
      </xdr:spPr>
    </xdr:pic>
    <xdr:clientData/>
  </xdr:twoCellAnchor>
  <xdr:twoCellAnchor editAs="oneCell">
    <xdr:from>
      <xdr:col>1</xdr:col>
      <xdr:colOff>228384</xdr:colOff>
      <xdr:row>108</xdr:row>
      <xdr:rowOff>19720</xdr:rowOff>
    </xdr:from>
    <xdr:to>
      <xdr:col>2</xdr:col>
      <xdr:colOff>383053</xdr:colOff>
      <xdr:row>112</xdr:row>
      <xdr:rowOff>557</xdr:rowOff>
    </xdr:to>
    <xdr:pic>
      <xdr:nvPicPr>
        <xdr:cNvPr id="120" name="Imagem 119">
          <a:extLst>
            <a:ext uri="{FF2B5EF4-FFF2-40B4-BE49-F238E27FC236}">
              <a16:creationId xmlns:a16="http://schemas.microsoft.com/office/drawing/2014/main" id="{00000000-0008-0000-0200-000078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401566" y="29451970"/>
          <a:ext cx="732230" cy="733312"/>
        </a:xfrm>
        <a:prstGeom prst="rect">
          <a:avLst/>
        </a:prstGeom>
      </xdr:spPr>
    </xdr:pic>
    <xdr:clientData/>
  </xdr:twoCellAnchor>
  <xdr:twoCellAnchor editAs="oneCell">
    <xdr:from>
      <xdr:col>1</xdr:col>
      <xdr:colOff>227301</xdr:colOff>
      <xdr:row>94</xdr:row>
      <xdr:rowOff>43023</xdr:rowOff>
    </xdr:from>
    <xdr:to>
      <xdr:col>2</xdr:col>
      <xdr:colOff>389376</xdr:colOff>
      <xdr:row>96</xdr:row>
      <xdr:rowOff>13082</xdr:rowOff>
    </xdr:to>
    <xdr:pic>
      <xdr:nvPicPr>
        <xdr:cNvPr id="122" name="Imagem 121">
          <a:extLst>
            <a:ext uri="{FF2B5EF4-FFF2-40B4-BE49-F238E27FC236}">
              <a16:creationId xmlns:a16="http://schemas.microsoft.com/office/drawing/2014/main" id="{00000000-0008-0000-0200-00007A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400483" y="23188773"/>
          <a:ext cx="739636" cy="740718"/>
        </a:xfrm>
        <a:prstGeom prst="rect">
          <a:avLst/>
        </a:prstGeom>
      </xdr:spPr>
    </xdr:pic>
    <xdr:clientData/>
  </xdr:twoCellAnchor>
  <xdr:twoCellAnchor editAs="oneCell">
    <xdr:from>
      <xdr:col>1</xdr:col>
      <xdr:colOff>97416</xdr:colOff>
      <xdr:row>99</xdr:row>
      <xdr:rowOff>450259</xdr:rowOff>
    </xdr:from>
    <xdr:to>
      <xdr:col>3</xdr:col>
      <xdr:colOff>6266</xdr:colOff>
      <xdr:row>101</xdr:row>
      <xdr:rowOff>172409</xdr:rowOff>
    </xdr:to>
    <xdr:pic>
      <xdr:nvPicPr>
        <xdr:cNvPr id="123" name="Imagem 122">
          <a:extLst>
            <a:ext uri="{FF2B5EF4-FFF2-40B4-BE49-F238E27FC236}">
              <a16:creationId xmlns:a16="http://schemas.microsoft.com/office/drawing/2014/main" id="{00000000-0008-0000-0200-00007B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270598" y="25371123"/>
          <a:ext cx="1067436" cy="1064309"/>
        </a:xfrm>
        <a:prstGeom prst="rect">
          <a:avLst/>
        </a:prstGeom>
      </xdr:spPr>
    </xdr:pic>
    <xdr:clientData/>
  </xdr:twoCellAnchor>
  <xdr:twoCellAnchor editAs="oneCell">
    <xdr:from>
      <xdr:col>1</xdr:col>
      <xdr:colOff>176429</xdr:colOff>
      <xdr:row>112</xdr:row>
      <xdr:rowOff>130120</xdr:rowOff>
    </xdr:from>
    <xdr:to>
      <xdr:col>2</xdr:col>
      <xdr:colOff>360728</xdr:colOff>
      <xdr:row>115</xdr:row>
      <xdr:rowOff>35812</xdr:rowOff>
    </xdr:to>
    <xdr:pic>
      <xdr:nvPicPr>
        <xdr:cNvPr id="124" name="Imagem 123">
          <a:extLst>
            <a:ext uri="{FF2B5EF4-FFF2-40B4-BE49-F238E27FC236}">
              <a16:creationId xmlns:a16="http://schemas.microsoft.com/office/drawing/2014/main" id="{00000000-0008-0000-0200-00007C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349611" y="30324370"/>
          <a:ext cx="761860" cy="762942"/>
        </a:xfrm>
        <a:prstGeom prst="rect">
          <a:avLst/>
        </a:prstGeom>
      </xdr:spPr>
    </xdr:pic>
    <xdr:clientData/>
  </xdr:twoCellAnchor>
  <xdr:twoCellAnchor editAs="oneCell">
    <xdr:from>
      <xdr:col>1</xdr:col>
      <xdr:colOff>294409</xdr:colOff>
      <xdr:row>83</xdr:row>
      <xdr:rowOff>103910</xdr:rowOff>
    </xdr:from>
    <xdr:to>
      <xdr:col>2</xdr:col>
      <xdr:colOff>302201</xdr:colOff>
      <xdr:row>86</xdr:row>
      <xdr:rowOff>117763</xdr:rowOff>
    </xdr:to>
    <xdr:pic>
      <xdr:nvPicPr>
        <xdr:cNvPr id="125" name="Imagem 124">
          <a:extLst>
            <a:ext uri="{FF2B5EF4-FFF2-40B4-BE49-F238E27FC236}">
              <a16:creationId xmlns:a16="http://schemas.microsoft.com/office/drawing/2014/main" id="{00000000-0008-0000-0200-00007D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467591" y="20859751"/>
          <a:ext cx="585353" cy="585353"/>
        </a:xfrm>
        <a:prstGeom prst="rect">
          <a:avLst/>
        </a:prstGeom>
      </xdr:spPr>
    </xdr:pic>
    <xdr:clientData/>
  </xdr:twoCellAnchor>
  <xdr:twoCellAnchor editAs="oneCell">
    <xdr:from>
      <xdr:col>1</xdr:col>
      <xdr:colOff>138548</xdr:colOff>
      <xdr:row>96</xdr:row>
      <xdr:rowOff>129887</xdr:rowOff>
    </xdr:from>
    <xdr:to>
      <xdr:col>2</xdr:col>
      <xdr:colOff>487507</xdr:colOff>
      <xdr:row>99</xdr:row>
      <xdr:rowOff>51952</xdr:rowOff>
    </xdr:to>
    <xdr:pic>
      <xdr:nvPicPr>
        <xdr:cNvPr id="3" name="Image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33" cstate="print">
          <a:extLst>
            <a:ext uri="{BEBA8EAE-BF5A-486C-A8C5-ECC9F3942E4B}">
              <a14:imgProps xmlns:a14="http://schemas.microsoft.com/office/drawing/2010/main">
                <a14:imgLayer r:embed="rId34">
                  <a14:imgEffect>
                    <a14:colorTemperature colorTemp="11200"/>
                  </a14:imgEffect>
                  <a14:imgEffect>
                    <a14:saturation sat="0"/>
                  </a14:imgEffect>
                  <a14:imgEffect>
                    <a14:brightnessContrast bright="-40000" contrast="20000"/>
                  </a14:imgEffect>
                </a14:imgLayer>
              </a14:imgProps>
            </a:ext>
            <a:ext uri="{28A0092B-C50C-407E-A947-70E740481C1C}">
              <a14:useLocalDpi xmlns:a14="http://schemas.microsoft.com/office/drawing/2010/main" val="0"/>
            </a:ext>
          </a:extLst>
        </a:blip>
        <a:stretch>
          <a:fillRect/>
        </a:stretch>
      </xdr:blipFill>
      <xdr:spPr>
        <a:xfrm>
          <a:off x="311730" y="24046296"/>
          <a:ext cx="926520" cy="926520"/>
        </a:xfrm>
        <a:prstGeom prst="rect">
          <a:avLst/>
        </a:prstGeom>
      </xdr:spPr>
    </xdr:pic>
    <xdr:clientData/>
  </xdr:twoCellAnchor>
  <xdr:twoCellAnchor editAs="oneCell">
    <xdr:from>
      <xdr:col>1</xdr:col>
      <xdr:colOff>226221</xdr:colOff>
      <xdr:row>76</xdr:row>
      <xdr:rowOff>0</xdr:rowOff>
    </xdr:from>
    <xdr:to>
      <xdr:col>2</xdr:col>
      <xdr:colOff>359570</xdr:colOff>
      <xdr:row>78</xdr:row>
      <xdr:rowOff>323850</xdr:rowOff>
    </xdr:to>
    <xdr:pic>
      <xdr:nvPicPr>
        <xdr:cNvPr id="4" name="Imagem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392909" y="18728531"/>
          <a:ext cx="711992" cy="711992"/>
        </a:xfrm>
        <a:prstGeom prst="rect">
          <a:avLst/>
        </a:prstGeom>
      </xdr:spPr>
    </xdr:pic>
    <xdr:clientData/>
  </xdr:twoCellAnchor>
  <xdr:twoCellAnchor editAs="oneCell">
    <xdr:from>
      <xdr:col>1</xdr:col>
      <xdr:colOff>261938</xdr:colOff>
      <xdr:row>82</xdr:row>
      <xdr:rowOff>95249</xdr:rowOff>
    </xdr:from>
    <xdr:to>
      <xdr:col>2</xdr:col>
      <xdr:colOff>314326</xdr:colOff>
      <xdr:row>82</xdr:row>
      <xdr:rowOff>726280</xdr:rowOff>
    </xdr:to>
    <xdr:pic>
      <xdr:nvPicPr>
        <xdr:cNvPr id="6" name="Imagem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428626" y="20300155"/>
          <a:ext cx="631031" cy="631031"/>
        </a:xfrm>
        <a:prstGeom prst="rect">
          <a:avLst/>
        </a:prstGeom>
      </xdr:spPr>
    </xdr:pic>
    <xdr:clientData/>
  </xdr:twoCellAnchor>
  <xdr:twoCellAnchor editAs="oneCell">
    <xdr:from>
      <xdr:col>1</xdr:col>
      <xdr:colOff>178595</xdr:colOff>
      <xdr:row>104</xdr:row>
      <xdr:rowOff>1</xdr:rowOff>
    </xdr:from>
    <xdr:to>
      <xdr:col>2</xdr:col>
      <xdr:colOff>457202</xdr:colOff>
      <xdr:row>106</xdr:row>
      <xdr:rowOff>23813</xdr:rowOff>
    </xdr:to>
    <xdr:pic>
      <xdr:nvPicPr>
        <xdr:cNvPr id="5" name="Imagem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7" cstate="print">
          <a:extLst>
            <a:ext uri="{BEBA8EAE-BF5A-486C-A8C5-ECC9F3942E4B}">
              <a14:imgProps xmlns:a14="http://schemas.microsoft.com/office/drawing/2010/main">
                <a14:imgLayer r:embed="rId38">
                  <a14:imgEffect>
                    <a14:backgroundRemoval t="8125" b="91063" l="10000" r="90438">
                      <a14:foregroundMark x1="79688" y1="8125" x2="71750" y2="8313"/>
                      <a14:foregroundMark x1="89938" y1="14313" x2="90438" y2="19875"/>
                      <a14:foregroundMark x1="34500" y1="91063" x2="51063" y2="91063"/>
                    </a14:backgroundRemoval>
                  </a14:imgEffect>
                  <a14:imgEffect>
                    <a14:sharpenSoften amount="50000"/>
                  </a14:imgEffect>
                  <a14:imgEffect>
                    <a14:saturation sat="0"/>
                  </a14:imgEffect>
                  <a14:imgEffect>
                    <a14:brightnessContrast bright="20000" contrast="40000"/>
                  </a14:imgEffect>
                </a14:imgLayer>
              </a14:imgProps>
            </a:ext>
            <a:ext uri="{28A0092B-C50C-407E-A947-70E740481C1C}">
              <a14:useLocalDpi xmlns:a14="http://schemas.microsoft.com/office/drawing/2010/main" val="0"/>
            </a:ext>
          </a:extLst>
        </a:blip>
        <a:stretch>
          <a:fillRect/>
        </a:stretch>
      </xdr:blipFill>
      <xdr:spPr>
        <a:xfrm>
          <a:off x="345283" y="28063032"/>
          <a:ext cx="857250" cy="857250"/>
        </a:xfrm>
        <a:prstGeom prst="rect">
          <a:avLst/>
        </a:prstGeom>
      </xdr:spPr>
    </xdr:pic>
    <xdr:clientData/>
  </xdr:twoCellAnchor>
  <xdr:twoCellAnchor editAs="oneCell">
    <xdr:from>
      <xdr:col>1</xdr:col>
      <xdr:colOff>202409</xdr:colOff>
      <xdr:row>105</xdr:row>
      <xdr:rowOff>476253</xdr:rowOff>
    </xdr:from>
    <xdr:to>
      <xdr:col>2</xdr:col>
      <xdr:colOff>350045</xdr:colOff>
      <xdr:row>107</xdr:row>
      <xdr:rowOff>511969</xdr:rowOff>
    </xdr:to>
    <xdr:pic>
      <xdr:nvPicPr>
        <xdr:cNvPr id="7" name="Imagem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9" cstate="print">
          <a:extLst>
            <a:ext uri="{BEBA8EAE-BF5A-486C-A8C5-ECC9F3942E4B}">
              <a14:imgProps xmlns:a14="http://schemas.microsoft.com/office/drawing/2010/main">
                <a14:imgLayer r:embed="rId40">
                  <a14:imgEffect>
                    <a14:backgroundRemoval t="10000" b="91224" l="6939" r="90204">
                      <a14:foregroundMark x1="90612" y1="23878" x2="90612" y2="23878"/>
                      <a14:foregroundMark x1="6939" y1="47347" x2="6939" y2="47347"/>
                      <a14:foregroundMark x1="41020" y1="91224" x2="41020" y2="91224"/>
                    </a14:backgroundRemoval>
                  </a14:imgEffect>
                  <a14:imgEffect>
                    <a14:saturation sat="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69097" y="28872659"/>
          <a:ext cx="726279" cy="726279"/>
        </a:xfrm>
        <a:prstGeom prst="rect">
          <a:avLst/>
        </a:prstGeom>
      </xdr:spPr>
    </xdr:pic>
    <xdr:clientData/>
  </xdr:twoCellAnchor>
  <xdr:twoCellAnchor editAs="oneCell">
    <xdr:from>
      <xdr:col>1</xdr:col>
      <xdr:colOff>0</xdr:colOff>
      <xdr:row>1</xdr:row>
      <xdr:rowOff>0</xdr:rowOff>
    </xdr:from>
    <xdr:to>
      <xdr:col>4</xdr:col>
      <xdr:colOff>510225</xdr:colOff>
      <xdr:row>5</xdr:row>
      <xdr:rowOff>11077</xdr:rowOff>
    </xdr:to>
    <xdr:pic>
      <xdr:nvPicPr>
        <xdr:cNvPr id="42" name="Picture 1">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41"/>
        <a:stretch>
          <a:fillRect/>
        </a:stretch>
      </xdr:blipFill>
      <xdr:spPr>
        <a:xfrm rot="5400000">
          <a:off x="1035386" y="-625811"/>
          <a:ext cx="792127" cy="2520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323850</xdr:colOff>
      <xdr:row>2</xdr:row>
      <xdr:rowOff>123825</xdr:rowOff>
    </xdr:from>
    <xdr:to>
      <xdr:col>10</xdr:col>
      <xdr:colOff>323850</xdr:colOff>
      <xdr:row>5</xdr:row>
      <xdr:rowOff>142875</xdr:rowOff>
    </xdr:to>
    <xdr:cxnSp macro="">
      <xdr:nvCxnSpPr>
        <xdr:cNvPr id="2" name="Straight Arrow Connector 4">
          <a:extLst>
            <a:ext uri="{FF2B5EF4-FFF2-40B4-BE49-F238E27FC236}">
              <a16:creationId xmlns:a16="http://schemas.microsoft.com/office/drawing/2014/main" id="{00000000-0008-0000-1400-000002000000}"/>
            </a:ext>
          </a:extLst>
        </xdr:cNvPr>
        <xdr:cNvCxnSpPr/>
      </xdr:nvCxnSpPr>
      <xdr:spPr>
        <a:xfrm>
          <a:off x="9315450" y="561975"/>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66675</xdr:colOff>
      <xdr:row>1</xdr:row>
      <xdr:rowOff>19050</xdr:rowOff>
    </xdr:from>
    <xdr:to>
      <xdr:col>13</xdr:col>
      <xdr:colOff>131445</xdr:colOff>
      <xdr:row>5</xdr:row>
      <xdr:rowOff>40959</xdr:rowOff>
    </xdr:to>
    <xdr:pic>
      <xdr:nvPicPr>
        <xdr:cNvPr id="3" name="Picture 42">
          <a:extLst>
            <a:ext uri="{FF2B5EF4-FFF2-40B4-BE49-F238E27FC236}">
              <a16:creationId xmlns:a16="http://schemas.microsoft.com/office/drawing/2014/main" id="{00000000-0008-0000-14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903" t="10485" r="9678" b="10483"/>
        <a:stretch/>
      </xdr:blipFill>
      <xdr:spPr bwMode="auto">
        <a:xfrm>
          <a:off x="9791700" y="257175"/>
          <a:ext cx="786765" cy="793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247479</xdr:colOff>
      <xdr:row>7</xdr:row>
      <xdr:rowOff>70707</xdr:rowOff>
    </xdr:from>
    <xdr:to>
      <xdr:col>2</xdr:col>
      <xdr:colOff>400050</xdr:colOff>
      <xdr:row>7</xdr:row>
      <xdr:rowOff>463533</xdr:rowOff>
    </xdr:to>
    <xdr:pic>
      <xdr:nvPicPr>
        <xdr:cNvPr id="6" name="Imagem 5">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2"/>
        <a:stretch>
          <a:fillRect/>
        </a:stretch>
      </xdr:blipFill>
      <xdr:spPr>
        <a:xfrm>
          <a:off x="407499" y="1686147"/>
          <a:ext cx="746931" cy="392826"/>
        </a:xfrm>
        <a:prstGeom prst="rect">
          <a:avLst/>
        </a:prstGeom>
      </xdr:spPr>
    </xdr:pic>
    <xdr:clientData/>
  </xdr:twoCellAnchor>
  <xdr:twoCellAnchor editAs="oneCell">
    <xdr:from>
      <xdr:col>1</xdr:col>
      <xdr:colOff>234315</xdr:colOff>
      <xdr:row>8</xdr:row>
      <xdr:rowOff>148590</xdr:rowOff>
    </xdr:from>
    <xdr:to>
      <xdr:col>2</xdr:col>
      <xdr:colOff>354391</xdr:colOff>
      <xdr:row>9</xdr:row>
      <xdr:rowOff>339090</xdr:rowOff>
    </xdr:to>
    <xdr:pic>
      <xdr:nvPicPr>
        <xdr:cNvPr id="7" name="Imagem 6">
          <a:extLst>
            <a:ext uri="{FF2B5EF4-FFF2-40B4-BE49-F238E27FC236}">
              <a16:creationId xmlns:a16="http://schemas.microsoft.com/office/drawing/2014/main" id="{00000000-0008-0000-1400-000007000000}"/>
            </a:ext>
          </a:extLst>
        </xdr:cNvPr>
        <xdr:cNvPicPr>
          <a:picLocks noChangeAspect="1"/>
        </xdr:cNvPicPr>
      </xdr:nvPicPr>
      <xdr:blipFill>
        <a:blip xmlns:r="http://schemas.openxmlformats.org/officeDocument/2006/relationships" r:embed="rId3"/>
        <a:stretch>
          <a:fillRect/>
        </a:stretch>
      </xdr:blipFill>
      <xdr:spPr>
        <a:xfrm>
          <a:off x="394335" y="2205990"/>
          <a:ext cx="714436" cy="670560"/>
        </a:xfrm>
        <a:prstGeom prst="rect">
          <a:avLst/>
        </a:prstGeom>
      </xdr:spPr>
    </xdr:pic>
    <xdr:clientData/>
  </xdr:twoCellAnchor>
  <xdr:twoCellAnchor editAs="oneCell">
    <xdr:from>
      <xdr:col>1</xdr:col>
      <xdr:colOff>38100</xdr:colOff>
      <xdr:row>10</xdr:row>
      <xdr:rowOff>85725</xdr:rowOff>
    </xdr:from>
    <xdr:to>
      <xdr:col>2</xdr:col>
      <xdr:colOff>511774</xdr:colOff>
      <xdr:row>11</xdr:row>
      <xdr:rowOff>455295</xdr:rowOff>
    </xdr:to>
    <xdr:pic>
      <xdr:nvPicPr>
        <xdr:cNvPr id="8" name="Imagem 7">
          <a:extLst>
            <a:ext uri="{FF2B5EF4-FFF2-40B4-BE49-F238E27FC236}">
              <a16:creationId xmlns:a16="http://schemas.microsoft.com/office/drawing/2014/main" id="{00000000-0008-0000-1400-000008000000}"/>
            </a:ext>
          </a:extLst>
        </xdr:cNvPr>
        <xdr:cNvPicPr>
          <a:picLocks noChangeAspect="1"/>
        </xdr:cNvPicPr>
      </xdr:nvPicPr>
      <xdr:blipFill>
        <a:blip xmlns:r="http://schemas.openxmlformats.org/officeDocument/2006/relationships" r:embed="rId4"/>
        <a:stretch>
          <a:fillRect/>
        </a:stretch>
      </xdr:blipFill>
      <xdr:spPr>
        <a:xfrm>
          <a:off x="190500" y="3219450"/>
          <a:ext cx="1054699" cy="845820"/>
        </a:xfrm>
        <a:prstGeom prst="rect">
          <a:avLst/>
        </a:prstGeom>
      </xdr:spPr>
    </xdr:pic>
    <xdr:clientData/>
  </xdr:twoCellAnchor>
  <xdr:twoCellAnchor editAs="oneCell">
    <xdr:from>
      <xdr:col>1</xdr:col>
      <xdr:colOff>245745</xdr:colOff>
      <xdr:row>12</xdr:row>
      <xdr:rowOff>27763</xdr:rowOff>
    </xdr:from>
    <xdr:to>
      <xdr:col>2</xdr:col>
      <xdr:colOff>323850</xdr:colOff>
      <xdr:row>12</xdr:row>
      <xdr:rowOff>550545</xdr:rowOff>
    </xdr:to>
    <xdr:pic>
      <xdr:nvPicPr>
        <xdr:cNvPr id="10" name="Imagem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5"/>
        <a:stretch>
          <a:fillRect/>
        </a:stretch>
      </xdr:blipFill>
      <xdr:spPr>
        <a:xfrm>
          <a:off x="405765" y="4234003"/>
          <a:ext cx="676275" cy="526592"/>
        </a:xfrm>
        <a:prstGeom prst="rect">
          <a:avLst/>
        </a:prstGeom>
      </xdr:spPr>
    </xdr:pic>
    <xdr:clientData/>
  </xdr:twoCellAnchor>
  <xdr:twoCellAnchor editAs="oneCell">
    <xdr:from>
      <xdr:col>1</xdr:col>
      <xdr:colOff>51435</xdr:colOff>
      <xdr:row>13</xdr:row>
      <xdr:rowOff>146684</xdr:rowOff>
    </xdr:from>
    <xdr:to>
      <xdr:col>2</xdr:col>
      <xdr:colOff>521681</xdr:colOff>
      <xdr:row>14</xdr:row>
      <xdr:rowOff>430529</xdr:rowOff>
    </xdr:to>
    <xdr:pic>
      <xdr:nvPicPr>
        <xdr:cNvPr id="12" name="Imagem 11">
          <a:extLst>
            <a:ext uri="{FF2B5EF4-FFF2-40B4-BE49-F238E27FC236}">
              <a16:creationId xmlns:a16="http://schemas.microsoft.com/office/drawing/2014/main" id="{00000000-0008-0000-1400-00000C000000}"/>
            </a:ext>
          </a:extLst>
        </xdr:cNvPr>
        <xdr:cNvPicPr>
          <a:picLocks noChangeAspect="1"/>
        </xdr:cNvPicPr>
      </xdr:nvPicPr>
      <xdr:blipFill>
        <a:blip xmlns:r="http://schemas.openxmlformats.org/officeDocument/2006/relationships" r:embed="rId6"/>
        <a:stretch>
          <a:fillRect/>
        </a:stretch>
      </xdr:blipFill>
      <xdr:spPr>
        <a:xfrm>
          <a:off x="203835" y="4842509"/>
          <a:ext cx="1051271" cy="760095"/>
        </a:xfrm>
        <a:prstGeom prst="rect">
          <a:avLst/>
        </a:prstGeom>
      </xdr:spPr>
    </xdr:pic>
    <xdr:clientData/>
  </xdr:twoCellAnchor>
  <xdr:twoCellAnchor editAs="oneCell">
    <xdr:from>
      <xdr:col>1</xdr:col>
      <xdr:colOff>110490</xdr:colOff>
      <xdr:row>15</xdr:row>
      <xdr:rowOff>59055</xdr:rowOff>
    </xdr:from>
    <xdr:to>
      <xdr:col>2</xdr:col>
      <xdr:colOff>497205</xdr:colOff>
      <xdr:row>16</xdr:row>
      <xdr:rowOff>249555</xdr:rowOff>
    </xdr:to>
    <xdr:pic>
      <xdr:nvPicPr>
        <xdr:cNvPr id="14" name="Imagem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7"/>
        <a:stretch>
          <a:fillRect/>
        </a:stretch>
      </xdr:blipFill>
      <xdr:spPr>
        <a:xfrm>
          <a:off x="262890" y="5716905"/>
          <a:ext cx="967740" cy="742950"/>
        </a:xfrm>
        <a:prstGeom prst="rect">
          <a:avLst/>
        </a:prstGeom>
      </xdr:spPr>
    </xdr:pic>
    <xdr:clientData/>
  </xdr:twoCellAnchor>
  <xdr:twoCellAnchor editAs="oneCell">
    <xdr:from>
      <xdr:col>1</xdr:col>
      <xdr:colOff>108585</xdr:colOff>
      <xdr:row>17</xdr:row>
      <xdr:rowOff>84095</xdr:rowOff>
    </xdr:from>
    <xdr:to>
      <xdr:col>2</xdr:col>
      <xdr:colOff>365760</xdr:colOff>
      <xdr:row>17</xdr:row>
      <xdr:rowOff>779145</xdr:rowOff>
    </xdr:to>
    <xdr:pic>
      <xdr:nvPicPr>
        <xdr:cNvPr id="28" name="Imagem 27">
          <a:extLst>
            <a:ext uri="{FF2B5EF4-FFF2-40B4-BE49-F238E27FC236}">
              <a16:creationId xmlns:a16="http://schemas.microsoft.com/office/drawing/2014/main" id="{00000000-0008-0000-1400-00001C000000}"/>
            </a:ext>
          </a:extLst>
        </xdr:cNvPr>
        <xdr:cNvPicPr>
          <a:picLocks noChangeAspect="1"/>
        </xdr:cNvPicPr>
      </xdr:nvPicPr>
      <xdr:blipFill>
        <a:blip xmlns:r="http://schemas.openxmlformats.org/officeDocument/2006/relationships" r:embed="rId8"/>
        <a:stretch>
          <a:fillRect/>
        </a:stretch>
      </xdr:blipFill>
      <xdr:spPr>
        <a:xfrm>
          <a:off x="268605" y="6812555"/>
          <a:ext cx="851535" cy="695050"/>
        </a:xfrm>
        <a:prstGeom prst="rect">
          <a:avLst/>
        </a:prstGeom>
      </xdr:spPr>
    </xdr:pic>
    <xdr:clientData/>
  </xdr:twoCellAnchor>
  <xdr:twoCellAnchor editAs="oneCell">
    <xdr:from>
      <xdr:col>1</xdr:col>
      <xdr:colOff>135255</xdr:colOff>
      <xdr:row>18</xdr:row>
      <xdr:rowOff>72611</xdr:rowOff>
    </xdr:from>
    <xdr:to>
      <xdr:col>2</xdr:col>
      <xdr:colOff>466725</xdr:colOff>
      <xdr:row>18</xdr:row>
      <xdr:rowOff>805814</xdr:rowOff>
    </xdr:to>
    <xdr:pic>
      <xdr:nvPicPr>
        <xdr:cNvPr id="36" name="Imagem 35">
          <a:extLst>
            <a:ext uri="{FF2B5EF4-FFF2-40B4-BE49-F238E27FC236}">
              <a16:creationId xmlns:a16="http://schemas.microsoft.com/office/drawing/2014/main" id="{00000000-0008-0000-1400-000024000000}"/>
            </a:ext>
          </a:extLst>
        </xdr:cNvPr>
        <xdr:cNvPicPr>
          <a:picLocks noChangeAspect="1"/>
        </xdr:cNvPicPr>
      </xdr:nvPicPr>
      <xdr:blipFill>
        <a:blip xmlns:r="http://schemas.openxmlformats.org/officeDocument/2006/relationships" r:embed="rId9"/>
        <a:stretch>
          <a:fillRect/>
        </a:stretch>
      </xdr:blipFill>
      <xdr:spPr>
        <a:xfrm>
          <a:off x="287655" y="7521161"/>
          <a:ext cx="912495" cy="733203"/>
        </a:xfrm>
        <a:prstGeom prst="rect">
          <a:avLst/>
        </a:prstGeom>
      </xdr:spPr>
    </xdr:pic>
    <xdr:clientData/>
  </xdr:twoCellAnchor>
  <xdr:twoCellAnchor editAs="oneCell">
    <xdr:from>
      <xdr:col>1</xdr:col>
      <xdr:colOff>47625</xdr:colOff>
      <xdr:row>19</xdr:row>
      <xdr:rowOff>57150</xdr:rowOff>
    </xdr:from>
    <xdr:to>
      <xdr:col>2</xdr:col>
      <xdr:colOff>521299</xdr:colOff>
      <xdr:row>20</xdr:row>
      <xdr:rowOff>272415</xdr:rowOff>
    </xdr:to>
    <xdr:pic>
      <xdr:nvPicPr>
        <xdr:cNvPr id="42" name="Imagem 41">
          <a:extLst>
            <a:ext uri="{FF2B5EF4-FFF2-40B4-BE49-F238E27FC236}">
              <a16:creationId xmlns:a16="http://schemas.microsoft.com/office/drawing/2014/main" id="{00000000-0008-0000-1400-00002A000000}"/>
            </a:ext>
          </a:extLst>
        </xdr:cNvPr>
        <xdr:cNvPicPr>
          <a:picLocks noChangeAspect="1"/>
        </xdr:cNvPicPr>
      </xdr:nvPicPr>
      <xdr:blipFill>
        <a:blip xmlns:r="http://schemas.openxmlformats.org/officeDocument/2006/relationships" r:embed="rId10"/>
        <a:stretch>
          <a:fillRect/>
        </a:stretch>
      </xdr:blipFill>
      <xdr:spPr>
        <a:xfrm>
          <a:off x="200025" y="8420100"/>
          <a:ext cx="1054699" cy="567690"/>
        </a:xfrm>
        <a:prstGeom prst="rect">
          <a:avLst/>
        </a:prstGeom>
      </xdr:spPr>
    </xdr:pic>
    <xdr:clientData/>
  </xdr:twoCellAnchor>
  <xdr:twoCellAnchor editAs="oneCell">
    <xdr:from>
      <xdr:col>1</xdr:col>
      <xdr:colOff>129540</xdr:colOff>
      <xdr:row>21</xdr:row>
      <xdr:rowOff>84936</xdr:rowOff>
    </xdr:from>
    <xdr:to>
      <xdr:col>2</xdr:col>
      <xdr:colOff>447675</xdr:colOff>
      <xdr:row>21</xdr:row>
      <xdr:rowOff>773429</xdr:rowOff>
    </xdr:to>
    <xdr:pic>
      <xdr:nvPicPr>
        <xdr:cNvPr id="44" name="Imagem 43">
          <a:extLst>
            <a:ext uri="{FF2B5EF4-FFF2-40B4-BE49-F238E27FC236}">
              <a16:creationId xmlns:a16="http://schemas.microsoft.com/office/drawing/2014/main" id="{00000000-0008-0000-1400-00002C000000}"/>
            </a:ext>
          </a:extLst>
        </xdr:cNvPr>
        <xdr:cNvPicPr>
          <a:picLocks noChangeAspect="1"/>
        </xdr:cNvPicPr>
      </xdr:nvPicPr>
      <xdr:blipFill>
        <a:blip xmlns:r="http://schemas.openxmlformats.org/officeDocument/2006/relationships" r:embed="rId11"/>
        <a:stretch>
          <a:fillRect/>
        </a:stretch>
      </xdr:blipFill>
      <xdr:spPr>
        <a:xfrm>
          <a:off x="281940" y="9143211"/>
          <a:ext cx="899160" cy="688493"/>
        </a:xfrm>
        <a:prstGeom prst="rect">
          <a:avLst/>
        </a:prstGeom>
      </xdr:spPr>
    </xdr:pic>
    <xdr:clientData/>
  </xdr:twoCellAnchor>
  <xdr:twoCellAnchor editAs="oneCell">
    <xdr:from>
      <xdr:col>1</xdr:col>
      <xdr:colOff>62865</xdr:colOff>
      <xdr:row>22</xdr:row>
      <xdr:rowOff>125730</xdr:rowOff>
    </xdr:from>
    <xdr:to>
      <xdr:col>2</xdr:col>
      <xdr:colOff>519013</xdr:colOff>
      <xdr:row>23</xdr:row>
      <xdr:rowOff>276225</xdr:rowOff>
    </xdr:to>
    <xdr:pic>
      <xdr:nvPicPr>
        <xdr:cNvPr id="45" name="Imagem 44">
          <a:extLst>
            <a:ext uri="{FF2B5EF4-FFF2-40B4-BE49-F238E27FC236}">
              <a16:creationId xmlns:a16="http://schemas.microsoft.com/office/drawing/2014/main" id="{00000000-0008-0000-1400-00002D000000}"/>
            </a:ext>
          </a:extLst>
        </xdr:cNvPr>
        <xdr:cNvPicPr>
          <a:picLocks noChangeAspect="1"/>
        </xdr:cNvPicPr>
      </xdr:nvPicPr>
      <xdr:blipFill>
        <a:blip xmlns:r="http://schemas.openxmlformats.org/officeDocument/2006/relationships" r:embed="rId12"/>
        <a:stretch>
          <a:fillRect/>
        </a:stretch>
      </xdr:blipFill>
      <xdr:spPr>
        <a:xfrm>
          <a:off x="215265" y="10041255"/>
          <a:ext cx="1037173" cy="531495"/>
        </a:xfrm>
        <a:prstGeom prst="rect">
          <a:avLst/>
        </a:prstGeom>
      </xdr:spPr>
    </xdr:pic>
    <xdr:clientData/>
  </xdr:twoCellAnchor>
  <xdr:twoCellAnchor editAs="oneCell">
    <xdr:from>
      <xdr:col>1</xdr:col>
      <xdr:colOff>49530</xdr:colOff>
      <xdr:row>24</xdr:row>
      <xdr:rowOff>131445</xdr:rowOff>
    </xdr:from>
    <xdr:to>
      <xdr:col>2</xdr:col>
      <xdr:colOff>532729</xdr:colOff>
      <xdr:row>25</xdr:row>
      <xdr:rowOff>267908</xdr:rowOff>
    </xdr:to>
    <xdr:pic>
      <xdr:nvPicPr>
        <xdr:cNvPr id="46" name="Imagem 45">
          <a:extLst>
            <a:ext uri="{FF2B5EF4-FFF2-40B4-BE49-F238E27FC236}">
              <a16:creationId xmlns:a16="http://schemas.microsoft.com/office/drawing/2014/main" id="{00000000-0008-0000-1400-00002E000000}"/>
            </a:ext>
          </a:extLst>
        </xdr:cNvPr>
        <xdr:cNvPicPr>
          <a:picLocks noChangeAspect="1"/>
        </xdr:cNvPicPr>
      </xdr:nvPicPr>
      <xdr:blipFill>
        <a:blip xmlns:r="http://schemas.openxmlformats.org/officeDocument/2006/relationships" r:embed="rId13"/>
        <a:stretch>
          <a:fillRect/>
        </a:stretch>
      </xdr:blipFill>
      <xdr:spPr>
        <a:xfrm>
          <a:off x="201930" y="10808970"/>
          <a:ext cx="1064224" cy="498413"/>
        </a:xfrm>
        <a:prstGeom prst="rect">
          <a:avLst/>
        </a:prstGeom>
      </xdr:spPr>
    </xdr:pic>
    <xdr:clientData/>
  </xdr:twoCellAnchor>
  <xdr:twoCellAnchor editAs="oneCell">
    <xdr:from>
      <xdr:col>1</xdr:col>
      <xdr:colOff>68580</xdr:colOff>
      <xdr:row>26</xdr:row>
      <xdr:rowOff>110490</xdr:rowOff>
    </xdr:from>
    <xdr:to>
      <xdr:col>2</xdr:col>
      <xdr:colOff>534634</xdr:colOff>
      <xdr:row>27</xdr:row>
      <xdr:rowOff>263962</xdr:rowOff>
    </xdr:to>
    <xdr:pic>
      <xdr:nvPicPr>
        <xdr:cNvPr id="52" name="Imagem 51">
          <a:extLst>
            <a:ext uri="{FF2B5EF4-FFF2-40B4-BE49-F238E27FC236}">
              <a16:creationId xmlns:a16="http://schemas.microsoft.com/office/drawing/2014/main" id="{00000000-0008-0000-1400-000034000000}"/>
            </a:ext>
          </a:extLst>
        </xdr:cNvPr>
        <xdr:cNvPicPr>
          <a:picLocks noChangeAspect="1"/>
        </xdr:cNvPicPr>
      </xdr:nvPicPr>
      <xdr:blipFill>
        <a:blip xmlns:r="http://schemas.openxmlformats.org/officeDocument/2006/relationships" r:embed="rId14"/>
        <a:stretch>
          <a:fillRect/>
        </a:stretch>
      </xdr:blipFill>
      <xdr:spPr>
        <a:xfrm>
          <a:off x="220980" y="11521440"/>
          <a:ext cx="1047079" cy="515422"/>
        </a:xfrm>
        <a:prstGeom prst="rect">
          <a:avLst/>
        </a:prstGeom>
      </xdr:spPr>
    </xdr:pic>
    <xdr:clientData/>
  </xdr:twoCellAnchor>
  <xdr:twoCellAnchor editAs="oneCell">
    <xdr:from>
      <xdr:col>1</xdr:col>
      <xdr:colOff>66675</xdr:colOff>
      <xdr:row>28</xdr:row>
      <xdr:rowOff>104774</xdr:rowOff>
    </xdr:from>
    <xdr:to>
      <xdr:col>2</xdr:col>
      <xdr:colOff>532729</xdr:colOff>
      <xdr:row>29</xdr:row>
      <xdr:rowOff>247649</xdr:rowOff>
    </xdr:to>
    <xdr:pic>
      <xdr:nvPicPr>
        <xdr:cNvPr id="53" name="Imagem 52">
          <a:extLst>
            <a:ext uri="{FF2B5EF4-FFF2-40B4-BE49-F238E27FC236}">
              <a16:creationId xmlns:a16="http://schemas.microsoft.com/office/drawing/2014/main" id="{00000000-0008-0000-1400-000035000000}"/>
            </a:ext>
          </a:extLst>
        </xdr:cNvPr>
        <xdr:cNvPicPr>
          <a:picLocks noChangeAspect="1"/>
        </xdr:cNvPicPr>
      </xdr:nvPicPr>
      <xdr:blipFill>
        <a:blip xmlns:r="http://schemas.openxmlformats.org/officeDocument/2006/relationships" r:embed="rId15"/>
        <a:stretch>
          <a:fillRect/>
        </a:stretch>
      </xdr:blipFill>
      <xdr:spPr>
        <a:xfrm>
          <a:off x="219075" y="12239624"/>
          <a:ext cx="1047079" cy="504825"/>
        </a:xfrm>
        <a:prstGeom prst="rect">
          <a:avLst/>
        </a:prstGeom>
      </xdr:spPr>
    </xdr:pic>
    <xdr:clientData/>
  </xdr:twoCellAnchor>
  <xdr:twoCellAnchor editAs="oneCell">
    <xdr:from>
      <xdr:col>1</xdr:col>
      <xdr:colOff>38100</xdr:colOff>
      <xdr:row>30</xdr:row>
      <xdr:rowOff>85725</xdr:rowOff>
    </xdr:from>
    <xdr:to>
      <xdr:col>2</xdr:col>
      <xdr:colOff>511774</xdr:colOff>
      <xdr:row>31</xdr:row>
      <xdr:rowOff>281940</xdr:rowOff>
    </xdr:to>
    <xdr:pic>
      <xdr:nvPicPr>
        <xdr:cNvPr id="62" name="Imagem 61">
          <a:extLst>
            <a:ext uri="{FF2B5EF4-FFF2-40B4-BE49-F238E27FC236}">
              <a16:creationId xmlns:a16="http://schemas.microsoft.com/office/drawing/2014/main" id="{00000000-0008-0000-1400-00003E000000}"/>
            </a:ext>
          </a:extLst>
        </xdr:cNvPr>
        <xdr:cNvPicPr>
          <a:picLocks noChangeAspect="1"/>
        </xdr:cNvPicPr>
      </xdr:nvPicPr>
      <xdr:blipFill>
        <a:blip xmlns:r="http://schemas.openxmlformats.org/officeDocument/2006/relationships" r:embed="rId16"/>
        <a:stretch>
          <a:fillRect/>
        </a:stretch>
      </xdr:blipFill>
      <xdr:spPr>
        <a:xfrm>
          <a:off x="190500" y="12944475"/>
          <a:ext cx="1054699" cy="558165"/>
        </a:xfrm>
        <a:prstGeom prst="rect">
          <a:avLst/>
        </a:prstGeom>
      </xdr:spPr>
    </xdr:pic>
    <xdr:clientData/>
  </xdr:twoCellAnchor>
  <xdr:twoCellAnchor editAs="oneCell">
    <xdr:from>
      <xdr:col>1</xdr:col>
      <xdr:colOff>70485</xdr:colOff>
      <xdr:row>32</xdr:row>
      <xdr:rowOff>139064</xdr:rowOff>
    </xdr:from>
    <xdr:to>
      <xdr:col>2</xdr:col>
      <xdr:colOff>536539</xdr:colOff>
      <xdr:row>34</xdr:row>
      <xdr:rowOff>167639</xdr:rowOff>
    </xdr:to>
    <xdr:pic>
      <xdr:nvPicPr>
        <xdr:cNvPr id="63" name="Imagem 62">
          <a:extLst>
            <a:ext uri="{FF2B5EF4-FFF2-40B4-BE49-F238E27FC236}">
              <a16:creationId xmlns:a16="http://schemas.microsoft.com/office/drawing/2014/main" id="{00000000-0008-0000-1400-00003F000000}"/>
            </a:ext>
          </a:extLst>
        </xdr:cNvPr>
        <xdr:cNvPicPr>
          <a:picLocks noChangeAspect="1"/>
        </xdr:cNvPicPr>
      </xdr:nvPicPr>
      <xdr:blipFill>
        <a:blip xmlns:r="http://schemas.openxmlformats.org/officeDocument/2006/relationships" r:embed="rId17"/>
        <a:stretch>
          <a:fillRect/>
        </a:stretch>
      </xdr:blipFill>
      <xdr:spPr>
        <a:xfrm>
          <a:off x="230505" y="15165704"/>
          <a:ext cx="1060414" cy="729615"/>
        </a:xfrm>
        <a:prstGeom prst="rect">
          <a:avLst/>
        </a:prstGeom>
      </xdr:spPr>
    </xdr:pic>
    <xdr:clientData/>
  </xdr:twoCellAnchor>
  <xdr:twoCellAnchor editAs="oneCell">
    <xdr:from>
      <xdr:col>1</xdr:col>
      <xdr:colOff>66675</xdr:colOff>
      <xdr:row>35</xdr:row>
      <xdr:rowOff>104774</xdr:rowOff>
    </xdr:from>
    <xdr:to>
      <xdr:col>2</xdr:col>
      <xdr:colOff>516345</xdr:colOff>
      <xdr:row>36</xdr:row>
      <xdr:rowOff>228599</xdr:rowOff>
    </xdr:to>
    <xdr:pic>
      <xdr:nvPicPr>
        <xdr:cNvPr id="64" name="Imagem 63">
          <a:extLst>
            <a:ext uri="{FF2B5EF4-FFF2-40B4-BE49-F238E27FC236}">
              <a16:creationId xmlns:a16="http://schemas.microsoft.com/office/drawing/2014/main" id="{00000000-0008-0000-1400-000040000000}"/>
            </a:ext>
          </a:extLst>
        </xdr:cNvPr>
        <xdr:cNvPicPr>
          <a:picLocks noChangeAspect="1"/>
        </xdr:cNvPicPr>
      </xdr:nvPicPr>
      <xdr:blipFill>
        <a:blip xmlns:r="http://schemas.openxmlformats.org/officeDocument/2006/relationships" r:embed="rId18"/>
        <a:stretch>
          <a:fillRect/>
        </a:stretch>
      </xdr:blipFill>
      <xdr:spPr>
        <a:xfrm>
          <a:off x="219075" y="18126074"/>
          <a:ext cx="1036410" cy="485775"/>
        </a:xfrm>
        <a:prstGeom prst="rect">
          <a:avLst/>
        </a:prstGeom>
      </xdr:spPr>
    </xdr:pic>
    <xdr:clientData/>
  </xdr:twoCellAnchor>
  <xdr:twoCellAnchor editAs="oneCell">
    <xdr:from>
      <xdr:col>1</xdr:col>
      <xdr:colOff>95843</xdr:colOff>
      <xdr:row>37</xdr:row>
      <xdr:rowOff>68376</xdr:rowOff>
    </xdr:from>
    <xdr:to>
      <xdr:col>2</xdr:col>
      <xdr:colOff>479178</xdr:colOff>
      <xdr:row>37</xdr:row>
      <xdr:rowOff>687704</xdr:rowOff>
    </xdr:to>
    <xdr:pic>
      <xdr:nvPicPr>
        <xdr:cNvPr id="65" name="Imagem 64">
          <a:extLst>
            <a:ext uri="{FF2B5EF4-FFF2-40B4-BE49-F238E27FC236}">
              <a16:creationId xmlns:a16="http://schemas.microsoft.com/office/drawing/2014/main" id="{00000000-0008-0000-1400-000041000000}"/>
            </a:ext>
          </a:extLst>
        </xdr:cNvPr>
        <xdr:cNvPicPr>
          <a:picLocks noChangeAspect="1"/>
        </xdr:cNvPicPr>
      </xdr:nvPicPr>
      <xdr:blipFill>
        <a:blip xmlns:r="http://schemas.openxmlformats.org/officeDocument/2006/relationships" r:embed="rId19"/>
        <a:stretch>
          <a:fillRect/>
        </a:stretch>
      </xdr:blipFill>
      <xdr:spPr>
        <a:xfrm>
          <a:off x="255863" y="17266716"/>
          <a:ext cx="973885" cy="619328"/>
        </a:xfrm>
        <a:prstGeom prst="rect">
          <a:avLst/>
        </a:prstGeom>
      </xdr:spPr>
    </xdr:pic>
    <xdr:clientData/>
  </xdr:twoCellAnchor>
  <xdr:twoCellAnchor editAs="oneCell">
    <xdr:from>
      <xdr:col>1</xdr:col>
      <xdr:colOff>70485</xdr:colOff>
      <xdr:row>38</xdr:row>
      <xdr:rowOff>106680</xdr:rowOff>
    </xdr:from>
    <xdr:to>
      <xdr:col>2</xdr:col>
      <xdr:colOff>542254</xdr:colOff>
      <xdr:row>39</xdr:row>
      <xdr:rowOff>348615</xdr:rowOff>
    </xdr:to>
    <xdr:pic>
      <xdr:nvPicPr>
        <xdr:cNvPr id="67" name="Imagem 66">
          <a:extLst>
            <a:ext uri="{FF2B5EF4-FFF2-40B4-BE49-F238E27FC236}">
              <a16:creationId xmlns:a16="http://schemas.microsoft.com/office/drawing/2014/main" id="{00000000-0008-0000-1400-000043000000}"/>
            </a:ext>
          </a:extLst>
        </xdr:cNvPr>
        <xdr:cNvPicPr>
          <a:picLocks noChangeAspect="1"/>
        </xdr:cNvPicPr>
      </xdr:nvPicPr>
      <xdr:blipFill>
        <a:blip xmlns:r="http://schemas.openxmlformats.org/officeDocument/2006/relationships" r:embed="rId20"/>
        <a:stretch>
          <a:fillRect/>
        </a:stretch>
      </xdr:blipFill>
      <xdr:spPr>
        <a:xfrm>
          <a:off x="222885" y="16156305"/>
          <a:ext cx="1052794" cy="689610"/>
        </a:xfrm>
        <a:prstGeom prst="rect">
          <a:avLst/>
        </a:prstGeom>
      </xdr:spPr>
    </xdr:pic>
    <xdr:clientData/>
  </xdr:twoCellAnchor>
  <xdr:twoCellAnchor editAs="oneCell">
    <xdr:from>
      <xdr:col>1</xdr:col>
      <xdr:colOff>60960</xdr:colOff>
      <xdr:row>40</xdr:row>
      <xdr:rowOff>81915</xdr:rowOff>
    </xdr:from>
    <xdr:to>
      <xdr:col>2</xdr:col>
      <xdr:colOff>532729</xdr:colOff>
      <xdr:row>41</xdr:row>
      <xdr:rowOff>294920</xdr:rowOff>
    </xdr:to>
    <xdr:pic>
      <xdr:nvPicPr>
        <xdr:cNvPr id="68" name="Imagem 67">
          <a:extLst>
            <a:ext uri="{FF2B5EF4-FFF2-40B4-BE49-F238E27FC236}">
              <a16:creationId xmlns:a16="http://schemas.microsoft.com/office/drawing/2014/main" id="{00000000-0008-0000-1400-000044000000}"/>
            </a:ext>
          </a:extLst>
        </xdr:cNvPr>
        <xdr:cNvPicPr>
          <a:picLocks noChangeAspect="1"/>
        </xdr:cNvPicPr>
      </xdr:nvPicPr>
      <xdr:blipFill>
        <a:blip xmlns:r="http://schemas.openxmlformats.org/officeDocument/2006/relationships" r:embed="rId21"/>
        <a:stretch>
          <a:fillRect/>
        </a:stretch>
      </xdr:blipFill>
      <xdr:spPr>
        <a:xfrm>
          <a:off x="213360" y="17026890"/>
          <a:ext cx="1052794" cy="565430"/>
        </a:xfrm>
        <a:prstGeom prst="rect">
          <a:avLst/>
        </a:prstGeom>
      </xdr:spPr>
    </xdr:pic>
    <xdr:clientData/>
  </xdr:twoCellAnchor>
  <xdr:twoCellAnchor editAs="oneCell">
    <xdr:from>
      <xdr:col>1</xdr:col>
      <xdr:colOff>38100</xdr:colOff>
      <xdr:row>42</xdr:row>
      <xdr:rowOff>66675</xdr:rowOff>
    </xdr:from>
    <xdr:to>
      <xdr:col>2</xdr:col>
      <xdr:colOff>511774</xdr:colOff>
      <xdr:row>43</xdr:row>
      <xdr:rowOff>280035</xdr:rowOff>
    </xdr:to>
    <xdr:pic>
      <xdr:nvPicPr>
        <xdr:cNvPr id="69" name="Imagem 68">
          <a:extLst>
            <a:ext uri="{FF2B5EF4-FFF2-40B4-BE49-F238E27FC236}">
              <a16:creationId xmlns:a16="http://schemas.microsoft.com/office/drawing/2014/main" id="{00000000-0008-0000-1400-000045000000}"/>
            </a:ext>
          </a:extLst>
        </xdr:cNvPr>
        <xdr:cNvPicPr>
          <a:picLocks noChangeAspect="1"/>
        </xdr:cNvPicPr>
      </xdr:nvPicPr>
      <xdr:blipFill>
        <a:blip xmlns:r="http://schemas.openxmlformats.org/officeDocument/2006/relationships" r:embed="rId22"/>
        <a:stretch>
          <a:fillRect/>
        </a:stretch>
      </xdr:blipFill>
      <xdr:spPr>
        <a:xfrm>
          <a:off x="190500" y="17716500"/>
          <a:ext cx="1054699" cy="575310"/>
        </a:xfrm>
        <a:prstGeom prst="rect">
          <a:avLst/>
        </a:prstGeom>
      </xdr:spPr>
    </xdr:pic>
    <xdr:clientData/>
  </xdr:twoCellAnchor>
  <xdr:twoCellAnchor editAs="oneCell">
    <xdr:from>
      <xdr:col>1</xdr:col>
      <xdr:colOff>118110</xdr:colOff>
      <xdr:row>44</xdr:row>
      <xdr:rowOff>30480</xdr:rowOff>
    </xdr:from>
    <xdr:to>
      <xdr:col>2</xdr:col>
      <xdr:colOff>428625</xdr:colOff>
      <xdr:row>45</xdr:row>
      <xdr:rowOff>231372</xdr:rowOff>
    </xdr:to>
    <xdr:pic>
      <xdr:nvPicPr>
        <xdr:cNvPr id="70" name="Imagem 69">
          <a:extLst>
            <a:ext uri="{FF2B5EF4-FFF2-40B4-BE49-F238E27FC236}">
              <a16:creationId xmlns:a16="http://schemas.microsoft.com/office/drawing/2014/main" id="{00000000-0008-0000-1400-000046000000}"/>
            </a:ext>
          </a:extLst>
        </xdr:cNvPr>
        <xdr:cNvPicPr>
          <a:picLocks noChangeAspect="1"/>
        </xdr:cNvPicPr>
      </xdr:nvPicPr>
      <xdr:blipFill>
        <a:blip xmlns:r="http://schemas.openxmlformats.org/officeDocument/2006/relationships" r:embed="rId23"/>
        <a:stretch>
          <a:fillRect/>
        </a:stretch>
      </xdr:blipFill>
      <xdr:spPr>
        <a:xfrm>
          <a:off x="270510" y="18404205"/>
          <a:ext cx="891540" cy="467592"/>
        </a:xfrm>
        <a:prstGeom prst="rect">
          <a:avLst/>
        </a:prstGeom>
      </xdr:spPr>
    </xdr:pic>
    <xdr:clientData/>
  </xdr:twoCellAnchor>
  <xdr:twoCellAnchor editAs="oneCell">
    <xdr:from>
      <xdr:col>1</xdr:col>
      <xdr:colOff>47625</xdr:colOff>
      <xdr:row>46</xdr:row>
      <xdr:rowOff>28574</xdr:rowOff>
    </xdr:from>
    <xdr:to>
      <xdr:col>2</xdr:col>
      <xdr:colOff>513679</xdr:colOff>
      <xdr:row>47</xdr:row>
      <xdr:rowOff>266699</xdr:rowOff>
    </xdr:to>
    <xdr:pic>
      <xdr:nvPicPr>
        <xdr:cNvPr id="71" name="Imagem 70">
          <a:extLst>
            <a:ext uri="{FF2B5EF4-FFF2-40B4-BE49-F238E27FC236}">
              <a16:creationId xmlns:a16="http://schemas.microsoft.com/office/drawing/2014/main" id="{00000000-0008-0000-1400-000047000000}"/>
            </a:ext>
          </a:extLst>
        </xdr:cNvPr>
        <xdr:cNvPicPr>
          <a:picLocks noChangeAspect="1"/>
        </xdr:cNvPicPr>
      </xdr:nvPicPr>
      <xdr:blipFill>
        <a:blip xmlns:r="http://schemas.openxmlformats.org/officeDocument/2006/relationships" r:embed="rId24"/>
        <a:stretch>
          <a:fillRect/>
        </a:stretch>
      </xdr:blipFill>
      <xdr:spPr>
        <a:xfrm>
          <a:off x="200025" y="18935699"/>
          <a:ext cx="1047079" cy="561975"/>
        </a:xfrm>
        <a:prstGeom prst="rect">
          <a:avLst/>
        </a:prstGeom>
      </xdr:spPr>
    </xdr:pic>
    <xdr:clientData/>
  </xdr:twoCellAnchor>
  <xdr:twoCellAnchor editAs="oneCell">
    <xdr:from>
      <xdr:col>1</xdr:col>
      <xdr:colOff>85725</xdr:colOff>
      <xdr:row>48</xdr:row>
      <xdr:rowOff>55245</xdr:rowOff>
    </xdr:from>
    <xdr:to>
      <xdr:col>2</xdr:col>
      <xdr:colOff>555971</xdr:colOff>
      <xdr:row>49</xdr:row>
      <xdr:rowOff>262856</xdr:rowOff>
    </xdr:to>
    <xdr:pic>
      <xdr:nvPicPr>
        <xdr:cNvPr id="72" name="Imagem 71">
          <a:extLst>
            <a:ext uri="{FF2B5EF4-FFF2-40B4-BE49-F238E27FC236}">
              <a16:creationId xmlns:a16="http://schemas.microsoft.com/office/drawing/2014/main" id="{00000000-0008-0000-1400-000048000000}"/>
            </a:ext>
          </a:extLst>
        </xdr:cNvPr>
        <xdr:cNvPicPr>
          <a:picLocks noChangeAspect="1"/>
        </xdr:cNvPicPr>
      </xdr:nvPicPr>
      <xdr:blipFill>
        <a:blip xmlns:r="http://schemas.openxmlformats.org/officeDocument/2006/relationships" r:embed="rId25"/>
        <a:stretch>
          <a:fillRect/>
        </a:stretch>
      </xdr:blipFill>
      <xdr:spPr>
        <a:xfrm>
          <a:off x="238125" y="19610070"/>
          <a:ext cx="1051271" cy="540986"/>
        </a:xfrm>
        <a:prstGeom prst="rect">
          <a:avLst/>
        </a:prstGeom>
      </xdr:spPr>
    </xdr:pic>
    <xdr:clientData/>
  </xdr:twoCellAnchor>
  <xdr:twoCellAnchor editAs="oneCell">
    <xdr:from>
      <xdr:col>1</xdr:col>
      <xdr:colOff>102870</xdr:colOff>
      <xdr:row>50</xdr:row>
      <xdr:rowOff>53626</xdr:rowOff>
    </xdr:from>
    <xdr:to>
      <xdr:col>2</xdr:col>
      <xdr:colOff>457200</xdr:colOff>
      <xdr:row>51</xdr:row>
      <xdr:rowOff>245745</xdr:rowOff>
    </xdr:to>
    <xdr:pic>
      <xdr:nvPicPr>
        <xdr:cNvPr id="73" name="Imagem 72">
          <a:extLst>
            <a:ext uri="{FF2B5EF4-FFF2-40B4-BE49-F238E27FC236}">
              <a16:creationId xmlns:a16="http://schemas.microsoft.com/office/drawing/2014/main" id="{00000000-0008-0000-1400-000049000000}"/>
            </a:ext>
          </a:extLst>
        </xdr:cNvPr>
        <xdr:cNvPicPr>
          <a:picLocks noChangeAspect="1"/>
        </xdr:cNvPicPr>
      </xdr:nvPicPr>
      <xdr:blipFill>
        <a:blip xmlns:r="http://schemas.openxmlformats.org/officeDocument/2006/relationships" r:embed="rId26"/>
        <a:stretch>
          <a:fillRect/>
        </a:stretch>
      </xdr:blipFill>
      <xdr:spPr>
        <a:xfrm>
          <a:off x="255270" y="20275201"/>
          <a:ext cx="935355" cy="477869"/>
        </a:xfrm>
        <a:prstGeom prst="rect">
          <a:avLst/>
        </a:prstGeom>
      </xdr:spPr>
    </xdr:pic>
    <xdr:clientData/>
  </xdr:twoCellAnchor>
  <xdr:twoCellAnchor editAs="oneCell">
    <xdr:from>
      <xdr:col>1</xdr:col>
      <xdr:colOff>133350</xdr:colOff>
      <xdr:row>52</xdr:row>
      <xdr:rowOff>66562</xdr:rowOff>
    </xdr:from>
    <xdr:to>
      <xdr:col>2</xdr:col>
      <xdr:colOff>504825</xdr:colOff>
      <xdr:row>52</xdr:row>
      <xdr:rowOff>478212</xdr:rowOff>
    </xdr:to>
    <xdr:pic>
      <xdr:nvPicPr>
        <xdr:cNvPr id="74" name="Imagem 73">
          <a:extLst>
            <a:ext uri="{FF2B5EF4-FFF2-40B4-BE49-F238E27FC236}">
              <a16:creationId xmlns:a16="http://schemas.microsoft.com/office/drawing/2014/main" id="{00000000-0008-0000-1400-00004A000000}"/>
            </a:ext>
          </a:extLst>
        </xdr:cNvPr>
        <xdr:cNvPicPr>
          <a:picLocks noChangeAspect="1"/>
        </xdr:cNvPicPr>
      </xdr:nvPicPr>
      <xdr:blipFill>
        <a:blip xmlns:r="http://schemas.openxmlformats.org/officeDocument/2006/relationships" r:embed="rId27"/>
        <a:stretch>
          <a:fillRect/>
        </a:stretch>
      </xdr:blipFill>
      <xdr:spPr>
        <a:xfrm>
          <a:off x="285750" y="20897737"/>
          <a:ext cx="952500" cy="411650"/>
        </a:xfrm>
        <a:prstGeom prst="rect">
          <a:avLst/>
        </a:prstGeom>
      </xdr:spPr>
    </xdr:pic>
    <xdr:clientData/>
  </xdr:twoCellAnchor>
  <xdr:twoCellAnchor editAs="oneCell">
    <xdr:from>
      <xdr:col>1</xdr:col>
      <xdr:colOff>57150</xdr:colOff>
      <xdr:row>53</xdr:row>
      <xdr:rowOff>85724</xdr:rowOff>
    </xdr:from>
    <xdr:to>
      <xdr:col>2</xdr:col>
      <xdr:colOff>530824</xdr:colOff>
      <xdr:row>54</xdr:row>
      <xdr:rowOff>168614</xdr:rowOff>
    </xdr:to>
    <xdr:pic>
      <xdr:nvPicPr>
        <xdr:cNvPr id="75" name="Imagem 74">
          <a:extLst>
            <a:ext uri="{FF2B5EF4-FFF2-40B4-BE49-F238E27FC236}">
              <a16:creationId xmlns:a16="http://schemas.microsoft.com/office/drawing/2014/main" id="{00000000-0008-0000-1400-00004B000000}"/>
            </a:ext>
          </a:extLst>
        </xdr:cNvPr>
        <xdr:cNvPicPr>
          <a:picLocks noChangeAspect="1"/>
        </xdr:cNvPicPr>
      </xdr:nvPicPr>
      <xdr:blipFill>
        <a:blip xmlns:r="http://schemas.openxmlformats.org/officeDocument/2006/relationships" r:embed="rId28"/>
        <a:stretch>
          <a:fillRect/>
        </a:stretch>
      </xdr:blipFill>
      <xdr:spPr>
        <a:xfrm>
          <a:off x="209550" y="28603574"/>
          <a:ext cx="1054699" cy="362925"/>
        </a:xfrm>
        <a:prstGeom prst="rect">
          <a:avLst/>
        </a:prstGeom>
      </xdr:spPr>
    </xdr:pic>
    <xdr:clientData/>
  </xdr:twoCellAnchor>
  <xdr:twoCellAnchor editAs="oneCell">
    <xdr:from>
      <xdr:col>1</xdr:col>
      <xdr:colOff>43815</xdr:colOff>
      <xdr:row>55</xdr:row>
      <xdr:rowOff>131445</xdr:rowOff>
    </xdr:from>
    <xdr:to>
      <xdr:col>2</xdr:col>
      <xdr:colOff>530824</xdr:colOff>
      <xdr:row>56</xdr:row>
      <xdr:rowOff>171450</xdr:rowOff>
    </xdr:to>
    <xdr:pic>
      <xdr:nvPicPr>
        <xdr:cNvPr id="76" name="Imagem 75">
          <a:extLst>
            <a:ext uri="{FF2B5EF4-FFF2-40B4-BE49-F238E27FC236}">
              <a16:creationId xmlns:a16="http://schemas.microsoft.com/office/drawing/2014/main" id="{00000000-0008-0000-1400-00004C000000}"/>
            </a:ext>
          </a:extLst>
        </xdr:cNvPr>
        <xdr:cNvPicPr>
          <a:picLocks noChangeAspect="1"/>
        </xdr:cNvPicPr>
      </xdr:nvPicPr>
      <xdr:blipFill>
        <a:blip xmlns:r="http://schemas.openxmlformats.org/officeDocument/2006/relationships" r:embed="rId29"/>
        <a:stretch>
          <a:fillRect/>
        </a:stretch>
      </xdr:blipFill>
      <xdr:spPr>
        <a:xfrm>
          <a:off x="203835" y="24431625"/>
          <a:ext cx="1081369" cy="348615"/>
        </a:xfrm>
        <a:prstGeom prst="rect">
          <a:avLst/>
        </a:prstGeom>
      </xdr:spPr>
    </xdr:pic>
    <xdr:clientData/>
  </xdr:twoCellAnchor>
  <xdr:twoCellAnchor editAs="oneCell">
    <xdr:from>
      <xdr:col>1</xdr:col>
      <xdr:colOff>57150</xdr:colOff>
      <xdr:row>57</xdr:row>
      <xdr:rowOff>66675</xdr:rowOff>
    </xdr:from>
    <xdr:to>
      <xdr:col>2</xdr:col>
      <xdr:colOff>513298</xdr:colOff>
      <xdr:row>58</xdr:row>
      <xdr:rowOff>207645</xdr:rowOff>
    </xdr:to>
    <xdr:pic>
      <xdr:nvPicPr>
        <xdr:cNvPr id="77" name="Imagem 76">
          <a:extLst>
            <a:ext uri="{FF2B5EF4-FFF2-40B4-BE49-F238E27FC236}">
              <a16:creationId xmlns:a16="http://schemas.microsoft.com/office/drawing/2014/main" id="{00000000-0008-0000-1400-00004D000000}"/>
            </a:ext>
          </a:extLst>
        </xdr:cNvPr>
        <xdr:cNvPicPr>
          <a:picLocks noChangeAspect="1"/>
        </xdr:cNvPicPr>
      </xdr:nvPicPr>
      <xdr:blipFill>
        <a:blip xmlns:r="http://schemas.openxmlformats.org/officeDocument/2006/relationships" r:embed="rId30"/>
        <a:stretch>
          <a:fillRect/>
        </a:stretch>
      </xdr:blipFill>
      <xdr:spPr>
        <a:xfrm>
          <a:off x="209550" y="30099000"/>
          <a:ext cx="1048603" cy="476250"/>
        </a:xfrm>
        <a:prstGeom prst="rect">
          <a:avLst/>
        </a:prstGeom>
      </xdr:spPr>
    </xdr:pic>
    <xdr:clientData/>
  </xdr:twoCellAnchor>
  <xdr:twoCellAnchor editAs="oneCell">
    <xdr:from>
      <xdr:col>1</xdr:col>
      <xdr:colOff>62865</xdr:colOff>
      <xdr:row>59</xdr:row>
      <xdr:rowOff>148590</xdr:rowOff>
    </xdr:from>
    <xdr:to>
      <xdr:col>2</xdr:col>
      <xdr:colOff>528919</xdr:colOff>
      <xdr:row>60</xdr:row>
      <xdr:rowOff>223692</xdr:rowOff>
    </xdr:to>
    <xdr:pic>
      <xdr:nvPicPr>
        <xdr:cNvPr id="80" name="Imagem 79">
          <a:extLst>
            <a:ext uri="{FF2B5EF4-FFF2-40B4-BE49-F238E27FC236}">
              <a16:creationId xmlns:a16="http://schemas.microsoft.com/office/drawing/2014/main" id="{00000000-0008-0000-1400-000050000000}"/>
            </a:ext>
          </a:extLst>
        </xdr:cNvPr>
        <xdr:cNvPicPr>
          <a:picLocks noChangeAspect="1"/>
        </xdr:cNvPicPr>
      </xdr:nvPicPr>
      <xdr:blipFill>
        <a:blip xmlns:r="http://schemas.openxmlformats.org/officeDocument/2006/relationships" r:embed="rId31"/>
        <a:stretch>
          <a:fillRect/>
        </a:stretch>
      </xdr:blipFill>
      <xdr:spPr>
        <a:xfrm>
          <a:off x="222885" y="25698450"/>
          <a:ext cx="1060414" cy="456102"/>
        </a:xfrm>
        <a:prstGeom prst="rect">
          <a:avLst/>
        </a:prstGeom>
      </xdr:spPr>
    </xdr:pic>
    <xdr:clientData/>
  </xdr:twoCellAnchor>
  <xdr:twoCellAnchor editAs="oneCell">
    <xdr:from>
      <xdr:col>1</xdr:col>
      <xdr:colOff>24765</xdr:colOff>
      <xdr:row>61</xdr:row>
      <xdr:rowOff>81915</xdr:rowOff>
    </xdr:from>
    <xdr:to>
      <xdr:col>2</xdr:col>
      <xdr:colOff>494629</xdr:colOff>
      <xdr:row>61</xdr:row>
      <xdr:rowOff>531495</xdr:rowOff>
    </xdr:to>
    <xdr:pic>
      <xdr:nvPicPr>
        <xdr:cNvPr id="81" name="Imagem 80">
          <a:extLst>
            <a:ext uri="{FF2B5EF4-FFF2-40B4-BE49-F238E27FC236}">
              <a16:creationId xmlns:a16="http://schemas.microsoft.com/office/drawing/2014/main" id="{00000000-0008-0000-1400-000051000000}"/>
            </a:ext>
          </a:extLst>
        </xdr:cNvPr>
        <xdr:cNvPicPr>
          <a:picLocks noChangeAspect="1"/>
        </xdr:cNvPicPr>
      </xdr:nvPicPr>
      <xdr:blipFill>
        <a:blip xmlns:r="http://schemas.openxmlformats.org/officeDocument/2006/relationships" r:embed="rId32"/>
        <a:stretch>
          <a:fillRect/>
        </a:stretch>
      </xdr:blipFill>
      <xdr:spPr>
        <a:xfrm>
          <a:off x="177165" y="24075390"/>
          <a:ext cx="1050889" cy="449580"/>
        </a:xfrm>
        <a:prstGeom prst="rect">
          <a:avLst/>
        </a:prstGeom>
      </xdr:spPr>
    </xdr:pic>
    <xdr:clientData/>
  </xdr:twoCellAnchor>
  <xdr:twoCellAnchor editAs="oneCell">
    <xdr:from>
      <xdr:col>1</xdr:col>
      <xdr:colOff>66675</xdr:colOff>
      <xdr:row>62</xdr:row>
      <xdr:rowOff>66674</xdr:rowOff>
    </xdr:from>
    <xdr:to>
      <xdr:col>2</xdr:col>
      <xdr:colOff>522823</xdr:colOff>
      <xdr:row>62</xdr:row>
      <xdr:rowOff>582929</xdr:rowOff>
    </xdr:to>
    <xdr:pic>
      <xdr:nvPicPr>
        <xdr:cNvPr id="82" name="Imagem 81">
          <a:extLst>
            <a:ext uri="{FF2B5EF4-FFF2-40B4-BE49-F238E27FC236}">
              <a16:creationId xmlns:a16="http://schemas.microsoft.com/office/drawing/2014/main" id="{00000000-0008-0000-1400-000052000000}"/>
            </a:ext>
          </a:extLst>
        </xdr:cNvPr>
        <xdr:cNvPicPr>
          <a:picLocks noChangeAspect="1"/>
        </xdr:cNvPicPr>
      </xdr:nvPicPr>
      <xdr:blipFill>
        <a:blip xmlns:r="http://schemas.openxmlformats.org/officeDocument/2006/relationships" r:embed="rId33"/>
        <a:stretch>
          <a:fillRect/>
        </a:stretch>
      </xdr:blipFill>
      <xdr:spPr>
        <a:xfrm>
          <a:off x="219075" y="24660224"/>
          <a:ext cx="1037173" cy="516255"/>
        </a:xfrm>
        <a:prstGeom prst="rect">
          <a:avLst/>
        </a:prstGeom>
      </xdr:spPr>
    </xdr:pic>
    <xdr:clientData/>
  </xdr:twoCellAnchor>
  <xdr:twoCellAnchor editAs="oneCell">
    <xdr:from>
      <xdr:col>1</xdr:col>
      <xdr:colOff>129501</xdr:colOff>
      <xdr:row>63</xdr:row>
      <xdr:rowOff>104260</xdr:rowOff>
    </xdr:from>
    <xdr:to>
      <xdr:col>2</xdr:col>
      <xdr:colOff>482388</xdr:colOff>
      <xdr:row>64</xdr:row>
      <xdr:rowOff>438150</xdr:rowOff>
    </xdr:to>
    <xdr:pic>
      <xdr:nvPicPr>
        <xdr:cNvPr id="83" name="Imagem 82">
          <a:extLst>
            <a:ext uri="{FF2B5EF4-FFF2-40B4-BE49-F238E27FC236}">
              <a16:creationId xmlns:a16="http://schemas.microsoft.com/office/drawing/2014/main" id="{00000000-0008-0000-1400-000053000000}"/>
            </a:ext>
          </a:extLst>
        </xdr:cNvPr>
        <xdr:cNvPicPr>
          <a:picLocks noChangeAspect="1"/>
        </xdr:cNvPicPr>
      </xdr:nvPicPr>
      <xdr:blipFill>
        <a:blip xmlns:r="http://schemas.openxmlformats.org/officeDocument/2006/relationships" r:embed="rId34"/>
        <a:stretch>
          <a:fillRect/>
        </a:stretch>
      </xdr:blipFill>
      <xdr:spPr>
        <a:xfrm>
          <a:off x="281901" y="25374085"/>
          <a:ext cx="933912" cy="867290"/>
        </a:xfrm>
        <a:prstGeom prst="rect">
          <a:avLst/>
        </a:prstGeom>
      </xdr:spPr>
    </xdr:pic>
    <xdr:clientData/>
  </xdr:twoCellAnchor>
  <xdr:twoCellAnchor editAs="oneCell">
    <xdr:from>
      <xdr:col>1</xdr:col>
      <xdr:colOff>66675</xdr:colOff>
      <xdr:row>65</xdr:row>
      <xdr:rowOff>93345</xdr:rowOff>
    </xdr:from>
    <xdr:to>
      <xdr:col>2</xdr:col>
      <xdr:colOff>532729</xdr:colOff>
      <xdr:row>65</xdr:row>
      <xdr:rowOff>588645</xdr:rowOff>
    </xdr:to>
    <xdr:pic>
      <xdr:nvPicPr>
        <xdr:cNvPr id="85" name="Imagem 84">
          <a:extLst>
            <a:ext uri="{FF2B5EF4-FFF2-40B4-BE49-F238E27FC236}">
              <a16:creationId xmlns:a16="http://schemas.microsoft.com/office/drawing/2014/main" id="{00000000-0008-0000-1400-000055000000}"/>
            </a:ext>
          </a:extLst>
        </xdr:cNvPr>
        <xdr:cNvPicPr>
          <a:picLocks noChangeAspect="1"/>
        </xdr:cNvPicPr>
      </xdr:nvPicPr>
      <xdr:blipFill>
        <a:blip xmlns:r="http://schemas.openxmlformats.org/officeDocument/2006/relationships" r:embed="rId35"/>
        <a:stretch>
          <a:fillRect/>
        </a:stretch>
      </xdr:blipFill>
      <xdr:spPr>
        <a:xfrm>
          <a:off x="219075" y="26429970"/>
          <a:ext cx="1047079" cy="495300"/>
        </a:xfrm>
        <a:prstGeom prst="rect">
          <a:avLst/>
        </a:prstGeom>
      </xdr:spPr>
    </xdr:pic>
    <xdr:clientData/>
  </xdr:twoCellAnchor>
  <xdr:twoCellAnchor editAs="oneCell">
    <xdr:from>
      <xdr:col>1</xdr:col>
      <xdr:colOff>28575</xdr:colOff>
      <xdr:row>66</xdr:row>
      <xdr:rowOff>47625</xdr:rowOff>
    </xdr:from>
    <xdr:to>
      <xdr:col>2</xdr:col>
      <xdr:colOff>502249</xdr:colOff>
      <xdr:row>66</xdr:row>
      <xdr:rowOff>457200</xdr:rowOff>
    </xdr:to>
    <xdr:pic>
      <xdr:nvPicPr>
        <xdr:cNvPr id="86" name="Imagem 85">
          <a:extLst>
            <a:ext uri="{FF2B5EF4-FFF2-40B4-BE49-F238E27FC236}">
              <a16:creationId xmlns:a16="http://schemas.microsoft.com/office/drawing/2014/main" id="{00000000-0008-0000-1400-000056000000}"/>
            </a:ext>
          </a:extLst>
        </xdr:cNvPr>
        <xdr:cNvPicPr>
          <a:picLocks noChangeAspect="1"/>
        </xdr:cNvPicPr>
      </xdr:nvPicPr>
      <xdr:blipFill>
        <a:blip xmlns:r="http://schemas.openxmlformats.org/officeDocument/2006/relationships" r:embed="rId36"/>
        <a:stretch>
          <a:fillRect/>
        </a:stretch>
      </xdr:blipFill>
      <xdr:spPr>
        <a:xfrm>
          <a:off x="180975" y="27089100"/>
          <a:ext cx="1054699" cy="409575"/>
        </a:xfrm>
        <a:prstGeom prst="rect">
          <a:avLst/>
        </a:prstGeom>
      </xdr:spPr>
    </xdr:pic>
    <xdr:clientData/>
  </xdr:twoCellAnchor>
  <xdr:twoCellAnchor editAs="oneCell">
    <xdr:from>
      <xdr:col>1</xdr:col>
      <xdr:colOff>76200</xdr:colOff>
      <xdr:row>67</xdr:row>
      <xdr:rowOff>57150</xdr:rowOff>
    </xdr:from>
    <xdr:to>
      <xdr:col>2</xdr:col>
      <xdr:colOff>542254</xdr:colOff>
      <xdr:row>67</xdr:row>
      <xdr:rowOff>491490</xdr:rowOff>
    </xdr:to>
    <xdr:pic>
      <xdr:nvPicPr>
        <xdr:cNvPr id="87" name="Imagem 86">
          <a:extLst>
            <a:ext uri="{FF2B5EF4-FFF2-40B4-BE49-F238E27FC236}">
              <a16:creationId xmlns:a16="http://schemas.microsoft.com/office/drawing/2014/main" id="{00000000-0008-0000-1400-000057000000}"/>
            </a:ext>
          </a:extLst>
        </xdr:cNvPr>
        <xdr:cNvPicPr>
          <a:picLocks noChangeAspect="1"/>
        </xdr:cNvPicPr>
      </xdr:nvPicPr>
      <xdr:blipFill>
        <a:blip xmlns:r="http://schemas.openxmlformats.org/officeDocument/2006/relationships" r:embed="rId37"/>
        <a:stretch>
          <a:fillRect/>
        </a:stretch>
      </xdr:blipFill>
      <xdr:spPr>
        <a:xfrm>
          <a:off x="228600" y="27593925"/>
          <a:ext cx="1047079" cy="434340"/>
        </a:xfrm>
        <a:prstGeom prst="rect">
          <a:avLst/>
        </a:prstGeom>
      </xdr:spPr>
    </xdr:pic>
    <xdr:clientData/>
  </xdr:twoCellAnchor>
  <xdr:twoCellAnchor editAs="oneCell">
    <xdr:from>
      <xdr:col>1</xdr:col>
      <xdr:colOff>0</xdr:colOff>
      <xdr:row>1</xdr:row>
      <xdr:rowOff>0</xdr:rowOff>
    </xdr:from>
    <xdr:to>
      <xdr:col>4</xdr:col>
      <xdr:colOff>517845</xdr:colOff>
      <xdr:row>5</xdr:row>
      <xdr:rowOff>20602</xdr:rowOff>
    </xdr:to>
    <xdr:pic>
      <xdr:nvPicPr>
        <xdr:cNvPr id="47" name="Picture 1">
          <a:extLst>
            <a:ext uri="{FF2B5EF4-FFF2-40B4-BE49-F238E27FC236}">
              <a16:creationId xmlns:a16="http://schemas.microsoft.com/office/drawing/2014/main" id="{00000000-0008-0000-1400-00002F000000}"/>
            </a:ext>
          </a:extLst>
        </xdr:cNvPr>
        <xdr:cNvPicPr>
          <a:picLocks noChangeAspect="1"/>
        </xdr:cNvPicPr>
      </xdr:nvPicPr>
      <xdr:blipFill>
        <a:blip xmlns:r="http://schemas.openxmlformats.org/officeDocument/2006/relationships" r:embed="rId38"/>
        <a:stretch>
          <a:fillRect/>
        </a:stretch>
      </xdr:blipFill>
      <xdr:spPr>
        <a:xfrm rot="5400000">
          <a:off x="987761" y="-625811"/>
          <a:ext cx="792127" cy="2520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14</xdr:col>
      <xdr:colOff>323850</xdr:colOff>
      <xdr:row>2</xdr:row>
      <xdr:rowOff>123825</xdr:rowOff>
    </xdr:from>
    <xdr:to>
      <xdr:col>14</xdr:col>
      <xdr:colOff>323850</xdr:colOff>
      <xdr:row>5</xdr:row>
      <xdr:rowOff>142875</xdr:rowOff>
    </xdr:to>
    <xdr:cxnSp macro="">
      <xdr:nvCxnSpPr>
        <xdr:cNvPr id="2" name="Straight Arrow Connector 1">
          <a:extLst>
            <a:ext uri="{FF2B5EF4-FFF2-40B4-BE49-F238E27FC236}">
              <a16:creationId xmlns:a16="http://schemas.microsoft.com/office/drawing/2014/main" id="{00000000-0008-0000-1500-000002000000}"/>
            </a:ext>
          </a:extLst>
        </xdr:cNvPr>
        <xdr:cNvCxnSpPr/>
      </xdr:nvCxnSpPr>
      <xdr:spPr>
        <a:xfrm>
          <a:off x="9153525" y="485775"/>
          <a:ext cx="0" cy="561975"/>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16</xdr:col>
      <xdr:colOff>38100</xdr:colOff>
      <xdr:row>1</xdr:row>
      <xdr:rowOff>9525</xdr:rowOff>
    </xdr:from>
    <xdr:to>
      <xdr:col>17</xdr:col>
      <xdr:colOff>98164</xdr:colOff>
      <xdr:row>5</xdr:row>
      <xdr:rowOff>60009</xdr:rowOff>
    </xdr:to>
    <xdr:pic>
      <xdr:nvPicPr>
        <xdr:cNvPr id="3" name="Picture 42">
          <a:extLst>
            <a:ext uri="{FF2B5EF4-FFF2-40B4-BE49-F238E27FC236}">
              <a16:creationId xmlns:a16="http://schemas.microsoft.com/office/drawing/2014/main" id="{00000000-0008-0000-1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903" t="10485" r="9678" b="10483"/>
        <a:stretch/>
      </xdr:blipFill>
      <xdr:spPr bwMode="auto">
        <a:xfrm>
          <a:off x="9658350" y="190500"/>
          <a:ext cx="777240" cy="783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52667</xdr:colOff>
      <xdr:row>36</xdr:row>
      <xdr:rowOff>77881</xdr:rowOff>
    </xdr:from>
    <xdr:to>
      <xdr:col>2</xdr:col>
      <xdr:colOff>533059</xdr:colOff>
      <xdr:row>37</xdr:row>
      <xdr:rowOff>82237</xdr:rowOff>
    </xdr:to>
    <xdr:pic>
      <xdr:nvPicPr>
        <xdr:cNvPr id="8" name="Imagem 7">
          <a:extLst>
            <a:ext uri="{FF2B5EF4-FFF2-40B4-BE49-F238E27FC236}">
              <a16:creationId xmlns:a16="http://schemas.microsoft.com/office/drawing/2014/main" id="{00000000-0008-0000-1500-000008000000}"/>
            </a:ext>
          </a:extLst>
        </xdr:cNvPr>
        <xdr:cNvPicPr>
          <a:picLocks noChangeAspect="1"/>
        </xdr:cNvPicPr>
      </xdr:nvPicPr>
      <xdr:blipFill>
        <a:blip xmlns:r="http://schemas.openxmlformats.org/officeDocument/2006/relationships" r:embed="rId2"/>
        <a:stretch>
          <a:fillRect/>
        </a:stretch>
      </xdr:blipFill>
      <xdr:spPr>
        <a:xfrm>
          <a:off x="205067" y="6964456"/>
          <a:ext cx="1061417" cy="185331"/>
        </a:xfrm>
        <a:prstGeom prst="rect">
          <a:avLst/>
        </a:prstGeom>
      </xdr:spPr>
    </xdr:pic>
    <xdr:clientData/>
  </xdr:twoCellAnchor>
  <xdr:twoCellAnchor editAs="oneCell">
    <xdr:from>
      <xdr:col>1</xdr:col>
      <xdr:colOff>68916</xdr:colOff>
      <xdr:row>8</xdr:row>
      <xdr:rowOff>89648</xdr:rowOff>
    </xdr:from>
    <xdr:to>
      <xdr:col>2</xdr:col>
      <xdr:colOff>508509</xdr:colOff>
      <xdr:row>9</xdr:row>
      <xdr:rowOff>91660</xdr:rowOff>
    </xdr:to>
    <xdr:pic>
      <xdr:nvPicPr>
        <xdr:cNvPr id="10" name="Imagem 9">
          <a:extLst>
            <a:ext uri="{FF2B5EF4-FFF2-40B4-BE49-F238E27FC236}">
              <a16:creationId xmlns:a16="http://schemas.microsoft.com/office/drawing/2014/main" id="{00000000-0008-0000-1500-00000A000000}"/>
            </a:ext>
          </a:extLst>
        </xdr:cNvPr>
        <xdr:cNvPicPr>
          <a:picLocks noChangeAspect="1"/>
        </xdr:cNvPicPr>
      </xdr:nvPicPr>
      <xdr:blipFill>
        <a:blip xmlns:r="http://schemas.openxmlformats.org/officeDocument/2006/relationships" r:embed="rId3"/>
        <a:stretch>
          <a:fillRect/>
        </a:stretch>
      </xdr:blipFill>
      <xdr:spPr>
        <a:xfrm>
          <a:off x="221316" y="1880348"/>
          <a:ext cx="1020618" cy="182987"/>
        </a:xfrm>
        <a:prstGeom prst="rect">
          <a:avLst/>
        </a:prstGeom>
      </xdr:spPr>
    </xdr:pic>
    <xdr:clientData/>
  </xdr:twoCellAnchor>
  <xdr:twoCellAnchor editAs="oneCell">
    <xdr:from>
      <xdr:col>1</xdr:col>
      <xdr:colOff>0</xdr:colOff>
      <xdr:row>1</xdr:row>
      <xdr:rowOff>0</xdr:rowOff>
    </xdr:from>
    <xdr:to>
      <xdr:col>4</xdr:col>
      <xdr:colOff>517845</xdr:colOff>
      <xdr:row>5</xdr:row>
      <xdr:rowOff>56797</xdr:rowOff>
    </xdr:to>
    <xdr:pic>
      <xdr:nvPicPr>
        <xdr:cNvPr id="9" name="Picture 1">
          <a:extLst>
            <a:ext uri="{FF2B5EF4-FFF2-40B4-BE49-F238E27FC236}">
              <a16:creationId xmlns:a16="http://schemas.microsoft.com/office/drawing/2014/main" id="{00000000-0008-0000-1500-000009000000}"/>
            </a:ext>
          </a:extLst>
        </xdr:cNvPr>
        <xdr:cNvPicPr>
          <a:picLocks noChangeAspect="1"/>
        </xdr:cNvPicPr>
      </xdr:nvPicPr>
      <xdr:blipFill>
        <a:blip xmlns:r="http://schemas.openxmlformats.org/officeDocument/2006/relationships" r:embed="rId4"/>
        <a:stretch>
          <a:fillRect/>
        </a:stretch>
      </xdr:blipFill>
      <xdr:spPr>
        <a:xfrm rot="5400000">
          <a:off x="987761" y="-625811"/>
          <a:ext cx="792127" cy="2520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323850</xdr:colOff>
      <xdr:row>2</xdr:row>
      <xdr:rowOff>123825</xdr:rowOff>
    </xdr:from>
    <xdr:to>
      <xdr:col>10</xdr:col>
      <xdr:colOff>323850</xdr:colOff>
      <xdr:row>5</xdr:row>
      <xdr:rowOff>142875</xdr:rowOff>
    </xdr:to>
    <xdr:cxnSp macro="">
      <xdr:nvCxnSpPr>
        <xdr:cNvPr id="2" name="Straight Arrow Connector 1">
          <a:extLst>
            <a:ext uri="{FF2B5EF4-FFF2-40B4-BE49-F238E27FC236}">
              <a16:creationId xmlns:a16="http://schemas.microsoft.com/office/drawing/2014/main" id="{00000000-0008-0000-1600-000002000000}"/>
            </a:ext>
          </a:extLst>
        </xdr:cNvPr>
        <xdr:cNvCxnSpPr/>
      </xdr:nvCxnSpPr>
      <xdr:spPr>
        <a:xfrm>
          <a:off x="9153525" y="485775"/>
          <a:ext cx="0" cy="561975"/>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38100</xdr:colOff>
      <xdr:row>1</xdr:row>
      <xdr:rowOff>9525</xdr:rowOff>
    </xdr:from>
    <xdr:to>
      <xdr:col>13</xdr:col>
      <xdr:colOff>93345</xdr:colOff>
      <xdr:row>5</xdr:row>
      <xdr:rowOff>60009</xdr:rowOff>
    </xdr:to>
    <xdr:pic>
      <xdr:nvPicPr>
        <xdr:cNvPr id="3" name="Picture 42">
          <a:extLst>
            <a:ext uri="{FF2B5EF4-FFF2-40B4-BE49-F238E27FC236}">
              <a16:creationId xmlns:a16="http://schemas.microsoft.com/office/drawing/2014/main" id="{00000000-0008-0000-16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903" t="10485" r="9678" b="10483"/>
        <a:stretch/>
      </xdr:blipFill>
      <xdr:spPr bwMode="auto">
        <a:xfrm>
          <a:off x="9658350" y="190500"/>
          <a:ext cx="777240" cy="783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56030</xdr:colOff>
      <xdr:row>8</xdr:row>
      <xdr:rowOff>121024</xdr:rowOff>
    </xdr:from>
    <xdr:to>
      <xdr:col>2</xdr:col>
      <xdr:colOff>513411</xdr:colOff>
      <xdr:row>8</xdr:row>
      <xdr:rowOff>800100</xdr:rowOff>
    </xdr:to>
    <xdr:pic>
      <xdr:nvPicPr>
        <xdr:cNvPr id="28" name="Imagem 27">
          <a:extLst>
            <a:ext uri="{FF2B5EF4-FFF2-40B4-BE49-F238E27FC236}">
              <a16:creationId xmlns:a16="http://schemas.microsoft.com/office/drawing/2014/main" id="{00000000-0008-0000-1600-00001C000000}"/>
            </a:ext>
          </a:extLst>
        </xdr:cNvPr>
        <xdr:cNvPicPr>
          <a:picLocks noChangeAspect="1"/>
        </xdr:cNvPicPr>
      </xdr:nvPicPr>
      <xdr:blipFill>
        <a:blip xmlns:r="http://schemas.openxmlformats.org/officeDocument/2006/relationships" r:embed="rId2"/>
        <a:stretch>
          <a:fillRect/>
        </a:stretch>
      </xdr:blipFill>
      <xdr:spPr>
        <a:xfrm>
          <a:off x="208430" y="1864099"/>
          <a:ext cx="1038406" cy="679076"/>
        </a:xfrm>
        <a:prstGeom prst="rect">
          <a:avLst/>
        </a:prstGeom>
      </xdr:spPr>
    </xdr:pic>
    <xdr:clientData/>
  </xdr:twoCellAnchor>
  <xdr:twoCellAnchor editAs="oneCell">
    <xdr:from>
      <xdr:col>1</xdr:col>
      <xdr:colOff>228596</xdr:colOff>
      <xdr:row>9</xdr:row>
      <xdr:rowOff>130549</xdr:rowOff>
    </xdr:from>
    <xdr:to>
      <xdr:col>2</xdr:col>
      <xdr:colOff>365564</xdr:colOff>
      <xdr:row>9</xdr:row>
      <xdr:rowOff>824865</xdr:rowOff>
    </xdr:to>
    <xdr:pic>
      <xdr:nvPicPr>
        <xdr:cNvPr id="29" name="Imagem 28">
          <a:extLst>
            <a:ext uri="{FF2B5EF4-FFF2-40B4-BE49-F238E27FC236}">
              <a16:creationId xmlns:a16="http://schemas.microsoft.com/office/drawing/2014/main" id="{00000000-0008-0000-1600-00001D000000}"/>
            </a:ext>
          </a:extLst>
        </xdr:cNvPr>
        <xdr:cNvPicPr>
          <a:picLocks noChangeAspect="1"/>
        </xdr:cNvPicPr>
      </xdr:nvPicPr>
      <xdr:blipFill>
        <a:blip xmlns:r="http://schemas.openxmlformats.org/officeDocument/2006/relationships" r:embed="rId3"/>
        <a:stretch>
          <a:fillRect/>
        </a:stretch>
      </xdr:blipFill>
      <xdr:spPr>
        <a:xfrm>
          <a:off x="380996" y="2759449"/>
          <a:ext cx="717993" cy="694316"/>
        </a:xfrm>
        <a:prstGeom prst="rect">
          <a:avLst/>
        </a:prstGeom>
      </xdr:spPr>
    </xdr:pic>
    <xdr:clientData/>
  </xdr:twoCellAnchor>
  <xdr:twoCellAnchor editAs="oneCell">
    <xdr:from>
      <xdr:col>1</xdr:col>
      <xdr:colOff>56030</xdr:colOff>
      <xdr:row>10</xdr:row>
      <xdr:rowOff>68917</xdr:rowOff>
    </xdr:from>
    <xdr:to>
      <xdr:col>2</xdr:col>
      <xdr:colOff>513411</xdr:colOff>
      <xdr:row>10</xdr:row>
      <xdr:rowOff>465954</xdr:rowOff>
    </xdr:to>
    <xdr:pic>
      <xdr:nvPicPr>
        <xdr:cNvPr id="33" name="Imagem 32">
          <a:extLst>
            <a:ext uri="{FF2B5EF4-FFF2-40B4-BE49-F238E27FC236}">
              <a16:creationId xmlns:a16="http://schemas.microsoft.com/office/drawing/2014/main" id="{00000000-0008-0000-1600-000021000000}"/>
            </a:ext>
          </a:extLst>
        </xdr:cNvPr>
        <xdr:cNvPicPr>
          <a:picLocks noChangeAspect="1"/>
        </xdr:cNvPicPr>
      </xdr:nvPicPr>
      <xdr:blipFill>
        <a:blip xmlns:r="http://schemas.openxmlformats.org/officeDocument/2006/relationships" r:embed="rId4"/>
        <a:stretch>
          <a:fillRect/>
        </a:stretch>
      </xdr:blipFill>
      <xdr:spPr>
        <a:xfrm>
          <a:off x="208430" y="3583642"/>
          <a:ext cx="1038406" cy="397037"/>
        </a:xfrm>
        <a:prstGeom prst="rect">
          <a:avLst/>
        </a:prstGeom>
      </xdr:spPr>
    </xdr:pic>
    <xdr:clientData/>
  </xdr:twoCellAnchor>
  <xdr:twoCellAnchor editAs="oneCell">
    <xdr:from>
      <xdr:col>1</xdr:col>
      <xdr:colOff>44824</xdr:colOff>
      <xdr:row>11</xdr:row>
      <xdr:rowOff>78442</xdr:rowOff>
    </xdr:from>
    <xdr:to>
      <xdr:col>2</xdr:col>
      <xdr:colOff>517445</xdr:colOff>
      <xdr:row>11</xdr:row>
      <xdr:rowOff>358501</xdr:rowOff>
    </xdr:to>
    <xdr:pic>
      <xdr:nvPicPr>
        <xdr:cNvPr id="34" name="Imagem 33">
          <a:extLst>
            <a:ext uri="{FF2B5EF4-FFF2-40B4-BE49-F238E27FC236}">
              <a16:creationId xmlns:a16="http://schemas.microsoft.com/office/drawing/2014/main" id="{00000000-0008-0000-1600-000022000000}"/>
            </a:ext>
          </a:extLst>
        </xdr:cNvPr>
        <xdr:cNvPicPr>
          <a:picLocks noChangeAspect="1"/>
        </xdr:cNvPicPr>
      </xdr:nvPicPr>
      <xdr:blipFill>
        <a:blip xmlns:r="http://schemas.openxmlformats.org/officeDocument/2006/relationships" r:embed="rId5"/>
        <a:stretch>
          <a:fillRect/>
        </a:stretch>
      </xdr:blipFill>
      <xdr:spPr>
        <a:xfrm>
          <a:off x="197224" y="4136092"/>
          <a:ext cx="1053646" cy="280059"/>
        </a:xfrm>
        <a:prstGeom prst="rect">
          <a:avLst/>
        </a:prstGeom>
      </xdr:spPr>
    </xdr:pic>
    <xdr:clientData/>
  </xdr:twoCellAnchor>
  <xdr:twoCellAnchor editAs="oneCell">
    <xdr:from>
      <xdr:col>1</xdr:col>
      <xdr:colOff>73399</xdr:colOff>
      <xdr:row>12</xdr:row>
      <xdr:rowOff>89648</xdr:rowOff>
    </xdr:from>
    <xdr:to>
      <xdr:col>2</xdr:col>
      <xdr:colOff>546020</xdr:colOff>
      <xdr:row>12</xdr:row>
      <xdr:rowOff>324363</xdr:rowOff>
    </xdr:to>
    <xdr:pic>
      <xdr:nvPicPr>
        <xdr:cNvPr id="37" name="Imagem 36">
          <a:extLst>
            <a:ext uri="{FF2B5EF4-FFF2-40B4-BE49-F238E27FC236}">
              <a16:creationId xmlns:a16="http://schemas.microsoft.com/office/drawing/2014/main" id="{00000000-0008-0000-1600-000025000000}"/>
            </a:ext>
          </a:extLst>
        </xdr:cNvPr>
        <xdr:cNvPicPr>
          <a:picLocks noChangeAspect="1"/>
        </xdr:cNvPicPr>
      </xdr:nvPicPr>
      <xdr:blipFill>
        <a:blip xmlns:r="http://schemas.openxmlformats.org/officeDocument/2006/relationships" r:embed="rId6"/>
        <a:stretch>
          <a:fillRect/>
        </a:stretch>
      </xdr:blipFill>
      <xdr:spPr>
        <a:xfrm>
          <a:off x="225799" y="4566398"/>
          <a:ext cx="1053646" cy="234715"/>
        </a:xfrm>
        <a:prstGeom prst="rect">
          <a:avLst/>
        </a:prstGeom>
      </xdr:spPr>
    </xdr:pic>
    <xdr:clientData/>
  </xdr:twoCellAnchor>
  <xdr:twoCellAnchor editAs="oneCell">
    <xdr:from>
      <xdr:col>1</xdr:col>
      <xdr:colOff>56030</xdr:colOff>
      <xdr:row>13</xdr:row>
      <xdr:rowOff>128868</xdr:rowOff>
    </xdr:from>
    <xdr:to>
      <xdr:col>2</xdr:col>
      <xdr:colOff>534747</xdr:colOff>
      <xdr:row>13</xdr:row>
      <xdr:rowOff>819150</xdr:rowOff>
    </xdr:to>
    <xdr:pic>
      <xdr:nvPicPr>
        <xdr:cNvPr id="39" name="Imagem 38">
          <a:extLst>
            <a:ext uri="{FF2B5EF4-FFF2-40B4-BE49-F238E27FC236}">
              <a16:creationId xmlns:a16="http://schemas.microsoft.com/office/drawing/2014/main" id="{00000000-0008-0000-1600-000027000000}"/>
            </a:ext>
          </a:extLst>
        </xdr:cNvPr>
        <xdr:cNvPicPr>
          <a:picLocks noChangeAspect="1"/>
        </xdr:cNvPicPr>
      </xdr:nvPicPr>
      <xdr:blipFill>
        <a:blip xmlns:r="http://schemas.openxmlformats.org/officeDocument/2006/relationships" r:embed="rId7"/>
        <a:stretch>
          <a:fillRect/>
        </a:stretch>
      </xdr:blipFill>
      <xdr:spPr>
        <a:xfrm>
          <a:off x="208430" y="4996143"/>
          <a:ext cx="1059742" cy="690282"/>
        </a:xfrm>
        <a:prstGeom prst="rect">
          <a:avLst/>
        </a:prstGeom>
      </xdr:spPr>
    </xdr:pic>
    <xdr:clientData/>
  </xdr:twoCellAnchor>
  <xdr:twoCellAnchor editAs="oneCell">
    <xdr:from>
      <xdr:col>1</xdr:col>
      <xdr:colOff>131577</xdr:colOff>
      <xdr:row>14</xdr:row>
      <xdr:rowOff>141755</xdr:rowOff>
    </xdr:from>
    <xdr:to>
      <xdr:col>2</xdr:col>
      <xdr:colOff>392896</xdr:colOff>
      <xdr:row>14</xdr:row>
      <xdr:rowOff>752475</xdr:rowOff>
    </xdr:to>
    <xdr:pic>
      <xdr:nvPicPr>
        <xdr:cNvPr id="40" name="Imagem 39">
          <a:extLst>
            <a:ext uri="{FF2B5EF4-FFF2-40B4-BE49-F238E27FC236}">
              <a16:creationId xmlns:a16="http://schemas.microsoft.com/office/drawing/2014/main" id="{00000000-0008-0000-1600-000028000000}"/>
            </a:ext>
          </a:extLst>
        </xdr:cNvPr>
        <xdr:cNvPicPr>
          <a:picLocks noChangeAspect="1"/>
        </xdr:cNvPicPr>
      </xdr:nvPicPr>
      <xdr:blipFill>
        <a:blip xmlns:r="http://schemas.openxmlformats.org/officeDocument/2006/relationships" r:embed="rId8"/>
        <a:stretch>
          <a:fillRect/>
        </a:stretch>
      </xdr:blipFill>
      <xdr:spPr>
        <a:xfrm>
          <a:off x="283977" y="5980580"/>
          <a:ext cx="842344" cy="610720"/>
        </a:xfrm>
        <a:prstGeom prst="rect">
          <a:avLst/>
        </a:prstGeom>
      </xdr:spPr>
    </xdr:pic>
    <xdr:clientData/>
  </xdr:twoCellAnchor>
  <xdr:twoCellAnchor editAs="oneCell">
    <xdr:from>
      <xdr:col>1</xdr:col>
      <xdr:colOff>143833</xdr:colOff>
      <xdr:row>15</xdr:row>
      <xdr:rowOff>132230</xdr:rowOff>
    </xdr:from>
    <xdr:to>
      <xdr:col>2</xdr:col>
      <xdr:colOff>422544</xdr:colOff>
      <xdr:row>15</xdr:row>
      <xdr:rowOff>781050</xdr:rowOff>
    </xdr:to>
    <xdr:pic>
      <xdr:nvPicPr>
        <xdr:cNvPr id="41" name="Imagem 40">
          <a:extLst>
            <a:ext uri="{FF2B5EF4-FFF2-40B4-BE49-F238E27FC236}">
              <a16:creationId xmlns:a16="http://schemas.microsoft.com/office/drawing/2014/main" id="{00000000-0008-0000-1600-000029000000}"/>
            </a:ext>
          </a:extLst>
        </xdr:cNvPr>
        <xdr:cNvPicPr>
          <a:picLocks noChangeAspect="1"/>
        </xdr:cNvPicPr>
      </xdr:nvPicPr>
      <xdr:blipFill>
        <a:blip xmlns:r="http://schemas.openxmlformats.org/officeDocument/2006/relationships" r:embed="rId9"/>
        <a:stretch>
          <a:fillRect/>
        </a:stretch>
      </xdr:blipFill>
      <xdr:spPr>
        <a:xfrm>
          <a:off x="296233" y="6856880"/>
          <a:ext cx="859736" cy="648820"/>
        </a:xfrm>
        <a:prstGeom prst="rect">
          <a:avLst/>
        </a:prstGeom>
      </xdr:spPr>
    </xdr:pic>
    <xdr:clientData/>
  </xdr:twoCellAnchor>
  <xdr:twoCellAnchor editAs="oneCell">
    <xdr:from>
      <xdr:col>1</xdr:col>
      <xdr:colOff>56030</xdr:colOff>
      <xdr:row>16</xdr:row>
      <xdr:rowOff>130548</xdr:rowOff>
    </xdr:from>
    <xdr:to>
      <xdr:col>2</xdr:col>
      <xdr:colOff>534747</xdr:colOff>
      <xdr:row>16</xdr:row>
      <xdr:rowOff>868679</xdr:rowOff>
    </xdr:to>
    <xdr:pic>
      <xdr:nvPicPr>
        <xdr:cNvPr id="42" name="Imagem 41">
          <a:extLst>
            <a:ext uri="{FF2B5EF4-FFF2-40B4-BE49-F238E27FC236}">
              <a16:creationId xmlns:a16="http://schemas.microsoft.com/office/drawing/2014/main" id="{00000000-0008-0000-1600-00002A000000}"/>
            </a:ext>
          </a:extLst>
        </xdr:cNvPr>
        <xdr:cNvPicPr>
          <a:picLocks noChangeAspect="1"/>
        </xdr:cNvPicPr>
      </xdr:nvPicPr>
      <xdr:blipFill>
        <a:blip xmlns:r="http://schemas.openxmlformats.org/officeDocument/2006/relationships" r:embed="rId10"/>
        <a:stretch>
          <a:fillRect/>
        </a:stretch>
      </xdr:blipFill>
      <xdr:spPr>
        <a:xfrm>
          <a:off x="208430" y="7741023"/>
          <a:ext cx="1059742" cy="738131"/>
        </a:xfrm>
        <a:prstGeom prst="rect">
          <a:avLst/>
        </a:prstGeom>
      </xdr:spPr>
    </xdr:pic>
    <xdr:clientData/>
  </xdr:twoCellAnchor>
  <xdr:twoCellAnchor editAs="oneCell">
    <xdr:from>
      <xdr:col>1</xdr:col>
      <xdr:colOff>321612</xdr:colOff>
      <xdr:row>17</xdr:row>
      <xdr:rowOff>100293</xdr:rowOff>
    </xdr:from>
    <xdr:to>
      <xdr:col>2</xdr:col>
      <xdr:colOff>282124</xdr:colOff>
      <xdr:row>17</xdr:row>
      <xdr:rowOff>729615</xdr:rowOff>
    </xdr:to>
    <xdr:pic>
      <xdr:nvPicPr>
        <xdr:cNvPr id="44" name="Imagem 43">
          <a:extLst>
            <a:ext uri="{FF2B5EF4-FFF2-40B4-BE49-F238E27FC236}">
              <a16:creationId xmlns:a16="http://schemas.microsoft.com/office/drawing/2014/main" id="{00000000-0008-0000-1600-00002C000000}"/>
            </a:ext>
          </a:extLst>
        </xdr:cNvPr>
        <xdr:cNvPicPr>
          <a:picLocks noChangeAspect="1"/>
        </xdr:cNvPicPr>
      </xdr:nvPicPr>
      <xdr:blipFill>
        <a:blip xmlns:r="http://schemas.openxmlformats.org/officeDocument/2006/relationships" r:embed="rId11"/>
        <a:stretch>
          <a:fillRect/>
        </a:stretch>
      </xdr:blipFill>
      <xdr:spPr>
        <a:xfrm>
          <a:off x="474012" y="8663268"/>
          <a:ext cx="541537" cy="629322"/>
        </a:xfrm>
        <a:prstGeom prst="rect">
          <a:avLst/>
        </a:prstGeom>
      </xdr:spPr>
    </xdr:pic>
    <xdr:clientData/>
  </xdr:twoCellAnchor>
  <xdr:twoCellAnchor editAs="oneCell">
    <xdr:from>
      <xdr:col>1</xdr:col>
      <xdr:colOff>294718</xdr:colOff>
      <xdr:row>18</xdr:row>
      <xdr:rowOff>128867</xdr:rowOff>
    </xdr:from>
    <xdr:to>
      <xdr:col>2</xdr:col>
      <xdr:colOff>227797</xdr:colOff>
      <xdr:row>18</xdr:row>
      <xdr:rowOff>762760</xdr:rowOff>
    </xdr:to>
    <xdr:pic>
      <xdr:nvPicPr>
        <xdr:cNvPr id="45" name="Imagem 44">
          <a:extLst>
            <a:ext uri="{FF2B5EF4-FFF2-40B4-BE49-F238E27FC236}">
              <a16:creationId xmlns:a16="http://schemas.microsoft.com/office/drawing/2014/main" id="{00000000-0008-0000-1600-00002D000000}"/>
            </a:ext>
          </a:extLst>
        </xdr:cNvPr>
        <xdr:cNvPicPr>
          <a:picLocks noChangeAspect="1"/>
        </xdr:cNvPicPr>
      </xdr:nvPicPr>
      <xdr:blipFill>
        <a:blip xmlns:r="http://schemas.openxmlformats.org/officeDocument/2006/relationships" r:embed="rId12"/>
        <a:stretch>
          <a:fillRect/>
        </a:stretch>
      </xdr:blipFill>
      <xdr:spPr>
        <a:xfrm>
          <a:off x="447118" y="9577667"/>
          <a:ext cx="514104" cy="633893"/>
        </a:xfrm>
        <a:prstGeom prst="rect">
          <a:avLst/>
        </a:prstGeom>
      </xdr:spPr>
    </xdr:pic>
    <xdr:clientData/>
  </xdr:twoCellAnchor>
  <xdr:twoCellAnchor editAs="oneCell">
    <xdr:from>
      <xdr:col>1</xdr:col>
      <xdr:colOff>285193</xdr:colOff>
      <xdr:row>19</xdr:row>
      <xdr:rowOff>132230</xdr:rowOff>
    </xdr:from>
    <xdr:to>
      <xdr:col>2</xdr:col>
      <xdr:colOff>218272</xdr:colOff>
      <xdr:row>19</xdr:row>
      <xdr:rowOff>778894</xdr:rowOff>
    </xdr:to>
    <xdr:pic>
      <xdr:nvPicPr>
        <xdr:cNvPr id="46" name="Imagem 45">
          <a:extLst>
            <a:ext uri="{FF2B5EF4-FFF2-40B4-BE49-F238E27FC236}">
              <a16:creationId xmlns:a16="http://schemas.microsoft.com/office/drawing/2014/main" id="{00000000-0008-0000-1600-00002E000000}"/>
            </a:ext>
          </a:extLst>
        </xdr:cNvPr>
        <xdr:cNvPicPr>
          <a:picLocks noChangeAspect="1"/>
        </xdr:cNvPicPr>
      </xdr:nvPicPr>
      <xdr:blipFill>
        <a:blip xmlns:r="http://schemas.openxmlformats.org/officeDocument/2006/relationships" r:embed="rId13"/>
        <a:stretch>
          <a:fillRect/>
        </a:stretch>
      </xdr:blipFill>
      <xdr:spPr>
        <a:xfrm>
          <a:off x="437593" y="10466855"/>
          <a:ext cx="514104" cy="646664"/>
        </a:xfrm>
        <a:prstGeom prst="rect">
          <a:avLst/>
        </a:prstGeom>
      </xdr:spPr>
    </xdr:pic>
    <xdr:clientData/>
  </xdr:twoCellAnchor>
  <xdr:twoCellAnchor editAs="oneCell">
    <xdr:from>
      <xdr:col>1</xdr:col>
      <xdr:colOff>327775</xdr:colOff>
      <xdr:row>20</xdr:row>
      <xdr:rowOff>138393</xdr:rowOff>
    </xdr:from>
    <xdr:to>
      <xdr:col>2</xdr:col>
      <xdr:colOff>327535</xdr:colOff>
      <xdr:row>20</xdr:row>
      <xdr:rowOff>755928</xdr:rowOff>
    </xdr:to>
    <xdr:pic>
      <xdr:nvPicPr>
        <xdr:cNvPr id="47" name="Imagem 46">
          <a:extLst>
            <a:ext uri="{FF2B5EF4-FFF2-40B4-BE49-F238E27FC236}">
              <a16:creationId xmlns:a16="http://schemas.microsoft.com/office/drawing/2014/main" id="{00000000-0008-0000-1600-00002F000000}"/>
            </a:ext>
          </a:extLst>
        </xdr:cNvPr>
        <xdr:cNvPicPr>
          <a:picLocks noChangeAspect="1"/>
        </xdr:cNvPicPr>
      </xdr:nvPicPr>
      <xdr:blipFill>
        <a:blip xmlns:r="http://schemas.openxmlformats.org/officeDocument/2006/relationships" r:embed="rId14"/>
        <a:stretch>
          <a:fillRect/>
        </a:stretch>
      </xdr:blipFill>
      <xdr:spPr>
        <a:xfrm>
          <a:off x="480175" y="11358843"/>
          <a:ext cx="580785" cy="617535"/>
        </a:xfrm>
        <a:prstGeom prst="rect">
          <a:avLst/>
        </a:prstGeom>
      </xdr:spPr>
    </xdr:pic>
    <xdr:clientData/>
  </xdr:twoCellAnchor>
  <xdr:twoCellAnchor editAs="oneCell">
    <xdr:from>
      <xdr:col>1</xdr:col>
      <xdr:colOff>297519</xdr:colOff>
      <xdr:row>21</xdr:row>
      <xdr:rowOff>136712</xdr:rowOff>
    </xdr:from>
    <xdr:to>
      <xdr:col>2</xdr:col>
      <xdr:colOff>278989</xdr:colOff>
      <xdr:row>21</xdr:row>
      <xdr:rowOff>783020</xdr:rowOff>
    </xdr:to>
    <xdr:pic>
      <xdr:nvPicPr>
        <xdr:cNvPr id="48" name="Imagem 47">
          <a:extLst>
            <a:ext uri="{FF2B5EF4-FFF2-40B4-BE49-F238E27FC236}">
              <a16:creationId xmlns:a16="http://schemas.microsoft.com/office/drawing/2014/main" id="{00000000-0008-0000-1600-000030000000}"/>
            </a:ext>
          </a:extLst>
        </xdr:cNvPr>
        <xdr:cNvPicPr>
          <a:picLocks noChangeAspect="1"/>
        </xdr:cNvPicPr>
      </xdr:nvPicPr>
      <xdr:blipFill>
        <a:blip xmlns:r="http://schemas.openxmlformats.org/officeDocument/2006/relationships" r:embed="rId15"/>
        <a:stretch>
          <a:fillRect/>
        </a:stretch>
      </xdr:blipFill>
      <xdr:spPr>
        <a:xfrm>
          <a:off x="449919" y="12242987"/>
          <a:ext cx="562495" cy="646308"/>
        </a:xfrm>
        <a:prstGeom prst="rect">
          <a:avLst/>
        </a:prstGeom>
      </xdr:spPr>
    </xdr:pic>
    <xdr:clientData/>
  </xdr:twoCellAnchor>
  <xdr:twoCellAnchor editAs="oneCell">
    <xdr:from>
      <xdr:col>1</xdr:col>
      <xdr:colOff>375961</xdr:colOff>
      <xdr:row>22</xdr:row>
      <xdr:rowOff>114861</xdr:rowOff>
    </xdr:from>
    <xdr:to>
      <xdr:col>2</xdr:col>
      <xdr:colOff>238166</xdr:colOff>
      <xdr:row>22</xdr:row>
      <xdr:rowOff>748665</xdr:rowOff>
    </xdr:to>
    <xdr:pic>
      <xdr:nvPicPr>
        <xdr:cNvPr id="51" name="Imagem 50">
          <a:extLst>
            <a:ext uri="{FF2B5EF4-FFF2-40B4-BE49-F238E27FC236}">
              <a16:creationId xmlns:a16="http://schemas.microsoft.com/office/drawing/2014/main" id="{00000000-0008-0000-1600-000033000000}"/>
            </a:ext>
          </a:extLst>
        </xdr:cNvPr>
        <xdr:cNvPicPr>
          <a:picLocks noChangeAspect="1"/>
        </xdr:cNvPicPr>
      </xdr:nvPicPr>
      <xdr:blipFill>
        <a:blip xmlns:r="http://schemas.openxmlformats.org/officeDocument/2006/relationships" r:embed="rId16"/>
        <a:stretch>
          <a:fillRect/>
        </a:stretch>
      </xdr:blipFill>
      <xdr:spPr>
        <a:xfrm>
          <a:off x="528361" y="13106961"/>
          <a:ext cx="443230" cy="633804"/>
        </a:xfrm>
        <a:prstGeom prst="rect">
          <a:avLst/>
        </a:prstGeom>
      </xdr:spPr>
    </xdr:pic>
    <xdr:clientData/>
  </xdr:twoCellAnchor>
  <xdr:twoCellAnchor editAs="oneCell">
    <xdr:from>
      <xdr:col>1</xdr:col>
      <xdr:colOff>363074</xdr:colOff>
      <xdr:row>23</xdr:row>
      <xdr:rowOff>100291</xdr:rowOff>
    </xdr:from>
    <xdr:to>
      <xdr:col>2</xdr:col>
      <xdr:colOff>206229</xdr:colOff>
      <xdr:row>23</xdr:row>
      <xdr:rowOff>731012</xdr:rowOff>
    </xdr:to>
    <xdr:pic>
      <xdr:nvPicPr>
        <xdr:cNvPr id="52" name="Imagem 51">
          <a:extLst>
            <a:ext uri="{FF2B5EF4-FFF2-40B4-BE49-F238E27FC236}">
              <a16:creationId xmlns:a16="http://schemas.microsoft.com/office/drawing/2014/main" id="{00000000-0008-0000-1600-000034000000}"/>
            </a:ext>
          </a:extLst>
        </xdr:cNvPr>
        <xdr:cNvPicPr>
          <a:picLocks noChangeAspect="1"/>
        </xdr:cNvPicPr>
      </xdr:nvPicPr>
      <xdr:blipFill>
        <a:blip xmlns:r="http://schemas.openxmlformats.org/officeDocument/2006/relationships" r:embed="rId17"/>
        <a:stretch>
          <a:fillRect/>
        </a:stretch>
      </xdr:blipFill>
      <xdr:spPr>
        <a:xfrm>
          <a:off x="515474" y="13978216"/>
          <a:ext cx="424180" cy="630721"/>
        </a:xfrm>
        <a:prstGeom prst="rect">
          <a:avLst/>
        </a:prstGeom>
      </xdr:spPr>
    </xdr:pic>
    <xdr:clientData/>
  </xdr:twoCellAnchor>
  <xdr:twoCellAnchor editAs="oneCell">
    <xdr:from>
      <xdr:col>1</xdr:col>
      <xdr:colOff>179985</xdr:colOff>
      <xdr:row>24</xdr:row>
      <xdr:rowOff>119485</xdr:rowOff>
    </xdr:from>
    <xdr:to>
      <xdr:col>2</xdr:col>
      <xdr:colOff>391009</xdr:colOff>
      <xdr:row>24</xdr:row>
      <xdr:rowOff>749221</xdr:rowOff>
    </xdr:to>
    <xdr:pic>
      <xdr:nvPicPr>
        <xdr:cNvPr id="53" name="Imagem 52">
          <a:extLst>
            <a:ext uri="{FF2B5EF4-FFF2-40B4-BE49-F238E27FC236}">
              <a16:creationId xmlns:a16="http://schemas.microsoft.com/office/drawing/2014/main" id="{00000000-0008-0000-1600-000035000000}"/>
            </a:ext>
          </a:extLst>
        </xdr:cNvPr>
        <xdr:cNvPicPr>
          <a:picLocks noChangeAspect="1"/>
        </xdr:cNvPicPr>
      </xdr:nvPicPr>
      <xdr:blipFill>
        <a:blip xmlns:r="http://schemas.openxmlformats.org/officeDocument/2006/relationships" r:embed="rId18"/>
        <a:stretch>
          <a:fillRect/>
        </a:stretch>
      </xdr:blipFill>
      <xdr:spPr>
        <a:xfrm>
          <a:off x="332385" y="14883235"/>
          <a:ext cx="792049" cy="629736"/>
        </a:xfrm>
        <a:prstGeom prst="rect">
          <a:avLst/>
        </a:prstGeom>
      </xdr:spPr>
    </xdr:pic>
    <xdr:clientData/>
  </xdr:twoCellAnchor>
  <xdr:twoCellAnchor editAs="oneCell">
    <xdr:from>
      <xdr:col>1</xdr:col>
      <xdr:colOff>190502</xdr:colOff>
      <xdr:row>25</xdr:row>
      <xdr:rowOff>111499</xdr:rowOff>
    </xdr:from>
    <xdr:to>
      <xdr:col>2</xdr:col>
      <xdr:colOff>402496</xdr:colOff>
      <xdr:row>25</xdr:row>
      <xdr:rowOff>752475</xdr:rowOff>
    </xdr:to>
    <xdr:pic>
      <xdr:nvPicPr>
        <xdr:cNvPr id="54" name="Imagem 53">
          <a:extLst>
            <a:ext uri="{FF2B5EF4-FFF2-40B4-BE49-F238E27FC236}">
              <a16:creationId xmlns:a16="http://schemas.microsoft.com/office/drawing/2014/main" id="{00000000-0008-0000-1600-000036000000}"/>
            </a:ext>
          </a:extLst>
        </xdr:cNvPr>
        <xdr:cNvPicPr>
          <a:picLocks noChangeAspect="1"/>
        </xdr:cNvPicPr>
      </xdr:nvPicPr>
      <xdr:blipFill>
        <a:blip xmlns:r="http://schemas.openxmlformats.org/officeDocument/2006/relationships" r:embed="rId19"/>
        <a:stretch>
          <a:fillRect/>
        </a:stretch>
      </xdr:blipFill>
      <xdr:spPr>
        <a:xfrm>
          <a:off x="342902" y="15761074"/>
          <a:ext cx="793019" cy="640976"/>
        </a:xfrm>
        <a:prstGeom prst="rect">
          <a:avLst/>
        </a:prstGeom>
      </xdr:spPr>
    </xdr:pic>
    <xdr:clientData/>
  </xdr:twoCellAnchor>
  <xdr:twoCellAnchor editAs="oneCell">
    <xdr:from>
      <xdr:col>1</xdr:col>
      <xdr:colOff>136153</xdr:colOff>
      <xdr:row>26</xdr:row>
      <xdr:rowOff>119343</xdr:rowOff>
    </xdr:from>
    <xdr:to>
      <xdr:col>2</xdr:col>
      <xdr:colOff>387775</xdr:colOff>
      <xdr:row>26</xdr:row>
      <xdr:rowOff>733425</xdr:rowOff>
    </xdr:to>
    <xdr:pic>
      <xdr:nvPicPr>
        <xdr:cNvPr id="57" name="Imagem 56">
          <a:extLst>
            <a:ext uri="{FF2B5EF4-FFF2-40B4-BE49-F238E27FC236}">
              <a16:creationId xmlns:a16="http://schemas.microsoft.com/office/drawing/2014/main" id="{00000000-0008-0000-1600-000039000000}"/>
            </a:ext>
          </a:extLst>
        </xdr:cNvPr>
        <xdr:cNvPicPr>
          <a:picLocks noChangeAspect="1"/>
        </xdr:cNvPicPr>
      </xdr:nvPicPr>
      <xdr:blipFill>
        <a:blip xmlns:r="http://schemas.openxmlformats.org/officeDocument/2006/relationships" r:embed="rId20"/>
        <a:stretch>
          <a:fillRect/>
        </a:stretch>
      </xdr:blipFill>
      <xdr:spPr>
        <a:xfrm>
          <a:off x="288553" y="16654743"/>
          <a:ext cx="832647" cy="614082"/>
        </a:xfrm>
        <a:prstGeom prst="rect">
          <a:avLst/>
        </a:prstGeom>
      </xdr:spPr>
    </xdr:pic>
    <xdr:clientData/>
  </xdr:twoCellAnchor>
  <xdr:twoCellAnchor editAs="oneCell">
    <xdr:from>
      <xdr:col>1</xdr:col>
      <xdr:colOff>54349</xdr:colOff>
      <xdr:row>28</xdr:row>
      <xdr:rowOff>235322</xdr:rowOff>
    </xdr:from>
    <xdr:to>
      <xdr:col>2</xdr:col>
      <xdr:colOff>544496</xdr:colOff>
      <xdr:row>29</xdr:row>
      <xdr:rowOff>257174</xdr:rowOff>
    </xdr:to>
    <xdr:pic>
      <xdr:nvPicPr>
        <xdr:cNvPr id="63" name="Imagem 62">
          <a:extLst>
            <a:ext uri="{FF2B5EF4-FFF2-40B4-BE49-F238E27FC236}">
              <a16:creationId xmlns:a16="http://schemas.microsoft.com/office/drawing/2014/main" id="{00000000-0008-0000-1600-00003F000000}"/>
            </a:ext>
          </a:extLst>
        </xdr:cNvPr>
        <xdr:cNvPicPr>
          <a:picLocks noChangeAspect="1"/>
        </xdr:cNvPicPr>
      </xdr:nvPicPr>
      <xdr:blipFill>
        <a:blip xmlns:r="http://schemas.openxmlformats.org/officeDocument/2006/relationships" r:embed="rId21"/>
        <a:stretch>
          <a:fillRect/>
        </a:stretch>
      </xdr:blipFill>
      <xdr:spPr>
        <a:xfrm>
          <a:off x="206749" y="17866097"/>
          <a:ext cx="1071172" cy="526677"/>
        </a:xfrm>
        <a:prstGeom prst="rect">
          <a:avLst/>
        </a:prstGeom>
      </xdr:spPr>
    </xdr:pic>
    <xdr:clientData/>
  </xdr:twoCellAnchor>
  <xdr:twoCellAnchor editAs="oneCell">
    <xdr:from>
      <xdr:col>1</xdr:col>
      <xdr:colOff>142874</xdr:colOff>
      <xdr:row>30</xdr:row>
      <xdr:rowOff>156902</xdr:rowOff>
    </xdr:from>
    <xdr:to>
      <xdr:col>2</xdr:col>
      <xdr:colOff>506014</xdr:colOff>
      <xdr:row>31</xdr:row>
      <xdr:rowOff>247360</xdr:rowOff>
    </xdr:to>
    <xdr:pic>
      <xdr:nvPicPr>
        <xdr:cNvPr id="64" name="Imagem 63">
          <a:extLst>
            <a:ext uri="{FF2B5EF4-FFF2-40B4-BE49-F238E27FC236}">
              <a16:creationId xmlns:a16="http://schemas.microsoft.com/office/drawing/2014/main" id="{00000000-0008-0000-1600-000040000000}"/>
            </a:ext>
          </a:extLst>
        </xdr:cNvPr>
        <xdr:cNvPicPr>
          <a:picLocks noChangeAspect="1"/>
        </xdr:cNvPicPr>
      </xdr:nvPicPr>
      <xdr:blipFill>
        <a:blip xmlns:r="http://schemas.openxmlformats.org/officeDocument/2006/relationships" r:embed="rId22"/>
        <a:stretch>
          <a:fillRect/>
        </a:stretch>
      </xdr:blipFill>
      <xdr:spPr>
        <a:xfrm>
          <a:off x="295274" y="18797327"/>
          <a:ext cx="944165" cy="490508"/>
        </a:xfrm>
        <a:prstGeom prst="rect">
          <a:avLst/>
        </a:prstGeom>
      </xdr:spPr>
    </xdr:pic>
    <xdr:clientData/>
  </xdr:twoCellAnchor>
  <xdr:twoCellAnchor editAs="oneCell">
    <xdr:from>
      <xdr:col>1</xdr:col>
      <xdr:colOff>266701</xdr:colOff>
      <xdr:row>0</xdr:row>
      <xdr:rowOff>171450</xdr:rowOff>
    </xdr:from>
    <xdr:to>
      <xdr:col>4</xdr:col>
      <xdr:colOff>780736</xdr:colOff>
      <xdr:row>5</xdr:row>
      <xdr:rowOff>3457</xdr:rowOff>
    </xdr:to>
    <xdr:pic>
      <xdr:nvPicPr>
        <xdr:cNvPr id="31" name="Picture 1">
          <a:extLst>
            <a:ext uri="{FF2B5EF4-FFF2-40B4-BE49-F238E27FC236}">
              <a16:creationId xmlns:a16="http://schemas.microsoft.com/office/drawing/2014/main" id="{00000000-0008-0000-1600-00001F000000}"/>
            </a:ext>
          </a:extLst>
        </xdr:cNvPr>
        <xdr:cNvPicPr>
          <a:picLocks noChangeAspect="1"/>
        </xdr:cNvPicPr>
      </xdr:nvPicPr>
      <xdr:blipFill>
        <a:blip xmlns:r="http://schemas.openxmlformats.org/officeDocument/2006/relationships" r:embed="rId23"/>
        <a:stretch>
          <a:fillRect/>
        </a:stretch>
      </xdr:blipFill>
      <xdr:spPr>
        <a:xfrm rot="5400000">
          <a:off x="1317327" y="-717251"/>
          <a:ext cx="784507" cy="256191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323850</xdr:colOff>
      <xdr:row>2</xdr:row>
      <xdr:rowOff>123825</xdr:rowOff>
    </xdr:from>
    <xdr:to>
      <xdr:col>10</xdr:col>
      <xdr:colOff>323850</xdr:colOff>
      <xdr:row>5</xdr:row>
      <xdr:rowOff>142875</xdr:rowOff>
    </xdr:to>
    <xdr:cxnSp macro="">
      <xdr:nvCxnSpPr>
        <xdr:cNvPr id="2" name="Straight Arrow Connector 1">
          <a:extLst>
            <a:ext uri="{FF2B5EF4-FFF2-40B4-BE49-F238E27FC236}">
              <a16:creationId xmlns:a16="http://schemas.microsoft.com/office/drawing/2014/main" id="{00000000-0008-0000-1700-000002000000}"/>
            </a:ext>
          </a:extLst>
        </xdr:cNvPr>
        <xdr:cNvCxnSpPr/>
      </xdr:nvCxnSpPr>
      <xdr:spPr>
        <a:xfrm>
          <a:off x="8401050" y="504825"/>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38100</xdr:colOff>
      <xdr:row>1</xdr:row>
      <xdr:rowOff>9525</xdr:rowOff>
    </xdr:from>
    <xdr:to>
      <xdr:col>13</xdr:col>
      <xdr:colOff>94353</xdr:colOff>
      <xdr:row>5</xdr:row>
      <xdr:rowOff>17874</xdr:rowOff>
    </xdr:to>
    <xdr:pic>
      <xdr:nvPicPr>
        <xdr:cNvPr id="3" name="Picture 42">
          <a:extLst>
            <a:ext uri="{FF2B5EF4-FFF2-40B4-BE49-F238E27FC236}">
              <a16:creationId xmlns:a16="http://schemas.microsoft.com/office/drawing/2014/main" id="{00000000-0008-0000-17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903" t="10485" r="9678" b="10483"/>
        <a:stretch/>
      </xdr:blipFill>
      <xdr:spPr bwMode="auto">
        <a:xfrm>
          <a:off x="8905875" y="200025"/>
          <a:ext cx="781050" cy="7817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123824</xdr:colOff>
      <xdr:row>8</xdr:row>
      <xdr:rowOff>85149</xdr:rowOff>
    </xdr:from>
    <xdr:to>
      <xdr:col>2</xdr:col>
      <xdr:colOff>517149</xdr:colOff>
      <xdr:row>10</xdr:row>
      <xdr:rowOff>102378</xdr:rowOff>
    </xdr:to>
    <xdr:pic>
      <xdr:nvPicPr>
        <xdr:cNvPr id="8" name="Imagem 7">
          <a:extLst>
            <a:ext uri="{FF2B5EF4-FFF2-40B4-BE49-F238E27FC236}">
              <a16:creationId xmlns:a16="http://schemas.microsoft.com/office/drawing/2014/main" id="{00000000-0008-0000-1700-00000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762" t="27369" r="9976" b="24428"/>
        <a:stretch/>
      </xdr:blipFill>
      <xdr:spPr bwMode="auto">
        <a:xfrm>
          <a:off x="276224" y="1856799"/>
          <a:ext cx="974350" cy="3982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4</xdr:col>
      <xdr:colOff>517845</xdr:colOff>
      <xdr:row>5</xdr:row>
      <xdr:rowOff>18697</xdr:rowOff>
    </xdr:to>
    <xdr:pic>
      <xdr:nvPicPr>
        <xdr:cNvPr id="6" name="Picture 1">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3"/>
        <a:stretch>
          <a:fillRect/>
        </a:stretch>
      </xdr:blipFill>
      <xdr:spPr>
        <a:xfrm rot="5400000">
          <a:off x="968711" y="-673436"/>
          <a:ext cx="792127" cy="2520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323850</xdr:colOff>
      <xdr:row>2</xdr:row>
      <xdr:rowOff>123825</xdr:rowOff>
    </xdr:from>
    <xdr:to>
      <xdr:col>10</xdr:col>
      <xdr:colOff>323850</xdr:colOff>
      <xdr:row>5</xdr:row>
      <xdr:rowOff>142875</xdr:rowOff>
    </xdr:to>
    <xdr:cxnSp macro="">
      <xdr:nvCxnSpPr>
        <xdr:cNvPr id="2" name="Straight Arrow Connector 1">
          <a:extLst>
            <a:ext uri="{FF2B5EF4-FFF2-40B4-BE49-F238E27FC236}">
              <a16:creationId xmlns:a16="http://schemas.microsoft.com/office/drawing/2014/main" id="{00000000-0008-0000-1800-000002000000}"/>
            </a:ext>
          </a:extLst>
        </xdr:cNvPr>
        <xdr:cNvCxnSpPr/>
      </xdr:nvCxnSpPr>
      <xdr:spPr>
        <a:xfrm>
          <a:off x="9153525" y="485775"/>
          <a:ext cx="0" cy="561975"/>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38100</xdr:colOff>
      <xdr:row>1</xdr:row>
      <xdr:rowOff>9525</xdr:rowOff>
    </xdr:from>
    <xdr:to>
      <xdr:col>13</xdr:col>
      <xdr:colOff>98164</xdr:colOff>
      <xdr:row>5</xdr:row>
      <xdr:rowOff>60009</xdr:rowOff>
    </xdr:to>
    <xdr:pic>
      <xdr:nvPicPr>
        <xdr:cNvPr id="3" name="Picture 42">
          <a:extLst>
            <a:ext uri="{FF2B5EF4-FFF2-40B4-BE49-F238E27FC236}">
              <a16:creationId xmlns:a16="http://schemas.microsoft.com/office/drawing/2014/main" id="{00000000-0008-0000-18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903" t="10485" r="9678" b="10483"/>
        <a:stretch/>
      </xdr:blipFill>
      <xdr:spPr bwMode="auto">
        <a:xfrm>
          <a:off x="9658350" y="190500"/>
          <a:ext cx="777240" cy="783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58396</xdr:colOff>
      <xdr:row>9</xdr:row>
      <xdr:rowOff>20170</xdr:rowOff>
    </xdr:from>
    <xdr:to>
      <xdr:col>2</xdr:col>
      <xdr:colOff>563879</xdr:colOff>
      <xdr:row>12</xdr:row>
      <xdr:rowOff>160244</xdr:rowOff>
    </xdr:to>
    <xdr:pic>
      <xdr:nvPicPr>
        <xdr:cNvPr id="36" name="Imagem 35">
          <a:extLst>
            <a:ext uri="{FF2B5EF4-FFF2-40B4-BE49-F238E27FC236}">
              <a16:creationId xmlns:a16="http://schemas.microsoft.com/office/drawing/2014/main" id="{00000000-0008-0000-1800-00002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0796" y="1963270"/>
          <a:ext cx="1086508" cy="711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4</xdr:col>
      <xdr:colOff>517845</xdr:colOff>
      <xdr:row>5</xdr:row>
      <xdr:rowOff>56797</xdr:rowOff>
    </xdr:to>
    <xdr:pic>
      <xdr:nvPicPr>
        <xdr:cNvPr id="6" name="Picture 1">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3"/>
        <a:stretch>
          <a:fillRect/>
        </a:stretch>
      </xdr:blipFill>
      <xdr:spPr>
        <a:xfrm rot="5400000">
          <a:off x="978236" y="-597236"/>
          <a:ext cx="792127" cy="2520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323850</xdr:colOff>
      <xdr:row>2</xdr:row>
      <xdr:rowOff>123825</xdr:rowOff>
    </xdr:from>
    <xdr:to>
      <xdr:col>10</xdr:col>
      <xdr:colOff>323850</xdr:colOff>
      <xdr:row>5</xdr:row>
      <xdr:rowOff>142875</xdr:rowOff>
    </xdr:to>
    <xdr:cxnSp macro="">
      <xdr:nvCxnSpPr>
        <xdr:cNvPr id="2" name="Straight Arrow Connector 55">
          <a:extLst>
            <a:ext uri="{FF2B5EF4-FFF2-40B4-BE49-F238E27FC236}">
              <a16:creationId xmlns:a16="http://schemas.microsoft.com/office/drawing/2014/main" id="{00000000-0008-0000-1900-000002000000}"/>
            </a:ext>
          </a:extLst>
        </xdr:cNvPr>
        <xdr:cNvCxnSpPr/>
      </xdr:nvCxnSpPr>
      <xdr:spPr>
        <a:xfrm>
          <a:off x="7972425" y="561975"/>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38100</xdr:colOff>
      <xdr:row>1</xdr:row>
      <xdr:rowOff>19050</xdr:rowOff>
    </xdr:from>
    <xdr:to>
      <xdr:col>13</xdr:col>
      <xdr:colOff>19050</xdr:colOff>
      <xdr:row>5</xdr:row>
      <xdr:rowOff>57151</xdr:rowOff>
    </xdr:to>
    <xdr:pic>
      <xdr:nvPicPr>
        <xdr:cNvPr id="3" name="Picture 64">
          <a:extLst>
            <a:ext uri="{FF2B5EF4-FFF2-40B4-BE49-F238E27FC236}">
              <a16:creationId xmlns:a16="http://schemas.microsoft.com/office/drawing/2014/main" id="{00000000-0008-0000-19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628" t="10465" r="13954" b="10465"/>
        <a:stretch/>
      </xdr:blipFill>
      <xdr:spPr bwMode="auto">
        <a:xfrm>
          <a:off x="8401050" y="257175"/>
          <a:ext cx="752475" cy="805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514035</xdr:colOff>
      <xdr:row>5</xdr:row>
      <xdr:rowOff>16792</xdr:rowOff>
    </xdr:to>
    <xdr:pic>
      <xdr:nvPicPr>
        <xdr:cNvPr id="5" name="Picture 1">
          <a:extLst>
            <a:ext uri="{FF2B5EF4-FFF2-40B4-BE49-F238E27FC236}">
              <a16:creationId xmlns:a16="http://schemas.microsoft.com/office/drawing/2014/main" id="{00000000-0008-0000-1900-000005000000}"/>
            </a:ext>
          </a:extLst>
        </xdr:cNvPr>
        <xdr:cNvPicPr>
          <a:picLocks noChangeAspect="1"/>
        </xdr:cNvPicPr>
      </xdr:nvPicPr>
      <xdr:blipFill>
        <a:blip xmlns:r="http://schemas.openxmlformats.org/officeDocument/2006/relationships" r:embed="rId2"/>
        <a:stretch>
          <a:fillRect/>
        </a:stretch>
      </xdr:blipFill>
      <xdr:spPr>
        <a:xfrm rot="5400000">
          <a:off x="1035386" y="-625811"/>
          <a:ext cx="792127" cy="2520000"/>
        </a:xfrm>
        <a:prstGeom prst="rect">
          <a:avLst/>
        </a:prstGeom>
      </xdr:spPr>
    </xdr:pic>
    <xdr:clientData/>
  </xdr:twoCellAnchor>
  <xdr:twoCellAnchor editAs="oneCell">
    <xdr:from>
      <xdr:col>1</xdr:col>
      <xdr:colOff>95250</xdr:colOff>
      <xdr:row>9</xdr:row>
      <xdr:rowOff>677</xdr:rowOff>
    </xdr:from>
    <xdr:to>
      <xdr:col>2</xdr:col>
      <xdr:colOff>466725</xdr:colOff>
      <xdr:row>12</xdr:row>
      <xdr:rowOff>26909</xdr:rowOff>
    </xdr:to>
    <xdr:pic>
      <xdr:nvPicPr>
        <xdr:cNvPr id="4" name="Imagem 3">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3"/>
        <a:stretch>
          <a:fillRect/>
        </a:stretch>
      </xdr:blipFill>
      <xdr:spPr>
        <a:xfrm>
          <a:off x="247650" y="2039027"/>
          <a:ext cx="952500" cy="597732"/>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10</xdr:col>
      <xdr:colOff>323850</xdr:colOff>
      <xdr:row>2</xdr:row>
      <xdr:rowOff>123825</xdr:rowOff>
    </xdr:from>
    <xdr:to>
      <xdr:col>10</xdr:col>
      <xdr:colOff>323850</xdr:colOff>
      <xdr:row>5</xdr:row>
      <xdr:rowOff>142875</xdr:rowOff>
    </xdr:to>
    <xdr:cxnSp macro="">
      <xdr:nvCxnSpPr>
        <xdr:cNvPr id="2" name="Straight Arrow Connector 55">
          <a:extLst>
            <a:ext uri="{FF2B5EF4-FFF2-40B4-BE49-F238E27FC236}">
              <a16:creationId xmlns:a16="http://schemas.microsoft.com/office/drawing/2014/main" id="{00000000-0008-0000-1A00-000002000000}"/>
            </a:ext>
          </a:extLst>
        </xdr:cNvPr>
        <xdr:cNvCxnSpPr/>
      </xdr:nvCxnSpPr>
      <xdr:spPr>
        <a:xfrm>
          <a:off x="7972425" y="561975"/>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38100</xdr:colOff>
      <xdr:row>1</xdr:row>
      <xdr:rowOff>19050</xdr:rowOff>
    </xdr:from>
    <xdr:to>
      <xdr:col>13</xdr:col>
      <xdr:colOff>19050</xdr:colOff>
      <xdr:row>5</xdr:row>
      <xdr:rowOff>57151</xdr:rowOff>
    </xdr:to>
    <xdr:pic>
      <xdr:nvPicPr>
        <xdr:cNvPr id="3" name="Picture 64">
          <a:extLst>
            <a:ext uri="{FF2B5EF4-FFF2-40B4-BE49-F238E27FC236}">
              <a16:creationId xmlns:a16="http://schemas.microsoft.com/office/drawing/2014/main" id="{00000000-0008-0000-1A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628" t="10465" r="13954" b="10465"/>
        <a:stretch/>
      </xdr:blipFill>
      <xdr:spPr bwMode="auto">
        <a:xfrm>
          <a:off x="8401050" y="257175"/>
          <a:ext cx="752475" cy="805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514035</xdr:colOff>
      <xdr:row>5</xdr:row>
      <xdr:rowOff>16792</xdr:rowOff>
    </xdr:to>
    <xdr:pic>
      <xdr:nvPicPr>
        <xdr:cNvPr id="5" name="Picture 1">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2"/>
        <a:stretch>
          <a:fillRect/>
        </a:stretch>
      </xdr:blipFill>
      <xdr:spPr>
        <a:xfrm rot="5400000">
          <a:off x="1035386" y="-625811"/>
          <a:ext cx="792127" cy="2520000"/>
        </a:xfrm>
        <a:prstGeom prst="rect">
          <a:avLst/>
        </a:prstGeom>
      </xdr:spPr>
    </xdr:pic>
    <xdr:clientData/>
  </xdr:twoCellAnchor>
  <xdr:twoCellAnchor editAs="oneCell">
    <xdr:from>
      <xdr:col>1</xdr:col>
      <xdr:colOff>314325</xdr:colOff>
      <xdr:row>15</xdr:row>
      <xdr:rowOff>9768</xdr:rowOff>
    </xdr:from>
    <xdr:to>
      <xdr:col>2</xdr:col>
      <xdr:colOff>297180</xdr:colOff>
      <xdr:row>15</xdr:row>
      <xdr:rowOff>590714</xdr:rowOff>
    </xdr:to>
    <xdr:pic>
      <xdr:nvPicPr>
        <xdr:cNvPr id="4" name="Imagem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a:stretch>
          <a:fillRect/>
        </a:stretch>
      </xdr:blipFill>
      <xdr:spPr>
        <a:xfrm>
          <a:off x="466725" y="3895968"/>
          <a:ext cx="563880" cy="580946"/>
        </a:xfrm>
        <a:prstGeom prst="rect">
          <a:avLst/>
        </a:prstGeom>
      </xdr:spPr>
    </xdr:pic>
    <xdr:clientData/>
  </xdr:twoCellAnchor>
  <xdr:twoCellAnchor editAs="oneCell">
    <xdr:from>
      <xdr:col>1</xdr:col>
      <xdr:colOff>323851</xdr:colOff>
      <xdr:row>10</xdr:row>
      <xdr:rowOff>19051</xdr:rowOff>
    </xdr:from>
    <xdr:to>
      <xdr:col>2</xdr:col>
      <xdr:colOff>304801</xdr:colOff>
      <xdr:row>11</xdr:row>
      <xdr:rowOff>303713</xdr:rowOff>
    </xdr:to>
    <xdr:pic>
      <xdr:nvPicPr>
        <xdr:cNvPr id="6" name="Imagem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4"/>
        <a:stretch>
          <a:fillRect/>
        </a:stretch>
      </xdr:blipFill>
      <xdr:spPr>
        <a:xfrm>
          <a:off x="476251" y="2647951"/>
          <a:ext cx="561975" cy="627562"/>
        </a:xfrm>
        <a:prstGeom prst="rect">
          <a:avLst/>
        </a:prstGeom>
      </xdr:spPr>
    </xdr:pic>
    <xdr:clientData/>
  </xdr:twoCellAnchor>
  <xdr:twoCellAnchor editAs="oneCell">
    <xdr:from>
      <xdr:col>1</xdr:col>
      <xdr:colOff>333374</xdr:colOff>
      <xdr:row>7</xdr:row>
      <xdr:rowOff>133351</xdr:rowOff>
    </xdr:from>
    <xdr:to>
      <xdr:col>2</xdr:col>
      <xdr:colOff>207644</xdr:colOff>
      <xdr:row>9</xdr:row>
      <xdr:rowOff>219233</xdr:rowOff>
    </xdr:to>
    <xdr:pic>
      <xdr:nvPicPr>
        <xdr:cNvPr id="7" name="Imagem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5"/>
        <a:stretch>
          <a:fillRect/>
        </a:stretch>
      </xdr:blipFill>
      <xdr:spPr>
        <a:xfrm>
          <a:off x="485774" y="1790701"/>
          <a:ext cx="455295" cy="733582"/>
        </a:xfrm>
        <a:prstGeom prst="rect">
          <a:avLst/>
        </a:prstGeom>
      </xdr:spPr>
    </xdr:pic>
    <xdr:clientData/>
  </xdr:twoCellAnchor>
  <xdr:twoCellAnchor editAs="oneCell">
    <xdr:from>
      <xdr:col>1</xdr:col>
      <xdr:colOff>247651</xdr:colOff>
      <xdr:row>16</xdr:row>
      <xdr:rowOff>81112</xdr:rowOff>
    </xdr:from>
    <xdr:to>
      <xdr:col>2</xdr:col>
      <xdr:colOff>304801</xdr:colOff>
      <xdr:row>16</xdr:row>
      <xdr:rowOff>554695</xdr:rowOff>
    </xdr:to>
    <xdr:pic>
      <xdr:nvPicPr>
        <xdr:cNvPr id="8" name="Imagem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6"/>
        <a:stretch>
          <a:fillRect/>
        </a:stretch>
      </xdr:blipFill>
      <xdr:spPr>
        <a:xfrm>
          <a:off x="400051" y="4567387"/>
          <a:ext cx="638175" cy="473583"/>
        </a:xfrm>
        <a:prstGeom prst="rect">
          <a:avLst/>
        </a:prstGeom>
      </xdr:spPr>
    </xdr:pic>
    <xdr:clientData/>
  </xdr:twoCellAnchor>
  <xdr:twoCellAnchor editAs="oneCell">
    <xdr:from>
      <xdr:col>1</xdr:col>
      <xdr:colOff>190500</xdr:colOff>
      <xdr:row>17</xdr:row>
      <xdr:rowOff>66675</xdr:rowOff>
    </xdr:from>
    <xdr:to>
      <xdr:col>2</xdr:col>
      <xdr:colOff>411480</xdr:colOff>
      <xdr:row>17</xdr:row>
      <xdr:rowOff>523326</xdr:rowOff>
    </xdr:to>
    <xdr:pic>
      <xdr:nvPicPr>
        <xdr:cNvPr id="9" name="Imagem 8">
          <a:extLst>
            <a:ext uri="{FF2B5EF4-FFF2-40B4-BE49-F238E27FC236}">
              <a16:creationId xmlns:a16="http://schemas.microsoft.com/office/drawing/2014/main" id="{00000000-0008-0000-1A00-000009000000}"/>
            </a:ext>
          </a:extLst>
        </xdr:cNvPr>
        <xdr:cNvPicPr>
          <a:picLocks noChangeAspect="1"/>
        </xdr:cNvPicPr>
      </xdr:nvPicPr>
      <xdr:blipFill>
        <a:blip xmlns:r="http://schemas.openxmlformats.org/officeDocument/2006/relationships" r:embed="rId7"/>
        <a:stretch>
          <a:fillRect/>
        </a:stretch>
      </xdr:blipFill>
      <xdr:spPr>
        <a:xfrm>
          <a:off x="342900" y="5143500"/>
          <a:ext cx="802005" cy="456651"/>
        </a:xfrm>
        <a:prstGeom prst="rect">
          <a:avLst/>
        </a:prstGeom>
      </xdr:spPr>
    </xdr:pic>
    <xdr:clientData/>
  </xdr:twoCellAnchor>
  <xdr:twoCellAnchor editAs="oneCell">
    <xdr:from>
      <xdr:col>1</xdr:col>
      <xdr:colOff>285750</xdr:colOff>
      <xdr:row>19</xdr:row>
      <xdr:rowOff>85725</xdr:rowOff>
    </xdr:from>
    <xdr:to>
      <xdr:col>2</xdr:col>
      <xdr:colOff>240030</xdr:colOff>
      <xdr:row>20</xdr:row>
      <xdr:rowOff>220906</xdr:rowOff>
    </xdr:to>
    <xdr:pic>
      <xdr:nvPicPr>
        <xdr:cNvPr id="10" name="Imagem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8"/>
        <a:stretch>
          <a:fillRect/>
        </a:stretch>
      </xdr:blipFill>
      <xdr:spPr>
        <a:xfrm>
          <a:off x="438150" y="6315075"/>
          <a:ext cx="535305" cy="449506"/>
        </a:xfrm>
        <a:prstGeom prst="rect">
          <a:avLst/>
        </a:prstGeom>
      </xdr:spPr>
    </xdr:pic>
    <xdr:clientData/>
  </xdr:twoCellAnchor>
  <xdr:twoCellAnchor editAs="oneCell">
    <xdr:from>
      <xdr:col>1</xdr:col>
      <xdr:colOff>323850</xdr:colOff>
      <xdr:row>18</xdr:row>
      <xdr:rowOff>47625</xdr:rowOff>
    </xdr:from>
    <xdr:to>
      <xdr:col>2</xdr:col>
      <xdr:colOff>265766</xdr:colOff>
      <xdr:row>18</xdr:row>
      <xdr:rowOff>516255</xdr:rowOff>
    </xdr:to>
    <xdr:pic>
      <xdr:nvPicPr>
        <xdr:cNvPr id="11" name="Imagem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9"/>
        <a:stretch>
          <a:fillRect/>
        </a:stretch>
      </xdr:blipFill>
      <xdr:spPr>
        <a:xfrm>
          <a:off x="476250" y="5705475"/>
          <a:ext cx="522941" cy="476250"/>
        </a:xfrm>
        <a:prstGeom prst="rect">
          <a:avLst/>
        </a:prstGeom>
      </xdr:spPr>
    </xdr:pic>
    <xdr:clientData/>
  </xdr:twoCellAnchor>
  <xdr:twoCellAnchor editAs="oneCell">
    <xdr:from>
      <xdr:col>1</xdr:col>
      <xdr:colOff>323850</xdr:colOff>
      <xdr:row>12</xdr:row>
      <xdr:rowOff>19050</xdr:rowOff>
    </xdr:from>
    <xdr:to>
      <xdr:col>2</xdr:col>
      <xdr:colOff>259080</xdr:colOff>
      <xdr:row>14</xdr:row>
      <xdr:rowOff>158115</xdr:rowOff>
    </xdr:to>
    <xdr:pic>
      <xdr:nvPicPr>
        <xdr:cNvPr id="12" name="Imagem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0"/>
        <a:stretch>
          <a:fillRect/>
        </a:stretch>
      </xdr:blipFill>
      <xdr:spPr>
        <a:xfrm>
          <a:off x="476250" y="3333750"/>
          <a:ext cx="516255" cy="520065"/>
        </a:xfrm>
        <a:prstGeom prst="rect">
          <a:avLst/>
        </a:prstGeom>
      </xdr:spPr>
    </xdr:pic>
    <xdr:clientData/>
  </xdr:twoCellAnchor>
  <xdr:twoCellAnchor editAs="oneCell">
    <xdr:from>
      <xdr:col>1</xdr:col>
      <xdr:colOff>238125</xdr:colOff>
      <xdr:row>21</xdr:row>
      <xdr:rowOff>38100</xdr:rowOff>
    </xdr:from>
    <xdr:to>
      <xdr:col>2</xdr:col>
      <xdr:colOff>340415</xdr:colOff>
      <xdr:row>21</xdr:row>
      <xdr:rowOff>554355</xdr:rowOff>
    </xdr:to>
    <xdr:pic>
      <xdr:nvPicPr>
        <xdr:cNvPr id="13" name="Imagem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1"/>
        <a:stretch>
          <a:fillRect/>
        </a:stretch>
      </xdr:blipFill>
      <xdr:spPr>
        <a:xfrm>
          <a:off x="390525" y="6896100"/>
          <a:ext cx="683315" cy="516255"/>
        </a:xfrm>
        <a:prstGeom prst="rect">
          <a:avLst/>
        </a:prstGeom>
      </xdr:spPr>
    </xdr:pic>
    <xdr:clientData/>
  </xdr:twoCellAnchor>
  <xdr:twoCellAnchor editAs="oneCell">
    <xdr:from>
      <xdr:col>1</xdr:col>
      <xdr:colOff>219075</xdr:colOff>
      <xdr:row>26</xdr:row>
      <xdr:rowOff>104775</xdr:rowOff>
    </xdr:from>
    <xdr:to>
      <xdr:col>2</xdr:col>
      <xdr:colOff>304799</xdr:colOff>
      <xdr:row>27</xdr:row>
      <xdr:rowOff>250120</xdr:rowOff>
    </xdr:to>
    <xdr:pic>
      <xdr:nvPicPr>
        <xdr:cNvPr id="14" name="Imagem 13">
          <a:extLst>
            <a:ext uri="{FF2B5EF4-FFF2-40B4-BE49-F238E27FC236}">
              <a16:creationId xmlns:a16="http://schemas.microsoft.com/office/drawing/2014/main" id="{00000000-0008-0000-1A00-00000E000000}"/>
            </a:ext>
          </a:extLst>
        </xdr:cNvPr>
        <xdr:cNvPicPr>
          <a:picLocks noChangeAspect="1"/>
        </xdr:cNvPicPr>
      </xdr:nvPicPr>
      <xdr:blipFill>
        <a:blip xmlns:r="http://schemas.openxmlformats.org/officeDocument/2006/relationships" r:embed="rId12"/>
        <a:stretch>
          <a:fillRect/>
        </a:stretch>
      </xdr:blipFill>
      <xdr:spPr>
        <a:xfrm>
          <a:off x="371475" y="8362950"/>
          <a:ext cx="666749" cy="514915"/>
        </a:xfrm>
        <a:prstGeom prst="rect">
          <a:avLst/>
        </a:prstGeom>
      </xdr:spPr>
    </xdr:pic>
    <xdr:clientData/>
  </xdr:twoCellAnchor>
  <xdr:twoCellAnchor editAs="oneCell">
    <xdr:from>
      <xdr:col>1</xdr:col>
      <xdr:colOff>342901</xdr:colOff>
      <xdr:row>22</xdr:row>
      <xdr:rowOff>57544</xdr:rowOff>
    </xdr:from>
    <xdr:to>
      <xdr:col>2</xdr:col>
      <xdr:colOff>190854</xdr:colOff>
      <xdr:row>23</xdr:row>
      <xdr:rowOff>285750</xdr:rowOff>
    </xdr:to>
    <xdr:pic>
      <xdr:nvPicPr>
        <xdr:cNvPr id="15" name="Imagem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3"/>
        <a:stretch>
          <a:fillRect/>
        </a:stretch>
      </xdr:blipFill>
      <xdr:spPr>
        <a:xfrm>
          <a:off x="495301" y="7553719"/>
          <a:ext cx="428978" cy="542531"/>
        </a:xfrm>
        <a:prstGeom prst="rect">
          <a:avLst/>
        </a:prstGeom>
      </xdr:spPr>
    </xdr:pic>
    <xdr:clientData/>
  </xdr:twoCellAnchor>
  <xdr:twoCellAnchor editAs="oneCell">
    <xdr:from>
      <xdr:col>1</xdr:col>
      <xdr:colOff>314326</xdr:colOff>
      <xdr:row>25</xdr:row>
      <xdr:rowOff>64304</xdr:rowOff>
    </xdr:from>
    <xdr:to>
      <xdr:col>2</xdr:col>
      <xdr:colOff>243841</xdr:colOff>
      <xdr:row>25</xdr:row>
      <xdr:rowOff>466815</xdr:rowOff>
    </xdr:to>
    <xdr:pic>
      <xdr:nvPicPr>
        <xdr:cNvPr id="16" name="Imagem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4"/>
        <a:stretch>
          <a:fillRect/>
        </a:stretch>
      </xdr:blipFill>
      <xdr:spPr>
        <a:xfrm>
          <a:off x="466726" y="8655854"/>
          <a:ext cx="510540" cy="402511"/>
        </a:xfrm>
        <a:prstGeom prst="rect">
          <a:avLst/>
        </a:prstGeom>
      </xdr:spPr>
    </xdr:pic>
    <xdr:clientData/>
  </xdr:twoCellAnchor>
  <xdr:twoCellAnchor editAs="oneCell">
    <xdr:from>
      <xdr:col>1</xdr:col>
      <xdr:colOff>276225</xdr:colOff>
      <xdr:row>24</xdr:row>
      <xdr:rowOff>47625</xdr:rowOff>
    </xdr:from>
    <xdr:to>
      <xdr:col>2</xdr:col>
      <xdr:colOff>228600</xdr:colOff>
      <xdr:row>24</xdr:row>
      <xdr:rowOff>477203</xdr:rowOff>
    </xdr:to>
    <xdr:pic>
      <xdr:nvPicPr>
        <xdr:cNvPr id="17" name="Imagem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5"/>
        <a:stretch>
          <a:fillRect/>
        </a:stretch>
      </xdr:blipFill>
      <xdr:spPr>
        <a:xfrm>
          <a:off x="428625" y="8191500"/>
          <a:ext cx="533400" cy="42005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323850</xdr:colOff>
      <xdr:row>2</xdr:row>
      <xdr:rowOff>123825</xdr:rowOff>
    </xdr:from>
    <xdr:to>
      <xdr:col>10</xdr:col>
      <xdr:colOff>323850</xdr:colOff>
      <xdr:row>5</xdr:row>
      <xdr:rowOff>142875</xdr:rowOff>
    </xdr:to>
    <xdr:cxnSp macro="">
      <xdr:nvCxnSpPr>
        <xdr:cNvPr id="2" name="Straight Arrow Connector 1">
          <a:extLst>
            <a:ext uri="{FF2B5EF4-FFF2-40B4-BE49-F238E27FC236}">
              <a16:creationId xmlns:a16="http://schemas.microsoft.com/office/drawing/2014/main" id="{00000000-0008-0000-1B00-000002000000}"/>
            </a:ext>
          </a:extLst>
        </xdr:cNvPr>
        <xdr:cNvCxnSpPr/>
      </xdr:nvCxnSpPr>
      <xdr:spPr>
        <a:xfrm>
          <a:off x="11125200" y="485775"/>
          <a:ext cx="0" cy="561975"/>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38100</xdr:colOff>
      <xdr:row>1</xdr:row>
      <xdr:rowOff>9525</xdr:rowOff>
    </xdr:from>
    <xdr:to>
      <xdr:col>13</xdr:col>
      <xdr:colOff>97155</xdr:colOff>
      <xdr:row>5</xdr:row>
      <xdr:rowOff>56199</xdr:rowOff>
    </xdr:to>
    <xdr:pic>
      <xdr:nvPicPr>
        <xdr:cNvPr id="3" name="Picture 42">
          <a:extLst>
            <a:ext uri="{FF2B5EF4-FFF2-40B4-BE49-F238E27FC236}">
              <a16:creationId xmlns:a16="http://schemas.microsoft.com/office/drawing/2014/main" id="{00000000-0008-0000-1B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903" t="10485" r="9678" b="10483"/>
        <a:stretch/>
      </xdr:blipFill>
      <xdr:spPr bwMode="auto">
        <a:xfrm>
          <a:off x="11630025" y="190500"/>
          <a:ext cx="777240" cy="783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80478</xdr:colOff>
      <xdr:row>218</xdr:row>
      <xdr:rowOff>76399</xdr:rowOff>
    </xdr:from>
    <xdr:to>
      <xdr:col>2</xdr:col>
      <xdr:colOff>513280</xdr:colOff>
      <xdr:row>220</xdr:row>
      <xdr:rowOff>76399</xdr:rowOff>
    </xdr:to>
    <xdr:pic>
      <xdr:nvPicPr>
        <xdr:cNvPr id="7" name="Imagem 6">
          <a:extLst>
            <a:ext uri="{FF2B5EF4-FFF2-40B4-BE49-F238E27FC236}">
              <a16:creationId xmlns:a16="http://schemas.microsoft.com/office/drawing/2014/main" id="{00000000-0008-0000-1B00-000007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004" r="21825"/>
        <a:stretch/>
      </xdr:blipFill>
      <xdr:spPr bwMode="auto">
        <a:xfrm>
          <a:off x="204303" y="40014724"/>
          <a:ext cx="1017637" cy="1228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52974</xdr:colOff>
      <xdr:row>259</xdr:row>
      <xdr:rowOff>12225</xdr:rowOff>
    </xdr:from>
    <xdr:to>
      <xdr:col>2</xdr:col>
      <xdr:colOff>473316</xdr:colOff>
      <xdr:row>261</xdr:row>
      <xdr:rowOff>16035</xdr:rowOff>
    </xdr:to>
    <xdr:pic>
      <xdr:nvPicPr>
        <xdr:cNvPr id="8" name="Imagem 7">
          <a:extLst>
            <a:ext uri="{FF2B5EF4-FFF2-40B4-BE49-F238E27FC236}">
              <a16:creationId xmlns:a16="http://schemas.microsoft.com/office/drawing/2014/main" id="{00000000-0008-0000-1B00-000008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8445" r="15473"/>
        <a:stretch/>
      </xdr:blipFill>
      <xdr:spPr bwMode="auto">
        <a:xfrm>
          <a:off x="176799" y="47513400"/>
          <a:ext cx="1005177" cy="1140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86591</xdr:colOff>
      <xdr:row>354</xdr:row>
      <xdr:rowOff>1274</xdr:rowOff>
    </xdr:from>
    <xdr:to>
      <xdr:col>2</xdr:col>
      <xdr:colOff>475332</xdr:colOff>
      <xdr:row>356</xdr:row>
      <xdr:rowOff>10799</xdr:rowOff>
    </xdr:to>
    <xdr:pic>
      <xdr:nvPicPr>
        <xdr:cNvPr id="11" name="Imagem 10">
          <a:extLst>
            <a:ext uri="{FF2B5EF4-FFF2-40B4-BE49-F238E27FC236}">
              <a16:creationId xmlns:a16="http://schemas.microsoft.com/office/drawing/2014/main" id="{00000000-0008-0000-1B00-00000B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4195" r="21048"/>
        <a:stretch/>
      </xdr:blipFill>
      <xdr:spPr bwMode="auto">
        <a:xfrm>
          <a:off x="238991" y="64523624"/>
          <a:ext cx="969766"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105641</xdr:colOff>
      <xdr:row>378</xdr:row>
      <xdr:rowOff>8660</xdr:rowOff>
    </xdr:from>
    <xdr:ext cx="1005840" cy="1318711"/>
    <xdr:pic>
      <xdr:nvPicPr>
        <xdr:cNvPr id="15" name="Imagem 120">
          <a:extLst>
            <a:ext uri="{FF2B5EF4-FFF2-40B4-BE49-F238E27FC236}">
              <a16:creationId xmlns:a16="http://schemas.microsoft.com/office/drawing/2014/main" id="{00000000-0008-0000-1B00-00000F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23764" r="19173"/>
        <a:stretch/>
      </xdr:blipFill>
      <xdr:spPr bwMode="auto">
        <a:xfrm>
          <a:off x="229466" y="72474860"/>
          <a:ext cx="1005840" cy="131871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88322</xdr:colOff>
      <xdr:row>441</xdr:row>
      <xdr:rowOff>113434</xdr:rowOff>
    </xdr:from>
    <xdr:to>
      <xdr:col>2</xdr:col>
      <xdr:colOff>512474</xdr:colOff>
      <xdr:row>443</xdr:row>
      <xdr:rowOff>122959</xdr:rowOff>
    </xdr:to>
    <xdr:pic>
      <xdr:nvPicPr>
        <xdr:cNvPr id="18" name="Imagem 17" descr="Swing Joints: Standard Kit">
          <a:extLst>
            <a:ext uri="{FF2B5EF4-FFF2-40B4-BE49-F238E27FC236}">
              <a16:creationId xmlns:a16="http://schemas.microsoft.com/office/drawing/2014/main" id="{00000000-0008-0000-1B00-000012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10562" r="17412"/>
        <a:stretch/>
      </xdr:blipFill>
      <xdr:spPr bwMode="auto">
        <a:xfrm>
          <a:off x="240722" y="80466334"/>
          <a:ext cx="1005177"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103908</xdr:colOff>
      <xdr:row>458</xdr:row>
      <xdr:rowOff>171450</xdr:rowOff>
    </xdr:from>
    <xdr:to>
      <xdr:col>2</xdr:col>
      <xdr:colOff>511618</xdr:colOff>
      <xdr:row>461</xdr:row>
      <xdr:rowOff>9525</xdr:rowOff>
    </xdr:to>
    <xdr:pic>
      <xdr:nvPicPr>
        <xdr:cNvPr id="19" name="Imagem 18">
          <a:extLst>
            <a:ext uri="{FF2B5EF4-FFF2-40B4-BE49-F238E27FC236}">
              <a16:creationId xmlns:a16="http://schemas.microsoft.com/office/drawing/2014/main" id="{00000000-0008-0000-1B00-000013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7157" r="24019"/>
        <a:stretch/>
      </xdr:blipFill>
      <xdr:spPr bwMode="auto">
        <a:xfrm>
          <a:off x="256308" y="83629500"/>
          <a:ext cx="98873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50222</xdr:colOff>
      <xdr:row>476</xdr:row>
      <xdr:rowOff>152399</xdr:rowOff>
    </xdr:from>
    <xdr:to>
      <xdr:col>2</xdr:col>
      <xdr:colOff>510681</xdr:colOff>
      <xdr:row>478</xdr:row>
      <xdr:rowOff>161924</xdr:rowOff>
    </xdr:to>
    <xdr:pic>
      <xdr:nvPicPr>
        <xdr:cNvPr id="20" name="Imagem 19">
          <a:extLst>
            <a:ext uri="{FF2B5EF4-FFF2-40B4-BE49-F238E27FC236}">
              <a16:creationId xmlns:a16="http://schemas.microsoft.com/office/drawing/2014/main" id="{00000000-0008-0000-1B00-000014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20833" r="22181"/>
        <a:stretch/>
      </xdr:blipFill>
      <xdr:spPr bwMode="auto">
        <a:xfrm>
          <a:off x="202622" y="86896574"/>
          <a:ext cx="1041484"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200025</xdr:colOff>
      <xdr:row>487</xdr:row>
      <xdr:rowOff>229466</xdr:rowOff>
    </xdr:from>
    <xdr:to>
      <xdr:col>2</xdr:col>
      <xdr:colOff>378669</xdr:colOff>
      <xdr:row>487</xdr:row>
      <xdr:rowOff>583796</xdr:rowOff>
    </xdr:to>
    <xdr:pic>
      <xdr:nvPicPr>
        <xdr:cNvPr id="22" name="Imagem 21">
          <a:extLst>
            <a:ext uri="{FF2B5EF4-FFF2-40B4-BE49-F238E27FC236}">
              <a16:creationId xmlns:a16="http://schemas.microsoft.com/office/drawing/2014/main" id="{00000000-0008-0000-1B00-00001600000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0016" r="19526"/>
        <a:stretch/>
      </xdr:blipFill>
      <xdr:spPr bwMode="auto">
        <a:xfrm>
          <a:off x="352425" y="88992941"/>
          <a:ext cx="759669" cy="354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155864</xdr:colOff>
      <xdr:row>490</xdr:row>
      <xdr:rowOff>92652</xdr:rowOff>
    </xdr:from>
    <xdr:to>
      <xdr:col>2</xdr:col>
      <xdr:colOff>397210</xdr:colOff>
      <xdr:row>492</xdr:row>
      <xdr:rowOff>6927</xdr:rowOff>
    </xdr:to>
    <xdr:pic>
      <xdr:nvPicPr>
        <xdr:cNvPr id="23" name="Imagem 22">
          <a:extLst>
            <a:ext uri="{FF2B5EF4-FFF2-40B4-BE49-F238E27FC236}">
              <a16:creationId xmlns:a16="http://schemas.microsoft.com/office/drawing/2014/main" id="{00000000-0008-0000-1B00-000017000000}"/>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6749" r="13807"/>
        <a:stretch/>
      </xdr:blipFill>
      <xdr:spPr bwMode="auto">
        <a:xfrm>
          <a:off x="308264" y="90151527"/>
          <a:ext cx="822371"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67236</xdr:colOff>
      <xdr:row>326</xdr:row>
      <xdr:rowOff>123265</xdr:rowOff>
    </xdr:from>
    <xdr:to>
      <xdr:col>2</xdr:col>
      <xdr:colOff>511033</xdr:colOff>
      <xdr:row>328</xdr:row>
      <xdr:rowOff>136600</xdr:rowOff>
    </xdr:to>
    <xdr:pic>
      <xdr:nvPicPr>
        <xdr:cNvPr id="5" name="Imagem 4">
          <a:extLst>
            <a:ext uri="{FF2B5EF4-FFF2-40B4-BE49-F238E27FC236}">
              <a16:creationId xmlns:a16="http://schemas.microsoft.com/office/drawing/2014/main" id="{00000000-0008-0000-1B00-000005000000}"/>
            </a:ext>
          </a:extLst>
        </xdr:cNvPr>
        <xdr:cNvPicPr>
          <a:picLocks noChangeAspect="1"/>
        </xdr:cNvPicPr>
      </xdr:nvPicPr>
      <xdr:blipFill>
        <a:blip xmlns:r="http://schemas.openxmlformats.org/officeDocument/2006/relationships" r:embed="rId11"/>
        <a:stretch>
          <a:fillRect/>
        </a:stretch>
      </xdr:blipFill>
      <xdr:spPr>
        <a:xfrm>
          <a:off x="191061" y="59892640"/>
          <a:ext cx="1028632" cy="1353110"/>
        </a:xfrm>
        <a:prstGeom prst="rect">
          <a:avLst/>
        </a:prstGeom>
      </xdr:spPr>
    </xdr:pic>
    <xdr:clientData/>
  </xdr:twoCellAnchor>
  <xdr:twoCellAnchor editAs="oneCell">
    <xdr:from>
      <xdr:col>1</xdr:col>
      <xdr:colOff>313764</xdr:colOff>
      <xdr:row>421</xdr:row>
      <xdr:rowOff>27454</xdr:rowOff>
    </xdr:from>
    <xdr:to>
      <xdr:col>2</xdr:col>
      <xdr:colOff>247650</xdr:colOff>
      <xdr:row>429</xdr:row>
      <xdr:rowOff>62865</xdr:rowOff>
    </xdr:to>
    <xdr:pic>
      <xdr:nvPicPr>
        <xdr:cNvPr id="12" name="Imagem 11">
          <a:extLst>
            <a:ext uri="{FF2B5EF4-FFF2-40B4-BE49-F238E27FC236}">
              <a16:creationId xmlns:a16="http://schemas.microsoft.com/office/drawing/2014/main" id="{00000000-0008-0000-1B00-00000C000000}"/>
            </a:ext>
          </a:extLst>
        </xdr:cNvPr>
        <xdr:cNvPicPr>
          <a:picLocks noChangeAspect="1"/>
        </xdr:cNvPicPr>
      </xdr:nvPicPr>
      <xdr:blipFill>
        <a:blip xmlns:r="http://schemas.openxmlformats.org/officeDocument/2006/relationships" r:embed="rId12"/>
        <a:stretch>
          <a:fillRect/>
        </a:stretch>
      </xdr:blipFill>
      <xdr:spPr>
        <a:xfrm>
          <a:off x="466164" y="76732279"/>
          <a:ext cx="514911" cy="1483211"/>
        </a:xfrm>
        <a:prstGeom prst="rect">
          <a:avLst/>
        </a:prstGeom>
      </xdr:spPr>
    </xdr:pic>
    <xdr:clientData/>
  </xdr:twoCellAnchor>
  <xdr:twoCellAnchor editAs="oneCell">
    <xdr:from>
      <xdr:col>1</xdr:col>
      <xdr:colOff>100292</xdr:colOff>
      <xdr:row>9</xdr:row>
      <xdr:rowOff>146798</xdr:rowOff>
    </xdr:from>
    <xdr:to>
      <xdr:col>2</xdr:col>
      <xdr:colOff>516824</xdr:colOff>
      <xdr:row>11</xdr:row>
      <xdr:rowOff>135368</xdr:rowOff>
    </xdr:to>
    <xdr:pic>
      <xdr:nvPicPr>
        <xdr:cNvPr id="10" name="Imagem 9">
          <a:extLst>
            <a:ext uri="{FF2B5EF4-FFF2-40B4-BE49-F238E27FC236}">
              <a16:creationId xmlns:a16="http://schemas.microsoft.com/office/drawing/2014/main" id="{00000000-0008-0000-1B00-00000A000000}"/>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21552" r="16969"/>
        <a:stretch/>
      </xdr:blipFill>
      <xdr:spPr bwMode="auto">
        <a:xfrm>
          <a:off x="252692" y="2223248"/>
          <a:ext cx="1005177"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4</xdr:col>
      <xdr:colOff>418785</xdr:colOff>
      <xdr:row>5</xdr:row>
      <xdr:rowOff>60607</xdr:rowOff>
    </xdr:to>
    <xdr:pic>
      <xdr:nvPicPr>
        <xdr:cNvPr id="21" name="Picture 1">
          <a:extLst>
            <a:ext uri="{FF2B5EF4-FFF2-40B4-BE49-F238E27FC236}">
              <a16:creationId xmlns:a16="http://schemas.microsoft.com/office/drawing/2014/main" id="{00000000-0008-0000-1B00-000015000000}"/>
            </a:ext>
          </a:extLst>
        </xdr:cNvPr>
        <xdr:cNvPicPr>
          <a:picLocks noChangeAspect="1"/>
        </xdr:cNvPicPr>
      </xdr:nvPicPr>
      <xdr:blipFill>
        <a:blip xmlns:r="http://schemas.openxmlformats.org/officeDocument/2006/relationships" r:embed="rId14"/>
        <a:stretch>
          <a:fillRect/>
        </a:stretch>
      </xdr:blipFill>
      <xdr:spPr>
        <a:xfrm rot="5400000">
          <a:off x="987761" y="-625811"/>
          <a:ext cx="792127" cy="2520000"/>
        </a:xfrm>
        <a:prstGeom prst="rect">
          <a:avLst/>
        </a:prstGeom>
      </xdr:spPr>
    </xdr:pic>
    <xdr:clientData/>
  </xdr:twoCellAnchor>
  <xdr:twoCellAnchor editAs="oneCell">
    <xdr:from>
      <xdr:col>1</xdr:col>
      <xdr:colOff>63500</xdr:colOff>
      <xdr:row>65</xdr:row>
      <xdr:rowOff>50800</xdr:rowOff>
    </xdr:from>
    <xdr:to>
      <xdr:col>2</xdr:col>
      <xdr:colOff>480032</xdr:colOff>
      <xdr:row>67</xdr:row>
      <xdr:rowOff>54610</xdr:rowOff>
    </xdr:to>
    <xdr:pic>
      <xdr:nvPicPr>
        <xdr:cNvPr id="4" name="Imagem 9">
          <a:extLst>
            <a:ext uri="{FF2B5EF4-FFF2-40B4-BE49-F238E27FC236}">
              <a16:creationId xmlns:a16="http://schemas.microsoft.com/office/drawing/2014/main" id="{00000000-0008-0000-1B00-000004000000}"/>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21552" r="16969"/>
        <a:stretch/>
      </xdr:blipFill>
      <xdr:spPr bwMode="auto">
        <a:xfrm>
          <a:off x="228600" y="11988800"/>
          <a:ext cx="1021052" cy="35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122</xdr:row>
      <xdr:rowOff>63500</xdr:rowOff>
    </xdr:from>
    <xdr:to>
      <xdr:col>2</xdr:col>
      <xdr:colOff>549882</xdr:colOff>
      <xdr:row>124</xdr:row>
      <xdr:rowOff>130810</xdr:rowOff>
    </xdr:to>
    <xdr:pic>
      <xdr:nvPicPr>
        <xdr:cNvPr id="6" name="Imagem 9">
          <a:extLst>
            <a:ext uri="{FF2B5EF4-FFF2-40B4-BE49-F238E27FC236}">
              <a16:creationId xmlns:a16="http://schemas.microsoft.com/office/drawing/2014/main" id="{00000000-0008-0000-1B00-000006000000}"/>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21552" r="16969"/>
        <a:stretch/>
      </xdr:blipFill>
      <xdr:spPr bwMode="auto">
        <a:xfrm>
          <a:off x="279400" y="22136100"/>
          <a:ext cx="1021052"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101600</xdr:colOff>
      <xdr:row>178</xdr:row>
      <xdr:rowOff>152400</xdr:rowOff>
    </xdr:from>
    <xdr:to>
      <xdr:col>2</xdr:col>
      <xdr:colOff>518132</xdr:colOff>
      <xdr:row>180</xdr:row>
      <xdr:rowOff>152400</xdr:rowOff>
    </xdr:to>
    <xdr:pic>
      <xdr:nvPicPr>
        <xdr:cNvPr id="9" name="Imagem 9">
          <a:extLst>
            <a:ext uri="{FF2B5EF4-FFF2-40B4-BE49-F238E27FC236}">
              <a16:creationId xmlns:a16="http://schemas.microsoft.com/office/drawing/2014/main" id="{00000000-0008-0000-1B00-000009000000}"/>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21552" r="16969"/>
        <a:stretch/>
      </xdr:blipFill>
      <xdr:spPr bwMode="auto">
        <a:xfrm>
          <a:off x="266700" y="32181800"/>
          <a:ext cx="1021052" cy="35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235</xdr:row>
      <xdr:rowOff>38100</xdr:rowOff>
    </xdr:from>
    <xdr:to>
      <xdr:col>2</xdr:col>
      <xdr:colOff>478522</xdr:colOff>
      <xdr:row>237</xdr:row>
      <xdr:rowOff>38100</xdr:rowOff>
    </xdr:to>
    <xdr:pic>
      <xdr:nvPicPr>
        <xdr:cNvPr id="13" name="Imagem 6">
          <a:extLst>
            <a:ext uri="{FF2B5EF4-FFF2-40B4-BE49-F238E27FC236}">
              <a16:creationId xmlns:a16="http://schemas.microsoft.com/office/drawing/2014/main" id="{00000000-0008-0000-1B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004" r="21825"/>
        <a:stretch/>
      </xdr:blipFill>
      <xdr:spPr bwMode="auto">
        <a:xfrm>
          <a:off x="203200" y="42341800"/>
          <a:ext cx="1033512" cy="35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290</xdr:row>
      <xdr:rowOff>114300</xdr:rowOff>
    </xdr:from>
    <xdr:to>
      <xdr:col>2</xdr:col>
      <xdr:colOff>473682</xdr:colOff>
      <xdr:row>292</xdr:row>
      <xdr:rowOff>114300</xdr:rowOff>
    </xdr:to>
    <xdr:pic>
      <xdr:nvPicPr>
        <xdr:cNvPr id="14" name="Imagem 7">
          <a:extLst>
            <a:ext uri="{FF2B5EF4-FFF2-40B4-BE49-F238E27FC236}">
              <a16:creationId xmlns:a16="http://schemas.microsoft.com/office/drawing/2014/main" id="{00000000-0008-0000-1B00-00000E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8445" r="15473"/>
        <a:stretch/>
      </xdr:blipFill>
      <xdr:spPr bwMode="auto">
        <a:xfrm>
          <a:off x="203200" y="52336700"/>
          <a:ext cx="1021052" cy="35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77066</xdr:colOff>
      <xdr:row>395</xdr:row>
      <xdr:rowOff>110260</xdr:rowOff>
    </xdr:from>
    <xdr:ext cx="1005840" cy="1318711"/>
    <xdr:pic>
      <xdr:nvPicPr>
        <xdr:cNvPr id="16" name="Imagem 120">
          <a:extLst>
            <a:ext uri="{FF2B5EF4-FFF2-40B4-BE49-F238E27FC236}">
              <a16:creationId xmlns:a16="http://schemas.microsoft.com/office/drawing/2014/main" id="{00000000-0008-0000-1B00-000010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23764" r="19173"/>
        <a:stretch/>
      </xdr:blipFill>
      <xdr:spPr bwMode="auto">
        <a:xfrm>
          <a:off x="242166" y="71420760"/>
          <a:ext cx="1005840" cy="131871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8.xml><?xml version="1.0" encoding="utf-8"?>
<xdr:wsDr xmlns:xdr="http://schemas.openxmlformats.org/drawingml/2006/spreadsheetDrawing" xmlns:a="http://schemas.openxmlformats.org/drawingml/2006/main">
  <xdr:twoCellAnchor>
    <xdr:from>
      <xdr:col>10</xdr:col>
      <xdr:colOff>323850</xdr:colOff>
      <xdr:row>2</xdr:row>
      <xdr:rowOff>123825</xdr:rowOff>
    </xdr:from>
    <xdr:to>
      <xdr:col>10</xdr:col>
      <xdr:colOff>323850</xdr:colOff>
      <xdr:row>5</xdr:row>
      <xdr:rowOff>142875</xdr:rowOff>
    </xdr:to>
    <xdr:cxnSp macro="">
      <xdr:nvCxnSpPr>
        <xdr:cNvPr id="2" name="Straight Arrow Connector 1">
          <a:extLst>
            <a:ext uri="{FF2B5EF4-FFF2-40B4-BE49-F238E27FC236}">
              <a16:creationId xmlns:a16="http://schemas.microsoft.com/office/drawing/2014/main" id="{00000000-0008-0000-1C00-000002000000}"/>
            </a:ext>
          </a:extLst>
        </xdr:cNvPr>
        <xdr:cNvCxnSpPr/>
      </xdr:nvCxnSpPr>
      <xdr:spPr>
        <a:xfrm>
          <a:off x="9572625" y="542925"/>
          <a:ext cx="0" cy="561975"/>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38100</xdr:colOff>
      <xdr:row>1</xdr:row>
      <xdr:rowOff>9525</xdr:rowOff>
    </xdr:from>
    <xdr:to>
      <xdr:col>13</xdr:col>
      <xdr:colOff>97155</xdr:colOff>
      <xdr:row>5</xdr:row>
      <xdr:rowOff>56199</xdr:rowOff>
    </xdr:to>
    <xdr:pic>
      <xdr:nvPicPr>
        <xdr:cNvPr id="3" name="Picture 42">
          <a:extLst>
            <a:ext uri="{FF2B5EF4-FFF2-40B4-BE49-F238E27FC236}">
              <a16:creationId xmlns:a16="http://schemas.microsoft.com/office/drawing/2014/main" id="{00000000-0008-0000-1C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903" t="10485" r="9678" b="10483"/>
        <a:stretch/>
      </xdr:blipFill>
      <xdr:spPr bwMode="auto">
        <a:xfrm>
          <a:off x="10096500" y="247650"/>
          <a:ext cx="777240" cy="783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67541</xdr:colOff>
      <xdr:row>11</xdr:row>
      <xdr:rowOff>108240</xdr:rowOff>
    </xdr:from>
    <xdr:to>
      <xdr:col>2</xdr:col>
      <xdr:colOff>495503</xdr:colOff>
      <xdr:row>13</xdr:row>
      <xdr:rowOff>108240</xdr:rowOff>
    </xdr:to>
    <xdr:pic>
      <xdr:nvPicPr>
        <xdr:cNvPr id="7" name="Imagem 6">
          <a:extLst>
            <a:ext uri="{FF2B5EF4-FFF2-40B4-BE49-F238E27FC236}">
              <a16:creationId xmlns:a16="http://schemas.microsoft.com/office/drawing/2014/main" id="{00000000-0008-0000-1C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9941" y="2441865"/>
          <a:ext cx="1008987"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185027</xdr:colOff>
      <xdr:row>107</xdr:row>
      <xdr:rowOff>45413</xdr:rowOff>
    </xdr:from>
    <xdr:to>
      <xdr:col>2</xdr:col>
      <xdr:colOff>396947</xdr:colOff>
      <xdr:row>109</xdr:row>
      <xdr:rowOff>58748</xdr:rowOff>
    </xdr:to>
    <xdr:pic>
      <xdr:nvPicPr>
        <xdr:cNvPr id="15" name="Imagem 14">
          <a:extLst>
            <a:ext uri="{FF2B5EF4-FFF2-40B4-BE49-F238E27FC236}">
              <a16:creationId xmlns:a16="http://schemas.microsoft.com/office/drawing/2014/main" id="{00000000-0008-0000-1C00-00000F000000}"/>
            </a:ext>
          </a:extLst>
        </xdr:cNvPr>
        <xdr:cNvPicPr>
          <a:picLocks noChangeAspect="1"/>
        </xdr:cNvPicPr>
      </xdr:nvPicPr>
      <xdr:blipFill>
        <a:blip xmlns:r="http://schemas.openxmlformats.org/officeDocument/2006/relationships" r:embed="rId3"/>
        <a:stretch>
          <a:fillRect/>
        </a:stretch>
      </xdr:blipFill>
      <xdr:spPr>
        <a:xfrm>
          <a:off x="337427" y="3379163"/>
          <a:ext cx="785325" cy="361950"/>
        </a:xfrm>
        <a:prstGeom prst="rect">
          <a:avLst/>
        </a:prstGeom>
      </xdr:spPr>
    </xdr:pic>
    <xdr:clientData/>
  </xdr:twoCellAnchor>
  <xdr:twoCellAnchor editAs="oneCell">
    <xdr:from>
      <xdr:col>1</xdr:col>
      <xdr:colOff>0</xdr:colOff>
      <xdr:row>1</xdr:row>
      <xdr:rowOff>0</xdr:rowOff>
    </xdr:from>
    <xdr:to>
      <xdr:col>4</xdr:col>
      <xdr:colOff>514035</xdr:colOff>
      <xdr:row>5</xdr:row>
      <xdr:rowOff>60607</xdr:rowOff>
    </xdr:to>
    <xdr:pic>
      <xdr:nvPicPr>
        <xdr:cNvPr id="19" name="Picture 1">
          <a:extLst>
            <a:ext uri="{FF2B5EF4-FFF2-40B4-BE49-F238E27FC236}">
              <a16:creationId xmlns:a16="http://schemas.microsoft.com/office/drawing/2014/main" id="{00000000-0008-0000-1C00-000013000000}"/>
            </a:ext>
          </a:extLst>
        </xdr:cNvPr>
        <xdr:cNvPicPr>
          <a:picLocks noChangeAspect="1"/>
        </xdr:cNvPicPr>
      </xdr:nvPicPr>
      <xdr:blipFill>
        <a:blip xmlns:r="http://schemas.openxmlformats.org/officeDocument/2006/relationships" r:embed="rId4"/>
        <a:stretch>
          <a:fillRect/>
        </a:stretch>
      </xdr:blipFill>
      <xdr:spPr>
        <a:xfrm rot="5400000">
          <a:off x="1016336" y="-625811"/>
          <a:ext cx="792127" cy="2520000"/>
        </a:xfrm>
        <a:prstGeom prst="rect">
          <a:avLst/>
        </a:prstGeom>
      </xdr:spPr>
    </xdr:pic>
    <xdr:clientData/>
  </xdr:twoCellAnchor>
  <xdr:twoCellAnchor editAs="oneCell">
    <xdr:from>
      <xdr:col>1</xdr:col>
      <xdr:colOff>266700</xdr:colOff>
      <xdr:row>94</xdr:row>
      <xdr:rowOff>114300</xdr:rowOff>
    </xdr:from>
    <xdr:to>
      <xdr:col>2</xdr:col>
      <xdr:colOff>392123</xdr:colOff>
      <xdr:row>98</xdr:row>
      <xdr:rowOff>66675</xdr:rowOff>
    </xdr:to>
    <xdr:pic>
      <xdr:nvPicPr>
        <xdr:cNvPr id="20" name="Imagem 19">
          <a:extLst>
            <a:ext uri="{FF2B5EF4-FFF2-40B4-BE49-F238E27FC236}">
              <a16:creationId xmlns:a16="http://schemas.microsoft.com/office/drawing/2014/main" id="{00000000-0008-0000-1C00-000014000000}"/>
            </a:ext>
          </a:extLst>
        </xdr:cNvPr>
        <xdr:cNvPicPr>
          <a:picLocks noChangeAspect="1"/>
        </xdr:cNvPicPr>
      </xdr:nvPicPr>
      <xdr:blipFill>
        <a:blip xmlns:r="http://schemas.openxmlformats.org/officeDocument/2006/relationships" r:embed="rId5"/>
        <a:stretch>
          <a:fillRect/>
        </a:stretch>
      </xdr:blipFill>
      <xdr:spPr>
        <a:xfrm>
          <a:off x="419100" y="17526000"/>
          <a:ext cx="706448" cy="6762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251460</xdr:colOff>
          <xdr:row>0</xdr:row>
          <xdr:rowOff>30480</xdr:rowOff>
        </xdr:from>
        <xdr:to>
          <xdr:col>13</xdr:col>
          <xdr:colOff>480060</xdr:colOff>
          <xdr:row>46</xdr:row>
          <xdr:rowOff>30480</xdr:rowOff>
        </xdr:to>
        <xdr:sp macro="" textlink="">
          <xdr:nvSpPr>
            <xdr:cNvPr id="25602" name="Object 2" hidden="1">
              <a:extLst>
                <a:ext uri="{63B3BB69-23CF-44E3-9099-C40C66FF867C}">
                  <a14:compatExt spid="_x0000_s25602"/>
                </a:ext>
                <a:ext uri="{FF2B5EF4-FFF2-40B4-BE49-F238E27FC236}">
                  <a16:creationId xmlns:a16="http://schemas.microsoft.com/office/drawing/2014/main" id="{00000000-0008-0000-1E00-000002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329565</xdr:colOff>
      <xdr:row>16</xdr:row>
      <xdr:rowOff>19050</xdr:rowOff>
    </xdr:from>
    <xdr:to>
      <xdr:col>2</xdr:col>
      <xdr:colOff>288925</xdr:colOff>
      <xdr:row>18</xdr:row>
      <xdr:rowOff>135890</xdr:rowOff>
    </xdr:to>
    <xdr:pic>
      <xdr:nvPicPr>
        <xdr:cNvPr id="97010" name="Picture 2" descr="101-3197.tif">
          <a:extLst>
            <a:ext uri="{FF2B5EF4-FFF2-40B4-BE49-F238E27FC236}">
              <a16:creationId xmlns:a16="http://schemas.microsoft.com/office/drawing/2014/main" id="{00000000-0008-0000-0300-0000F27A0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1490" y="3343275"/>
          <a:ext cx="55753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352425</xdr:colOff>
      <xdr:row>35</xdr:row>
      <xdr:rowOff>85725</xdr:rowOff>
    </xdr:from>
    <xdr:to>
      <xdr:col>2</xdr:col>
      <xdr:colOff>287020</xdr:colOff>
      <xdr:row>36</xdr:row>
      <xdr:rowOff>206375</xdr:rowOff>
    </xdr:to>
    <xdr:pic>
      <xdr:nvPicPr>
        <xdr:cNvPr id="97011" name="Picture 4" descr="04-14trapadaptsmale.tif">
          <a:extLst>
            <a:ext uri="{FF2B5EF4-FFF2-40B4-BE49-F238E27FC236}">
              <a16:creationId xmlns:a16="http://schemas.microsoft.com/office/drawing/2014/main" id="{00000000-0008-0000-0300-0000F37A01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6725" y="4905375"/>
          <a:ext cx="5048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152400</xdr:colOff>
      <xdr:row>37</xdr:row>
      <xdr:rowOff>76200</xdr:rowOff>
    </xdr:from>
    <xdr:to>
      <xdr:col>2</xdr:col>
      <xdr:colOff>514985</xdr:colOff>
      <xdr:row>38</xdr:row>
      <xdr:rowOff>210820</xdr:rowOff>
    </xdr:to>
    <xdr:pic>
      <xdr:nvPicPr>
        <xdr:cNvPr id="97012" name="Picture 5" descr="103P3211.tif">
          <a:extLst>
            <a:ext uri="{FF2B5EF4-FFF2-40B4-BE49-F238E27FC236}">
              <a16:creationId xmlns:a16="http://schemas.microsoft.com/office/drawing/2014/main" id="{00000000-0008-0000-0300-0000F47A01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66700" y="5467350"/>
          <a:ext cx="9429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342899</xdr:colOff>
      <xdr:row>40</xdr:row>
      <xdr:rowOff>66675</xdr:rowOff>
    </xdr:from>
    <xdr:to>
      <xdr:col>2</xdr:col>
      <xdr:colOff>228599</xdr:colOff>
      <xdr:row>40</xdr:row>
      <xdr:rowOff>440639</xdr:rowOff>
    </xdr:to>
    <xdr:pic>
      <xdr:nvPicPr>
        <xdr:cNvPr id="97013" name="Picture 6" descr="06-06trapadaptsfem.tif">
          <a:extLst>
            <a:ext uri="{FF2B5EF4-FFF2-40B4-BE49-F238E27FC236}">
              <a16:creationId xmlns:a16="http://schemas.microsoft.com/office/drawing/2014/main" id="{00000000-0008-0000-0300-0000F57A01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rot="10800000">
          <a:off x="495299" y="6696075"/>
          <a:ext cx="466725" cy="377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314325</xdr:colOff>
      <xdr:row>41</xdr:row>
      <xdr:rowOff>66675</xdr:rowOff>
    </xdr:from>
    <xdr:to>
      <xdr:col>2</xdr:col>
      <xdr:colOff>325120</xdr:colOff>
      <xdr:row>42</xdr:row>
      <xdr:rowOff>210820</xdr:rowOff>
    </xdr:to>
    <xdr:pic>
      <xdr:nvPicPr>
        <xdr:cNvPr id="97014" name="Picture 7" descr="07-07trapadaptfemnut.tif">
          <a:extLst>
            <a:ext uri="{FF2B5EF4-FFF2-40B4-BE49-F238E27FC236}">
              <a16:creationId xmlns:a16="http://schemas.microsoft.com/office/drawing/2014/main" id="{00000000-0008-0000-0300-0000F67A01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rot="10800000">
          <a:off x="428625" y="7448550"/>
          <a:ext cx="5810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371475</xdr:colOff>
      <xdr:row>44</xdr:row>
      <xdr:rowOff>180975</xdr:rowOff>
    </xdr:from>
    <xdr:to>
      <xdr:col>2</xdr:col>
      <xdr:colOff>248920</xdr:colOff>
      <xdr:row>47</xdr:row>
      <xdr:rowOff>152400</xdr:rowOff>
    </xdr:to>
    <xdr:pic>
      <xdr:nvPicPr>
        <xdr:cNvPr id="97015" name="Picture 8" descr="08-10NEWfitcleadapt.tif">
          <a:extLst>
            <a:ext uri="{FF2B5EF4-FFF2-40B4-BE49-F238E27FC236}">
              <a16:creationId xmlns:a16="http://schemas.microsoft.com/office/drawing/2014/main" id="{00000000-0008-0000-0300-0000F77A01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85775" y="7572375"/>
          <a:ext cx="4476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180975</xdr:colOff>
      <xdr:row>50</xdr:row>
      <xdr:rowOff>38100</xdr:rowOff>
    </xdr:from>
    <xdr:to>
      <xdr:col>2</xdr:col>
      <xdr:colOff>477520</xdr:colOff>
      <xdr:row>53</xdr:row>
      <xdr:rowOff>20320</xdr:rowOff>
    </xdr:to>
    <xdr:pic>
      <xdr:nvPicPr>
        <xdr:cNvPr id="97016" name="Picture 9" descr="09-11fitcleadaptwcap.tif">
          <a:extLst>
            <a:ext uri="{FF2B5EF4-FFF2-40B4-BE49-F238E27FC236}">
              <a16:creationId xmlns:a16="http://schemas.microsoft.com/office/drawing/2014/main" id="{00000000-0008-0000-0300-0000F87A01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95275" y="8572500"/>
          <a:ext cx="8667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55</xdr:row>
      <xdr:rowOff>47625</xdr:rowOff>
    </xdr:from>
    <xdr:to>
      <xdr:col>2</xdr:col>
      <xdr:colOff>396875</xdr:colOff>
      <xdr:row>57</xdr:row>
      <xdr:rowOff>92075</xdr:rowOff>
    </xdr:to>
    <xdr:pic>
      <xdr:nvPicPr>
        <xdr:cNvPr id="97017" name="Picture 10" descr="10-12cleanoutplug.tif">
          <a:extLst>
            <a:ext uri="{FF2B5EF4-FFF2-40B4-BE49-F238E27FC236}">
              <a16:creationId xmlns:a16="http://schemas.microsoft.com/office/drawing/2014/main" id="{00000000-0008-0000-0300-0000F97A01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04800" y="9534525"/>
          <a:ext cx="7715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63</xdr:row>
      <xdr:rowOff>47625</xdr:rowOff>
    </xdr:from>
    <xdr:to>
      <xdr:col>2</xdr:col>
      <xdr:colOff>320675</xdr:colOff>
      <xdr:row>66</xdr:row>
      <xdr:rowOff>38735</xdr:rowOff>
    </xdr:to>
    <xdr:pic>
      <xdr:nvPicPr>
        <xdr:cNvPr id="97018" name="Picture 11" descr="11-03flushbusing02.tif">
          <a:extLst>
            <a:ext uri="{FF2B5EF4-FFF2-40B4-BE49-F238E27FC236}">
              <a16:creationId xmlns:a16="http://schemas.microsoft.com/office/drawing/2014/main" id="{00000000-0008-0000-0300-0000FA7A01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19100" y="10487025"/>
          <a:ext cx="5810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152400</xdr:colOff>
      <xdr:row>22</xdr:row>
      <xdr:rowOff>104775</xdr:rowOff>
    </xdr:from>
    <xdr:to>
      <xdr:col>2</xdr:col>
      <xdr:colOff>402590</xdr:colOff>
      <xdr:row>25</xdr:row>
      <xdr:rowOff>115570</xdr:rowOff>
    </xdr:to>
    <xdr:pic>
      <xdr:nvPicPr>
        <xdr:cNvPr id="2" name="Picture 12" descr="12-13maleadapt.tif">
          <a:extLst>
            <a:ext uri="{FF2B5EF4-FFF2-40B4-BE49-F238E27FC236}">
              <a16:creationId xmlns:a16="http://schemas.microsoft.com/office/drawing/2014/main" id="{00000000-0008-0000-0300-0000FB7A0100}"/>
            </a:ext>
            <a:ext uri="{147F2762-F138-4A5C-976F-8EAC2B608ADB}">
              <a16:predDERef xmlns:a16="http://schemas.microsoft.com/office/drawing/2014/main" pred="{00000000-0008-0000-0300-0000FA7A01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04800" y="4676775"/>
          <a:ext cx="844550" cy="559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276225</xdr:colOff>
      <xdr:row>70</xdr:row>
      <xdr:rowOff>9525</xdr:rowOff>
    </xdr:from>
    <xdr:to>
      <xdr:col>2</xdr:col>
      <xdr:colOff>324485</xdr:colOff>
      <xdr:row>72</xdr:row>
      <xdr:rowOff>174001</xdr:rowOff>
    </xdr:to>
    <xdr:pic>
      <xdr:nvPicPr>
        <xdr:cNvPr id="97020" name="Picture 13" descr="13-16cap.tif">
          <a:extLst>
            <a:ext uri="{FF2B5EF4-FFF2-40B4-BE49-F238E27FC236}">
              <a16:creationId xmlns:a16="http://schemas.microsoft.com/office/drawing/2014/main" id="{00000000-0008-0000-0300-0000FC7A01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90525" y="13496925"/>
          <a:ext cx="6286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276225</xdr:colOff>
      <xdr:row>92</xdr:row>
      <xdr:rowOff>57151</xdr:rowOff>
    </xdr:from>
    <xdr:to>
      <xdr:col>2</xdr:col>
      <xdr:colOff>326239</xdr:colOff>
      <xdr:row>94</xdr:row>
      <xdr:rowOff>114301</xdr:rowOff>
    </xdr:to>
    <xdr:pic>
      <xdr:nvPicPr>
        <xdr:cNvPr id="97024" name="Picture 17" descr="16-02repaircoupling.tif">
          <a:extLst>
            <a:ext uri="{FF2B5EF4-FFF2-40B4-BE49-F238E27FC236}">
              <a16:creationId xmlns:a16="http://schemas.microsoft.com/office/drawing/2014/main" id="{00000000-0008-0000-0300-0000007B01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390525" y="17840326"/>
          <a:ext cx="638659"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371475</xdr:colOff>
      <xdr:row>97</xdr:row>
      <xdr:rowOff>76200</xdr:rowOff>
    </xdr:from>
    <xdr:to>
      <xdr:col>2</xdr:col>
      <xdr:colOff>169666</xdr:colOff>
      <xdr:row>99</xdr:row>
      <xdr:rowOff>135255</xdr:rowOff>
    </xdr:to>
    <xdr:pic>
      <xdr:nvPicPr>
        <xdr:cNvPr id="97025" name="Picture 18" descr="17-17testcap.tif">
          <a:extLst>
            <a:ext uri="{FF2B5EF4-FFF2-40B4-BE49-F238E27FC236}">
              <a16:creationId xmlns:a16="http://schemas.microsoft.com/office/drawing/2014/main" id="{00000000-0008-0000-0300-0000017B01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23875" y="18011775"/>
          <a:ext cx="388741"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257175</xdr:colOff>
      <xdr:row>102</xdr:row>
      <xdr:rowOff>47625</xdr:rowOff>
    </xdr:from>
    <xdr:to>
      <xdr:col>2</xdr:col>
      <xdr:colOff>324485</xdr:colOff>
      <xdr:row>105</xdr:row>
      <xdr:rowOff>38735</xdr:rowOff>
    </xdr:to>
    <xdr:pic>
      <xdr:nvPicPr>
        <xdr:cNvPr id="97026" name="Picture 19" descr="DWV14bendHH.tif">
          <a:extLst>
            <a:ext uri="{FF2B5EF4-FFF2-40B4-BE49-F238E27FC236}">
              <a16:creationId xmlns:a16="http://schemas.microsoft.com/office/drawing/2014/main" id="{00000000-0008-0000-0300-0000027B01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71475" y="18659475"/>
          <a:ext cx="6477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276225</xdr:colOff>
      <xdr:row>108</xdr:row>
      <xdr:rowOff>171450</xdr:rowOff>
    </xdr:from>
    <xdr:to>
      <xdr:col>2</xdr:col>
      <xdr:colOff>325120</xdr:colOff>
      <xdr:row>111</xdr:row>
      <xdr:rowOff>172085</xdr:rowOff>
    </xdr:to>
    <xdr:pic>
      <xdr:nvPicPr>
        <xdr:cNvPr id="97027" name="Picture 20" descr="DWV14bendHS.tif">
          <a:extLst>
            <a:ext uri="{FF2B5EF4-FFF2-40B4-BE49-F238E27FC236}">
              <a16:creationId xmlns:a16="http://schemas.microsoft.com/office/drawing/2014/main" id="{00000000-0008-0000-0300-0000037B01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390525" y="20831175"/>
          <a:ext cx="6191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409575</xdr:colOff>
      <xdr:row>113</xdr:row>
      <xdr:rowOff>47625</xdr:rowOff>
    </xdr:from>
    <xdr:to>
      <xdr:col>2</xdr:col>
      <xdr:colOff>211455</xdr:colOff>
      <xdr:row>114</xdr:row>
      <xdr:rowOff>249555</xdr:rowOff>
    </xdr:to>
    <xdr:pic>
      <xdr:nvPicPr>
        <xdr:cNvPr id="97028" name="Picture 21" descr="14bendstreetwlowheelHSH.tif">
          <a:extLst>
            <a:ext uri="{FF2B5EF4-FFF2-40B4-BE49-F238E27FC236}">
              <a16:creationId xmlns:a16="http://schemas.microsoft.com/office/drawing/2014/main" id="{00000000-0008-0000-0300-0000047B01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23875" y="20945475"/>
          <a:ext cx="3905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247650</xdr:colOff>
      <xdr:row>157</xdr:row>
      <xdr:rowOff>28575</xdr:rowOff>
    </xdr:from>
    <xdr:to>
      <xdr:col>2</xdr:col>
      <xdr:colOff>363855</xdr:colOff>
      <xdr:row>159</xdr:row>
      <xdr:rowOff>167640</xdr:rowOff>
    </xdr:to>
    <xdr:pic>
      <xdr:nvPicPr>
        <xdr:cNvPr id="97030" name="Picture 31" descr="327-3426.tif">
          <a:extLst>
            <a:ext uri="{FF2B5EF4-FFF2-40B4-BE49-F238E27FC236}">
              <a16:creationId xmlns:a16="http://schemas.microsoft.com/office/drawing/2014/main" id="{00000000-0008-0000-0300-0000067B01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419100" y="29718000"/>
          <a:ext cx="7048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333375</xdr:colOff>
      <xdr:row>167</xdr:row>
      <xdr:rowOff>133350</xdr:rowOff>
    </xdr:from>
    <xdr:to>
      <xdr:col>2</xdr:col>
      <xdr:colOff>211455</xdr:colOff>
      <xdr:row>169</xdr:row>
      <xdr:rowOff>130175</xdr:rowOff>
    </xdr:to>
    <xdr:pic>
      <xdr:nvPicPr>
        <xdr:cNvPr id="97031" name="Picture 34" descr="VentEllHH.tif">
          <a:extLst>
            <a:ext uri="{FF2B5EF4-FFF2-40B4-BE49-F238E27FC236}">
              <a16:creationId xmlns:a16="http://schemas.microsoft.com/office/drawing/2014/main" id="{00000000-0008-0000-0300-0000077B01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47675" y="34756725"/>
          <a:ext cx="46672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352425</xdr:colOff>
      <xdr:row>171</xdr:row>
      <xdr:rowOff>104775</xdr:rowOff>
    </xdr:from>
    <xdr:to>
      <xdr:col>2</xdr:col>
      <xdr:colOff>212725</xdr:colOff>
      <xdr:row>173</xdr:row>
      <xdr:rowOff>91440</xdr:rowOff>
    </xdr:to>
    <xdr:pic>
      <xdr:nvPicPr>
        <xdr:cNvPr id="97032" name="Picture 35" descr="VentEllHS.tif">
          <a:extLst>
            <a:ext uri="{FF2B5EF4-FFF2-40B4-BE49-F238E27FC236}">
              <a16:creationId xmlns:a16="http://schemas.microsoft.com/office/drawing/2014/main" id="{00000000-0008-0000-0300-0000087B01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04825" y="32108775"/>
          <a:ext cx="44513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361950</xdr:colOff>
      <xdr:row>176</xdr:row>
      <xdr:rowOff>38100</xdr:rowOff>
    </xdr:from>
    <xdr:to>
      <xdr:col>2</xdr:col>
      <xdr:colOff>320675</xdr:colOff>
      <xdr:row>179</xdr:row>
      <xdr:rowOff>57150</xdr:rowOff>
    </xdr:to>
    <xdr:pic>
      <xdr:nvPicPr>
        <xdr:cNvPr id="97033" name="Picture 37" descr="30-29santee02.tif">
          <a:extLst>
            <a:ext uri="{FF2B5EF4-FFF2-40B4-BE49-F238E27FC236}">
              <a16:creationId xmlns:a16="http://schemas.microsoft.com/office/drawing/2014/main" id="{00000000-0008-0000-0300-0000097B01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14350" y="32804100"/>
          <a:ext cx="53213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323850</xdr:colOff>
      <xdr:row>182</xdr:row>
      <xdr:rowOff>180975</xdr:rowOff>
    </xdr:from>
    <xdr:to>
      <xdr:col>2</xdr:col>
      <xdr:colOff>396875</xdr:colOff>
      <xdr:row>186</xdr:row>
      <xdr:rowOff>95250</xdr:rowOff>
    </xdr:to>
    <xdr:pic>
      <xdr:nvPicPr>
        <xdr:cNvPr id="97034" name="Picture 36" descr="dblsanitaryteereducingall hub.tif">
          <a:extLst>
            <a:ext uri="{FF2B5EF4-FFF2-40B4-BE49-F238E27FC236}">
              <a16:creationId xmlns:a16="http://schemas.microsoft.com/office/drawing/2014/main" id="{00000000-0008-0000-0300-00000A7B01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476250" y="34089975"/>
          <a:ext cx="64643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333375</xdr:colOff>
      <xdr:row>189</xdr:row>
      <xdr:rowOff>123825</xdr:rowOff>
    </xdr:from>
    <xdr:to>
      <xdr:col>2</xdr:col>
      <xdr:colOff>282575</xdr:colOff>
      <xdr:row>192</xdr:row>
      <xdr:rowOff>55078</xdr:rowOff>
    </xdr:to>
    <xdr:pic>
      <xdr:nvPicPr>
        <xdr:cNvPr id="97035" name="Picture 38" descr="403-3479.tif">
          <a:extLst>
            <a:ext uri="{FF2B5EF4-FFF2-40B4-BE49-F238E27FC236}">
              <a16:creationId xmlns:a16="http://schemas.microsoft.com/office/drawing/2014/main" id="{00000000-0008-0000-0300-00000B7B01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504825" y="36271200"/>
          <a:ext cx="522605" cy="5065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352424</xdr:colOff>
      <xdr:row>193</xdr:row>
      <xdr:rowOff>49530</xdr:rowOff>
    </xdr:from>
    <xdr:to>
      <xdr:col>2</xdr:col>
      <xdr:colOff>308607</xdr:colOff>
      <xdr:row>195</xdr:row>
      <xdr:rowOff>111940</xdr:rowOff>
    </xdr:to>
    <xdr:pic>
      <xdr:nvPicPr>
        <xdr:cNvPr id="97036" name="Picture 39" descr="404-3487NEW.tif">
          <a:extLst>
            <a:ext uri="{FF2B5EF4-FFF2-40B4-BE49-F238E27FC236}">
              <a16:creationId xmlns:a16="http://schemas.microsoft.com/office/drawing/2014/main" id="{00000000-0008-0000-0300-00000C7B0100}"/>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l="-8621" r="-1"/>
        <a:stretch/>
      </xdr:blipFill>
      <xdr:spPr bwMode="auto">
        <a:xfrm flipH="1">
          <a:off x="504824" y="36054030"/>
          <a:ext cx="537208" cy="443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266700</xdr:colOff>
      <xdr:row>205</xdr:row>
      <xdr:rowOff>66674</xdr:rowOff>
    </xdr:from>
    <xdr:to>
      <xdr:col>2</xdr:col>
      <xdr:colOff>320675</xdr:colOff>
      <xdr:row>208</xdr:row>
      <xdr:rowOff>15240</xdr:rowOff>
    </xdr:to>
    <xdr:pic>
      <xdr:nvPicPr>
        <xdr:cNvPr id="97037" name="Picture 44" descr="doublesantteeallhub03.tif">
          <a:extLst>
            <a:ext uri="{FF2B5EF4-FFF2-40B4-BE49-F238E27FC236}">
              <a16:creationId xmlns:a16="http://schemas.microsoft.com/office/drawing/2014/main" id="{00000000-0008-0000-0300-00000D7B01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38150" y="39547799"/>
          <a:ext cx="627380" cy="523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276225</xdr:colOff>
      <xdr:row>209</xdr:row>
      <xdr:rowOff>152400</xdr:rowOff>
    </xdr:from>
    <xdr:to>
      <xdr:col>2</xdr:col>
      <xdr:colOff>286385</xdr:colOff>
      <xdr:row>212</xdr:row>
      <xdr:rowOff>114300</xdr:rowOff>
    </xdr:to>
    <xdr:pic>
      <xdr:nvPicPr>
        <xdr:cNvPr id="97038" name="Picture 43" descr="429-3513NEW.tif">
          <a:extLst>
            <a:ext uri="{FF2B5EF4-FFF2-40B4-BE49-F238E27FC236}">
              <a16:creationId xmlns:a16="http://schemas.microsoft.com/office/drawing/2014/main" id="{00000000-0008-0000-0300-00000E7B01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47675" y="40395525"/>
          <a:ext cx="58166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366713</xdr:colOff>
      <xdr:row>221</xdr:row>
      <xdr:rowOff>71437</xdr:rowOff>
    </xdr:from>
    <xdr:to>
      <xdr:col>2</xdr:col>
      <xdr:colOff>244475</xdr:colOff>
      <xdr:row>223</xdr:row>
      <xdr:rowOff>168945</xdr:rowOff>
    </xdr:to>
    <xdr:pic>
      <xdr:nvPicPr>
        <xdr:cNvPr id="97039" name="Picture 47" descr="37-32cleanouttee.tif">
          <a:extLst>
            <a:ext uri="{FF2B5EF4-FFF2-40B4-BE49-F238E27FC236}">
              <a16:creationId xmlns:a16="http://schemas.microsoft.com/office/drawing/2014/main" id="{00000000-0008-0000-0300-00000F7B01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rot="5400000">
          <a:off x="519730" y="42971420"/>
          <a:ext cx="488033" cy="451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323850</xdr:colOff>
      <xdr:row>225</xdr:row>
      <xdr:rowOff>142876</xdr:rowOff>
    </xdr:from>
    <xdr:to>
      <xdr:col>2</xdr:col>
      <xdr:colOff>248920</xdr:colOff>
      <xdr:row>228</xdr:row>
      <xdr:rowOff>57153</xdr:rowOff>
    </xdr:to>
    <xdr:pic>
      <xdr:nvPicPr>
        <xdr:cNvPr id="97040" name="Picture 48" descr="36-31cleanoutteewco.tif">
          <a:extLst>
            <a:ext uri="{FF2B5EF4-FFF2-40B4-BE49-F238E27FC236}">
              <a16:creationId xmlns:a16="http://schemas.microsoft.com/office/drawing/2014/main" id="{00000000-0008-0000-0300-0000107B01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rot="5400000">
          <a:off x="503554" y="43778172"/>
          <a:ext cx="476252" cy="492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429441</xdr:colOff>
      <xdr:row>232</xdr:row>
      <xdr:rowOff>57149</xdr:rowOff>
    </xdr:from>
    <xdr:to>
      <xdr:col>2</xdr:col>
      <xdr:colOff>173356</xdr:colOff>
      <xdr:row>234</xdr:row>
      <xdr:rowOff>53952</xdr:rowOff>
    </xdr:to>
    <xdr:pic>
      <xdr:nvPicPr>
        <xdr:cNvPr id="45" name="Picture 44" descr="448-3557.tif">
          <a:extLst>
            <a:ext uri="{FF2B5EF4-FFF2-40B4-BE49-F238E27FC236}">
              <a16:creationId xmlns:a16="http://schemas.microsoft.com/office/drawing/2014/main" id="{00000000-0008-0000-0300-00002D000000}"/>
            </a:ext>
          </a:extLst>
        </xdr:cNvPr>
        <xdr:cNvPicPr>
          <a:picLocks noChangeAspect="1"/>
        </xdr:cNvPicPr>
      </xdr:nvPicPr>
      <xdr:blipFill>
        <a:blip xmlns:r="http://schemas.openxmlformats.org/officeDocument/2006/relationships" r:embed="rId28" cstate="print"/>
        <a:stretch>
          <a:fillRect/>
        </a:stretch>
      </xdr:blipFill>
      <xdr:spPr>
        <a:xfrm>
          <a:off x="600891" y="45415199"/>
          <a:ext cx="332560" cy="385423"/>
        </a:xfrm>
        <a:prstGeom prst="rect">
          <a:avLst/>
        </a:prstGeom>
        <a:scene3d>
          <a:camera prst="orthographicFront">
            <a:rot lat="0" lon="0" rev="0"/>
          </a:camera>
          <a:lightRig rig="threePt" dir="t"/>
        </a:scene3d>
      </xdr:spPr>
    </xdr:pic>
    <xdr:clientData/>
  </xdr:twoCellAnchor>
  <xdr:twoCellAnchor editAs="oneCell">
    <xdr:from>
      <xdr:col>1</xdr:col>
      <xdr:colOff>390525</xdr:colOff>
      <xdr:row>240</xdr:row>
      <xdr:rowOff>114300</xdr:rowOff>
    </xdr:from>
    <xdr:to>
      <xdr:col>2</xdr:col>
      <xdr:colOff>362585</xdr:colOff>
      <xdr:row>243</xdr:row>
      <xdr:rowOff>53552</xdr:rowOff>
    </xdr:to>
    <xdr:pic>
      <xdr:nvPicPr>
        <xdr:cNvPr id="97042" name="Picture 50" descr="501-3561.tif">
          <a:extLst>
            <a:ext uri="{FF2B5EF4-FFF2-40B4-BE49-F238E27FC236}">
              <a16:creationId xmlns:a16="http://schemas.microsoft.com/office/drawing/2014/main" id="{00000000-0008-0000-0300-0000127B01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561975" y="46615350"/>
          <a:ext cx="543560" cy="5145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342900</xdr:colOff>
      <xdr:row>245</xdr:row>
      <xdr:rowOff>57150</xdr:rowOff>
    </xdr:from>
    <xdr:to>
      <xdr:col>2</xdr:col>
      <xdr:colOff>396875</xdr:colOff>
      <xdr:row>248</xdr:row>
      <xdr:rowOff>15769</xdr:rowOff>
    </xdr:to>
    <xdr:pic>
      <xdr:nvPicPr>
        <xdr:cNvPr id="97043" name="Picture 51" descr="502-3565.tif">
          <a:extLst>
            <a:ext uri="{FF2B5EF4-FFF2-40B4-BE49-F238E27FC236}">
              <a16:creationId xmlns:a16="http://schemas.microsoft.com/office/drawing/2014/main" id="{00000000-0008-0000-0300-0000137B01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514350" y="47701200"/>
          <a:ext cx="638810" cy="5091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390525</xdr:colOff>
      <xdr:row>249</xdr:row>
      <xdr:rowOff>85725</xdr:rowOff>
    </xdr:from>
    <xdr:to>
      <xdr:col>2</xdr:col>
      <xdr:colOff>229235</xdr:colOff>
      <xdr:row>249</xdr:row>
      <xdr:rowOff>548640</xdr:rowOff>
    </xdr:to>
    <xdr:pic>
      <xdr:nvPicPr>
        <xdr:cNvPr id="97045" name="Picture 53" descr="39-newcombowye18bend3.tif">
          <a:extLst>
            <a:ext uri="{FF2B5EF4-FFF2-40B4-BE49-F238E27FC236}">
              <a16:creationId xmlns:a16="http://schemas.microsoft.com/office/drawing/2014/main" id="{00000000-0008-0000-0300-0000157B01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542925" y="47424975"/>
          <a:ext cx="41973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152400</xdr:colOff>
      <xdr:row>250</xdr:row>
      <xdr:rowOff>123825</xdr:rowOff>
    </xdr:from>
    <xdr:to>
      <xdr:col>2</xdr:col>
      <xdr:colOff>326390</xdr:colOff>
      <xdr:row>253</xdr:row>
      <xdr:rowOff>19986</xdr:rowOff>
    </xdr:to>
    <xdr:pic>
      <xdr:nvPicPr>
        <xdr:cNvPr id="97046" name="Picture 54" descr="40-35dblcombowye.tif">
          <a:extLst>
            <a:ext uri="{FF2B5EF4-FFF2-40B4-BE49-F238E27FC236}">
              <a16:creationId xmlns:a16="http://schemas.microsoft.com/office/drawing/2014/main" id="{00000000-0008-0000-0300-0000167B01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323850" y="49577625"/>
          <a:ext cx="751205" cy="4695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257175</xdr:colOff>
      <xdr:row>255</xdr:row>
      <xdr:rowOff>190499</xdr:rowOff>
    </xdr:from>
    <xdr:to>
      <xdr:col>2</xdr:col>
      <xdr:colOff>457200</xdr:colOff>
      <xdr:row>259</xdr:row>
      <xdr:rowOff>59054</xdr:rowOff>
    </xdr:to>
    <xdr:pic>
      <xdr:nvPicPr>
        <xdr:cNvPr id="97047" name="Picture 55" descr="41-36wye600-02.tif">
          <a:extLst>
            <a:ext uri="{FF2B5EF4-FFF2-40B4-BE49-F238E27FC236}">
              <a16:creationId xmlns:a16="http://schemas.microsoft.com/office/drawing/2014/main" id="{00000000-0008-0000-0300-0000177B01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409575" y="48777524"/>
          <a:ext cx="7810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285750</xdr:colOff>
      <xdr:row>262</xdr:row>
      <xdr:rowOff>133350</xdr:rowOff>
    </xdr:from>
    <xdr:to>
      <xdr:col>2</xdr:col>
      <xdr:colOff>402590</xdr:colOff>
      <xdr:row>266</xdr:row>
      <xdr:rowOff>68580</xdr:rowOff>
    </xdr:to>
    <xdr:pic>
      <xdr:nvPicPr>
        <xdr:cNvPr id="5" name="Picture 56" descr="DWweyereducing all.tif">
          <a:extLst>
            <a:ext uri="{FF2B5EF4-FFF2-40B4-BE49-F238E27FC236}">
              <a16:creationId xmlns:a16="http://schemas.microsoft.com/office/drawing/2014/main" id="{00000000-0008-0000-0300-0000187B0100}"/>
            </a:ext>
            <a:ext uri="{147F2762-F138-4A5C-976F-8EAC2B608ADB}">
              <a16:predDERef xmlns:a16="http://schemas.microsoft.com/office/drawing/2014/main" pred="{00000000-0008-0000-0300-0000177B01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438150" y="55873650"/>
          <a:ext cx="7112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295274</xdr:colOff>
      <xdr:row>270</xdr:row>
      <xdr:rowOff>85725</xdr:rowOff>
    </xdr:from>
    <xdr:to>
      <xdr:col>2</xdr:col>
      <xdr:colOff>358774</xdr:colOff>
      <xdr:row>272</xdr:row>
      <xdr:rowOff>155564</xdr:rowOff>
    </xdr:to>
    <xdr:pic>
      <xdr:nvPicPr>
        <xdr:cNvPr id="97049" name="Picture 58" descr="43-37wyestreet602.tif">
          <a:extLst>
            <a:ext uri="{FF2B5EF4-FFF2-40B4-BE49-F238E27FC236}">
              <a16:creationId xmlns:a16="http://schemas.microsoft.com/office/drawing/2014/main" id="{00000000-0008-0000-0300-0000197B0100}"/>
            </a:ext>
          </a:extLst>
        </xdr:cNvPr>
        <xdr:cNvPicPr>
          <a:picLocks noChangeAspect="1"/>
        </xdr:cNvPicPr>
      </xdr:nvPicPr>
      <xdr:blipFill rotWithShape="1">
        <a:blip xmlns:r="http://schemas.openxmlformats.org/officeDocument/2006/relationships" r:embed="rId35" cstate="print">
          <a:extLst>
            <a:ext uri="{28A0092B-C50C-407E-A947-70E740481C1C}">
              <a14:useLocalDpi xmlns:a14="http://schemas.microsoft.com/office/drawing/2010/main" val="0"/>
            </a:ext>
          </a:extLst>
        </a:blip>
        <a:srcRect l="-7018" r="-8773"/>
        <a:stretch/>
      </xdr:blipFill>
      <xdr:spPr bwMode="auto">
        <a:xfrm flipH="1">
          <a:off x="466724" y="53349525"/>
          <a:ext cx="636905" cy="4508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371475</xdr:colOff>
      <xdr:row>274</xdr:row>
      <xdr:rowOff>47624</xdr:rowOff>
    </xdr:from>
    <xdr:to>
      <xdr:col>2</xdr:col>
      <xdr:colOff>281940</xdr:colOff>
      <xdr:row>276</xdr:row>
      <xdr:rowOff>115881</xdr:rowOff>
    </xdr:to>
    <xdr:pic>
      <xdr:nvPicPr>
        <xdr:cNvPr id="97050" name="Picture 57" descr="44-newwyestreet603.tif">
          <a:extLst>
            <a:ext uri="{FF2B5EF4-FFF2-40B4-BE49-F238E27FC236}">
              <a16:creationId xmlns:a16="http://schemas.microsoft.com/office/drawing/2014/main" id="{00000000-0008-0000-0300-00001A7B01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flipH="1">
          <a:off x="523875" y="52063649"/>
          <a:ext cx="495300" cy="4492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180975</xdr:colOff>
      <xdr:row>278</xdr:row>
      <xdr:rowOff>142875</xdr:rowOff>
    </xdr:from>
    <xdr:to>
      <xdr:col>2</xdr:col>
      <xdr:colOff>439420</xdr:colOff>
      <xdr:row>281</xdr:row>
      <xdr:rowOff>154305</xdr:rowOff>
    </xdr:to>
    <xdr:pic>
      <xdr:nvPicPr>
        <xdr:cNvPr id="97051" name="Picture 59" descr="doublesantteeallhub04.tif">
          <a:extLst>
            <a:ext uri="{FF2B5EF4-FFF2-40B4-BE49-F238E27FC236}">
              <a16:creationId xmlns:a16="http://schemas.microsoft.com/office/drawing/2014/main" id="{00000000-0008-0000-0300-00001B7B010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333375" y="52730400"/>
          <a:ext cx="82613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257175</xdr:colOff>
      <xdr:row>284</xdr:row>
      <xdr:rowOff>114299</xdr:rowOff>
    </xdr:from>
    <xdr:to>
      <xdr:col>2</xdr:col>
      <xdr:colOff>350520</xdr:colOff>
      <xdr:row>287</xdr:row>
      <xdr:rowOff>118109</xdr:rowOff>
    </xdr:to>
    <xdr:pic>
      <xdr:nvPicPr>
        <xdr:cNvPr id="6" name="Picture 60" descr="doublesantteeallhub02.tif">
          <a:extLst>
            <a:ext uri="{FF2B5EF4-FFF2-40B4-BE49-F238E27FC236}">
              <a16:creationId xmlns:a16="http://schemas.microsoft.com/office/drawing/2014/main" id="{00000000-0008-0000-0300-00001C7B0100}"/>
            </a:ext>
            <a:ext uri="{147F2762-F138-4A5C-976F-8EAC2B608ADB}">
              <a16:predDERef xmlns:a16="http://schemas.microsoft.com/office/drawing/2014/main" pred="{00000000-0008-0000-0300-00001B7B01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409575" y="60064649"/>
          <a:ext cx="68770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290</xdr:row>
      <xdr:rowOff>123825</xdr:rowOff>
    </xdr:from>
    <xdr:to>
      <xdr:col>2</xdr:col>
      <xdr:colOff>358775</xdr:colOff>
      <xdr:row>293</xdr:row>
      <xdr:rowOff>40005</xdr:rowOff>
    </xdr:to>
    <xdr:pic>
      <xdr:nvPicPr>
        <xdr:cNvPr id="97053" name="Picture 61" descr="47-41returnbend.tif">
          <a:extLst>
            <a:ext uri="{FF2B5EF4-FFF2-40B4-BE49-F238E27FC236}">
              <a16:creationId xmlns:a16="http://schemas.microsoft.com/office/drawing/2014/main" id="{00000000-0008-0000-0300-00001D7B0100}"/>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476250" y="56816625"/>
          <a:ext cx="62738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219075</xdr:colOff>
      <xdr:row>294</xdr:row>
      <xdr:rowOff>76200</xdr:rowOff>
    </xdr:from>
    <xdr:to>
      <xdr:col>2</xdr:col>
      <xdr:colOff>400685</xdr:colOff>
      <xdr:row>297</xdr:row>
      <xdr:rowOff>53347</xdr:rowOff>
    </xdr:to>
    <xdr:pic>
      <xdr:nvPicPr>
        <xdr:cNvPr id="97054" name="Picture 62" descr="48-39ptrap.tif">
          <a:extLst>
            <a:ext uri="{FF2B5EF4-FFF2-40B4-BE49-F238E27FC236}">
              <a16:creationId xmlns:a16="http://schemas.microsoft.com/office/drawing/2014/main" id="{00000000-0008-0000-0300-00001E7B0100}"/>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390525" y="57531000"/>
          <a:ext cx="753110" cy="541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333376</xdr:colOff>
      <xdr:row>298</xdr:row>
      <xdr:rowOff>66674</xdr:rowOff>
    </xdr:from>
    <xdr:to>
      <xdr:col>2</xdr:col>
      <xdr:colOff>207914</xdr:colOff>
      <xdr:row>298</xdr:row>
      <xdr:rowOff>516255</xdr:rowOff>
    </xdr:to>
    <xdr:pic>
      <xdr:nvPicPr>
        <xdr:cNvPr id="97055" name="Picture 63" descr="707-X-3676.tif">
          <a:extLst>
            <a:ext uri="{FF2B5EF4-FFF2-40B4-BE49-F238E27FC236}">
              <a16:creationId xmlns:a16="http://schemas.microsoft.com/office/drawing/2014/main" id="{00000000-0008-0000-0300-00001F7B01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504826" y="58283474"/>
          <a:ext cx="468898" cy="4381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257175</xdr:colOff>
      <xdr:row>299</xdr:row>
      <xdr:rowOff>85725</xdr:rowOff>
    </xdr:from>
    <xdr:to>
      <xdr:col>2</xdr:col>
      <xdr:colOff>343535</xdr:colOff>
      <xdr:row>300</xdr:row>
      <xdr:rowOff>249575</xdr:rowOff>
    </xdr:to>
    <xdr:pic>
      <xdr:nvPicPr>
        <xdr:cNvPr id="97056" name="Picture 64" descr="708-3680.tif">
          <a:extLst>
            <a:ext uri="{FF2B5EF4-FFF2-40B4-BE49-F238E27FC236}">
              <a16:creationId xmlns:a16="http://schemas.microsoft.com/office/drawing/2014/main" id="{00000000-0008-0000-0300-0000207B01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428625" y="58883550"/>
          <a:ext cx="667385" cy="537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238125</xdr:colOff>
      <xdr:row>303</xdr:row>
      <xdr:rowOff>76200</xdr:rowOff>
    </xdr:from>
    <xdr:to>
      <xdr:col>2</xdr:col>
      <xdr:colOff>434975</xdr:colOff>
      <xdr:row>304</xdr:row>
      <xdr:rowOff>227819</xdr:rowOff>
    </xdr:to>
    <xdr:pic>
      <xdr:nvPicPr>
        <xdr:cNvPr id="97057" name="Picture 65" descr="49-newclosetflange.tif">
          <a:extLst>
            <a:ext uri="{FF2B5EF4-FFF2-40B4-BE49-F238E27FC236}">
              <a16:creationId xmlns:a16="http://schemas.microsoft.com/office/drawing/2014/main" id="{00000000-0008-0000-0300-0000217B01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409575" y="60331350"/>
          <a:ext cx="770255" cy="4316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238125</xdr:colOff>
      <xdr:row>305</xdr:row>
      <xdr:rowOff>85725</xdr:rowOff>
    </xdr:from>
    <xdr:to>
      <xdr:col>2</xdr:col>
      <xdr:colOff>401955</xdr:colOff>
      <xdr:row>306</xdr:row>
      <xdr:rowOff>209550</xdr:rowOff>
    </xdr:to>
    <xdr:pic>
      <xdr:nvPicPr>
        <xdr:cNvPr id="97058" name="Picture 66" descr="New_Pastors_letter_to_congregation.tif">
          <a:extLst>
            <a:ext uri="{FF2B5EF4-FFF2-40B4-BE49-F238E27FC236}">
              <a16:creationId xmlns:a16="http://schemas.microsoft.com/office/drawing/2014/main" id="{00000000-0008-0000-0300-0000227B01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409575" y="6089332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295275</xdr:colOff>
      <xdr:row>29</xdr:row>
      <xdr:rowOff>85725</xdr:rowOff>
    </xdr:from>
    <xdr:to>
      <xdr:col>2</xdr:col>
      <xdr:colOff>287020</xdr:colOff>
      <xdr:row>32</xdr:row>
      <xdr:rowOff>76200</xdr:rowOff>
    </xdr:to>
    <xdr:pic>
      <xdr:nvPicPr>
        <xdr:cNvPr id="97061" name="Picture 1106" descr="P102 Pipe Increaser - Reducer">
          <a:extLst>
            <a:ext uri="{FF2B5EF4-FFF2-40B4-BE49-F238E27FC236}">
              <a16:creationId xmlns:a16="http://schemas.microsoft.com/office/drawing/2014/main" id="{00000000-0008-0000-0300-0000257B01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409575" y="4219575"/>
          <a:ext cx="5619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295275</xdr:colOff>
      <xdr:row>116</xdr:row>
      <xdr:rowOff>28575</xdr:rowOff>
    </xdr:from>
    <xdr:to>
      <xdr:col>2</xdr:col>
      <xdr:colOff>282575</xdr:colOff>
      <xdr:row>119</xdr:row>
      <xdr:rowOff>21590</xdr:rowOff>
    </xdr:to>
    <xdr:pic>
      <xdr:nvPicPr>
        <xdr:cNvPr id="97062" name="Picture 3" descr="P304 Long Sweep 1/4 Bend">
          <a:extLst>
            <a:ext uri="{FF2B5EF4-FFF2-40B4-BE49-F238E27FC236}">
              <a16:creationId xmlns:a16="http://schemas.microsoft.com/office/drawing/2014/main" id="{00000000-0008-0000-0300-0000267B0100}"/>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rot="5400000">
          <a:off x="409575" y="22945725"/>
          <a:ext cx="552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295275</xdr:colOff>
      <xdr:row>120</xdr:row>
      <xdr:rowOff>133350</xdr:rowOff>
    </xdr:from>
    <xdr:to>
      <xdr:col>2</xdr:col>
      <xdr:colOff>287020</xdr:colOff>
      <xdr:row>123</xdr:row>
      <xdr:rowOff>130175</xdr:rowOff>
    </xdr:to>
    <xdr:pic>
      <xdr:nvPicPr>
        <xdr:cNvPr id="97063" name="Picture 4" descr="P309 Long Sweep 1/4 Bend, Street">
          <a:extLst>
            <a:ext uri="{FF2B5EF4-FFF2-40B4-BE49-F238E27FC236}">
              <a16:creationId xmlns:a16="http://schemas.microsoft.com/office/drawing/2014/main" id="{00000000-0008-0000-0300-0000277B0100}"/>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rot="5400000">
          <a:off x="409575" y="23812500"/>
          <a:ext cx="5619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295274</xdr:colOff>
      <xdr:row>125</xdr:row>
      <xdr:rowOff>123825</xdr:rowOff>
    </xdr:from>
    <xdr:to>
      <xdr:col>2</xdr:col>
      <xdr:colOff>287019</xdr:colOff>
      <xdr:row>128</xdr:row>
      <xdr:rowOff>15240</xdr:rowOff>
    </xdr:to>
    <xdr:pic>
      <xdr:nvPicPr>
        <xdr:cNvPr id="97064" name="Picture 1107" descr="P319 1/6 Bend">
          <a:extLst>
            <a:ext uri="{FF2B5EF4-FFF2-40B4-BE49-F238E27FC236}">
              <a16:creationId xmlns:a16="http://schemas.microsoft.com/office/drawing/2014/main" id="{00000000-0008-0000-0300-0000287B0100}"/>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rot="5400000">
          <a:off x="494029" y="23528020"/>
          <a:ext cx="466725" cy="559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129</xdr:row>
      <xdr:rowOff>133350</xdr:rowOff>
    </xdr:from>
    <xdr:to>
      <xdr:col>2</xdr:col>
      <xdr:colOff>244475</xdr:colOff>
      <xdr:row>131</xdr:row>
      <xdr:rowOff>133985</xdr:rowOff>
    </xdr:to>
    <xdr:pic>
      <xdr:nvPicPr>
        <xdr:cNvPr id="97065" name="Picture 1025" descr="P320 1/6 Bend, Street">
          <a:extLst>
            <a:ext uri="{FF2B5EF4-FFF2-40B4-BE49-F238E27FC236}">
              <a16:creationId xmlns:a16="http://schemas.microsoft.com/office/drawing/2014/main" id="{00000000-0008-0000-0300-0000297B0100}"/>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rot="5400000">
          <a:off x="419100" y="26003250"/>
          <a:ext cx="5048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276225</xdr:colOff>
      <xdr:row>134</xdr:row>
      <xdr:rowOff>161925</xdr:rowOff>
    </xdr:from>
    <xdr:to>
      <xdr:col>2</xdr:col>
      <xdr:colOff>248285</xdr:colOff>
      <xdr:row>136</xdr:row>
      <xdr:rowOff>164465</xdr:rowOff>
    </xdr:to>
    <xdr:pic>
      <xdr:nvPicPr>
        <xdr:cNvPr id="97066" name="Picture 1" descr="P321 1/8 Bend">
          <a:extLst>
            <a:ext uri="{FF2B5EF4-FFF2-40B4-BE49-F238E27FC236}">
              <a16:creationId xmlns:a16="http://schemas.microsoft.com/office/drawing/2014/main" id="{00000000-0008-0000-0300-00002A7B0100}"/>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rot="5400000">
          <a:off x="390525" y="26793825"/>
          <a:ext cx="552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285750</xdr:colOff>
      <xdr:row>140</xdr:row>
      <xdr:rowOff>85725</xdr:rowOff>
    </xdr:from>
    <xdr:to>
      <xdr:col>2</xdr:col>
      <xdr:colOff>245745</xdr:colOff>
      <xdr:row>142</xdr:row>
      <xdr:rowOff>100965</xdr:rowOff>
    </xdr:to>
    <xdr:pic>
      <xdr:nvPicPr>
        <xdr:cNvPr id="3" name="Picture 2" descr="P323 1/8 Bend, Street">
          <a:extLst>
            <a:ext uri="{FF2B5EF4-FFF2-40B4-BE49-F238E27FC236}">
              <a16:creationId xmlns:a16="http://schemas.microsoft.com/office/drawing/2014/main" id="{00000000-0008-0000-0300-00002B7B0100}"/>
            </a:ext>
            <a:ext uri="{147F2762-F138-4A5C-976F-8EAC2B608ADB}">
              <a16:predDERef xmlns:a16="http://schemas.microsoft.com/office/drawing/2014/main" pred="{00000000-0008-0000-0300-00002A7B0100}"/>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rot="5400000">
          <a:off x="524828" y="29650372"/>
          <a:ext cx="381000" cy="5543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146</xdr:row>
      <xdr:rowOff>19050</xdr:rowOff>
    </xdr:from>
    <xdr:to>
      <xdr:col>2</xdr:col>
      <xdr:colOff>249555</xdr:colOff>
      <xdr:row>148</xdr:row>
      <xdr:rowOff>20320</xdr:rowOff>
    </xdr:to>
    <xdr:pic>
      <xdr:nvPicPr>
        <xdr:cNvPr id="97068" name="Picture 1104" descr="P324 1/16 Bend">
          <a:extLst>
            <a:ext uri="{FF2B5EF4-FFF2-40B4-BE49-F238E27FC236}">
              <a16:creationId xmlns:a16="http://schemas.microsoft.com/office/drawing/2014/main" id="{00000000-0008-0000-0300-00002C7B0100}"/>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rot="5400000">
          <a:off x="419100" y="28746450"/>
          <a:ext cx="5334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151</xdr:row>
      <xdr:rowOff>0</xdr:rowOff>
    </xdr:from>
    <xdr:to>
      <xdr:col>2</xdr:col>
      <xdr:colOff>248285</xdr:colOff>
      <xdr:row>153</xdr:row>
      <xdr:rowOff>635</xdr:rowOff>
    </xdr:to>
    <xdr:pic>
      <xdr:nvPicPr>
        <xdr:cNvPr id="97069" name="Picture 1105" descr="P326 1/16 Bend, Street">
          <a:extLst>
            <a:ext uri="{FF2B5EF4-FFF2-40B4-BE49-F238E27FC236}">
              <a16:creationId xmlns:a16="http://schemas.microsoft.com/office/drawing/2014/main" id="{00000000-0008-0000-0300-00002D7B0100}"/>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rot="5400000">
          <a:off x="419100" y="29679900"/>
          <a:ext cx="5238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371475</xdr:colOff>
      <xdr:row>164</xdr:row>
      <xdr:rowOff>47625</xdr:rowOff>
    </xdr:from>
    <xdr:to>
      <xdr:col>2</xdr:col>
      <xdr:colOff>210820</xdr:colOff>
      <xdr:row>164</xdr:row>
      <xdr:rowOff>415290</xdr:rowOff>
    </xdr:to>
    <xdr:pic>
      <xdr:nvPicPr>
        <xdr:cNvPr id="97070" name="Picture 1026" descr="P329 Closet Bend, Reducing">
          <a:extLst>
            <a:ext uri="{FF2B5EF4-FFF2-40B4-BE49-F238E27FC236}">
              <a16:creationId xmlns:a16="http://schemas.microsoft.com/office/drawing/2014/main" id="{00000000-0008-0000-0300-00002E7B0100}"/>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rot="10800000">
          <a:off x="485775" y="31975425"/>
          <a:ext cx="4095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371475</xdr:colOff>
      <xdr:row>165</xdr:row>
      <xdr:rowOff>47625</xdr:rowOff>
    </xdr:from>
    <xdr:to>
      <xdr:col>2</xdr:col>
      <xdr:colOff>210185</xdr:colOff>
      <xdr:row>165</xdr:row>
      <xdr:rowOff>419100</xdr:rowOff>
    </xdr:to>
    <xdr:pic>
      <xdr:nvPicPr>
        <xdr:cNvPr id="97071" name="Picture 1027" descr="P330 Closet Bend, Reducing">
          <a:extLst>
            <a:ext uri="{FF2B5EF4-FFF2-40B4-BE49-F238E27FC236}">
              <a16:creationId xmlns:a16="http://schemas.microsoft.com/office/drawing/2014/main" id="{00000000-0008-0000-0300-00002F7B0100}"/>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rot="10800000">
          <a:off x="485775" y="32461200"/>
          <a:ext cx="4191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247649</xdr:colOff>
      <xdr:row>307</xdr:row>
      <xdr:rowOff>57149</xdr:rowOff>
    </xdr:from>
    <xdr:to>
      <xdr:col>2</xdr:col>
      <xdr:colOff>397782</xdr:colOff>
      <xdr:row>307</xdr:row>
      <xdr:rowOff>480059</xdr:rowOff>
    </xdr:to>
    <xdr:pic>
      <xdr:nvPicPr>
        <xdr:cNvPr id="66" name="Picture 67" descr="51-newclosetflange.tif">
          <a:extLst>
            <a:ext uri="{FF2B5EF4-FFF2-40B4-BE49-F238E27FC236}">
              <a16:creationId xmlns:a16="http://schemas.microsoft.com/office/drawing/2014/main" id="{00000000-0008-0000-0300-000042000000}"/>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419099" y="61493399"/>
          <a:ext cx="723538"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75</xdr:row>
      <xdr:rowOff>47625</xdr:rowOff>
    </xdr:from>
    <xdr:to>
      <xdr:col>2</xdr:col>
      <xdr:colOff>320675</xdr:colOff>
      <xdr:row>76</xdr:row>
      <xdr:rowOff>224790</xdr:rowOff>
    </xdr:to>
    <xdr:pic>
      <xdr:nvPicPr>
        <xdr:cNvPr id="67" name="Picture 14" descr="03-08pipeincrred.tif">
          <a:extLst>
            <a:ext uri="{FF2B5EF4-FFF2-40B4-BE49-F238E27FC236}">
              <a16:creationId xmlns:a16="http://schemas.microsoft.com/office/drawing/2014/main" id="{00000000-0008-0000-0300-000043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rot="10800000">
          <a:off x="419100" y="14859000"/>
          <a:ext cx="5810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xdr:colOff>
      <xdr:row>78</xdr:row>
      <xdr:rowOff>62865</xdr:rowOff>
    </xdr:from>
    <xdr:to>
      <xdr:col>2</xdr:col>
      <xdr:colOff>358775</xdr:colOff>
      <xdr:row>81</xdr:row>
      <xdr:rowOff>58420</xdr:rowOff>
    </xdr:to>
    <xdr:pic>
      <xdr:nvPicPr>
        <xdr:cNvPr id="68" name="Picture 15" descr="14-04nohubadapt.tif">
          <a:extLst>
            <a:ext uri="{FF2B5EF4-FFF2-40B4-BE49-F238E27FC236}">
              <a16:creationId xmlns:a16="http://schemas.microsoft.com/office/drawing/2014/main" id="{00000000-0008-0000-0300-000044000000}"/>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a:off x="401955" y="16198215"/>
          <a:ext cx="709295" cy="544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266700</xdr:colOff>
      <xdr:row>83</xdr:row>
      <xdr:rowOff>142875</xdr:rowOff>
    </xdr:from>
    <xdr:to>
      <xdr:col>2</xdr:col>
      <xdr:colOff>363220</xdr:colOff>
      <xdr:row>86</xdr:row>
      <xdr:rowOff>20320</xdr:rowOff>
    </xdr:to>
    <xdr:pic>
      <xdr:nvPicPr>
        <xdr:cNvPr id="69" name="Picture 16" descr="15-09hubadaptcast.tif">
          <a:extLst>
            <a:ext uri="{FF2B5EF4-FFF2-40B4-BE49-F238E27FC236}">
              <a16:creationId xmlns:a16="http://schemas.microsoft.com/office/drawing/2014/main" id="{00000000-0008-0000-0300-00004500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rot="10800000">
          <a:off x="381000" y="16268700"/>
          <a:ext cx="6667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323850</xdr:colOff>
      <xdr:row>2</xdr:row>
      <xdr:rowOff>123825</xdr:rowOff>
    </xdr:from>
    <xdr:to>
      <xdr:col>10</xdr:col>
      <xdr:colOff>323850</xdr:colOff>
      <xdr:row>5</xdr:row>
      <xdr:rowOff>142875</xdr:rowOff>
    </xdr:to>
    <xdr:cxnSp macro="">
      <xdr:nvCxnSpPr>
        <xdr:cNvPr id="4" name="Straight Arrow Connector 3">
          <a:extLst>
            <a:ext uri="{FF2B5EF4-FFF2-40B4-BE49-F238E27FC236}">
              <a16:creationId xmlns:a16="http://schemas.microsoft.com/office/drawing/2014/main" id="{00000000-0008-0000-0300-000004000000}"/>
            </a:ext>
          </a:extLst>
        </xdr:cNvPr>
        <xdr:cNvCxnSpPr/>
      </xdr:nvCxnSpPr>
      <xdr:spPr>
        <a:xfrm>
          <a:off x="8591550" y="552450"/>
          <a:ext cx="0" cy="600075"/>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285750</xdr:colOff>
      <xdr:row>9</xdr:row>
      <xdr:rowOff>152400</xdr:rowOff>
    </xdr:from>
    <xdr:to>
      <xdr:col>2</xdr:col>
      <xdr:colOff>358775</xdr:colOff>
      <xdr:row>12</xdr:row>
      <xdr:rowOff>21590</xdr:rowOff>
    </xdr:to>
    <xdr:pic>
      <xdr:nvPicPr>
        <xdr:cNvPr id="70" name="Picture 47" descr="01-01stopcouplinghxh.tif">
          <a:extLst>
            <a:ext uri="{FF2B5EF4-FFF2-40B4-BE49-F238E27FC236}">
              <a16:creationId xmlns:a16="http://schemas.microsoft.com/office/drawing/2014/main" id="{00000000-0008-0000-0300-000046000000}"/>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390525" y="2009775"/>
          <a:ext cx="64389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266700</xdr:colOff>
      <xdr:row>39</xdr:row>
      <xdr:rowOff>57150</xdr:rowOff>
    </xdr:from>
    <xdr:to>
      <xdr:col>2</xdr:col>
      <xdr:colOff>325120</xdr:colOff>
      <xdr:row>39</xdr:row>
      <xdr:rowOff>533400</xdr:rowOff>
    </xdr:to>
    <xdr:pic>
      <xdr:nvPicPr>
        <xdr:cNvPr id="71" name="Picture 1">
          <a:extLst>
            <a:ext uri="{FF2B5EF4-FFF2-40B4-BE49-F238E27FC236}">
              <a16:creationId xmlns:a16="http://schemas.microsoft.com/office/drawing/2014/main" id="{00000000-0008-0000-0300-00004700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rcRect t="12120" b="12122"/>
        <a:stretch>
          <a:fillRect/>
        </a:stretch>
      </xdr:blipFill>
      <xdr:spPr bwMode="auto">
        <a:xfrm>
          <a:off x="381000" y="6286500"/>
          <a:ext cx="6286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228601</xdr:colOff>
      <xdr:row>59</xdr:row>
      <xdr:rowOff>47625</xdr:rowOff>
    </xdr:from>
    <xdr:to>
      <xdr:col>2</xdr:col>
      <xdr:colOff>377428</xdr:colOff>
      <xdr:row>60</xdr:row>
      <xdr:rowOff>135255</xdr:rowOff>
    </xdr:to>
    <xdr:pic>
      <xdr:nvPicPr>
        <xdr:cNvPr id="72" name="Picture 1024" descr="http://s3.pexsupply.com/images/products/large/p110-015-2.jpg">
          <a:extLst>
            <a:ext uri="{FF2B5EF4-FFF2-40B4-BE49-F238E27FC236}">
              <a16:creationId xmlns:a16="http://schemas.microsoft.com/office/drawing/2014/main" id="{00000000-0008-0000-0300-000048000000}"/>
            </a:ext>
          </a:extLst>
        </xdr:cNvPr>
        <xdr:cNvPicPr>
          <a:picLocks noChangeAspect="1" noChangeArrowheads="1"/>
        </xdr:cNvPicPr>
      </xdr:nvPicPr>
      <xdr:blipFill rotWithShape="1">
        <a:blip xmlns:r="http://schemas.openxmlformats.org/officeDocument/2006/relationships" r:embed="rId62">
          <a:extLst>
            <a:ext uri="{28A0092B-C50C-407E-A947-70E740481C1C}">
              <a14:useLocalDpi xmlns:a14="http://schemas.microsoft.com/office/drawing/2010/main" val="0"/>
            </a:ext>
          </a:extLst>
        </a:blip>
        <a:srcRect l="16393" t="37003" r="14754" b="36430"/>
        <a:stretch/>
      </xdr:blipFill>
      <xdr:spPr bwMode="auto">
        <a:xfrm>
          <a:off x="400051" y="12963525"/>
          <a:ext cx="729852"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342900</xdr:colOff>
      <xdr:row>88</xdr:row>
      <xdr:rowOff>95250</xdr:rowOff>
    </xdr:from>
    <xdr:to>
      <xdr:col>2</xdr:col>
      <xdr:colOff>210820</xdr:colOff>
      <xdr:row>89</xdr:row>
      <xdr:rowOff>243840</xdr:rowOff>
    </xdr:to>
    <xdr:pic>
      <xdr:nvPicPr>
        <xdr:cNvPr id="73" name="Picture 3">
          <a:extLst>
            <a:ext uri="{FF2B5EF4-FFF2-40B4-BE49-F238E27FC236}">
              <a16:creationId xmlns:a16="http://schemas.microsoft.com/office/drawing/2014/main" id="{00000000-0008-0000-0300-000049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457200" y="16983075"/>
          <a:ext cx="438150" cy="512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276225</xdr:colOff>
      <xdr:row>107</xdr:row>
      <xdr:rowOff>38100</xdr:rowOff>
    </xdr:from>
    <xdr:to>
      <xdr:col>2</xdr:col>
      <xdr:colOff>244475</xdr:colOff>
      <xdr:row>107</xdr:row>
      <xdr:rowOff>555625</xdr:rowOff>
    </xdr:to>
    <xdr:pic>
      <xdr:nvPicPr>
        <xdr:cNvPr id="74" name="Picture 1026" descr="https://images.ewins.com/digital_asset_manager/image_resize.php?cid=3&amp;ic=SPE%20P300S-338&amp;mdx=81">
          <a:extLst>
            <a:ext uri="{FF2B5EF4-FFF2-40B4-BE49-F238E27FC236}">
              <a16:creationId xmlns:a16="http://schemas.microsoft.com/office/drawing/2014/main" id="{00000000-0008-0000-0300-00004A000000}"/>
            </a:ext>
          </a:extLst>
        </xdr:cNvPr>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t="4425"/>
        <a:stretch>
          <a:fillRect/>
        </a:stretch>
      </xdr:blipFill>
      <xdr:spPr bwMode="auto">
        <a:xfrm>
          <a:off x="390525" y="20488275"/>
          <a:ext cx="5334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352425</xdr:colOff>
      <xdr:row>162</xdr:row>
      <xdr:rowOff>53340</xdr:rowOff>
    </xdr:from>
    <xdr:to>
      <xdr:col>2</xdr:col>
      <xdr:colOff>173355</xdr:colOff>
      <xdr:row>162</xdr:row>
      <xdr:rowOff>421005</xdr:rowOff>
    </xdr:to>
    <xdr:pic>
      <xdr:nvPicPr>
        <xdr:cNvPr id="75" name="Picture 99">
          <a:extLst>
            <a:ext uri="{FF2B5EF4-FFF2-40B4-BE49-F238E27FC236}">
              <a16:creationId xmlns:a16="http://schemas.microsoft.com/office/drawing/2014/main" id="{00000000-0008-0000-0300-00004B000000}"/>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rcRect l="8694" t="1671" r="8028" b="5351"/>
        <a:stretch>
          <a:fillRect/>
        </a:stretch>
      </xdr:blipFill>
      <xdr:spPr bwMode="auto">
        <a:xfrm>
          <a:off x="512445" y="31493460"/>
          <a:ext cx="41529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333375</xdr:colOff>
      <xdr:row>196</xdr:row>
      <xdr:rowOff>66675</xdr:rowOff>
    </xdr:from>
    <xdr:to>
      <xdr:col>2</xdr:col>
      <xdr:colOff>97155</xdr:colOff>
      <xdr:row>198</xdr:row>
      <xdr:rowOff>96165</xdr:rowOff>
    </xdr:to>
    <xdr:pic>
      <xdr:nvPicPr>
        <xdr:cNvPr id="76" name="Picture 107" descr="416-3500.tif">
          <a:extLst>
            <a:ext uri="{FF2B5EF4-FFF2-40B4-BE49-F238E27FC236}">
              <a16:creationId xmlns:a16="http://schemas.microsoft.com/office/drawing/2014/main" id="{00000000-0008-0000-0300-00004C000000}"/>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504825" y="37738050"/>
          <a:ext cx="352425" cy="4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409575</xdr:colOff>
      <xdr:row>199</xdr:row>
      <xdr:rowOff>57149</xdr:rowOff>
    </xdr:from>
    <xdr:to>
      <xdr:col>2</xdr:col>
      <xdr:colOff>206375</xdr:colOff>
      <xdr:row>201</xdr:row>
      <xdr:rowOff>93876</xdr:rowOff>
    </xdr:to>
    <xdr:pic>
      <xdr:nvPicPr>
        <xdr:cNvPr id="77" name="Picture 108" descr="417-3503.tif">
          <a:extLst>
            <a:ext uri="{FF2B5EF4-FFF2-40B4-BE49-F238E27FC236}">
              <a16:creationId xmlns:a16="http://schemas.microsoft.com/office/drawing/2014/main" id="{00000000-0008-0000-0300-00004D000000}"/>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581025" y="38300024"/>
          <a:ext cx="370205" cy="41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323850</xdr:colOff>
      <xdr:row>202</xdr:row>
      <xdr:rowOff>114300</xdr:rowOff>
    </xdr:from>
    <xdr:to>
      <xdr:col>2</xdr:col>
      <xdr:colOff>206375</xdr:colOff>
      <xdr:row>203</xdr:row>
      <xdr:rowOff>192405</xdr:rowOff>
    </xdr:to>
    <xdr:pic>
      <xdr:nvPicPr>
        <xdr:cNvPr id="78" name="Picture 109" descr="418-3507.tif">
          <a:extLst>
            <a:ext uri="{FF2B5EF4-FFF2-40B4-BE49-F238E27FC236}">
              <a16:creationId xmlns:a16="http://schemas.microsoft.com/office/drawing/2014/main" id="{00000000-0008-0000-0300-00004E000000}"/>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495300" y="38928675"/>
          <a:ext cx="45593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247650</xdr:colOff>
      <xdr:row>215</xdr:row>
      <xdr:rowOff>76200</xdr:rowOff>
    </xdr:from>
    <xdr:to>
      <xdr:col>2</xdr:col>
      <xdr:colOff>248920</xdr:colOff>
      <xdr:row>215</xdr:row>
      <xdr:rowOff>472440</xdr:rowOff>
    </xdr:to>
    <xdr:pic>
      <xdr:nvPicPr>
        <xdr:cNvPr id="79" name="Picture 1102" descr="http://s3.pexsupply.com/images/products/large/p439-338-1.jpg">
          <a:extLst>
            <a:ext uri="{FF2B5EF4-FFF2-40B4-BE49-F238E27FC236}">
              <a16:creationId xmlns:a16="http://schemas.microsoft.com/office/drawing/2014/main" id="{00000000-0008-0000-0300-00004F000000}"/>
            </a:ext>
          </a:extLst>
        </xdr:cNvPr>
        <xdr:cNvPicPr>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l="19545" t="21526" r="19972" b="26630"/>
        <a:stretch>
          <a:fillRect/>
        </a:stretch>
      </xdr:blipFill>
      <xdr:spPr bwMode="auto">
        <a:xfrm>
          <a:off x="400050" y="40681275"/>
          <a:ext cx="57848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390525</xdr:colOff>
      <xdr:row>217</xdr:row>
      <xdr:rowOff>38100</xdr:rowOff>
    </xdr:from>
    <xdr:to>
      <xdr:col>2</xdr:col>
      <xdr:colOff>210820</xdr:colOff>
      <xdr:row>219</xdr:row>
      <xdr:rowOff>135700</xdr:rowOff>
    </xdr:to>
    <xdr:pic>
      <xdr:nvPicPr>
        <xdr:cNvPr id="80" name="Picture 5">
          <a:extLst>
            <a:ext uri="{FF2B5EF4-FFF2-40B4-BE49-F238E27FC236}">
              <a16:creationId xmlns:a16="http://schemas.microsoft.com/office/drawing/2014/main" id="{00000000-0008-0000-0300-00005000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rcRect l="16310" t="2940" r="12032" b="3209"/>
        <a:stretch>
          <a:fillRect/>
        </a:stretch>
      </xdr:blipFill>
      <xdr:spPr bwMode="auto">
        <a:xfrm>
          <a:off x="561975" y="42348150"/>
          <a:ext cx="387985" cy="47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285750</xdr:colOff>
      <xdr:row>230</xdr:row>
      <xdr:rowOff>47625</xdr:rowOff>
    </xdr:from>
    <xdr:to>
      <xdr:col>2</xdr:col>
      <xdr:colOff>133985</xdr:colOff>
      <xdr:row>231</xdr:row>
      <xdr:rowOff>167640</xdr:rowOff>
    </xdr:to>
    <xdr:pic>
      <xdr:nvPicPr>
        <xdr:cNvPr id="81" name="Picture 112" descr="37-32cleanouttee.tif">
          <a:extLst>
            <a:ext uri="{FF2B5EF4-FFF2-40B4-BE49-F238E27FC236}">
              <a16:creationId xmlns:a16="http://schemas.microsoft.com/office/drawing/2014/main" id="{00000000-0008-0000-0300-000051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457200" y="44643675"/>
          <a:ext cx="41973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142875</xdr:colOff>
      <xdr:row>230</xdr:row>
      <xdr:rowOff>152400</xdr:rowOff>
    </xdr:from>
    <xdr:to>
      <xdr:col>2</xdr:col>
      <xdr:colOff>288115</xdr:colOff>
      <xdr:row>231</xdr:row>
      <xdr:rowOff>53341</xdr:rowOff>
    </xdr:to>
    <xdr:pic>
      <xdr:nvPicPr>
        <xdr:cNvPr id="82" name="Picture 1024" descr="http://s3.pexsupply.com/images/products/large/p110-015-2.jpg">
          <a:extLst>
            <a:ext uri="{FF2B5EF4-FFF2-40B4-BE49-F238E27FC236}">
              <a16:creationId xmlns:a16="http://schemas.microsoft.com/office/drawing/2014/main" id="{00000000-0008-0000-0300-000052000000}"/>
            </a:ext>
          </a:extLst>
        </xdr:cNvPr>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l="41293" t="21587" r="40022" b="20030"/>
        <a:stretch>
          <a:fillRect/>
        </a:stretch>
      </xdr:blipFill>
      <xdr:spPr bwMode="auto">
        <a:xfrm>
          <a:off x="895350" y="44748450"/>
          <a:ext cx="149050" cy="295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283846</xdr:colOff>
      <xdr:row>236</xdr:row>
      <xdr:rowOff>97155</xdr:rowOff>
    </xdr:from>
    <xdr:to>
      <xdr:col>2</xdr:col>
      <xdr:colOff>325756</xdr:colOff>
      <xdr:row>238</xdr:row>
      <xdr:rowOff>97154</xdr:rowOff>
    </xdr:to>
    <xdr:pic>
      <xdr:nvPicPr>
        <xdr:cNvPr id="83" name="Picture 1">
          <a:extLst>
            <a:ext uri="{FF2B5EF4-FFF2-40B4-BE49-F238E27FC236}">
              <a16:creationId xmlns:a16="http://schemas.microsoft.com/office/drawing/2014/main" id="{00000000-0008-0000-0300-00005300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rcRect t="15205" b="7018"/>
        <a:stretch>
          <a:fillRect/>
        </a:stretch>
      </xdr:blipFill>
      <xdr:spPr bwMode="auto">
        <a:xfrm>
          <a:off x="455296" y="46026705"/>
          <a:ext cx="626745" cy="388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295275</xdr:colOff>
      <xdr:row>301</xdr:row>
      <xdr:rowOff>95249</xdr:rowOff>
    </xdr:from>
    <xdr:to>
      <xdr:col>2</xdr:col>
      <xdr:colOff>248920</xdr:colOff>
      <xdr:row>301</xdr:row>
      <xdr:rowOff>513178</xdr:rowOff>
    </xdr:to>
    <xdr:pic>
      <xdr:nvPicPr>
        <xdr:cNvPr id="87" name="Picture 4">
          <a:extLst>
            <a:ext uri="{FF2B5EF4-FFF2-40B4-BE49-F238E27FC236}">
              <a16:creationId xmlns:a16="http://schemas.microsoft.com/office/drawing/2014/main" id="{00000000-0008-0000-0300-000057000000}"/>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rcRect l="3702" t="8331" r="3241" b="3703"/>
        <a:stretch>
          <a:fillRect/>
        </a:stretch>
      </xdr:blipFill>
      <xdr:spPr bwMode="auto">
        <a:xfrm>
          <a:off x="466725" y="59636024"/>
          <a:ext cx="521335" cy="433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219075</xdr:colOff>
      <xdr:row>308</xdr:row>
      <xdr:rowOff>66675</xdr:rowOff>
    </xdr:from>
    <xdr:to>
      <xdr:col>2</xdr:col>
      <xdr:colOff>363257</xdr:colOff>
      <xdr:row>309</xdr:row>
      <xdr:rowOff>211915</xdr:rowOff>
    </xdr:to>
    <xdr:pic>
      <xdr:nvPicPr>
        <xdr:cNvPr id="88" name="Picture 63" descr="49-newclosetflange.tif">
          <a:extLst>
            <a:ext uri="{FF2B5EF4-FFF2-40B4-BE49-F238E27FC236}">
              <a16:creationId xmlns:a16="http://schemas.microsoft.com/office/drawing/2014/main" id="{00000000-0008-0000-0300-000058000000}"/>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390525" y="62055375"/>
          <a:ext cx="715682" cy="4024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228600</xdr:colOff>
      <xdr:row>310</xdr:row>
      <xdr:rowOff>57150</xdr:rowOff>
    </xdr:from>
    <xdr:to>
      <xdr:col>2</xdr:col>
      <xdr:colOff>325755</xdr:colOff>
      <xdr:row>311</xdr:row>
      <xdr:rowOff>210969</xdr:rowOff>
    </xdr:to>
    <xdr:pic>
      <xdr:nvPicPr>
        <xdr:cNvPr id="89" name="Picture 65" descr="51-newclosetflange.tif">
          <a:extLst>
            <a:ext uri="{FF2B5EF4-FFF2-40B4-BE49-F238E27FC236}">
              <a16:creationId xmlns:a16="http://schemas.microsoft.com/office/drawing/2014/main" id="{00000000-0008-0000-0300-000059000000}"/>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400050" y="62541150"/>
          <a:ext cx="685800" cy="4052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180975</xdr:colOff>
      <xdr:row>312</xdr:row>
      <xdr:rowOff>123825</xdr:rowOff>
    </xdr:from>
    <xdr:to>
      <xdr:col>2</xdr:col>
      <xdr:colOff>396777</xdr:colOff>
      <xdr:row>313</xdr:row>
      <xdr:rowOff>211087</xdr:rowOff>
    </xdr:to>
    <xdr:pic>
      <xdr:nvPicPr>
        <xdr:cNvPr id="90" name="Picture 1">
          <a:extLst>
            <a:ext uri="{FF2B5EF4-FFF2-40B4-BE49-F238E27FC236}">
              <a16:creationId xmlns:a16="http://schemas.microsoft.com/office/drawing/2014/main" id="{00000000-0008-0000-0300-00005A000000}"/>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rcRect t="33086" b="30482"/>
        <a:stretch>
          <a:fillRect/>
        </a:stretch>
      </xdr:blipFill>
      <xdr:spPr bwMode="auto">
        <a:xfrm>
          <a:off x="352425" y="63103125"/>
          <a:ext cx="789207" cy="321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295274</xdr:colOff>
      <xdr:row>314</xdr:row>
      <xdr:rowOff>114299</xdr:rowOff>
    </xdr:from>
    <xdr:to>
      <xdr:col>2</xdr:col>
      <xdr:colOff>361949</xdr:colOff>
      <xdr:row>314</xdr:row>
      <xdr:rowOff>440314</xdr:rowOff>
    </xdr:to>
    <xdr:pic>
      <xdr:nvPicPr>
        <xdr:cNvPr id="91" name="Picture 2">
          <a:extLst>
            <a:ext uri="{FF2B5EF4-FFF2-40B4-BE49-F238E27FC236}">
              <a16:creationId xmlns:a16="http://schemas.microsoft.com/office/drawing/2014/main" id="{00000000-0008-0000-0300-00005B000000}"/>
            </a:ext>
          </a:extLst>
        </xdr:cNvPr>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rcRect l="3297" t="15752" b="25641"/>
        <a:stretch>
          <a:fillRect/>
        </a:stretch>
      </xdr:blipFill>
      <xdr:spPr bwMode="auto">
        <a:xfrm>
          <a:off x="447674" y="61579124"/>
          <a:ext cx="657225" cy="32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209550</xdr:colOff>
      <xdr:row>315</xdr:row>
      <xdr:rowOff>66675</xdr:rowOff>
    </xdr:from>
    <xdr:to>
      <xdr:col>2</xdr:col>
      <xdr:colOff>325120</xdr:colOff>
      <xdr:row>315</xdr:row>
      <xdr:rowOff>400050</xdr:rowOff>
    </xdr:to>
    <xdr:pic>
      <xdr:nvPicPr>
        <xdr:cNvPr id="92" name="Picture 65" descr="51-newclosetflange.tif">
          <a:extLst>
            <a:ext uri="{FF2B5EF4-FFF2-40B4-BE49-F238E27FC236}">
              <a16:creationId xmlns:a16="http://schemas.microsoft.com/office/drawing/2014/main" id="{00000000-0008-0000-0300-00005C000000}"/>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381000" y="64065150"/>
          <a:ext cx="68326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47625</xdr:colOff>
      <xdr:row>1</xdr:row>
      <xdr:rowOff>19050</xdr:rowOff>
    </xdr:from>
    <xdr:to>
      <xdr:col>13</xdr:col>
      <xdr:colOff>20955</xdr:colOff>
      <xdr:row>5</xdr:row>
      <xdr:rowOff>15559</xdr:rowOff>
    </xdr:to>
    <xdr:pic>
      <xdr:nvPicPr>
        <xdr:cNvPr id="86" name="Picture 42">
          <a:extLst>
            <a:ext uri="{FF2B5EF4-FFF2-40B4-BE49-F238E27FC236}">
              <a16:creationId xmlns:a16="http://schemas.microsoft.com/office/drawing/2014/main" id="{00000000-0008-0000-0300-000056000000}"/>
            </a:ext>
          </a:extLst>
        </xdr:cNvPr>
        <xdr:cNvPicPr>
          <a:picLocks noChangeAspect="1"/>
        </xdr:cNvPicPr>
      </xdr:nvPicPr>
      <xdr:blipFill rotWithShape="1">
        <a:blip xmlns:r="http://schemas.openxmlformats.org/officeDocument/2006/relationships" r:embed="rId79" cstate="print">
          <a:extLst>
            <a:ext uri="{28A0092B-C50C-407E-A947-70E740481C1C}">
              <a14:useLocalDpi xmlns:a14="http://schemas.microsoft.com/office/drawing/2010/main" val="0"/>
            </a:ext>
          </a:extLst>
        </a:blip>
        <a:srcRect l="12903" t="10485" r="9678" b="10483"/>
        <a:stretch/>
      </xdr:blipFill>
      <xdr:spPr bwMode="auto">
        <a:xfrm>
          <a:off x="9820275" y="257175"/>
          <a:ext cx="777240" cy="793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295275</xdr:colOff>
      <xdr:row>214</xdr:row>
      <xdr:rowOff>47626</xdr:rowOff>
    </xdr:from>
    <xdr:to>
      <xdr:col>2</xdr:col>
      <xdr:colOff>211455</xdr:colOff>
      <xdr:row>214</xdr:row>
      <xdr:rowOff>456827</xdr:rowOff>
    </xdr:to>
    <xdr:pic>
      <xdr:nvPicPr>
        <xdr:cNvPr id="93" name="Picture 1102" descr="http://s3.pexsupply.com/images/products/large/p439-338-1.jpg">
          <a:extLst>
            <a:ext uri="{FF2B5EF4-FFF2-40B4-BE49-F238E27FC236}">
              <a16:creationId xmlns:a16="http://schemas.microsoft.com/office/drawing/2014/main" id="{00000000-0008-0000-0300-00005D000000}"/>
            </a:ext>
          </a:extLst>
        </xdr:cNvPr>
        <xdr:cNvPicPr>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l="19545" t="21526" r="19972" b="26630"/>
        <a:stretch>
          <a:fillRect/>
        </a:stretch>
      </xdr:blipFill>
      <xdr:spPr bwMode="auto">
        <a:xfrm>
          <a:off x="466725" y="41243251"/>
          <a:ext cx="504825" cy="4072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xdr:colOff>
      <xdr:row>0</xdr:row>
      <xdr:rowOff>211455</xdr:rowOff>
    </xdr:from>
    <xdr:to>
      <xdr:col>4</xdr:col>
      <xdr:colOff>517845</xdr:colOff>
      <xdr:row>4</xdr:row>
      <xdr:rowOff>171097</xdr:rowOff>
    </xdr:to>
    <xdr:pic>
      <xdr:nvPicPr>
        <xdr:cNvPr id="101" name="Picture 1">
          <a:extLst>
            <a:ext uri="{FF2B5EF4-FFF2-40B4-BE49-F238E27FC236}">
              <a16:creationId xmlns:a16="http://schemas.microsoft.com/office/drawing/2014/main" id="{00000000-0008-0000-0300-000065000000}"/>
            </a:ext>
          </a:extLst>
        </xdr:cNvPr>
        <xdr:cNvPicPr>
          <a:picLocks noChangeAspect="1"/>
        </xdr:cNvPicPr>
      </xdr:nvPicPr>
      <xdr:blipFill>
        <a:blip xmlns:r="http://schemas.openxmlformats.org/officeDocument/2006/relationships" r:embed="rId80"/>
        <a:stretch>
          <a:fillRect/>
        </a:stretch>
      </xdr:blipFill>
      <xdr:spPr>
        <a:xfrm rot="5400000">
          <a:off x="1066819" y="-678199"/>
          <a:ext cx="776887" cy="255619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5</xdr:col>
      <xdr:colOff>76200</xdr:colOff>
      <xdr:row>2</xdr:row>
      <xdr:rowOff>0</xdr:rowOff>
    </xdr:from>
    <xdr:to>
      <xdr:col>5</xdr:col>
      <xdr:colOff>592081</xdr:colOff>
      <xdr:row>4</xdr:row>
      <xdr:rowOff>171450</xdr:rowOff>
    </xdr:to>
    <xdr:pic>
      <xdr:nvPicPr>
        <xdr:cNvPr id="3" name="Picture 64">
          <a:extLst>
            <a:ext uri="{FF2B5EF4-FFF2-40B4-BE49-F238E27FC236}">
              <a16:creationId xmlns:a16="http://schemas.microsoft.com/office/drawing/2014/main" id="{00000000-0008-0000-1F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628" t="10465" r="13954" b="10465"/>
        <a:stretch/>
      </xdr:blipFill>
      <xdr:spPr bwMode="auto">
        <a:xfrm>
          <a:off x="6696075" y="200025"/>
          <a:ext cx="515881"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152400</xdr:colOff>
      <xdr:row>2</xdr:row>
      <xdr:rowOff>38100</xdr:rowOff>
    </xdr:from>
    <xdr:to>
      <xdr:col>1</xdr:col>
      <xdr:colOff>1597980</xdr:colOff>
      <xdr:row>4</xdr:row>
      <xdr:rowOff>93482</xdr:rowOff>
    </xdr:to>
    <xdr:pic>
      <xdr:nvPicPr>
        <xdr:cNvPr id="4" name="Picture 1">
          <a:extLst>
            <a:ext uri="{FF2B5EF4-FFF2-40B4-BE49-F238E27FC236}">
              <a16:creationId xmlns:a16="http://schemas.microsoft.com/office/drawing/2014/main" id="{00000000-0008-0000-1F00-000004000000}"/>
            </a:ext>
          </a:extLst>
        </xdr:cNvPr>
        <xdr:cNvPicPr>
          <a:picLocks noChangeAspect="1"/>
        </xdr:cNvPicPr>
      </xdr:nvPicPr>
      <xdr:blipFill>
        <a:blip xmlns:r="http://schemas.openxmlformats.org/officeDocument/2006/relationships" r:embed="rId2"/>
        <a:stretch>
          <a:fillRect/>
        </a:stretch>
      </xdr:blipFill>
      <xdr:spPr>
        <a:xfrm rot="5400000">
          <a:off x="2183857" y="-250282"/>
          <a:ext cx="447812" cy="1424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352425</xdr:colOff>
      <xdr:row>10</xdr:row>
      <xdr:rowOff>133350</xdr:rowOff>
    </xdr:from>
    <xdr:to>
      <xdr:col>2</xdr:col>
      <xdr:colOff>287655</xdr:colOff>
      <xdr:row>14</xdr:row>
      <xdr:rowOff>102870</xdr:rowOff>
    </xdr:to>
    <xdr:pic>
      <xdr:nvPicPr>
        <xdr:cNvPr id="92565" name="Picture 13" descr="401-005NEW.tif">
          <a:extLst>
            <a:ext uri="{FF2B5EF4-FFF2-40B4-BE49-F238E27FC236}">
              <a16:creationId xmlns:a16="http://schemas.microsoft.com/office/drawing/2014/main" id="{00000000-0008-0000-0400-000095690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825" y="2362200"/>
          <a:ext cx="516255"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371473</xdr:colOff>
      <xdr:row>37</xdr:row>
      <xdr:rowOff>57149</xdr:rowOff>
    </xdr:from>
    <xdr:to>
      <xdr:col>2</xdr:col>
      <xdr:colOff>321944</xdr:colOff>
      <xdr:row>41</xdr:row>
      <xdr:rowOff>92562</xdr:rowOff>
    </xdr:to>
    <xdr:pic>
      <xdr:nvPicPr>
        <xdr:cNvPr id="92566" name="Picture 14" descr="401-101NEW.tif">
          <a:extLst>
            <a:ext uri="{FF2B5EF4-FFF2-40B4-BE49-F238E27FC236}">
              <a16:creationId xmlns:a16="http://schemas.microsoft.com/office/drawing/2014/main" id="{00000000-0008-0000-0400-0000966901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523873" y="7429499"/>
          <a:ext cx="531496" cy="797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371475</xdr:colOff>
      <xdr:row>61</xdr:row>
      <xdr:rowOff>133350</xdr:rowOff>
    </xdr:from>
    <xdr:to>
      <xdr:col>2</xdr:col>
      <xdr:colOff>320883</xdr:colOff>
      <xdr:row>65</xdr:row>
      <xdr:rowOff>133350</xdr:rowOff>
    </xdr:to>
    <xdr:pic>
      <xdr:nvPicPr>
        <xdr:cNvPr id="92567" name="Picture 15" descr="02 SCH40TEESSFPIT.tif">
          <a:extLst>
            <a:ext uri="{FF2B5EF4-FFF2-40B4-BE49-F238E27FC236}">
              <a16:creationId xmlns:a16="http://schemas.microsoft.com/office/drawing/2014/main" id="{00000000-0008-0000-0400-0000976901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3875" y="12077700"/>
          <a:ext cx="530433"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261937</xdr:colOff>
      <xdr:row>103</xdr:row>
      <xdr:rowOff>14290</xdr:rowOff>
    </xdr:from>
    <xdr:to>
      <xdr:col>2</xdr:col>
      <xdr:colOff>332422</xdr:colOff>
      <xdr:row>106</xdr:row>
      <xdr:rowOff>143830</xdr:rowOff>
    </xdr:to>
    <xdr:pic>
      <xdr:nvPicPr>
        <xdr:cNvPr id="92568" name="Picture 16" descr="03 ELBOW406.tif">
          <a:extLst>
            <a:ext uri="{FF2B5EF4-FFF2-40B4-BE49-F238E27FC236}">
              <a16:creationId xmlns:a16="http://schemas.microsoft.com/office/drawing/2014/main" id="{00000000-0008-0000-0400-0000986901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rot="5400000">
          <a:off x="389572" y="19984405"/>
          <a:ext cx="701040" cy="651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214814</xdr:colOff>
      <xdr:row>117</xdr:row>
      <xdr:rowOff>154206</xdr:rowOff>
    </xdr:from>
    <xdr:to>
      <xdr:col>2</xdr:col>
      <xdr:colOff>291826</xdr:colOff>
      <xdr:row>121</xdr:row>
      <xdr:rowOff>7572</xdr:rowOff>
    </xdr:to>
    <xdr:pic>
      <xdr:nvPicPr>
        <xdr:cNvPr id="92569" name="Picture 17" descr="003 ELBOW406.tif">
          <a:extLst>
            <a:ext uri="{FF2B5EF4-FFF2-40B4-BE49-F238E27FC236}">
              <a16:creationId xmlns:a16="http://schemas.microsoft.com/office/drawing/2014/main" id="{00000000-0008-0000-0400-0000996901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rot="17100000" flipV="1">
          <a:off x="388550" y="22745220"/>
          <a:ext cx="615366" cy="6580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295276</xdr:colOff>
      <xdr:row>162</xdr:row>
      <xdr:rowOff>139066</xdr:rowOff>
    </xdr:from>
    <xdr:to>
      <xdr:col>2</xdr:col>
      <xdr:colOff>323851</xdr:colOff>
      <xdr:row>166</xdr:row>
      <xdr:rowOff>160898</xdr:rowOff>
    </xdr:to>
    <xdr:pic>
      <xdr:nvPicPr>
        <xdr:cNvPr id="92570" name="Picture 18" descr="05 ELBOW417.tif">
          <a:extLst>
            <a:ext uri="{FF2B5EF4-FFF2-40B4-BE49-F238E27FC236}">
              <a16:creationId xmlns:a16="http://schemas.microsoft.com/office/drawing/2014/main" id="{00000000-0008-0000-0400-00009A6901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7676" y="33086041"/>
          <a:ext cx="609600" cy="7838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247650</xdr:colOff>
      <xdr:row>182</xdr:row>
      <xdr:rowOff>142875</xdr:rowOff>
    </xdr:from>
    <xdr:to>
      <xdr:col>2</xdr:col>
      <xdr:colOff>321874</xdr:colOff>
      <xdr:row>186</xdr:row>
      <xdr:rowOff>72390</xdr:rowOff>
    </xdr:to>
    <xdr:pic>
      <xdr:nvPicPr>
        <xdr:cNvPr id="92571" name="Picture 19" descr="06 COUPLING429.tif">
          <a:extLst>
            <a:ext uri="{FF2B5EF4-FFF2-40B4-BE49-F238E27FC236}">
              <a16:creationId xmlns:a16="http://schemas.microsoft.com/office/drawing/2014/main" id="{00000000-0008-0000-0400-00009B6901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00050" y="36899850"/>
          <a:ext cx="655249" cy="691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276225</xdr:colOff>
      <xdr:row>242</xdr:row>
      <xdr:rowOff>38100</xdr:rowOff>
    </xdr:from>
    <xdr:to>
      <xdr:col>2</xdr:col>
      <xdr:colOff>292361</xdr:colOff>
      <xdr:row>245</xdr:row>
      <xdr:rowOff>171450</xdr:rowOff>
    </xdr:to>
    <xdr:pic>
      <xdr:nvPicPr>
        <xdr:cNvPr id="92573" name="Picture 21" descr="08 MALEADAPTSCH40.tif">
          <a:extLst>
            <a:ext uri="{FF2B5EF4-FFF2-40B4-BE49-F238E27FC236}">
              <a16:creationId xmlns:a16="http://schemas.microsoft.com/office/drawing/2014/main" id="{00000000-0008-0000-0400-00009D6901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28625" y="48358425"/>
          <a:ext cx="597161"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200026</xdr:colOff>
      <xdr:row>312</xdr:row>
      <xdr:rowOff>38100</xdr:rowOff>
    </xdr:from>
    <xdr:to>
      <xdr:col>2</xdr:col>
      <xdr:colOff>335281</xdr:colOff>
      <xdr:row>315</xdr:row>
      <xdr:rowOff>161925</xdr:rowOff>
    </xdr:to>
    <xdr:pic>
      <xdr:nvPicPr>
        <xdr:cNvPr id="92574" name="Picture 23" descr="10 REDUCBUSHTHRD.tif">
          <a:extLst>
            <a:ext uri="{FF2B5EF4-FFF2-40B4-BE49-F238E27FC236}">
              <a16:creationId xmlns:a16="http://schemas.microsoft.com/office/drawing/2014/main" id="{00000000-0008-0000-0400-00009E6901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52426" y="61693425"/>
          <a:ext cx="71628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190501</xdr:colOff>
      <xdr:row>280</xdr:row>
      <xdr:rowOff>142876</xdr:rowOff>
    </xdr:from>
    <xdr:to>
      <xdr:col>2</xdr:col>
      <xdr:colOff>363855</xdr:colOff>
      <xdr:row>284</xdr:row>
      <xdr:rowOff>102297</xdr:rowOff>
    </xdr:to>
    <xdr:pic>
      <xdr:nvPicPr>
        <xdr:cNvPr id="92575" name="Picture 22" descr="09 REDUCBUSHSLIP.tif">
          <a:extLst>
            <a:ext uri="{FF2B5EF4-FFF2-40B4-BE49-F238E27FC236}">
              <a16:creationId xmlns:a16="http://schemas.microsoft.com/office/drawing/2014/main" id="{00000000-0008-0000-0400-00009F6901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42901" y="55702201"/>
          <a:ext cx="754379" cy="721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333375</xdr:colOff>
      <xdr:row>345</xdr:row>
      <xdr:rowOff>152400</xdr:rowOff>
    </xdr:from>
    <xdr:to>
      <xdr:col>2</xdr:col>
      <xdr:colOff>311491</xdr:colOff>
      <xdr:row>349</xdr:row>
      <xdr:rowOff>57150</xdr:rowOff>
    </xdr:to>
    <xdr:pic>
      <xdr:nvPicPr>
        <xdr:cNvPr id="92576" name="Picture 24" descr="SCH40CapNEW.tif">
          <a:extLst>
            <a:ext uri="{FF2B5EF4-FFF2-40B4-BE49-F238E27FC236}">
              <a16:creationId xmlns:a16="http://schemas.microsoft.com/office/drawing/2014/main" id="{00000000-0008-0000-0400-0000A06901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85775" y="68094225"/>
          <a:ext cx="559141"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390525</xdr:colOff>
      <xdr:row>356</xdr:row>
      <xdr:rowOff>161925</xdr:rowOff>
    </xdr:from>
    <xdr:to>
      <xdr:col>2</xdr:col>
      <xdr:colOff>285750</xdr:colOff>
      <xdr:row>360</xdr:row>
      <xdr:rowOff>36164</xdr:rowOff>
    </xdr:to>
    <xdr:pic>
      <xdr:nvPicPr>
        <xdr:cNvPr id="92577" name="Picture 25" descr="12 SCH40CapFIPT.tif">
          <a:extLst>
            <a:ext uri="{FF2B5EF4-FFF2-40B4-BE49-F238E27FC236}">
              <a16:creationId xmlns:a16="http://schemas.microsoft.com/office/drawing/2014/main" id="{00000000-0008-0000-0400-0000A16901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42925" y="70199250"/>
          <a:ext cx="476250" cy="636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272770</xdr:colOff>
      <xdr:row>79</xdr:row>
      <xdr:rowOff>117757</xdr:rowOff>
    </xdr:from>
    <xdr:to>
      <xdr:col>2</xdr:col>
      <xdr:colOff>344450</xdr:colOff>
      <xdr:row>83</xdr:row>
      <xdr:rowOff>140617</xdr:rowOff>
    </xdr:to>
    <xdr:pic>
      <xdr:nvPicPr>
        <xdr:cNvPr id="18" name="Picture 14">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rot="5400000">
          <a:off x="359093" y="15557184"/>
          <a:ext cx="784860" cy="652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321673</xdr:colOff>
      <xdr:row>94</xdr:row>
      <xdr:rowOff>104775</xdr:rowOff>
    </xdr:from>
    <xdr:to>
      <xdr:col>2</xdr:col>
      <xdr:colOff>401683</xdr:colOff>
      <xdr:row>98</xdr:row>
      <xdr:rowOff>54700</xdr:rowOff>
    </xdr:to>
    <xdr:pic>
      <xdr:nvPicPr>
        <xdr:cNvPr id="20" name="Picture 1">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rot="5400000">
          <a:off x="452438" y="15690260"/>
          <a:ext cx="70049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300037</xdr:colOff>
      <xdr:row>111</xdr:row>
      <xdr:rowOff>147640</xdr:rowOff>
    </xdr:from>
    <xdr:to>
      <xdr:col>2</xdr:col>
      <xdr:colOff>288607</xdr:colOff>
      <xdr:row>114</xdr:row>
      <xdr:rowOff>189550</xdr:rowOff>
    </xdr:to>
    <xdr:pic>
      <xdr:nvPicPr>
        <xdr:cNvPr id="22" name="Picture 15">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rot="5400000">
          <a:off x="430530" y="21638897"/>
          <a:ext cx="613410" cy="569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236763</xdr:colOff>
      <xdr:row>123</xdr:row>
      <xdr:rowOff>163286</xdr:rowOff>
    </xdr:from>
    <xdr:to>
      <xdr:col>2</xdr:col>
      <xdr:colOff>372835</xdr:colOff>
      <xdr:row>126</xdr:row>
      <xdr:rowOff>182336</xdr:rowOff>
    </xdr:to>
    <xdr:pic>
      <xdr:nvPicPr>
        <xdr:cNvPr id="24" name="Picture 16">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rot="5400000">
          <a:off x="452437" y="23855362"/>
          <a:ext cx="590550" cy="7170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341657</xdr:colOff>
      <xdr:row>128</xdr:row>
      <xdr:rowOff>161925</xdr:rowOff>
    </xdr:from>
    <xdr:to>
      <xdr:col>2</xdr:col>
      <xdr:colOff>190499</xdr:colOff>
      <xdr:row>131</xdr:row>
      <xdr:rowOff>86326</xdr:rowOff>
    </xdr:to>
    <xdr:pic>
      <xdr:nvPicPr>
        <xdr:cNvPr id="26" name="Picture 2">
          <a:extLst>
            <a:ext uri="{FF2B5EF4-FFF2-40B4-BE49-F238E27FC236}">
              <a16:creationId xmlns:a16="http://schemas.microsoft.com/office/drawing/2014/main" id="{00000000-0008-0000-0400-00001A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rot="5400000">
          <a:off x="461040" y="24902792"/>
          <a:ext cx="495901" cy="429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248549</xdr:colOff>
      <xdr:row>133</xdr:row>
      <xdr:rowOff>46729</xdr:rowOff>
    </xdr:from>
    <xdr:to>
      <xdr:col>2</xdr:col>
      <xdr:colOff>380101</xdr:colOff>
      <xdr:row>136</xdr:row>
      <xdr:rowOff>84829</xdr:rowOff>
    </xdr:to>
    <xdr:pic>
      <xdr:nvPicPr>
        <xdr:cNvPr id="28" name="Picture 3">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rot="5400000">
          <a:off x="452438" y="25655590"/>
          <a:ext cx="609600" cy="712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257174</xdr:colOff>
      <xdr:row>138</xdr:row>
      <xdr:rowOff>171451</xdr:rowOff>
    </xdr:from>
    <xdr:to>
      <xdr:col>2</xdr:col>
      <xdr:colOff>367665</xdr:colOff>
      <xdr:row>142</xdr:row>
      <xdr:rowOff>95252</xdr:rowOff>
    </xdr:to>
    <xdr:pic>
      <xdr:nvPicPr>
        <xdr:cNvPr id="31" name="Picture 4">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rot="5400000">
          <a:off x="412431" y="26781444"/>
          <a:ext cx="685801" cy="6915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287701</xdr:colOff>
      <xdr:row>144</xdr:row>
      <xdr:rowOff>93299</xdr:rowOff>
    </xdr:from>
    <xdr:to>
      <xdr:col>2</xdr:col>
      <xdr:colOff>398191</xdr:colOff>
      <xdr:row>144</xdr:row>
      <xdr:rowOff>731568</xdr:rowOff>
    </xdr:to>
    <xdr:pic>
      <xdr:nvPicPr>
        <xdr:cNvPr id="33" name="Picture 6">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rot="5400000">
          <a:off x="466724" y="27822526"/>
          <a:ext cx="638269" cy="691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250286</xdr:colOff>
      <xdr:row>145</xdr:row>
      <xdr:rowOff>140241</xdr:rowOff>
    </xdr:from>
    <xdr:to>
      <xdr:col>2</xdr:col>
      <xdr:colOff>325025</xdr:colOff>
      <xdr:row>146</xdr:row>
      <xdr:rowOff>260256</xdr:rowOff>
    </xdr:to>
    <xdr:pic>
      <xdr:nvPicPr>
        <xdr:cNvPr id="34" name="Picture 7">
          <a:extLst>
            <a:ext uri="{FF2B5EF4-FFF2-40B4-BE49-F238E27FC236}">
              <a16:creationId xmlns:a16="http://schemas.microsoft.com/office/drawing/2014/main" id="{00000000-0008-0000-0400-000022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rot="5400000">
          <a:off x="446723" y="28699779"/>
          <a:ext cx="567690" cy="6557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274698</xdr:colOff>
      <xdr:row>149</xdr:row>
      <xdr:rowOff>49157</xdr:rowOff>
    </xdr:from>
    <xdr:to>
      <xdr:col>2</xdr:col>
      <xdr:colOff>369192</xdr:colOff>
      <xdr:row>152</xdr:row>
      <xdr:rowOff>77731</xdr:rowOff>
    </xdr:to>
    <xdr:pic>
      <xdr:nvPicPr>
        <xdr:cNvPr id="35" name="Picture 8">
          <a:extLst>
            <a:ext uri="{FF2B5EF4-FFF2-40B4-BE49-F238E27FC236}">
              <a16:creationId xmlns:a16="http://schemas.microsoft.com/office/drawing/2014/main" id="{00000000-0008-0000-0400-000023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rot="5400000">
          <a:off x="464821" y="29834209"/>
          <a:ext cx="600074" cy="675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409575</xdr:colOff>
      <xdr:row>155</xdr:row>
      <xdr:rowOff>57150</xdr:rowOff>
    </xdr:from>
    <xdr:to>
      <xdr:col>2</xdr:col>
      <xdr:colOff>239857</xdr:colOff>
      <xdr:row>157</xdr:row>
      <xdr:rowOff>125730</xdr:rowOff>
    </xdr:to>
    <xdr:pic>
      <xdr:nvPicPr>
        <xdr:cNvPr id="36" name="Picture 9">
          <a:extLst>
            <a:ext uri="{FF2B5EF4-FFF2-40B4-BE49-F238E27FC236}">
              <a16:creationId xmlns:a16="http://schemas.microsoft.com/office/drawing/2014/main" id="{00000000-0008-0000-0400-000024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561975" y="31099125"/>
          <a:ext cx="411307"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352424</xdr:colOff>
      <xdr:row>158</xdr:row>
      <xdr:rowOff>135712</xdr:rowOff>
    </xdr:from>
    <xdr:to>
      <xdr:col>2</xdr:col>
      <xdr:colOff>285750</xdr:colOff>
      <xdr:row>158</xdr:row>
      <xdr:rowOff>711022</xdr:rowOff>
    </xdr:to>
    <xdr:pic>
      <xdr:nvPicPr>
        <xdr:cNvPr id="38" name="Picture 1">
          <a:extLst>
            <a:ext uri="{FF2B5EF4-FFF2-40B4-BE49-F238E27FC236}">
              <a16:creationId xmlns:a16="http://schemas.microsoft.com/office/drawing/2014/main" id="{00000000-0008-0000-0400-000026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504824" y="31749187"/>
          <a:ext cx="514351" cy="575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342901</xdr:colOff>
      <xdr:row>172</xdr:row>
      <xdr:rowOff>19050</xdr:rowOff>
    </xdr:from>
    <xdr:to>
      <xdr:col>2</xdr:col>
      <xdr:colOff>272416</xdr:colOff>
      <xdr:row>174</xdr:row>
      <xdr:rowOff>180438</xdr:rowOff>
    </xdr:to>
    <xdr:pic>
      <xdr:nvPicPr>
        <xdr:cNvPr id="40" name="Picture 10">
          <a:extLst>
            <a:ext uri="{FF2B5EF4-FFF2-40B4-BE49-F238E27FC236}">
              <a16:creationId xmlns:a16="http://schemas.microsoft.com/office/drawing/2014/main" id="{00000000-0008-0000-0400-000028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95301" y="34871025"/>
          <a:ext cx="510540" cy="542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323850</xdr:colOff>
      <xdr:row>196</xdr:row>
      <xdr:rowOff>0</xdr:rowOff>
    </xdr:from>
    <xdr:to>
      <xdr:col>2</xdr:col>
      <xdr:colOff>273016</xdr:colOff>
      <xdr:row>199</xdr:row>
      <xdr:rowOff>19050</xdr:rowOff>
    </xdr:to>
    <xdr:pic>
      <xdr:nvPicPr>
        <xdr:cNvPr id="43" name="Picture 11">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rot="10800000">
          <a:off x="476250" y="39557325"/>
          <a:ext cx="530191"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342900</xdr:colOff>
      <xdr:row>212</xdr:row>
      <xdr:rowOff>85726</xdr:rowOff>
    </xdr:from>
    <xdr:to>
      <xdr:col>2</xdr:col>
      <xdr:colOff>226695</xdr:colOff>
      <xdr:row>215</xdr:row>
      <xdr:rowOff>12942</xdr:rowOff>
    </xdr:to>
    <xdr:pic>
      <xdr:nvPicPr>
        <xdr:cNvPr id="45" name="Picture 12">
          <a:extLst>
            <a:ext uri="{FF2B5EF4-FFF2-40B4-BE49-F238E27FC236}">
              <a16:creationId xmlns:a16="http://schemas.microsoft.com/office/drawing/2014/main" id="{00000000-0008-0000-0400-00002D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495300" y="42691051"/>
          <a:ext cx="464820" cy="4987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361951</xdr:colOff>
      <xdr:row>218</xdr:row>
      <xdr:rowOff>19050</xdr:rowOff>
    </xdr:from>
    <xdr:to>
      <xdr:col>2</xdr:col>
      <xdr:colOff>177166</xdr:colOff>
      <xdr:row>220</xdr:row>
      <xdr:rowOff>114300</xdr:rowOff>
    </xdr:to>
    <xdr:pic>
      <xdr:nvPicPr>
        <xdr:cNvPr id="48" name="Picture 14">
          <a:extLst>
            <a:ext uri="{FF2B5EF4-FFF2-40B4-BE49-F238E27FC236}">
              <a16:creationId xmlns:a16="http://schemas.microsoft.com/office/drawing/2014/main" id="{00000000-0008-0000-0400-000030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514351" y="43767375"/>
          <a:ext cx="39624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257175</xdr:colOff>
      <xdr:row>233</xdr:row>
      <xdr:rowOff>152400</xdr:rowOff>
    </xdr:from>
    <xdr:to>
      <xdr:col>2</xdr:col>
      <xdr:colOff>251329</xdr:colOff>
      <xdr:row>237</xdr:row>
      <xdr:rowOff>19050</xdr:rowOff>
    </xdr:to>
    <xdr:pic>
      <xdr:nvPicPr>
        <xdr:cNvPr id="52" name="Picture 16">
          <a:extLst>
            <a:ext uri="{FF2B5EF4-FFF2-40B4-BE49-F238E27FC236}">
              <a16:creationId xmlns:a16="http://schemas.microsoft.com/office/drawing/2014/main" id="{00000000-0008-0000-0400-000034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409575" y="46758225"/>
          <a:ext cx="575179"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104774</xdr:colOff>
      <xdr:row>254</xdr:row>
      <xdr:rowOff>114300</xdr:rowOff>
    </xdr:from>
    <xdr:to>
      <xdr:col>2</xdr:col>
      <xdr:colOff>400050</xdr:colOff>
      <xdr:row>259</xdr:row>
      <xdr:rowOff>101324</xdr:rowOff>
    </xdr:to>
    <xdr:pic>
      <xdr:nvPicPr>
        <xdr:cNvPr id="54" name="Picture 51" descr="http://www.duraplastics.com/dura/graphics/orderportal/Dura_Images/Sch40/436043-21.gif">
          <a:extLst>
            <a:ext uri="{FF2B5EF4-FFF2-40B4-BE49-F238E27FC236}">
              <a16:creationId xmlns:a16="http://schemas.microsoft.com/office/drawing/2014/main" id="{00000000-0008-0000-0400-000036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57174" y="50720625"/>
          <a:ext cx="876301" cy="939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247650</xdr:colOff>
      <xdr:row>333</xdr:row>
      <xdr:rowOff>38100</xdr:rowOff>
    </xdr:from>
    <xdr:to>
      <xdr:col>2</xdr:col>
      <xdr:colOff>245745</xdr:colOff>
      <xdr:row>336</xdr:row>
      <xdr:rowOff>132595</xdr:rowOff>
    </xdr:to>
    <xdr:pic>
      <xdr:nvPicPr>
        <xdr:cNvPr id="59" name="Picture 1">
          <a:extLst>
            <a:ext uri="{FF2B5EF4-FFF2-40B4-BE49-F238E27FC236}">
              <a16:creationId xmlns:a16="http://schemas.microsoft.com/office/drawing/2014/main" id="{00000000-0008-0000-0400-00003B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400050" y="65693925"/>
          <a:ext cx="579120" cy="665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257175</xdr:colOff>
      <xdr:row>364</xdr:row>
      <xdr:rowOff>76200</xdr:rowOff>
    </xdr:from>
    <xdr:to>
      <xdr:col>2</xdr:col>
      <xdr:colOff>305276</xdr:colOff>
      <xdr:row>368</xdr:row>
      <xdr:rowOff>57150</xdr:rowOff>
    </xdr:to>
    <xdr:pic>
      <xdr:nvPicPr>
        <xdr:cNvPr id="61" name="Picture 3">
          <a:extLst>
            <a:ext uri="{FF2B5EF4-FFF2-40B4-BE49-F238E27FC236}">
              <a16:creationId xmlns:a16="http://schemas.microsoft.com/office/drawing/2014/main" id="{00000000-0008-0000-0400-00003D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09575" y="71637525"/>
          <a:ext cx="629126"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276225</xdr:colOff>
      <xdr:row>372</xdr:row>
      <xdr:rowOff>9525</xdr:rowOff>
    </xdr:from>
    <xdr:to>
      <xdr:col>2</xdr:col>
      <xdr:colOff>320993</xdr:colOff>
      <xdr:row>375</xdr:row>
      <xdr:rowOff>121920</xdr:rowOff>
    </xdr:to>
    <xdr:pic>
      <xdr:nvPicPr>
        <xdr:cNvPr id="62" name="Picture 4">
          <a:extLst>
            <a:ext uri="{FF2B5EF4-FFF2-40B4-BE49-F238E27FC236}">
              <a16:creationId xmlns:a16="http://schemas.microsoft.com/office/drawing/2014/main" id="{00000000-0008-0000-0400-00003E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428625" y="73094850"/>
          <a:ext cx="625793" cy="683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209550</xdr:colOff>
      <xdr:row>380</xdr:row>
      <xdr:rowOff>123826</xdr:rowOff>
    </xdr:from>
    <xdr:to>
      <xdr:col>2</xdr:col>
      <xdr:colOff>253365</xdr:colOff>
      <xdr:row>384</xdr:row>
      <xdr:rowOff>48480</xdr:rowOff>
    </xdr:to>
    <xdr:pic>
      <xdr:nvPicPr>
        <xdr:cNvPr id="64" name="Picture 5">
          <a:extLst>
            <a:ext uri="{FF2B5EF4-FFF2-40B4-BE49-F238E27FC236}">
              <a16:creationId xmlns:a16="http://schemas.microsoft.com/office/drawing/2014/main" id="{00000000-0008-0000-0400-000040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361950" y="74733151"/>
          <a:ext cx="624840" cy="6866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304799</xdr:colOff>
      <xdr:row>388</xdr:row>
      <xdr:rowOff>133349</xdr:rowOff>
    </xdr:from>
    <xdr:to>
      <xdr:col>2</xdr:col>
      <xdr:colOff>287655</xdr:colOff>
      <xdr:row>391</xdr:row>
      <xdr:rowOff>140969</xdr:rowOff>
    </xdr:to>
    <xdr:pic>
      <xdr:nvPicPr>
        <xdr:cNvPr id="66" name="Picture 6">
          <a:extLst>
            <a:ext uri="{FF2B5EF4-FFF2-40B4-BE49-F238E27FC236}">
              <a16:creationId xmlns:a16="http://schemas.microsoft.com/office/drawing/2014/main" id="{00000000-0008-0000-0400-00004200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457199" y="76266674"/>
          <a:ext cx="563881"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276225</xdr:colOff>
      <xdr:row>394</xdr:row>
      <xdr:rowOff>28575</xdr:rowOff>
    </xdr:from>
    <xdr:to>
      <xdr:col>2</xdr:col>
      <xdr:colOff>246083</xdr:colOff>
      <xdr:row>396</xdr:row>
      <xdr:rowOff>186690</xdr:rowOff>
    </xdr:to>
    <xdr:pic>
      <xdr:nvPicPr>
        <xdr:cNvPr id="68" name="Picture 7">
          <a:extLst>
            <a:ext uri="{FF2B5EF4-FFF2-40B4-BE49-F238E27FC236}">
              <a16:creationId xmlns:a16="http://schemas.microsoft.com/office/drawing/2014/main" id="{00000000-0008-0000-0400-000044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428625" y="77304900"/>
          <a:ext cx="550883" cy="643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333375</xdr:colOff>
      <xdr:row>398</xdr:row>
      <xdr:rowOff>123825</xdr:rowOff>
    </xdr:from>
    <xdr:to>
      <xdr:col>2</xdr:col>
      <xdr:colOff>291465</xdr:colOff>
      <xdr:row>402</xdr:row>
      <xdr:rowOff>6791</xdr:rowOff>
    </xdr:to>
    <xdr:pic>
      <xdr:nvPicPr>
        <xdr:cNvPr id="69" name="Picture 8">
          <a:extLst>
            <a:ext uri="{FF2B5EF4-FFF2-40B4-BE49-F238E27FC236}">
              <a16:creationId xmlns:a16="http://schemas.microsoft.com/office/drawing/2014/main" id="{00000000-0008-0000-0400-00004500000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485775" y="78285975"/>
          <a:ext cx="539115" cy="6449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342901</xdr:colOff>
      <xdr:row>404</xdr:row>
      <xdr:rowOff>114300</xdr:rowOff>
    </xdr:from>
    <xdr:to>
      <xdr:col>2</xdr:col>
      <xdr:colOff>323851</xdr:colOff>
      <xdr:row>405</xdr:row>
      <xdr:rowOff>324896</xdr:rowOff>
    </xdr:to>
    <xdr:pic>
      <xdr:nvPicPr>
        <xdr:cNvPr id="71" name="Picture 9">
          <a:extLst>
            <a:ext uri="{FF2B5EF4-FFF2-40B4-BE49-F238E27FC236}">
              <a16:creationId xmlns:a16="http://schemas.microsoft.com/office/drawing/2014/main" id="{00000000-0008-0000-0400-0000470000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495301" y="75885675"/>
          <a:ext cx="552450" cy="6639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314325</xdr:colOff>
      <xdr:row>406</xdr:row>
      <xdr:rowOff>85726</xdr:rowOff>
    </xdr:from>
    <xdr:to>
      <xdr:col>2</xdr:col>
      <xdr:colOff>288388</xdr:colOff>
      <xdr:row>407</xdr:row>
      <xdr:rowOff>171451</xdr:rowOff>
    </xdr:to>
    <xdr:pic>
      <xdr:nvPicPr>
        <xdr:cNvPr id="74" name="Picture 44" descr="http://www.duraplastics.com/dura/graphics/orderportal/Dura_Images/insert/1474-015.gif">
          <a:extLst>
            <a:ext uri="{FF2B5EF4-FFF2-40B4-BE49-F238E27FC236}">
              <a16:creationId xmlns:a16="http://schemas.microsoft.com/office/drawing/2014/main" id="{00000000-0008-0000-0400-00004A000000}"/>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457200" y="111118651"/>
          <a:ext cx="562708"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304801</xdr:colOff>
      <xdr:row>411</xdr:row>
      <xdr:rowOff>47625</xdr:rowOff>
    </xdr:from>
    <xdr:to>
      <xdr:col>2</xdr:col>
      <xdr:colOff>249556</xdr:colOff>
      <xdr:row>413</xdr:row>
      <xdr:rowOff>135255</xdr:rowOff>
    </xdr:to>
    <xdr:pic>
      <xdr:nvPicPr>
        <xdr:cNvPr id="77" name="Picture 50" descr="http://www.duraplastics.com/dura/graphics/orderportal/Schedule_40/877-060_cat.jpg">
          <a:extLst>
            <a:ext uri="{FF2B5EF4-FFF2-40B4-BE49-F238E27FC236}">
              <a16:creationId xmlns:a16="http://schemas.microsoft.com/office/drawing/2014/main" id="{00000000-0008-0000-0400-00004D0000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457201" y="77638275"/>
          <a:ext cx="53340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295275</xdr:colOff>
      <xdr:row>415</xdr:row>
      <xdr:rowOff>19050</xdr:rowOff>
    </xdr:from>
    <xdr:to>
      <xdr:col>2</xdr:col>
      <xdr:colOff>220980</xdr:colOff>
      <xdr:row>417</xdr:row>
      <xdr:rowOff>140970</xdr:rowOff>
    </xdr:to>
    <xdr:pic>
      <xdr:nvPicPr>
        <xdr:cNvPr id="79" name="Picture 12">
          <a:extLst>
            <a:ext uri="{FF2B5EF4-FFF2-40B4-BE49-F238E27FC236}">
              <a16:creationId xmlns:a16="http://schemas.microsoft.com/office/drawing/2014/main" id="{00000000-0008-0000-0400-00004F0000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447675" y="82667475"/>
          <a:ext cx="50673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333375</xdr:colOff>
      <xdr:row>419</xdr:row>
      <xdr:rowOff>33240</xdr:rowOff>
    </xdr:from>
    <xdr:to>
      <xdr:col>2</xdr:col>
      <xdr:colOff>272415</xdr:colOff>
      <xdr:row>421</xdr:row>
      <xdr:rowOff>115582</xdr:rowOff>
    </xdr:to>
    <xdr:pic>
      <xdr:nvPicPr>
        <xdr:cNvPr id="81" name="Picture 52" descr="http://www.duraplastics.com/dura/graphics/orderportal/Dura_Images/Sch40/479-015.gif">
          <a:extLst>
            <a:ext uri="{FF2B5EF4-FFF2-40B4-BE49-F238E27FC236}">
              <a16:creationId xmlns:a16="http://schemas.microsoft.com/office/drawing/2014/main" id="{00000000-0008-0000-0400-0000510000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485775" y="83443665"/>
          <a:ext cx="520065" cy="558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323850</xdr:colOff>
      <xdr:row>2</xdr:row>
      <xdr:rowOff>123825</xdr:rowOff>
    </xdr:from>
    <xdr:to>
      <xdr:col>10</xdr:col>
      <xdr:colOff>323850</xdr:colOff>
      <xdr:row>5</xdr:row>
      <xdr:rowOff>142875</xdr:rowOff>
    </xdr:to>
    <xdr:cxnSp macro="">
      <xdr:nvCxnSpPr>
        <xdr:cNvPr id="56" name="Straight Arrow Connector 55">
          <a:extLst>
            <a:ext uri="{FF2B5EF4-FFF2-40B4-BE49-F238E27FC236}">
              <a16:creationId xmlns:a16="http://schemas.microsoft.com/office/drawing/2014/main" id="{00000000-0008-0000-0400-000038000000}"/>
            </a:ext>
          </a:extLst>
        </xdr:cNvPr>
        <xdr:cNvCxnSpPr/>
      </xdr:nvCxnSpPr>
      <xdr:spPr>
        <a:xfrm>
          <a:off x="8591550" y="552450"/>
          <a:ext cx="0" cy="600075"/>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323850</xdr:colOff>
      <xdr:row>191</xdr:row>
      <xdr:rowOff>38100</xdr:rowOff>
    </xdr:from>
    <xdr:to>
      <xdr:col>2</xdr:col>
      <xdr:colOff>269197</xdr:colOff>
      <xdr:row>193</xdr:row>
      <xdr:rowOff>1904</xdr:rowOff>
    </xdr:to>
    <xdr:pic>
      <xdr:nvPicPr>
        <xdr:cNvPr id="58" name="Picture 1">
          <a:extLst>
            <a:ext uri="{FF2B5EF4-FFF2-40B4-BE49-F238E27FC236}">
              <a16:creationId xmlns:a16="http://schemas.microsoft.com/office/drawing/2014/main" id="{00000000-0008-0000-0400-00003A000000}"/>
            </a:ext>
          </a:extLst>
        </xdr:cNvPr>
        <xdr:cNvPicPr>
          <a:picLocks noChangeAspect="1"/>
        </xdr:cNvPicPr>
      </xdr:nvPicPr>
      <xdr:blipFill rotWithShape="1">
        <a:blip xmlns:r="http://schemas.openxmlformats.org/officeDocument/2006/relationships" r:embed="rId43">
          <a:extLst>
            <a:ext uri="{28A0092B-C50C-407E-A947-70E740481C1C}">
              <a14:useLocalDpi xmlns:a14="http://schemas.microsoft.com/office/drawing/2010/main" val="0"/>
            </a:ext>
          </a:extLst>
        </a:blip>
        <a:srcRect l="3704" t="13963" r="8024" b="8607"/>
        <a:stretch/>
      </xdr:blipFill>
      <xdr:spPr bwMode="auto">
        <a:xfrm>
          <a:off x="476250" y="36604575"/>
          <a:ext cx="526372" cy="457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xdr:colOff>
      <xdr:row>1</xdr:row>
      <xdr:rowOff>19050</xdr:rowOff>
    </xdr:from>
    <xdr:to>
      <xdr:col>13</xdr:col>
      <xdr:colOff>19050</xdr:colOff>
      <xdr:row>5</xdr:row>
      <xdr:rowOff>57151</xdr:rowOff>
    </xdr:to>
    <xdr:pic>
      <xdr:nvPicPr>
        <xdr:cNvPr id="60" name="Picture 64">
          <a:extLst>
            <a:ext uri="{FF2B5EF4-FFF2-40B4-BE49-F238E27FC236}">
              <a16:creationId xmlns:a16="http://schemas.microsoft.com/office/drawing/2014/main" id="{00000000-0008-0000-0400-00003C000000}"/>
            </a:ext>
          </a:extLst>
        </xdr:cNvPr>
        <xdr:cNvPicPr>
          <a:picLocks noChangeAspect="1"/>
        </xdr:cNvPicPr>
      </xdr:nvPicPr>
      <xdr:blipFill rotWithShape="1">
        <a:blip xmlns:r="http://schemas.openxmlformats.org/officeDocument/2006/relationships" r:embed="rId44" cstate="print">
          <a:extLst>
            <a:ext uri="{28A0092B-C50C-407E-A947-70E740481C1C}">
              <a14:useLocalDpi xmlns:a14="http://schemas.microsoft.com/office/drawing/2010/main" val="0"/>
            </a:ext>
          </a:extLst>
        </a:blip>
        <a:srcRect l="11628" t="10465" r="13954" b="10465"/>
        <a:stretch/>
      </xdr:blipFill>
      <xdr:spPr bwMode="auto">
        <a:xfrm>
          <a:off x="9258300" y="257175"/>
          <a:ext cx="752475" cy="800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142875</xdr:colOff>
      <xdr:row>422</xdr:row>
      <xdr:rowOff>93526</xdr:rowOff>
    </xdr:from>
    <xdr:to>
      <xdr:col>2</xdr:col>
      <xdr:colOff>325755</xdr:colOff>
      <xdr:row>422</xdr:row>
      <xdr:rowOff>320634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314325" y="116384251"/>
          <a:ext cx="771525" cy="219488"/>
        </a:xfrm>
        <a:prstGeom prst="rect">
          <a:avLst/>
        </a:prstGeom>
      </xdr:spPr>
    </xdr:pic>
    <xdr:clientData/>
  </xdr:twoCellAnchor>
  <xdr:twoCellAnchor editAs="oneCell">
    <xdr:from>
      <xdr:col>1</xdr:col>
      <xdr:colOff>171450</xdr:colOff>
      <xdr:row>423</xdr:row>
      <xdr:rowOff>61313</xdr:rowOff>
    </xdr:from>
    <xdr:to>
      <xdr:col>2</xdr:col>
      <xdr:colOff>441679</xdr:colOff>
      <xdr:row>423</xdr:row>
      <xdr:rowOff>440055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314325" y="116209163"/>
          <a:ext cx="855064" cy="386362"/>
        </a:xfrm>
        <a:prstGeom prst="rect">
          <a:avLst/>
        </a:prstGeom>
      </xdr:spPr>
    </xdr:pic>
    <xdr:clientData/>
  </xdr:twoCellAnchor>
  <xdr:oneCellAnchor>
    <xdr:from>
      <xdr:col>1</xdr:col>
      <xdr:colOff>333375</xdr:colOff>
      <xdr:row>204</xdr:row>
      <xdr:rowOff>171451</xdr:rowOff>
    </xdr:from>
    <xdr:ext cx="474345" cy="502526"/>
    <xdr:pic>
      <xdr:nvPicPr>
        <xdr:cNvPr id="63" name="Picture 12">
          <a:extLst>
            <a:ext uri="{FF2B5EF4-FFF2-40B4-BE49-F238E27FC236}">
              <a16:creationId xmlns:a16="http://schemas.microsoft.com/office/drawing/2014/main" id="{00000000-0008-0000-0400-00003F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485775" y="41252776"/>
          <a:ext cx="474345" cy="5025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285750</xdr:colOff>
      <xdr:row>408</xdr:row>
      <xdr:rowOff>126706</xdr:rowOff>
    </xdr:from>
    <xdr:to>
      <xdr:col>2</xdr:col>
      <xdr:colOff>304800</xdr:colOff>
      <xdr:row>409</xdr:row>
      <xdr:rowOff>152804</xdr:rowOff>
    </xdr:to>
    <xdr:pic>
      <xdr:nvPicPr>
        <xdr:cNvPr id="4" name="Imagem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47"/>
        <a:stretch>
          <a:fillRect/>
        </a:stretch>
      </xdr:blipFill>
      <xdr:spPr>
        <a:xfrm>
          <a:off x="438150" y="76602931"/>
          <a:ext cx="600075" cy="349948"/>
        </a:xfrm>
        <a:prstGeom prst="rect">
          <a:avLst/>
        </a:prstGeom>
      </xdr:spPr>
    </xdr:pic>
    <xdr:clientData/>
  </xdr:twoCellAnchor>
  <xdr:twoCellAnchor editAs="oneCell">
    <xdr:from>
      <xdr:col>1</xdr:col>
      <xdr:colOff>361951</xdr:colOff>
      <xdr:row>410</xdr:row>
      <xdr:rowOff>46540</xdr:rowOff>
    </xdr:from>
    <xdr:to>
      <xdr:col>2</xdr:col>
      <xdr:colOff>306706</xdr:colOff>
      <xdr:row>410</xdr:row>
      <xdr:rowOff>428625</xdr:rowOff>
    </xdr:to>
    <xdr:pic>
      <xdr:nvPicPr>
        <xdr:cNvPr id="5" name="Imagem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8"/>
        <a:stretch>
          <a:fillRect/>
        </a:stretch>
      </xdr:blipFill>
      <xdr:spPr>
        <a:xfrm>
          <a:off x="514351" y="81466240"/>
          <a:ext cx="525780" cy="382085"/>
        </a:xfrm>
        <a:prstGeom prst="rect">
          <a:avLst/>
        </a:prstGeom>
      </xdr:spPr>
    </xdr:pic>
    <xdr:clientData/>
  </xdr:twoCellAnchor>
  <xdr:twoCellAnchor editAs="oneCell">
    <xdr:from>
      <xdr:col>0</xdr:col>
      <xdr:colOff>139067</xdr:colOff>
      <xdr:row>0</xdr:row>
      <xdr:rowOff>220980</xdr:rowOff>
    </xdr:from>
    <xdr:to>
      <xdr:col>4</xdr:col>
      <xdr:colOff>496892</xdr:colOff>
      <xdr:row>5</xdr:row>
      <xdr:rowOff>20602</xdr:rowOff>
    </xdr:to>
    <xdr:pic>
      <xdr:nvPicPr>
        <xdr:cNvPr id="70" name="Picture 1">
          <a:extLst>
            <a:ext uri="{FF2B5EF4-FFF2-40B4-BE49-F238E27FC236}">
              <a16:creationId xmlns:a16="http://schemas.microsoft.com/office/drawing/2014/main" id="{00000000-0008-0000-0400-000046000000}"/>
            </a:ext>
          </a:extLst>
        </xdr:cNvPr>
        <xdr:cNvPicPr>
          <a:picLocks noChangeAspect="1"/>
        </xdr:cNvPicPr>
      </xdr:nvPicPr>
      <xdr:blipFill>
        <a:blip xmlns:r="http://schemas.openxmlformats.org/officeDocument/2006/relationships" r:embed="rId49"/>
        <a:stretch>
          <a:fillRect/>
        </a:stretch>
      </xdr:blipFill>
      <xdr:spPr>
        <a:xfrm rot="5400000">
          <a:off x="1042056" y="-682009"/>
          <a:ext cx="761647" cy="2567625"/>
        </a:xfrm>
        <a:prstGeom prst="rect">
          <a:avLst/>
        </a:prstGeom>
      </xdr:spPr>
    </xdr:pic>
    <xdr:clientData/>
  </xdr:twoCellAnchor>
  <xdr:twoCellAnchor editAs="oneCell">
    <xdr:from>
      <xdr:col>1</xdr:col>
      <xdr:colOff>266700</xdr:colOff>
      <xdr:row>224</xdr:row>
      <xdr:rowOff>104775</xdr:rowOff>
    </xdr:from>
    <xdr:to>
      <xdr:col>2</xdr:col>
      <xdr:colOff>264664</xdr:colOff>
      <xdr:row>227</xdr:row>
      <xdr:rowOff>161925</xdr:rowOff>
    </xdr:to>
    <xdr:pic>
      <xdr:nvPicPr>
        <xdr:cNvPr id="65" name="Picture 16">
          <a:extLst>
            <a:ext uri="{FF2B5EF4-FFF2-40B4-BE49-F238E27FC236}">
              <a16:creationId xmlns:a16="http://schemas.microsoft.com/office/drawing/2014/main" id="{00000000-0008-0000-0400-000041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419100" y="44996100"/>
          <a:ext cx="578989"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419100</xdr:colOff>
      <xdr:row>7</xdr:row>
      <xdr:rowOff>117556</xdr:rowOff>
    </xdr:from>
    <xdr:to>
      <xdr:col>2</xdr:col>
      <xdr:colOff>209550</xdr:colOff>
      <xdr:row>8</xdr:row>
      <xdr:rowOff>249555</xdr:rowOff>
    </xdr:to>
    <xdr:pic>
      <xdr:nvPicPr>
        <xdr:cNvPr id="2" name="Picture 13" descr="401-005NEW.tif">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1774906"/>
          <a:ext cx="371475" cy="518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247965</xdr:colOff>
      <xdr:row>9</xdr:row>
      <xdr:rowOff>76204</xdr:rowOff>
    </xdr:from>
    <xdr:to>
      <xdr:col>2</xdr:col>
      <xdr:colOff>246697</xdr:colOff>
      <xdr:row>10</xdr:row>
      <xdr:rowOff>306706</xdr:rowOff>
    </xdr:to>
    <xdr:pic>
      <xdr:nvPicPr>
        <xdr:cNvPr id="5" name="Picture 16" descr="03 ELBOW406.tif">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5400000">
          <a:off x="384493" y="8416926"/>
          <a:ext cx="611502" cy="5797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339090</xdr:colOff>
      <xdr:row>11</xdr:row>
      <xdr:rowOff>53341</xdr:rowOff>
    </xdr:from>
    <xdr:to>
      <xdr:col>2</xdr:col>
      <xdr:colOff>245745</xdr:colOff>
      <xdr:row>12</xdr:row>
      <xdr:rowOff>326351</xdr:rowOff>
    </xdr:to>
    <xdr:pic>
      <xdr:nvPicPr>
        <xdr:cNvPr id="7" name="Picture 18" descr="05 ELBOW417.tif">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91490" y="19093816"/>
          <a:ext cx="495300" cy="654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381001</xdr:colOff>
      <xdr:row>13</xdr:row>
      <xdr:rowOff>95249</xdr:rowOff>
    </xdr:from>
    <xdr:to>
      <xdr:col>2</xdr:col>
      <xdr:colOff>248904</xdr:colOff>
      <xdr:row>13</xdr:row>
      <xdr:rowOff>550544</xdr:rowOff>
    </xdr:to>
    <xdr:pic>
      <xdr:nvPicPr>
        <xdr:cNvPr id="8" name="Picture 19" descr="06 COUPLING429.tif">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33401" y="7086599"/>
          <a:ext cx="433688" cy="45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190501</xdr:colOff>
      <xdr:row>14</xdr:row>
      <xdr:rowOff>133351</xdr:rowOff>
    </xdr:from>
    <xdr:to>
      <xdr:col>2</xdr:col>
      <xdr:colOff>360045</xdr:colOff>
      <xdr:row>18</xdr:row>
      <xdr:rowOff>96582</xdr:rowOff>
    </xdr:to>
    <xdr:pic>
      <xdr:nvPicPr>
        <xdr:cNvPr id="11" name="Picture 22" descr="09 REDUCBUSHSLIP.tif">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42901" y="11944351"/>
          <a:ext cx="761999" cy="725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371476</xdr:colOff>
      <xdr:row>19</xdr:row>
      <xdr:rowOff>81187</xdr:rowOff>
    </xdr:from>
    <xdr:to>
      <xdr:col>2</xdr:col>
      <xdr:colOff>285751</xdr:colOff>
      <xdr:row>20</xdr:row>
      <xdr:rowOff>283844</xdr:rowOff>
    </xdr:to>
    <xdr:pic>
      <xdr:nvPicPr>
        <xdr:cNvPr id="12" name="Picture 24" descr="SCH40CapNEW.tif">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23876" y="16273687"/>
          <a:ext cx="495300" cy="591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323850</xdr:colOff>
      <xdr:row>2</xdr:row>
      <xdr:rowOff>123825</xdr:rowOff>
    </xdr:from>
    <xdr:to>
      <xdr:col>10</xdr:col>
      <xdr:colOff>323850</xdr:colOff>
      <xdr:row>5</xdr:row>
      <xdr:rowOff>142875</xdr:rowOff>
    </xdr:to>
    <xdr:cxnSp macro="">
      <xdr:nvCxnSpPr>
        <xdr:cNvPr id="44" name="Straight Arrow Connector 55">
          <a:extLst>
            <a:ext uri="{FF2B5EF4-FFF2-40B4-BE49-F238E27FC236}">
              <a16:creationId xmlns:a16="http://schemas.microsoft.com/office/drawing/2014/main" id="{00000000-0008-0000-0500-00002C000000}"/>
            </a:ext>
          </a:extLst>
        </xdr:cNvPr>
        <xdr:cNvCxnSpPr/>
      </xdr:nvCxnSpPr>
      <xdr:spPr>
        <a:xfrm>
          <a:off x="9572625" y="561975"/>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38100</xdr:colOff>
      <xdr:row>1</xdr:row>
      <xdr:rowOff>19050</xdr:rowOff>
    </xdr:from>
    <xdr:to>
      <xdr:col>13</xdr:col>
      <xdr:colOff>15240</xdr:colOff>
      <xdr:row>5</xdr:row>
      <xdr:rowOff>53341</xdr:rowOff>
    </xdr:to>
    <xdr:pic>
      <xdr:nvPicPr>
        <xdr:cNvPr id="46" name="Picture 64">
          <a:extLst>
            <a:ext uri="{FF2B5EF4-FFF2-40B4-BE49-F238E27FC236}">
              <a16:creationId xmlns:a16="http://schemas.microsoft.com/office/drawing/2014/main" id="{00000000-0008-0000-0500-00002E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1628" t="10465" r="13954" b="10465"/>
        <a:stretch/>
      </xdr:blipFill>
      <xdr:spPr bwMode="auto">
        <a:xfrm>
          <a:off x="10001250" y="257175"/>
          <a:ext cx="752475" cy="805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517845</xdr:colOff>
      <xdr:row>5</xdr:row>
      <xdr:rowOff>20602</xdr:rowOff>
    </xdr:to>
    <xdr:pic>
      <xdr:nvPicPr>
        <xdr:cNvPr id="53" name="Picture 1">
          <a:extLst>
            <a:ext uri="{FF2B5EF4-FFF2-40B4-BE49-F238E27FC236}">
              <a16:creationId xmlns:a16="http://schemas.microsoft.com/office/drawing/2014/main" id="{00000000-0008-0000-0500-000035000000}"/>
            </a:ext>
          </a:extLst>
        </xdr:cNvPr>
        <xdr:cNvPicPr>
          <a:picLocks noChangeAspect="1"/>
        </xdr:cNvPicPr>
      </xdr:nvPicPr>
      <xdr:blipFill>
        <a:blip xmlns:r="http://schemas.openxmlformats.org/officeDocument/2006/relationships" r:embed="rId8"/>
        <a:stretch>
          <a:fillRect/>
        </a:stretch>
      </xdr:blipFill>
      <xdr:spPr>
        <a:xfrm rot="5400000">
          <a:off x="1016336" y="-625811"/>
          <a:ext cx="792127" cy="252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323850</xdr:colOff>
      <xdr:row>2</xdr:row>
      <xdr:rowOff>123825</xdr:rowOff>
    </xdr:from>
    <xdr:to>
      <xdr:col>10</xdr:col>
      <xdr:colOff>323850</xdr:colOff>
      <xdr:row>5</xdr:row>
      <xdr:rowOff>142875</xdr:rowOff>
    </xdr:to>
    <xdr:cxnSp macro="">
      <xdr:nvCxnSpPr>
        <xdr:cNvPr id="8" name="Straight Arrow Connector 55">
          <a:extLst>
            <a:ext uri="{FF2B5EF4-FFF2-40B4-BE49-F238E27FC236}">
              <a16:creationId xmlns:a16="http://schemas.microsoft.com/office/drawing/2014/main" id="{00000000-0008-0000-0600-000008000000}"/>
            </a:ext>
          </a:extLst>
        </xdr:cNvPr>
        <xdr:cNvCxnSpPr/>
      </xdr:nvCxnSpPr>
      <xdr:spPr>
        <a:xfrm>
          <a:off x="9572625" y="561975"/>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38100</xdr:colOff>
      <xdr:row>1</xdr:row>
      <xdr:rowOff>19050</xdr:rowOff>
    </xdr:from>
    <xdr:to>
      <xdr:col>13</xdr:col>
      <xdr:colOff>19050</xdr:colOff>
      <xdr:row>5</xdr:row>
      <xdr:rowOff>57151</xdr:rowOff>
    </xdr:to>
    <xdr:pic>
      <xdr:nvPicPr>
        <xdr:cNvPr id="9" name="Picture 64">
          <a:extLst>
            <a:ext uri="{FF2B5EF4-FFF2-40B4-BE49-F238E27FC236}">
              <a16:creationId xmlns:a16="http://schemas.microsoft.com/office/drawing/2014/main" id="{00000000-0008-0000-06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628" t="10465" r="13954" b="10465"/>
        <a:stretch/>
      </xdr:blipFill>
      <xdr:spPr bwMode="auto">
        <a:xfrm>
          <a:off x="10001250" y="257175"/>
          <a:ext cx="752475" cy="805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514035</xdr:colOff>
      <xdr:row>5</xdr:row>
      <xdr:rowOff>16792</xdr:rowOff>
    </xdr:to>
    <xdr:pic>
      <xdr:nvPicPr>
        <xdr:cNvPr id="11" name="Picture 1">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2"/>
        <a:stretch>
          <a:fillRect/>
        </a:stretch>
      </xdr:blipFill>
      <xdr:spPr>
        <a:xfrm rot="5400000">
          <a:off x="1016336" y="-625811"/>
          <a:ext cx="792127" cy="252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323850</xdr:colOff>
      <xdr:row>2</xdr:row>
      <xdr:rowOff>123825</xdr:rowOff>
    </xdr:from>
    <xdr:to>
      <xdr:col>10</xdr:col>
      <xdr:colOff>323850</xdr:colOff>
      <xdr:row>5</xdr:row>
      <xdr:rowOff>142875</xdr:rowOff>
    </xdr:to>
    <xdr:cxnSp macro="">
      <xdr:nvCxnSpPr>
        <xdr:cNvPr id="8" name="Straight Arrow Connector 55">
          <a:extLst>
            <a:ext uri="{FF2B5EF4-FFF2-40B4-BE49-F238E27FC236}">
              <a16:creationId xmlns:a16="http://schemas.microsoft.com/office/drawing/2014/main" id="{00000000-0008-0000-0700-000008000000}"/>
            </a:ext>
          </a:extLst>
        </xdr:cNvPr>
        <xdr:cNvCxnSpPr/>
      </xdr:nvCxnSpPr>
      <xdr:spPr>
        <a:xfrm>
          <a:off x="9572625" y="561975"/>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38100</xdr:colOff>
      <xdr:row>1</xdr:row>
      <xdr:rowOff>19050</xdr:rowOff>
    </xdr:from>
    <xdr:to>
      <xdr:col>13</xdr:col>
      <xdr:colOff>15240</xdr:colOff>
      <xdr:row>5</xdr:row>
      <xdr:rowOff>53341</xdr:rowOff>
    </xdr:to>
    <xdr:pic>
      <xdr:nvPicPr>
        <xdr:cNvPr id="9" name="Picture 64">
          <a:extLst>
            <a:ext uri="{FF2B5EF4-FFF2-40B4-BE49-F238E27FC236}">
              <a16:creationId xmlns:a16="http://schemas.microsoft.com/office/drawing/2014/main" id="{00000000-0008-0000-07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628" t="10465" r="13954" b="10465"/>
        <a:stretch/>
      </xdr:blipFill>
      <xdr:spPr bwMode="auto">
        <a:xfrm>
          <a:off x="10001250" y="257175"/>
          <a:ext cx="752475" cy="805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152401</xdr:colOff>
      <xdr:row>7</xdr:row>
      <xdr:rowOff>190501</xdr:rowOff>
    </xdr:from>
    <xdr:to>
      <xdr:col>2</xdr:col>
      <xdr:colOff>473330</xdr:colOff>
      <xdr:row>9</xdr:row>
      <xdr:rowOff>123825</xdr:rowOff>
    </xdr:to>
    <xdr:pic>
      <xdr:nvPicPr>
        <xdr:cNvPr id="10" name="Imagem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2"/>
        <a:stretch>
          <a:fillRect/>
        </a:stretch>
      </xdr:blipFill>
      <xdr:spPr>
        <a:xfrm>
          <a:off x="304801" y="1847851"/>
          <a:ext cx="901954" cy="695324"/>
        </a:xfrm>
        <a:prstGeom prst="rect">
          <a:avLst/>
        </a:prstGeom>
      </xdr:spPr>
    </xdr:pic>
    <xdr:clientData/>
  </xdr:twoCellAnchor>
  <xdr:twoCellAnchor editAs="oneCell">
    <xdr:from>
      <xdr:col>1</xdr:col>
      <xdr:colOff>0</xdr:colOff>
      <xdr:row>1</xdr:row>
      <xdr:rowOff>0</xdr:rowOff>
    </xdr:from>
    <xdr:to>
      <xdr:col>4</xdr:col>
      <xdr:colOff>517845</xdr:colOff>
      <xdr:row>5</xdr:row>
      <xdr:rowOff>20602</xdr:rowOff>
    </xdr:to>
    <xdr:pic>
      <xdr:nvPicPr>
        <xdr:cNvPr id="11" name="Picture 1">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3"/>
        <a:stretch>
          <a:fillRect/>
        </a:stretch>
      </xdr:blipFill>
      <xdr:spPr>
        <a:xfrm rot="5400000">
          <a:off x="1016336" y="-625811"/>
          <a:ext cx="792127" cy="252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323850</xdr:colOff>
      <xdr:row>2</xdr:row>
      <xdr:rowOff>123825</xdr:rowOff>
    </xdr:from>
    <xdr:to>
      <xdr:col>10</xdr:col>
      <xdr:colOff>323850</xdr:colOff>
      <xdr:row>5</xdr:row>
      <xdr:rowOff>142875</xdr:rowOff>
    </xdr:to>
    <xdr:cxnSp macro="">
      <xdr:nvCxnSpPr>
        <xdr:cNvPr id="5" name="Straight Arrow Connector 4">
          <a:extLst>
            <a:ext uri="{FF2B5EF4-FFF2-40B4-BE49-F238E27FC236}">
              <a16:creationId xmlns:a16="http://schemas.microsoft.com/office/drawing/2014/main" id="{00000000-0008-0000-0800-000005000000}"/>
            </a:ext>
          </a:extLst>
        </xdr:cNvPr>
        <xdr:cNvCxnSpPr/>
      </xdr:nvCxnSpPr>
      <xdr:spPr>
        <a:xfrm>
          <a:off x="8572500" y="552450"/>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38100</xdr:colOff>
      <xdr:row>1</xdr:row>
      <xdr:rowOff>9525</xdr:rowOff>
    </xdr:from>
    <xdr:to>
      <xdr:col>13</xdr:col>
      <xdr:colOff>97155</xdr:colOff>
      <xdr:row>5</xdr:row>
      <xdr:rowOff>18099</xdr:rowOff>
    </xdr:to>
    <xdr:pic>
      <xdr:nvPicPr>
        <xdr:cNvPr id="6" name="Picture 42">
          <a:extLst>
            <a:ext uri="{FF2B5EF4-FFF2-40B4-BE49-F238E27FC236}">
              <a16:creationId xmlns:a16="http://schemas.microsoft.com/office/drawing/2014/main" id="{00000000-0008-0000-08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903" t="10485" r="9678" b="10483"/>
        <a:stretch/>
      </xdr:blipFill>
      <xdr:spPr bwMode="auto">
        <a:xfrm>
          <a:off x="9801225" y="247650"/>
          <a:ext cx="777240" cy="793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57150</xdr:colOff>
      <xdr:row>11</xdr:row>
      <xdr:rowOff>76200</xdr:rowOff>
    </xdr:from>
    <xdr:to>
      <xdr:col>2</xdr:col>
      <xdr:colOff>514194</xdr:colOff>
      <xdr:row>15</xdr:row>
      <xdr:rowOff>167640</xdr:rowOff>
    </xdr:to>
    <xdr:pic>
      <xdr:nvPicPr>
        <xdr:cNvPr id="10" name="Imagem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2"/>
        <a:stretch>
          <a:fillRect/>
        </a:stretch>
      </xdr:blipFill>
      <xdr:spPr>
        <a:xfrm>
          <a:off x="209550" y="2495550"/>
          <a:ext cx="1041879" cy="857250"/>
        </a:xfrm>
        <a:prstGeom prst="rect">
          <a:avLst/>
        </a:prstGeom>
      </xdr:spPr>
    </xdr:pic>
    <xdr:clientData/>
  </xdr:twoCellAnchor>
  <xdr:twoCellAnchor editAs="oneCell">
    <xdr:from>
      <xdr:col>1</xdr:col>
      <xdr:colOff>65554</xdr:colOff>
      <xdr:row>20</xdr:row>
      <xdr:rowOff>170331</xdr:rowOff>
    </xdr:from>
    <xdr:to>
      <xdr:col>2</xdr:col>
      <xdr:colOff>526117</xdr:colOff>
      <xdr:row>24</xdr:row>
      <xdr:rowOff>173355</xdr:rowOff>
    </xdr:to>
    <xdr:pic>
      <xdr:nvPicPr>
        <xdr:cNvPr id="20" name="Imagem 19">
          <a:extLst>
            <a:ext uri="{FF2B5EF4-FFF2-40B4-BE49-F238E27FC236}">
              <a16:creationId xmlns:a16="http://schemas.microsoft.com/office/drawing/2014/main" id="{00000000-0008-0000-0800-000014000000}"/>
            </a:ext>
          </a:extLst>
        </xdr:cNvPr>
        <xdr:cNvPicPr>
          <a:picLocks noChangeAspect="1"/>
        </xdr:cNvPicPr>
      </xdr:nvPicPr>
      <xdr:blipFill>
        <a:blip xmlns:r="http://schemas.openxmlformats.org/officeDocument/2006/relationships" r:embed="rId3"/>
        <a:stretch>
          <a:fillRect/>
        </a:stretch>
      </xdr:blipFill>
      <xdr:spPr>
        <a:xfrm>
          <a:off x="217954" y="4294656"/>
          <a:ext cx="1041588" cy="765024"/>
        </a:xfrm>
        <a:prstGeom prst="rect">
          <a:avLst/>
        </a:prstGeom>
      </xdr:spPr>
    </xdr:pic>
    <xdr:clientData/>
  </xdr:twoCellAnchor>
  <xdr:twoCellAnchor editAs="oneCell">
    <xdr:from>
      <xdr:col>1</xdr:col>
      <xdr:colOff>35298</xdr:colOff>
      <xdr:row>27</xdr:row>
      <xdr:rowOff>104215</xdr:rowOff>
    </xdr:from>
    <xdr:to>
      <xdr:col>2</xdr:col>
      <xdr:colOff>514530</xdr:colOff>
      <xdr:row>33</xdr:row>
      <xdr:rowOff>59055</xdr:rowOff>
    </xdr:to>
    <xdr:pic>
      <xdr:nvPicPr>
        <xdr:cNvPr id="22" name="Imagem 21">
          <a:extLst>
            <a:ext uri="{FF2B5EF4-FFF2-40B4-BE49-F238E27FC236}">
              <a16:creationId xmlns:a16="http://schemas.microsoft.com/office/drawing/2014/main" id="{00000000-0008-0000-0800-000016000000}"/>
            </a:ext>
          </a:extLst>
        </xdr:cNvPr>
        <xdr:cNvPicPr>
          <a:picLocks noChangeAspect="1"/>
        </xdr:cNvPicPr>
      </xdr:nvPicPr>
      <xdr:blipFill>
        <a:blip xmlns:r="http://schemas.openxmlformats.org/officeDocument/2006/relationships" r:embed="rId4"/>
        <a:stretch>
          <a:fillRect/>
        </a:stretch>
      </xdr:blipFill>
      <xdr:spPr>
        <a:xfrm>
          <a:off x="187698" y="5562040"/>
          <a:ext cx="1060257" cy="1097840"/>
        </a:xfrm>
        <a:prstGeom prst="rect">
          <a:avLst/>
        </a:prstGeom>
      </xdr:spPr>
    </xdr:pic>
    <xdr:clientData/>
  </xdr:twoCellAnchor>
  <xdr:twoCellAnchor editAs="oneCell">
    <xdr:from>
      <xdr:col>1</xdr:col>
      <xdr:colOff>56030</xdr:colOff>
      <xdr:row>35</xdr:row>
      <xdr:rowOff>72278</xdr:rowOff>
    </xdr:from>
    <xdr:to>
      <xdr:col>2</xdr:col>
      <xdr:colOff>518117</xdr:colOff>
      <xdr:row>37</xdr:row>
      <xdr:rowOff>304800</xdr:rowOff>
    </xdr:to>
    <xdr:pic>
      <xdr:nvPicPr>
        <xdr:cNvPr id="24" name="Imagem 23">
          <a:extLst>
            <a:ext uri="{FF2B5EF4-FFF2-40B4-BE49-F238E27FC236}">
              <a16:creationId xmlns:a16="http://schemas.microsoft.com/office/drawing/2014/main" id="{00000000-0008-0000-0800-000018000000}"/>
            </a:ext>
          </a:extLst>
        </xdr:cNvPr>
        <xdr:cNvPicPr>
          <a:picLocks noChangeAspect="1"/>
        </xdr:cNvPicPr>
      </xdr:nvPicPr>
      <xdr:blipFill>
        <a:blip xmlns:r="http://schemas.openxmlformats.org/officeDocument/2006/relationships" r:embed="rId5"/>
        <a:stretch>
          <a:fillRect/>
        </a:stretch>
      </xdr:blipFill>
      <xdr:spPr>
        <a:xfrm>
          <a:off x="179855" y="16398128"/>
          <a:ext cx="1046922" cy="975472"/>
        </a:xfrm>
        <a:prstGeom prst="rect">
          <a:avLst/>
        </a:prstGeom>
      </xdr:spPr>
    </xdr:pic>
    <xdr:clientData/>
  </xdr:twoCellAnchor>
  <xdr:twoCellAnchor editAs="oneCell">
    <xdr:from>
      <xdr:col>1</xdr:col>
      <xdr:colOff>73398</xdr:colOff>
      <xdr:row>39</xdr:row>
      <xdr:rowOff>13446</xdr:rowOff>
    </xdr:from>
    <xdr:to>
      <xdr:col>2</xdr:col>
      <xdr:colOff>539295</xdr:colOff>
      <xdr:row>44</xdr:row>
      <xdr:rowOff>72390</xdr:rowOff>
    </xdr:to>
    <xdr:pic>
      <xdr:nvPicPr>
        <xdr:cNvPr id="30" name="Imagem 29">
          <a:extLst>
            <a:ext uri="{FF2B5EF4-FFF2-40B4-BE49-F238E27FC236}">
              <a16:creationId xmlns:a16="http://schemas.microsoft.com/office/drawing/2014/main" id="{00000000-0008-0000-0800-00001E000000}"/>
            </a:ext>
          </a:extLst>
        </xdr:cNvPr>
        <xdr:cNvPicPr>
          <a:picLocks noChangeAspect="1"/>
        </xdr:cNvPicPr>
      </xdr:nvPicPr>
      <xdr:blipFill>
        <a:blip xmlns:r="http://schemas.openxmlformats.org/officeDocument/2006/relationships" r:embed="rId6"/>
        <a:stretch>
          <a:fillRect/>
        </a:stretch>
      </xdr:blipFill>
      <xdr:spPr>
        <a:xfrm>
          <a:off x="225798" y="8300196"/>
          <a:ext cx="1046922" cy="1011444"/>
        </a:xfrm>
        <a:prstGeom prst="rect">
          <a:avLst/>
        </a:prstGeom>
      </xdr:spPr>
    </xdr:pic>
    <xdr:clientData/>
  </xdr:twoCellAnchor>
  <xdr:twoCellAnchor editAs="oneCell">
    <xdr:from>
      <xdr:col>1</xdr:col>
      <xdr:colOff>142874</xdr:colOff>
      <xdr:row>46</xdr:row>
      <xdr:rowOff>71719</xdr:rowOff>
    </xdr:from>
    <xdr:to>
      <xdr:col>2</xdr:col>
      <xdr:colOff>436806</xdr:colOff>
      <xdr:row>47</xdr:row>
      <xdr:rowOff>383580</xdr:rowOff>
    </xdr:to>
    <xdr:pic>
      <xdr:nvPicPr>
        <xdr:cNvPr id="31" name="Imagem 30">
          <a:extLst>
            <a:ext uri="{FF2B5EF4-FFF2-40B4-BE49-F238E27FC236}">
              <a16:creationId xmlns:a16="http://schemas.microsoft.com/office/drawing/2014/main" id="{00000000-0008-0000-0800-00001F000000}"/>
            </a:ext>
          </a:extLst>
        </xdr:cNvPr>
        <xdr:cNvPicPr>
          <a:picLocks noChangeAspect="1"/>
        </xdr:cNvPicPr>
      </xdr:nvPicPr>
      <xdr:blipFill>
        <a:blip xmlns:r="http://schemas.openxmlformats.org/officeDocument/2006/relationships" r:embed="rId7"/>
        <a:stretch>
          <a:fillRect/>
        </a:stretch>
      </xdr:blipFill>
      <xdr:spPr>
        <a:xfrm>
          <a:off x="295274" y="9691969"/>
          <a:ext cx="874957" cy="778586"/>
        </a:xfrm>
        <a:prstGeom prst="rect">
          <a:avLst/>
        </a:prstGeom>
      </xdr:spPr>
    </xdr:pic>
    <xdr:clientData/>
  </xdr:twoCellAnchor>
  <xdr:twoCellAnchor editAs="oneCell">
    <xdr:from>
      <xdr:col>1</xdr:col>
      <xdr:colOff>228599</xdr:colOff>
      <xdr:row>48</xdr:row>
      <xdr:rowOff>33619</xdr:rowOff>
    </xdr:from>
    <xdr:to>
      <xdr:col>2</xdr:col>
      <xdr:colOff>322506</xdr:colOff>
      <xdr:row>48</xdr:row>
      <xdr:rowOff>631797</xdr:rowOff>
    </xdr:to>
    <xdr:pic>
      <xdr:nvPicPr>
        <xdr:cNvPr id="35" name="Imagem 34">
          <a:extLst>
            <a:ext uri="{FF2B5EF4-FFF2-40B4-BE49-F238E27FC236}">
              <a16:creationId xmlns:a16="http://schemas.microsoft.com/office/drawing/2014/main" id="{00000000-0008-0000-0800-000023000000}"/>
            </a:ext>
          </a:extLst>
        </xdr:cNvPr>
        <xdr:cNvPicPr>
          <a:picLocks noChangeAspect="1"/>
        </xdr:cNvPicPr>
      </xdr:nvPicPr>
      <xdr:blipFill>
        <a:blip xmlns:r="http://schemas.openxmlformats.org/officeDocument/2006/relationships" r:embed="rId8"/>
        <a:stretch>
          <a:fillRect/>
        </a:stretch>
      </xdr:blipFill>
      <xdr:spPr>
        <a:xfrm>
          <a:off x="380999" y="10596844"/>
          <a:ext cx="688267" cy="594368"/>
        </a:xfrm>
        <a:prstGeom prst="rect">
          <a:avLst/>
        </a:prstGeom>
      </xdr:spPr>
    </xdr:pic>
    <xdr:clientData/>
  </xdr:twoCellAnchor>
  <xdr:twoCellAnchor editAs="oneCell">
    <xdr:from>
      <xdr:col>1</xdr:col>
      <xdr:colOff>82923</xdr:colOff>
      <xdr:row>53</xdr:row>
      <xdr:rowOff>127187</xdr:rowOff>
    </xdr:from>
    <xdr:to>
      <xdr:col>2</xdr:col>
      <xdr:colOff>562155</xdr:colOff>
      <xdr:row>58</xdr:row>
      <xdr:rowOff>66675</xdr:rowOff>
    </xdr:to>
    <xdr:pic>
      <xdr:nvPicPr>
        <xdr:cNvPr id="37" name="Imagem 36">
          <a:extLst>
            <a:ext uri="{FF2B5EF4-FFF2-40B4-BE49-F238E27FC236}">
              <a16:creationId xmlns:a16="http://schemas.microsoft.com/office/drawing/2014/main" id="{00000000-0008-0000-0800-000025000000}"/>
            </a:ext>
          </a:extLst>
        </xdr:cNvPr>
        <xdr:cNvPicPr>
          <a:picLocks noChangeAspect="1"/>
        </xdr:cNvPicPr>
      </xdr:nvPicPr>
      <xdr:blipFill>
        <a:blip xmlns:r="http://schemas.openxmlformats.org/officeDocument/2006/relationships" r:embed="rId9"/>
        <a:stretch>
          <a:fillRect/>
        </a:stretch>
      </xdr:blipFill>
      <xdr:spPr>
        <a:xfrm>
          <a:off x="235323" y="12119162"/>
          <a:ext cx="1060257" cy="891988"/>
        </a:xfrm>
        <a:prstGeom prst="rect">
          <a:avLst/>
        </a:prstGeom>
      </xdr:spPr>
    </xdr:pic>
    <xdr:clientData/>
  </xdr:twoCellAnchor>
  <xdr:twoCellAnchor editAs="oneCell">
    <xdr:from>
      <xdr:col>1</xdr:col>
      <xdr:colOff>273424</xdr:colOff>
      <xdr:row>62</xdr:row>
      <xdr:rowOff>57149</xdr:rowOff>
    </xdr:from>
    <xdr:to>
      <xdr:col>2</xdr:col>
      <xdr:colOff>402590</xdr:colOff>
      <xdr:row>65</xdr:row>
      <xdr:rowOff>93344</xdr:rowOff>
    </xdr:to>
    <xdr:pic>
      <xdr:nvPicPr>
        <xdr:cNvPr id="39" name="Imagem 38">
          <a:extLst>
            <a:ext uri="{FF2B5EF4-FFF2-40B4-BE49-F238E27FC236}">
              <a16:creationId xmlns:a16="http://schemas.microsoft.com/office/drawing/2014/main" id="{00000000-0008-0000-0800-000027000000}"/>
            </a:ext>
          </a:extLst>
        </xdr:cNvPr>
        <xdr:cNvPicPr>
          <a:picLocks noChangeAspect="1"/>
        </xdr:cNvPicPr>
      </xdr:nvPicPr>
      <xdr:blipFill>
        <a:blip xmlns:r="http://schemas.openxmlformats.org/officeDocument/2006/relationships" r:embed="rId10"/>
        <a:stretch>
          <a:fillRect/>
        </a:stretch>
      </xdr:blipFill>
      <xdr:spPr>
        <a:xfrm>
          <a:off x="425824" y="13763624"/>
          <a:ext cx="710191" cy="607695"/>
        </a:xfrm>
        <a:prstGeom prst="rect">
          <a:avLst/>
        </a:prstGeom>
      </xdr:spPr>
    </xdr:pic>
    <xdr:clientData/>
  </xdr:twoCellAnchor>
  <xdr:twoCellAnchor editAs="oneCell">
    <xdr:from>
      <xdr:col>1</xdr:col>
      <xdr:colOff>206749</xdr:colOff>
      <xdr:row>69</xdr:row>
      <xdr:rowOff>171159</xdr:rowOff>
    </xdr:from>
    <xdr:to>
      <xdr:col>2</xdr:col>
      <xdr:colOff>447675</xdr:colOff>
      <xdr:row>74</xdr:row>
      <xdr:rowOff>76200</xdr:rowOff>
    </xdr:to>
    <xdr:pic>
      <xdr:nvPicPr>
        <xdr:cNvPr id="41" name="Imagem 40">
          <a:extLst>
            <a:ext uri="{FF2B5EF4-FFF2-40B4-BE49-F238E27FC236}">
              <a16:creationId xmlns:a16="http://schemas.microsoft.com/office/drawing/2014/main" id="{00000000-0008-0000-0800-000029000000}"/>
            </a:ext>
          </a:extLst>
        </xdr:cNvPr>
        <xdr:cNvPicPr>
          <a:picLocks noChangeAspect="1"/>
        </xdr:cNvPicPr>
      </xdr:nvPicPr>
      <xdr:blipFill>
        <a:blip xmlns:r="http://schemas.openxmlformats.org/officeDocument/2006/relationships" r:embed="rId11"/>
        <a:stretch>
          <a:fillRect/>
        </a:stretch>
      </xdr:blipFill>
      <xdr:spPr>
        <a:xfrm>
          <a:off x="359149" y="15211134"/>
          <a:ext cx="821951" cy="857541"/>
        </a:xfrm>
        <a:prstGeom prst="rect">
          <a:avLst/>
        </a:prstGeom>
      </xdr:spPr>
    </xdr:pic>
    <xdr:clientData/>
  </xdr:twoCellAnchor>
  <xdr:twoCellAnchor editAs="oneCell">
    <xdr:from>
      <xdr:col>1</xdr:col>
      <xdr:colOff>285749</xdr:colOff>
      <xdr:row>79</xdr:row>
      <xdr:rowOff>76200</xdr:rowOff>
    </xdr:from>
    <xdr:to>
      <xdr:col>2</xdr:col>
      <xdr:colOff>335459</xdr:colOff>
      <xdr:row>80</xdr:row>
      <xdr:rowOff>283829</xdr:rowOff>
    </xdr:to>
    <xdr:pic>
      <xdr:nvPicPr>
        <xdr:cNvPr id="43" name="Imagem 42">
          <a:extLst>
            <a:ext uri="{FF2B5EF4-FFF2-40B4-BE49-F238E27FC236}">
              <a16:creationId xmlns:a16="http://schemas.microsoft.com/office/drawing/2014/main" id="{00000000-0008-0000-0800-00002B000000}"/>
            </a:ext>
          </a:extLst>
        </xdr:cNvPr>
        <xdr:cNvPicPr>
          <a:picLocks noChangeAspect="1"/>
        </xdr:cNvPicPr>
      </xdr:nvPicPr>
      <xdr:blipFill>
        <a:blip xmlns:r="http://schemas.openxmlformats.org/officeDocument/2006/relationships" r:embed="rId12"/>
        <a:stretch>
          <a:fillRect/>
        </a:stretch>
      </xdr:blipFill>
      <xdr:spPr>
        <a:xfrm>
          <a:off x="438149" y="17021175"/>
          <a:ext cx="630735" cy="569579"/>
        </a:xfrm>
        <a:prstGeom prst="rect">
          <a:avLst/>
        </a:prstGeom>
      </xdr:spPr>
    </xdr:pic>
    <xdr:clientData/>
  </xdr:twoCellAnchor>
  <xdr:twoCellAnchor editAs="oneCell">
    <xdr:from>
      <xdr:col>1</xdr:col>
      <xdr:colOff>44824</xdr:colOff>
      <xdr:row>84</xdr:row>
      <xdr:rowOff>12328</xdr:rowOff>
    </xdr:from>
    <xdr:to>
      <xdr:col>2</xdr:col>
      <xdr:colOff>513007</xdr:colOff>
      <xdr:row>87</xdr:row>
      <xdr:rowOff>179070</xdr:rowOff>
    </xdr:to>
    <xdr:pic>
      <xdr:nvPicPr>
        <xdr:cNvPr id="45" name="Imagem 44">
          <a:extLst>
            <a:ext uri="{FF2B5EF4-FFF2-40B4-BE49-F238E27FC236}">
              <a16:creationId xmlns:a16="http://schemas.microsoft.com/office/drawing/2014/main" id="{00000000-0008-0000-0800-00002D000000}"/>
            </a:ext>
          </a:extLst>
        </xdr:cNvPr>
        <xdr:cNvPicPr>
          <a:picLocks noChangeAspect="1"/>
        </xdr:cNvPicPr>
      </xdr:nvPicPr>
      <xdr:blipFill>
        <a:blip xmlns:r="http://schemas.openxmlformats.org/officeDocument/2006/relationships" r:embed="rId13"/>
        <a:stretch>
          <a:fillRect/>
        </a:stretch>
      </xdr:blipFill>
      <xdr:spPr>
        <a:xfrm>
          <a:off x="197224" y="18252703"/>
          <a:ext cx="1049208" cy="745862"/>
        </a:xfrm>
        <a:prstGeom prst="rect">
          <a:avLst/>
        </a:prstGeom>
      </xdr:spPr>
    </xdr:pic>
    <xdr:clientData/>
  </xdr:twoCellAnchor>
  <xdr:twoCellAnchor editAs="oneCell">
    <xdr:from>
      <xdr:col>1</xdr:col>
      <xdr:colOff>227480</xdr:colOff>
      <xdr:row>91</xdr:row>
      <xdr:rowOff>48186</xdr:rowOff>
    </xdr:from>
    <xdr:to>
      <xdr:col>2</xdr:col>
      <xdr:colOff>397045</xdr:colOff>
      <xdr:row>91</xdr:row>
      <xdr:rowOff>647700</xdr:rowOff>
    </xdr:to>
    <xdr:pic>
      <xdr:nvPicPr>
        <xdr:cNvPr id="46" name="Imagem 45">
          <a:extLst>
            <a:ext uri="{FF2B5EF4-FFF2-40B4-BE49-F238E27FC236}">
              <a16:creationId xmlns:a16="http://schemas.microsoft.com/office/drawing/2014/main" id="{00000000-0008-0000-0800-00002E000000}"/>
            </a:ext>
          </a:extLst>
        </xdr:cNvPr>
        <xdr:cNvPicPr>
          <a:picLocks noChangeAspect="1"/>
        </xdr:cNvPicPr>
      </xdr:nvPicPr>
      <xdr:blipFill>
        <a:blip xmlns:r="http://schemas.openxmlformats.org/officeDocument/2006/relationships" r:embed="rId14">
          <a:extLst>
            <a:ext uri="{BEBA8EAE-BF5A-486C-A8C5-ECC9F3942E4B}">
              <a14:imgProps xmlns:a14="http://schemas.microsoft.com/office/drawing/2010/main">
                <a14:imgLayer r:embed="rId15">
                  <a14:imgEffect>
                    <a14:backgroundRemoval t="7143" b="89286" l="7761" r="96231">
                      <a14:foregroundMark x1="7761" y1="54396" x2="11530" y2="40110"/>
                      <a14:foregroundMark x1="27716" y1="8516" x2="47450" y2="18407"/>
                      <a14:foregroundMark x1="48337" y1="9341" x2="31264" y2="7143"/>
                      <a14:foregroundMark x1="92018" y1="39560" x2="88914" y2="57967"/>
                      <a14:foregroundMark x1="96231" y1="51374" x2="91796" y2="69231"/>
                      <a14:foregroundMark x1="30155" y1="79121" x2="35698" y2="79396"/>
                      <a14:foregroundMark x1="39024" y1="82143" x2="25721" y2="78297"/>
                      <a14:foregroundMark x1="47007" y1="83791" x2="50554" y2="84066"/>
                      <a14:foregroundMark x1="53437" y1="85440" x2="48337" y2="84341"/>
                      <a14:foregroundMark x1="55211" y1="85440" x2="53659" y2="85440"/>
                      <a14:backgroundMark x1="56049" y1="87071" x2="63193" y2="87912"/>
                      <a14:backgroundMark x1="54085" y1="86840" x2="54397" y2="86877"/>
                      <a14:backgroundMark x1="40410" y1="85231" x2="45891" y2="85876"/>
                      <a14:backgroundMark x1="23503" y1="83242" x2="35354" y2="84636"/>
                    </a14:backgroundRemoval>
                  </a14:imgEffect>
                </a14:imgLayer>
              </a14:imgProps>
            </a:ext>
          </a:extLst>
        </a:blip>
        <a:stretch>
          <a:fillRect/>
        </a:stretch>
      </xdr:blipFill>
      <xdr:spPr>
        <a:xfrm>
          <a:off x="379880" y="19631586"/>
          <a:ext cx="742970" cy="599514"/>
        </a:xfrm>
        <a:prstGeom prst="rect">
          <a:avLst/>
        </a:prstGeom>
      </xdr:spPr>
    </xdr:pic>
    <xdr:clientData/>
  </xdr:twoCellAnchor>
  <xdr:twoCellAnchor editAs="oneCell">
    <xdr:from>
      <xdr:col>1</xdr:col>
      <xdr:colOff>149599</xdr:colOff>
      <xdr:row>92</xdr:row>
      <xdr:rowOff>24653</xdr:rowOff>
    </xdr:from>
    <xdr:to>
      <xdr:col>2</xdr:col>
      <xdr:colOff>434340</xdr:colOff>
      <xdr:row>93</xdr:row>
      <xdr:rowOff>0</xdr:rowOff>
    </xdr:to>
    <xdr:pic>
      <xdr:nvPicPr>
        <xdr:cNvPr id="48" name="Imagem 47">
          <a:extLst>
            <a:ext uri="{FF2B5EF4-FFF2-40B4-BE49-F238E27FC236}">
              <a16:creationId xmlns:a16="http://schemas.microsoft.com/office/drawing/2014/main" id="{00000000-0008-0000-0800-000030000000}"/>
            </a:ext>
          </a:extLst>
        </xdr:cNvPr>
        <xdr:cNvPicPr>
          <a:picLocks noChangeAspect="1"/>
        </xdr:cNvPicPr>
      </xdr:nvPicPr>
      <xdr:blipFill>
        <a:blip xmlns:r="http://schemas.openxmlformats.org/officeDocument/2006/relationships" r:embed="rId16"/>
        <a:stretch>
          <a:fillRect/>
        </a:stretch>
      </xdr:blipFill>
      <xdr:spPr>
        <a:xfrm>
          <a:off x="301999" y="20322428"/>
          <a:ext cx="869576" cy="632572"/>
        </a:xfrm>
        <a:prstGeom prst="rect">
          <a:avLst/>
        </a:prstGeom>
      </xdr:spPr>
    </xdr:pic>
    <xdr:clientData/>
  </xdr:twoCellAnchor>
  <xdr:twoCellAnchor editAs="oneCell">
    <xdr:from>
      <xdr:col>1</xdr:col>
      <xdr:colOff>65557</xdr:colOff>
      <xdr:row>95</xdr:row>
      <xdr:rowOff>168650</xdr:rowOff>
    </xdr:from>
    <xdr:to>
      <xdr:col>2</xdr:col>
      <xdr:colOff>535264</xdr:colOff>
      <xdr:row>100</xdr:row>
      <xdr:rowOff>142875</xdr:rowOff>
    </xdr:to>
    <xdr:pic>
      <xdr:nvPicPr>
        <xdr:cNvPr id="50" name="Imagem 49">
          <a:extLst>
            <a:ext uri="{FF2B5EF4-FFF2-40B4-BE49-F238E27FC236}">
              <a16:creationId xmlns:a16="http://schemas.microsoft.com/office/drawing/2014/main" id="{00000000-0008-0000-0800-000032000000}"/>
            </a:ext>
          </a:extLst>
        </xdr:cNvPr>
        <xdr:cNvPicPr>
          <a:picLocks noChangeAspect="1"/>
        </xdr:cNvPicPr>
      </xdr:nvPicPr>
      <xdr:blipFill>
        <a:blip xmlns:r="http://schemas.openxmlformats.org/officeDocument/2006/relationships" r:embed="rId17"/>
        <a:stretch>
          <a:fillRect/>
        </a:stretch>
      </xdr:blipFill>
      <xdr:spPr>
        <a:xfrm>
          <a:off x="217957" y="21514175"/>
          <a:ext cx="1050732" cy="926725"/>
        </a:xfrm>
        <a:prstGeom prst="rect">
          <a:avLst/>
        </a:prstGeom>
      </xdr:spPr>
    </xdr:pic>
    <xdr:clientData/>
  </xdr:twoCellAnchor>
  <xdr:twoCellAnchor editAs="oneCell">
    <xdr:from>
      <xdr:col>1</xdr:col>
      <xdr:colOff>44823</xdr:colOff>
      <xdr:row>105</xdr:row>
      <xdr:rowOff>123264</xdr:rowOff>
    </xdr:from>
    <xdr:to>
      <xdr:col>2</xdr:col>
      <xdr:colOff>514530</xdr:colOff>
      <xdr:row>111</xdr:row>
      <xdr:rowOff>20955</xdr:rowOff>
    </xdr:to>
    <xdr:pic>
      <xdr:nvPicPr>
        <xdr:cNvPr id="52" name="Imagem 51">
          <a:extLst>
            <a:ext uri="{FF2B5EF4-FFF2-40B4-BE49-F238E27FC236}">
              <a16:creationId xmlns:a16="http://schemas.microsoft.com/office/drawing/2014/main" id="{00000000-0008-0000-0800-000034000000}"/>
            </a:ext>
          </a:extLst>
        </xdr:cNvPr>
        <xdr:cNvPicPr>
          <a:picLocks noChangeAspect="1"/>
        </xdr:cNvPicPr>
      </xdr:nvPicPr>
      <xdr:blipFill>
        <a:blip xmlns:r="http://schemas.openxmlformats.org/officeDocument/2006/relationships" r:embed="rId18"/>
        <a:stretch>
          <a:fillRect/>
        </a:stretch>
      </xdr:blipFill>
      <xdr:spPr>
        <a:xfrm>
          <a:off x="197223" y="23383314"/>
          <a:ext cx="1046922" cy="1048311"/>
        </a:xfrm>
        <a:prstGeom prst="rect">
          <a:avLst/>
        </a:prstGeom>
      </xdr:spPr>
    </xdr:pic>
    <xdr:clientData/>
  </xdr:twoCellAnchor>
  <xdr:twoCellAnchor editAs="oneCell">
    <xdr:from>
      <xdr:col>1</xdr:col>
      <xdr:colOff>168648</xdr:colOff>
      <xdr:row>114</xdr:row>
      <xdr:rowOff>95250</xdr:rowOff>
    </xdr:from>
    <xdr:to>
      <xdr:col>2</xdr:col>
      <xdr:colOff>415382</xdr:colOff>
      <xdr:row>118</xdr:row>
      <xdr:rowOff>97155</xdr:rowOff>
    </xdr:to>
    <xdr:pic>
      <xdr:nvPicPr>
        <xdr:cNvPr id="54" name="Imagem 53">
          <a:extLst>
            <a:ext uri="{FF2B5EF4-FFF2-40B4-BE49-F238E27FC236}">
              <a16:creationId xmlns:a16="http://schemas.microsoft.com/office/drawing/2014/main" id="{00000000-0008-0000-0800-000036000000}"/>
            </a:ext>
          </a:extLst>
        </xdr:cNvPr>
        <xdr:cNvPicPr>
          <a:picLocks noChangeAspect="1"/>
        </xdr:cNvPicPr>
      </xdr:nvPicPr>
      <xdr:blipFill>
        <a:blip xmlns:r="http://schemas.openxmlformats.org/officeDocument/2006/relationships" r:embed="rId19"/>
        <a:stretch>
          <a:fillRect/>
        </a:stretch>
      </xdr:blipFill>
      <xdr:spPr>
        <a:xfrm>
          <a:off x="321048" y="25060275"/>
          <a:ext cx="827759" cy="763905"/>
        </a:xfrm>
        <a:prstGeom prst="rect">
          <a:avLst/>
        </a:prstGeom>
      </xdr:spPr>
    </xdr:pic>
    <xdr:clientData/>
  </xdr:twoCellAnchor>
  <xdr:twoCellAnchor editAs="oneCell">
    <xdr:from>
      <xdr:col>1</xdr:col>
      <xdr:colOff>94130</xdr:colOff>
      <xdr:row>157</xdr:row>
      <xdr:rowOff>111502</xdr:rowOff>
    </xdr:from>
    <xdr:to>
      <xdr:col>2</xdr:col>
      <xdr:colOff>476250</xdr:colOff>
      <xdr:row>162</xdr:row>
      <xdr:rowOff>50326</xdr:rowOff>
    </xdr:to>
    <xdr:pic>
      <xdr:nvPicPr>
        <xdr:cNvPr id="57" name="Imagem 56">
          <a:extLst>
            <a:ext uri="{FF2B5EF4-FFF2-40B4-BE49-F238E27FC236}">
              <a16:creationId xmlns:a16="http://schemas.microsoft.com/office/drawing/2014/main" id="{00000000-0008-0000-0800-000039000000}"/>
            </a:ext>
          </a:extLst>
        </xdr:cNvPr>
        <xdr:cNvPicPr>
          <a:picLocks noChangeAspect="1"/>
        </xdr:cNvPicPr>
      </xdr:nvPicPr>
      <xdr:blipFill>
        <a:blip xmlns:r="http://schemas.openxmlformats.org/officeDocument/2006/relationships" r:embed="rId20"/>
        <a:stretch>
          <a:fillRect/>
        </a:stretch>
      </xdr:blipFill>
      <xdr:spPr>
        <a:xfrm>
          <a:off x="246530" y="33268027"/>
          <a:ext cx="963145" cy="891324"/>
        </a:xfrm>
        <a:prstGeom prst="rect">
          <a:avLst/>
        </a:prstGeom>
      </xdr:spPr>
    </xdr:pic>
    <xdr:clientData/>
  </xdr:twoCellAnchor>
  <xdr:twoCellAnchor editAs="oneCell">
    <xdr:from>
      <xdr:col>1</xdr:col>
      <xdr:colOff>73398</xdr:colOff>
      <xdr:row>130</xdr:row>
      <xdr:rowOff>12886</xdr:rowOff>
    </xdr:from>
    <xdr:to>
      <xdr:col>2</xdr:col>
      <xdr:colOff>545391</xdr:colOff>
      <xdr:row>134</xdr:row>
      <xdr:rowOff>116205</xdr:rowOff>
    </xdr:to>
    <xdr:pic>
      <xdr:nvPicPr>
        <xdr:cNvPr id="58" name="Imagem 57">
          <a:extLst>
            <a:ext uri="{FF2B5EF4-FFF2-40B4-BE49-F238E27FC236}">
              <a16:creationId xmlns:a16="http://schemas.microsoft.com/office/drawing/2014/main" id="{00000000-0008-0000-0800-00003A000000}"/>
            </a:ext>
          </a:extLst>
        </xdr:cNvPr>
        <xdr:cNvPicPr>
          <a:picLocks noChangeAspect="1"/>
        </xdr:cNvPicPr>
      </xdr:nvPicPr>
      <xdr:blipFill>
        <a:blip xmlns:r="http://schemas.openxmlformats.org/officeDocument/2006/relationships" r:embed="rId21"/>
        <a:stretch>
          <a:fillRect/>
        </a:stretch>
      </xdr:blipFill>
      <xdr:spPr>
        <a:xfrm>
          <a:off x="225798" y="28025911"/>
          <a:ext cx="1053018" cy="865319"/>
        </a:xfrm>
        <a:prstGeom prst="rect">
          <a:avLst/>
        </a:prstGeom>
      </xdr:spPr>
    </xdr:pic>
    <xdr:clientData/>
  </xdr:twoCellAnchor>
  <xdr:twoCellAnchor editAs="oneCell">
    <xdr:from>
      <xdr:col>1</xdr:col>
      <xdr:colOff>17931</xdr:colOff>
      <xdr:row>183</xdr:row>
      <xdr:rowOff>95250</xdr:rowOff>
    </xdr:from>
    <xdr:to>
      <xdr:col>2</xdr:col>
      <xdr:colOff>497163</xdr:colOff>
      <xdr:row>188</xdr:row>
      <xdr:rowOff>29662</xdr:rowOff>
    </xdr:to>
    <xdr:pic>
      <xdr:nvPicPr>
        <xdr:cNvPr id="60" name="Imagem 59">
          <a:extLst>
            <a:ext uri="{FF2B5EF4-FFF2-40B4-BE49-F238E27FC236}">
              <a16:creationId xmlns:a16="http://schemas.microsoft.com/office/drawing/2014/main" id="{00000000-0008-0000-0800-00003C000000}"/>
            </a:ext>
          </a:extLst>
        </xdr:cNvPr>
        <xdr:cNvPicPr>
          <a:picLocks noChangeAspect="1"/>
        </xdr:cNvPicPr>
      </xdr:nvPicPr>
      <xdr:blipFill>
        <a:blip xmlns:r="http://schemas.openxmlformats.org/officeDocument/2006/relationships" r:embed="rId22"/>
        <a:stretch>
          <a:fillRect/>
        </a:stretch>
      </xdr:blipFill>
      <xdr:spPr>
        <a:xfrm>
          <a:off x="170331" y="38204775"/>
          <a:ext cx="1060257" cy="886912"/>
        </a:xfrm>
        <a:prstGeom prst="rect">
          <a:avLst/>
        </a:prstGeom>
      </xdr:spPr>
    </xdr:pic>
    <xdr:clientData/>
  </xdr:twoCellAnchor>
  <xdr:twoCellAnchor editAs="oneCell">
    <xdr:from>
      <xdr:col>1</xdr:col>
      <xdr:colOff>63873</xdr:colOff>
      <xdr:row>199</xdr:row>
      <xdr:rowOff>26895</xdr:rowOff>
    </xdr:from>
    <xdr:to>
      <xdr:col>2</xdr:col>
      <xdr:colOff>535866</xdr:colOff>
      <xdr:row>204</xdr:row>
      <xdr:rowOff>57150</xdr:rowOff>
    </xdr:to>
    <xdr:pic>
      <xdr:nvPicPr>
        <xdr:cNvPr id="62" name="Imagem 61">
          <a:extLst>
            <a:ext uri="{FF2B5EF4-FFF2-40B4-BE49-F238E27FC236}">
              <a16:creationId xmlns:a16="http://schemas.microsoft.com/office/drawing/2014/main" id="{00000000-0008-0000-0800-00003E000000}"/>
            </a:ext>
          </a:extLst>
        </xdr:cNvPr>
        <xdr:cNvPicPr>
          <a:picLocks noChangeAspect="1"/>
        </xdr:cNvPicPr>
      </xdr:nvPicPr>
      <xdr:blipFill>
        <a:blip xmlns:r="http://schemas.openxmlformats.org/officeDocument/2006/relationships" r:embed="rId23"/>
        <a:stretch>
          <a:fillRect/>
        </a:stretch>
      </xdr:blipFill>
      <xdr:spPr>
        <a:xfrm>
          <a:off x="216273" y="41184420"/>
          <a:ext cx="1053018" cy="982755"/>
        </a:xfrm>
        <a:prstGeom prst="rect">
          <a:avLst/>
        </a:prstGeom>
      </xdr:spPr>
    </xdr:pic>
    <xdr:clientData/>
  </xdr:twoCellAnchor>
  <xdr:twoCellAnchor editAs="oneCell">
    <xdr:from>
      <xdr:col>1</xdr:col>
      <xdr:colOff>75079</xdr:colOff>
      <xdr:row>209</xdr:row>
      <xdr:rowOff>148478</xdr:rowOff>
    </xdr:from>
    <xdr:to>
      <xdr:col>2</xdr:col>
      <xdr:colOff>544786</xdr:colOff>
      <xdr:row>214</xdr:row>
      <xdr:rowOff>161924</xdr:rowOff>
    </xdr:to>
    <xdr:pic>
      <xdr:nvPicPr>
        <xdr:cNvPr id="64" name="Imagem 63">
          <a:extLst>
            <a:ext uri="{FF2B5EF4-FFF2-40B4-BE49-F238E27FC236}">
              <a16:creationId xmlns:a16="http://schemas.microsoft.com/office/drawing/2014/main" id="{00000000-0008-0000-0800-000040000000}"/>
            </a:ext>
          </a:extLst>
        </xdr:cNvPr>
        <xdr:cNvPicPr>
          <a:picLocks noChangeAspect="1"/>
        </xdr:cNvPicPr>
      </xdr:nvPicPr>
      <xdr:blipFill>
        <a:blip xmlns:r="http://schemas.openxmlformats.org/officeDocument/2006/relationships" r:embed="rId24"/>
        <a:stretch>
          <a:fillRect/>
        </a:stretch>
      </xdr:blipFill>
      <xdr:spPr>
        <a:xfrm>
          <a:off x="227479" y="43211003"/>
          <a:ext cx="1050732" cy="965946"/>
        </a:xfrm>
        <a:prstGeom prst="rect">
          <a:avLst/>
        </a:prstGeom>
      </xdr:spPr>
    </xdr:pic>
    <xdr:clientData/>
  </xdr:twoCellAnchor>
  <xdr:twoCellAnchor editAs="oneCell">
    <xdr:from>
      <xdr:col>1</xdr:col>
      <xdr:colOff>27454</xdr:colOff>
      <xdr:row>218</xdr:row>
      <xdr:rowOff>137834</xdr:rowOff>
    </xdr:from>
    <xdr:to>
      <xdr:col>2</xdr:col>
      <xdr:colOff>488017</xdr:colOff>
      <xdr:row>222</xdr:row>
      <xdr:rowOff>30480</xdr:rowOff>
    </xdr:to>
    <xdr:pic>
      <xdr:nvPicPr>
        <xdr:cNvPr id="68" name="Imagem 67">
          <a:extLst>
            <a:ext uri="{FF2B5EF4-FFF2-40B4-BE49-F238E27FC236}">
              <a16:creationId xmlns:a16="http://schemas.microsoft.com/office/drawing/2014/main" id="{00000000-0008-0000-0800-000044000000}"/>
            </a:ext>
          </a:extLst>
        </xdr:cNvPr>
        <xdr:cNvPicPr>
          <a:picLocks noChangeAspect="1"/>
        </xdr:cNvPicPr>
      </xdr:nvPicPr>
      <xdr:blipFill>
        <a:blip xmlns:r="http://schemas.openxmlformats.org/officeDocument/2006/relationships" r:embed="rId25"/>
        <a:stretch>
          <a:fillRect/>
        </a:stretch>
      </xdr:blipFill>
      <xdr:spPr>
        <a:xfrm>
          <a:off x="179854" y="44914859"/>
          <a:ext cx="1041588" cy="654646"/>
        </a:xfrm>
        <a:prstGeom prst="rect">
          <a:avLst/>
        </a:prstGeom>
      </xdr:spPr>
    </xdr:pic>
    <xdr:clientData/>
  </xdr:twoCellAnchor>
  <xdr:twoCellAnchor editAs="oneCell">
    <xdr:from>
      <xdr:col>1</xdr:col>
      <xdr:colOff>160805</xdr:colOff>
      <xdr:row>225</xdr:row>
      <xdr:rowOff>51512</xdr:rowOff>
    </xdr:from>
    <xdr:to>
      <xdr:col>2</xdr:col>
      <xdr:colOff>281940</xdr:colOff>
      <xdr:row>225</xdr:row>
      <xdr:rowOff>723899</xdr:rowOff>
    </xdr:to>
    <xdr:pic>
      <xdr:nvPicPr>
        <xdr:cNvPr id="81" name="Imagem 80">
          <a:extLst>
            <a:ext uri="{FF2B5EF4-FFF2-40B4-BE49-F238E27FC236}">
              <a16:creationId xmlns:a16="http://schemas.microsoft.com/office/drawing/2014/main" id="{00000000-0008-0000-0800-000051000000}"/>
            </a:ext>
          </a:extLst>
        </xdr:cNvPr>
        <xdr:cNvPicPr>
          <a:picLocks noChangeAspect="1"/>
        </xdr:cNvPicPr>
      </xdr:nvPicPr>
      <xdr:blipFill>
        <a:blip xmlns:r="http://schemas.openxmlformats.org/officeDocument/2006/relationships" r:embed="rId26"/>
        <a:stretch>
          <a:fillRect/>
        </a:stretch>
      </xdr:blipFill>
      <xdr:spPr>
        <a:xfrm>
          <a:off x="313205" y="55010762"/>
          <a:ext cx="705970" cy="672387"/>
        </a:xfrm>
        <a:prstGeom prst="rect">
          <a:avLst/>
        </a:prstGeom>
      </xdr:spPr>
    </xdr:pic>
    <xdr:clientData/>
  </xdr:twoCellAnchor>
  <xdr:twoCellAnchor editAs="oneCell">
    <xdr:from>
      <xdr:col>1</xdr:col>
      <xdr:colOff>134629</xdr:colOff>
      <xdr:row>226</xdr:row>
      <xdr:rowOff>17929</xdr:rowOff>
    </xdr:from>
    <xdr:to>
      <xdr:col>2</xdr:col>
      <xdr:colOff>398707</xdr:colOff>
      <xdr:row>227</xdr:row>
      <xdr:rowOff>274319</xdr:rowOff>
    </xdr:to>
    <xdr:pic>
      <xdr:nvPicPr>
        <xdr:cNvPr id="83" name="Imagem 82">
          <a:extLst>
            <a:ext uri="{FF2B5EF4-FFF2-40B4-BE49-F238E27FC236}">
              <a16:creationId xmlns:a16="http://schemas.microsoft.com/office/drawing/2014/main" id="{00000000-0008-0000-0800-000053000000}"/>
            </a:ext>
          </a:extLst>
        </xdr:cNvPr>
        <xdr:cNvPicPr>
          <a:picLocks noChangeAspect="1"/>
        </xdr:cNvPicPr>
      </xdr:nvPicPr>
      <xdr:blipFill>
        <a:blip xmlns:r="http://schemas.openxmlformats.org/officeDocument/2006/relationships" r:embed="rId27"/>
        <a:stretch>
          <a:fillRect/>
        </a:stretch>
      </xdr:blipFill>
      <xdr:spPr>
        <a:xfrm>
          <a:off x="287029" y="46890454"/>
          <a:ext cx="845103" cy="532615"/>
        </a:xfrm>
        <a:prstGeom prst="rect">
          <a:avLst/>
        </a:prstGeom>
      </xdr:spPr>
    </xdr:pic>
    <xdr:clientData/>
  </xdr:twoCellAnchor>
  <xdr:twoCellAnchor editAs="oneCell">
    <xdr:from>
      <xdr:col>1</xdr:col>
      <xdr:colOff>44823</xdr:colOff>
      <xdr:row>231</xdr:row>
      <xdr:rowOff>34738</xdr:rowOff>
    </xdr:from>
    <xdr:to>
      <xdr:col>2</xdr:col>
      <xdr:colOff>514530</xdr:colOff>
      <xdr:row>235</xdr:row>
      <xdr:rowOff>148590</xdr:rowOff>
    </xdr:to>
    <xdr:pic>
      <xdr:nvPicPr>
        <xdr:cNvPr id="85" name="Imagem 84">
          <a:extLst>
            <a:ext uri="{FF2B5EF4-FFF2-40B4-BE49-F238E27FC236}">
              <a16:creationId xmlns:a16="http://schemas.microsoft.com/office/drawing/2014/main" id="{00000000-0008-0000-0800-000055000000}"/>
            </a:ext>
          </a:extLst>
        </xdr:cNvPr>
        <xdr:cNvPicPr>
          <a:picLocks noChangeAspect="1"/>
        </xdr:cNvPicPr>
      </xdr:nvPicPr>
      <xdr:blipFill>
        <a:blip xmlns:r="http://schemas.openxmlformats.org/officeDocument/2006/relationships" r:embed="rId28"/>
        <a:stretch>
          <a:fillRect/>
        </a:stretch>
      </xdr:blipFill>
      <xdr:spPr>
        <a:xfrm>
          <a:off x="197223" y="48031213"/>
          <a:ext cx="1050732" cy="875852"/>
        </a:xfrm>
        <a:prstGeom prst="rect">
          <a:avLst/>
        </a:prstGeom>
      </xdr:spPr>
    </xdr:pic>
    <xdr:clientData/>
  </xdr:twoCellAnchor>
  <xdr:twoCellAnchor editAs="oneCell">
    <xdr:from>
      <xdr:col>1</xdr:col>
      <xdr:colOff>56029</xdr:colOff>
      <xdr:row>241</xdr:row>
      <xdr:rowOff>28016</xdr:rowOff>
    </xdr:from>
    <xdr:to>
      <xdr:col>2</xdr:col>
      <xdr:colOff>518116</xdr:colOff>
      <xdr:row>246</xdr:row>
      <xdr:rowOff>66675</xdr:rowOff>
    </xdr:to>
    <xdr:pic>
      <xdr:nvPicPr>
        <xdr:cNvPr id="87" name="Imagem 86">
          <a:extLst>
            <a:ext uri="{FF2B5EF4-FFF2-40B4-BE49-F238E27FC236}">
              <a16:creationId xmlns:a16="http://schemas.microsoft.com/office/drawing/2014/main" id="{00000000-0008-0000-0800-000057000000}"/>
            </a:ext>
          </a:extLst>
        </xdr:cNvPr>
        <xdr:cNvPicPr>
          <a:picLocks noChangeAspect="1"/>
        </xdr:cNvPicPr>
      </xdr:nvPicPr>
      <xdr:blipFill>
        <a:blip xmlns:r="http://schemas.openxmlformats.org/officeDocument/2006/relationships" r:embed="rId29"/>
        <a:stretch>
          <a:fillRect/>
        </a:stretch>
      </xdr:blipFill>
      <xdr:spPr>
        <a:xfrm>
          <a:off x="208429" y="49929491"/>
          <a:ext cx="1043112" cy="991159"/>
        </a:xfrm>
        <a:prstGeom prst="rect">
          <a:avLst/>
        </a:prstGeom>
      </xdr:spPr>
    </xdr:pic>
    <xdr:clientData/>
  </xdr:twoCellAnchor>
  <xdr:twoCellAnchor editAs="oneCell">
    <xdr:from>
      <xdr:col>1</xdr:col>
      <xdr:colOff>0</xdr:colOff>
      <xdr:row>1</xdr:row>
      <xdr:rowOff>0</xdr:rowOff>
    </xdr:from>
    <xdr:to>
      <xdr:col>4</xdr:col>
      <xdr:colOff>514035</xdr:colOff>
      <xdr:row>5</xdr:row>
      <xdr:rowOff>16792</xdr:rowOff>
    </xdr:to>
    <xdr:pic>
      <xdr:nvPicPr>
        <xdr:cNvPr id="44" name="Picture 1">
          <a:extLst>
            <a:ext uri="{FF2B5EF4-FFF2-40B4-BE49-F238E27FC236}">
              <a16:creationId xmlns:a16="http://schemas.microsoft.com/office/drawing/2014/main" id="{00000000-0008-0000-0800-00002C000000}"/>
            </a:ext>
          </a:extLst>
        </xdr:cNvPr>
        <xdr:cNvPicPr>
          <a:picLocks noChangeAspect="1"/>
        </xdr:cNvPicPr>
      </xdr:nvPicPr>
      <xdr:blipFill>
        <a:blip xmlns:r="http://schemas.openxmlformats.org/officeDocument/2006/relationships" r:embed="rId30"/>
        <a:stretch>
          <a:fillRect/>
        </a:stretch>
      </xdr:blipFill>
      <xdr:spPr>
        <a:xfrm rot="5400000">
          <a:off x="987761" y="-625811"/>
          <a:ext cx="792127" cy="252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323850</xdr:colOff>
      <xdr:row>2</xdr:row>
      <xdr:rowOff>123825</xdr:rowOff>
    </xdr:from>
    <xdr:to>
      <xdr:col>10</xdr:col>
      <xdr:colOff>323850</xdr:colOff>
      <xdr:row>5</xdr:row>
      <xdr:rowOff>142875</xdr:rowOff>
    </xdr:to>
    <xdr:cxnSp macro="">
      <xdr:nvCxnSpPr>
        <xdr:cNvPr id="2" name="Straight Arrow Connector 4">
          <a:extLst>
            <a:ext uri="{FF2B5EF4-FFF2-40B4-BE49-F238E27FC236}">
              <a16:creationId xmlns:a16="http://schemas.microsoft.com/office/drawing/2014/main" id="{00000000-0008-0000-0900-000002000000}"/>
            </a:ext>
          </a:extLst>
        </xdr:cNvPr>
        <xdr:cNvCxnSpPr/>
      </xdr:nvCxnSpPr>
      <xdr:spPr>
        <a:xfrm>
          <a:off x="9572625" y="561975"/>
          <a:ext cx="0" cy="590550"/>
        </a:xfrm>
        <a:prstGeom prst="straightConnector1">
          <a:avLst/>
        </a:prstGeom>
        <a:ln w="571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38100</xdr:colOff>
      <xdr:row>1</xdr:row>
      <xdr:rowOff>9525</xdr:rowOff>
    </xdr:from>
    <xdr:to>
      <xdr:col>13</xdr:col>
      <xdr:colOff>93345</xdr:colOff>
      <xdr:row>5</xdr:row>
      <xdr:rowOff>21909</xdr:rowOff>
    </xdr:to>
    <xdr:pic>
      <xdr:nvPicPr>
        <xdr:cNvPr id="3" name="Picture 42">
          <a:extLst>
            <a:ext uri="{FF2B5EF4-FFF2-40B4-BE49-F238E27FC236}">
              <a16:creationId xmlns:a16="http://schemas.microsoft.com/office/drawing/2014/main" id="{00000000-0008-0000-09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903" t="10485" r="9678" b="10483"/>
        <a:stretch/>
      </xdr:blipFill>
      <xdr:spPr bwMode="auto">
        <a:xfrm>
          <a:off x="10096500" y="247650"/>
          <a:ext cx="777240" cy="783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44823</xdr:colOff>
      <xdr:row>8</xdr:row>
      <xdr:rowOff>168090</xdr:rowOff>
    </xdr:from>
    <xdr:to>
      <xdr:col>2</xdr:col>
      <xdr:colOff>510720</xdr:colOff>
      <xdr:row>12</xdr:row>
      <xdr:rowOff>171450</xdr:rowOff>
    </xdr:to>
    <xdr:pic>
      <xdr:nvPicPr>
        <xdr:cNvPr id="27" name="Imagem 26">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2"/>
        <a:stretch>
          <a:fillRect/>
        </a:stretch>
      </xdr:blipFill>
      <xdr:spPr>
        <a:xfrm>
          <a:off x="197223" y="2006415"/>
          <a:ext cx="1046922" cy="765360"/>
        </a:xfrm>
        <a:prstGeom prst="rect">
          <a:avLst/>
        </a:prstGeom>
      </xdr:spPr>
    </xdr:pic>
    <xdr:clientData/>
  </xdr:twoCellAnchor>
  <xdr:twoCellAnchor editAs="oneCell">
    <xdr:from>
      <xdr:col>1</xdr:col>
      <xdr:colOff>56029</xdr:colOff>
      <xdr:row>18</xdr:row>
      <xdr:rowOff>57150</xdr:rowOff>
    </xdr:from>
    <xdr:to>
      <xdr:col>2</xdr:col>
      <xdr:colOff>514306</xdr:colOff>
      <xdr:row>22</xdr:row>
      <xdr:rowOff>24765</xdr:rowOff>
    </xdr:to>
    <xdr:pic>
      <xdr:nvPicPr>
        <xdr:cNvPr id="28" name="Imagem 27">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3"/>
        <a:stretch>
          <a:fillRect/>
        </a:stretch>
      </xdr:blipFill>
      <xdr:spPr>
        <a:xfrm>
          <a:off x="208429" y="3800475"/>
          <a:ext cx="1039302" cy="729615"/>
        </a:xfrm>
        <a:prstGeom prst="rect">
          <a:avLst/>
        </a:prstGeom>
      </xdr:spPr>
    </xdr:pic>
    <xdr:clientData/>
  </xdr:twoCellAnchor>
  <xdr:twoCellAnchor editAs="oneCell">
    <xdr:from>
      <xdr:col>1</xdr:col>
      <xdr:colOff>56030</xdr:colOff>
      <xdr:row>31</xdr:row>
      <xdr:rowOff>19049</xdr:rowOff>
    </xdr:from>
    <xdr:to>
      <xdr:col>2</xdr:col>
      <xdr:colOff>512783</xdr:colOff>
      <xdr:row>34</xdr:row>
      <xdr:rowOff>78104</xdr:rowOff>
    </xdr:to>
    <xdr:pic>
      <xdr:nvPicPr>
        <xdr:cNvPr id="29" name="Imagem 28">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4"/>
        <a:stretch>
          <a:fillRect/>
        </a:stretch>
      </xdr:blipFill>
      <xdr:spPr>
        <a:xfrm>
          <a:off x="208430" y="6238874"/>
          <a:ext cx="1037778" cy="630555"/>
        </a:xfrm>
        <a:prstGeom prst="rect">
          <a:avLst/>
        </a:prstGeom>
      </xdr:spPr>
    </xdr:pic>
    <xdr:clientData/>
  </xdr:twoCellAnchor>
  <xdr:twoCellAnchor editAs="oneCell">
    <xdr:from>
      <xdr:col>1</xdr:col>
      <xdr:colOff>63874</xdr:colOff>
      <xdr:row>42</xdr:row>
      <xdr:rowOff>38101</xdr:rowOff>
    </xdr:from>
    <xdr:to>
      <xdr:col>2</xdr:col>
      <xdr:colOff>529771</xdr:colOff>
      <xdr:row>45</xdr:row>
      <xdr:rowOff>47692</xdr:rowOff>
    </xdr:to>
    <xdr:pic>
      <xdr:nvPicPr>
        <xdr:cNvPr id="30" name="Imagem 29">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5"/>
        <a:stretch>
          <a:fillRect/>
        </a:stretch>
      </xdr:blipFill>
      <xdr:spPr>
        <a:xfrm>
          <a:off x="216274" y="8353426"/>
          <a:ext cx="1046922" cy="581091"/>
        </a:xfrm>
        <a:prstGeom prst="rect">
          <a:avLst/>
        </a:prstGeom>
      </xdr:spPr>
    </xdr:pic>
    <xdr:clientData/>
  </xdr:twoCellAnchor>
  <xdr:twoCellAnchor editAs="oneCell">
    <xdr:from>
      <xdr:col>1</xdr:col>
      <xdr:colOff>0</xdr:colOff>
      <xdr:row>1</xdr:row>
      <xdr:rowOff>0</xdr:rowOff>
    </xdr:from>
    <xdr:to>
      <xdr:col>4</xdr:col>
      <xdr:colOff>517845</xdr:colOff>
      <xdr:row>5</xdr:row>
      <xdr:rowOff>20602</xdr:rowOff>
    </xdr:to>
    <xdr:pic>
      <xdr:nvPicPr>
        <xdr:cNvPr id="35" name="Picture 1">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6"/>
        <a:stretch>
          <a:fillRect/>
        </a:stretch>
      </xdr:blipFill>
      <xdr:spPr>
        <a:xfrm rot="5400000">
          <a:off x="1016336" y="-625811"/>
          <a:ext cx="792127" cy="25200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vmlDrawing" Target="../drawings/vmlDrawing1.vml"/><Relationship Id="rId7" Type="http://schemas.openxmlformats.org/officeDocument/2006/relationships/package" Target="../embeddings/Microsoft_Word_Document1.docx"/><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2.emf"/><Relationship Id="rId5" Type="http://schemas.openxmlformats.org/officeDocument/2006/relationships/package" Target="../embeddings/Microsoft_Word_Document.docx"/><Relationship Id="rId4" Type="http://schemas.openxmlformats.org/officeDocument/2006/relationships/vmlDrawing" Target="../drawings/vmlDrawing2.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9.xml"/><Relationship Id="rId1" Type="http://schemas.openxmlformats.org/officeDocument/2006/relationships/printerSettings" Target="../printerSettings/printerSettings31.bin"/><Relationship Id="rId6" Type="http://schemas.openxmlformats.org/officeDocument/2006/relationships/image" Target="../media/image480.emf"/><Relationship Id="rId5" Type="http://schemas.openxmlformats.org/officeDocument/2006/relationships/oleObject" Target="../embeddings/Microsoft_Word_97_-_2003_Document.doc"/><Relationship Id="rId4" Type="http://schemas.openxmlformats.org/officeDocument/2006/relationships/vmlDrawing" Target="../drawings/vmlDrawing6.v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pageSetUpPr fitToPage="1"/>
  </sheetPr>
  <dimension ref="A1:M122"/>
  <sheetViews>
    <sheetView workbookViewId="0">
      <selection activeCell="U1" sqref="U1:V1048576"/>
    </sheetView>
  </sheetViews>
  <sheetFormatPr defaultColWidth="0" defaultRowHeight="14.4" zeroHeight="1"/>
  <cols>
    <col min="1" max="1" width="6.6640625" style="2" customWidth="1"/>
    <col min="2" max="12" width="9.109375" style="2" customWidth="1"/>
    <col min="13" max="13" width="8.6640625" style="2" customWidth="1"/>
    <col min="14" max="16384" width="9.109375" style="2"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sheetData>
  <sheetProtection algorithmName="SHA-512" hashValue="OX9Mz4YBWgV2x4SSyg9F/E+4C4N+SW92+0Ix4lRjWANVezv5VLevtYnJF+nlVucivSYs66FEUXDXht3z7N04eQ==" saltValue="XHgAYfgLAFJTiP+O+1LXvw==" spinCount="100000" sheet="1" formatCells="0" formatColumns="0" formatRows="0" insertColumns="0" insertRows="0" insertHyperlinks="0" deleteColumns="0" deleteRows="0" sort="0" autoFilter="0" pivotTables="0"/>
  <printOptions horizontalCentered="1"/>
  <pageMargins left="0.7" right="0.7" top="0.95" bottom="0.75" header="0.3" footer="0.3"/>
  <pageSetup scale="82" fitToHeight="0" orientation="portrait" horizontalDpi="4294967292" r:id="rId1"/>
  <headerFooter>
    <oddHeader>&amp;L&amp;G&amp;R&amp;G</oddHeader>
    <oddFooter>&amp;L&amp;8V06032014&amp;CCopyright 2014
All rights reserved
For Tigre-ADS USA customer and rep use only_x000D_&amp;1#&amp;"Aptos"&amp;11&amp;K000000 TIGRE:Internal</oddFooter>
  </headerFooter>
  <drawing r:id="rId2"/>
  <legacyDrawing r:id="rId3"/>
  <legacyDrawingHF r:id="rId4"/>
  <oleObjects>
    <mc:AlternateContent xmlns:mc="http://schemas.openxmlformats.org/markup-compatibility/2006">
      <mc:Choice Requires="x14">
        <oleObject progId="Word.Document.12" shapeId="24605" r:id="rId5">
          <objectPr defaultSize="0" autoPict="0" r:id="rId6">
            <anchor moveWithCells="1">
              <from>
                <xdr:col>0</xdr:col>
                <xdr:colOff>274320</xdr:colOff>
                <xdr:row>58</xdr:row>
                <xdr:rowOff>7620</xdr:rowOff>
              </from>
              <to>
                <xdr:col>12</xdr:col>
                <xdr:colOff>236220</xdr:colOff>
                <xdr:row>65</xdr:row>
                <xdr:rowOff>7620</xdr:rowOff>
              </to>
            </anchor>
          </objectPr>
        </oleObject>
      </mc:Choice>
      <mc:Fallback>
        <oleObject progId="Word.Document.12" shapeId="24605" r:id="rId5"/>
      </mc:Fallback>
    </mc:AlternateContent>
    <mc:AlternateContent xmlns:mc="http://schemas.openxmlformats.org/markup-compatibility/2006">
      <mc:Choice Requires="x14">
        <oleObject progId="Document" shapeId="24608" r:id="rId7">
          <objectPr defaultSize="0" r:id="rId8">
            <anchor moveWithCells="1">
              <from>
                <xdr:col>0</xdr:col>
                <xdr:colOff>274320</xdr:colOff>
                <xdr:row>0</xdr:row>
                <xdr:rowOff>137160</xdr:rowOff>
              </from>
              <to>
                <xdr:col>12</xdr:col>
                <xdr:colOff>45720</xdr:colOff>
                <xdr:row>59</xdr:row>
                <xdr:rowOff>160020</xdr:rowOff>
              </to>
            </anchor>
          </objectPr>
        </oleObject>
      </mc:Choice>
      <mc:Fallback>
        <oleObject progId="Document" shapeId="24608" r:id="rId7"/>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2DF39-E684-4AD4-9D75-66DEB315D289}">
  <sheetPr codeName="Sheet19">
    <tabColor theme="0"/>
    <pageSetUpPr fitToPage="1"/>
  </sheetPr>
  <dimension ref="A1:W523"/>
  <sheetViews>
    <sheetView topLeftCell="A24" workbookViewId="0">
      <selection activeCell="K8" sqref="K8"/>
    </sheetView>
  </sheetViews>
  <sheetFormatPr defaultColWidth="9.109375" defaultRowHeight="0" customHeight="1" zeroHeight="1"/>
  <cols>
    <col min="1" max="1" width="2.33203125" style="101" customWidth="1"/>
    <col min="2" max="3" width="8.6640625" style="17" customWidth="1"/>
    <col min="4" max="5" width="12.6640625" style="20" customWidth="1"/>
    <col min="6" max="6" width="50.6640625" style="184" customWidth="1"/>
    <col min="7" max="7" width="10.6640625" style="390" customWidth="1"/>
    <col min="8" max="8" width="10.6640625" style="392" customWidth="1"/>
    <col min="9" max="9" width="10.6640625" style="414" customWidth="1"/>
    <col min="10" max="10" width="10.6640625" style="25" customWidth="1"/>
    <col min="11" max="11" width="10.6640625" style="20" customWidth="1"/>
    <col min="12" max="12" width="1.44140625" style="20" customWidth="1"/>
    <col min="13" max="13" width="10.6640625" style="20" customWidth="1"/>
    <col min="14" max="14" width="2.33203125" style="17" customWidth="1"/>
    <col min="15" max="15" width="12.6640625" style="20" customWidth="1"/>
    <col min="16" max="16" width="10.6640625" style="20" customWidth="1"/>
    <col min="17" max="17" width="11.33203125" style="390" bestFit="1" customWidth="1"/>
    <col min="18" max="18" width="11.33203125" style="20" bestFit="1" customWidth="1"/>
    <col min="19" max="19" width="13.109375" style="390" bestFit="1" customWidth="1"/>
    <col min="20" max="20" width="9.109375" style="352" customWidth="1"/>
    <col min="21" max="21" width="9.109375" style="17" customWidth="1"/>
    <col min="22" max="23" width="9.109375" style="352" customWidth="1"/>
    <col min="24" max="25" width="9.109375" style="17" customWidth="1"/>
    <col min="26" max="16384" width="9.109375" style="17"/>
  </cols>
  <sheetData>
    <row r="1" spans="1:23" ht="18">
      <c r="F1" s="155" t="s">
        <v>340</v>
      </c>
      <c r="G1" s="403"/>
      <c r="H1" s="391"/>
      <c r="O1" s="198"/>
      <c r="P1" s="198"/>
      <c r="Q1" s="389"/>
      <c r="R1" s="198"/>
      <c r="S1" s="389"/>
    </row>
    <row r="2" spans="1:23" ht="15.6">
      <c r="D2" s="200"/>
      <c r="E2" s="201"/>
      <c r="J2" s="607" t="s">
        <v>59</v>
      </c>
      <c r="K2" s="607"/>
    </row>
    <row r="3" spans="1:23" ht="14.4">
      <c r="F3" s="323" t="s">
        <v>341</v>
      </c>
      <c r="J3" s="607"/>
      <c r="K3" s="607"/>
    </row>
    <row r="4" spans="1:23" ht="14.4">
      <c r="E4" s="147" t="s">
        <v>5723</v>
      </c>
      <c r="F4" s="327" t="s">
        <v>5980</v>
      </c>
      <c r="J4" s="21"/>
      <c r="K4" s="17"/>
    </row>
    <row r="5" spans="1:23" ht="14.4">
      <c r="F5" s="325" t="s">
        <v>5973</v>
      </c>
      <c r="J5" s="21"/>
      <c r="K5" s="17"/>
    </row>
    <row r="6" spans="1:23" ht="14.25" customHeight="1">
      <c r="J6" s="21"/>
      <c r="K6" s="17"/>
      <c r="O6" s="353" t="s">
        <v>63</v>
      </c>
      <c r="Q6" s="614" t="s">
        <v>64</v>
      </c>
      <c r="R6" s="614"/>
      <c r="S6" s="614"/>
    </row>
    <row r="7" spans="1:23" ht="36" customHeight="1">
      <c r="B7" s="136"/>
      <c r="C7" s="136"/>
      <c r="D7" s="136" t="s">
        <v>48</v>
      </c>
      <c r="E7" s="136" t="s">
        <v>49</v>
      </c>
      <c r="F7" s="136" t="s">
        <v>50</v>
      </c>
      <c r="G7" s="231" t="s">
        <v>65</v>
      </c>
      <c r="H7" s="378" t="s">
        <v>66</v>
      </c>
      <c r="I7" s="393" t="s">
        <v>51</v>
      </c>
      <c r="J7" s="157" t="s">
        <v>55</v>
      </c>
      <c r="K7" s="158" t="s">
        <v>52</v>
      </c>
      <c r="L7" s="159"/>
      <c r="M7" s="143" t="s">
        <v>67</v>
      </c>
      <c r="O7" s="213" t="s">
        <v>68</v>
      </c>
      <c r="P7" s="213" t="s">
        <v>69</v>
      </c>
      <c r="Q7" s="396" t="s">
        <v>70</v>
      </c>
      <c r="R7" s="213" t="s">
        <v>71</v>
      </c>
      <c r="S7" s="396" t="s">
        <v>72</v>
      </c>
      <c r="T7" s="383" t="s">
        <v>73</v>
      </c>
      <c r="U7" s="213" t="s">
        <v>333</v>
      </c>
      <c r="V7" s="383" t="s">
        <v>328</v>
      </c>
      <c r="W7" s="383" t="s">
        <v>329</v>
      </c>
    </row>
    <row r="8" spans="1:23" ht="14.4">
      <c r="A8" s="101" t="str">
        <f>IF(K8&gt;0,COUNT($A$7:A7)
+COUNT('DWV PVC'!$A$9:$A$316)
+COUNT('DWV ABS'!$A$8:$A$116)
+COUNT('PVC SCH40'!$A$8:$A$424)
+COUNT('PVC SCH40 LD'!$A$8:$A$21)
+COUNT('Pool &amp; SPA Sweep Elbows'!$A$8:$A$11)
+COUNT('Pool &amp; SPA Pipe Extender'!$A$8:$A$10)
+COUNT('PVC SCH80'!$A$8:$A$249)+1,"")</f>
        <v/>
      </c>
      <c r="B8" s="608"/>
      <c r="C8" s="609"/>
      <c r="D8" s="416" t="str">
        <f>_xlfn.XLOOKUP(E8,'All Products'!D:D,'All Products'!C:C,FALSE)</f>
        <v>852-007</v>
      </c>
      <c r="E8" s="103">
        <v>100028011</v>
      </c>
      <c r="F8" s="417" t="str">
        <f>_xlfn.XLOOKUP(E8,'All Products'!D:D,'All Products'!E:E,FALSE)</f>
        <v>3/4 THREADED FLANGE GASKET TYPE</v>
      </c>
      <c r="G8" s="233">
        <f>_xlfn.XLOOKUP(E8,'All Products'!D:D,'All Products'!F:F,FALSE)</f>
        <v>75</v>
      </c>
      <c r="H8" s="196">
        <f>_xlfn.XLOOKUP(E8,'All Products'!D:D,'All Products'!G:G,FALSE)</f>
        <v>0</v>
      </c>
      <c r="I8" s="415">
        <f>_xlfn.XLOOKUP(E8,'All Products'!D:D,'All Products'!H:H,FALSE)</f>
        <v>63.65</v>
      </c>
      <c r="J8" s="130">
        <f>ROUND(I8*Order_Quote!$L$9,2)</f>
        <v>63.65</v>
      </c>
      <c r="K8" s="75"/>
      <c r="L8" s="113"/>
      <c r="M8" s="171">
        <f t="shared" ref="M8:M45" si="0">K8/G8</f>
        <v>0</v>
      </c>
      <c r="N8" s="225"/>
      <c r="O8" s="265" t="str">
        <f>_xlfn.XLOOKUP(E8,'All Products'!D:D,'All Products'!I:I,FALSE)</f>
        <v>Within 3 Weeks</v>
      </c>
      <c r="P8" s="265" t="str">
        <f>_xlfn.XLOOKUP(E8,'All Products'!D:D,'All Products'!J:J,FALSE)</f>
        <v>Manufactured</v>
      </c>
      <c r="Q8" s="266" t="str">
        <f>_xlfn.XLOOKUP(E8,'All Products'!D:D,'All Products'!K:K,FALSE)</f>
        <v>-</v>
      </c>
      <c r="R8" s="266" t="str">
        <f>_xlfn.XLOOKUP(E8,'All Products'!D:D,'All Products'!L:L,FALSE)</f>
        <v>-</v>
      </c>
      <c r="S8" s="266">
        <f>_xlfn.XLOOKUP(E8,'All Products'!D:D,'All Products'!M:M,FALSE)</f>
        <v>40049081164124</v>
      </c>
      <c r="T8" s="265">
        <f>_xlfn.XLOOKUP(E8,'All Products'!D:D,'All Products'!N:N,FALSE)</f>
        <v>0.27600000000000002</v>
      </c>
      <c r="U8" s="265" t="str">
        <f>_xlfn.XLOOKUP(F8,'All Products'!E:E,'All Products'!O:O,FALSE)</f>
        <v>-</v>
      </c>
      <c r="V8" s="265">
        <f>_xlfn.XLOOKUP(E8,'All Products'!D:D,'All Products'!P:P,FALSE)</f>
        <v>20.663</v>
      </c>
      <c r="W8" s="265" t="str">
        <f>_xlfn.XLOOKUP(E8,'All Products'!D:D,'All Products'!Q:Q,FALSE)</f>
        <v>-</v>
      </c>
    </row>
    <row r="9" spans="1:23" ht="14.4">
      <c r="A9" s="101" t="str">
        <f>IF(K9&gt;0,COUNT($A$7:A8)
+COUNT('DWV PVC'!$A$9:$A$316)
+COUNT('DWV ABS'!$A$8:$A$116)
+COUNT('PVC SCH40'!$A$8:$A$424)
+COUNT('PVC SCH40 LD'!$A$8:$A$21)
+COUNT('Pool &amp; SPA Sweep Elbows'!$A$8:$A$11)
+COUNT('Pool &amp; SPA Pipe Extender'!$A$8:$A$10)
+COUNT('PVC SCH80'!$A$8:$A$249)+1,"")</f>
        <v/>
      </c>
      <c r="B9" s="610"/>
      <c r="C9" s="611"/>
      <c r="D9" s="416" t="str">
        <f>_xlfn.XLOOKUP(E9,'All Products'!D:D,'All Products'!C:C,FALSE)</f>
        <v>852-010</v>
      </c>
      <c r="E9" s="103">
        <v>100028012</v>
      </c>
      <c r="F9" s="417" t="str">
        <f>_xlfn.XLOOKUP(E9,'All Products'!D:D,'All Products'!E:E,FALSE)</f>
        <v>1 THREADED FLANGE GASKET TYPE</v>
      </c>
      <c r="G9" s="233">
        <f>_xlfn.XLOOKUP(E9,'All Products'!D:D,'All Products'!F:F,FALSE)</f>
        <v>50</v>
      </c>
      <c r="H9" s="196">
        <f>_xlfn.XLOOKUP(E9,'All Products'!D:D,'All Products'!G:G,FALSE)</f>
        <v>0</v>
      </c>
      <c r="I9" s="415">
        <f>_xlfn.XLOOKUP(E9,'All Products'!D:D,'All Products'!H:H,FALSE)</f>
        <v>69.69</v>
      </c>
      <c r="J9" s="130">
        <f>ROUND(I9*Order_Quote!$L$9,2)</f>
        <v>69.69</v>
      </c>
      <c r="K9" s="75"/>
      <c r="L9" s="113"/>
      <c r="M9" s="171">
        <f t="shared" si="0"/>
        <v>0</v>
      </c>
      <c r="N9" s="225"/>
      <c r="O9" s="265" t="str">
        <f>_xlfn.XLOOKUP(E9,'All Products'!D:D,'All Products'!I:I,FALSE)</f>
        <v>Within 3 Weeks</v>
      </c>
      <c r="P9" s="265" t="str">
        <f>_xlfn.XLOOKUP(E9,'All Products'!D:D,'All Products'!J:J,FALSE)</f>
        <v>Manufactured</v>
      </c>
      <c r="Q9" s="266">
        <f>_xlfn.XLOOKUP(E9,'All Products'!D:D,'All Products'!K:K,FALSE)</f>
        <v>49081164140</v>
      </c>
      <c r="R9" s="266" t="str">
        <f>_xlfn.XLOOKUP(E9,'All Products'!D:D,'All Products'!L:L,FALSE)</f>
        <v>-</v>
      </c>
      <c r="S9" s="266">
        <f>_xlfn.XLOOKUP(E9,'All Products'!D:D,'All Products'!M:M,FALSE)</f>
        <v>40049081164148</v>
      </c>
      <c r="T9" s="265">
        <f>_xlfn.XLOOKUP(E9,'All Products'!D:D,'All Products'!N:N,FALSE)</f>
        <v>0.41</v>
      </c>
      <c r="U9" s="265" t="str">
        <f>_xlfn.XLOOKUP(F9,'All Products'!E:E,'All Products'!O:O,FALSE)</f>
        <v>-</v>
      </c>
      <c r="V9" s="265">
        <f>_xlfn.XLOOKUP(E9,'All Products'!D:D,'All Products'!P:P,FALSE)</f>
        <v>20.5</v>
      </c>
      <c r="W9" s="265" t="str">
        <f>_xlfn.XLOOKUP(E9,'All Products'!D:D,'All Products'!Q:Q,FALSE)</f>
        <v>-</v>
      </c>
    </row>
    <row r="10" spans="1:23" ht="14.4">
      <c r="A10" s="101" t="str">
        <f>IF(K10&gt;0,COUNT($A$7:A9)
+COUNT('DWV PVC'!$A$9:$A$316)
+COUNT('DWV ABS'!$A$8:$A$116)
+COUNT('PVC SCH40'!$A$8:$A$424)
+COUNT('PVC SCH40 LD'!$A$8:$A$21)
+COUNT('Pool &amp; SPA Sweep Elbows'!$A$8:$A$11)
+COUNT('Pool &amp; SPA Pipe Extender'!$A$8:$A$10)
+COUNT('PVC SCH80'!$A$8:$A$249)+1,"")</f>
        <v/>
      </c>
      <c r="B10" s="610"/>
      <c r="C10" s="611"/>
      <c r="D10" s="416" t="str">
        <f>_xlfn.XLOOKUP(E10,'All Products'!D:D,'All Products'!C:C,FALSE)</f>
        <v>852-012</v>
      </c>
      <c r="E10" s="103">
        <v>100028013</v>
      </c>
      <c r="F10" s="417" t="str">
        <f>_xlfn.XLOOKUP(E10,'All Products'!D:D,'All Products'!E:E,FALSE)</f>
        <v>1-1/4 THREADED FLANGE GASKET TYPE</v>
      </c>
      <c r="G10" s="233">
        <f>_xlfn.XLOOKUP(E10,'All Products'!D:D,'All Products'!F:F,FALSE)</f>
        <v>20</v>
      </c>
      <c r="H10" s="196">
        <f>_xlfn.XLOOKUP(E10,'All Products'!D:D,'All Products'!G:G,FALSE)</f>
        <v>0</v>
      </c>
      <c r="I10" s="415">
        <f>_xlfn.XLOOKUP(E10,'All Products'!D:D,'All Products'!H:H,FALSE)</f>
        <v>96.1</v>
      </c>
      <c r="J10" s="130">
        <f>ROUND(I10*Order_Quote!$L$9,2)</f>
        <v>96.1</v>
      </c>
      <c r="K10" s="75"/>
      <c r="L10" s="113"/>
      <c r="M10" s="171">
        <f t="shared" si="0"/>
        <v>0</v>
      </c>
      <c r="N10" s="225"/>
      <c r="O10" s="265" t="str">
        <f>_xlfn.XLOOKUP(E10,'All Products'!D:D,'All Products'!I:I,FALSE)</f>
        <v>Within 3 Weeks</v>
      </c>
      <c r="P10" s="265" t="str">
        <f>_xlfn.XLOOKUP(E10,'All Products'!D:D,'All Products'!J:J,FALSE)</f>
        <v>Manufactured</v>
      </c>
      <c r="Q10" s="266">
        <f>_xlfn.XLOOKUP(E10,'All Products'!D:D,'All Products'!K:K,FALSE)</f>
        <v>49081164164</v>
      </c>
      <c r="R10" s="266" t="str">
        <f>_xlfn.XLOOKUP(E10,'All Products'!D:D,'All Products'!L:L,FALSE)</f>
        <v>-</v>
      </c>
      <c r="S10" s="266">
        <f>_xlfn.XLOOKUP(E10,'All Products'!D:D,'All Products'!M:M,FALSE)</f>
        <v>40049081164162</v>
      </c>
      <c r="T10" s="265">
        <f>_xlfn.XLOOKUP(E10,'All Products'!D:D,'All Products'!N:N,FALSE)</f>
        <v>0.53100000000000003</v>
      </c>
      <c r="U10" s="265" t="str">
        <f>_xlfn.XLOOKUP(F10,'All Products'!E:E,'All Products'!O:O,FALSE)</f>
        <v>-</v>
      </c>
      <c r="V10" s="265">
        <f>_xlfn.XLOOKUP(E10,'All Products'!D:D,'All Products'!P:P,FALSE)</f>
        <v>10.625999999999999</v>
      </c>
      <c r="W10" s="265" t="str">
        <f>_xlfn.XLOOKUP(E10,'All Products'!D:D,'All Products'!Q:Q,FALSE)</f>
        <v>-</v>
      </c>
    </row>
    <row r="11" spans="1:23" ht="14.4">
      <c r="A11" s="101" t="str">
        <f>IF(K11&gt;0,COUNT($A$7:A10)
+COUNT('DWV PVC'!$A$9:$A$316)
+COUNT('DWV ABS'!$A$8:$A$116)
+COUNT('PVC SCH40'!$A$8:$A$424)
+COUNT('PVC SCH40 LD'!$A$8:$A$21)
+COUNT('Pool &amp; SPA Sweep Elbows'!$A$8:$A$11)
+COUNT('Pool &amp; SPA Pipe Extender'!$A$8:$A$10)
+COUNT('PVC SCH80'!$A$8:$A$249)+1,"")</f>
        <v/>
      </c>
      <c r="B11" s="610"/>
      <c r="C11" s="611"/>
      <c r="D11" s="416" t="str">
        <f>_xlfn.XLOOKUP(E11,'All Products'!D:D,'All Products'!C:C,FALSE)</f>
        <v>852-015</v>
      </c>
      <c r="E11" s="103">
        <v>100028014</v>
      </c>
      <c r="F11" s="417" t="str">
        <f>_xlfn.XLOOKUP(E11,'All Products'!D:D,'All Products'!E:E,FALSE)</f>
        <v>1-1/2 THREADED FLANGE GASKET TYPE</v>
      </c>
      <c r="G11" s="233">
        <f>_xlfn.XLOOKUP(E11,'All Products'!D:D,'All Products'!F:F,FALSE)</f>
        <v>30</v>
      </c>
      <c r="H11" s="196">
        <f>_xlfn.XLOOKUP(E11,'All Products'!D:D,'All Products'!G:G,FALSE)</f>
        <v>0</v>
      </c>
      <c r="I11" s="415">
        <f>_xlfn.XLOOKUP(E11,'All Products'!D:D,'All Products'!H:H,FALSE)</f>
        <v>104.87</v>
      </c>
      <c r="J11" s="130">
        <f>ROUND(I11*Order_Quote!$L$9,2)</f>
        <v>104.87</v>
      </c>
      <c r="K11" s="75"/>
      <c r="L11" s="113"/>
      <c r="M11" s="171">
        <f t="shared" si="0"/>
        <v>0</v>
      </c>
      <c r="N11" s="225"/>
      <c r="O11" s="265" t="str">
        <f>_xlfn.XLOOKUP(E11,'All Products'!D:D,'All Products'!I:I,FALSE)</f>
        <v>Within 3 Weeks</v>
      </c>
      <c r="P11" s="265" t="str">
        <f>_xlfn.XLOOKUP(E11,'All Products'!D:D,'All Products'!J:J,FALSE)</f>
        <v>Manufactured</v>
      </c>
      <c r="Q11" s="266">
        <f>_xlfn.XLOOKUP(E11,'All Products'!D:D,'All Products'!K:K,FALSE)</f>
        <v>49081164188</v>
      </c>
      <c r="R11" s="266" t="str">
        <f>_xlfn.XLOOKUP(E11,'All Products'!D:D,'All Products'!L:L,FALSE)</f>
        <v>-</v>
      </c>
      <c r="S11" s="266">
        <f>_xlfn.XLOOKUP(E11,'All Products'!D:D,'All Products'!M:M,FALSE)</f>
        <v>40049081164186</v>
      </c>
      <c r="T11" s="265">
        <f>_xlfn.XLOOKUP(E11,'All Products'!D:D,'All Products'!N:N,FALSE)</f>
        <v>0.65300000000000002</v>
      </c>
      <c r="U11" s="265" t="str">
        <f>_xlfn.XLOOKUP(F11,'All Products'!E:E,'All Products'!O:O,FALSE)</f>
        <v>-</v>
      </c>
      <c r="V11" s="265">
        <f>_xlfn.XLOOKUP(E11,'All Products'!D:D,'All Products'!P:P,FALSE)</f>
        <v>19.574999999999999</v>
      </c>
      <c r="W11" s="265" t="str">
        <f>_xlfn.XLOOKUP(E11,'All Products'!D:D,'All Products'!Q:Q,FALSE)</f>
        <v>-</v>
      </c>
    </row>
    <row r="12" spans="1:23" ht="14.4">
      <c r="A12" s="101" t="str">
        <f>IF(K12&gt;0,COUNT($A$7:A11)
+COUNT('DWV PVC'!$A$9:$A$316)
+COUNT('DWV ABS'!$A$8:$A$116)
+COUNT('PVC SCH40'!$A$8:$A$424)
+COUNT('PVC SCH40 LD'!$A$8:$A$21)
+COUNT('Pool &amp; SPA Sweep Elbows'!$A$8:$A$11)
+COUNT('Pool &amp; SPA Pipe Extender'!$A$8:$A$10)
+COUNT('PVC SCH80'!$A$8:$A$249)+1,"")</f>
        <v/>
      </c>
      <c r="B12" s="610"/>
      <c r="C12" s="611"/>
      <c r="D12" s="416" t="str">
        <f>_xlfn.XLOOKUP(E12,'All Products'!D:D,'All Products'!C:C,FALSE)</f>
        <v>852-020</v>
      </c>
      <c r="E12" s="103">
        <v>100028015</v>
      </c>
      <c r="F12" s="417" t="str">
        <f>_xlfn.XLOOKUP(E12,'All Products'!D:D,'All Products'!E:E,FALSE)</f>
        <v>2 THREADED FLANGE GASKET TYPE</v>
      </c>
      <c r="G12" s="233">
        <f>_xlfn.XLOOKUP(E12,'All Products'!D:D,'All Products'!F:F,FALSE)</f>
        <v>20</v>
      </c>
      <c r="H12" s="196">
        <f>_xlfn.XLOOKUP(E12,'All Products'!D:D,'All Products'!G:G,FALSE)</f>
        <v>0</v>
      </c>
      <c r="I12" s="415">
        <f>_xlfn.XLOOKUP(E12,'All Products'!D:D,'All Products'!H:H,FALSE)</f>
        <v>107.24</v>
      </c>
      <c r="J12" s="130">
        <f>ROUND(I12*Order_Quote!$L$9,2)</f>
        <v>107.24</v>
      </c>
      <c r="K12" s="75"/>
      <c r="L12" s="113"/>
      <c r="M12" s="171">
        <f t="shared" si="0"/>
        <v>0</v>
      </c>
      <c r="N12" s="225"/>
      <c r="O12" s="265" t="str">
        <f>_xlfn.XLOOKUP(E12,'All Products'!D:D,'All Products'!I:I,FALSE)</f>
        <v>In Stock</v>
      </c>
      <c r="P12" s="265" t="str">
        <f>_xlfn.XLOOKUP(E12,'All Products'!D:D,'All Products'!J:J,FALSE)</f>
        <v>Manufactured</v>
      </c>
      <c r="Q12" s="266" t="str">
        <f>_xlfn.XLOOKUP(E12,'All Products'!D:D,'All Products'!K:K,FALSE)</f>
        <v>-</v>
      </c>
      <c r="R12" s="266" t="str">
        <f>_xlfn.XLOOKUP(E12,'All Products'!D:D,'All Products'!L:L,FALSE)</f>
        <v>-</v>
      </c>
      <c r="S12" s="266">
        <f>_xlfn.XLOOKUP(E12,'All Products'!D:D,'All Products'!M:M,FALSE)</f>
        <v>40049081164209</v>
      </c>
      <c r="T12" s="265">
        <f>_xlfn.XLOOKUP(E12,'All Products'!D:D,'All Products'!N:N,FALSE)</f>
        <v>1.1419999999999999</v>
      </c>
      <c r="U12" s="265" t="str">
        <f>_xlfn.XLOOKUP(F12,'All Products'!E:E,'All Products'!O:O,FALSE)</f>
        <v>-</v>
      </c>
      <c r="V12" s="265">
        <f>_xlfn.XLOOKUP(E12,'All Products'!D:D,'All Products'!P:P,FALSE)</f>
        <v>22.84</v>
      </c>
      <c r="W12" s="265" t="str">
        <f>_xlfn.XLOOKUP(E12,'All Products'!D:D,'All Products'!Q:Q,FALSE)</f>
        <v>-</v>
      </c>
    </row>
    <row r="13" spans="1:23" ht="14.4">
      <c r="A13" s="101" t="str">
        <f>IF(K13&gt;0,COUNT($A$7:A12)
+COUNT('DWV PVC'!$A$9:$A$316)
+COUNT('DWV ABS'!$A$8:$A$116)
+COUNT('PVC SCH40'!$A$8:$A$424)
+COUNT('PVC SCH40 LD'!$A$8:$A$21)
+COUNT('Pool &amp; SPA Sweep Elbows'!$A$8:$A$11)
+COUNT('Pool &amp; SPA Pipe Extender'!$A$8:$A$10)
+COUNT('PVC SCH80'!$A$8:$A$249)+1,"")</f>
        <v/>
      </c>
      <c r="B13" s="610"/>
      <c r="C13" s="611"/>
      <c r="D13" s="416" t="str">
        <f>_xlfn.XLOOKUP(E13,'All Products'!D:D,'All Products'!C:C,FALSE)</f>
        <v>852-025</v>
      </c>
      <c r="E13" s="103">
        <v>100028016</v>
      </c>
      <c r="F13" s="417" t="str">
        <f>_xlfn.XLOOKUP(E13,'All Products'!D:D,'All Products'!E:E,FALSE)</f>
        <v>2-1/2 THREADED FLANGE GASKET TYPE</v>
      </c>
      <c r="G13" s="233">
        <f>_xlfn.XLOOKUP(E13,'All Products'!D:D,'All Products'!F:F,FALSE)</f>
        <v>10</v>
      </c>
      <c r="H13" s="196">
        <f>_xlfn.XLOOKUP(E13,'All Products'!D:D,'All Products'!G:G,FALSE)</f>
        <v>0</v>
      </c>
      <c r="I13" s="415">
        <f>_xlfn.XLOOKUP(E13,'All Products'!D:D,'All Products'!H:H,FALSE)</f>
        <v>246.5</v>
      </c>
      <c r="J13" s="130">
        <f>ROUND(I13*Order_Quote!$L$9,2)</f>
        <v>246.5</v>
      </c>
      <c r="K13" s="75"/>
      <c r="L13" s="113"/>
      <c r="M13" s="171">
        <f t="shared" si="0"/>
        <v>0</v>
      </c>
      <c r="N13" s="225"/>
      <c r="O13" s="265" t="str">
        <f>_xlfn.XLOOKUP(E13,'All Products'!D:D,'All Products'!I:I,FALSE)</f>
        <v>Within 3 Weeks</v>
      </c>
      <c r="P13" s="265" t="str">
        <f>_xlfn.XLOOKUP(E13,'All Products'!D:D,'All Products'!J:J,FALSE)</f>
        <v>Manufactured</v>
      </c>
      <c r="Q13" s="266">
        <f>_xlfn.XLOOKUP(E13,'All Products'!D:D,'All Products'!K:K,FALSE)</f>
        <v>49081164225</v>
      </c>
      <c r="R13" s="266" t="str">
        <f>_xlfn.XLOOKUP(E13,'All Products'!D:D,'All Products'!L:L,FALSE)</f>
        <v>-</v>
      </c>
      <c r="S13" s="266">
        <f>_xlfn.XLOOKUP(E13,'All Products'!D:D,'All Products'!M:M,FALSE)</f>
        <v>40049081164223</v>
      </c>
      <c r="T13" s="265">
        <f>_xlfn.XLOOKUP(E13,'All Products'!D:D,'All Products'!N:N,FALSE)</f>
        <v>1.484</v>
      </c>
      <c r="U13" s="265" t="str">
        <f>_xlfn.XLOOKUP(F13,'All Products'!E:E,'All Products'!O:O,FALSE)</f>
        <v>-</v>
      </c>
      <c r="V13" s="265">
        <f>_xlfn.XLOOKUP(E13,'All Products'!D:D,'All Products'!P:P,FALSE)</f>
        <v>14.837</v>
      </c>
      <c r="W13" s="265" t="str">
        <f>_xlfn.XLOOKUP(E13,'All Products'!D:D,'All Products'!Q:Q,FALSE)</f>
        <v>-</v>
      </c>
    </row>
    <row r="14" spans="1:23" ht="14.4">
      <c r="A14" s="101" t="str">
        <f>IF(K14&gt;0,COUNT($A$7:A13)
+COUNT('DWV PVC'!$A$9:$A$316)
+COUNT('DWV ABS'!$A$8:$A$116)
+COUNT('PVC SCH40'!$A$8:$A$424)
+COUNT('PVC SCH40 LD'!$A$8:$A$21)
+COUNT('Pool &amp; SPA Sweep Elbows'!$A$8:$A$11)
+COUNT('Pool &amp; SPA Pipe Extender'!$A$8:$A$10)
+COUNT('PVC SCH80'!$A$8:$A$249)+1,"")</f>
        <v/>
      </c>
      <c r="B14" s="610"/>
      <c r="C14" s="611"/>
      <c r="D14" s="416" t="str">
        <f>_xlfn.XLOOKUP(E14,'All Products'!D:D,'All Products'!C:C,FALSE)</f>
        <v>852-030</v>
      </c>
      <c r="E14" s="103">
        <v>100028017</v>
      </c>
      <c r="F14" s="417" t="str">
        <f>_xlfn.XLOOKUP(E14,'All Products'!D:D,'All Products'!E:E,FALSE)</f>
        <v>3 THREADED FLANGE GASKET TYPE</v>
      </c>
      <c r="G14" s="233">
        <f>_xlfn.XLOOKUP(E14,'All Products'!D:D,'All Products'!F:F,FALSE)</f>
        <v>10</v>
      </c>
      <c r="H14" s="196">
        <f>_xlfn.XLOOKUP(E14,'All Products'!D:D,'All Products'!G:G,FALSE)</f>
        <v>0</v>
      </c>
      <c r="I14" s="415">
        <f>_xlfn.XLOOKUP(E14,'All Products'!D:D,'All Products'!H:H,FALSE)</f>
        <v>253.75</v>
      </c>
      <c r="J14" s="130">
        <f>ROUND(I14*Order_Quote!$L$9,2)</f>
        <v>253.75</v>
      </c>
      <c r="K14" s="75"/>
      <c r="L14" s="113"/>
      <c r="M14" s="171">
        <f t="shared" si="0"/>
        <v>0</v>
      </c>
      <c r="N14" s="225"/>
      <c r="O14" s="265" t="str">
        <f>_xlfn.XLOOKUP(E14,'All Products'!D:D,'All Products'!I:I,FALSE)</f>
        <v>Within 3 Weeks</v>
      </c>
      <c r="P14" s="265" t="str">
        <f>_xlfn.XLOOKUP(E14,'All Products'!D:D,'All Products'!J:J,FALSE)</f>
        <v>Manufactured</v>
      </c>
      <c r="Q14" s="266">
        <f>_xlfn.XLOOKUP(E14,'All Products'!D:D,'All Products'!K:K,FALSE)</f>
        <v>49081164201</v>
      </c>
      <c r="R14" s="266" t="str">
        <f>_xlfn.XLOOKUP(E14,'All Products'!D:D,'All Products'!L:L,FALSE)</f>
        <v>-</v>
      </c>
      <c r="S14" s="266">
        <f>_xlfn.XLOOKUP(E14,'All Products'!D:D,'All Products'!M:M,FALSE)</f>
        <v>40049081164247</v>
      </c>
      <c r="T14" s="265">
        <f>_xlfn.XLOOKUP(E14,'All Products'!D:D,'All Products'!N:N,FALSE)</f>
        <v>1.9419999999999999</v>
      </c>
      <c r="U14" s="265" t="str">
        <f>_xlfn.XLOOKUP(F14,'All Products'!E:E,'All Products'!O:O,FALSE)</f>
        <v>-</v>
      </c>
      <c r="V14" s="265">
        <f>_xlfn.XLOOKUP(E14,'All Products'!D:D,'All Products'!P:P,FALSE)</f>
        <v>19.422000000000001</v>
      </c>
      <c r="W14" s="265" t="str">
        <f>_xlfn.XLOOKUP(E14,'All Products'!D:D,'All Products'!Q:Q,FALSE)</f>
        <v>-</v>
      </c>
    </row>
    <row r="15" spans="1:23" ht="14.4">
      <c r="A15" s="101" t="str">
        <f>IF(K15&gt;0,COUNT($A$7:A14)
+COUNT('DWV PVC'!$A$9:$A$316)
+COUNT('DWV ABS'!$A$8:$A$116)
+COUNT('PVC SCH40'!$A$8:$A$424)
+COUNT('PVC SCH40 LD'!$A$8:$A$21)
+COUNT('Pool &amp; SPA Sweep Elbows'!$A$8:$A$11)
+COUNT('Pool &amp; SPA Pipe Extender'!$A$8:$A$10)
+COUNT('PVC SCH80'!$A$8:$A$249)+1,"")</f>
        <v/>
      </c>
      <c r="B15" s="612"/>
      <c r="C15" s="613"/>
      <c r="D15" s="416" t="str">
        <f>_xlfn.XLOOKUP(E15,'All Products'!D:D,'All Products'!C:C,FALSE)</f>
        <v>852-040</v>
      </c>
      <c r="E15" s="103">
        <v>100028018</v>
      </c>
      <c r="F15" s="417" t="str">
        <f>_xlfn.XLOOKUP(E15,'All Products'!D:D,'All Products'!E:E,FALSE)</f>
        <v>4 THREADED FLANGE GASKET TYPE</v>
      </c>
      <c r="G15" s="233">
        <f>_xlfn.XLOOKUP(E15,'All Products'!D:D,'All Products'!F:F,FALSE)</f>
        <v>5</v>
      </c>
      <c r="H15" s="196">
        <f>_xlfn.XLOOKUP(E15,'All Products'!D:D,'All Products'!G:G,FALSE)</f>
        <v>0</v>
      </c>
      <c r="I15" s="415">
        <f>_xlfn.XLOOKUP(E15,'All Products'!D:D,'All Products'!H:H,FALSE)</f>
        <v>476.69</v>
      </c>
      <c r="J15" s="130">
        <f>ROUND(I15*Order_Quote!$L$9,2)</f>
        <v>476.69</v>
      </c>
      <c r="K15" s="75"/>
      <c r="L15" s="113"/>
      <c r="M15" s="171">
        <f t="shared" si="0"/>
        <v>0</v>
      </c>
      <c r="N15" s="225"/>
      <c r="O15" s="265" t="str">
        <f>_xlfn.XLOOKUP(E15,'All Products'!D:D,'All Products'!I:I,FALSE)</f>
        <v>Within 3 Weeks</v>
      </c>
      <c r="P15" s="265" t="str">
        <f>_xlfn.XLOOKUP(E15,'All Products'!D:D,'All Products'!J:J,FALSE)</f>
        <v>Manufactured</v>
      </c>
      <c r="Q15" s="266">
        <f>_xlfn.XLOOKUP(E15,'All Products'!D:D,'All Products'!K:K,FALSE)</f>
        <v>49081164263</v>
      </c>
      <c r="R15" s="266" t="str">
        <f>_xlfn.XLOOKUP(E15,'All Products'!D:D,'All Products'!L:L,FALSE)</f>
        <v>-</v>
      </c>
      <c r="S15" s="266">
        <f>_xlfn.XLOOKUP(E15,'All Products'!D:D,'All Products'!M:M,FALSE)</f>
        <v>40049081164261</v>
      </c>
      <c r="T15" s="265">
        <f>_xlfn.XLOOKUP(E15,'All Products'!D:D,'All Products'!N:N,FALSE)</f>
        <v>2.8620000000000001</v>
      </c>
      <c r="U15" s="265" t="str">
        <f>_xlfn.XLOOKUP(F15,'All Products'!E:E,'All Products'!O:O,FALSE)</f>
        <v>-</v>
      </c>
      <c r="V15" s="265">
        <f>_xlfn.XLOOKUP(E15,'All Products'!D:D,'All Products'!P:P,FALSE)</f>
        <v>14.308</v>
      </c>
      <c r="W15" s="265" t="str">
        <f>_xlfn.XLOOKUP(E15,'All Products'!D:D,'All Products'!Q:Q,FALSE)</f>
        <v>-</v>
      </c>
    </row>
    <row r="16" spans="1:23" ht="14.4">
      <c r="A16" s="101" t="str">
        <f>IF(K16&gt;0,COUNT($A$7:A15)
+COUNT('DWV PVC'!$A$9:$A$316)
+COUNT('DWV ABS'!$A$8:$A$116)
+COUNT('PVC SCH40'!$A$8:$A$424)
+COUNT('PVC SCH40 LD'!$A$8:$A$21)
+COUNT('Pool &amp; SPA Sweep Elbows'!$A$8:$A$11)
+COUNT('Pool &amp; SPA Pipe Extender'!$A$8:$A$10)
+COUNT('PVC SCH80'!$A$8:$A$249)+1,"")</f>
        <v/>
      </c>
      <c r="B16" s="608"/>
      <c r="C16" s="609"/>
      <c r="D16" s="416" t="str">
        <f>_xlfn.XLOOKUP(E16,'All Products'!D:D,'All Products'!C:C,FALSE)</f>
        <v>853-015</v>
      </c>
      <c r="E16" s="103">
        <v>100028019</v>
      </c>
      <c r="F16" s="417" t="str">
        <f>_xlfn.XLOOKUP(E16,'All Products'!D:D,'All Products'!E:E,FALSE)</f>
        <v>1-1/2 BLIND FLANGE GASKET TYPE</v>
      </c>
      <c r="G16" s="233">
        <f>_xlfn.XLOOKUP(E16,'All Products'!D:D,'All Products'!F:F,FALSE)</f>
        <v>25</v>
      </c>
      <c r="H16" s="196">
        <f>_xlfn.XLOOKUP(E16,'All Products'!D:D,'All Products'!G:G,FALSE)</f>
        <v>3750</v>
      </c>
      <c r="I16" s="415">
        <f>_xlfn.XLOOKUP(E16,'All Products'!D:D,'All Products'!H:H,FALSE)</f>
        <v>127.04</v>
      </c>
      <c r="J16" s="130">
        <f>ROUND(I16*Order_Quote!$L$9,2)</f>
        <v>127.04</v>
      </c>
      <c r="K16" s="75"/>
      <c r="L16" s="113"/>
      <c r="M16" s="171">
        <f t="shared" si="0"/>
        <v>0</v>
      </c>
      <c r="N16" s="225"/>
      <c r="O16" s="265" t="str">
        <f>_xlfn.XLOOKUP(E16,'All Products'!D:D,'All Products'!I:I,FALSE)</f>
        <v>In Stock</v>
      </c>
      <c r="P16" s="265" t="str">
        <f>_xlfn.XLOOKUP(E16,'All Products'!D:D,'All Products'!J:J,FALSE)</f>
        <v>Manufactured</v>
      </c>
      <c r="Q16" s="266">
        <f>_xlfn.XLOOKUP(E16,'All Products'!D:D,'All Products'!K:K,FALSE)</f>
        <v>49081164447</v>
      </c>
      <c r="R16" s="266" t="str">
        <f>_xlfn.XLOOKUP(E16,'All Products'!D:D,'All Products'!L:L,FALSE)</f>
        <v>-</v>
      </c>
      <c r="S16" s="266">
        <f>_xlfn.XLOOKUP(E16,'All Products'!D:D,'All Products'!M:M,FALSE)</f>
        <v>40049081164445</v>
      </c>
      <c r="T16" s="265">
        <f>_xlfn.XLOOKUP(E16,'All Products'!D:D,'All Products'!N:N,FALSE)</f>
        <v>0.51500000000000001</v>
      </c>
      <c r="U16" s="265" t="str">
        <f>_xlfn.XLOOKUP(F16,'All Products'!E:E,'All Products'!O:O,FALSE)</f>
        <v>-</v>
      </c>
      <c r="V16" s="265">
        <f>_xlfn.XLOOKUP(E16,'All Products'!D:D,'All Products'!P:P,FALSE)</f>
        <v>13.97</v>
      </c>
      <c r="W16" s="265">
        <f>_xlfn.XLOOKUP(E16,'All Products'!D:D,'All Products'!Q:Q,FALSE)</f>
        <v>0.5</v>
      </c>
    </row>
    <row r="17" spans="1:23" ht="14.4">
      <c r="A17" s="101" t="str">
        <f>IF(K17&gt;0,COUNT($A$7:A16)
+COUNT('DWV PVC'!$A$9:$A$316)
+COUNT('DWV ABS'!$A$8:$A$116)
+COUNT('PVC SCH40'!$A$8:$A$424)
+COUNT('PVC SCH40 LD'!$A$8:$A$21)
+COUNT('Pool &amp; SPA Sweep Elbows'!$A$8:$A$11)
+COUNT('Pool &amp; SPA Pipe Extender'!$A$8:$A$10)
+COUNT('PVC SCH80'!$A$8:$A$249)+1,"")</f>
        <v/>
      </c>
      <c r="B17" s="610"/>
      <c r="C17" s="611"/>
      <c r="D17" s="416" t="str">
        <f>_xlfn.XLOOKUP(E17,'All Products'!D:D,'All Products'!C:C,FALSE)</f>
        <v>853-020</v>
      </c>
      <c r="E17" s="103">
        <v>100023467</v>
      </c>
      <c r="F17" s="417" t="str">
        <f>_xlfn.XLOOKUP(E17,'All Products'!D:D,'All Products'!E:E,FALSE)</f>
        <v>2 BLIND FLANGE GASKET TYPE</v>
      </c>
      <c r="G17" s="233">
        <f>_xlfn.XLOOKUP(E17,'All Products'!D:D,'All Products'!F:F,FALSE)</f>
        <v>25</v>
      </c>
      <c r="H17" s="196">
        <f>_xlfn.XLOOKUP(E17,'All Products'!D:D,'All Products'!G:G,FALSE)</f>
        <v>3000</v>
      </c>
      <c r="I17" s="415">
        <f>_xlfn.XLOOKUP(E17,'All Products'!D:D,'All Products'!H:H,FALSE)</f>
        <v>189.8</v>
      </c>
      <c r="J17" s="130">
        <f>ROUND(I17*Order_Quote!$L$9,2)</f>
        <v>189.8</v>
      </c>
      <c r="K17" s="75"/>
      <c r="L17" s="113"/>
      <c r="M17" s="171">
        <f t="shared" si="0"/>
        <v>0</v>
      </c>
      <c r="N17" s="225"/>
      <c r="O17" s="265" t="str">
        <f>_xlfn.XLOOKUP(E17,'All Products'!D:D,'All Products'!I:I,FALSE)</f>
        <v>Within 3 Weeks</v>
      </c>
      <c r="P17" s="265" t="str">
        <f>_xlfn.XLOOKUP(E17,'All Products'!D:D,'All Products'!J:J,FALSE)</f>
        <v>Manufactured</v>
      </c>
      <c r="Q17" s="266">
        <f>_xlfn.XLOOKUP(E17,'All Products'!D:D,'All Products'!K:K,FALSE)</f>
        <v>49081164461</v>
      </c>
      <c r="R17" s="266" t="str">
        <f>_xlfn.XLOOKUP(E17,'All Products'!D:D,'All Products'!L:L,FALSE)</f>
        <v>-</v>
      </c>
      <c r="S17" s="266">
        <f>_xlfn.XLOOKUP(E17,'All Products'!D:D,'All Products'!M:M,FALSE)</f>
        <v>40049081164469</v>
      </c>
      <c r="T17" s="265">
        <f>_xlfn.XLOOKUP(E17,'All Products'!D:D,'All Products'!N:N,FALSE)</f>
        <v>0.78</v>
      </c>
      <c r="U17" s="265" t="str">
        <f>_xlfn.XLOOKUP(F17,'All Products'!E:E,'All Products'!O:O,FALSE)</f>
        <v>-</v>
      </c>
      <c r="V17" s="265">
        <f>_xlfn.XLOOKUP(E17,'All Products'!D:D,'All Products'!P:P,FALSE)</f>
        <v>20.52</v>
      </c>
      <c r="W17" s="265">
        <f>_xlfn.XLOOKUP(E17,'All Products'!D:D,'All Products'!Q:Q,FALSE)</f>
        <v>0.65</v>
      </c>
    </row>
    <row r="18" spans="1:23" ht="14.4">
      <c r="A18" s="101" t="str">
        <f>IF(K18&gt;0,COUNT($A$7:A17)
+COUNT('DWV PVC'!$A$9:$A$316)
+COUNT('DWV ABS'!$A$8:$A$116)
+COUNT('PVC SCH40'!$A$8:$A$424)
+COUNT('PVC SCH40 LD'!$A$8:$A$21)
+COUNT('Pool &amp; SPA Sweep Elbows'!$A$8:$A$11)
+COUNT('Pool &amp; SPA Pipe Extender'!$A$8:$A$10)
+COUNT('PVC SCH80'!$A$8:$A$249)+1,"")</f>
        <v/>
      </c>
      <c r="B18" s="610"/>
      <c r="C18" s="611"/>
      <c r="D18" s="416" t="str">
        <f>_xlfn.XLOOKUP(E18,'All Products'!D:D,'All Products'!C:C,FALSE)</f>
        <v>853-020-1</v>
      </c>
      <c r="E18" s="103">
        <v>100028020</v>
      </c>
      <c r="F18" s="417" t="str">
        <f>_xlfn.XLOOKUP(E18,'All Products'!D:D,'All Products'!E:E,FALSE)</f>
        <v>2 BLIND FLANGE O-RING TYPE</v>
      </c>
      <c r="G18" s="233">
        <f>_xlfn.XLOOKUP(E18,'All Products'!D:D,'All Products'!F:F,FALSE)</f>
        <v>25</v>
      </c>
      <c r="H18" s="196">
        <f>_xlfn.XLOOKUP(E18,'All Products'!D:D,'All Products'!G:G,FALSE)</f>
        <v>3000</v>
      </c>
      <c r="I18" s="415">
        <f>_xlfn.XLOOKUP(E18,'All Products'!D:D,'All Products'!H:H,FALSE)</f>
        <v>189.8</v>
      </c>
      <c r="J18" s="130">
        <f>ROUND(I18*Order_Quote!$L$9,2)</f>
        <v>189.8</v>
      </c>
      <c r="K18" s="75"/>
      <c r="L18" s="113"/>
      <c r="M18" s="171">
        <f t="shared" si="0"/>
        <v>0</v>
      </c>
      <c r="N18" s="225"/>
      <c r="O18" s="265" t="str">
        <f>_xlfn.XLOOKUP(E18,'All Products'!D:D,'All Products'!I:I,FALSE)</f>
        <v>Within 6 Weeks</v>
      </c>
      <c r="P18" s="265" t="str">
        <f>_xlfn.XLOOKUP(E18,'All Products'!D:D,'All Products'!J:J,FALSE)</f>
        <v>Sourced</v>
      </c>
      <c r="Q18" s="266">
        <f>_xlfn.XLOOKUP(E18,'All Products'!D:D,'All Products'!K:K,FALSE)</f>
        <v>49081164379</v>
      </c>
      <c r="R18" s="266" t="str">
        <f>_xlfn.XLOOKUP(E18,'All Products'!D:D,'All Products'!L:L,FALSE)</f>
        <v>-</v>
      </c>
      <c r="S18" s="266">
        <f>_xlfn.XLOOKUP(E18,'All Products'!D:D,'All Products'!M:M,FALSE)</f>
        <v>40049081164377</v>
      </c>
      <c r="T18" s="265">
        <f>_xlfn.XLOOKUP(E18,'All Products'!D:D,'All Products'!N:N,FALSE)</f>
        <v>0.82899999999999996</v>
      </c>
      <c r="U18" s="265" t="str">
        <f>_xlfn.XLOOKUP(F18,'All Products'!E:E,'All Products'!O:O,FALSE)</f>
        <v>-</v>
      </c>
      <c r="V18" s="265">
        <f>_xlfn.XLOOKUP(E18,'All Products'!D:D,'All Products'!P:P,FALSE)</f>
        <v>20.3</v>
      </c>
      <c r="W18" s="265">
        <f>_xlfn.XLOOKUP(E18,'All Products'!D:D,'All Products'!Q:Q,FALSE)</f>
        <v>0.65</v>
      </c>
    </row>
    <row r="19" spans="1:23" ht="14.4">
      <c r="A19" s="101" t="str">
        <f>IF(K19&gt;0,COUNT($A$7:A18)
+COUNT('DWV PVC'!$A$9:$A$316)
+COUNT('DWV ABS'!$A$8:$A$116)
+COUNT('PVC SCH40'!$A$8:$A$424)
+COUNT('PVC SCH40 LD'!$A$8:$A$21)
+COUNT('Pool &amp; SPA Sweep Elbows'!$A$8:$A$11)
+COUNT('Pool &amp; SPA Pipe Extender'!$A$8:$A$10)
+COUNT('PVC SCH80'!$A$8:$A$249)+1,"")</f>
        <v/>
      </c>
      <c r="B19" s="610"/>
      <c r="C19" s="611"/>
      <c r="D19" s="416" t="str">
        <f>_xlfn.XLOOKUP(E19,'All Products'!D:D,'All Products'!C:C,FALSE)</f>
        <v>853-025</v>
      </c>
      <c r="E19" s="103">
        <v>100028021</v>
      </c>
      <c r="F19" s="417" t="str">
        <f>_xlfn.XLOOKUP(E19,'All Products'!D:D,'All Products'!E:E,FALSE)</f>
        <v>2-1/2 BLIND FLANGE GASKET TYPE</v>
      </c>
      <c r="G19" s="233">
        <f>_xlfn.XLOOKUP(E19,'All Products'!D:D,'All Products'!F:F,FALSE)</f>
        <v>15</v>
      </c>
      <c r="H19" s="196">
        <f>_xlfn.XLOOKUP(E19,'All Products'!D:D,'All Products'!G:G,FALSE)</f>
        <v>1800</v>
      </c>
      <c r="I19" s="415">
        <f>_xlfn.XLOOKUP(E19,'All Products'!D:D,'All Products'!H:H,FALSE)</f>
        <v>309.20999999999998</v>
      </c>
      <c r="J19" s="130">
        <f>ROUND(I19*Order_Quote!$L$9,2)</f>
        <v>309.20999999999998</v>
      </c>
      <c r="K19" s="75"/>
      <c r="L19" s="113"/>
      <c r="M19" s="171">
        <f t="shared" si="0"/>
        <v>0</v>
      </c>
      <c r="N19" s="225"/>
      <c r="O19" s="265" t="str">
        <f>_xlfn.XLOOKUP(E19,'All Products'!D:D,'All Products'!I:I,FALSE)</f>
        <v>In Stock</v>
      </c>
      <c r="P19" s="265" t="str">
        <f>_xlfn.XLOOKUP(E19,'All Products'!D:D,'All Products'!J:J,FALSE)</f>
        <v>Manufactured</v>
      </c>
      <c r="Q19" s="266">
        <f>_xlfn.XLOOKUP(E19,'All Products'!D:D,'All Products'!K:K,FALSE)</f>
        <v>49081164485</v>
      </c>
      <c r="R19" s="266" t="str">
        <f>_xlfn.XLOOKUP(E19,'All Products'!D:D,'All Products'!L:L,FALSE)</f>
        <v>-</v>
      </c>
      <c r="S19" s="266">
        <f>_xlfn.XLOOKUP(E19,'All Products'!D:D,'All Products'!M:M,FALSE)</f>
        <v>40049081164483</v>
      </c>
      <c r="T19" s="265">
        <f>_xlfn.XLOOKUP(E19,'All Products'!D:D,'All Products'!N:N,FALSE)</f>
        <v>1.2350000000000001</v>
      </c>
      <c r="U19" s="265" t="str">
        <f>_xlfn.XLOOKUP(F19,'All Products'!E:E,'All Products'!O:O,FALSE)</f>
        <v>-</v>
      </c>
      <c r="V19" s="265">
        <f>_xlfn.XLOOKUP(E19,'All Products'!D:D,'All Products'!P:P,FALSE)</f>
        <v>18.48</v>
      </c>
      <c r="W19" s="265">
        <f>_xlfn.XLOOKUP(E19,'All Products'!D:D,'All Products'!Q:Q,FALSE)</f>
        <v>0.65</v>
      </c>
    </row>
    <row r="20" spans="1:23" ht="14.4">
      <c r="A20" s="101" t="str">
        <f>IF(K20&gt;0,COUNT($A$7:A19)
+COUNT('DWV PVC'!$A$9:$A$316)
+COUNT('DWV ABS'!$A$8:$A$116)
+COUNT('PVC SCH40'!$A$8:$A$424)
+COUNT('PVC SCH40 LD'!$A$8:$A$21)
+COUNT('Pool &amp; SPA Sweep Elbows'!$A$8:$A$11)
+COUNT('Pool &amp; SPA Pipe Extender'!$A$8:$A$10)
+COUNT('PVC SCH80'!$A$8:$A$249)+1,"")</f>
        <v/>
      </c>
      <c r="B20" s="610"/>
      <c r="C20" s="611"/>
      <c r="D20" s="416" t="str">
        <f>_xlfn.XLOOKUP(E20,'All Products'!D:D,'All Products'!C:C,FALSE)</f>
        <v>853-025-1</v>
      </c>
      <c r="E20" s="103">
        <v>100028022</v>
      </c>
      <c r="F20" s="417" t="str">
        <f>_xlfn.XLOOKUP(E20,'All Products'!D:D,'All Products'!E:E,FALSE)</f>
        <v>2-1/2 BLIND FLANGE O-RING TYPE</v>
      </c>
      <c r="G20" s="233">
        <f>_xlfn.XLOOKUP(E20,'All Products'!D:D,'All Products'!F:F,FALSE)</f>
        <v>15</v>
      </c>
      <c r="H20" s="196">
        <f>_xlfn.XLOOKUP(E20,'All Products'!D:D,'All Products'!G:G,FALSE)</f>
        <v>1800</v>
      </c>
      <c r="I20" s="415">
        <f>_xlfn.XLOOKUP(E20,'All Products'!D:D,'All Products'!H:H,FALSE)</f>
        <v>309.20999999999998</v>
      </c>
      <c r="J20" s="130">
        <f>ROUND(I20*Order_Quote!$L$9,2)</f>
        <v>309.20999999999998</v>
      </c>
      <c r="K20" s="75"/>
      <c r="L20" s="113"/>
      <c r="M20" s="171">
        <f t="shared" si="0"/>
        <v>0</v>
      </c>
      <c r="N20" s="225"/>
      <c r="O20" s="265" t="str">
        <f>_xlfn.XLOOKUP(E20,'All Products'!D:D,'All Products'!I:I,FALSE)</f>
        <v>Within 6 Weeks</v>
      </c>
      <c r="P20" s="265" t="str">
        <f>_xlfn.XLOOKUP(E20,'All Products'!D:D,'All Products'!J:J,FALSE)</f>
        <v>Sourced</v>
      </c>
      <c r="Q20" s="266">
        <f>_xlfn.XLOOKUP(E20,'All Products'!D:D,'All Products'!K:K,FALSE)</f>
        <v>49081164393</v>
      </c>
      <c r="R20" s="266" t="str">
        <f>_xlfn.XLOOKUP(E20,'All Products'!D:D,'All Products'!L:L,FALSE)</f>
        <v>-</v>
      </c>
      <c r="S20" s="266">
        <f>_xlfn.XLOOKUP(E20,'All Products'!D:D,'All Products'!M:M,FALSE)</f>
        <v>40049081164391</v>
      </c>
      <c r="T20" s="265">
        <f>_xlfn.XLOOKUP(E20,'All Products'!D:D,'All Products'!N:N,FALSE)</f>
        <v>1.254</v>
      </c>
      <c r="U20" s="265" t="str">
        <f>_xlfn.XLOOKUP(F20,'All Products'!E:E,'All Products'!O:O,FALSE)</f>
        <v>-</v>
      </c>
      <c r="V20" s="265">
        <f>_xlfn.XLOOKUP(E20,'All Products'!D:D,'All Products'!P:P,FALSE)</f>
        <v>18.63</v>
      </c>
      <c r="W20" s="265">
        <f>_xlfn.XLOOKUP(E20,'All Products'!D:D,'All Products'!Q:Q,FALSE)</f>
        <v>0.65</v>
      </c>
    </row>
    <row r="21" spans="1:23" ht="14.4">
      <c r="A21" s="101" t="str">
        <f>IF(K21&gt;0,COUNT($A$7:A20)
+COUNT('DWV PVC'!$A$9:$A$316)
+COUNT('DWV ABS'!$A$8:$A$116)
+COUNT('PVC SCH40'!$A$8:$A$424)
+COUNT('PVC SCH40 LD'!$A$8:$A$21)
+COUNT('Pool &amp; SPA Sweep Elbows'!$A$8:$A$11)
+COUNT('Pool &amp; SPA Pipe Extender'!$A$8:$A$10)
+COUNT('PVC SCH80'!$A$8:$A$249)+1,"")</f>
        <v/>
      </c>
      <c r="B21" s="610"/>
      <c r="C21" s="611"/>
      <c r="D21" s="416" t="str">
        <f>_xlfn.XLOOKUP(E21,'All Products'!D:D,'All Products'!C:C,FALSE)</f>
        <v>853-030</v>
      </c>
      <c r="E21" s="103">
        <v>100023468</v>
      </c>
      <c r="F21" s="417" t="str">
        <f>_xlfn.XLOOKUP(E21,'All Products'!D:D,'All Products'!E:E,FALSE)</f>
        <v>3 BLIND FLANGE GASKET TYPE</v>
      </c>
      <c r="G21" s="233">
        <f>_xlfn.XLOOKUP(E21,'All Products'!D:D,'All Products'!F:F,FALSE)</f>
        <v>13</v>
      </c>
      <c r="H21" s="196">
        <f>_xlfn.XLOOKUP(E21,'All Products'!D:D,'All Products'!G:G,FALSE)</f>
        <v>1560</v>
      </c>
      <c r="I21" s="415">
        <f>_xlfn.XLOOKUP(E21,'All Products'!D:D,'All Products'!H:H,FALSE)</f>
        <v>373.11</v>
      </c>
      <c r="J21" s="130">
        <f>ROUND(I21*Order_Quote!$L$9,2)</f>
        <v>373.11</v>
      </c>
      <c r="K21" s="75"/>
      <c r="L21" s="113"/>
      <c r="M21" s="171">
        <f t="shared" si="0"/>
        <v>0</v>
      </c>
      <c r="N21" s="225"/>
      <c r="O21" s="265" t="str">
        <f>_xlfn.XLOOKUP(E21,'All Products'!D:D,'All Products'!I:I,FALSE)</f>
        <v>In Stock</v>
      </c>
      <c r="P21" s="265" t="str">
        <f>_xlfn.XLOOKUP(E21,'All Products'!D:D,'All Products'!J:J,FALSE)</f>
        <v>Manufactured</v>
      </c>
      <c r="Q21" s="266">
        <f>_xlfn.XLOOKUP(E21,'All Products'!D:D,'All Products'!K:K,FALSE)</f>
        <v>49081164508</v>
      </c>
      <c r="R21" s="266" t="str">
        <f>_xlfn.XLOOKUP(E21,'All Products'!D:D,'All Products'!L:L,FALSE)</f>
        <v>-</v>
      </c>
      <c r="S21" s="266">
        <f>_xlfn.XLOOKUP(E21,'All Products'!D:D,'All Products'!M:M,FALSE)</f>
        <v>40049081164506</v>
      </c>
      <c r="T21" s="265">
        <f>_xlfn.XLOOKUP(E21,'All Products'!D:D,'All Products'!N:N,FALSE)</f>
        <v>1.575</v>
      </c>
      <c r="U21" s="265" t="str">
        <f>_xlfn.XLOOKUP(F21,'All Products'!E:E,'All Products'!O:O,FALSE)</f>
        <v>-</v>
      </c>
      <c r="V21" s="265">
        <f>_xlfn.XLOOKUP(E21,'All Products'!D:D,'All Products'!P:P,FALSE)</f>
        <v>21.66</v>
      </c>
      <c r="W21" s="265">
        <f>_xlfn.XLOOKUP(E21,'All Products'!D:D,'All Products'!Q:Q,FALSE)</f>
        <v>0.65</v>
      </c>
    </row>
    <row r="22" spans="1:23" ht="14.4">
      <c r="A22" s="101" t="str">
        <f>IF(K22&gt;0,COUNT($A$7:A21)
+COUNT('DWV PVC'!$A$9:$A$316)
+COUNT('DWV ABS'!$A$8:$A$116)
+COUNT('PVC SCH40'!$A$8:$A$424)
+COUNT('PVC SCH40 LD'!$A$8:$A$21)
+COUNT('Pool &amp; SPA Sweep Elbows'!$A$8:$A$11)
+COUNT('Pool &amp; SPA Pipe Extender'!$A$8:$A$10)
+COUNT('PVC SCH80'!$A$8:$A$249)+1,"")</f>
        <v/>
      </c>
      <c r="B22" s="610"/>
      <c r="C22" s="611"/>
      <c r="D22" s="416" t="str">
        <f>_xlfn.XLOOKUP(E22,'All Products'!D:D,'All Products'!C:C,FALSE)</f>
        <v>853-030-1</v>
      </c>
      <c r="E22" s="103">
        <v>100028023</v>
      </c>
      <c r="F22" s="417" t="str">
        <f>_xlfn.XLOOKUP(E22,'All Products'!D:D,'All Products'!E:E,FALSE)</f>
        <v>3 BLIND FLANGE O-RING TYPE</v>
      </c>
      <c r="G22" s="233">
        <f>_xlfn.XLOOKUP(E22,'All Products'!D:D,'All Products'!F:F,FALSE)</f>
        <v>13</v>
      </c>
      <c r="H22" s="196">
        <f>_xlfn.XLOOKUP(E22,'All Products'!D:D,'All Products'!G:G,FALSE)</f>
        <v>1560</v>
      </c>
      <c r="I22" s="415">
        <f>_xlfn.XLOOKUP(E22,'All Products'!D:D,'All Products'!H:H,FALSE)</f>
        <v>373.11</v>
      </c>
      <c r="J22" s="130">
        <f>ROUND(I22*Order_Quote!$L$9,2)</f>
        <v>373.11</v>
      </c>
      <c r="K22" s="75"/>
      <c r="L22" s="113"/>
      <c r="M22" s="171">
        <f t="shared" si="0"/>
        <v>0</v>
      </c>
      <c r="N22" s="225"/>
      <c r="O22" s="265" t="str">
        <f>_xlfn.XLOOKUP(E22,'All Products'!D:D,'All Products'!I:I,FALSE)</f>
        <v>Within 6 Weeks</v>
      </c>
      <c r="P22" s="265" t="str">
        <f>_xlfn.XLOOKUP(E22,'All Products'!D:D,'All Products'!J:J,FALSE)</f>
        <v>Sourced</v>
      </c>
      <c r="Q22" s="266">
        <f>_xlfn.XLOOKUP(E22,'All Products'!D:D,'All Products'!K:K,FALSE)</f>
        <v>49081164416</v>
      </c>
      <c r="R22" s="266" t="str">
        <f>_xlfn.XLOOKUP(E22,'All Products'!D:D,'All Products'!L:L,FALSE)</f>
        <v>-</v>
      </c>
      <c r="S22" s="266">
        <f>_xlfn.XLOOKUP(E22,'All Products'!D:D,'All Products'!M:M,FALSE)</f>
        <v>40049081164414</v>
      </c>
      <c r="T22" s="265">
        <f>_xlfn.XLOOKUP(E22,'All Products'!D:D,'All Products'!N:N,FALSE)</f>
        <v>1.623</v>
      </c>
      <c r="U22" s="265" t="str">
        <f>_xlfn.XLOOKUP(F22,'All Products'!E:E,'All Products'!O:O,FALSE)</f>
        <v>-</v>
      </c>
      <c r="V22" s="265">
        <f>_xlfn.XLOOKUP(E22,'All Products'!D:D,'All Products'!P:P,FALSE)</f>
        <v>21.1</v>
      </c>
      <c r="W22" s="265">
        <f>_xlfn.XLOOKUP(E22,'All Products'!D:D,'All Products'!Q:Q,FALSE)</f>
        <v>0.65</v>
      </c>
    </row>
    <row r="23" spans="1:23" ht="14.4">
      <c r="A23" s="101" t="str">
        <f>IF(K23&gt;0,COUNT($A$7:A22)
+COUNT('DWV PVC'!$A$9:$A$316)
+COUNT('DWV ABS'!$A$8:$A$116)
+COUNT('PVC SCH40'!$A$8:$A$424)
+COUNT('PVC SCH40 LD'!$A$8:$A$21)
+COUNT('Pool &amp; SPA Sweep Elbows'!$A$8:$A$11)
+COUNT('Pool &amp; SPA Pipe Extender'!$A$8:$A$10)
+COUNT('PVC SCH80'!$A$8:$A$249)+1,"")</f>
        <v/>
      </c>
      <c r="B23" s="610"/>
      <c r="C23" s="611"/>
      <c r="D23" s="416" t="str">
        <f>_xlfn.XLOOKUP(E23,'All Products'!D:D,'All Products'!C:C,FALSE)</f>
        <v>853-040</v>
      </c>
      <c r="E23" s="103">
        <v>100023453</v>
      </c>
      <c r="F23" s="417" t="str">
        <f>_xlfn.XLOOKUP(E23,'All Products'!D:D,'All Products'!E:E,FALSE)</f>
        <v>4 BLIND FLANGE GASKET TYPE</v>
      </c>
      <c r="G23" s="233">
        <f>_xlfn.XLOOKUP(E23,'All Products'!D:D,'All Products'!F:F,FALSE)</f>
        <v>6</v>
      </c>
      <c r="H23" s="196">
        <f>_xlfn.XLOOKUP(E23,'All Products'!D:D,'All Products'!G:G,FALSE)</f>
        <v>540</v>
      </c>
      <c r="I23" s="415">
        <f>_xlfn.XLOOKUP(E23,'All Products'!D:D,'All Products'!H:H,FALSE)</f>
        <v>464.82</v>
      </c>
      <c r="J23" s="130">
        <f>ROUND(I23*Order_Quote!$L$9,2)</f>
        <v>464.82</v>
      </c>
      <c r="K23" s="75"/>
      <c r="L23" s="113"/>
      <c r="M23" s="171">
        <f t="shared" si="0"/>
        <v>0</v>
      </c>
      <c r="N23" s="225"/>
      <c r="O23" s="265" t="str">
        <f>_xlfn.XLOOKUP(E23,'All Products'!D:D,'All Products'!I:I,FALSE)</f>
        <v>In Stock</v>
      </c>
      <c r="P23" s="265" t="str">
        <f>_xlfn.XLOOKUP(E23,'All Products'!D:D,'All Products'!J:J,FALSE)</f>
        <v>Manufactured</v>
      </c>
      <c r="Q23" s="266">
        <f>_xlfn.XLOOKUP(E23,'All Products'!D:D,'All Products'!K:K,FALSE)</f>
        <v>49081164522</v>
      </c>
      <c r="R23" s="266" t="str">
        <f>_xlfn.XLOOKUP(E23,'All Products'!D:D,'All Products'!L:L,FALSE)</f>
        <v>-</v>
      </c>
      <c r="S23" s="266">
        <f>_xlfn.XLOOKUP(E23,'All Products'!D:D,'All Products'!M:M,FALSE)</f>
        <v>40049081164520</v>
      </c>
      <c r="T23" s="265">
        <f>_xlfn.XLOOKUP(E23,'All Products'!D:D,'All Products'!N:N,FALSE)</f>
        <v>2.42</v>
      </c>
      <c r="U23" s="265" t="str">
        <f>_xlfn.XLOOKUP(F23,'All Products'!E:E,'All Products'!O:O,FALSE)</f>
        <v>-</v>
      </c>
      <c r="V23" s="265">
        <f>_xlfn.XLOOKUP(E23,'All Products'!D:D,'All Products'!P:P,FALSE)</f>
        <v>16</v>
      </c>
      <c r="W23" s="265">
        <f>_xlfn.XLOOKUP(E23,'All Products'!D:D,'All Products'!Q:Q,FALSE)</f>
        <v>0.8</v>
      </c>
    </row>
    <row r="24" spans="1:23" ht="14.4">
      <c r="A24" s="101" t="str">
        <f>IF(K24&gt;0,COUNT($A$7:A23)
+COUNT('DWV PVC'!$A$9:$A$316)
+COUNT('DWV ABS'!$A$8:$A$116)
+COUNT('PVC SCH40'!$A$8:$A$424)
+COUNT('PVC SCH40 LD'!$A$8:$A$21)
+COUNT('Pool &amp; SPA Sweep Elbows'!$A$8:$A$11)
+COUNT('Pool &amp; SPA Pipe Extender'!$A$8:$A$10)
+COUNT('PVC SCH80'!$A$8:$A$249)+1,"")</f>
        <v/>
      </c>
      <c r="B24" s="610"/>
      <c r="C24" s="611"/>
      <c r="D24" s="416" t="str">
        <f>_xlfn.XLOOKUP(E24,'All Products'!D:D,'All Products'!C:C,FALSE)</f>
        <v>853-040-1</v>
      </c>
      <c r="E24" s="103">
        <v>100023454</v>
      </c>
      <c r="F24" s="417" t="str">
        <f>_xlfn.XLOOKUP(E24,'All Products'!D:D,'All Products'!E:E,FALSE)</f>
        <v>4 BLIND FLANGE O-RING TYPE</v>
      </c>
      <c r="G24" s="233">
        <f>_xlfn.XLOOKUP(E24,'All Products'!D:D,'All Products'!F:F,FALSE)</f>
        <v>6</v>
      </c>
      <c r="H24" s="196">
        <f>_xlfn.XLOOKUP(E24,'All Products'!D:D,'All Products'!G:G,FALSE)</f>
        <v>540</v>
      </c>
      <c r="I24" s="415">
        <f>_xlfn.XLOOKUP(E24,'All Products'!D:D,'All Products'!H:H,FALSE)</f>
        <v>464.82</v>
      </c>
      <c r="J24" s="130">
        <f>ROUND(I24*Order_Quote!$L$9,2)</f>
        <v>464.82</v>
      </c>
      <c r="K24" s="75"/>
      <c r="L24" s="113"/>
      <c r="M24" s="171">
        <f t="shared" si="0"/>
        <v>0</v>
      </c>
      <c r="N24" s="225"/>
      <c r="O24" s="265" t="str">
        <f>_xlfn.XLOOKUP(E24,'All Products'!D:D,'All Products'!I:I,FALSE)</f>
        <v>Within 3 Weeks</v>
      </c>
      <c r="P24" s="265" t="str">
        <f>_xlfn.XLOOKUP(E24,'All Products'!D:D,'All Products'!J:J,FALSE)</f>
        <v>Manufactured</v>
      </c>
      <c r="Q24" s="266">
        <f>_xlfn.XLOOKUP(E24,'All Products'!D:D,'All Products'!K:K,FALSE)</f>
        <v>49081164430</v>
      </c>
      <c r="R24" s="266" t="str">
        <f>_xlfn.XLOOKUP(E24,'All Products'!D:D,'All Products'!L:L,FALSE)</f>
        <v>-</v>
      </c>
      <c r="S24" s="266">
        <f>_xlfn.XLOOKUP(E24,'All Products'!D:D,'All Products'!M:M,FALSE)</f>
        <v>40049081164438</v>
      </c>
      <c r="T24" s="265">
        <f>_xlfn.XLOOKUP(E24,'All Products'!D:D,'All Products'!N:N,FALSE)</f>
        <v>2.56</v>
      </c>
      <c r="U24" s="265" t="str">
        <f>_xlfn.XLOOKUP(F24,'All Products'!E:E,'All Products'!O:O,FALSE)</f>
        <v>-</v>
      </c>
      <c r="V24" s="265">
        <f>_xlfn.XLOOKUP(E24,'All Products'!D:D,'All Products'!P:P,FALSE)</f>
        <v>15.54</v>
      </c>
      <c r="W24" s="265">
        <f>_xlfn.XLOOKUP(E24,'All Products'!D:D,'All Products'!Q:Q,FALSE)</f>
        <v>0.8</v>
      </c>
    </row>
    <row r="25" spans="1:23" ht="14.4">
      <c r="A25" s="101" t="str">
        <f>IF(K25&gt;0,COUNT($A$7:A24)
+COUNT('DWV PVC'!$A$9:$A$316)
+COUNT('DWV ABS'!$A$8:$A$116)
+COUNT('PVC SCH40'!$A$8:$A$424)
+COUNT('PVC SCH40 LD'!$A$8:$A$21)
+COUNT('Pool &amp; SPA Sweep Elbows'!$A$8:$A$11)
+COUNT('Pool &amp; SPA Pipe Extender'!$A$8:$A$10)
+COUNT('PVC SCH80'!$A$8:$A$249)+1,"")</f>
        <v/>
      </c>
      <c r="B25" s="610"/>
      <c r="C25" s="611"/>
      <c r="D25" s="416" t="str">
        <f>_xlfn.XLOOKUP(E25,'All Products'!D:D,'All Products'!C:C,FALSE)</f>
        <v>853-060</v>
      </c>
      <c r="E25" s="103">
        <v>100023469</v>
      </c>
      <c r="F25" s="417" t="str">
        <f>_xlfn.XLOOKUP(E25,'All Products'!D:D,'All Products'!E:E,FALSE)</f>
        <v>6 BLIND FLANGE GASKET TYPE</v>
      </c>
      <c r="G25" s="233">
        <f>_xlfn.XLOOKUP(E25,'All Products'!D:D,'All Products'!F:F,FALSE)</f>
        <v>5</v>
      </c>
      <c r="H25" s="196">
        <f>_xlfn.XLOOKUP(E25,'All Products'!D:D,'All Products'!G:G,FALSE)</f>
        <v>375</v>
      </c>
      <c r="I25" s="415">
        <f>_xlfn.XLOOKUP(E25,'All Products'!D:D,'All Products'!H:H,FALSE)</f>
        <v>564.86</v>
      </c>
      <c r="J25" s="130">
        <f>ROUND(I25*Order_Quote!$L$9,2)</f>
        <v>564.86</v>
      </c>
      <c r="K25" s="75"/>
      <c r="L25" s="113"/>
      <c r="M25" s="171">
        <f t="shared" si="0"/>
        <v>0</v>
      </c>
      <c r="N25" s="225"/>
      <c r="O25" s="265" t="str">
        <f>_xlfn.XLOOKUP(E25,'All Products'!D:D,'All Products'!I:I,FALSE)</f>
        <v>Within 3 Weeks</v>
      </c>
      <c r="P25" s="265" t="str">
        <f>_xlfn.XLOOKUP(E25,'All Products'!D:D,'All Products'!J:J,FALSE)</f>
        <v>Manufactured</v>
      </c>
      <c r="Q25" s="266">
        <f>_xlfn.XLOOKUP(E25,'All Products'!D:D,'All Products'!K:K,FALSE)</f>
        <v>49081164546</v>
      </c>
      <c r="R25" s="266" t="str">
        <f>_xlfn.XLOOKUP(E25,'All Products'!D:D,'All Products'!L:L,FALSE)</f>
        <v>-</v>
      </c>
      <c r="S25" s="266">
        <f>_xlfn.XLOOKUP(E25,'All Products'!D:D,'All Products'!M:M,FALSE)</f>
        <v>40049081164544</v>
      </c>
      <c r="T25" s="265">
        <f>_xlfn.XLOOKUP(E25,'All Products'!D:D,'All Products'!N:N,FALSE)</f>
        <v>3.97</v>
      </c>
      <c r="U25" s="265" t="str">
        <f>_xlfn.XLOOKUP(F25,'All Products'!E:E,'All Products'!O:O,FALSE)</f>
        <v>-</v>
      </c>
      <c r="V25" s="265">
        <f>_xlfn.XLOOKUP(E25,'All Products'!D:D,'All Products'!P:P,FALSE)</f>
        <v>20.98</v>
      </c>
      <c r="W25" s="265">
        <f>_xlfn.XLOOKUP(E25,'All Products'!D:D,'All Products'!Q:Q,FALSE)</f>
        <v>0.95</v>
      </c>
    </row>
    <row r="26" spans="1:23" ht="14.4">
      <c r="A26" s="101" t="str">
        <f>IF(K26&gt;0,COUNT($A$7:A25)
+COUNT('DWV PVC'!$A$9:$A$316)
+COUNT('DWV ABS'!$A$8:$A$116)
+COUNT('PVC SCH40'!$A$8:$A$424)
+COUNT('PVC SCH40 LD'!$A$8:$A$21)
+COUNT('Pool &amp; SPA Sweep Elbows'!$A$8:$A$11)
+COUNT('Pool &amp; SPA Pipe Extender'!$A$8:$A$10)
+COUNT('PVC SCH80'!$A$8:$A$249)+1,"")</f>
        <v/>
      </c>
      <c r="B26" s="610"/>
      <c r="C26" s="611"/>
      <c r="D26" s="416" t="str">
        <f>_xlfn.XLOOKUP(E26,'All Products'!D:D,'All Products'!C:C,FALSE)</f>
        <v>853-060-1</v>
      </c>
      <c r="E26" s="103">
        <v>100028029</v>
      </c>
      <c r="F26" s="417" t="str">
        <f>_xlfn.XLOOKUP(E26,'All Products'!D:D,'All Products'!E:E,FALSE)</f>
        <v>6 BLIND FLANGE O-RING TYPE</v>
      </c>
      <c r="G26" s="233">
        <f>_xlfn.XLOOKUP(E26,'All Products'!D:D,'All Products'!F:F,FALSE)</f>
        <v>5</v>
      </c>
      <c r="H26" s="196">
        <f>_xlfn.XLOOKUP(E26,'All Products'!D:D,'All Products'!G:G,FALSE)</f>
        <v>375</v>
      </c>
      <c r="I26" s="415">
        <f>_xlfn.XLOOKUP(E26,'All Products'!D:D,'All Products'!H:H,FALSE)</f>
        <v>564.86</v>
      </c>
      <c r="J26" s="130">
        <f>ROUND(I26*Order_Quote!$L$9,2)</f>
        <v>564.86</v>
      </c>
      <c r="K26" s="75"/>
      <c r="L26" s="113"/>
      <c r="M26" s="171">
        <f t="shared" si="0"/>
        <v>0</v>
      </c>
      <c r="N26" s="225"/>
      <c r="O26" s="265" t="str">
        <f>_xlfn.XLOOKUP(E26,'All Products'!D:D,'All Products'!I:I,FALSE)</f>
        <v>Within 6 Weeks</v>
      </c>
      <c r="P26" s="265" t="str">
        <f>_xlfn.XLOOKUP(E26,'All Products'!D:D,'All Products'!J:J,FALSE)</f>
        <v>Sourced</v>
      </c>
      <c r="Q26" s="266">
        <f>_xlfn.XLOOKUP(E26,'All Products'!D:D,'All Products'!K:K,FALSE)</f>
        <v>49081164478</v>
      </c>
      <c r="R26" s="266" t="str">
        <f>_xlfn.XLOOKUP(E26,'All Products'!D:D,'All Products'!L:L,FALSE)</f>
        <v>-</v>
      </c>
      <c r="S26" s="266">
        <f>_xlfn.XLOOKUP(E26,'All Products'!D:D,'All Products'!M:M,FALSE)</f>
        <v>40049081164476</v>
      </c>
      <c r="T26" s="265">
        <f>_xlfn.XLOOKUP(E26,'All Products'!D:D,'All Products'!N:N,FALSE)</f>
        <v>4.33</v>
      </c>
      <c r="U26" s="265" t="str">
        <f>_xlfn.XLOOKUP(F26,'All Products'!E:E,'All Products'!O:O,FALSE)</f>
        <v>-</v>
      </c>
      <c r="V26" s="265">
        <f>_xlfn.XLOOKUP(E26,'All Products'!D:D,'All Products'!P:P,FALSE)</f>
        <v>20.6</v>
      </c>
      <c r="W26" s="265">
        <f>_xlfn.XLOOKUP(E26,'All Products'!D:D,'All Products'!Q:Q,FALSE)</f>
        <v>1.1000000000000001</v>
      </c>
    </row>
    <row r="27" spans="1:23" ht="14.4">
      <c r="A27" s="101" t="str">
        <f>IF(K27&gt;0,COUNT($A$7:A26)
+COUNT('DWV PVC'!$A$9:$A$316)
+COUNT('DWV ABS'!$A$8:$A$116)
+COUNT('PVC SCH40'!$A$8:$A$424)
+COUNT('PVC SCH40 LD'!$A$8:$A$21)
+COUNT('Pool &amp; SPA Sweep Elbows'!$A$8:$A$11)
+COUNT('Pool &amp; SPA Pipe Extender'!$A$8:$A$10)
+COUNT('PVC SCH80'!$A$8:$A$249)+1,"")</f>
        <v/>
      </c>
      <c r="B27" s="610"/>
      <c r="C27" s="611"/>
      <c r="D27" s="416" t="str">
        <f>_xlfn.XLOOKUP(E27,'All Products'!D:D,'All Products'!C:C,FALSE)</f>
        <v>853-080-1</v>
      </c>
      <c r="E27" s="103">
        <v>100028030</v>
      </c>
      <c r="F27" s="417" t="str">
        <f>_xlfn.XLOOKUP(E27,'All Products'!D:D,'All Products'!E:E,FALSE)</f>
        <v>8 BLIND FLANGE O-RING TYPE</v>
      </c>
      <c r="G27" s="233">
        <f>_xlfn.XLOOKUP(E27,'All Products'!D:D,'All Products'!F:F,FALSE)</f>
        <v>3</v>
      </c>
      <c r="H27" s="196">
        <f>_xlfn.XLOOKUP(E27,'All Products'!D:D,'All Products'!G:G,FALSE)</f>
        <v>225</v>
      </c>
      <c r="I27" s="415">
        <f>_xlfn.XLOOKUP(E27,'All Products'!D:D,'All Products'!H:H,FALSE)</f>
        <v>707.01</v>
      </c>
      <c r="J27" s="130">
        <f>ROUND(I27*Order_Quote!$L$9,2)</f>
        <v>707.01</v>
      </c>
      <c r="K27" s="75"/>
      <c r="L27" s="113"/>
      <c r="M27" s="171">
        <f t="shared" si="0"/>
        <v>0</v>
      </c>
      <c r="N27" s="225"/>
      <c r="O27" s="265" t="str">
        <f>_xlfn.XLOOKUP(E27,'All Products'!D:D,'All Products'!I:I,FALSE)</f>
        <v>Within 6 Weeks</v>
      </c>
      <c r="P27" s="265" t="str">
        <f>_xlfn.XLOOKUP(E27,'All Products'!D:D,'All Products'!J:J,FALSE)</f>
        <v>Sourced</v>
      </c>
      <c r="Q27" s="266">
        <f>_xlfn.XLOOKUP(E27,'All Products'!D:D,'All Products'!K:K,FALSE)</f>
        <v>49081164492</v>
      </c>
      <c r="R27" s="266" t="str">
        <f>_xlfn.XLOOKUP(E27,'All Products'!D:D,'All Products'!L:L,FALSE)</f>
        <v>-</v>
      </c>
      <c r="S27" s="266">
        <f>_xlfn.XLOOKUP(E27,'All Products'!D:D,'All Products'!M:M,FALSE)</f>
        <v>40049081164490</v>
      </c>
      <c r="T27" s="265">
        <f>_xlfn.XLOOKUP(E27,'All Products'!D:D,'All Products'!N:N,FALSE)</f>
        <v>7.5069999999999997</v>
      </c>
      <c r="U27" s="265" t="str">
        <f>_xlfn.XLOOKUP(F27,'All Products'!E:E,'All Products'!O:O,FALSE)</f>
        <v>-</v>
      </c>
      <c r="V27" s="265">
        <f>_xlfn.XLOOKUP(E27,'All Products'!D:D,'All Products'!P:P,FALSE)</f>
        <v>22.96</v>
      </c>
      <c r="W27" s="265">
        <f>_xlfn.XLOOKUP(E27,'All Products'!D:D,'All Products'!Q:Q,FALSE)</f>
        <v>1.1000000000000001</v>
      </c>
    </row>
    <row r="28" spans="1:23" ht="14.4">
      <c r="A28" s="101" t="str">
        <f>IF(K28&gt;0,COUNT($A$7:A27)
+COUNT('DWV PVC'!$A$9:$A$316)
+COUNT('DWV ABS'!$A$8:$A$116)
+COUNT('PVC SCH40'!$A$8:$A$424)
+COUNT('PVC SCH40 LD'!$A$8:$A$21)
+COUNT('Pool &amp; SPA Sweep Elbows'!$A$8:$A$11)
+COUNT('Pool &amp; SPA Pipe Extender'!$A$8:$A$10)
+COUNT('PVC SCH80'!$A$8:$A$249)+1,"")</f>
        <v/>
      </c>
      <c r="B28" s="608"/>
      <c r="C28" s="609"/>
      <c r="D28" s="416" t="str">
        <f>_xlfn.XLOOKUP(E28,'All Products'!D:D,'All Products'!C:C,FALSE)</f>
        <v>854-020</v>
      </c>
      <c r="E28" s="103">
        <v>100028032</v>
      </c>
      <c r="F28" s="417" t="str">
        <f>_xlfn.XLOOKUP(E28,'All Products'!D:D,'All Products'!E:E,FALSE)</f>
        <v>2 VANSTONE FLANGE SLIP GASKET TYPE</v>
      </c>
      <c r="G28" s="233">
        <f>_xlfn.XLOOKUP(E28,'All Products'!D:D,'All Products'!F:F,FALSE)</f>
        <v>5</v>
      </c>
      <c r="H28" s="196">
        <f>_xlfn.XLOOKUP(E28,'All Products'!D:D,'All Products'!G:G,FALSE)</f>
        <v>1350</v>
      </c>
      <c r="I28" s="415">
        <f>_xlfn.XLOOKUP(E28,'All Products'!D:D,'All Products'!H:H,FALSE)</f>
        <v>75.59</v>
      </c>
      <c r="J28" s="130">
        <f>ROUND(I28*Order_Quote!$L$9,2)</f>
        <v>75.59</v>
      </c>
      <c r="K28" s="75"/>
      <c r="L28" s="113"/>
      <c r="M28" s="171">
        <f t="shared" si="0"/>
        <v>0</v>
      </c>
      <c r="N28" s="225"/>
      <c r="O28" s="265" t="str">
        <f>_xlfn.XLOOKUP(E28,'All Products'!D:D,'All Products'!I:I,FALSE)</f>
        <v>Within 3 Weeks</v>
      </c>
      <c r="P28" s="265" t="str">
        <f>_xlfn.XLOOKUP(E28,'All Products'!D:D,'All Products'!J:J,FALSE)</f>
        <v>Manufactured</v>
      </c>
      <c r="Q28" s="266">
        <f>_xlfn.XLOOKUP(E28,'All Products'!D:D,'All Products'!K:K,FALSE)</f>
        <v>49081164768</v>
      </c>
      <c r="R28" s="266" t="str">
        <f>_xlfn.XLOOKUP(E28,'All Products'!D:D,'All Products'!L:L,FALSE)</f>
        <v>-</v>
      </c>
      <c r="S28" s="266">
        <f>_xlfn.XLOOKUP(E28,'All Products'!D:D,'All Products'!M:M,FALSE)</f>
        <v>40049081164766</v>
      </c>
      <c r="T28" s="265">
        <f>_xlfn.XLOOKUP(E28,'All Products'!D:D,'All Products'!N:N,FALSE)</f>
        <v>0.94799999999999995</v>
      </c>
      <c r="U28" s="265" t="str">
        <f>_xlfn.XLOOKUP(F28,'All Products'!E:E,'All Products'!O:O,FALSE)</f>
        <v>-</v>
      </c>
      <c r="V28" s="265">
        <f>_xlfn.XLOOKUP(E28,'All Products'!D:D,'All Products'!P:P,FALSE)</f>
        <v>5.32</v>
      </c>
      <c r="W28" s="265">
        <f>_xlfn.XLOOKUP(E28,'All Products'!D:D,'All Products'!Q:Q,FALSE)</f>
        <v>0.31</v>
      </c>
    </row>
    <row r="29" spans="1:23" ht="14.4">
      <c r="A29" s="101" t="str">
        <f>IF(K29&gt;0,COUNT($A$7:A28)
+COUNT('DWV PVC'!$A$9:$A$316)
+COUNT('DWV ABS'!$A$8:$A$116)
+COUNT('PVC SCH40'!$A$8:$A$424)
+COUNT('PVC SCH40 LD'!$A$8:$A$21)
+COUNT('Pool &amp; SPA Sweep Elbows'!$A$8:$A$11)
+COUNT('Pool &amp; SPA Pipe Extender'!$A$8:$A$10)
+COUNT('PVC SCH80'!$A$8:$A$249)+1,"")</f>
        <v/>
      </c>
      <c r="B29" s="610"/>
      <c r="C29" s="611"/>
      <c r="D29" s="416" t="str">
        <f>_xlfn.XLOOKUP(E29,'All Products'!D:D,'All Products'!C:C,FALSE)</f>
        <v>854-020-1</v>
      </c>
      <c r="E29" s="103">
        <v>100028033</v>
      </c>
      <c r="F29" s="417" t="str">
        <f>_xlfn.XLOOKUP(E29,'All Products'!D:D,'All Products'!E:E,FALSE)</f>
        <v>2 VANSTONE FLANGE SLIP O-RING TYPE</v>
      </c>
      <c r="G29" s="233">
        <f>_xlfn.XLOOKUP(E29,'All Products'!D:D,'All Products'!F:F,FALSE)</f>
        <v>5</v>
      </c>
      <c r="H29" s="196">
        <f>_xlfn.XLOOKUP(E29,'All Products'!D:D,'All Products'!G:G,FALSE)</f>
        <v>750</v>
      </c>
      <c r="I29" s="415">
        <f>_xlfn.XLOOKUP(E29,'All Products'!D:D,'All Products'!H:H,FALSE)</f>
        <v>75.59</v>
      </c>
      <c r="J29" s="130">
        <f>ROUND(I29*Order_Quote!$L$9,2)</f>
        <v>75.59</v>
      </c>
      <c r="K29" s="75"/>
      <c r="L29" s="113"/>
      <c r="M29" s="171">
        <f t="shared" si="0"/>
        <v>0</v>
      </c>
      <c r="N29" s="225"/>
      <c r="O29" s="265" t="str">
        <f>_xlfn.XLOOKUP(E29,'All Products'!D:D,'All Products'!I:I,FALSE)</f>
        <v>In Stock</v>
      </c>
      <c r="P29" s="265" t="str">
        <f>_xlfn.XLOOKUP(E29,'All Products'!D:D,'All Products'!J:J,FALSE)</f>
        <v>Manufactured</v>
      </c>
      <c r="Q29" s="266">
        <f>_xlfn.XLOOKUP(E29,'All Products'!D:D,'All Products'!K:K,FALSE)</f>
        <v>49081164676</v>
      </c>
      <c r="R29" s="266" t="str">
        <f>_xlfn.XLOOKUP(E29,'All Products'!D:D,'All Products'!L:L,FALSE)</f>
        <v>-</v>
      </c>
      <c r="S29" s="266">
        <f>_xlfn.XLOOKUP(E29,'All Products'!D:D,'All Products'!M:M,FALSE)</f>
        <v>40049081164674</v>
      </c>
      <c r="T29" s="265">
        <f>_xlfn.XLOOKUP(E29,'All Products'!D:D,'All Products'!N:N,FALSE)</f>
        <v>1.6830000000000001</v>
      </c>
      <c r="U29" s="265" t="str">
        <f>_xlfn.XLOOKUP(F29,'All Products'!E:E,'All Products'!O:O,FALSE)</f>
        <v>-</v>
      </c>
      <c r="V29" s="265">
        <f>_xlfn.XLOOKUP(E29,'All Products'!D:D,'All Products'!P:P,FALSE)</f>
        <v>5.42</v>
      </c>
      <c r="W29" s="265">
        <f>_xlfn.XLOOKUP(E29,'All Products'!D:D,'All Products'!Q:Q,FALSE)</f>
        <v>0.5</v>
      </c>
    </row>
    <row r="30" spans="1:23" ht="14.4">
      <c r="A30" s="101" t="str">
        <f>IF(K30&gt;0,COUNT($A$7:A29)
+COUNT('DWV PVC'!$A$9:$A$316)
+COUNT('DWV ABS'!$A$8:$A$116)
+COUNT('PVC SCH40'!$A$8:$A$424)
+COUNT('PVC SCH40 LD'!$A$8:$A$21)
+COUNT('Pool &amp; SPA Sweep Elbows'!$A$8:$A$11)
+COUNT('Pool &amp; SPA Pipe Extender'!$A$8:$A$10)
+COUNT('PVC SCH80'!$A$8:$A$249)+1,"")</f>
        <v/>
      </c>
      <c r="B30" s="610"/>
      <c r="C30" s="611"/>
      <c r="D30" s="416" t="str">
        <f>_xlfn.XLOOKUP(E30,'All Products'!D:D,'All Products'!C:C,FALSE)</f>
        <v>854-025-1</v>
      </c>
      <c r="E30" s="103">
        <v>100028036</v>
      </c>
      <c r="F30" s="417" t="str">
        <f>_xlfn.XLOOKUP(E30,'All Products'!D:D,'All Products'!E:E,FALSE)</f>
        <v>2-1/2 VANSTONE FLANGE SLIP O-RING</v>
      </c>
      <c r="G30" s="233">
        <f>_xlfn.XLOOKUP(E30,'All Products'!D:D,'All Products'!F:F,FALSE)</f>
        <v>10</v>
      </c>
      <c r="H30" s="196">
        <f>_xlfn.XLOOKUP(E30,'All Products'!D:D,'All Products'!G:G,FALSE)</f>
        <v>750</v>
      </c>
      <c r="I30" s="415">
        <f>_xlfn.XLOOKUP(E30,'All Products'!D:D,'All Products'!H:H,FALSE)</f>
        <v>116.67</v>
      </c>
      <c r="J30" s="130">
        <f>ROUND(I30*Order_Quote!$L$9,2)</f>
        <v>116.67</v>
      </c>
      <c r="K30" s="75"/>
      <c r="L30" s="113"/>
      <c r="M30" s="171">
        <f t="shared" si="0"/>
        <v>0</v>
      </c>
      <c r="N30" s="225"/>
      <c r="O30" s="265" t="str">
        <f>_xlfn.XLOOKUP(E30,'All Products'!D:D,'All Products'!I:I,FALSE)</f>
        <v>Within 3 Weeks</v>
      </c>
      <c r="P30" s="265" t="str">
        <f>_xlfn.XLOOKUP(E30,'All Products'!D:D,'All Products'!J:J,FALSE)</f>
        <v>Manufactured</v>
      </c>
      <c r="Q30" s="266">
        <f>_xlfn.XLOOKUP(E30,'All Products'!D:D,'All Products'!K:K,FALSE)</f>
        <v>49081164690</v>
      </c>
      <c r="R30" s="266" t="str">
        <f>_xlfn.XLOOKUP(E30,'All Products'!D:D,'All Products'!L:L,FALSE)</f>
        <v>-</v>
      </c>
      <c r="S30" s="266">
        <f>_xlfn.XLOOKUP(E30,'All Products'!D:D,'All Products'!M:M,FALSE)</f>
        <v>40049081164698</v>
      </c>
      <c r="T30" s="265">
        <f>_xlfn.XLOOKUP(E30,'All Products'!D:D,'All Products'!N:N,FALSE)</f>
        <v>2.3839999999999999</v>
      </c>
      <c r="U30" s="265" t="str">
        <f>_xlfn.XLOOKUP(F30,'All Products'!E:E,'All Products'!O:O,FALSE)</f>
        <v>-</v>
      </c>
      <c r="V30" s="265">
        <f>_xlfn.XLOOKUP(E30,'All Products'!D:D,'All Products'!P:P,FALSE)</f>
        <v>15.52</v>
      </c>
      <c r="W30" s="265">
        <f>_xlfn.XLOOKUP(E30,'All Products'!D:D,'All Products'!Q:Q,FALSE)</f>
        <v>0.95</v>
      </c>
    </row>
    <row r="31" spans="1:23" ht="14.4">
      <c r="A31" s="101" t="str">
        <f>IF(K31&gt;0,COUNT($A$7:A30)
+COUNT('DWV PVC'!$A$9:$A$316)
+COUNT('DWV ABS'!$A$8:$A$116)
+COUNT('PVC SCH40'!$A$8:$A$424)
+COUNT('PVC SCH40 LD'!$A$8:$A$21)
+COUNT('Pool &amp; SPA Sweep Elbows'!$A$8:$A$11)
+COUNT('Pool &amp; SPA Pipe Extender'!$A$8:$A$10)
+COUNT('PVC SCH80'!$A$8:$A$249)+1,"")</f>
        <v/>
      </c>
      <c r="B31" s="610"/>
      <c r="C31" s="611"/>
      <c r="D31" s="416" t="str">
        <f>_xlfn.XLOOKUP(E31,'All Products'!D:D,'All Products'!C:C,FALSE)</f>
        <v>854-030</v>
      </c>
      <c r="E31" s="103">
        <v>100028038</v>
      </c>
      <c r="F31" s="417" t="str">
        <f>_xlfn.XLOOKUP(E31,'All Products'!D:D,'All Products'!E:E,FALSE)</f>
        <v>3 VANSTONE FLANGE SLIP GASKET TYPE</v>
      </c>
      <c r="G31" s="233">
        <f>_xlfn.XLOOKUP(E31,'All Products'!D:D,'All Products'!F:F,FALSE)</f>
        <v>5</v>
      </c>
      <c r="H31" s="196">
        <f>_xlfn.XLOOKUP(E31,'All Products'!D:D,'All Products'!G:G,FALSE)</f>
        <v>600</v>
      </c>
      <c r="I31" s="415">
        <f>_xlfn.XLOOKUP(E31,'All Products'!D:D,'All Products'!H:H,FALSE)</f>
        <v>128.9</v>
      </c>
      <c r="J31" s="130">
        <f>ROUND(I31*Order_Quote!$L$9,2)</f>
        <v>128.9</v>
      </c>
      <c r="K31" s="75"/>
      <c r="L31" s="113"/>
      <c r="M31" s="171">
        <f t="shared" si="0"/>
        <v>0</v>
      </c>
      <c r="N31" s="225"/>
      <c r="O31" s="265" t="str">
        <f>_xlfn.XLOOKUP(E31,'All Products'!D:D,'All Products'!I:I,FALSE)</f>
        <v>In Stock</v>
      </c>
      <c r="P31" s="265" t="str">
        <f>_xlfn.XLOOKUP(E31,'All Products'!D:D,'All Products'!J:J,FALSE)</f>
        <v>Manufactured</v>
      </c>
      <c r="Q31" s="266">
        <f>_xlfn.XLOOKUP(E31,'All Products'!D:D,'All Products'!K:K,FALSE)</f>
        <v>49081164805</v>
      </c>
      <c r="R31" s="266" t="str">
        <f>_xlfn.XLOOKUP(E31,'All Products'!D:D,'All Products'!L:L,FALSE)</f>
        <v>-</v>
      </c>
      <c r="S31" s="266">
        <f>_xlfn.XLOOKUP(E31,'All Products'!D:D,'All Products'!M:M,FALSE)</f>
        <v>40049081164803</v>
      </c>
      <c r="T31" s="265">
        <f>_xlfn.XLOOKUP(E31,'All Products'!D:D,'All Products'!N:N,FALSE)</f>
        <v>1.7949999999999999</v>
      </c>
      <c r="U31" s="265" t="str">
        <f>_xlfn.XLOOKUP(F31,'All Products'!E:E,'All Products'!O:O,FALSE)</f>
        <v>-</v>
      </c>
      <c r="V31" s="265">
        <f>_xlfn.XLOOKUP(E31,'All Products'!D:D,'All Products'!P:P,FALSE)</f>
        <v>9.75</v>
      </c>
      <c r="W31" s="265">
        <f>_xlfn.XLOOKUP(E31,'All Products'!D:D,'All Products'!Q:Q,FALSE)</f>
        <v>0.65</v>
      </c>
    </row>
    <row r="32" spans="1:23" ht="14.4">
      <c r="A32" s="101" t="str">
        <f>IF(K32&gt;0,COUNT($A$7:A31)
+COUNT('DWV PVC'!$A$9:$A$316)
+COUNT('DWV ABS'!$A$8:$A$116)
+COUNT('PVC SCH40'!$A$8:$A$424)
+COUNT('PVC SCH40 LD'!$A$8:$A$21)
+COUNT('Pool &amp; SPA Sweep Elbows'!$A$8:$A$11)
+COUNT('Pool &amp; SPA Pipe Extender'!$A$8:$A$10)
+COUNT('PVC SCH80'!$A$8:$A$249)+1,"")</f>
        <v/>
      </c>
      <c r="B32" s="610"/>
      <c r="C32" s="611"/>
      <c r="D32" s="416" t="str">
        <f>_xlfn.XLOOKUP(E32,'All Products'!D:D,'All Products'!C:C,FALSE)</f>
        <v>854-030-1</v>
      </c>
      <c r="E32" s="103">
        <v>100028039</v>
      </c>
      <c r="F32" s="417" t="str">
        <f>_xlfn.XLOOKUP(E32,'All Products'!D:D,'All Products'!E:E,FALSE)</f>
        <v>3 VANSTONE FLANGE SLIP O-RING TYPE</v>
      </c>
      <c r="G32" s="233">
        <f>_xlfn.XLOOKUP(E32,'All Products'!D:D,'All Products'!F:F,FALSE)</f>
        <v>5</v>
      </c>
      <c r="H32" s="196">
        <f>_xlfn.XLOOKUP(E32,'All Products'!D:D,'All Products'!G:G,FALSE)</f>
        <v>600</v>
      </c>
      <c r="I32" s="415">
        <f>_xlfn.XLOOKUP(E32,'All Products'!D:D,'All Products'!H:H,FALSE)</f>
        <v>128.9</v>
      </c>
      <c r="J32" s="130">
        <f>ROUND(I32*Order_Quote!$L$9,2)</f>
        <v>128.9</v>
      </c>
      <c r="K32" s="75"/>
      <c r="L32" s="113"/>
      <c r="M32" s="171">
        <f t="shared" si="0"/>
        <v>0</v>
      </c>
      <c r="N32" s="225"/>
      <c r="O32" s="265" t="str">
        <f>_xlfn.XLOOKUP(E32,'All Products'!D:D,'All Products'!I:I,FALSE)</f>
        <v>In Stock</v>
      </c>
      <c r="P32" s="265" t="str">
        <f>_xlfn.XLOOKUP(E32,'All Products'!D:D,'All Products'!J:J,FALSE)</f>
        <v>Manufactured</v>
      </c>
      <c r="Q32" s="266">
        <f>_xlfn.XLOOKUP(E32,'All Products'!D:D,'All Products'!K:K,FALSE)</f>
        <v>49081164713</v>
      </c>
      <c r="R32" s="266" t="str">
        <f>_xlfn.XLOOKUP(E32,'All Products'!D:D,'All Products'!L:L,FALSE)</f>
        <v>-</v>
      </c>
      <c r="S32" s="266">
        <f>_xlfn.XLOOKUP(E32,'All Products'!D:D,'All Products'!M:M,FALSE)</f>
        <v>40049081164711</v>
      </c>
      <c r="T32" s="265">
        <f>_xlfn.XLOOKUP(E32,'All Products'!D:D,'All Products'!N:N,FALSE)</f>
        <v>1.7669999999999999</v>
      </c>
      <c r="U32" s="265" t="str">
        <f>_xlfn.XLOOKUP(F32,'All Products'!E:E,'All Products'!O:O,FALSE)</f>
        <v>-</v>
      </c>
      <c r="V32" s="265">
        <f>_xlfn.XLOOKUP(E32,'All Products'!D:D,'All Products'!P:P,FALSE)</f>
        <v>7.8</v>
      </c>
      <c r="W32" s="265">
        <f>_xlfn.XLOOKUP(E32,'All Products'!D:D,'All Products'!Q:Q,FALSE)</f>
        <v>0.65</v>
      </c>
    </row>
    <row r="33" spans="1:23" ht="14.4">
      <c r="A33" s="101" t="str">
        <f>IF(K33&gt;0,COUNT($A$7:A32)
+COUNT('DWV PVC'!$A$9:$A$316)
+COUNT('DWV ABS'!$A$8:$A$116)
+COUNT('PVC SCH40'!$A$8:$A$424)
+COUNT('PVC SCH40 LD'!$A$8:$A$21)
+COUNT('Pool &amp; SPA Sweep Elbows'!$A$8:$A$11)
+COUNT('Pool &amp; SPA Pipe Extender'!$A$8:$A$10)
+COUNT('PVC SCH80'!$A$8:$A$249)+1,"")</f>
        <v/>
      </c>
      <c r="B33" s="610"/>
      <c r="C33" s="611"/>
      <c r="D33" s="416" t="str">
        <f>_xlfn.XLOOKUP(E33,'All Products'!D:D,'All Products'!C:C,FALSE)</f>
        <v>854-040</v>
      </c>
      <c r="E33" s="103">
        <v>100028041</v>
      </c>
      <c r="F33" s="417" t="str">
        <f>_xlfn.XLOOKUP(E33,'All Products'!D:D,'All Products'!E:E,FALSE)</f>
        <v>4 VANSTONE FLANGE SLIP GASKET TYPE</v>
      </c>
      <c r="G33" s="233">
        <f>_xlfn.XLOOKUP(E33,'All Products'!D:D,'All Products'!F:F,FALSE)</f>
        <v>4</v>
      </c>
      <c r="H33" s="196">
        <f>_xlfn.XLOOKUP(E33,'All Products'!D:D,'All Products'!G:G,FALSE)</f>
        <v>360</v>
      </c>
      <c r="I33" s="415">
        <f>_xlfn.XLOOKUP(E33,'All Products'!D:D,'All Products'!H:H,FALSE)</f>
        <v>163.13</v>
      </c>
      <c r="J33" s="130">
        <f>ROUND(I33*Order_Quote!$L$9,2)</f>
        <v>163.13</v>
      </c>
      <c r="K33" s="75"/>
      <c r="L33" s="113"/>
      <c r="M33" s="171">
        <f t="shared" si="0"/>
        <v>0</v>
      </c>
      <c r="N33" s="225"/>
      <c r="O33" s="265" t="str">
        <f>_xlfn.XLOOKUP(E33,'All Products'!D:D,'All Products'!I:I,FALSE)</f>
        <v>In Stock</v>
      </c>
      <c r="P33" s="265" t="str">
        <f>_xlfn.XLOOKUP(E33,'All Products'!D:D,'All Products'!J:J,FALSE)</f>
        <v>Manufactured</v>
      </c>
      <c r="Q33" s="266">
        <f>_xlfn.XLOOKUP(E33,'All Products'!D:D,'All Products'!K:K,FALSE)</f>
        <v>49081164829</v>
      </c>
      <c r="R33" s="266" t="str">
        <f>_xlfn.XLOOKUP(E33,'All Products'!D:D,'All Products'!L:L,FALSE)</f>
        <v>-</v>
      </c>
      <c r="S33" s="266">
        <f>_xlfn.XLOOKUP(E33,'All Products'!D:D,'All Products'!M:M,FALSE)</f>
        <v>40049081164827</v>
      </c>
      <c r="T33" s="265">
        <f>_xlfn.XLOOKUP(E33,'All Products'!D:D,'All Products'!N:N,FALSE)</f>
        <v>3.032</v>
      </c>
      <c r="U33" s="265" t="str">
        <f>_xlfn.XLOOKUP(F33,'All Products'!E:E,'All Products'!O:O,FALSE)</f>
        <v>-</v>
      </c>
      <c r="V33" s="265">
        <f>_xlfn.XLOOKUP(E33,'All Products'!D:D,'All Products'!P:P,FALSE)</f>
        <v>12.35</v>
      </c>
      <c r="W33" s="265">
        <f>_xlfn.XLOOKUP(E33,'All Products'!D:D,'All Products'!Q:Q,FALSE)</f>
        <v>0.8</v>
      </c>
    </row>
    <row r="34" spans="1:23" ht="14.4">
      <c r="A34" s="101" t="str">
        <f>IF(K34&gt;0,COUNT($A$7:A33)
+COUNT('DWV PVC'!$A$9:$A$316)
+COUNT('DWV ABS'!$A$8:$A$116)
+COUNT('PVC SCH40'!$A$8:$A$424)
+COUNT('PVC SCH40 LD'!$A$8:$A$21)
+COUNT('Pool &amp; SPA Sweep Elbows'!$A$8:$A$11)
+COUNT('Pool &amp; SPA Pipe Extender'!$A$8:$A$10)
+COUNT('PVC SCH80'!$A$8:$A$249)+1,"")</f>
        <v/>
      </c>
      <c r="B34" s="610"/>
      <c r="C34" s="611"/>
      <c r="D34" s="416" t="str">
        <f>_xlfn.XLOOKUP(E34,'All Products'!D:D,'All Products'!C:C,FALSE)</f>
        <v>854-040-1</v>
      </c>
      <c r="E34" s="103">
        <v>100028042</v>
      </c>
      <c r="F34" s="417" t="str">
        <f>_xlfn.XLOOKUP(E34,'All Products'!D:D,'All Products'!E:E,FALSE)</f>
        <v>4 VANSTONE FLANGE SLIP O-RING TYPE</v>
      </c>
      <c r="G34" s="233">
        <f>_xlfn.XLOOKUP(E34,'All Products'!D:D,'All Products'!F:F,FALSE)</f>
        <v>4</v>
      </c>
      <c r="H34" s="196">
        <f>_xlfn.XLOOKUP(E34,'All Products'!D:D,'All Products'!G:G,FALSE)</f>
        <v>360</v>
      </c>
      <c r="I34" s="415">
        <f>_xlfn.XLOOKUP(E34,'All Products'!D:D,'All Products'!H:H,FALSE)</f>
        <v>163.13</v>
      </c>
      <c r="J34" s="130">
        <f>ROUND(I34*Order_Quote!$L$9,2)</f>
        <v>163.13</v>
      </c>
      <c r="K34" s="75"/>
      <c r="L34" s="113"/>
      <c r="M34" s="171">
        <f t="shared" si="0"/>
        <v>0</v>
      </c>
      <c r="N34" s="225"/>
      <c r="O34" s="265" t="str">
        <f>_xlfn.XLOOKUP(E34,'All Products'!D:D,'All Products'!I:I,FALSE)</f>
        <v>Within 3 Weeks</v>
      </c>
      <c r="P34" s="265" t="str">
        <f>_xlfn.XLOOKUP(E34,'All Products'!D:D,'All Products'!J:J,FALSE)</f>
        <v>Manufactured</v>
      </c>
      <c r="Q34" s="266">
        <f>_xlfn.XLOOKUP(E34,'All Products'!D:D,'All Products'!K:K,FALSE)</f>
        <v>49081164737</v>
      </c>
      <c r="R34" s="266" t="str">
        <f>_xlfn.XLOOKUP(E34,'All Products'!D:D,'All Products'!L:L,FALSE)</f>
        <v>-</v>
      </c>
      <c r="S34" s="266">
        <f>_xlfn.XLOOKUP(E34,'All Products'!D:D,'All Products'!M:M,FALSE)</f>
        <v>40049081164735</v>
      </c>
      <c r="T34" s="265">
        <f>_xlfn.XLOOKUP(E34,'All Products'!D:D,'All Products'!N:N,FALSE)</f>
        <v>3.0110000000000001</v>
      </c>
      <c r="U34" s="265" t="str">
        <f>_xlfn.XLOOKUP(F34,'All Products'!E:E,'All Products'!O:O,FALSE)</f>
        <v>-</v>
      </c>
      <c r="V34" s="265">
        <f>_xlfn.XLOOKUP(E34,'All Products'!D:D,'All Products'!P:P,FALSE)</f>
        <v>12</v>
      </c>
      <c r="W34" s="265">
        <f>_xlfn.XLOOKUP(E34,'All Products'!D:D,'All Products'!Q:Q,FALSE)</f>
        <v>0.8</v>
      </c>
    </row>
    <row r="35" spans="1:23" ht="14.4">
      <c r="A35" s="101" t="str">
        <f>IF(K35&gt;0,COUNT($A$7:A34)
+COUNT('DWV PVC'!$A$9:$A$316)
+COUNT('DWV ABS'!$A$8:$A$116)
+COUNT('PVC SCH40'!$A$8:$A$424)
+COUNT('PVC SCH40 LD'!$A$8:$A$21)
+COUNT('Pool &amp; SPA Sweep Elbows'!$A$8:$A$11)
+COUNT('Pool &amp; SPA Pipe Extender'!$A$8:$A$10)
+COUNT('PVC SCH80'!$A$8:$A$249)+1,"")</f>
        <v/>
      </c>
      <c r="B35" s="610"/>
      <c r="C35" s="611"/>
      <c r="D35" s="416" t="str">
        <f>_xlfn.XLOOKUP(E35,'All Products'!D:D,'All Products'!C:C,FALSE)</f>
        <v>854-050</v>
      </c>
      <c r="E35" s="103">
        <v>100028044</v>
      </c>
      <c r="F35" s="417" t="str">
        <f>_xlfn.XLOOKUP(E35,'All Products'!D:D,'All Products'!E:E,FALSE)</f>
        <v>5 VANSTONE FLANGE SLIP GASKET TYPE</v>
      </c>
      <c r="G35" s="233">
        <f>_xlfn.XLOOKUP(E35,'All Products'!D:D,'All Products'!F:F,FALSE)</f>
        <v>2</v>
      </c>
      <c r="H35" s="196">
        <f>_xlfn.XLOOKUP(E35,'All Products'!D:D,'All Products'!G:G,FALSE)</f>
        <v>180</v>
      </c>
      <c r="I35" s="415">
        <f>_xlfn.XLOOKUP(E35,'All Products'!D:D,'All Products'!H:H,FALSE)</f>
        <v>256.57</v>
      </c>
      <c r="J35" s="130">
        <f>ROUND(I35*Order_Quote!$L$9,2)</f>
        <v>256.57</v>
      </c>
      <c r="K35" s="75"/>
      <c r="L35" s="113"/>
      <c r="M35" s="171">
        <f t="shared" si="0"/>
        <v>0</v>
      </c>
      <c r="N35" s="225"/>
      <c r="O35" s="265" t="str">
        <f>_xlfn.XLOOKUP(E35,'All Products'!D:D,'All Products'!I:I,FALSE)</f>
        <v>In Stock</v>
      </c>
      <c r="P35" s="265" t="str">
        <f>_xlfn.XLOOKUP(E35,'All Products'!D:D,'All Products'!J:J,FALSE)</f>
        <v>Manufactured</v>
      </c>
      <c r="Q35" s="266">
        <f>_xlfn.XLOOKUP(E35,'All Products'!D:D,'All Products'!K:K,FALSE)</f>
        <v>49081164836</v>
      </c>
      <c r="R35" s="266" t="str">
        <f>_xlfn.XLOOKUP(E35,'All Products'!D:D,'All Products'!L:L,FALSE)</f>
        <v>-</v>
      </c>
      <c r="S35" s="266">
        <f>_xlfn.XLOOKUP(E35,'All Products'!D:D,'All Products'!M:M,FALSE)</f>
        <v>40049081164834</v>
      </c>
      <c r="T35" s="265">
        <f>_xlfn.XLOOKUP(E35,'All Products'!D:D,'All Products'!N:N,FALSE)</f>
        <v>5.7060000000000004</v>
      </c>
      <c r="U35" s="265" t="str">
        <f>_xlfn.XLOOKUP(F35,'All Products'!E:E,'All Products'!O:O,FALSE)</f>
        <v>-</v>
      </c>
      <c r="V35" s="265">
        <f>_xlfn.XLOOKUP(E35,'All Products'!D:D,'All Products'!P:P,FALSE)</f>
        <v>8.02</v>
      </c>
      <c r="W35" s="265">
        <f>_xlfn.XLOOKUP(E35,'All Products'!D:D,'All Products'!Q:Q,FALSE)</f>
        <v>0.8</v>
      </c>
    </row>
    <row r="36" spans="1:23" ht="14.4">
      <c r="A36" s="101" t="str">
        <f>IF(K36&gt;0,COUNT($A$7:A35)
+COUNT('DWV PVC'!$A$9:$A$316)
+COUNT('DWV ABS'!$A$8:$A$116)
+COUNT('PVC SCH40'!$A$8:$A$424)
+COUNT('PVC SCH40 LD'!$A$8:$A$21)
+COUNT('Pool &amp; SPA Sweep Elbows'!$A$8:$A$11)
+COUNT('Pool &amp; SPA Pipe Extender'!$A$8:$A$10)
+COUNT('PVC SCH80'!$A$8:$A$249)+1,"")</f>
        <v/>
      </c>
      <c r="B36" s="610"/>
      <c r="C36" s="611"/>
      <c r="D36" s="416" t="str">
        <f>_xlfn.XLOOKUP(E36,'All Products'!D:D,'All Products'!C:C,FALSE)</f>
        <v>854-050-1</v>
      </c>
      <c r="E36" s="103">
        <v>100028045</v>
      </c>
      <c r="F36" s="417" t="str">
        <f>_xlfn.XLOOKUP(E36,'All Products'!D:D,'All Products'!E:E,FALSE)</f>
        <v>5 VANSTONE FLANGE SLIP O-RING TYPE</v>
      </c>
      <c r="G36" s="233">
        <f>_xlfn.XLOOKUP(E36,'All Products'!D:D,'All Products'!F:F,FALSE)</f>
        <v>2</v>
      </c>
      <c r="H36" s="196">
        <f>_xlfn.XLOOKUP(E36,'All Products'!D:D,'All Products'!G:G,FALSE)</f>
        <v>180</v>
      </c>
      <c r="I36" s="415">
        <f>_xlfn.XLOOKUP(E36,'All Products'!D:D,'All Products'!H:H,FALSE)</f>
        <v>256.57</v>
      </c>
      <c r="J36" s="130">
        <f>ROUND(I36*Order_Quote!$L$9,2)</f>
        <v>256.57</v>
      </c>
      <c r="K36" s="75"/>
      <c r="L36" s="113"/>
      <c r="M36" s="171">
        <f t="shared" si="0"/>
        <v>0</v>
      </c>
      <c r="N36" s="225"/>
      <c r="O36" s="265" t="str">
        <f>_xlfn.XLOOKUP(E36,'All Products'!D:D,'All Products'!I:I,FALSE)</f>
        <v>Within 6 Weeks</v>
      </c>
      <c r="P36" s="265" t="str">
        <f>_xlfn.XLOOKUP(E36,'All Products'!D:D,'All Products'!J:J,FALSE)</f>
        <v>Sourced</v>
      </c>
      <c r="Q36" s="266">
        <f>_xlfn.XLOOKUP(E36,'All Products'!D:D,'All Products'!K:K,FALSE)</f>
        <v>49081164751</v>
      </c>
      <c r="R36" s="266" t="str">
        <f>_xlfn.XLOOKUP(E36,'All Products'!D:D,'All Products'!L:L,FALSE)</f>
        <v>-</v>
      </c>
      <c r="S36" s="266">
        <f>_xlfn.XLOOKUP(E36,'All Products'!D:D,'All Products'!M:M,FALSE)</f>
        <v>40049081164759</v>
      </c>
      <c r="T36" s="265">
        <f>_xlfn.XLOOKUP(E36,'All Products'!D:D,'All Products'!N:N,FALSE)</f>
        <v>3.7250000000000001</v>
      </c>
      <c r="U36" s="265" t="str">
        <f>_xlfn.XLOOKUP(F36,'All Products'!E:E,'All Products'!O:O,FALSE)</f>
        <v>-</v>
      </c>
      <c r="V36" s="265">
        <f>_xlfn.XLOOKUP(E36,'All Products'!D:D,'All Products'!P:P,FALSE)</f>
        <v>7.45</v>
      </c>
      <c r="W36" s="265">
        <f>_xlfn.XLOOKUP(E36,'All Products'!D:D,'All Products'!Q:Q,FALSE)</f>
        <v>0.8</v>
      </c>
    </row>
    <row r="37" spans="1:23" ht="14.4">
      <c r="A37" s="101" t="str">
        <f>IF(K37&gt;0,COUNT($A$7:A36)
+COUNT('DWV PVC'!$A$9:$A$316)
+COUNT('DWV ABS'!$A$8:$A$116)
+COUNT('PVC SCH40'!$A$8:$A$424)
+COUNT('PVC SCH40 LD'!$A$8:$A$21)
+COUNT('Pool &amp; SPA Sweep Elbows'!$A$8:$A$11)
+COUNT('Pool &amp; SPA Pipe Extender'!$A$8:$A$10)
+COUNT('PVC SCH80'!$A$8:$A$249)+1,"")</f>
        <v/>
      </c>
      <c r="B37" s="610"/>
      <c r="C37" s="611"/>
      <c r="D37" s="416" t="str">
        <f>_xlfn.XLOOKUP(E37,'All Products'!D:D,'All Products'!C:C,FALSE)</f>
        <v>854-060</v>
      </c>
      <c r="E37" s="103">
        <v>100028047</v>
      </c>
      <c r="F37" s="417" t="str">
        <f>_xlfn.XLOOKUP(E37,'All Products'!D:D,'All Products'!E:E,FALSE)</f>
        <v>6 VANSTONE FLANGE SLIP GASKET TYPE</v>
      </c>
      <c r="G37" s="233">
        <f>_xlfn.XLOOKUP(E37,'All Products'!D:D,'All Products'!F:F,FALSE)</f>
        <v>2</v>
      </c>
      <c r="H37" s="196">
        <f>_xlfn.XLOOKUP(E37,'All Products'!D:D,'All Products'!G:G,FALSE)</f>
        <v>150</v>
      </c>
      <c r="I37" s="415">
        <f>_xlfn.XLOOKUP(E37,'All Products'!D:D,'All Products'!H:H,FALSE)</f>
        <v>256.57</v>
      </c>
      <c r="J37" s="130">
        <f>ROUND(I37*Order_Quote!$L$9,2)</f>
        <v>256.57</v>
      </c>
      <c r="K37" s="75"/>
      <c r="L37" s="113"/>
      <c r="M37" s="171">
        <f t="shared" si="0"/>
        <v>0</v>
      </c>
      <c r="N37" s="225"/>
      <c r="O37" s="265" t="str">
        <f>_xlfn.XLOOKUP(E37,'All Products'!D:D,'All Products'!I:I,FALSE)</f>
        <v>In Stock</v>
      </c>
      <c r="P37" s="265" t="str">
        <f>_xlfn.XLOOKUP(E37,'All Products'!D:D,'All Products'!J:J,FALSE)</f>
        <v>Manufactured</v>
      </c>
      <c r="Q37" s="266">
        <f>_xlfn.XLOOKUP(E37,'All Products'!D:D,'All Products'!K:K,FALSE)</f>
        <v>49081164843</v>
      </c>
      <c r="R37" s="266" t="str">
        <f>_xlfn.XLOOKUP(E37,'All Products'!D:D,'All Products'!L:L,FALSE)</f>
        <v>-</v>
      </c>
      <c r="S37" s="266">
        <f>_xlfn.XLOOKUP(E37,'All Products'!D:D,'All Products'!M:M,FALSE)</f>
        <v>40049081164841</v>
      </c>
      <c r="T37" s="265">
        <f>_xlfn.XLOOKUP(E37,'All Products'!D:D,'All Products'!N:N,FALSE)</f>
        <v>4.8659999999999997</v>
      </c>
      <c r="U37" s="265" t="str">
        <f>_xlfn.XLOOKUP(F37,'All Products'!E:E,'All Products'!O:O,FALSE)</f>
        <v>-</v>
      </c>
      <c r="V37" s="265">
        <f>_xlfn.XLOOKUP(E37,'All Products'!D:D,'All Products'!P:P,FALSE)</f>
        <v>10.53</v>
      </c>
      <c r="W37" s="265">
        <f>_xlfn.XLOOKUP(E37,'All Products'!D:D,'All Products'!Q:Q,FALSE)</f>
        <v>0.95</v>
      </c>
    </row>
    <row r="38" spans="1:23" ht="14.4">
      <c r="A38" s="101" t="str">
        <f>IF(K38&gt;0,COUNT($A$7:A37)
+COUNT('DWV PVC'!$A$9:$A$316)
+COUNT('DWV ABS'!$A$8:$A$116)
+COUNT('PVC SCH40'!$A$8:$A$424)
+COUNT('PVC SCH40 LD'!$A$8:$A$21)
+COUNT('Pool &amp; SPA Sweep Elbows'!$A$8:$A$11)
+COUNT('Pool &amp; SPA Pipe Extender'!$A$8:$A$10)
+COUNT('PVC SCH80'!$A$8:$A$249)+1,"")</f>
        <v/>
      </c>
      <c r="B38" s="610"/>
      <c r="C38" s="611"/>
      <c r="D38" s="416" t="str">
        <f>_xlfn.XLOOKUP(E38,'All Products'!D:D,'All Products'!C:C,FALSE)</f>
        <v>854-060-1</v>
      </c>
      <c r="E38" s="103">
        <v>100028048</v>
      </c>
      <c r="F38" s="417" t="str">
        <f>_xlfn.XLOOKUP(E38,'All Products'!D:D,'All Products'!E:E,FALSE)</f>
        <v>6 VANSTONE FLANGE SLIP O-RING TYPE</v>
      </c>
      <c r="G38" s="233">
        <f>_xlfn.XLOOKUP(E38,'All Products'!D:D,'All Products'!F:F,FALSE)</f>
        <v>2</v>
      </c>
      <c r="H38" s="196">
        <f>_xlfn.XLOOKUP(E38,'All Products'!D:D,'All Products'!G:G,FALSE)</f>
        <v>150</v>
      </c>
      <c r="I38" s="415">
        <f>_xlfn.XLOOKUP(E38,'All Products'!D:D,'All Products'!H:H,FALSE)</f>
        <v>256.57</v>
      </c>
      <c r="J38" s="130">
        <f>ROUND(I38*Order_Quote!$L$9,2)</f>
        <v>256.57</v>
      </c>
      <c r="K38" s="75"/>
      <c r="L38" s="113"/>
      <c r="M38" s="171">
        <f t="shared" si="0"/>
        <v>0</v>
      </c>
      <c r="N38" s="225"/>
      <c r="O38" s="265" t="str">
        <f>_xlfn.XLOOKUP(E38,'All Products'!D:D,'All Products'!I:I,FALSE)</f>
        <v>Within 3 Weeks</v>
      </c>
      <c r="P38" s="265" t="str">
        <f>_xlfn.XLOOKUP(E38,'All Products'!D:D,'All Products'!J:J,FALSE)</f>
        <v>Manufactured</v>
      </c>
      <c r="Q38" s="266">
        <f>_xlfn.XLOOKUP(E38,'All Products'!D:D,'All Products'!K:K,FALSE)</f>
        <v>49081164775</v>
      </c>
      <c r="R38" s="266" t="str">
        <f>_xlfn.XLOOKUP(E38,'All Products'!D:D,'All Products'!L:L,FALSE)</f>
        <v>-</v>
      </c>
      <c r="S38" s="266">
        <f>_xlfn.XLOOKUP(E38,'All Products'!D:D,'All Products'!M:M,FALSE)</f>
        <v>40049081164773</v>
      </c>
      <c r="T38" s="265">
        <f>_xlfn.XLOOKUP(E38,'All Products'!D:D,'All Products'!N:N,FALSE)</f>
        <v>7.6859999999999999</v>
      </c>
      <c r="U38" s="265" t="str">
        <f>_xlfn.XLOOKUP(F38,'All Products'!E:E,'All Products'!O:O,FALSE)</f>
        <v>-</v>
      </c>
      <c r="V38" s="265">
        <f>_xlfn.XLOOKUP(E38,'All Products'!D:D,'All Products'!P:P,FALSE)</f>
        <v>10.050000000000001</v>
      </c>
      <c r="W38" s="265">
        <f>_xlfn.XLOOKUP(E38,'All Products'!D:D,'All Products'!Q:Q,FALSE)</f>
        <v>0.95</v>
      </c>
    </row>
    <row r="39" spans="1:23" ht="14.4">
      <c r="A39" s="101" t="str">
        <f>IF(K39&gt;0,COUNT($A$7:A38)
+COUNT('DWV PVC'!$A$9:$A$316)
+COUNT('DWV ABS'!$A$8:$A$116)
+COUNT('PVC SCH40'!$A$8:$A$424)
+COUNT('PVC SCH40 LD'!$A$8:$A$21)
+COUNT('Pool &amp; SPA Sweep Elbows'!$A$8:$A$11)
+COUNT('Pool &amp; SPA Pipe Extender'!$A$8:$A$10)
+COUNT('PVC SCH80'!$A$8:$A$249)+1,"")</f>
        <v/>
      </c>
      <c r="B39" s="610"/>
      <c r="C39" s="611"/>
      <c r="D39" s="416" t="str">
        <f>_xlfn.XLOOKUP(E39,'All Products'!D:D,'All Products'!C:C,FALSE)</f>
        <v>854-080</v>
      </c>
      <c r="E39" s="103">
        <v>100028050</v>
      </c>
      <c r="F39" s="417" t="str">
        <f>_xlfn.XLOOKUP(E39,'All Products'!D:D,'All Products'!E:E,FALSE)</f>
        <v>8 VANSTONE FLANGE SLIP GASKET TYPE</v>
      </c>
      <c r="G39" s="233">
        <f>_xlfn.XLOOKUP(E39,'All Products'!D:D,'All Products'!F:F,FALSE)</f>
        <v>1</v>
      </c>
      <c r="H39" s="196">
        <f>_xlfn.XLOOKUP(E39,'All Products'!D:D,'All Products'!G:G,FALSE)</f>
        <v>75</v>
      </c>
      <c r="I39" s="415">
        <f>_xlfn.XLOOKUP(E39,'All Products'!D:D,'All Products'!H:H,FALSE)</f>
        <v>417.68</v>
      </c>
      <c r="J39" s="130">
        <f>ROUND(I39*Order_Quote!$L$9,2)</f>
        <v>417.68</v>
      </c>
      <c r="K39" s="75"/>
      <c r="L39" s="113"/>
      <c r="M39" s="171">
        <f t="shared" si="0"/>
        <v>0</v>
      </c>
      <c r="N39" s="225"/>
      <c r="O39" s="265" t="str">
        <f>_xlfn.XLOOKUP(E39,'All Products'!D:D,'All Products'!I:I,FALSE)</f>
        <v>Within 3 Weeks</v>
      </c>
      <c r="P39" s="265" t="str">
        <f>_xlfn.XLOOKUP(E39,'All Products'!D:D,'All Products'!J:J,FALSE)</f>
        <v>Manufactured</v>
      </c>
      <c r="Q39" s="266">
        <f>_xlfn.XLOOKUP(E39,'All Products'!D:D,'All Products'!K:K,FALSE)</f>
        <v>49081164867</v>
      </c>
      <c r="R39" s="266" t="str">
        <f>_xlfn.XLOOKUP(E39,'All Products'!D:D,'All Products'!L:L,FALSE)</f>
        <v>-</v>
      </c>
      <c r="S39" s="266">
        <f>_xlfn.XLOOKUP(E39,'All Products'!D:D,'All Products'!M:M,FALSE)</f>
        <v>40049081164865</v>
      </c>
      <c r="T39" s="265">
        <f>_xlfn.XLOOKUP(E39,'All Products'!D:D,'All Products'!N:N,FALSE)</f>
        <v>9.7240000000000002</v>
      </c>
      <c r="U39" s="265" t="str">
        <f>_xlfn.XLOOKUP(F39,'All Products'!E:E,'All Products'!O:O,FALSE)</f>
        <v>-</v>
      </c>
      <c r="V39" s="265">
        <f>_xlfn.XLOOKUP(E39,'All Products'!D:D,'All Products'!P:P,FALSE)</f>
        <v>10.7</v>
      </c>
      <c r="W39" s="265">
        <f>_xlfn.XLOOKUP(E39,'All Products'!D:D,'All Products'!Q:Q,FALSE)</f>
        <v>1.1000000000000001</v>
      </c>
    </row>
    <row r="40" spans="1:23" ht="14.4">
      <c r="A40" s="101" t="str">
        <f>IF(K40&gt;0,COUNT($A$7:A39)
+COUNT('DWV PVC'!$A$9:$A$316)
+COUNT('DWV ABS'!$A$8:$A$116)
+COUNT('PVC SCH40'!$A$8:$A$424)
+COUNT('PVC SCH40 LD'!$A$8:$A$21)
+COUNT('Pool &amp; SPA Sweep Elbows'!$A$8:$A$11)
+COUNT('Pool &amp; SPA Pipe Extender'!$A$8:$A$10)
+COUNT('PVC SCH80'!$A$8:$A$249)+1,"")</f>
        <v/>
      </c>
      <c r="B40" s="610"/>
      <c r="C40" s="611"/>
      <c r="D40" s="416" t="str">
        <f>_xlfn.XLOOKUP(E40,'All Products'!D:D,'All Products'!C:C,FALSE)</f>
        <v>854-080-1</v>
      </c>
      <c r="E40" s="103">
        <v>100028051</v>
      </c>
      <c r="F40" s="417" t="str">
        <f>_xlfn.XLOOKUP(E40,'All Products'!D:D,'All Products'!E:E,FALSE)</f>
        <v>8 VANSTONE FLANGE SLIP O-RING TYPE</v>
      </c>
      <c r="G40" s="233">
        <f>_xlfn.XLOOKUP(E40,'All Products'!D:D,'All Products'!F:F,FALSE)</f>
        <v>1</v>
      </c>
      <c r="H40" s="196">
        <f>_xlfn.XLOOKUP(E40,'All Products'!D:D,'All Products'!G:G,FALSE)</f>
        <v>75</v>
      </c>
      <c r="I40" s="415">
        <f>_xlfn.XLOOKUP(E40,'All Products'!D:D,'All Products'!H:H,FALSE)</f>
        <v>417.68</v>
      </c>
      <c r="J40" s="130">
        <f>ROUND(I40*Order_Quote!$L$9,2)</f>
        <v>417.68</v>
      </c>
      <c r="K40" s="75"/>
      <c r="L40" s="113"/>
      <c r="M40" s="171">
        <f t="shared" si="0"/>
        <v>0</v>
      </c>
      <c r="N40" s="225"/>
      <c r="O40" s="265" t="str">
        <f>_xlfn.XLOOKUP(E40,'All Products'!D:D,'All Products'!I:I,FALSE)</f>
        <v>Within 3 Weeks</v>
      </c>
      <c r="P40" s="265" t="str">
        <f>_xlfn.XLOOKUP(E40,'All Products'!D:D,'All Products'!J:J,FALSE)</f>
        <v>Manufactured</v>
      </c>
      <c r="Q40" s="266">
        <f>_xlfn.XLOOKUP(E40,'All Products'!D:D,'All Products'!K:K,FALSE)</f>
        <v>49081164799</v>
      </c>
      <c r="R40" s="266" t="str">
        <f>_xlfn.XLOOKUP(E40,'All Products'!D:D,'All Products'!L:L,FALSE)</f>
        <v>-</v>
      </c>
      <c r="S40" s="266">
        <f>_xlfn.XLOOKUP(E40,'All Products'!D:D,'All Products'!M:M,FALSE)</f>
        <v>40049081164797</v>
      </c>
      <c r="T40" s="265">
        <f>_xlfn.XLOOKUP(E40,'All Products'!D:D,'All Products'!N:N,FALSE)</f>
        <v>9.7230000000000008</v>
      </c>
      <c r="U40" s="265" t="str">
        <f>_xlfn.XLOOKUP(F40,'All Products'!E:E,'All Products'!O:O,FALSE)</f>
        <v>-</v>
      </c>
      <c r="V40" s="265">
        <f>_xlfn.XLOOKUP(E40,'All Products'!D:D,'All Products'!P:P,FALSE)</f>
        <v>10.08</v>
      </c>
      <c r="W40" s="265">
        <f>_xlfn.XLOOKUP(E40,'All Products'!D:D,'All Products'!Q:Q,FALSE)</f>
        <v>1.1000000000000001</v>
      </c>
    </row>
    <row r="41" spans="1:23" ht="14.4">
      <c r="A41" s="101" t="str">
        <f>IF(K41&gt;0,COUNT($A$7:A40)
+COUNT('DWV PVC'!$A$9:$A$316)
+COUNT('DWV ABS'!$A$8:$A$116)
+COUNT('PVC SCH40'!$A$8:$A$424)
+COUNT('PVC SCH40 LD'!$A$8:$A$21)
+COUNT('Pool &amp; SPA Sweep Elbows'!$A$8:$A$11)
+COUNT('Pool &amp; SPA Pipe Extender'!$A$8:$A$10)
+COUNT('PVC SCH80'!$A$8:$A$249)+1,"")</f>
        <v/>
      </c>
      <c r="B41" s="608"/>
      <c r="C41" s="609"/>
      <c r="D41" s="416" t="str">
        <f>_xlfn.XLOOKUP(E41,'All Products'!D:D,'All Products'!C:C,FALSE)</f>
        <v>856-020-1</v>
      </c>
      <c r="E41" s="103">
        <v>100028054</v>
      </c>
      <c r="F41" s="417" t="str">
        <f>_xlfn.XLOOKUP(E41,'All Products'!D:D,'All Products'!E:E,FALSE)</f>
        <v>2 VANSTONE FLANGE SPG O-RING TYPE</v>
      </c>
      <c r="G41" s="233">
        <f>_xlfn.XLOOKUP(E41,'All Products'!D:D,'All Products'!F:F,FALSE)</f>
        <v>5</v>
      </c>
      <c r="H41" s="196">
        <f>_xlfn.XLOOKUP(E41,'All Products'!D:D,'All Products'!G:G,FALSE)</f>
        <v>750</v>
      </c>
      <c r="I41" s="415">
        <f>_xlfn.XLOOKUP(E41,'All Products'!D:D,'All Products'!H:H,FALSE)</f>
        <v>75.59</v>
      </c>
      <c r="J41" s="130">
        <f>ROUND(I41*Order_Quote!$L$9,2)</f>
        <v>75.59</v>
      </c>
      <c r="K41" s="75"/>
      <c r="L41" s="113"/>
      <c r="M41" s="171">
        <f t="shared" si="0"/>
        <v>0</v>
      </c>
      <c r="N41" s="225"/>
      <c r="O41" s="265" t="str">
        <f>_xlfn.XLOOKUP(E41,'All Products'!D:D,'All Products'!I:I,FALSE)</f>
        <v>Within 3 Weeks</v>
      </c>
      <c r="P41" s="265" t="str">
        <f>_xlfn.XLOOKUP(E41,'All Products'!D:D,'All Products'!J:J,FALSE)</f>
        <v>Manufactured</v>
      </c>
      <c r="Q41" s="266">
        <f>_xlfn.XLOOKUP(E41,'All Products'!D:D,'All Products'!K:K,FALSE)</f>
        <v>49081160517</v>
      </c>
      <c r="R41" s="266" t="str">
        <f>_xlfn.XLOOKUP(E41,'All Products'!D:D,'All Products'!L:L,FALSE)</f>
        <v>-</v>
      </c>
      <c r="S41" s="266">
        <f>_xlfn.XLOOKUP(E41,'All Products'!D:D,'All Products'!M:M,FALSE)</f>
        <v>40049081160515</v>
      </c>
      <c r="T41" s="265">
        <f>_xlfn.XLOOKUP(E41,'All Products'!D:D,'All Products'!N:N,FALSE)</f>
        <v>1.67</v>
      </c>
      <c r="U41" s="265" t="str">
        <f>_xlfn.XLOOKUP(F41,'All Products'!E:E,'All Products'!O:O,FALSE)</f>
        <v>-</v>
      </c>
      <c r="V41" s="265">
        <f>_xlfn.XLOOKUP(E41,'All Products'!D:D,'All Products'!P:P,FALSE)</f>
        <v>5.36</v>
      </c>
      <c r="W41" s="265">
        <f>_xlfn.XLOOKUP(E41,'All Products'!D:D,'All Products'!Q:Q,FALSE)</f>
        <v>0.5</v>
      </c>
    </row>
    <row r="42" spans="1:23" ht="14.4">
      <c r="A42" s="101" t="str">
        <f>IF(K42&gt;0,COUNT($A$7:A41)
+COUNT('DWV PVC'!$A$9:$A$316)
+COUNT('DWV ABS'!$A$8:$A$116)
+COUNT('PVC SCH40'!$A$8:$A$424)
+COUNT('PVC SCH40 LD'!$A$8:$A$21)
+COUNT('Pool &amp; SPA Sweep Elbows'!$A$8:$A$11)
+COUNT('Pool &amp; SPA Pipe Extender'!$A$8:$A$10)
+COUNT('PVC SCH80'!$A$8:$A$249)+1,"")</f>
        <v/>
      </c>
      <c r="B42" s="610"/>
      <c r="C42" s="611"/>
      <c r="D42" s="416" t="str">
        <f>_xlfn.XLOOKUP(E42,'All Products'!D:D,'All Products'!C:C,FALSE)</f>
        <v>856-025-1</v>
      </c>
      <c r="E42" s="103">
        <v>100028057</v>
      </c>
      <c r="F42" s="417" t="str">
        <f>_xlfn.XLOOKUP(E42,'All Products'!D:D,'All Products'!E:E,FALSE)</f>
        <v>2-1/2 VANSTONE FLANGE SPG O-RING</v>
      </c>
      <c r="G42" s="233">
        <f>_xlfn.XLOOKUP(E42,'All Products'!D:D,'All Products'!F:F,FALSE)</f>
        <v>10</v>
      </c>
      <c r="H42" s="196">
        <f>_xlfn.XLOOKUP(E42,'All Products'!D:D,'All Products'!G:G,FALSE)</f>
        <v>750</v>
      </c>
      <c r="I42" s="415">
        <f>_xlfn.XLOOKUP(E42,'All Products'!D:D,'All Products'!H:H,FALSE)</f>
        <v>116.67</v>
      </c>
      <c r="J42" s="130">
        <f>ROUND(I42*Order_Quote!$L$9,2)</f>
        <v>116.67</v>
      </c>
      <c r="K42" s="75"/>
      <c r="L42" s="113"/>
      <c r="M42" s="171">
        <f t="shared" si="0"/>
        <v>0</v>
      </c>
      <c r="N42" s="225"/>
      <c r="O42" s="265" t="str">
        <f>_xlfn.XLOOKUP(E42,'All Products'!D:D,'All Products'!I:I,FALSE)</f>
        <v>Within 3 Weeks</v>
      </c>
      <c r="P42" s="265" t="str">
        <f>_xlfn.XLOOKUP(E42,'All Products'!D:D,'All Products'!J:J,FALSE)</f>
        <v>Manufactured</v>
      </c>
      <c r="Q42" s="266">
        <f>_xlfn.XLOOKUP(E42,'All Products'!D:D,'All Products'!K:K,FALSE)</f>
        <v>49081160524</v>
      </c>
      <c r="R42" s="266" t="str">
        <f>_xlfn.XLOOKUP(E42,'All Products'!D:D,'All Products'!L:L,FALSE)</f>
        <v>-</v>
      </c>
      <c r="S42" s="266">
        <f>_xlfn.XLOOKUP(E42,'All Products'!D:D,'All Products'!M:M,FALSE)</f>
        <v>40049081165022</v>
      </c>
      <c r="T42" s="265">
        <f>_xlfn.XLOOKUP(E42,'All Products'!D:D,'All Products'!N:N,FALSE)</f>
        <v>2.37</v>
      </c>
      <c r="U42" s="265" t="str">
        <f>_xlfn.XLOOKUP(F42,'All Products'!E:E,'All Products'!O:O,FALSE)</f>
        <v>-</v>
      </c>
      <c r="V42" s="265">
        <f>_xlfn.XLOOKUP(E42,'All Products'!D:D,'All Products'!P:P,FALSE)</f>
        <v>15.16</v>
      </c>
      <c r="W42" s="265">
        <f>_xlfn.XLOOKUP(E42,'All Products'!D:D,'All Products'!Q:Q,FALSE)</f>
        <v>0.95</v>
      </c>
    </row>
    <row r="43" spans="1:23" ht="14.4">
      <c r="A43" s="101" t="str">
        <f>IF(K43&gt;0,COUNT($A$7:A42)
+COUNT('DWV PVC'!$A$9:$A$316)
+COUNT('DWV ABS'!$A$8:$A$116)
+COUNT('PVC SCH40'!$A$8:$A$424)
+COUNT('PVC SCH40 LD'!$A$8:$A$21)
+COUNT('Pool &amp; SPA Sweep Elbows'!$A$8:$A$11)
+COUNT('Pool &amp; SPA Pipe Extender'!$A$8:$A$10)
+COUNT('PVC SCH80'!$A$8:$A$249)+1,"")</f>
        <v/>
      </c>
      <c r="B43" s="610"/>
      <c r="C43" s="611"/>
      <c r="D43" s="416" t="str">
        <f>_xlfn.XLOOKUP(E43,'All Products'!D:D,'All Products'!C:C,FALSE)</f>
        <v>856-030-1</v>
      </c>
      <c r="E43" s="103">
        <v>100028060</v>
      </c>
      <c r="F43" s="417" t="str">
        <f>_xlfn.XLOOKUP(E43,'All Products'!D:D,'All Products'!E:E,FALSE)</f>
        <v>3 VANSTONE FLANGE SPG O-RING TYPE</v>
      </c>
      <c r="G43" s="233">
        <f>_xlfn.XLOOKUP(E43,'All Products'!D:D,'All Products'!F:F,FALSE)</f>
        <v>5</v>
      </c>
      <c r="H43" s="196">
        <f>_xlfn.XLOOKUP(E43,'All Products'!D:D,'All Products'!G:G,FALSE)</f>
        <v>600</v>
      </c>
      <c r="I43" s="415">
        <f>_xlfn.XLOOKUP(E43,'All Products'!D:D,'All Products'!H:H,FALSE)</f>
        <v>128.9</v>
      </c>
      <c r="J43" s="130">
        <f>ROUND(I43*Order_Quote!$L$9,2)</f>
        <v>128.9</v>
      </c>
      <c r="K43" s="75"/>
      <c r="L43" s="113"/>
      <c r="M43" s="171">
        <f t="shared" si="0"/>
        <v>0</v>
      </c>
      <c r="N43" s="225"/>
      <c r="O43" s="265" t="str">
        <f>_xlfn.XLOOKUP(E43,'All Products'!D:D,'All Products'!I:I,FALSE)</f>
        <v>Within 3 Weeks</v>
      </c>
      <c r="P43" s="265" t="str">
        <f>_xlfn.XLOOKUP(E43,'All Products'!D:D,'All Products'!J:J,FALSE)</f>
        <v>Manufactured</v>
      </c>
      <c r="Q43" s="266">
        <f>_xlfn.XLOOKUP(E43,'All Products'!D:D,'All Products'!K:K,FALSE)</f>
        <v>49081160531</v>
      </c>
      <c r="R43" s="266" t="str">
        <f>_xlfn.XLOOKUP(E43,'All Products'!D:D,'All Products'!L:L,FALSE)</f>
        <v>-</v>
      </c>
      <c r="S43" s="266">
        <f>_xlfn.XLOOKUP(E43,'All Products'!D:D,'All Products'!M:M,FALSE)</f>
        <v>40049081160539</v>
      </c>
      <c r="T43" s="265">
        <f>_xlfn.XLOOKUP(E43,'All Products'!D:D,'All Products'!N:N,FALSE)</f>
        <v>3.0880000000000001</v>
      </c>
      <c r="U43" s="265" t="str">
        <f>_xlfn.XLOOKUP(F43,'All Products'!E:E,'All Products'!O:O,FALSE)</f>
        <v>-</v>
      </c>
      <c r="V43" s="265">
        <f>_xlfn.XLOOKUP(E43,'All Products'!D:D,'All Products'!P:P,FALSE)</f>
        <v>10.130000000000001</v>
      </c>
      <c r="W43" s="265">
        <f>_xlfn.XLOOKUP(E43,'All Products'!D:D,'All Products'!Q:Q,FALSE)</f>
        <v>0.65</v>
      </c>
    </row>
    <row r="44" spans="1:23" ht="14.4">
      <c r="A44" s="101" t="str">
        <f>IF(K44&gt;0,COUNT($A$7:A43)
+COUNT('DWV PVC'!$A$9:$A$316)
+COUNT('DWV ABS'!$A$8:$A$116)
+COUNT('PVC SCH40'!$A$8:$A$424)
+COUNT('PVC SCH40 LD'!$A$8:$A$21)
+COUNT('Pool &amp; SPA Sweep Elbows'!$A$8:$A$11)
+COUNT('Pool &amp; SPA Pipe Extender'!$A$8:$A$10)
+COUNT('PVC SCH80'!$A$8:$A$249)+1,"")</f>
        <v/>
      </c>
      <c r="B44" s="610"/>
      <c r="C44" s="611"/>
      <c r="D44" s="416" t="str">
        <f>_xlfn.XLOOKUP(E44,'All Products'!D:D,'All Products'!C:C,FALSE)</f>
        <v>856-040-1</v>
      </c>
      <c r="E44" s="103">
        <v>100028063</v>
      </c>
      <c r="F44" s="417" t="str">
        <f>_xlfn.XLOOKUP(E44,'All Products'!D:D,'All Products'!E:E,FALSE)</f>
        <v>4 VANSTONE FLANGE SPG O-RING TYPE</v>
      </c>
      <c r="G44" s="233">
        <f>_xlfn.XLOOKUP(E44,'All Products'!D:D,'All Products'!F:F,FALSE)</f>
        <v>4</v>
      </c>
      <c r="H44" s="196">
        <f>_xlfn.XLOOKUP(E44,'All Products'!D:D,'All Products'!G:G,FALSE)</f>
        <v>360</v>
      </c>
      <c r="I44" s="415">
        <f>_xlfn.XLOOKUP(E44,'All Products'!D:D,'All Products'!H:H,FALSE)</f>
        <v>163.13</v>
      </c>
      <c r="J44" s="130">
        <f>ROUND(I44*Order_Quote!$L$9,2)</f>
        <v>163.13</v>
      </c>
      <c r="K44" s="75"/>
      <c r="L44" s="113"/>
      <c r="M44" s="171">
        <f t="shared" si="0"/>
        <v>0</v>
      </c>
      <c r="N44" s="225"/>
      <c r="O44" s="265" t="str">
        <f>_xlfn.XLOOKUP(E44,'All Products'!D:D,'All Products'!I:I,FALSE)</f>
        <v>Within 3 Weeks</v>
      </c>
      <c r="P44" s="265" t="str">
        <f>_xlfn.XLOOKUP(E44,'All Products'!D:D,'All Products'!J:J,FALSE)</f>
        <v>Manufactured</v>
      </c>
      <c r="Q44" s="266">
        <f>_xlfn.XLOOKUP(E44,'All Products'!D:D,'All Products'!K:K,FALSE)</f>
        <v>49081160548</v>
      </c>
      <c r="R44" s="266" t="str">
        <f>_xlfn.XLOOKUP(E44,'All Products'!D:D,'All Products'!L:L,FALSE)</f>
        <v>-</v>
      </c>
      <c r="S44" s="266">
        <f>_xlfn.XLOOKUP(E44,'All Products'!D:D,'All Products'!M:M,FALSE)</f>
        <v>40049081160546</v>
      </c>
      <c r="T44" s="265">
        <f>_xlfn.XLOOKUP(E44,'All Products'!D:D,'All Products'!N:N,FALSE)</f>
        <v>3.0129999999999999</v>
      </c>
      <c r="U44" s="265" t="str">
        <f>_xlfn.XLOOKUP(F44,'All Products'!E:E,'All Products'!O:O,FALSE)</f>
        <v>-</v>
      </c>
      <c r="V44" s="265">
        <f>_xlfn.XLOOKUP(E44,'All Products'!D:D,'All Products'!P:P,FALSE)</f>
        <v>12.06</v>
      </c>
      <c r="W44" s="265">
        <f>_xlfn.XLOOKUP(E44,'All Products'!D:D,'All Products'!Q:Q,FALSE)</f>
        <v>0.8</v>
      </c>
    </row>
    <row r="45" spans="1:23" ht="14.4">
      <c r="A45" s="101" t="str">
        <f>IF(K45&gt;0,COUNT($A$7:A44)
+COUNT('DWV PVC'!$A$9:$A$316)
+COUNT('DWV ABS'!$A$8:$A$116)
+COUNT('PVC SCH40'!$A$8:$A$424)
+COUNT('PVC SCH40 LD'!$A$8:$A$21)
+COUNT('Pool &amp; SPA Sweep Elbows'!$A$8:$A$11)
+COUNT('Pool &amp; SPA Pipe Extender'!$A$8:$A$10)
+COUNT('PVC SCH80'!$A$8:$A$249)+1,"")</f>
        <v/>
      </c>
      <c r="B45" s="610"/>
      <c r="C45" s="611"/>
      <c r="D45" s="416" t="str">
        <f>_xlfn.XLOOKUP(E45,'All Products'!D:D,'All Products'!C:C,FALSE)</f>
        <v>856-050-1</v>
      </c>
      <c r="E45" s="103">
        <v>100028066</v>
      </c>
      <c r="F45" s="417" t="str">
        <f>_xlfn.XLOOKUP(E45,'All Products'!D:D,'All Products'!E:E,FALSE)</f>
        <v>5 VANSTONE FLANGE SPG O-RING TYPE</v>
      </c>
      <c r="G45" s="233">
        <f>_xlfn.XLOOKUP(E45,'All Products'!D:D,'All Products'!F:F,FALSE)</f>
        <v>2</v>
      </c>
      <c r="H45" s="196">
        <f>_xlfn.XLOOKUP(E45,'All Products'!D:D,'All Products'!G:G,FALSE)</f>
        <v>180</v>
      </c>
      <c r="I45" s="415">
        <f>_xlfn.XLOOKUP(E45,'All Products'!D:D,'All Products'!H:H,FALSE)</f>
        <v>256.57</v>
      </c>
      <c r="J45" s="130">
        <f>ROUND(I45*Order_Quote!$L$9,2)</f>
        <v>256.57</v>
      </c>
      <c r="K45" s="75"/>
      <c r="L45" s="113"/>
      <c r="M45" s="171">
        <f t="shared" si="0"/>
        <v>0</v>
      </c>
      <c r="N45" s="225"/>
      <c r="O45" s="265" t="str">
        <f>_xlfn.XLOOKUP(E45,'All Products'!D:D,'All Products'!I:I,FALSE)</f>
        <v>Within 3 Weeks</v>
      </c>
      <c r="P45" s="265" t="str">
        <f>_xlfn.XLOOKUP(E45,'All Products'!D:D,'All Products'!J:J,FALSE)</f>
        <v>Manufactured</v>
      </c>
      <c r="Q45" s="266">
        <f>_xlfn.XLOOKUP(E45,'All Products'!D:D,'All Products'!K:K,FALSE)</f>
        <v>49081160555</v>
      </c>
      <c r="R45" s="266" t="str">
        <f>_xlfn.XLOOKUP(E45,'All Products'!D:D,'All Products'!L:L,FALSE)</f>
        <v>-</v>
      </c>
      <c r="S45" s="266">
        <f>_xlfn.XLOOKUP(E45,'All Products'!D:D,'All Products'!M:M,FALSE)</f>
        <v>40049081160553</v>
      </c>
      <c r="T45" s="265">
        <f>_xlfn.XLOOKUP(E45,'All Products'!D:D,'All Products'!N:N,FALSE)</f>
        <v>6.2460000000000004</v>
      </c>
      <c r="U45" s="265" t="str">
        <f>_xlfn.XLOOKUP(F45,'All Products'!E:E,'All Products'!O:O,FALSE)</f>
        <v>-</v>
      </c>
      <c r="V45" s="265">
        <f>_xlfn.XLOOKUP(E45,'All Products'!D:D,'All Products'!P:P,FALSE)</f>
        <v>8.4499999999999993</v>
      </c>
      <c r="W45" s="265">
        <f>_xlfn.XLOOKUP(E45,'All Products'!D:D,'All Products'!Q:Q,FALSE)</f>
        <v>0.8</v>
      </c>
    </row>
    <row r="46" spans="1:23" ht="14.4">
      <c r="A46" s="101" t="str">
        <f>IF(K46&gt;0,COUNT($A$7:A45)
+COUNT('DWV PVC'!$A$9:$A$316)
+COUNT('DWV ABS'!$A$8:$A$116)
+COUNT('PVC SCH40'!$A$8:$A$424)
+COUNT('PVC SCH40 LD'!$A$8:$A$21)
+COUNT('Pool &amp; SPA Sweep Elbows'!$A$8:$A$11)
+COUNT('Pool &amp; SPA Pipe Extender'!$A$8:$A$10)
+COUNT('PVC SCH80'!$A$8:$A$249)+1,"")</f>
        <v/>
      </c>
      <c r="B46" s="610"/>
      <c r="C46" s="611"/>
      <c r="D46" s="416" t="str">
        <f>_xlfn.XLOOKUP(E46,'All Products'!D:D,'All Products'!C:C,FALSE)</f>
        <v>856-060</v>
      </c>
      <c r="E46" s="103">
        <v>100028068</v>
      </c>
      <c r="F46" s="417" t="str">
        <f>_xlfn.XLOOKUP(E46,'All Products'!D:D,'All Products'!E:E,FALSE)</f>
        <v>6 VANSTONE FLANGE SPG GASKET TYPE</v>
      </c>
      <c r="G46" s="233">
        <f>_xlfn.XLOOKUP(E46,'All Products'!D:D,'All Products'!F:F,FALSE)</f>
        <v>2</v>
      </c>
      <c r="H46" s="196">
        <f>_xlfn.XLOOKUP(E46,'All Products'!D:D,'All Products'!G:G,FALSE)</f>
        <v>150</v>
      </c>
      <c r="I46" s="415">
        <f>_xlfn.XLOOKUP(E46,'All Products'!D:D,'All Products'!H:H,FALSE)</f>
        <v>256.57</v>
      </c>
      <c r="J46" s="130">
        <f>ROUND(I46*Order_Quote!$L$9,2)</f>
        <v>256.57</v>
      </c>
      <c r="K46" s="75"/>
      <c r="L46" s="113"/>
      <c r="M46" s="171">
        <f>K46/G46</f>
        <v>0</v>
      </c>
      <c r="N46" s="225"/>
      <c r="O46" s="265" t="str">
        <f>_xlfn.XLOOKUP(E46,'All Products'!D:D,'All Products'!I:I,FALSE)</f>
        <v>In Stock</v>
      </c>
      <c r="P46" s="265" t="str">
        <f>_xlfn.XLOOKUP(E46,'All Products'!D:D,'All Products'!J:J,FALSE)</f>
        <v>Manufactured</v>
      </c>
      <c r="Q46" s="266">
        <f>_xlfn.XLOOKUP(E46,'All Products'!D:D,'All Products'!K:K,FALSE)</f>
        <v>49081165369</v>
      </c>
      <c r="R46" s="266" t="str">
        <f>_xlfn.XLOOKUP(E46,'All Products'!D:D,'All Products'!L:L,FALSE)</f>
        <v>-</v>
      </c>
      <c r="S46" s="266">
        <f>_xlfn.XLOOKUP(E46,'All Products'!D:D,'All Products'!M:M,FALSE)</f>
        <v>40049081165367</v>
      </c>
      <c r="T46" s="265">
        <f>_xlfn.XLOOKUP(E46,'All Products'!D:D,'All Products'!N:N,FALSE)</f>
        <v>4.74</v>
      </c>
      <c r="U46" s="265" t="str">
        <f>_xlfn.XLOOKUP(F46,'All Products'!E:E,'All Products'!O:O,FALSE)</f>
        <v>-</v>
      </c>
      <c r="V46" s="265">
        <f>_xlfn.XLOOKUP(E46,'All Products'!D:D,'All Products'!P:P,FALSE)</f>
        <v>9.85</v>
      </c>
      <c r="W46" s="265">
        <f>_xlfn.XLOOKUP(E46,'All Products'!D:D,'All Products'!Q:Q,FALSE)</f>
        <v>0.95</v>
      </c>
    </row>
    <row r="47" spans="1:23" ht="14.4">
      <c r="A47" s="101" t="str">
        <f>IF(K47&gt;0,COUNT($A$7:A46)
+COUNT('DWV PVC'!$A$9:$A$316)
+COUNT('DWV ABS'!$A$8:$A$116)
+COUNT('PVC SCH40'!$A$8:$A$424)
+COUNT('PVC SCH40 LD'!$A$8:$A$21)
+COUNT('Pool &amp; SPA Sweep Elbows'!$A$8:$A$11)
+COUNT('Pool &amp; SPA Pipe Extender'!$A$8:$A$10)
+COUNT('PVC SCH80'!$A$8:$A$249)+1,"")</f>
        <v/>
      </c>
      <c r="B47" s="610"/>
      <c r="C47" s="611"/>
      <c r="D47" s="416" t="str">
        <f>_xlfn.XLOOKUP(E47,'All Products'!D:D,'All Products'!C:C,FALSE)</f>
        <v>856-060-1</v>
      </c>
      <c r="E47" s="103">
        <v>100028069</v>
      </c>
      <c r="F47" s="417" t="str">
        <f>_xlfn.XLOOKUP(E47,'All Products'!D:D,'All Products'!E:E,FALSE)</f>
        <v>6 VANSTONE FLANGE SPG O-RING TYPE</v>
      </c>
      <c r="G47" s="233">
        <f>_xlfn.XLOOKUP(E47,'All Products'!D:D,'All Products'!F:F,FALSE)</f>
        <v>2</v>
      </c>
      <c r="H47" s="196">
        <f>_xlfn.XLOOKUP(E47,'All Products'!D:D,'All Products'!G:G,FALSE)</f>
        <v>150</v>
      </c>
      <c r="I47" s="415">
        <f>_xlfn.XLOOKUP(E47,'All Products'!D:D,'All Products'!H:H,FALSE)</f>
        <v>256.57</v>
      </c>
      <c r="J47" s="130">
        <f>ROUND(I47*Order_Quote!$L$9,2)</f>
        <v>256.57</v>
      </c>
      <c r="K47" s="75"/>
      <c r="L47" s="113"/>
      <c r="M47" s="171">
        <f>K47/G47</f>
        <v>0</v>
      </c>
      <c r="N47" s="225"/>
      <c r="O47" s="265" t="str">
        <f>_xlfn.XLOOKUP(E47,'All Products'!D:D,'All Products'!I:I,FALSE)</f>
        <v>Within 3 Weeks</v>
      </c>
      <c r="P47" s="265" t="str">
        <f>_xlfn.XLOOKUP(E47,'All Products'!D:D,'All Products'!J:J,FALSE)</f>
        <v>Manufactured</v>
      </c>
      <c r="Q47" s="266">
        <f>_xlfn.XLOOKUP(E47,'All Products'!D:D,'All Products'!K:K,FALSE)</f>
        <v>49081160562</v>
      </c>
      <c r="R47" s="266" t="str">
        <f>_xlfn.XLOOKUP(E47,'All Products'!D:D,'All Products'!L:L,FALSE)</f>
        <v>-</v>
      </c>
      <c r="S47" s="266">
        <f>_xlfn.XLOOKUP(E47,'All Products'!D:D,'All Products'!M:M,FALSE)</f>
        <v>40049081160560</v>
      </c>
      <c r="T47" s="265">
        <f>_xlfn.XLOOKUP(E47,'All Products'!D:D,'All Products'!N:N,FALSE)</f>
        <v>4.7110000000000003</v>
      </c>
      <c r="U47" s="265" t="str">
        <f>_xlfn.XLOOKUP(F47,'All Products'!E:E,'All Products'!O:O,FALSE)</f>
        <v>-</v>
      </c>
      <c r="V47" s="265">
        <f>_xlfn.XLOOKUP(E47,'All Products'!D:D,'All Products'!P:P,FALSE)</f>
        <v>9.92</v>
      </c>
      <c r="W47" s="265">
        <f>_xlfn.XLOOKUP(E47,'All Products'!D:D,'All Products'!Q:Q,FALSE)</f>
        <v>0.95</v>
      </c>
    </row>
    <row r="48" spans="1:23" ht="14.4">
      <c r="A48" s="101" t="str">
        <f>IF(K48&gt;0,COUNT($A$7:A47)
+COUNT('DWV PVC'!$A$9:$A$316)
+COUNT('DWV ABS'!$A$8:$A$116)
+COUNT('PVC SCH40'!$A$8:$A$424)
+COUNT('PVC SCH40 LD'!$A$8:$A$21)
+COUNT('Pool &amp; SPA Sweep Elbows'!$A$8:$A$11)
+COUNT('Pool &amp; SPA Pipe Extender'!$A$8:$A$10)
+COUNT('PVC SCH80'!$A$8:$A$249)+1,"")</f>
        <v/>
      </c>
      <c r="B48" s="612"/>
      <c r="C48" s="613"/>
      <c r="D48" s="416" t="str">
        <f>_xlfn.XLOOKUP(E48,'All Products'!D:D,'All Products'!C:C,FALSE)</f>
        <v>856-080-1</v>
      </c>
      <c r="E48" s="103">
        <v>100028072</v>
      </c>
      <c r="F48" s="417" t="str">
        <f>_xlfn.XLOOKUP(E48,'All Products'!D:D,'All Products'!E:E,FALSE)</f>
        <v>8 VANSTONE FLANGE SPG O-RING TYPE</v>
      </c>
      <c r="G48" s="233">
        <f>_xlfn.XLOOKUP(E48,'All Products'!D:D,'All Products'!F:F,FALSE)</f>
        <v>1</v>
      </c>
      <c r="H48" s="196">
        <f>_xlfn.XLOOKUP(E48,'All Products'!D:D,'All Products'!G:G,FALSE)</f>
        <v>75</v>
      </c>
      <c r="I48" s="415">
        <f>_xlfn.XLOOKUP(E48,'All Products'!D:D,'All Products'!H:H,FALSE)</f>
        <v>417.68</v>
      </c>
      <c r="J48" s="130">
        <f>ROUND(I48*Order_Quote!$L$9,2)</f>
        <v>417.68</v>
      </c>
      <c r="K48" s="75"/>
      <c r="L48" s="113"/>
      <c r="M48" s="171">
        <f>K48/G48</f>
        <v>0</v>
      </c>
      <c r="N48" s="225"/>
      <c r="O48" s="265" t="str">
        <f>_xlfn.XLOOKUP(E48,'All Products'!D:D,'All Products'!I:I,FALSE)</f>
        <v>Within 3 Weeks</v>
      </c>
      <c r="P48" s="265" t="str">
        <f>_xlfn.XLOOKUP(E48,'All Products'!D:D,'All Products'!J:J,FALSE)</f>
        <v>Manufactured</v>
      </c>
      <c r="Q48" s="266">
        <f>_xlfn.XLOOKUP(E48,'All Products'!D:D,'All Products'!K:K,FALSE)</f>
        <v>49081160579</v>
      </c>
      <c r="R48" s="266" t="str">
        <f>_xlfn.XLOOKUP(E48,'All Products'!D:D,'All Products'!L:L,FALSE)</f>
        <v>-</v>
      </c>
      <c r="S48" s="266">
        <f>_xlfn.XLOOKUP(E48,'All Products'!D:D,'All Products'!M:M,FALSE)</f>
        <v>40049081160577</v>
      </c>
      <c r="T48" s="265">
        <f>_xlfn.XLOOKUP(E48,'All Products'!D:D,'All Products'!N:N,FALSE)</f>
        <v>14.032999999999999</v>
      </c>
      <c r="U48" s="265" t="str">
        <f>_xlfn.XLOOKUP(F48,'All Products'!E:E,'All Products'!O:O,FALSE)</f>
        <v>-</v>
      </c>
      <c r="V48" s="265">
        <f>_xlfn.XLOOKUP(E48,'All Products'!D:D,'All Products'!P:P,FALSE)</f>
        <v>9.94</v>
      </c>
      <c r="W48" s="265">
        <f>_xlfn.XLOOKUP(E48,'All Products'!D:D,'All Products'!Q:Q,FALSE)</f>
        <v>1.1000000000000001</v>
      </c>
    </row>
    <row r="49" spans="1:23" ht="14.4">
      <c r="A49" s="101">
        <f>MAX(A8:A48)+1</f>
        <v>1</v>
      </c>
    </row>
    <row r="50" spans="1:23" ht="14.4"/>
    <row r="51" spans="1:23" ht="14.4"/>
    <row r="52" spans="1:23" ht="14.4"/>
    <row r="53" spans="1:23" ht="14.4"/>
    <row r="54" spans="1:23" ht="14.4"/>
    <row r="55" spans="1:23" ht="14.4"/>
    <row r="56" spans="1:23" ht="14.4"/>
    <row r="57" spans="1:23" ht="14.4"/>
    <row r="58" spans="1:23" ht="14.4"/>
    <row r="59" spans="1:23" ht="14.4"/>
    <row r="60" spans="1:23" ht="14.4"/>
    <row r="61" spans="1:23" ht="14.4"/>
    <row r="62" spans="1:23" ht="14.4"/>
    <row r="63" spans="1:23" s="101" customFormat="1" ht="14.4">
      <c r="B63" s="17"/>
      <c r="C63" s="17"/>
      <c r="D63" s="20"/>
      <c r="E63" s="20"/>
      <c r="F63" s="184"/>
      <c r="G63" s="390"/>
      <c r="H63" s="392"/>
      <c r="I63" s="414"/>
      <c r="J63" s="25"/>
      <c r="K63" s="20"/>
      <c r="L63" s="20"/>
      <c r="M63" s="20"/>
      <c r="N63" s="17"/>
      <c r="O63" s="20"/>
      <c r="P63" s="20"/>
      <c r="Q63" s="390"/>
      <c r="R63" s="20"/>
      <c r="S63" s="390"/>
      <c r="T63" s="352"/>
      <c r="U63" s="17"/>
      <c r="V63" s="352"/>
      <c r="W63" s="352"/>
    </row>
    <row r="64" spans="1:23" s="101" customFormat="1" ht="14.4">
      <c r="B64" s="17"/>
      <c r="C64" s="17"/>
      <c r="D64" s="20"/>
      <c r="E64" s="20"/>
      <c r="F64" s="184"/>
      <c r="G64" s="390"/>
      <c r="H64" s="392"/>
      <c r="I64" s="414"/>
      <c r="J64" s="25"/>
      <c r="K64" s="20"/>
      <c r="L64" s="20"/>
      <c r="M64" s="20"/>
      <c r="N64" s="17"/>
      <c r="O64" s="20"/>
      <c r="P64" s="20"/>
      <c r="Q64" s="390"/>
      <c r="R64" s="20"/>
      <c r="S64" s="390"/>
      <c r="T64" s="352"/>
      <c r="U64" s="17"/>
      <c r="V64" s="352"/>
      <c r="W64" s="352"/>
    </row>
    <row r="65" spans="2:23" s="101" customFormat="1" ht="14.4">
      <c r="B65" s="17"/>
      <c r="C65" s="17"/>
      <c r="D65" s="20"/>
      <c r="E65" s="20"/>
      <c r="F65" s="184"/>
      <c r="G65" s="390"/>
      <c r="H65" s="392"/>
      <c r="I65" s="414"/>
      <c r="J65" s="25"/>
      <c r="K65" s="20"/>
      <c r="L65" s="20"/>
      <c r="M65" s="20"/>
      <c r="N65" s="17"/>
      <c r="O65" s="20"/>
      <c r="P65" s="20"/>
      <c r="Q65" s="390"/>
      <c r="R65" s="20"/>
      <c r="S65" s="390"/>
      <c r="T65" s="352"/>
      <c r="U65" s="17"/>
      <c r="V65" s="352"/>
      <c r="W65" s="352"/>
    </row>
    <row r="66" spans="2:23" s="101" customFormat="1" ht="14.4">
      <c r="B66" s="17"/>
      <c r="C66" s="17"/>
      <c r="D66" s="20"/>
      <c r="E66" s="20"/>
      <c r="F66" s="184"/>
      <c r="G66" s="390"/>
      <c r="H66" s="392"/>
      <c r="I66" s="414"/>
      <c r="J66" s="25"/>
      <c r="K66" s="20"/>
      <c r="L66" s="20"/>
      <c r="M66" s="20"/>
      <c r="N66" s="17"/>
      <c r="O66" s="20"/>
      <c r="P66" s="20"/>
      <c r="Q66" s="390"/>
      <c r="R66" s="20"/>
      <c r="S66" s="390"/>
      <c r="T66" s="352"/>
      <c r="U66" s="17"/>
      <c r="V66" s="352"/>
      <c r="W66" s="352"/>
    </row>
    <row r="67" spans="2:23" s="101" customFormat="1" ht="14.4">
      <c r="B67" s="17"/>
      <c r="C67" s="17"/>
      <c r="D67" s="20"/>
      <c r="E67" s="20"/>
      <c r="F67" s="184"/>
      <c r="G67" s="390"/>
      <c r="H67" s="392"/>
      <c r="I67" s="414"/>
      <c r="J67" s="25"/>
      <c r="K67" s="20"/>
      <c r="L67" s="20"/>
      <c r="M67" s="20"/>
      <c r="N67" s="17"/>
      <c r="O67" s="20"/>
      <c r="P67" s="20"/>
      <c r="Q67" s="390"/>
      <c r="R67" s="20"/>
      <c r="S67" s="390"/>
      <c r="T67" s="352"/>
      <c r="U67" s="17"/>
      <c r="V67" s="352"/>
      <c r="W67" s="352"/>
    </row>
    <row r="68" spans="2:23" s="101" customFormat="1" ht="14.4">
      <c r="B68" s="17"/>
      <c r="C68" s="17"/>
      <c r="D68" s="20"/>
      <c r="E68" s="20"/>
      <c r="F68" s="184"/>
      <c r="G68" s="390"/>
      <c r="H68" s="392"/>
      <c r="I68" s="414"/>
      <c r="J68" s="25"/>
      <c r="K68" s="20"/>
      <c r="L68" s="20"/>
      <c r="M68" s="20"/>
      <c r="N68" s="17"/>
      <c r="O68" s="20"/>
      <c r="P68" s="20"/>
      <c r="Q68" s="390"/>
      <c r="R68" s="20"/>
      <c r="S68" s="390"/>
      <c r="T68" s="352"/>
      <c r="U68" s="17"/>
      <c r="V68" s="352"/>
      <c r="W68" s="352"/>
    </row>
    <row r="69" spans="2:23" s="101" customFormat="1" ht="14.4">
      <c r="B69" s="17"/>
      <c r="C69" s="17"/>
      <c r="D69" s="20"/>
      <c r="E69" s="20"/>
      <c r="F69" s="184"/>
      <c r="G69" s="390"/>
      <c r="H69" s="392"/>
      <c r="I69" s="414"/>
      <c r="J69" s="25"/>
      <c r="K69" s="20"/>
      <c r="L69" s="20"/>
      <c r="M69" s="20"/>
      <c r="N69" s="17"/>
      <c r="O69" s="20"/>
      <c r="P69" s="20"/>
      <c r="Q69" s="390"/>
      <c r="R69" s="20"/>
      <c r="S69" s="390"/>
      <c r="T69" s="352"/>
      <c r="U69" s="17"/>
      <c r="V69" s="352"/>
      <c r="W69" s="352"/>
    </row>
    <row r="70" spans="2:23" s="101" customFormat="1" ht="14.4">
      <c r="B70" s="17"/>
      <c r="C70" s="17"/>
      <c r="D70" s="20"/>
      <c r="E70" s="20"/>
      <c r="F70" s="184"/>
      <c r="G70" s="390"/>
      <c r="H70" s="392"/>
      <c r="I70" s="414"/>
      <c r="J70" s="25"/>
      <c r="K70" s="20"/>
      <c r="L70" s="20"/>
      <c r="M70" s="20"/>
      <c r="N70" s="17"/>
      <c r="O70" s="20"/>
      <c r="P70" s="20"/>
      <c r="Q70" s="390"/>
      <c r="R70" s="20"/>
      <c r="S70" s="390"/>
      <c r="T70" s="352"/>
      <c r="U70" s="17"/>
      <c r="V70" s="352"/>
      <c r="W70" s="352"/>
    </row>
    <row r="71" spans="2:23" s="101" customFormat="1" ht="14.4">
      <c r="B71" s="17"/>
      <c r="C71" s="17"/>
      <c r="D71" s="20"/>
      <c r="E71" s="20"/>
      <c r="F71" s="184"/>
      <c r="G71" s="390"/>
      <c r="H71" s="392"/>
      <c r="I71" s="414"/>
      <c r="J71" s="25"/>
      <c r="K71" s="20"/>
      <c r="L71" s="20"/>
      <c r="M71" s="20"/>
      <c r="N71" s="17"/>
      <c r="O71" s="20"/>
      <c r="P71" s="20"/>
      <c r="Q71" s="390"/>
      <c r="R71" s="20"/>
      <c r="S71" s="390"/>
      <c r="T71" s="352"/>
      <c r="U71" s="17"/>
      <c r="V71" s="352"/>
      <c r="W71" s="352"/>
    </row>
    <row r="72" spans="2:23" s="101" customFormat="1" ht="14.4">
      <c r="B72" s="17"/>
      <c r="C72" s="17"/>
      <c r="D72" s="20"/>
      <c r="E72" s="20"/>
      <c r="F72" s="184"/>
      <c r="G72" s="390"/>
      <c r="H72" s="392"/>
      <c r="I72" s="414"/>
      <c r="J72" s="25"/>
      <c r="K72" s="20"/>
      <c r="L72" s="20"/>
      <c r="M72" s="20"/>
      <c r="N72" s="17"/>
      <c r="O72" s="20"/>
      <c r="P72" s="20"/>
      <c r="Q72" s="390"/>
      <c r="R72" s="20"/>
      <c r="S72" s="390"/>
      <c r="T72" s="352"/>
      <c r="U72" s="17"/>
      <c r="V72" s="352"/>
      <c r="W72" s="352"/>
    </row>
    <row r="73" spans="2:23" s="101" customFormat="1" ht="14.4">
      <c r="B73" s="17"/>
      <c r="C73" s="17"/>
      <c r="D73" s="20"/>
      <c r="E73" s="20"/>
      <c r="F73" s="184"/>
      <c r="G73" s="390"/>
      <c r="H73" s="392"/>
      <c r="I73" s="414"/>
      <c r="J73" s="25"/>
      <c r="K73" s="20"/>
      <c r="L73" s="20"/>
      <c r="M73" s="20"/>
      <c r="N73" s="17"/>
      <c r="O73" s="20"/>
      <c r="P73" s="20"/>
      <c r="Q73" s="390"/>
      <c r="R73" s="20"/>
      <c r="S73" s="390"/>
      <c r="T73" s="352"/>
      <c r="U73" s="17"/>
      <c r="V73" s="352"/>
      <c r="W73" s="352"/>
    </row>
    <row r="74" spans="2:23" s="101" customFormat="1" ht="14.4">
      <c r="B74" s="17"/>
      <c r="C74" s="17"/>
      <c r="D74" s="20"/>
      <c r="E74" s="20"/>
      <c r="F74" s="184"/>
      <c r="G74" s="390"/>
      <c r="H74" s="392"/>
      <c r="I74" s="414"/>
      <c r="J74" s="25"/>
      <c r="K74" s="20"/>
      <c r="L74" s="20"/>
      <c r="M74" s="20"/>
      <c r="N74" s="17"/>
      <c r="O74" s="20"/>
      <c r="P74" s="20"/>
      <c r="Q74" s="390"/>
      <c r="R74" s="20"/>
      <c r="S74" s="390"/>
      <c r="T74" s="352"/>
      <c r="U74" s="17"/>
      <c r="V74" s="352"/>
      <c r="W74" s="352"/>
    </row>
    <row r="75" spans="2:23" s="101" customFormat="1" ht="14.4">
      <c r="B75" s="17"/>
      <c r="C75" s="17"/>
      <c r="D75" s="20"/>
      <c r="E75" s="20"/>
      <c r="F75" s="184"/>
      <c r="G75" s="390"/>
      <c r="H75" s="392"/>
      <c r="I75" s="414"/>
      <c r="J75" s="25"/>
      <c r="K75" s="20"/>
      <c r="L75" s="20"/>
      <c r="M75" s="20"/>
      <c r="N75" s="17"/>
      <c r="O75" s="20"/>
      <c r="P75" s="20"/>
      <c r="Q75" s="390"/>
      <c r="R75" s="20"/>
      <c r="S75" s="390"/>
      <c r="T75" s="352"/>
      <c r="U75" s="17"/>
      <c r="V75" s="352"/>
      <c r="W75" s="352"/>
    </row>
    <row r="76" spans="2:23" s="101" customFormat="1" ht="14.4">
      <c r="B76" s="17"/>
      <c r="C76" s="17"/>
      <c r="D76" s="20"/>
      <c r="E76" s="20"/>
      <c r="F76" s="184"/>
      <c r="G76" s="390"/>
      <c r="H76" s="392"/>
      <c r="I76" s="414"/>
      <c r="J76" s="25"/>
      <c r="K76" s="20"/>
      <c r="L76" s="20"/>
      <c r="M76" s="20"/>
      <c r="N76" s="17"/>
      <c r="O76" s="20"/>
      <c r="P76" s="20"/>
      <c r="Q76" s="390"/>
      <c r="R76" s="20"/>
      <c r="S76" s="390"/>
      <c r="T76" s="352"/>
      <c r="U76" s="17"/>
      <c r="V76" s="352"/>
      <c r="W76" s="352"/>
    </row>
    <row r="77" spans="2:23" s="101" customFormat="1" ht="14.4">
      <c r="B77" s="17"/>
      <c r="C77" s="17"/>
      <c r="D77" s="20"/>
      <c r="E77" s="20"/>
      <c r="F77" s="184"/>
      <c r="G77" s="390"/>
      <c r="H77" s="392"/>
      <c r="I77" s="414"/>
      <c r="J77" s="25"/>
      <c r="K77" s="20"/>
      <c r="L77" s="20"/>
      <c r="M77" s="20"/>
      <c r="N77" s="17"/>
      <c r="O77" s="20"/>
      <c r="P77" s="20"/>
      <c r="Q77" s="390"/>
      <c r="R77" s="20"/>
      <c r="S77" s="390"/>
      <c r="T77" s="352"/>
      <c r="U77" s="17"/>
      <c r="V77" s="352"/>
      <c r="W77" s="352"/>
    </row>
    <row r="78" spans="2:23" s="101" customFormat="1" ht="14.4">
      <c r="B78" s="17"/>
      <c r="C78" s="17"/>
      <c r="D78" s="20"/>
      <c r="E78" s="20"/>
      <c r="F78" s="184"/>
      <c r="G78" s="390"/>
      <c r="H78" s="392"/>
      <c r="I78" s="414"/>
      <c r="J78" s="25"/>
      <c r="K78" s="20"/>
      <c r="L78" s="20"/>
      <c r="M78" s="20"/>
      <c r="N78" s="17"/>
      <c r="O78" s="20"/>
      <c r="P78" s="20"/>
      <c r="Q78" s="390"/>
      <c r="R78" s="20"/>
      <c r="S78" s="390"/>
      <c r="T78" s="352"/>
      <c r="U78" s="17"/>
      <c r="V78" s="352"/>
      <c r="W78" s="352"/>
    </row>
    <row r="79" spans="2:23" s="101" customFormat="1" ht="14.4">
      <c r="B79" s="17"/>
      <c r="C79" s="17"/>
      <c r="D79" s="20"/>
      <c r="E79" s="20"/>
      <c r="F79" s="184"/>
      <c r="G79" s="390"/>
      <c r="H79" s="392"/>
      <c r="I79" s="414"/>
      <c r="J79" s="25"/>
      <c r="K79" s="20"/>
      <c r="L79" s="20"/>
      <c r="M79" s="20"/>
      <c r="N79" s="17"/>
      <c r="O79" s="20"/>
      <c r="P79" s="20"/>
      <c r="Q79" s="390"/>
      <c r="R79" s="20"/>
      <c r="S79" s="390"/>
      <c r="T79" s="352"/>
      <c r="U79" s="17"/>
      <c r="V79" s="352"/>
      <c r="W79" s="352"/>
    </row>
    <row r="80" spans="2:23" s="101" customFormat="1" ht="14.4">
      <c r="B80" s="17"/>
      <c r="C80" s="17"/>
      <c r="D80" s="20"/>
      <c r="E80" s="20"/>
      <c r="F80" s="184"/>
      <c r="G80" s="390"/>
      <c r="H80" s="392"/>
      <c r="I80" s="414"/>
      <c r="J80" s="25"/>
      <c r="K80" s="20"/>
      <c r="L80" s="20"/>
      <c r="M80" s="20"/>
      <c r="N80" s="17"/>
      <c r="O80" s="20"/>
      <c r="P80" s="20"/>
      <c r="Q80" s="390"/>
      <c r="R80" s="20"/>
      <c r="S80" s="390"/>
      <c r="T80" s="352"/>
      <c r="U80" s="17"/>
      <c r="V80" s="352"/>
      <c r="W80" s="352"/>
    </row>
    <row r="81" spans="2:23" s="101" customFormat="1" ht="14.4">
      <c r="B81" s="17"/>
      <c r="C81" s="17"/>
      <c r="D81" s="20"/>
      <c r="E81" s="20"/>
      <c r="F81" s="184"/>
      <c r="G81" s="390"/>
      <c r="H81" s="392"/>
      <c r="I81" s="414"/>
      <c r="J81" s="25"/>
      <c r="K81" s="20"/>
      <c r="L81" s="20"/>
      <c r="M81" s="20"/>
      <c r="N81" s="17"/>
      <c r="O81" s="20"/>
      <c r="P81" s="20"/>
      <c r="Q81" s="390"/>
      <c r="R81" s="20"/>
      <c r="S81" s="390"/>
      <c r="T81" s="352"/>
      <c r="U81" s="17"/>
      <c r="V81" s="352"/>
      <c r="W81" s="352"/>
    </row>
    <row r="82" spans="2:23" s="101" customFormat="1" ht="14.4">
      <c r="B82" s="17"/>
      <c r="C82" s="17"/>
      <c r="D82" s="20"/>
      <c r="E82" s="20"/>
      <c r="F82" s="184"/>
      <c r="G82" s="390"/>
      <c r="H82" s="392"/>
      <c r="I82" s="414"/>
      <c r="J82" s="25"/>
      <c r="K82" s="20"/>
      <c r="L82" s="20"/>
      <c r="M82" s="20"/>
      <c r="N82" s="17"/>
      <c r="O82" s="20"/>
      <c r="P82" s="20"/>
      <c r="Q82" s="390"/>
      <c r="R82" s="20"/>
      <c r="S82" s="390"/>
      <c r="T82" s="352"/>
      <c r="U82" s="17"/>
      <c r="V82" s="352"/>
      <c r="W82" s="352"/>
    </row>
    <row r="83" spans="2:23" s="101" customFormat="1" ht="14.4">
      <c r="B83" s="17"/>
      <c r="C83" s="17"/>
      <c r="D83" s="20"/>
      <c r="E83" s="20"/>
      <c r="F83" s="184"/>
      <c r="G83" s="390"/>
      <c r="H83" s="392"/>
      <c r="I83" s="414"/>
      <c r="J83" s="25"/>
      <c r="K83" s="20"/>
      <c r="L83" s="20"/>
      <c r="M83" s="20"/>
      <c r="N83" s="17"/>
      <c r="O83" s="20"/>
      <c r="P83" s="20"/>
      <c r="Q83" s="390"/>
      <c r="R83" s="20"/>
      <c r="S83" s="390"/>
      <c r="T83" s="352"/>
      <c r="U83" s="17"/>
      <c r="V83" s="352"/>
      <c r="W83" s="352"/>
    </row>
    <row r="84" spans="2:23" s="101" customFormat="1" ht="14.4">
      <c r="B84" s="17"/>
      <c r="C84" s="17"/>
      <c r="D84" s="20"/>
      <c r="E84" s="20"/>
      <c r="F84" s="184"/>
      <c r="G84" s="390"/>
      <c r="H84" s="392"/>
      <c r="I84" s="414"/>
      <c r="J84" s="25"/>
      <c r="K84" s="20"/>
      <c r="L84" s="20"/>
      <c r="M84" s="20"/>
      <c r="N84" s="17"/>
      <c r="O84" s="20"/>
      <c r="P84" s="20"/>
      <c r="Q84" s="390"/>
      <c r="R84" s="20"/>
      <c r="S84" s="390"/>
      <c r="T84" s="352"/>
      <c r="U84" s="17"/>
      <c r="V84" s="352"/>
      <c r="W84" s="352"/>
    </row>
    <row r="85" spans="2:23" s="101" customFormat="1" ht="14.4">
      <c r="B85" s="17"/>
      <c r="C85" s="17"/>
      <c r="D85" s="20"/>
      <c r="E85" s="20"/>
      <c r="F85" s="184"/>
      <c r="G85" s="390"/>
      <c r="H85" s="392"/>
      <c r="I85" s="414"/>
      <c r="J85" s="25"/>
      <c r="K85" s="20"/>
      <c r="L85" s="20"/>
      <c r="M85" s="20"/>
      <c r="N85" s="17"/>
      <c r="O85" s="20"/>
      <c r="P85" s="20"/>
      <c r="Q85" s="390"/>
      <c r="R85" s="20"/>
      <c r="S85" s="390"/>
      <c r="T85" s="352"/>
      <c r="U85" s="17"/>
      <c r="V85" s="352"/>
      <c r="W85" s="352"/>
    </row>
    <row r="86" spans="2:23" s="101" customFormat="1" ht="14.4">
      <c r="B86" s="17"/>
      <c r="C86" s="17"/>
      <c r="D86" s="20"/>
      <c r="E86" s="20"/>
      <c r="F86" s="184"/>
      <c r="G86" s="390"/>
      <c r="H86" s="392"/>
      <c r="I86" s="414"/>
      <c r="J86" s="25"/>
      <c r="K86" s="20"/>
      <c r="L86" s="20"/>
      <c r="M86" s="20"/>
      <c r="N86" s="17"/>
      <c r="O86" s="20"/>
      <c r="P86" s="20"/>
      <c r="Q86" s="390"/>
      <c r="R86" s="20"/>
      <c r="S86" s="390"/>
      <c r="T86" s="352"/>
      <c r="U86" s="17"/>
      <c r="V86" s="352"/>
      <c r="W86" s="352"/>
    </row>
    <row r="87" spans="2:23" s="101" customFormat="1" ht="14.4">
      <c r="B87" s="17"/>
      <c r="C87" s="17"/>
      <c r="D87" s="20"/>
      <c r="E87" s="20"/>
      <c r="F87" s="184"/>
      <c r="G87" s="390"/>
      <c r="H87" s="392"/>
      <c r="I87" s="414"/>
      <c r="J87" s="25"/>
      <c r="K87" s="20"/>
      <c r="L87" s="20"/>
      <c r="M87" s="20"/>
      <c r="N87" s="17"/>
      <c r="O87" s="20"/>
      <c r="P87" s="20"/>
      <c r="Q87" s="390"/>
      <c r="R87" s="20"/>
      <c r="S87" s="390"/>
      <c r="T87" s="352"/>
      <c r="U87" s="17"/>
      <c r="V87" s="352"/>
      <c r="W87" s="352"/>
    </row>
    <row r="88" spans="2:23" s="101" customFormat="1" ht="14.4">
      <c r="B88" s="17"/>
      <c r="C88" s="17"/>
      <c r="D88" s="20"/>
      <c r="E88" s="20"/>
      <c r="F88" s="184"/>
      <c r="G88" s="390"/>
      <c r="H88" s="392"/>
      <c r="I88" s="414"/>
      <c r="J88" s="25"/>
      <c r="K88" s="20"/>
      <c r="L88" s="20"/>
      <c r="M88" s="20"/>
      <c r="N88" s="17"/>
      <c r="O88" s="20"/>
      <c r="P88" s="20"/>
      <c r="Q88" s="390"/>
      <c r="R88" s="20"/>
      <c r="S88" s="390"/>
      <c r="T88" s="352"/>
      <c r="U88" s="17"/>
      <c r="V88" s="352"/>
      <c r="W88" s="352"/>
    </row>
    <row r="89" spans="2:23" s="101" customFormat="1" ht="14.4">
      <c r="B89" s="17"/>
      <c r="C89" s="17"/>
      <c r="D89" s="20"/>
      <c r="E89" s="20"/>
      <c r="F89" s="184"/>
      <c r="G89" s="390"/>
      <c r="H89" s="392"/>
      <c r="I89" s="414"/>
      <c r="J89" s="25"/>
      <c r="K89" s="20"/>
      <c r="L89" s="20"/>
      <c r="M89" s="20"/>
      <c r="N89" s="17"/>
      <c r="O89" s="20"/>
      <c r="P89" s="20"/>
      <c r="Q89" s="390"/>
      <c r="R89" s="20"/>
      <c r="S89" s="390"/>
      <c r="T89" s="352"/>
      <c r="U89" s="17"/>
      <c r="V89" s="352"/>
      <c r="W89" s="352"/>
    </row>
    <row r="90" spans="2:23" s="101" customFormat="1" ht="14.4">
      <c r="B90" s="17"/>
      <c r="C90" s="17"/>
      <c r="D90" s="20"/>
      <c r="E90" s="20"/>
      <c r="F90" s="184"/>
      <c r="G90" s="390"/>
      <c r="H90" s="392"/>
      <c r="I90" s="414"/>
      <c r="J90" s="25"/>
      <c r="K90" s="20"/>
      <c r="L90" s="20"/>
      <c r="M90" s="20"/>
      <c r="N90" s="17"/>
      <c r="O90" s="20"/>
      <c r="P90" s="20"/>
      <c r="Q90" s="390"/>
      <c r="R90" s="20"/>
      <c r="S90" s="390"/>
      <c r="T90" s="352"/>
      <c r="U90" s="17"/>
      <c r="V90" s="352"/>
      <c r="W90" s="352"/>
    </row>
    <row r="91" spans="2:23" s="101" customFormat="1" ht="14.4">
      <c r="B91" s="17"/>
      <c r="C91" s="17"/>
      <c r="D91" s="20"/>
      <c r="E91" s="20"/>
      <c r="F91" s="184"/>
      <c r="G91" s="390"/>
      <c r="H91" s="392"/>
      <c r="I91" s="414"/>
      <c r="J91" s="25"/>
      <c r="K91" s="20"/>
      <c r="L91" s="20"/>
      <c r="M91" s="20"/>
      <c r="N91" s="17"/>
      <c r="O91" s="20"/>
      <c r="P91" s="20"/>
      <c r="Q91" s="390"/>
      <c r="R91" s="20"/>
      <c r="S91" s="390"/>
      <c r="T91" s="352"/>
      <c r="U91" s="17"/>
      <c r="V91" s="352"/>
      <c r="W91" s="352"/>
    </row>
    <row r="92" spans="2:23" s="101" customFormat="1" ht="14.4">
      <c r="B92" s="17"/>
      <c r="C92" s="17"/>
      <c r="D92" s="20"/>
      <c r="E92" s="20"/>
      <c r="F92" s="184"/>
      <c r="G92" s="390"/>
      <c r="H92" s="392"/>
      <c r="I92" s="414"/>
      <c r="J92" s="25"/>
      <c r="K92" s="20"/>
      <c r="L92" s="20"/>
      <c r="M92" s="20"/>
      <c r="N92" s="17"/>
      <c r="O92" s="20"/>
      <c r="P92" s="20"/>
      <c r="Q92" s="390"/>
      <c r="R92" s="20"/>
      <c r="S92" s="390"/>
      <c r="T92" s="352"/>
      <c r="U92" s="17"/>
      <c r="V92" s="352"/>
      <c r="W92" s="352"/>
    </row>
    <row r="93" spans="2:23" s="101" customFormat="1" ht="14.4">
      <c r="B93" s="17"/>
      <c r="C93" s="17"/>
      <c r="D93" s="20"/>
      <c r="E93" s="20"/>
      <c r="F93" s="184"/>
      <c r="G93" s="390"/>
      <c r="H93" s="392"/>
      <c r="I93" s="414"/>
      <c r="J93" s="25"/>
      <c r="K93" s="20"/>
      <c r="L93" s="20"/>
      <c r="M93" s="20"/>
      <c r="N93" s="17"/>
      <c r="O93" s="20"/>
      <c r="P93" s="20"/>
      <c r="Q93" s="390"/>
      <c r="R93" s="20"/>
      <c r="S93" s="390"/>
      <c r="T93" s="352"/>
      <c r="U93" s="17"/>
      <c r="V93" s="352"/>
      <c r="W93" s="352"/>
    </row>
    <row r="94" spans="2:23" s="101" customFormat="1" ht="14.4">
      <c r="B94" s="17"/>
      <c r="C94" s="17"/>
      <c r="D94" s="20"/>
      <c r="E94" s="20"/>
      <c r="F94" s="184"/>
      <c r="G94" s="390"/>
      <c r="H94" s="392"/>
      <c r="I94" s="414"/>
      <c r="J94" s="25"/>
      <c r="K94" s="20"/>
      <c r="L94" s="20"/>
      <c r="M94" s="20"/>
      <c r="N94" s="17"/>
      <c r="O94" s="20"/>
      <c r="P94" s="20"/>
      <c r="Q94" s="390"/>
      <c r="R94" s="20"/>
      <c r="S94" s="390"/>
      <c r="T94" s="352"/>
      <c r="U94" s="17"/>
      <c r="V94" s="352"/>
      <c r="W94" s="352"/>
    </row>
    <row r="95" spans="2:23" s="101" customFormat="1" ht="14.4">
      <c r="B95" s="17"/>
      <c r="C95" s="17"/>
      <c r="D95" s="20"/>
      <c r="E95" s="20"/>
      <c r="F95" s="184"/>
      <c r="G95" s="390"/>
      <c r="H95" s="392"/>
      <c r="I95" s="414"/>
      <c r="J95" s="25"/>
      <c r="K95" s="20"/>
      <c r="L95" s="20"/>
      <c r="M95" s="20"/>
      <c r="N95" s="17"/>
      <c r="O95" s="20"/>
      <c r="P95" s="20"/>
      <c r="Q95" s="390"/>
      <c r="R95" s="20"/>
      <c r="S95" s="390"/>
      <c r="T95" s="352"/>
      <c r="U95" s="17"/>
      <c r="V95" s="352"/>
      <c r="W95" s="352"/>
    </row>
    <row r="96" spans="2:23" s="101" customFormat="1" ht="14.4">
      <c r="B96" s="17"/>
      <c r="C96" s="17"/>
      <c r="D96" s="20"/>
      <c r="E96" s="20"/>
      <c r="F96" s="184"/>
      <c r="G96" s="390"/>
      <c r="H96" s="392"/>
      <c r="I96" s="414"/>
      <c r="J96" s="25"/>
      <c r="K96" s="20"/>
      <c r="L96" s="20"/>
      <c r="M96" s="20"/>
      <c r="N96" s="17"/>
      <c r="O96" s="20"/>
      <c r="P96" s="20"/>
      <c r="Q96" s="390"/>
      <c r="R96" s="20"/>
      <c r="S96" s="390"/>
      <c r="T96" s="352"/>
      <c r="U96" s="17"/>
      <c r="V96" s="352"/>
      <c r="W96" s="352"/>
    </row>
    <row r="97" spans="2:23" s="101" customFormat="1" ht="14.4">
      <c r="B97" s="17"/>
      <c r="C97" s="17"/>
      <c r="D97" s="20"/>
      <c r="E97" s="20"/>
      <c r="F97" s="184"/>
      <c r="G97" s="390"/>
      <c r="H97" s="392"/>
      <c r="I97" s="414"/>
      <c r="J97" s="25"/>
      <c r="K97" s="20"/>
      <c r="L97" s="20"/>
      <c r="M97" s="20"/>
      <c r="N97" s="17"/>
      <c r="O97" s="20"/>
      <c r="P97" s="20"/>
      <c r="Q97" s="390"/>
      <c r="R97" s="20"/>
      <c r="S97" s="390"/>
      <c r="T97" s="352"/>
      <c r="U97" s="17"/>
      <c r="V97" s="352"/>
      <c r="W97" s="352"/>
    </row>
    <row r="98" spans="2:23" s="101" customFormat="1" ht="14.4">
      <c r="B98" s="17"/>
      <c r="C98" s="17"/>
      <c r="D98" s="20"/>
      <c r="E98" s="20"/>
      <c r="F98" s="184"/>
      <c r="G98" s="390"/>
      <c r="H98" s="392"/>
      <c r="I98" s="414"/>
      <c r="J98" s="25"/>
      <c r="K98" s="20"/>
      <c r="L98" s="20"/>
      <c r="M98" s="20"/>
      <c r="N98" s="17"/>
      <c r="O98" s="20"/>
      <c r="P98" s="20"/>
      <c r="Q98" s="390"/>
      <c r="R98" s="20"/>
      <c r="S98" s="390"/>
      <c r="T98" s="352"/>
      <c r="U98" s="17"/>
      <c r="V98" s="352"/>
      <c r="W98" s="352"/>
    </row>
    <row r="99" spans="2:23" s="101" customFormat="1" ht="14.4">
      <c r="B99" s="17"/>
      <c r="C99" s="17"/>
      <c r="D99" s="20"/>
      <c r="E99" s="20"/>
      <c r="F99" s="184"/>
      <c r="G99" s="390"/>
      <c r="H99" s="392"/>
      <c r="I99" s="414"/>
      <c r="J99" s="25"/>
      <c r="K99" s="20"/>
      <c r="L99" s="20"/>
      <c r="M99" s="20"/>
      <c r="N99" s="17"/>
      <c r="O99" s="20"/>
      <c r="P99" s="20"/>
      <c r="Q99" s="390"/>
      <c r="R99" s="20"/>
      <c r="S99" s="390"/>
      <c r="T99" s="352"/>
      <c r="U99" s="17"/>
      <c r="V99" s="352"/>
      <c r="W99" s="352"/>
    </row>
    <row r="100" spans="2:23" s="101" customFormat="1" ht="14.4">
      <c r="B100" s="17"/>
      <c r="C100" s="17"/>
      <c r="D100" s="20"/>
      <c r="E100" s="20"/>
      <c r="F100" s="184"/>
      <c r="G100" s="390"/>
      <c r="H100" s="392"/>
      <c r="I100" s="414"/>
      <c r="J100" s="25"/>
      <c r="K100" s="20"/>
      <c r="L100" s="20"/>
      <c r="M100" s="20"/>
      <c r="N100" s="17"/>
      <c r="O100" s="20"/>
      <c r="P100" s="20"/>
      <c r="Q100" s="390"/>
      <c r="R100" s="20"/>
      <c r="S100" s="390"/>
      <c r="T100" s="352"/>
      <c r="U100" s="17"/>
      <c r="V100" s="352"/>
      <c r="W100" s="352"/>
    </row>
    <row r="101" spans="2:23" s="101" customFormat="1" ht="14.4">
      <c r="B101" s="17"/>
      <c r="C101" s="17"/>
      <c r="D101" s="20"/>
      <c r="E101" s="20"/>
      <c r="F101" s="184"/>
      <c r="G101" s="390"/>
      <c r="H101" s="392"/>
      <c r="I101" s="414"/>
      <c r="J101" s="25"/>
      <c r="K101" s="20"/>
      <c r="L101" s="20"/>
      <c r="M101" s="20"/>
      <c r="N101" s="17"/>
      <c r="O101" s="20"/>
      <c r="P101" s="20"/>
      <c r="Q101" s="390"/>
      <c r="R101" s="20"/>
      <c r="S101" s="390"/>
      <c r="T101" s="352"/>
      <c r="U101" s="17"/>
      <c r="V101" s="352"/>
      <c r="W101" s="352"/>
    </row>
    <row r="102" spans="2:23" s="101" customFormat="1" ht="14.4">
      <c r="B102" s="17"/>
      <c r="C102" s="17"/>
      <c r="D102" s="20"/>
      <c r="E102" s="20"/>
      <c r="F102" s="184"/>
      <c r="G102" s="390"/>
      <c r="H102" s="392"/>
      <c r="I102" s="414"/>
      <c r="J102" s="25"/>
      <c r="K102" s="20"/>
      <c r="L102" s="20"/>
      <c r="M102" s="20"/>
      <c r="N102" s="17"/>
      <c r="O102" s="20"/>
      <c r="P102" s="20"/>
      <c r="Q102" s="390"/>
      <c r="R102" s="20"/>
      <c r="S102" s="390"/>
      <c r="T102" s="352"/>
      <c r="U102" s="17"/>
      <c r="V102" s="352"/>
      <c r="W102" s="352"/>
    </row>
    <row r="103" spans="2:23" s="101" customFormat="1" ht="14.4">
      <c r="B103" s="17"/>
      <c r="C103" s="17"/>
      <c r="D103" s="20"/>
      <c r="E103" s="20"/>
      <c r="F103" s="184"/>
      <c r="G103" s="390"/>
      <c r="H103" s="392"/>
      <c r="I103" s="414"/>
      <c r="J103" s="25"/>
      <c r="K103" s="20"/>
      <c r="L103" s="20"/>
      <c r="M103" s="20"/>
      <c r="N103" s="17"/>
      <c r="O103" s="20"/>
      <c r="P103" s="20"/>
      <c r="Q103" s="390"/>
      <c r="R103" s="20"/>
      <c r="S103" s="390"/>
      <c r="T103" s="352"/>
      <c r="U103" s="17"/>
      <c r="V103" s="352"/>
      <c r="W103" s="352"/>
    </row>
    <row r="104" spans="2:23" s="101" customFormat="1" ht="14.4">
      <c r="B104" s="17"/>
      <c r="C104" s="17"/>
      <c r="D104" s="20"/>
      <c r="E104" s="20"/>
      <c r="F104" s="184"/>
      <c r="G104" s="390"/>
      <c r="H104" s="392"/>
      <c r="I104" s="414"/>
      <c r="J104" s="25"/>
      <c r="K104" s="20"/>
      <c r="L104" s="20"/>
      <c r="M104" s="20"/>
      <c r="N104" s="17"/>
      <c r="O104" s="20"/>
      <c r="P104" s="20"/>
      <c r="Q104" s="390"/>
      <c r="R104" s="20"/>
      <c r="S104" s="390"/>
      <c r="T104" s="352"/>
      <c r="U104" s="17"/>
      <c r="V104" s="352"/>
      <c r="W104" s="352"/>
    </row>
    <row r="105" spans="2:23" s="101" customFormat="1" ht="14.4">
      <c r="B105" s="17"/>
      <c r="C105" s="17"/>
      <c r="D105" s="20"/>
      <c r="E105" s="20"/>
      <c r="F105" s="184"/>
      <c r="G105" s="390"/>
      <c r="H105" s="392"/>
      <c r="I105" s="414"/>
      <c r="J105" s="25"/>
      <c r="K105" s="20"/>
      <c r="L105" s="20"/>
      <c r="M105" s="20"/>
      <c r="N105" s="17"/>
      <c r="O105" s="20"/>
      <c r="P105" s="20"/>
      <c r="Q105" s="390"/>
      <c r="R105" s="20"/>
      <c r="S105" s="390"/>
      <c r="T105" s="352"/>
      <c r="U105" s="17"/>
      <c r="V105" s="352"/>
      <c r="W105" s="352"/>
    </row>
    <row r="106" spans="2:23" s="101" customFormat="1" ht="14.4">
      <c r="B106" s="17"/>
      <c r="C106" s="17"/>
      <c r="D106" s="20"/>
      <c r="E106" s="20"/>
      <c r="F106" s="184"/>
      <c r="G106" s="390"/>
      <c r="H106" s="392"/>
      <c r="I106" s="414"/>
      <c r="J106" s="25"/>
      <c r="K106" s="20"/>
      <c r="L106" s="20"/>
      <c r="M106" s="20"/>
      <c r="N106" s="17"/>
      <c r="O106" s="20"/>
      <c r="P106" s="20"/>
      <c r="Q106" s="390"/>
      <c r="R106" s="20"/>
      <c r="S106" s="390"/>
      <c r="T106" s="352"/>
      <c r="U106" s="17"/>
      <c r="V106" s="352"/>
      <c r="W106" s="352"/>
    </row>
    <row r="107" spans="2:23" s="101" customFormat="1" ht="14.4">
      <c r="B107" s="17"/>
      <c r="C107" s="17"/>
      <c r="D107" s="20"/>
      <c r="E107" s="20"/>
      <c r="F107" s="184"/>
      <c r="G107" s="390"/>
      <c r="H107" s="392"/>
      <c r="I107" s="414"/>
      <c r="J107" s="25"/>
      <c r="K107" s="20"/>
      <c r="L107" s="20"/>
      <c r="M107" s="20"/>
      <c r="N107" s="17"/>
      <c r="O107" s="20"/>
      <c r="P107" s="20"/>
      <c r="Q107" s="390"/>
      <c r="R107" s="20"/>
      <c r="S107" s="390"/>
      <c r="T107" s="352"/>
      <c r="U107" s="17"/>
      <c r="V107" s="352"/>
      <c r="W107" s="352"/>
    </row>
    <row r="108" spans="2:23" s="101" customFormat="1" ht="14.4">
      <c r="B108" s="17"/>
      <c r="C108" s="17"/>
      <c r="D108" s="20"/>
      <c r="E108" s="20"/>
      <c r="F108" s="184"/>
      <c r="G108" s="390"/>
      <c r="H108" s="392"/>
      <c r="I108" s="414"/>
      <c r="J108" s="25"/>
      <c r="K108" s="20"/>
      <c r="L108" s="20"/>
      <c r="M108" s="20"/>
      <c r="N108" s="17"/>
      <c r="O108" s="20"/>
      <c r="P108" s="20"/>
      <c r="Q108" s="390"/>
      <c r="R108" s="20"/>
      <c r="S108" s="390"/>
      <c r="T108" s="352"/>
      <c r="U108" s="17"/>
      <c r="V108" s="352"/>
      <c r="W108" s="352"/>
    </row>
    <row r="109" spans="2:23" s="101" customFormat="1" ht="14.4">
      <c r="B109" s="17"/>
      <c r="C109" s="17"/>
      <c r="D109" s="20"/>
      <c r="E109" s="20"/>
      <c r="F109" s="184"/>
      <c r="G109" s="390"/>
      <c r="H109" s="392"/>
      <c r="I109" s="414"/>
      <c r="J109" s="25"/>
      <c r="K109" s="20"/>
      <c r="L109" s="20"/>
      <c r="M109" s="20"/>
      <c r="N109" s="17"/>
      <c r="O109" s="20"/>
      <c r="P109" s="20"/>
      <c r="Q109" s="390"/>
      <c r="R109" s="20"/>
      <c r="S109" s="390"/>
      <c r="T109" s="352"/>
      <c r="U109" s="17"/>
      <c r="V109" s="352"/>
      <c r="W109" s="352"/>
    </row>
    <row r="110" spans="2:23" s="101" customFormat="1" ht="14.4">
      <c r="B110" s="17"/>
      <c r="C110" s="17"/>
      <c r="D110" s="20"/>
      <c r="E110" s="20"/>
      <c r="F110" s="184"/>
      <c r="G110" s="390"/>
      <c r="H110" s="392"/>
      <c r="I110" s="414"/>
      <c r="J110" s="25"/>
      <c r="K110" s="20"/>
      <c r="L110" s="20"/>
      <c r="M110" s="20"/>
      <c r="N110" s="17"/>
      <c r="O110" s="20"/>
      <c r="P110" s="20"/>
      <c r="Q110" s="390"/>
      <c r="R110" s="20"/>
      <c r="S110" s="390"/>
      <c r="T110" s="352"/>
      <c r="U110" s="17"/>
      <c r="V110" s="352"/>
      <c r="W110" s="352"/>
    </row>
    <row r="111" spans="2:23" s="101" customFormat="1" ht="14.4">
      <c r="B111" s="17"/>
      <c r="C111" s="17"/>
      <c r="D111" s="20"/>
      <c r="E111" s="20"/>
      <c r="F111" s="184"/>
      <c r="G111" s="390"/>
      <c r="H111" s="392"/>
      <c r="I111" s="414"/>
      <c r="J111" s="25"/>
      <c r="K111" s="20"/>
      <c r="L111" s="20"/>
      <c r="M111" s="20"/>
      <c r="N111" s="17"/>
      <c r="O111" s="20"/>
      <c r="P111" s="20"/>
      <c r="Q111" s="390"/>
      <c r="R111" s="20"/>
      <c r="S111" s="390"/>
      <c r="T111" s="352"/>
      <c r="U111" s="17"/>
      <c r="V111" s="352"/>
      <c r="W111" s="352"/>
    </row>
    <row r="112" spans="2:23" s="101" customFormat="1" ht="14.4">
      <c r="B112" s="17"/>
      <c r="C112" s="17"/>
      <c r="D112" s="20"/>
      <c r="E112" s="20"/>
      <c r="F112" s="184"/>
      <c r="G112" s="390"/>
      <c r="H112" s="392"/>
      <c r="I112" s="414"/>
      <c r="J112" s="25"/>
      <c r="K112" s="20"/>
      <c r="L112" s="20"/>
      <c r="M112" s="20"/>
      <c r="N112" s="17"/>
      <c r="O112" s="20"/>
      <c r="P112" s="20"/>
      <c r="Q112" s="390"/>
      <c r="R112" s="20"/>
      <c r="S112" s="390"/>
      <c r="T112" s="352"/>
      <c r="U112" s="17"/>
      <c r="V112" s="352"/>
      <c r="W112" s="352"/>
    </row>
    <row r="113" spans="2:23" s="101" customFormat="1" ht="14.4">
      <c r="B113" s="17"/>
      <c r="C113" s="17"/>
      <c r="D113" s="20"/>
      <c r="E113" s="20"/>
      <c r="F113" s="184"/>
      <c r="G113" s="390"/>
      <c r="H113" s="392"/>
      <c r="I113" s="414"/>
      <c r="J113" s="25"/>
      <c r="K113" s="20"/>
      <c r="L113" s="20"/>
      <c r="M113" s="20"/>
      <c r="N113" s="17"/>
      <c r="O113" s="20"/>
      <c r="P113" s="20"/>
      <c r="Q113" s="390"/>
      <c r="R113" s="20"/>
      <c r="S113" s="390"/>
      <c r="T113" s="352"/>
      <c r="U113" s="17"/>
      <c r="V113" s="352"/>
      <c r="W113" s="352"/>
    </row>
    <row r="114" spans="2:23" s="101" customFormat="1" ht="14.4">
      <c r="B114" s="17"/>
      <c r="C114" s="17"/>
      <c r="D114" s="20"/>
      <c r="E114" s="20"/>
      <c r="F114" s="184"/>
      <c r="G114" s="390"/>
      <c r="H114" s="392"/>
      <c r="I114" s="414"/>
      <c r="J114" s="25"/>
      <c r="K114" s="20"/>
      <c r="L114" s="20"/>
      <c r="M114" s="20"/>
      <c r="N114" s="17"/>
      <c r="O114" s="20"/>
      <c r="P114" s="20"/>
      <c r="Q114" s="390"/>
      <c r="R114" s="20"/>
      <c r="S114" s="390"/>
      <c r="T114" s="352"/>
      <c r="U114" s="17"/>
      <c r="V114" s="352"/>
      <c r="W114" s="352"/>
    </row>
    <row r="115" spans="2:23" s="101" customFormat="1" ht="14.4">
      <c r="B115" s="17"/>
      <c r="C115" s="17"/>
      <c r="D115" s="20"/>
      <c r="E115" s="20"/>
      <c r="F115" s="184"/>
      <c r="G115" s="390"/>
      <c r="H115" s="392"/>
      <c r="I115" s="414"/>
      <c r="J115" s="25"/>
      <c r="K115" s="20"/>
      <c r="L115" s="20"/>
      <c r="M115" s="20"/>
      <c r="N115" s="17"/>
      <c r="O115" s="20"/>
      <c r="P115" s="20"/>
      <c r="Q115" s="390"/>
      <c r="R115" s="20"/>
      <c r="S115" s="390"/>
      <c r="T115" s="352"/>
      <c r="U115" s="17"/>
      <c r="V115" s="352"/>
      <c r="W115" s="352"/>
    </row>
    <row r="116" spans="2:23" s="101" customFormat="1" ht="14.4">
      <c r="B116" s="17"/>
      <c r="C116" s="17"/>
      <c r="D116" s="20"/>
      <c r="E116" s="20"/>
      <c r="F116" s="184"/>
      <c r="G116" s="390"/>
      <c r="H116" s="392"/>
      <c r="I116" s="414"/>
      <c r="J116" s="25"/>
      <c r="K116" s="20"/>
      <c r="L116" s="20"/>
      <c r="M116" s="20"/>
      <c r="N116" s="17"/>
      <c r="O116" s="20"/>
      <c r="P116" s="20"/>
      <c r="Q116" s="390"/>
      <c r="R116" s="20"/>
      <c r="S116" s="390"/>
      <c r="T116" s="352"/>
      <c r="U116" s="17"/>
      <c r="V116" s="352"/>
      <c r="W116" s="352"/>
    </row>
    <row r="117" spans="2:23" s="101" customFormat="1" ht="14.4">
      <c r="B117" s="17"/>
      <c r="C117" s="17"/>
      <c r="D117" s="20"/>
      <c r="E117" s="20"/>
      <c r="F117" s="184"/>
      <c r="G117" s="390"/>
      <c r="H117" s="392"/>
      <c r="I117" s="414"/>
      <c r="J117" s="25"/>
      <c r="K117" s="20"/>
      <c r="L117" s="20"/>
      <c r="M117" s="20"/>
      <c r="N117" s="17"/>
      <c r="O117" s="20"/>
      <c r="P117" s="20"/>
      <c r="Q117" s="390"/>
      <c r="R117" s="20"/>
      <c r="S117" s="390"/>
      <c r="T117" s="352"/>
      <c r="U117" s="17"/>
      <c r="V117" s="352"/>
      <c r="W117" s="352"/>
    </row>
    <row r="118" spans="2:23" s="101" customFormat="1" ht="14.4">
      <c r="B118" s="17"/>
      <c r="C118" s="17"/>
      <c r="D118" s="20"/>
      <c r="E118" s="20"/>
      <c r="F118" s="184"/>
      <c r="G118" s="390"/>
      <c r="H118" s="392"/>
      <c r="I118" s="414"/>
      <c r="J118" s="25"/>
      <c r="K118" s="20"/>
      <c r="L118" s="20"/>
      <c r="M118" s="20"/>
      <c r="N118" s="17"/>
      <c r="O118" s="20"/>
      <c r="P118" s="20"/>
      <c r="Q118" s="390"/>
      <c r="R118" s="20"/>
      <c r="S118" s="390"/>
      <c r="T118" s="352"/>
      <c r="U118" s="17"/>
      <c r="V118" s="352"/>
      <c r="W118" s="352"/>
    </row>
    <row r="119" spans="2:23" s="101" customFormat="1" ht="14.4">
      <c r="B119" s="17"/>
      <c r="C119" s="17"/>
      <c r="D119" s="20"/>
      <c r="E119" s="20"/>
      <c r="F119" s="184"/>
      <c r="G119" s="390"/>
      <c r="H119" s="392"/>
      <c r="I119" s="414"/>
      <c r="J119" s="25"/>
      <c r="K119" s="20"/>
      <c r="L119" s="20"/>
      <c r="M119" s="20"/>
      <c r="N119" s="17"/>
      <c r="O119" s="20"/>
      <c r="P119" s="20"/>
      <c r="Q119" s="390"/>
      <c r="R119" s="20"/>
      <c r="S119" s="390"/>
      <c r="T119" s="352"/>
      <c r="U119" s="17"/>
      <c r="V119" s="352"/>
      <c r="W119" s="352"/>
    </row>
    <row r="120" spans="2:23" s="101" customFormat="1" ht="14.4">
      <c r="B120" s="17"/>
      <c r="C120" s="17"/>
      <c r="D120" s="20"/>
      <c r="E120" s="20"/>
      <c r="F120" s="184"/>
      <c r="G120" s="390"/>
      <c r="H120" s="392"/>
      <c r="I120" s="414"/>
      <c r="J120" s="25"/>
      <c r="K120" s="20"/>
      <c r="L120" s="20"/>
      <c r="M120" s="20"/>
      <c r="N120" s="17"/>
      <c r="O120" s="20"/>
      <c r="P120" s="20"/>
      <c r="Q120" s="390"/>
      <c r="R120" s="20"/>
      <c r="S120" s="390"/>
      <c r="T120" s="352"/>
      <c r="U120" s="17"/>
      <c r="V120" s="352"/>
      <c r="W120" s="352"/>
    </row>
    <row r="121" spans="2:23" s="101" customFormat="1" ht="14.4">
      <c r="B121" s="17"/>
      <c r="C121" s="17"/>
      <c r="D121" s="20"/>
      <c r="E121" s="20"/>
      <c r="F121" s="184"/>
      <c r="G121" s="390"/>
      <c r="H121" s="392"/>
      <c r="I121" s="414"/>
      <c r="J121" s="25"/>
      <c r="K121" s="20"/>
      <c r="L121" s="20"/>
      <c r="M121" s="20"/>
      <c r="N121" s="17"/>
      <c r="O121" s="20"/>
      <c r="P121" s="20"/>
      <c r="Q121" s="390"/>
      <c r="R121" s="20"/>
      <c r="S121" s="390"/>
      <c r="T121" s="352"/>
      <c r="U121" s="17"/>
      <c r="V121" s="352"/>
      <c r="W121" s="352"/>
    </row>
    <row r="122" spans="2:23" s="101" customFormat="1" ht="14.4">
      <c r="B122" s="17"/>
      <c r="C122" s="17"/>
      <c r="D122" s="20"/>
      <c r="E122" s="20"/>
      <c r="F122" s="184"/>
      <c r="G122" s="390"/>
      <c r="H122" s="392"/>
      <c r="I122" s="414"/>
      <c r="J122" s="25"/>
      <c r="K122" s="20"/>
      <c r="L122" s="20"/>
      <c r="M122" s="20"/>
      <c r="N122" s="17"/>
      <c r="O122" s="20"/>
      <c r="P122" s="20"/>
      <c r="Q122" s="390"/>
      <c r="R122" s="20"/>
      <c r="S122" s="390"/>
      <c r="T122" s="352"/>
      <c r="U122" s="17"/>
      <c r="V122" s="352"/>
      <c r="W122" s="352"/>
    </row>
    <row r="123" spans="2:23" s="101" customFormat="1" ht="14.4">
      <c r="B123" s="17"/>
      <c r="C123" s="17"/>
      <c r="D123" s="20"/>
      <c r="E123" s="20"/>
      <c r="F123" s="184"/>
      <c r="G123" s="390"/>
      <c r="H123" s="392"/>
      <c r="I123" s="414"/>
      <c r="J123" s="25"/>
      <c r="K123" s="20"/>
      <c r="L123" s="20"/>
      <c r="M123" s="20"/>
      <c r="N123" s="17"/>
      <c r="O123" s="20"/>
      <c r="P123" s="20"/>
      <c r="Q123" s="390"/>
      <c r="R123" s="20"/>
      <c r="S123" s="390"/>
      <c r="T123" s="352"/>
      <c r="U123" s="17"/>
      <c r="V123" s="352"/>
      <c r="W123" s="352"/>
    </row>
    <row r="124" spans="2:23" s="101" customFormat="1" ht="14.4">
      <c r="B124" s="17"/>
      <c r="C124" s="17"/>
      <c r="D124" s="20"/>
      <c r="E124" s="20"/>
      <c r="F124" s="184"/>
      <c r="G124" s="390"/>
      <c r="H124" s="392"/>
      <c r="I124" s="414"/>
      <c r="J124" s="25"/>
      <c r="K124" s="20"/>
      <c r="L124" s="20"/>
      <c r="M124" s="20"/>
      <c r="N124" s="17"/>
      <c r="O124" s="20"/>
      <c r="P124" s="20"/>
      <c r="Q124" s="390"/>
      <c r="R124" s="20"/>
      <c r="S124" s="390"/>
      <c r="T124" s="352"/>
      <c r="U124" s="17"/>
      <c r="V124" s="352"/>
      <c r="W124" s="352"/>
    </row>
    <row r="125" spans="2:23" s="101" customFormat="1" ht="14.4">
      <c r="B125" s="17"/>
      <c r="C125" s="17"/>
      <c r="D125" s="20"/>
      <c r="E125" s="20"/>
      <c r="F125" s="184"/>
      <c r="G125" s="390"/>
      <c r="H125" s="392"/>
      <c r="I125" s="414"/>
      <c r="J125" s="25"/>
      <c r="K125" s="20"/>
      <c r="L125" s="20"/>
      <c r="M125" s="20"/>
      <c r="N125" s="17"/>
      <c r="O125" s="20"/>
      <c r="P125" s="20"/>
      <c r="Q125" s="390"/>
      <c r="R125" s="20"/>
      <c r="S125" s="390"/>
      <c r="T125" s="352"/>
      <c r="U125" s="17"/>
      <c r="V125" s="352"/>
      <c r="W125" s="352"/>
    </row>
    <row r="126" spans="2:23" s="101" customFormat="1" ht="14.4">
      <c r="B126" s="17"/>
      <c r="C126" s="17"/>
      <c r="D126" s="20"/>
      <c r="E126" s="20"/>
      <c r="F126" s="184"/>
      <c r="G126" s="390"/>
      <c r="H126" s="392"/>
      <c r="I126" s="414"/>
      <c r="J126" s="25"/>
      <c r="K126" s="20"/>
      <c r="L126" s="20"/>
      <c r="M126" s="20"/>
      <c r="N126" s="17"/>
      <c r="O126" s="20"/>
      <c r="P126" s="20"/>
      <c r="Q126" s="390"/>
      <c r="R126" s="20"/>
      <c r="S126" s="390"/>
      <c r="T126" s="352"/>
      <c r="U126" s="17"/>
      <c r="V126" s="352"/>
      <c r="W126" s="352"/>
    </row>
    <row r="127" spans="2:23" s="101" customFormat="1" ht="14.4">
      <c r="B127" s="17"/>
      <c r="C127" s="17"/>
      <c r="D127" s="20"/>
      <c r="E127" s="20"/>
      <c r="F127" s="184"/>
      <c r="G127" s="390"/>
      <c r="H127" s="392"/>
      <c r="I127" s="414"/>
      <c r="J127" s="25"/>
      <c r="K127" s="20"/>
      <c r="L127" s="20"/>
      <c r="M127" s="20"/>
      <c r="N127" s="17"/>
      <c r="O127" s="20"/>
      <c r="P127" s="20"/>
      <c r="Q127" s="390"/>
      <c r="R127" s="20"/>
      <c r="S127" s="390"/>
      <c r="T127" s="352"/>
      <c r="U127" s="17"/>
      <c r="V127" s="352"/>
      <c r="W127" s="352"/>
    </row>
    <row r="128" spans="2:23" s="101" customFormat="1" ht="14.4">
      <c r="B128" s="17"/>
      <c r="C128" s="17"/>
      <c r="D128" s="20"/>
      <c r="E128" s="20"/>
      <c r="F128" s="184"/>
      <c r="G128" s="390"/>
      <c r="H128" s="392"/>
      <c r="I128" s="414"/>
      <c r="J128" s="25"/>
      <c r="K128" s="20"/>
      <c r="L128" s="20"/>
      <c r="M128" s="20"/>
      <c r="N128" s="17"/>
      <c r="O128" s="20"/>
      <c r="P128" s="20"/>
      <c r="Q128" s="390"/>
      <c r="R128" s="20"/>
      <c r="S128" s="390"/>
      <c r="T128" s="352"/>
      <c r="U128" s="17"/>
      <c r="V128" s="352"/>
      <c r="W128" s="352"/>
    </row>
    <row r="129" spans="2:23" s="101" customFormat="1" ht="14.4">
      <c r="B129" s="17"/>
      <c r="C129" s="17"/>
      <c r="D129" s="20"/>
      <c r="E129" s="20"/>
      <c r="F129" s="184"/>
      <c r="G129" s="390"/>
      <c r="H129" s="392"/>
      <c r="I129" s="414"/>
      <c r="J129" s="25"/>
      <c r="K129" s="20"/>
      <c r="L129" s="20"/>
      <c r="M129" s="20"/>
      <c r="N129" s="17"/>
      <c r="O129" s="20"/>
      <c r="P129" s="20"/>
      <c r="Q129" s="390"/>
      <c r="R129" s="20"/>
      <c r="S129" s="390"/>
      <c r="T129" s="352"/>
      <c r="U129" s="17"/>
      <c r="V129" s="352"/>
      <c r="W129" s="352"/>
    </row>
    <row r="130" spans="2:23" s="101" customFormat="1" ht="14.4">
      <c r="B130" s="17"/>
      <c r="C130" s="17"/>
      <c r="D130" s="20"/>
      <c r="E130" s="20"/>
      <c r="F130" s="184"/>
      <c r="G130" s="390"/>
      <c r="H130" s="392"/>
      <c r="I130" s="414"/>
      <c r="J130" s="25"/>
      <c r="K130" s="20"/>
      <c r="L130" s="20"/>
      <c r="M130" s="20"/>
      <c r="N130" s="17"/>
      <c r="O130" s="20"/>
      <c r="P130" s="20"/>
      <c r="Q130" s="390"/>
      <c r="R130" s="20"/>
      <c r="S130" s="390"/>
      <c r="T130" s="352"/>
      <c r="U130" s="17"/>
      <c r="V130" s="352"/>
      <c r="W130" s="352"/>
    </row>
    <row r="131" spans="2:23" s="101" customFormat="1" ht="14.4">
      <c r="B131" s="17"/>
      <c r="C131" s="17"/>
      <c r="D131" s="20"/>
      <c r="E131" s="20"/>
      <c r="F131" s="184"/>
      <c r="G131" s="390"/>
      <c r="H131" s="392"/>
      <c r="I131" s="414"/>
      <c r="J131" s="25"/>
      <c r="K131" s="20"/>
      <c r="L131" s="20"/>
      <c r="M131" s="20"/>
      <c r="N131" s="17"/>
      <c r="O131" s="20"/>
      <c r="P131" s="20"/>
      <c r="Q131" s="390"/>
      <c r="R131" s="20"/>
      <c r="S131" s="390"/>
      <c r="T131" s="352"/>
      <c r="U131" s="17"/>
      <c r="V131" s="352"/>
      <c r="W131" s="352"/>
    </row>
    <row r="132" spans="2:23" s="101" customFormat="1" ht="14.4">
      <c r="B132" s="17"/>
      <c r="C132" s="17"/>
      <c r="D132" s="20"/>
      <c r="E132" s="20"/>
      <c r="F132" s="184"/>
      <c r="G132" s="390"/>
      <c r="H132" s="392"/>
      <c r="I132" s="414"/>
      <c r="J132" s="25"/>
      <c r="K132" s="20"/>
      <c r="L132" s="20"/>
      <c r="M132" s="20"/>
      <c r="N132" s="17"/>
      <c r="O132" s="20"/>
      <c r="P132" s="20"/>
      <c r="Q132" s="390"/>
      <c r="R132" s="20"/>
      <c r="S132" s="390"/>
      <c r="T132" s="352"/>
      <c r="U132" s="17"/>
      <c r="V132" s="352"/>
      <c r="W132" s="352"/>
    </row>
    <row r="133" spans="2:23" s="101" customFormat="1" ht="14.4">
      <c r="B133" s="17"/>
      <c r="C133" s="17"/>
      <c r="D133" s="20"/>
      <c r="E133" s="20"/>
      <c r="F133" s="184"/>
      <c r="G133" s="390"/>
      <c r="H133" s="392"/>
      <c r="I133" s="414"/>
      <c r="J133" s="25"/>
      <c r="K133" s="20"/>
      <c r="L133" s="20"/>
      <c r="M133" s="20"/>
      <c r="N133" s="17"/>
      <c r="O133" s="20"/>
      <c r="P133" s="20"/>
      <c r="Q133" s="390"/>
      <c r="R133" s="20"/>
      <c r="S133" s="390"/>
      <c r="T133" s="352"/>
      <c r="U133" s="17"/>
      <c r="V133" s="352"/>
      <c r="W133" s="352"/>
    </row>
    <row r="134" spans="2:23" s="101" customFormat="1" ht="14.4">
      <c r="B134" s="17"/>
      <c r="C134" s="17"/>
      <c r="D134" s="20"/>
      <c r="E134" s="20"/>
      <c r="F134" s="184"/>
      <c r="G134" s="390"/>
      <c r="H134" s="392"/>
      <c r="I134" s="414"/>
      <c r="J134" s="25"/>
      <c r="K134" s="20"/>
      <c r="L134" s="20"/>
      <c r="M134" s="20"/>
      <c r="N134" s="17"/>
      <c r="O134" s="20"/>
      <c r="P134" s="20"/>
      <c r="Q134" s="390"/>
      <c r="R134" s="20"/>
      <c r="S134" s="390"/>
      <c r="T134" s="352"/>
      <c r="U134" s="17"/>
      <c r="V134" s="352"/>
      <c r="W134" s="352"/>
    </row>
    <row r="135" spans="2:23" s="101" customFormat="1" ht="14.4">
      <c r="B135" s="17"/>
      <c r="C135" s="17"/>
      <c r="D135" s="20"/>
      <c r="E135" s="20"/>
      <c r="F135" s="184"/>
      <c r="G135" s="390"/>
      <c r="H135" s="392"/>
      <c r="I135" s="414"/>
      <c r="J135" s="25"/>
      <c r="K135" s="20"/>
      <c r="L135" s="20"/>
      <c r="M135" s="20"/>
      <c r="N135" s="17"/>
      <c r="O135" s="20"/>
      <c r="P135" s="20"/>
      <c r="Q135" s="390"/>
      <c r="R135" s="20"/>
      <c r="S135" s="390"/>
      <c r="T135" s="352"/>
      <c r="U135" s="17"/>
      <c r="V135" s="352"/>
      <c r="W135" s="352"/>
    </row>
    <row r="136" spans="2:23" s="101" customFormat="1" ht="14.4">
      <c r="B136" s="17"/>
      <c r="C136" s="17"/>
      <c r="D136" s="20"/>
      <c r="E136" s="20"/>
      <c r="F136" s="184"/>
      <c r="G136" s="390"/>
      <c r="H136" s="392"/>
      <c r="I136" s="414"/>
      <c r="J136" s="25"/>
      <c r="K136" s="20"/>
      <c r="L136" s="20"/>
      <c r="M136" s="20"/>
      <c r="N136" s="17"/>
      <c r="O136" s="20"/>
      <c r="P136" s="20"/>
      <c r="Q136" s="390"/>
      <c r="R136" s="20"/>
      <c r="S136" s="390"/>
      <c r="T136" s="352"/>
      <c r="U136" s="17"/>
      <c r="V136" s="352"/>
      <c r="W136" s="352"/>
    </row>
    <row r="137" spans="2:23" s="101" customFormat="1" ht="14.4">
      <c r="B137" s="17"/>
      <c r="C137" s="17"/>
      <c r="D137" s="20"/>
      <c r="E137" s="20"/>
      <c r="F137" s="184"/>
      <c r="G137" s="390"/>
      <c r="H137" s="392"/>
      <c r="I137" s="414"/>
      <c r="J137" s="25"/>
      <c r="K137" s="20"/>
      <c r="L137" s="20"/>
      <c r="M137" s="20"/>
      <c r="N137" s="17"/>
      <c r="O137" s="20"/>
      <c r="P137" s="20"/>
      <c r="Q137" s="390"/>
      <c r="R137" s="20"/>
      <c r="S137" s="390"/>
      <c r="T137" s="352"/>
      <c r="U137" s="17"/>
      <c r="V137" s="352"/>
      <c r="W137" s="352"/>
    </row>
    <row r="138" spans="2:23" s="101" customFormat="1" ht="14.4">
      <c r="B138" s="17"/>
      <c r="C138" s="17"/>
      <c r="D138" s="20"/>
      <c r="E138" s="20"/>
      <c r="F138" s="184"/>
      <c r="G138" s="390"/>
      <c r="H138" s="392"/>
      <c r="I138" s="414"/>
      <c r="J138" s="25"/>
      <c r="K138" s="20"/>
      <c r="L138" s="20"/>
      <c r="M138" s="20"/>
      <c r="N138" s="17"/>
      <c r="O138" s="20"/>
      <c r="P138" s="20"/>
      <c r="Q138" s="390"/>
      <c r="R138" s="20"/>
      <c r="S138" s="390"/>
      <c r="T138" s="352"/>
      <c r="U138" s="17"/>
      <c r="V138" s="352"/>
      <c r="W138" s="352"/>
    </row>
    <row r="139" spans="2:23" s="101" customFormat="1" ht="14.4">
      <c r="B139" s="17"/>
      <c r="C139" s="17"/>
      <c r="D139" s="20"/>
      <c r="E139" s="20"/>
      <c r="F139" s="184"/>
      <c r="G139" s="390"/>
      <c r="H139" s="392"/>
      <c r="I139" s="414"/>
      <c r="J139" s="25"/>
      <c r="K139" s="20"/>
      <c r="L139" s="20"/>
      <c r="M139" s="20"/>
      <c r="N139" s="17"/>
      <c r="O139" s="20"/>
      <c r="P139" s="20"/>
      <c r="Q139" s="390"/>
      <c r="R139" s="20"/>
      <c r="S139" s="390"/>
      <c r="T139" s="352"/>
      <c r="U139" s="17"/>
      <c r="V139" s="352"/>
      <c r="W139" s="352"/>
    </row>
    <row r="140" spans="2:23" s="101" customFormat="1" ht="14.4">
      <c r="B140" s="17"/>
      <c r="C140" s="17"/>
      <c r="D140" s="20"/>
      <c r="E140" s="20"/>
      <c r="F140" s="184"/>
      <c r="G140" s="390"/>
      <c r="H140" s="392"/>
      <c r="I140" s="414"/>
      <c r="J140" s="25"/>
      <c r="K140" s="20"/>
      <c r="L140" s="20"/>
      <c r="M140" s="20"/>
      <c r="N140" s="17"/>
      <c r="O140" s="20"/>
      <c r="P140" s="20"/>
      <c r="Q140" s="390"/>
      <c r="R140" s="20"/>
      <c r="S140" s="390"/>
      <c r="T140" s="352"/>
      <c r="U140" s="17"/>
      <c r="V140" s="352"/>
      <c r="W140" s="352"/>
    </row>
    <row r="141" spans="2:23" s="101" customFormat="1" ht="14.4">
      <c r="B141" s="17"/>
      <c r="C141" s="17"/>
      <c r="D141" s="20"/>
      <c r="E141" s="20"/>
      <c r="F141" s="184"/>
      <c r="G141" s="390"/>
      <c r="H141" s="392"/>
      <c r="I141" s="414"/>
      <c r="J141" s="25"/>
      <c r="K141" s="20"/>
      <c r="L141" s="20"/>
      <c r="M141" s="20"/>
      <c r="N141" s="17"/>
      <c r="O141" s="20"/>
      <c r="P141" s="20"/>
      <c r="Q141" s="390"/>
      <c r="R141" s="20"/>
      <c r="S141" s="390"/>
      <c r="T141" s="352"/>
      <c r="U141" s="17"/>
      <c r="V141" s="352"/>
      <c r="W141" s="352"/>
    </row>
    <row r="142" spans="2:23" s="101" customFormat="1" ht="14.4">
      <c r="B142" s="17"/>
      <c r="C142" s="17"/>
      <c r="D142" s="20"/>
      <c r="E142" s="20"/>
      <c r="F142" s="184"/>
      <c r="G142" s="390"/>
      <c r="H142" s="392"/>
      <c r="I142" s="414"/>
      <c r="J142" s="25"/>
      <c r="K142" s="20"/>
      <c r="L142" s="20"/>
      <c r="M142" s="20"/>
      <c r="N142" s="17"/>
      <c r="O142" s="20"/>
      <c r="P142" s="20"/>
      <c r="Q142" s="390"/>
      <c r="R142" s="20"/>
      <c r="S142" s="390"/>
      <c r="T142" s="352"/>
      <c r="U142" s="17"/>
      <c r="V142" s="352"/>
      <c r="W142" s="352"/>
    </row>
    <row r="143" spans="2:23" s="101" customFormat="1" ht="14.4">
      <c r="B143" s="17"/>
      <c r="C143" s="17"/>
      <c r="D143" s="20"/>
      <c r="E143" s="20"/>
      <c r="F143" s="184"/>
      <c r="G143" s="390"/>
      <c r="H143" s="392"/>
      <c r="I143" s="414"/>
      <c r="J143" s="25"/>
      <c r="K143" s="20"/>
      <c r="L143" s="20"/>
      <c r="M143" s="20"/>
      <c r="N143" s="17"/>
      <c r="O143" s="20"/>
      <c r="P143" s="20"/>
      <c r="Q143" s="390"/>
      <c r="R143" s="20"/>
      <c r="S143" s="390"/>
      <c r="T143" s="352"/>
      <c r="U143" s="17"/>
      <c r="V143" s="352"/>
      <c r="W143" s="352"/>
    </row>
    <row r="144" spans="2:23" s="101" customFormat="1" ht="14.4">
      <c r="B144" s="17"/>
      <c r="C144" s="17"/>
      <c r="D144" s="20"/>
      <c r="E144" s="20"/>
      <c r="F144" s="184"/>
      <c r="G144" s="390"/>
      <c r="H144" s="392"/>
      <c r="I144" s="414"/>
      <c r="J144" s="25"/>
      <c r="K144" s="20"/>
      <c r="L144" s="20"/>
      <c r="M144" s="20"/>
      <c r="N144" s="17"/>
      <c r="O144" s="20"/>
      <c r="P144" s="20"/>
      <c r="Q144" s="390"/>
      <c r="R144" s="20"/>
      <c r="S144" s="390"/>
      <c r="T144" s="352"/>
      <c r="U144" s="17"/>
      <c r="V144" s="352"/>
      <c r="W144" s="352"/>
    </row>
    <row r="145" spans="2:23" s="101" customFormat="1" ht="14.4">
      <c r="B145" s="17"/>
      <c r="C145" s="17"/>
      <c r="D145" s="20"/>
      <c r="E145" s="20"/>
      <c r="F145" s="184"/>
      <c r="G145" s="390"/>
      <c r="H145" s="392"/>
      <c r="I145" s="414"/>
      <c r="J145" s="25"/>
      <c r="K145" s="20"/>
      <c r="L145" s="20"/>
      <c r="M145" s="20"/>
      <c r="N145" s="17"/>
      <c r="O145" s="20"/>
      <c r="P145" s="20"/>
      <c r="Q145" s="390"/>
      <c r="R145" s="20"/>
      <c r="S145" s="390"/>
      <c r="T145" s="352"/>
      <c r="U145" s="17"/>
      <c r="V145" s="352"/>
      <c r="W145" s="352"/>
    </row>
    <row r="146" spans="2:23" s="101" customFormat="1" ht="14.4">
      <c r="B146" s="17"/>
      <c r="C146" s="17"/>
      <c r="D146" s="20"/>
      <c r="E146" s="20"/>
      <c r="F146" s="184"/>
      <c r="G146" s="390"/>
      <c r="H146" s="392"/>
      <c r="I146" s="414"/>
      <c r="J146" s="25"/>
      <c r="K146" s="20"/>
      <c r="L146" s="20"/>
      <c r="M146" s="20"/>
      <c r="N146" s="17"/>
      <c r="O146" s="20"/>
      <c r="P146" s="20"/>
      <c r="Q146" s="390"/>
      <c r="R146" s="20"/>
      <c r="S146" s="390"/>
      <c r="T146" s="352"/>
      <c r="U146" s="17"/>
      <c r="V146" s="352"/>
      <c r="W146" s="352"/>
    </row>
    <row r="147" spans="2:23" s="101" customFormat="1" ht="14.4">
      <c r="B147" s="17"/>
      <c r="C147" s="17"/>
      <c r="D147" s="20"/>
      <c r="E147" s="20"/>
      <c r="F147" s="184"/>
      <c r="G147" s="390"/>
      <c r="H147" s="392"/>
      <c r="I147" s="414"/>
      <c r="J147" s="25"/>
      <c r="K147" s="20"/>
      <c r="L147" s="20"/>
      <c r="M147" s="20"/>
      <c r="N147" s="17"/>
      <c r="O147" s="20"/>
      <c r="P147" s="20"/>
      <c r="Q147" s="390"/>
      <c r="R147" s="20"/>
      <c r="S147" s="390"/>
      <c r="T147" s="352"/>
      <c r="U147" s="17"/>
      <c r="V147" s="352"/>
      <c r="W147" s="352"/>
    </row>
    <row r="148" spans="2:23" s="101" customFormat="1" ht="14.4">
      <c r="B148" s="17"/>
      <c r="C148" s="17"/>
      <c r="D148" s="20"/>
      <c r="E148" s="20"/>
      <c r="F148" s="184"/>
      <c r="G148" s="390"/>
      <c r="H148" s="392"/>
      <c r="I148" s="414"/>
      <c r="J148" s="25"/>
      <c r="K148" s="20"/>
      <c r="L148" s="20"/>
      <c r="M148" s="20"/>
      <c r="N148" s="17"/>
      <c r="O148" s="20"/>
      <c r="P148" s="20"/>
      <c r="Q148" s="390"/>
      <c r="R148" s="20"/>
      <c r="S148" s="390"/>
      <c r="T148" s="352"/>
      <c r="U148" s="17"/>
      <c r="V148" s="352"/>
      <c r="W148" s="352"/>
    </row>
    <row r="149" spans="2:23" s="101" customFormat="1" ht="14.4">
      <c r="B149" s="17"/>
      <c r="C149" s="17"/>
      <c r="D149" s="20"/>
      <c r="E149" s="20"/>
      <c r="F149" s="184"/>
      <c r="G149" s="390"/>
      <c r="H149" s="392"/>
      <c r="I149" s="414"/>
      <c r="J149" s="25"/>
      <c r="K149" s="20"/>
      <c r="L149" s="20"/>
      <c r="M149" s="20"/>
      <c r="N149" s="17"/>
      <c r="O149" s="20"/>
      <c r="P149" s="20"/>
      <c r="Q149" s="390"/>
      <c r="R149" s="20"/>
      <c r="S149" s="390"/>
      <c r="T149" s="352"/>
      <c r="U149" s="17"/>
      <c r="V149" s="352"/>
      <c r="W149" s="352"/>
    </row>
    <row r="150" spans="2:23" s="101" customFormat="1" ht="14.4">
      <c r="B150" s="17"/>
      <c r="C150" s="17"/>
      <c r="D150" s="20"/>
      <c r="E150" s="20"/>
      <c r="F150" s="184"/>
      <c r="G150" s="390"/>
      <c r="H150" s="392"/>
      <c r="I150" s="414"/>
      <c r="J150" s="25"/>
      <c r="K150" s="20"/>
      <c r="L150" s="20"/>
      <c r="M150" s="20"/>
      <c r="N150" s="17"/>
      <c r="O150" s="20"/>
      <c r="P150" s="20"/>
      <c r="Q150" s="390"/>
      <c r="R150" s="20"/>
      <c r="S150" s="390"/>
      <c r="T150" s="352"/>
      <c r="U150" s="17"/>
      <c r="V150" s="352"/>
      <c r="W150" s="352"/>
    </row>
    <row r="151" spans="2:23" s="101" customFormat="1" ht="14.4">
      <c r="B151" s="17"/>
      <c r="C151" s="17"/>
      <c r="D151" s="20"/>
      <c r="E151" s="20"/>
      <c r="F151" s="184"/>
      <c r="G151" s="390"/>
      <c r="H151" s="392"/>
      <c r="I151" s="414"/>
      <c r="J151" s="25"/>
      <c r="K151" s="20"/>
      <c r="L151" s="20"/>
      <c r="M151" s="20"/>
      <c r="N151" s="17"/>
      <c r="O151" s="20"/>
      <c r="P151" s="20"/>
      <c r="Q151" s="390"/>
      <c r="R151" s="20"/>
      <c r="S151" s="390"/>
      <c r="T151" s="352"/>
      <c r="U151" s="17"/>
      <c r="V151" s="352"/>
      <c r="W151" s="352"/>
    </row>
    <row r="152" spans="2:23" s="101" customFormat="1" ht="14.4">
      <c r="B152" s="17"/>
      <c r="C152" s="17"/>
      <c r="D152" s="20"/>
      <c r="E152" s="20"/>
      <c r="F152" s="184"/>
      <c r="G152" s="390"/>
      <c r="H152" s="392"/>
      <c r="I152" s="414"/>
      <c r="J152" s="25"/>
      <c r="K152" s="20"/>
      <c r="L152" s="20"/>
      <c r="M152" s="20"/>
      <c r="N152" s="17"/>
      <c r="O152" s="20"/>
      <c r="P152" s="20"/>
      <c r="Q152" s="390"/>
      <c r="R152" s="20"/>
      <c r="S152" s="390"/>
      <c r="T152" s="352"/>
      <c r="U152" s="17"/>
      <c r="V152" s="352"/>
      <c r="W152" s="352"/>
    </row>
    <row r="153" spans="2:23" s="101" customFormat="1" ht="14.4">
      <c r="B153" s="17"/>
      <c r="C153" s="17"/>
      <c r="D153" s="20"/>
      <c r="E153" s="20"/>
      <c r="F153" s="184"/>
      <c r="G153" s="390"/>
      <c r="H153" s="392"/>
      <c r="I153" s="414"/>
      <c r="J153" s="25"/>
      <c r="K153" s="20"/>
      <c r="L153" s="20"/>
      <c r="M153" s="20"/>
      <c r="N153" s="17"/>
      <c r="O153" s="20"/>
      <c r="P153" s="20"/>
      <c r="Q153" s="390"/>
      <c r="R153" s="20"/>
      <c r="S153" s="390"/>
      <c r="T153" s="352"/>
      <c r="U153" s="17"/>
      <c r="V153" s="352"/>
      <c r="W153" s="352"/>
    </row>
    <row r="154" spans="2:23" s="101" customFormat="1" ht="14.4">
      <c r="B154" s="17"/>
      <c r="C154" s="17"/>
      <c r="D154" s="20"/>
      <c r="E154" s="20"/>
      <c r="F154" s="184"/>
      <c r="G154" s="390"/>
      <c r="H154" s="392"/>
      <c r="I154" s="414"/>
      <c r="J154" s="25"/>
      <c r="K154" s="20"/>
      <c r="L154" s="20"/>
      <c r="M154" s="20"/>
      <c r="N154" s="17"/>
      <c r="O154" s="20"/>
      <c r="P154" s="20"/>
      <c r="Q154" s="390"/>
      <c r="R154" s="20"/>
      <c r="S154" s="390"/>
      <c r="T154" s="352"/>
      <c r="U154" s="17"/>
      <c r="V154" s="352"/>
      <c r="W154" s="352"/>
    </row>
    <row r="155" spans="2:23" s="101" customFormat="1" ht="14.4">
      <c r="B155" s="17"/>
      <c r="C155" s="17"/>
      <c r="D155" s="20"/>
      <c r="E155" s="20"/>
      <c r="F155" s="184"/>
      <c r="G155" s="390"/>
      <c r="H155" s="392"/>
      <c r="I155" s="414"/>
      <c r="J155" s="25"/>
      <c r="K155" s="20"/>
      <c r="L155" s="20"/>
      <c r="M155" s="20"/>
      <c r="N155" s="17"/>
      <c r="O155" s="20"/>
      <c r="P155" s="20"/>
      <c r="Q155" s="390"/>
      <c r="R155" s="20"/>
      <c r="S155" s="390"/>
      <c r="T155" s="352"/>
      <c r="U155" s="17"/>
      <c r="V155" s="352"/>
      <c r="W155" s="352"/>
    </row>
    <row r="156" spans="2:23" s="101" customFormat="1" ht="14.4">
      <c r="B156" s="17"/>
      <c r="C156" s="17"/>
      <c r="D156" s="20"/>
      <c r="E156" s="20"/>
      <c r="F156" s="184"/>
      <c r="G156" s="390"/>
      <c r="H156" s="392"/>
      <c r="I156" s="414"/>
      <c r="J156" s="25"/>
      <c r="K156" s="20"/>
      <c r="L156" s="20"/>
      <c r="M156" s="20"/>
      <c r="N156" s="17"/>
      <c r="O156" s="20"/>
      <c r="P156" s="20"/>
      <c r="Q156" s="390"/>
      <c r="R156" s="20"/>
      <c r="S156" s="390"/>
      <c r="T156" s="352"/>
      <c r="U156" s="17"/>
      <c r="V156" s="352"/>
      <c r="W156" s="352"/>
    </row>
    <row r="157" spans="2:23" s="101" customFormat="1" ht="14.4">
      <c r="B157" s="17"/>
      <c r="C157" s="17"/>
      <c r="D157" s="20"/>
      <c r="E157" s="20"/>
      <c r="F157" s="184"/>
      <c r="G157" s="390"/>
      <c r="H157" s="392"/>
      <c r="I157" s="414"/>
      <c r="J157" s="25"/>
      <c r="K157" s="20"/>
      <c r="L157" s="20"/>
      <c r="M157" s="20"/>
      <c r="N157" s="17"/>
      <c r="O157" s="20"/>
      <c r="P157" s="20"/>
      <c r="Q157" s="390"/>
      <c r="R157" s="20"/>
      <c r="S157" s="390"/>
      <c r="T157" s="352"/>
      <c r="U157" s="17"/>
      <c r="V157" s="352"/>
      <c r="W157" s="352"/>
    </row>
    <row r="158" spans="2:23" s="101" customFormat="1" ht="14.4">
      <c r="B158" s="17"/>
      <c r="C158" s="17"/>
      <c r="D158" s="20"/>
      <c r="E158" s="20"/>
      <c r="F158" s="184"/>
      <c r="G158" s="390"/>
      <c r="H158" s="392"/>
      <c r="I158" s="414"/>
      <c r="J158" s="25"/>
      <c r="K158" s="20"/>
      <c r="L158" s="20"/>
      <c r="M158" s="20"/>
      <c r="N158" s="17"/>
      <c r="O158" s="20"/>
      <c r="P158" s="20"/>
      <c r="Q158" s="390"/>
      <c r="R158" s="20"/>
      <c r="S158" s="390"/>
      <c r="T158" s="352"/>
      <c r="U158" s="17"/>
      <c r="V158" s="352"/>
      <c r="W158" s="352"/>
    </row>
    <row r="159" spans="2:23" s="101" customFormat="1" ht="14.4">
      <c r="B159" s="17"/>
      <c r="C159" s="17"/>
      <c r="D159" s="20"/>
      <c r="E159" s="20"/>
      <c r="F159" s="184"/>
      <c r="G159" s="390"/>
      <c r="H159" s="392"/>
      <c r="I159" s="414"/>
      <c r="J159" s="25"/>
      <c r="K159" s="20"/>
      <c r="L159" s="20"/>
      <c r="M159" s="20"/>
      <c r="N159" s="17"/>
      <c r="O159" s="20"/>
      <c r="P159" s="20"/>
      <c r="Q159" s="390"/>
      <c r="R159" s="20"/>
      <c r="S159" s="390"/>
      <c r="T159" s="352"/>
      <c r="U159" s="17"/>
      <c r="V159" s="352"/>
      <c r="W159" s="352"/>
    </row>
    <row r="160" spans="2:23" s="101" customFormat="1" ht="14.4">
      <c r="B160" s="17"/>
      <c r="C160" s="17"/>
      <c r="D160" s="20"/>
      <c r="E160" s="20"/>
      <c r="F160" s="184"/>
      <c r="G160" s="390"/>
      <c r="H160" s="392"/>
      <c r="I160" s="414"/>
      <c r="J160" s="25"/>
      <c r="K160" s="20"/>
      <c r="L160" s="20"/>
      <c r="M160" s="20"/>
      <c r="N160" s="17"/>
      <c r="O160" s="20"/>
      <c r="P160" s="20"/>
      <c r="Q160" s="390"/>
      <c r="R160" s="20"/>
      <c r="S160" s="390"/>
      <c r="T160" s="352"/>
      <c r="U160" s="17"/>
      <c r="V160" s="352"/>
      <c r="W160" s="352"/>
    </row>
    <row r="161" spans="2:23" s="101" customFormat="1" ht="14.4">
      <c r="B161" s="17"/>
      <c r="C161" s="17"/>
      <c r="D161" s="20"/>
      <c r="E161" s="20"/>
      <c r="F161" s="184"/>
      <c r="G161" s="390"/>
      <c r="H161" s="392"/>
      <c r="I161" s="414"/>
      <c r="J161" s="25"/>
      <c r="K161" s="20"/>
      <c r="L161" s="20"/>
      <c r="M161" s="20"/>
      <c r="N161" s="17"/>
      <c r="O161" s="20"/>
      <c r="P161" s="20"/>
      <c r="Q161" s="390"/>
      <c r="R161" s="20"/>
      <c r="S161" s="390"/>
      <c r="T161" s="352"/>
      <c r="U161" s="17"/>
      <c r="V161" s="352"/>
      <c r="W161" s="352"/>
    </row>
    <row r="162" spans="2:23" s="101" customFormat="1" ht="14.4">
      <c r="B162" s="17"/>
      <c r="C162" s="17"/>
      <c r="D162" s="20"/>
      <c r="E162" s="20"/>
      <c r="F162" s="184"/>
      <c r="G162" s="390"/>
      <c r="H162" s="392"/>
      <c r="I162" s="414"/>
      <c r="J162" s="25"/>
      <c r="K162" s="20"/>
      <c r="L162" s="20"/>
      <c r="M162" s="20"/>
      <c r="N162" s="17"/>
      <c r="O162" s="20"/>
      <c r="P162" s="20"/>
      <c r="Q162" s="390"/>
      <c r="R162" s="20"/>
      <c r="S162" s="390"/>
      <c r="T162" s="352"/>
      <c r="U162" s="17"/>
      <c r="V162" s="352"/>
      <c r="W162" s="352"/>
    </row>
    <row r="163" spans="2:23" s="101" customFormat="1" ht="14.4">
      <c r="B163" s="17"/>
      <c r="C163" s="17"/>
      <c r="D163" s="20"/>
      <c r="E163" s="20"/>
      <c r="F163" s="184"/>
      <c r="G163" s="390"/>
      <c r="H163" s="392"/>
      <c r="I163" s="414"/>
      <c r="J163" s="25"/>
      <c r="K163" s="20"/>
      <c r="L163" s="20"/>
      <c r="M163" s="20"/>
      <c r="N163" s="17"/>
      <c r="O163" s="20"/>
      <c r="P163" s="20"/>
      <c r="Q163" s="390"/>
      <c r="R163" s="20"/>
      <c r="S163" s="390"/>
      <c r="T163" s="352"/>
      <c r="U163" s="17"/>
      <c r="V163" s="352"/>
      <c r="W163" s="352"/>
    </row>
    <row r="164" spans="2:23" s="101" customFormat="1" ht="14.4">
      <c r="B164" s="17"/>
      <c r="C164" s="17"/>
      <c r="D164" s="20"/>
      <c r="E164" s="20"/>
      <c r="F164" s="184"/>
      <c r="G164" s="390"/>
      <c r="H164" s="392"/>
      <c r="I164" s="414"/>
      <c r="J164" s="25"/>
      <c r="K164" s="20"/>
      <c r="L164" s="20"/>
      <c r="M164" s="20"/>
      <c r="N164" s="17"/>
      <c r="O164" s="20"/>
      <c r="P164" s="20"/>
      <c r="Q164" s="390"/>
      <c r="R164" s="20"/>
      <c r="S164" s="390"/>
      <c r="T164" s="352"/>
      <c r="U164" s="17"/>
      <c r="V164" s="352"/>
      <c r="W164" s="352"/>
    </row>
    <row r="165" spans="2:23" s="101" customFormat="1" ht="14.4">
      <c r="B165" s="17"/>
      <c r="C165" s="17"/>
      <c r="D165" s="20"/>
      <c r="E165" s="20"/>
      <c r="F165" s="184"/>
      <c r="G165" s="390"/>
      <c r="H165" s="392"/>
      <c r="I165" s="414"/>
      <c r="J165" s="25"/>
      <c r="K165" s="20"/>
      <c r="L165" s="20"/>
      <c r="M165" s="20"/>
      <c r="N165" s="17"/>
      <c r="O165" s="20"/>
      <c r="P165" s="20"/>
      <c r="Q165" s="390"/>
      <c r="R165" s="20"/>
      <c r="S165" s="390"/>
      <c r="T165" s="352"/>
      <c r="U165" s="17"/>
      <c r="V165" s="352"/>
      <c r="W165" s="352"/>
    </row>
    <row r="166" spans="2:23" s="101" customFormat="1" ht="14.4">
      <c r="B166" s="17"/>
      <c r="C166" s="17"/>
      <c r="D166" s="20"/>
      <c r="E166" s="20"/>
      <c r="F166" s="184"/>
      <c r="G166" s="390"/>
      <c r="H166" s="392"/>
      <c r="I166" s="414"/>
      <c r="J166" s="25"/>
      <c r="K166" s="20"/>
      <c r="L166" s="20"/>
      <c r="M166" s="20"/>
      <c r="N166" s="17"/>
      <c r="O166" s="20"/>
      <c r="P166" s="20"/>
      <c r="Q166" s="390"/>
      <c r="R166" s="20"/>
      <c r="S166" s="390"/>
      <c r="T166" s="352"/>
      <c r="U166" s="17"/>
      <c r="V166" s="352"/>
      <c r="W166" s="352"/>
    </row>
    <row r="167" spans="2:23" s="101" customFormat="1" ht="14.4">
      <c r="B167" s="17"/>
      <c r="C167" s="17"/>
      <c r="D167" s="20"/>
      <c r="E167" s="20"/>
      <c r="F167" s="184"/>
      <c r="G167" s="390"/>
      <c r="H167" s="392"/>
      <c r="I167" s="414"/>
      <c r="J167" s="25"/>
      <c r="K167" s="20"/>
      <c r="L167" s="20"/>
      <c r="M167" s="20"/>
      <c r="N167" s="17"/>
      <c r="O167" s="20"/>
      <c r="P167" s="20"/>
      <c r="Q167" s="390"/>
      <c r="R167" s="20"/>
      <c r="S167" s="390"/>
      <c r="T167" s="352"/>
      <c r="U167" s="17"/>
      <c r="V167" s="352"/>
      <c r="W167" s="352"/>
    </row>
    <row r="168" spans="2:23" s="101" customFormat="1" ht="14.4">
      <c r="B168" s="17"/>
      <c r="C168" s="17"/>
      <c r="D168" s="20"/>
      <c r="E168" s="20"/>
      <c r="F168" s="184"/>
      <c r="G168" s="390"/>
      <c r="H168" s="392"/>
      <c r="I168" s="414"/>
      <c r="J168" s="25"/>
      <c r="K168" s="20"/>
      <c r="L168" s="20"/>
      <c r="M168" s="20"/>
      <c r="N168" s="17"/>
      <c r="O168" s="20"/>
      <c r="P168" s="20"/>
      <c r="Q168" s="390"/>
      <c r="R168" s="20"/>
      <c r="S168" s="390"/>
      <c r="T168" s="352"/>
      <c r="U168" s="17"/>
      <c r="V168" s="352"/>
      <c r="W168" s="352"/>
    </row>
    <row r="169" spans="2:23" s="101" customFormat="1" ht="14.4">
      <c r="B169" s="17"/>
      <c r="C169" s="17"/>
      <c r="D169" s="20"/>
      <c r="E169" s="20"/>
      <c r="F169" s="184"/>
      <c r="G169" s="390"/>
      <c r="H169" s="392"/>
      <c r="I169" s="414"/>
      <c r="J169" s="25"/>
      <c r="K169" s="20"/>
      <c r="L169" s="20"/>
      <c r="M169" s="20"/>
      <c r="N169" s="17"/>
      <c r="O169" s="20"/>
      <c r="P169" s="20"/>
      <c r="Q169" s="390"/>
      <c r="R169" s="20"/>
      <c r="S169" s="390"/>
      <c r="T169" s="352"/>
      <c r="U169" s="17"/>
      <c r="V169" s="352"/>
      <c r="W169" s="352"/>
    </row>
    <row r="170" spans="2:23" s="101" customFormat="1" ht="14.4">
      <c r="B170" s="17"/>
      <c r="C170" s="17"/>
      <c r="D170" s="20"/>
      <c r="E170" s="20"/>
      <c r="F170" s="184"/>
      <c r="G170" s="390"/>
      <c r="H170" s="392"/>
      <c r="I170" s="414"/>
      <c r="J170" s="25"/>
      <c r="K170" s="20"/>
      <c r="L170" s="20"/>
      <c r="M170" s="20"/>
      <c r="N170" s="17"/>
      <c r="O170" s="20"/>
      <c r="P170" s="20"/>
      <c r="Q170" s="390"/>
      <c r="R170" s="20"/>
      <c r="S170" s="390"/>
      <c r="T170" s="352"/>
      <c r="U170" s="17"/>
      <c r="V170" s="352"/>
      <c r="W170" s="352"/>
    </row>
    <row r="171" spans="2:23" s="101" customFormat="1" ht="14.4">
      <c r="B171" s="17"/>
      <c r="C171" s="17"/>
      <c r="D171" s="20"/>
      <c r="E171" s="20"/>
      <c r="F171" s="184"/>
      <c r="G171" s="390"/>
      <c r="H171" s="392"/>
      <c r="I171" s="414"/>
      <c r="J171" s="25"/>
      <c r="K171" s="20"/>
      <c r="L171" s="20"/>
      <c r="M171" s="20"/>
      <c r="N171" s="17"/>
      <c r="O171" s="20"/>
      <c r="P171" s="20"/>
      <c r="Q171" s="390"/>
      <c r="R171" s="20"/>
      <c r="S171" s="390"/>
      <c r="T171" s="352"/>
      <c r="U171" s="17"/>
      <c r="V171" s="352"/>
      <c r="W171" s="352"/>
    </row>
    <row r="172" spans="2:23" s="101" customFormat="1" ht="14.4">
      <c r="B172" s="17"/>
      <c r="C172" s="17"/>
      <c r="D172" s="20"/>
      <c r="E172" s="20"/>
      <c r="F172" s="184"/>
      <c r="G172" s="390"/>
      <c r="H172" s="392"/>
      <c r="I172" s="414"/>
      <c r="J172" s="25"/>
      <c r="K172" s="20"/>
      <c r="L172" s="20"/>
      <c r="M172" s="20"/>
      <c r="N172" s="17"/>
      <c r="O172" s="20"/>
      <c r="P172" s="20"/>
      <c r="Q172" s="390"/>
      <c r="R172" s="20"/>
      <c r="S172" s="390"/>
      <c r="T172" s="352"/>
      <c r="U172" s="17"/>
      <c r="V172" s="352"/>
      <c r="W172" s="352"/>
    </row>
    <row r="173" spans="2:23" s="101" customFormat="1" ht="14.4">
      <c r="B173" s="17"/>
      <c r="C173" s="17"/>
      <c r="D173" s="20"/>
      <c r="E173" s="20"/>
      <c r="F173" s="184"/>
      <c r="G173" s="390"/>
      <c r="H173" s="392"/>
      <c r="I173" s="414"/>
      <c r="J173" s="25"/>
      <c r="K173" s="20"/>
      <c r="L173" s="20"/>
      <c r="M173" s="20"/>
      <c r="N173" s="17"/>
      <c r="O173" s="20"/>
      <c r="P173" s="20"/>
      <c r="Q173" s="390"/>
      <c r="R173" s="20"/>
      <c r="S173" s="390"/>
      <c r="T173" s="352"/>
      <c r="U173" s="17"/>
      <c r="V173" s="352"/>
      <c r="W173" s="352"/>
    </row>
    <row r="174" spans="2:23" s="101" customFormat="1" ht="14.4">
      <c r="B174" s="17"/>
      <c r="C174" s="17"/>
      <c r="D174" s="20"/>
      <c r="E174" s="20"/>
      <c r="F174" s="184"/>
      <c r="G174" s="390"/>
      <c r="H174" s="392"/>
      <c r="I174" s="414"/>
      <c r="J174" s="25"/>
      <c r="K174" s="20"/>
      <c r="L174" s="20"/>
      <c r="M174" s="20"/>
      <c r="N174" s="17"/>
      <c r="O174" s="20"/>
      <c r="P174" s="20"/>
      <c r="Q174" s="390"/>
      <c r="R174" s="20"/>
      <c r="S174" s="390"/>
      <c r="T174" s="352"/>
      <c r="U174" s="17"/>
      <c r="V174" s="352"/>
      <c r="W174" s="352"/>
    </row>
    <row r="175" spans="2:23" s="101" customFormat="1" ht="14.4">
      <c r="B175" s="17"/>
      <c r="C175" s="17"/>
      <c r="D175" s="20"/>
      <c r="E175" s="20"/>
      <c r="F175" s="184"/>
      <c r="G175" s="390"/>
      <c r="H175" s="392"/>
      <c r="I175" s="414"/>
      <c r="J175" s="25"/>
      <c r="K175" s="20"/>
      <c r="L175" s="20"/>
      <c r="M175" s="20"/>
      <c r="N175" s="17"/>
      <c r="O175" s="20"/>
      <c r="P175" s="20"/>
      <c r="Q175" s="390"/>
      <c r="R175" s="20"/>
      <c r="S175" s="390"/>
      <c r="T175" s="352"/>
      <c r="U175" s="17"/>
      <c r="V175" s="352"/>
      <c r="W175" s="352"/>
    </row>
    <row r="176" spans="2:23" s="101" customFormat="1" ht="14.4">
      <c r="B176" s="17"/>
      <c r="C176" s="17"/>
      <c r="D176" s="20"/>
      <c r="E176" s="20"/>
      <c r="F176" s="184"/>
      <c r="G176" s="390"/>
      <c r="H176" s="392"/>
      <c r="I176" s="414"/>
      <c r="J176" s="25"/>
      <c r="K176" s="20"/>
      <c r="L176" s="20"/>
      <c r="M176" s="20"/>
      <c r="N176" s="17"/>
      <c r="O176" s="20"/>
      <c r="P176" s="20"/>
      <c r="Q176" s="390"/>
      <c r="R176" s="20"/>
      <c r="S176" s="390"/>
      <c r="T176" s="352"/>
      <c r="U176" s="17"/>
      <c r="V176" s="352"/>
      <c r="W176" s="352"/>
    </row>
    <row r="177" spans="2:23" s="101" customFormat="1" ht="14.4">
      <c r="B177" s="17"/>
      <c r="C177" s="17"/>
      <c r="D177" s="20"/>
      <c r="E177" s="20"/>
      <c r="F177" s="184"/>
      <c r="G177" s="390"/>
      <c r="H177" s="392"/>
      <c r="I177" s="414"/>
      <c r="J177" s="25"/>
      <c r="K177" s="20"/>
      <c r="L177" s="20"/>
      <c r="M177" s="20"/>
      <c r="N177" s="17"/>
      <c r="O177" s="20"/>
      <c r="P177" s="20"/>
      <c r="Q177" s="390"/>
      <c r="R177" s="20"/>
      <c r="S177" s="390"/>
      <c r="T177" s="352"/>
      <c r="U177" s="17"/>
      <c r="V177" s="352"/>
      <c r="W177" s="352"/>
    </row>
    <row r="178" spans="2:23" s="101" customFormat="1" ht="14.4">
      <c r="B178" s="17"/>
      <c r="C178" s="17"/>
      <c r="D178" s="20"/>
      <c r="E178" s="20"/>
      <c r="F178" s="184"/>
      <c r="G178" s="390"/>
      <c r="H178" s="392"/>
      <c r="I178" s="414"/>
      <c r="J178" s="25"/>
      <c r="K178" s="20"/>
      <c r="L178" s="20"/>
      <c r="M178" s="20"/>
      <c r="N178" s="17"/>
      <c r="O178" s="20"/>
      <c r="P178" s="20"/>
      <c r="Q178" s="390"/>
      <c r="R178" s="20"/>
      <c r="S178" s="390"/>
      <c r="T178" s="352"/>
      <c r="U178" s="17"/>
      <c r="V178" s="352"/>
      <c r="W178" s="352"/>
    </row>
    <row r="179" spans="2:23" s="101" customFormat="1" ht="14.4">
      <c r="B179" s="17"/>
      <c r="C179" s="17"/>
      <c r="D179" s="20"/>
      <c r="E179" s="20"/>
      <c r="F179" s="184"/>
      <c r="G179" s="390"/>
      <c r="H179" s="392"/>
      <c r="I179" s="414"/>
      <c r="J179" s="25"/>
      <c r="K179" s="20"/>
      <c r="L179" s="20"/>
      <c r="M179" s="20"/>
      <c r="N179" s="17"/>
      <c r="O179" s="20"/>
      <c r="P179" s="20"/>
      <c r="Q179" s="390"/>
      <c r="R179" s="20"/>
      <c r="S179" s="390"/>
      <c r="T179" s="352"/>
      <c r="U179" s="17"/>
      <c r="V179" s="352"/>
      <c r="W179" s="352"/>
    </row>
    <row r="180" spans="2:23" s="101" customFormat="1" ht="14.4">
      <c r="B180" s="17"/>
      <c r="C180" s="17"/>
      <c r="D180" s="20"/>
      <c r="E180" s="20"/>
      <c r="F180" s="184"/>
      <c r="G180" s="390"/>
      <c r="H180" s="392"/>
      <c r="I180" s="414"/>
      <c r="J180" s="25"/>
      <c r="K180" s="20"/>
      <c r="L180" s="20"/>
      <c r="M180" s="20"/>
      <c r="N180" s="17"/>
      <c r="O180" s="20"/>
      <c r="P180" s="20"/>
      <c r="Q180" s="390"/>
      <c r="R180" s="20"/>
      <c r="S180" s="390"/>
      <c r="T180" s="352"/>
      <c r="U180" s="17"/>
      <c r="V180" s="352"/>
      <c r="W180" s="352"/>
    </row>
    <row r="181" spans="2:23" s="101" customFormat="1" ht="14.4">
      <c r="B181" s="17"/>
      <c r="C181" s="17"/>
      <c r="D181" s="20"/>
      <c r="E181" s="20"/>
      <c r="F181" s="184"/>
      <c r="G181" s="390"/>
      <c r="H181" s="392"/>
      <c r="I181" s="414"/>
      <c r="J181" s="25"/>
      <c r="K181" s="20"/>
      <c r="L181" s="20"/>
      <c r="M181" s="20"/>
      <c r="N181" s="17"/>
      <c r="O181" s="20"/>
      <c r="P181" s="20"/>
      <c r="Q181" s="390"/>
      <c r="R181" s="20"/>
      <c r="S181" s="390"/>
      <c r="T181" s="352"/>
      <c r="U181" s="17"/>
      <c r="V181" s="352"/>
      <c r="W181" s="352"/>
    </row>
    <row r="182" spans="2:23" s="101" customFormat="1" ht="14.4">
      <c r="B182" s="17"/>
      <c r="C182" s="17"/>
      <c r="D182" s="20"/>
      <c r="E182" s="20"/>
      <c r="F182" s="184"/>
      <c r="G182" s="390"/>
      <c r="H182" s="392"/>
      <c r="I182" s="414"/>
      <c r="J182" s="25"/>
      <c r="K182" s="20"/>
      <c r="L182" s="20"/>
      <c r="M182" s="20"/>
      <c r="N182" s="17"/>
      <c r="O182" s="20"/>
      <c r="P182" s="20"/>
      <c r="Q182" s="390"/>
      <c r="R182" s="20"/>
      <c r="S182" s="390"/>
      <c r="T182" s="352"/>
      <c r="U182" s="17"/>
      <c r="V182" s="352"/>
      <c r="W182" s="352"/>
    </row>
    <row r="183" spans="2:23" s="101" customFormat="1" ht="14.4">
      <c r="B183" s="17"/>
      <c r="C183" s="17"/>
      <c r="D183" s="20"/>
      <c r="E183" s="20"/>
      <c r="F183" s="184"/>
      <c r="G183" s="390"/>
      <c r="H183" s="392"/>
      <c r="I183" s="414"/>
      <c r="J183" s="25"/>
      <c r="K183" s="20"/>
      <c r="L183" s="20"/>
      <c r="M183" s="20"/>
      <c r="N183" s="17"/>
      <c r="O183" s="20"/>
      <c r="P183" s="20"/>
      <c r="Q183" s="390"/>
      <c r="R183" s="20"/>
      <c r="S183" s="390"/>
      <c r="T183" s="352"/>
      <c r="U183" s="17"/>
      <c r="V183" s="352"/>
      <c r="W183" s="352"/>
    </row>
    <row r="184" spans="2:23" s="101" customFormat="1" ht="14.4">
      <c r="B184" s="17"/>
      <c r="C184" s="17"/>
      <c r="D184" s="20"/>
      <c r="E184" s="20"/>
      <c r="F184" s="184"/>
      <c r="G184" s="390"/>
      <c r="H184" s="392"/>
      <c r="I184" s="414"/>
      <c r="J184" s="25"/>
      <c r="K184" s="20"/>
      <c r="L184" s="20"/>
      <c r="M184" s="20"/>
      <c r="N184" s="17"/>
      <c r="O184" s="20"/>
      <c r="P184" s="20"/>
      <c r="Q184" s="390"/>
      <c r="R184" s="20"/>
      <c r="S184" s="390"/>
      <c r="T184" s="352"/>
      <c r="U184" s="17"/>
      <c r="V184" s="352"/>
      <c r="W184" s="352"/>
    </row>
    <row r="185" spans="2:23" s="101" customFormat="1" ht="14.4">
      <c r="B185" s="17"/>
      <c r="C185" s="17"/>
      <c r="D185" s="20"/>
      <c r="E185" s="20"/>
      <c r="F185" s="184"/>
      <c r="G185" s="390"/>
      <c r="H185" s="392"/>
      <c r="I185" s="414"/>
      <c r="J185" s="25"/>
      <c r="K185" s="20"/>
      <c r="L185" s="20"/>
      <c r="M185" s="20"/>
      <c r="N185" s="17"/>
      <c r="O185" s="20"/>
      <c r="P185" s="20"/>
      <c r="Q185" s="390"/>
      <c r="R185" s="20"/>
      <c r="S185" s="390"/>
      <c r="T185" s="352"/>
      <c r="U185" s="17"/>
      <c r="V185" s="352"/>
      <c r="W185" s="352"/>
    </row>
    <row r="186" spans="2:23" s="101" customFormat="1" ht="14.4">
      <c r="B186" s="17"/>
      <c r="C186" s="17"/>
      <c r="D186" s="20"/>
      <c r="E186" s="20"/>
      <c r="F186" s="184"/>
      <c r="G186" s="390"/>
      <c r="H186" s="392"/>
      <c r="I186" s="414"/>
      <c r="J186" s="25"/>
      <c r="K186" s="20"/>
      <c r="L186" s="20"/>
      <c r="M186" s="20"/>
      <c r="N186" s="17"/>
      <c r="O186" s="20"/>
      <c r="P186" s="20"/>
      <c r="Q186" s="390"/>
      <c r="R186" s="20"/>
      <c r="S186" s="390"/>
      <c r="T186" s="352"/>
      <c r="U186" s="17"/>
      <c r="V186" s="352"/>
      <c r="W186" s="352"/>
    </row>
    <row r="187" spans="2:23" s="101" customFormat="1" ht="14.4">
      <c r="B187" s="17"/>
      <c r="C187" s="17"/>
      <c r="D187" s="20"/>
      <c r="E187" s="20"/>
      <c r="F187" s="184"/>
      <c r="G187" s="390"/>
      <c r="H187" s="392"/>
      <c r="I187" s="414"/>
      <c r="J187" s="25"/>
      <c r="K187" s="20"/>
      <c r="L187" s="20"/>
      <c r="M187" s="20"/>
      <c r="N187" s="17"/>
      <c r="O187" s="20"/>
      <c r="P187" s="20"/>
      <c r="Q187" s="390"/>
      <c r="R187" s="20"/>
      <c r="S187" s="390"/>
      <c r="T187" s="352"/>
      <c r="U187" s="17"/>
      <c r="V187" s="352"/>
      <c r="W187" s="352"/>
    </row>
    <row r="188" spans="2:23" s="101" customFormat="1" ht="14.4">
      <c r="B188" s="17"/>
      <c r="C188" s="17"/>
      <c r="D188" s="20"/>
      <c r="E188" s="20"/>
      <c r="F188" s="184"/>
      <c r="G188" s="390"/>
      <c r="H188" s="392"/>
      <c r="I188" s="414"/>
      <c r="J188" s="25"/>
      <c r="K188" s="20"/>
      <c r="L188" s="20"/>
      <c r="M188" s="20"/>
      <c r="N188" s="17"/>
      <c r="O188" s="20"/>
      <c r="P188" s="20"/>
      <c r="Q188" s="390"/>
      <c r="R188" s="20"/>
      <c r="S188" s="390"/>
      <c r="T188" s="352"/>
      <c r="U188" s="17"/>
      <c r="V188" s="352"/>
      <c r="W188" s="352"/>
    </row>
    <row r="189" spans="2:23" s="101" customFormat="1" ht="14.4">
      <c r="B189" s="17"/>
      <c r="C189" s="17"/>
      <c r="D189" s="20"/>
      <c r="E189" s="20"/>
      <c r="F189" s="184"/>
      <c r="G189" s="390"/>
      <c r="H189" s="392"/>
      <c r="I189" s="414"/>
      <c r="J189" s="25"/>
      <c r="K189" s="20"/>
      <c r="L189" s="20"/>
      <c r="M189" s="20"/>
      <c r="N189" s="17"/>
      <c r="O189" s="20"/>
      <c r="P189" s="20"/>
      <c r="Q189" s="390"/>
      <c r="R189" s="20"/>
      <c r="S189" s="390"/>
      <c r="T189" s="352"/>
      <c r="U189" s="17"/>
      <c r="V189" s="352"/>
      <c r="W189" s="352"/>
    </row>
    <row r="190" spans="2:23" s="101" customFormat="1" ht="14.4">
      <c r="B190" s="17"/>
      <c r="C190" s="17"/>
      <c r="D190" s="20"/>
      <c r="E190" s="20"/>
      <c r="F190" s="184"/>
      <c r="G190" s="390"/>
      <c r="H190" s="392"/>
      <c r="I190" s="414"/>
      <c r="J190" s="25"/>
      <c r="K190" s="20"/>
      <c r="L190" s="20"/>
      <c r="M190" s="20"/>
      <c r="N190" s="17"/>
      <c r="O190" s="20"/>
      <c r="P190" s="20"/>
      <c r="Q190" s="390"/>
      <c r="R190" s="20"/>
      <c r="S190" s="390"/>
      <c r="T190" s="352"/>
      <c r="U190" s="17"/>
      <c r="V190" s="352"/>
      <c r="W190" s="352"/>
    </row>
    <row r="191" spans="2:23" s="101" customFormat="1" ht="14.4">
      <c r="B191" s="17"/>
      <c r="C191" s="17"/>
      <c r="D191" s="20"/>
      <c r="E191" s="20"/>
      <c r="F191" s="184"/>
      <c r="G191" s="390"/>
      <c r="H191" s="392"/>
      <c r="I191" s="414"/>
      <c r="J191" s="25"/>
      <c r="K191" s="20"/>
      <c r="L191" s="20"/>
      <c r="M191" s="20"/>
      <c r="N191" s="17"/>
      <c r="O191" s="20"/>
      <c r="P191" s="20"/>
      <c r="Q191" s="390"/>
      <c r="R191" s="20"/>
      <c r="S191" s="390"/>
      <c r="T191" s="352"/>
      <c r="U191" s="17"/>
      <c r="V191" s="352"/>
      <c r="W191" s="352"/>
    </row>
    <row r="192" spans="2:23" s="101" customFormat="1" ht="14.4">
      <c r="B192" s="17"/>
      <c r="C192" s="17"/>
      <c r="D192" s="20"/>
      <c r="E192" s="20"/>
      <c r="F192" s="184"/>
      <c r="G192" s="390"/>
      <c r="H192" s="392"/>
      <c r="I192" s="414"/>
      <c r="J192" s="25"/>
      <c r="K192" s="20"/>
      <c r="L192" s="20"/>
      <c r="M192" s="20"/>
      <c r="N192" s="17"/>
      <c r="O192" s="20"/>
      <c r="P192" s="20"/>
      <c r="Q192" s="390"/>
      <c r="R192" s="20"/>
      <c r="S192" s="390"/>
      <c r="T192" s="352"/>
      <c r="U192" s="17"/>
      <c r="V192" s="352"/>
      <c r="W192" s="352"/>
    </row>
    <row r="193" spans="2:23" s="101" customFormat="1" ht="14.4">
      <c r="B193" s="17"/>
      <c r="C193" s="17"/>
      <c r="D193" s="20"/>
      <c r="E193" s="20"/>
      <c r="F193" s="184"/>
      <c r="G193" s="390"/>
      <c r="H193" s="392"/>
      <c r="I193" s="414"/>
      <c r="J193" s="25"/>
      <c r="K193" s="20"/>
      <c r="L193" s="20"/>
      <c r="M193" s="20"/>
      <c r="N193" s="17"/>
      <c r="O193" s="20"/>
      <c r="P193" s="20"/>
      <c r="Q193" s="390"/>
      <c r="R193" s="20"/>
      <c r="S193" s="390"/>
      <c r="T193" s="352"/>
      <c r="U193" s="17"/>
      <c r="V193" s="352"/>
      <c r="W193" s="352"/>
    </row>
    <row r="194" spans="2:23" s="101" customFormat="1" ht="14.4">
      <c r="B194" s="17"/>
      <c r="C194" s="17"/>
      <c r="D194" s="20"/>
      <c r="E194" s="20"/>
      <c r="F194" s="184"/>
      <c r="G194" s="390"/>
      <c r="H194" s="392"/>
      <c r="I194" s="414"/>
      <c r="J194" s="25"/>
      <c r="K194" s="20"/>
      <c r="L194" s="20"/>
      <c r="M194" s="20"/>
      <c r="N194" s="17"/>
      <c r="O194" s="20"/>
      <c r="P194" s="20"/>
      <c r="Q194" s="390"/>
      <c r="R194" s="20"/>
      <c r="S194" s="390"/>
      <c r="T194" s="352"/>
      <c r="U194" s="17"/>
      <c r="V194" s="352"/>
      <c r="W194" s="352"/>
    </row>
    <row r="195" spans="2:23" s="101" customFormat="1" ht="14.4">
      <c r="B195" s="17"/>
      <c r="C195" s="17"/>
      <c r="D195" s="20"/>
      <c r="E195" s="20"/>
      <c r="F195" s="184"/>
      <c r="G195" s="390"/>
      <c r="H195" s="392"/>
      <c r="I195" s="414"/>
      <c r="J195" s="25"/>
      <c r="K195" s="20"/>
      <c r="L195" s="20"/>
      <c r="M195" s="20"/>
      <c r="N195" s="17"/>
      <c r="O195" s="20"/>
      <c r="P195" s="20"/>
      <c r="Q195" s="390"/>
      <c r="R195" s="20"/>
      <c r="S195" s="390"/>
      <c r="T195" s="352"/>
      <c r="U195" s="17"/>
      <c r="V195" s="352"/>
      <c r="W195" s="352"/>
    </row>
    <row r="196" spans="2:23" s="101" customFormat="1" ht="14.4">
      <c r="B196" s="17"/>
      <c r="C196" s="17"/>
      <c r="D196" s="20"/>
      <c r="E196" s="20"/>
      <c r="F196" s="184"/>
      <c r="G196" s="390"/>
      <c r="H196" s="392"/>
      <c r="I196" s="414"/>
      <c r="J196" s="25"/>
      <c r="K196" s="20"/>
      <c r="L196" s="20"/>
      <c r="M196" s="20"/>
      <c r="N196" s="17"/>
      <c r="O196" s="20"/>
      <c r="P196" s="20"/>
      <c r="Q196" s="390"/>
      <c r="R196" s="20"/>
      <c r="S196" s="390"/>
      <c r="T196" s="352"/>
      <c r="U196" s="17"/>
      <c r="V196" s="352"/>
      <c r="W196" s="352"/>
    </row>
    <row r="197" spans="2:23" s="101" customFormat="1" ht="14.4">
      <c r="B197" s="17"/>
      <c r="C197" s="17"/>
      <c r="D197" s="20"/>
      <c r="E197" s="20"/>
      <c r="F197" s="184"/>
      <c r="G197" s="390"/>
      <c r="H197" s="392"/>
      <c r="I197" s="414"/>
      <c r="J197" s="25"/>
      <c r="K197" s="20"/>
      <c r="L197" s="20"/>
      <c r="M197" s="20"/>
      <c r="N197" s="17"/>
      <c r="O197" s="20"/>
      <c r="P197" s="20"/>
      <c r="Q197" s="390"/>
      <c r="R197" s="20"/>
      <c r="S197" s="390"/>
      <c r="T197" s="352"/>
      <c r="U197" s="17"/>
      <c r="V197" s="352"/>
      <c r="W197" s="352"/>
    </row>
    <row r="198" spans="2:23" s="101" customFormat="1" ht="14.4">
      <c r="B198" s="17"/>
      <c r="C198" s="17"/>
      <c r="D198" s="20"/>
      <c r="E198" s="20"/>
      <c r="F198" s="184"/>
      <c r="G198" s="390"/>
      <c r="H198" s="392"/>
      <c r="I198" s="414"/>
      <c r="J198" s="25"/>
      <c r="K198" s="20"/>
      <c r="L198" s="20"/>
      <c r="M198" s="20"/>
      <c r="N198" s="17"/>
      <c r="O198" s="20"/>
      <c r="P198" s="20"/>
      <c r="Q198" s="390"/>
      <c r="R198" s="20"/>
      <c r="S198" s="390"/>
      <c r="T198" s="352"/>
      <c r="U198" s="17"/>
      <c r="V198" s="352"/>
      <c r="W198" s="352"/>
    </row>
    <row r="199" spans="2:23" s="101" customFormat="1" ht="14.4">
      <c r="B199" s="17"/>
      <c r="C199" s="17"/>
      <c r="D199" s="20"/>
      <c r="E199" s="20"/>
      <c r="F199" s="184"/>
      <c r="G199" s="390"/>
      <c r="H199" s="392"/>
      <c r="I199" s="414"/>
      <c r="J199" s="25"/>
      <c r="K199" s="20"/>
      <c r="L199" s="20"/>
      <c r="M199" s="20"/>
      <c r="N199" s="17"/>
      <c r="O199" s="20"/>
      <c r="P199" s="20"/>
      <c r="Q199" s="390"/>
      <c r="R199" s="20"/>
      <c r="S199" s="390"/>
      <c r="T199" s="352"/>
      <c r="U199" s="17"/>
      <c r="V199" s="352"/>
      <c r="W199" s="352"/>
    </row>
    <row r="200" spans="2:23" s="101" customFormat="1" ht="14.4">
      <c r="B200" s="17"/>
      <c r="C200" s="17"/>
      <c r="D200" s="20"/>
      <c r="E200" s="20"/>
      <c r="F200" s="184"/>
      <c r="G200" s="390"/>
      <c r="H200" s="392"/>
      <c r="I200" s="414"/>
      <c r="J200" s="25"/>
      <c r="K200" s="20"/>
      <c r="L200" s="20"/>
      <c r="M200" s="20"/>
      <c r="N200" s="17"/>
      <c r="O200" s="20"/>
      <c r="P200" s="20"/>
      <c r="Q200" s="390"/>
      <c r="R200" s="20"/>
      <c r="S200" s="390"/>
      <c r="T200" s="352"/>
      <c r="U200" s="17"/>
      <c r="V200" s="352"/>
      <c r="W200" s="352"/>
    </row>
    <row r="201" spans="2:23" s="101" customFormat="1" ht="14.4">
      <c r="B201" s="17"/>
      <c r="C201" s="17"/>
      <c r="D201" s="20"/>
      <c r="E201" s="20"/>
      <c r="F201" s="184"/>
      <c r="G201" s="390"/>
      <c r="H201" s="392"/>
      <c r="I201" s="414"/>
      <c r="J201" s="25"/>
      <c r="K201" s="20"/>
      <c r="L201" s="20"/>
      <c r="M201" s="20"/>
      <c r="N201" s="17"/>
      <c r="O201" s="20"/>
      <c r="P201" s="20"/>
      <c r="Q201" s="390"/>
      <c r="R201" s="20"/>
      <c r="S201" s="390"/>
      <c r="T201" s="352"/>
      <c r="U201" s="17"/>
      <c r="V201" s="352"/>
      <c r="W201" s="352"/>
    </row>
    <row r="202" spans="2:23" s="101" customFormat="1" ht="14.4">
      <c r="B202" s="17"/>
      <c r="C202" s="17"/>
      <c r="D202" s="20"/>
      <c r="E202" s="20"/>
      <c r="F202" s="184"/>
      <c r="G202" s="390"/>
      <c r="H202" s="392"/>
      <c r="I202" s="414"/>
      <c r="J202" s="25"/>
      <c r="K202" s="20"/>
      <c r="L202" s="20"/>
      <c r="M202" s="20"/>
      <c r="N202" s="17"/>
      <c r="O202" s="20"/>
      <c r="P202" s="20"/>
      <c r="Q202" s="390"/>
      <c r="R202" s="20"/>
      <c r="S202" s="390"/>
      <c r="T202" s="352"/>
      <c r="U202" s="17"/>
      <c r="V202" s="352"/>
      <c r="W202" s="352"/>
    </row>
    <row r="203" spans="2:23" s="101" customFormat="1" ht="14.4">
      <c r="B203" s="17"/>
      <c r="C203" s="17"/>
      <c r="D203" s="20"/>
      <c r="E203" s="20"/>
      <c r="F203" s="184"/>
      <c r="G203" s="390"/>
      <c r="H203" s="392"/>
      <c r="I203" s="414"/>
      <c r="J203" s="25"/>
      <c r="K203" s="20"/>
      <c r="L203" s="20"/>
      <c r="M203" s="20"/>
      <c r="N203" s="17"/>
      <c r="O203" s="20"/>
      <c r="P203" s="20"/>
      <c r="Q203" s="390"/>
      <c r="R203" s="20"/>
      <c r="S203" s="390"/>
      <c r="T203" s="352"/>
      <c r="U203" s="17"/>
      <c r="V203" s="352"/>
      <c r="W203" s="352"/>
    </row>
    <row r="204" spans="2:23" s="101" customFormat="1" ht="14.4">
      <c r="B204" s="17"/>
      <c r="C204" s="17"/>
      <c r="D204" s="20"/>
      <c r="E204" s="20"/>
      <c r="F204" s="184"/>
      <c r="G204" s="390"/>
      <c r="H204" s="392"/>
      <c r="I204" s="414"/>
      <c r="J204" s="25"/>
      <c r="K204" s="20"/>
      <c r="L204" s="20"/>
      <c r="M204" s="20"/>
      <c r="N204" s="17"/>
      <c r="O204" s="20"/>
      <c r="P204" s="20"/>
      <c r="Q204" s="390"/>
      <c r="R204" s="20"/>
      <c r="S204" s="390"/>
      <c r="T204" s="352"/>
      <c r="U204" s="17"/>
      <c r="V204" s="352"/>
      <c r="W204" s="352"/>
    </row>
    <row r="205" spans="2:23" s="101" customFormat="1" ht="14.4">
      <c r="B205" s="17"/>
      <c r="C205" s="17"/>
      <c r="D205" s="20"/>
      <c r="E205" s="20"/>
      <c r="F205" s="184"/>
      <c r="G205" s="390"/>
      <c r="H205" s="392"/>
      <c r="I205" s="414"/>
      <c r="J205" s="25"/>
      <c r="K205" s="20"/>
      <c r="L205" s="20"/>
      <c r="M205" s="20"/>
      <c r="N205" s="17"/>
      <c r="O205" s="20"/>
      <c r="P205" s="20"/>
      <c r="Q205" s="390"/>
      <c r="R205" s="20"/>
      <c r="S205" s="390"/>
      <c r="T205" s="352"/>
      <c r="U205" s="17"/>
      <c r="V205" s="352"/>
      <c r="W205" s="352"/>
    </row>
    <row r="206" spans="2:23" s="101" customFormat="1" ht="14.4">
      <c r="B206" s="17"/>
      <c r="C206" s="17"/>
      <c r="D206" s="20"/>
      <c r="E206" s="20"/>
      <c r="F206" s="184"/>
      <c r="G206" s="390"/>
      <c r="H206" s="392"/>
      <c r="I206" s="414"/>
      <c r="J206" s="25"/>
      <c r="K206" s="20"/>
      <c r="L206" s="20"/>
      <c r="M206" s="20"/>
      <c r="N206" s="17"/>
      <c r="O206" s="20"/>
      <c r="P206" s="20"/>
      <c r="Q206" s="390"/>
      <c r="R206" s="20"/>
      <c r="S206" s="390"/>
      <c r="T206" s="352"/>
      <c r="U206" s="17"/>
      <c r="V206" s="352"/>
      <c r="W206" s="352"/>
    </row>
    <row r="207" spans="2:23" s="101" customFormat="1" ht="14.4">
      <c r="B207" s="17"/>
      <c r="C207" s="17"/>
      <c r="D207" s="20"/>
      <c r="E207" s="20"/>
      <c r="F207" s="184"/>
      <c r="G207" s="390"/>
      <c r="H207" s="392"/>
      <c r="I207" s="414"/>
      <c r="J207" s="25"/>
      <c r="K207" s="20"/>
      <c r="L207" s="20"/>
      <c r="M207" s="20"/>
      <c r="N207" s="17"/>
      <c r="O207" s="20"/>
      <c r="P207" s="20"/>
      <c r="Q207" s="390"/>
      <c r="R207" s="20"/>
      <c r="S207" s="390"/>
      <c r="T207" s="352"/>
      <c r="U207" s="17"/>
      <c r="V207" s="352"/>
      <c r="W207" s="352"/>
    </row>
    <row r="208" spans="2:23" s="101" customFormat="1" ht="14.4">
      <c r="B208" s="17"/>
      <c r="C208" s="17"/>
      <c r="D208" s="20"/>
      <c r="E208" s="20"/>
      <c r="F208" s="184"/>
      <c r="G208" s="390"/>
      <c r="H208" s="392"/>
      <c r="I208" s="414"/>
      <c r="J208" s="25"/>
      <c r="K208" s="20"/>
      <c r="L208" s="20"/>
      <c r="M208" s="20"/>
      <c r="N208" s="17"/>
      <c r="O208" s="20"/>
      <c r="P208" s="20"/>
      <c r="Q208" s="390"/>
      <c r="R208" s="20"/>
      <c r="S208" s="390"/>
      <c r="T208" s="352"/>
      <c r="U208" s="17"/>
      <c r="V208" s="352"/>
      <c r="W208" s="352"/>
    </row>
    <row r="209" spans="2:23" s="101" customFormat="1" ht="14.4">
      <c r="B209" s="17"/>
      <c r="C209" s="17"/>
      <c r="D209" s="20"/>
      <c r="E209" s="20"/>
      <c r="F209" s="184"/>
      <c r="G209" s="390"/>
      <c r="H209" s="392"/>
      <c r="I209" s="414"/>
      <c r="J209" s="25"/>
      <c r="K209" s="20"/>
      <c r="L209" s="20"/>
      <c r="M209" s="20"/>
      <c r="N209" s="17"/>
      <c r="O209" s="20"/>
      <c r="P209" s="20"/>
      <c r="Q209" s="390"/>
      <c r="R209" s="20"/>
      <c r="S209" s="390"/>
      <c r="T209" s="352"/>
      <c r="U209" s="17"/>
      <c r="V209" s="352"/>
      <c r="W209" s="352"/>
    </row>
    <row r="210" spans="2:23" s="101" customFormat="1" ht="14.4">
      <c r="B210" s="17"/>
      <c r="C210" s="17"/>
      <c r="D210" s="20"/>
      <c r="E210" s="20"/>
      <c r="F210" s="184"/>
      <c r="G210" s="390"/>
      <c r="H210" s="392"/>
      <c r="I210" s="414"/>
      <c r="J210" s="25"/>
      <c r="K210" s="20"/>
      <c r="L210" s="20"/>
      <c r="M210" s="20"/>
      <c r="N210" s="17"/>
      <c r="O210" s="20"/>
      <c r="P210" s="20"/>
      <c r="Q210" s="390"/>
      <c r="R210" s="20"/>
      <c r="S210" s="390"/>
      <c r="T210" s="352"/>
      <c r="U210" s="17"/>
      <c r="V210" s="352"/>
      <c r="W210" s="352"/>
    </row>
    <row r="211" spans="2:23" s="101" customFormat="1" ht="14.4">
      <c r="B211" s="17"/>
      <c r="C211" s="17"/>
      <c r="D211" s="20"/>
      <c r="E211" s="20"/>
      <c r="F211" s="184"/>
      <c r="G211" s="390"/>
      <c r="H211" s="392"/>
      <c r="I211" s="414"/>
      <c r="J211" s="25"/>
      <c r="K211" s="20"/>
      <c r="L211" s="20"/>
      <c r="M211" s="20"/>
      <c r="N211" s="17"/>
      <c r="O211" s="20"/>
      <c r="P211" s="20"/>
      <c r="Q211" s="390"/>
      <c r="R211" s="20"/>
      <c r="S211" s="390"/>
      <c r="T211" s="352"/>
      <c r="U211" s="17"/>
      <c r="V211" s="352"/>
      <c r="W211" s="352"/>
    </row>
    <row r="212" spans="2:23" s="101" customFormat="1" ht="14.4">
      <c r="B212" s="17"/>
      <c r="C212" s="17"/>
      <c r="D212" s="20"/>
      <c r="E212" s="20"/>
      <c r="F212" s="184"/>
      <c r="G212" s="390"/>
      <c r="H212" s="392"/>
      <c r="I212" s="414"/>
      <c r="J212" s="25"/>
      <c r="K212" s="20"/>
      <c r="L212" s="20"/>
      <c r="M212" s="20"/>
      <c r="N212" s="17"/>
      <c r="O212" s="20"/>
      <c r="P212" s="20"/>
      <c r="Q212" s="390"/>
      <c r="R212" s="20"/>
      <c r="S212" s="390"/>
      <c r="T212" s="352"/>
      <c r="U212" s="17"/>
      <c r="V212" s="352"/>
      <c r="W212" s="352"/>
    </row>
    <row r="213" spans="2:23" s="101" customFormat="1" ht="14.4">
      <c r="B213" s="17"/>
      <c r="C213" s="17"/>
      <c r="D213" s="20"/>
      <c r="E213" s="20"/>
      <c r="F213" s="184"/>
      <c r="G213" s="390"/>
      <c r="H213" s="392"/>
      <c r="I213" s="414"/>
      <c r="J213" s="25"/>
      <c r="K213" s="20"/>
      <c r="L213" s="20"/>
      <c r="M213" s="20"/>
      <c r="N213" s="17"/>
      <c r="O213" s="20"/>
      <c r="P213" s="20"/>
      <c r="Q213" s="390"/>
      <c r="R213" s="20"/>
      <c r="S213" s="390"/>
      <c r="T213" s="352"/>
      <c r="U213" s="17"/>
      <c r="V213" s="352"/>
      <c r="W213" s="352"/>
    </row>
    <row r="214" spans="2:23" s="101" customFormat="1" ht="14.4">
      <c r="B214" s="17"/>
      <c r="C214" s="17"/>
      <c r="D214" s="20"/>
      <c r="E214" s="20"/>
      <c r="F214" s="184"/>
      <c r="G214" s="390"/>
      <c r="H214" s="392"/>
      <c r="I214" s="414"/>
      <c r="J214" s="25"/>
      <c r="K214" s="20"/>
      <c r="L214" s="20"/>
      <c r="M214" s="20"/>
      <c r="N214" s="17"/>
      <c r="O214" s="20"/>
      <c r="P214" s="20"/>
      <c r="Q214" s="390"/>
      <c r="R214" s="20"/>
      <c r="S214" s="390"/>
      <c r="T214" s="352"/>
      <c r="U214" s="17"/>
      <c r="V214" s="352"/>
      <c r="W214" s="352"/>
    </row>
    <row r="215" spans="2:23" s="101" customFormat="1" ht="14.4">
      <c r="B215" s="17"/>
      <c r="C215" s="17"/>
      <c r="D215" s="20"/>
      <c r="E215" s="20"/>
      <c r="F215" s="184"/>
      <c r="G215" s="390"/>
      <c r="H215" s="392"/>
      <c r="I215" s="414"/>
      <c r="J215" s="25"/>
      <c r="K215" s="20"/>
      <c r="L215" s="20"/>
      <c r="M215" s="20"/>
      <c r="N215" s="17"/>
      <c r="O215" s="20"/>
      <c r="P215" s="20"/>
      <c r="Q215" s="390"/>
      <c r="R215" s="20"/>
      <c r="S215" s="390"/>
      <c r="T215" s="352"/>
      <c r="U215" s="17"/>
      <c r="V215" s="352"/>
      <c r="W215" s="352"/>
    </row>
    <row r="216" spans="2:23" s="101" customFormat="1" ht="14.4">
      <c r="B216" s="17"/>
      <c r="C216" s="17"/>
      <c r="D216" s="20"/>
      <c r="E216" s="20"/>
      <c r="F216" s="184"/>
      <c r="G216" s="390"/>
      <c r="H216" s="392"/>
      <c r="I216" s="414"/>
      <c r="J216" s="25"/>
      <c r="K216" s="20"/>
      <c r="L216" s="20"/>
      <c r="M216" s="20"/>
      <c r="N216" s="17"/>
      <c r="O216" s="20"/>
      <c r="P216" s="20"/>
      <c r="Q216" s="390"/>
      <c r="R216" s="20"/>
      <c r="S216" s="390"/>
      <c r="T216" s="352"/>
      <c r="U216" s="17"/>
      <c r="V216" s="352"/>
      <c r="W216" s="352"/>
    </row>
    <row r="217" spans="2:23" s="101" customFormat="1" ht="14.4">
      <c r="B217" s="17"/>
      <c r="C217" s="17"/>
      <c r="D217" s="20"/>
      <c r="E217" s="20"/>
      <c r="F217" s="184"/>
      <c r="G217" s="390"/>
      <c r="H217" s="392"/>
      <c r="I217" s="414"/>
      <c r="J217" s="25"/>
      <c r="K217" s="20"/>
      <c r="L217" s="20"/>
      <c r="M217" s="20"/>
      <c r="N217" s="17"/>
      <c r="O217" s="20"/>
      <c r="P217" s="20"/>
      <c r="Q217" s="390"/>
      <c r="R217" s="20"/>
      <c r="S217" s="390"/>
      <c r="T217" s="352"/>
      <c r="U217" s="17"/>
      <c r="V217" s="352"/>
      <c r="W217" s="352"/>
    </row>
    <row r="218" spans="2:23" s="101" customFormat="1" ht="14.4">
      <c r="B218" s="17"/>
      <c r="C218" s="17"/>
      <c r="D218" s="20"/>
      <c r="E218" s="20"/>
      <c r="F218" s="184"/>
      <c r="G218" s="390"/>
      <c r="H218" s="392"/>
      <c r="I218" s="414"/>
      <c r="J218" s="25"/>
      <c r="K218" s="20"/>
      <c r="L218" s="20"/>
      <c r="M218" s="20"/>
      <c r="N218" s="17"/>
      <c r="O218" s="20"/>
      <c r="P218" s="20"/>
      <c r="Q218" s="390"/>
      <c r="R218" s="20"/>
      <c r="S218" s="390"/>
      <c r="T218" s="352"/>
      <c r="U218" s="17"/>
      <c r="V218" s="352"/>
      <c r="W218" s="352"/>
    </row>
    <row r="219" spans="2:23" s="101" customFormat="1" ht="14.4">
      <c r="B219" s="17"/>
      <c r="C219" s="17"/>
      <c r="D219" s="20"/>
      <c r="E219" s="20"/>
      <c r="F219" s="184"/>
      <c r="G219" s="390"/>
      <c r="H219" s="392"/>
      <c r="I219" s="414"/>
      <c r="J219" s="25"/>
      <c r="K219" s="20"/>
      <c r="L219" s="20"/>
      <c r="M219" s="20"/>
      <c r="N219" s="17"/>
      <c r="O219" s="20"/>
      <c r="P219" s="20"/>
      <c r="Q219" s="390"/>
      <c r="R219" s="20"/>
      <c r="S219" s="390"/>
      <c r="T219" s="352"/>
      <c r="U219" s="17"/>
      <c r="V219" s="352"/>
      <c r="W219" s="352"/>
    </row>
    <row r="220" spans="2:23" s="101" customFormat="1" ht="14.4">
      <c r="B220" s="17"/>
      <c r="C220" s="17"/>
      <c r="D220" s="20"/>
      <c r="E220" s="20"/>
      <c r="F220" s="184"/>
      <c r="G220" s="390"/>
      <c r="H220" s="392"/>
      <c r="I220" s="414"/>
      <c r="J220" s="25"/>
      <c r="K220" s="20"/>
      <c r="L220" s="20"/>
      <c r="M220" s="20"/>
      <c r="N220" s="17"/>
      <c r="O220" s="20"/>
      <c r="P220" s="20"/>
      <c r="Q220" s="390"/>
      <c r="R220" s="20"/>
      <c r="S220" s="390"/>
      <c r="T220" s="352"/>
      <c r="U220" s="17"/>
      <c r="V220" s="352"/>
      <c r="W220" s="352"/>
    </row>
    <row r="221" spans="2:23" s="101" customFormat="1" ht="14.4">
      <c r="B221" s="17"/>
      <c r="C221" s="17"/>
      <c r="D221" s="20"/>
      <c r="E221" s="20"/>
      <c r="F221" s="184"/>
      <c r="G221" s="390"/>
      <c r="H221" s="392"/>
      <c r="I221" s="414"/>
      <c r="J221" s="25"/>
      <c r="K221" s="20"/>
      <c r="L221" s="20"/>
      <c r="M221" s="20"/>
      <c r="N221" s="17"/>
      <c r="O221" s="20"/>
      <c r="P221" s="20"/>
      <c r="Q221" s="390"/>
      <c r="R221" s="20"/>
      <c r="S221" s="390"/>
      <c r="T221" s="352"/>
      <c r="U221" s="17"/>
      <c r="V221" s="352"/>
      <c r="W221" s="352"/>
    </row>
    <row r="222" spans="2:23" s="101" customFormat="1" ht="14.4">
      <c r="B222" s="17"/>
      <c r="C222" s="17"/>
      <c r="D222" s="20"/>
      <c r="E222" s="20"/>
      <c r="F222" s="184"/>
      <c r="G222" s="390"/>
      <c r="H222" s="392"/>
      <c r="I222" s="414"/>
      <c r="J222" s="25"/>
      <c r="K222" s="20"/>
      <c r="L222" s="20"/>
      <c r="M222" s="20"/>
      <c r="N222" s="17"/>
      <c r="O222" s="20"/>
      <c r="P222" s="20"/>
      <c r="Q222" s="390"/>
      <c r="R222" s="20"/>
      <c r="S222" s="390"/>
      <c r="T222" s="352"/>
      <c r="U222" s="17"/>
      <c r="V222" s="352"/>
      <c r="W222" s="352"/>
    </row>
    <row r="223" spans="2:23" s="101" customFormat="1" ht="14.4">
      <c r="B223" s="17"/>
      <c r="C223" s="17"/>
      <c r="D223" s="20"/>
      <c r="E223" s="20"/>
      <c r="F223" s="184"/>
      <c r="G223" s="390"/>
      <c r="H223" s="392"/>
      <c r="I223" s="414"/>
      <c r="J223" s="25"/>
      <c r="K223" s="20"/>
      <c r="L223" s="20"/>
      <c r="M223" s="20"/>
      <c r="N223" s="17"/>
      <c r="O223" s="20"/>
      <c r="P223" s="20"/>
      <c r="Q223" s="390"/>
      <c r="R223" s="20"/>
      <c r="S223" s="390"/>
      <c r="T223" s="352"/>
      <c r="U223" s="17"/>
      <c r="V223" s="352"/>
      <c r="W223" s="352"/>
    </row>
    <row r="224" spans="2:23" s="101" customFormat="1" ht="14.4">
      <c r="B224" s="17"/>
      <c r="C224" s="17"/>
      <c r="D224" s="20"/>
      <c r="E224" s="20"/>
      <c r="F224" s="184"/>
      <c r="G224" s="390"/>
      <c r="H224" s="392"/>
      <c r="I224" s="414"/>
      <c r="J224" s="25"/>
      <c r="K224" s="20"/>
      <c r="L224" s="20"/>
      <c r="M224" s="20"/>
      <c r="N224" s="17"/>
      <c r="O224" s="20"/>
      <c r="P224" s="20"/>
      <c r="Q224" s="390"/>
      <c r="R224" s="20"/>
      <c r="S224" s="390"/>
      <c r="T224" s="352"/>
      <c r="U224" s="17"/>
      <c r="V224" s="352"/>
      <c r="W224" s="352"/>
    </row>
    <row r="225" spans="2:23" s="101" customFormat="1" ht="14.4">
      <c r="B225" s="17"/>
      <c r="C225" s="17"/>
      <c r="D225" s="20"/>
      <c r="E225" s="20"/>
      <c r="F225" s="184"/>
      <c r="G225" s="390"/>
      <c r="H225" s="392"/>
      <c r="I225" s="414"/>
      <c r="J225" s="25"/>
      <c r="K225" s="20"/>
      <c r="L225" s="20"/>
      <c r="M225" s="20"/>
      <c r="N225" s="17"/>
      <c r="O225" s="20"/>
      <c r="P225" s="20"/>
      <c r="Q225" s="390"/>
      <c r="R225" s="20"/>
      <c r="S225" s="390"/>
      <c r="T225" s="352"/>
      <c r="U225" s="17"/>
      <c r="V225" s="352"/>
      <c r="W225" s="352"/>
    </row>
    <row r="226" spans="2:23" s="101" customFormat="1" ht="14.4">
      <c r="B226" s="17"/>
      <c r="C226" s="17"/>
      <c r="D226" s="20"/>
      <c r="E226" s="20"/>
      <c r="F226" s="184"/>
      <c r="G226" s="390"/>
      <c r="H226" s="392"/>
      <c r="I226" s="414"/>
      <c r="J226" s="25"/>
      <c r="K226" s="20"/>
      <c r="L226" s="20"/>
      <c r="M226" s="20"/>
      <c r="N226" s="17"/>
      <c r="O226" s="20"/>
      <c r="P226" s="20"/>
      <c r="Q226" s="390"/>
      <c r="R226" s="20"/>
      <c r="S226" s="390"/>
      <c r="T226" s="352"/>
      <c r="U226" s="17"/>
      <c r="V226" s="352"/>
      <c r="W226" s="352"/>
    </row>
    <row r="227" spans="2:23" s="101" customFormat="1" ht="14.4">
      <c r="B227" s="17"/>
      <c r="C227" s="17"/>
      <c r="D227" s="20"/>
      <c r="E227" s="20"/>
      <c r="F227" s="184"/>
      <c r="G227" s="390"/>
      <c r="H227" s="392"/>
      <c r="I227" s="414"/>
      <c r="J227" s="25"/>
      <c r="K227" s="20"/>
      <c r="L227" s="20"/>
      <c r="M227" s="20"/>
      <c r="N227" s="17"/>
      <c r="O227" s="20"/>
      <c r="P227" s="20"/>
      <c r="Q227" s="390"/>
      <c r="R227" s="20"/>
      <c r="S227" s="390"/>
      <c r="T227" s="352"/>
      <c r="U227" s="17"/>
      <c r="V227" s="352"/>
      <c r="W227" s="352"/>
    </row>
    <row r="228" spans="2:23" s="101" customFormat="1" ht="14.4">
      <c r="B228" s="17"/>
      <c r="C228" s="17"/>
      <c r="D228" s="20"/>
      <c r="E228" s="20"/>
      <c r="F228" s="184"/>
      <c r="G228" s="390"/>
      <c r="H228" s="392"/>
      <c r="I228" s="414"/>
      <c r="J228" s="25"/>
      <c r="K228" s="20"/>
      <c r="L228" s="20"/>
      <c r="M228" s="20"/>
      <c r="N228" s="17"/>
      <c r="O228" s="20"/>
      <c r="P228" s="20"/>
      <c r="Q228" s="390"/>
      <c r="R228" s="20"/>
      <c r="S228" s="390"/>
      <c r="T228" s="352"/>
      <c r="U228" s="17"/>
      <c r="V228" s="352"/>
      <c r="W228" s="352"/>
    </row>
    <row r="229" spans="2:23" s="101" customFormat="1" ht="14.4">
      <c r="B229" s="17"/>
      <c r="C229" s="17"/>
      <c r="D229" s="20"/>
      <c r="E229" s="20"/>
      <c r="F229" s="184"/>
      <c r="G229" s="390"/>
      <c r="H229" s="392"/>
      <c r="I229" s="414"/>
      <c r="J229" s="25"/>
      <c r="K229" s="20"/>
      <c r="L229" s="20"/>
      <c r="M229" s="20"/>
      <c r="N229" s="17"/>
      <c r="O229" s="20"/>
      <c r="P229" s="20"/>
      <c r="Q229" s="390"/>
      <c r="R229" s="20"/>
      <c r="S229" s="390"/>
      <c r="T229" s="352"/>
      <c r="U229" s="17"/>
      <c r="V229" s="352"/>
      <c r="W229" s="352"/>
    </row>
    <row r="230" spans="2:23" s="101" customFormat="1" ht="14.4">
      <c r="B230" s="17"/>
      <c r="C230" s="17"/>
      <c r="D230" s="20"/>
      <c r="E230" s="20"/>
      <c r="F230" s="184"/>
      <c r="G230" s="390"/>
      <c r="H230" s="392"/>
      <c r="I230" s="414"/>
      <c r="J230" s="25"/>
      <c r="K230" s="20"/>
      <c r="L230" s="20"/>
      <c r="M230" s="20"/>
      <c r="N230" s="17"/>
      <c r="O230" s="20"/>
      <c r="P230" s="20"/>
      <c r="Q230" s="390"/>
      <c r="R230" s="20"/>
      <c r="S230" s="390"/>
      <c r="T230" s="352"/>
      <c r="U230" s="17"/>
      <c r="V230" s="352"/>
      <c r="W230" s="352"/>
    </row>
    <row r="231" spans="2:23" s="101" customFormat="1" ht="14.4">
      <c r="B231" s="17"/>
      <c r="C231" s="17"/>
      <c r="D231" s="20"/>
      <c r="E231" s="20"/>
      <c r="F231" s="184"/>
      <c r="G231" s="390"/>
      <c r="H231" s="392"/>
      <c r="I231" s="414"/>
      <c r="J231" s="25"/>
      <c r="K231" s="20"/>
      <c r="L231" s="20"/>
      <c r="M231" s="20"/>
      <c r="N231" s="17"/>
      <c r="O231" s="20"/>
      <c r="P231" s="20"/>
      <c r="Q231" s="390"/>
      <c r="R231" s="20"/>
      <c r="S231" s="390"/>
      <c r="T231" s="352"/>
      <c r="U231" s="17"/>
      <c r="V231" s="352"/>
      <c r="W231" s="352"/>
    </row>
    <row r="232" spans="2:23" s="101" customFormat="1" ht="14.4">
      <c r="B232" s="17"/>
      <c r="C232" s="17"/>
      <c r="D232" s="20"/>
      <c r="E232" s="20"/>
      <c r="F232" s="184"/>
      <c r="G232" s="390"/>
      <c r="H232" s="392"/>
      <c r="I232" s="414"/>
      <c r="J232" s="25"/>
      <c r="K232" s="20"/>
      <c r="L232" s="20"/>
      <c r="M232" s="20"/>
      <c r="N232" s="17"/>
      <c r="O232" s="20"/>
      <c r="P232" s="20"/>
      <c r="Q232" s="390"/>
      <c r="R232" s="20"/>
      <c r="S232" s="390"/>
      <c r="T232" s="352"/>
      <c r="U232" s="17"/>
      <c r="V232" s="352"/>
      <c r="W232" s="352"/>
    </row>
    <row r="233" spans="2:23" s="101" customFormat="1" ht="14.4">
      <c r="B233" s="17"/>
      <c r="C233" s="17"/>
      <c r="D233" s="20"/>
      <c r="E233" s="20"/>
      <c r="F233" s="184"/>
      <c r="G233" s="390"/>
      <c r="H233" s="392"/>
      <c r="I233" s="414"/>
      <c r="J233" s="25"/>
      <c r="K233" s="20"/>
      <c r="L233" s="20"/>
      <c r="M233" s="20"/>
      <c r="N233" s="17"/>
      <c r="O233" s="20"/>
      <c r="P233" s="20"/>
      <c r="Q233" s="390"/>
      <c r="R233" s="20"/>
      <c r="S233" s="390"/>
      <c r="T233" s="352"/>
      <c r="U233" s="17"/>
      <c r="V233" s="352"/>
      <c r="W233" s="352"/>
    </row>
    <row r="234" spans="2:23" s="101" customFormat="1" ht="14.4">
      <c r="B234" s="17"/>
      <c r="C234" s="17"/>
      <c r="D234" s="20"/>
      <c r="E234" s="20"/>
      <c r="F234" s="184"/>
      <c r="G234" s="390"/>
      <c r="H234" s="392"/>
      <c r="I234" s="414"/>
      <c r="J234" s="25"/>
      <c r="K234" s="20"/>
      <c r="L234" s="20"/>
      <c r="M234" s="20"/>
      <c r="N234" s="17"/>
      <c r="O234" s="20"/>
      <c r="P234" s="20"/>
      <c r="Q234" s="390"/>
      <c r="R234" s="20"/>
      <c r="S234" s="390"/>
      <c r="T234" s="352"/>
      <c r="U234" s="17"/>
      <c r="V234" s="352"/>
      <c r="W234" s="352"/>
    </row>
    <row r="235" spans="2:23" s="101" customFormat="1" ht="14.4">
      <c r="B235" s="17"/>
      <c r="C235" s="17"/>
      <c r="D235" s="20"/>
      <c r="E235" s="20"/>
      <c r="F235" s="184"/>
      <c r="G235" s="390"/>
      <c r="H235" s="392"/>
      <c r="I235" s="414"/>
      <c r="J235" s="25"/>
      <c r="K235" s="20"/>
      <c r="L235" s="20"/>
      <c r="M235" s="20"/>
      <c r="N235" s="17"/>
      <c r="O235" s="20"/>
      <c r="P235" s="20"/>
      <c r="Q235" s="390"/>
      <c r="R235" s="20"/>
      <c r="S235" s="390"/>
      <c r="T235" s="352"/>
      <c r="U235" s="17"/>
      <c r="V235" s="352"/>
      <c r="W235" s="352"/>
    </row>
    <row r="236" spans="2:23" s="101" customFormat="1" ht="14.4">
      <c r="B236" s="17"/>
      <c r="C236" s="17"/>
      <c r="D236" s="20"/>
      <c r="E236" s="20"/>
      <c r="F236" s="184"/>
      <c r="G236" s="390"/>
      <c r="H236" s="392"/>
      <c r="I236" s="414"/>
      <c r="J236" s="25"/>
      <c r="K236" s="20"/>
      <c r="L236" s="20"/>
      <c r="M236" s="20"/>
      <c r="N236" s="17"/>
      <c r="O236" s="20"/>
      <c r="P236" s="20"/>
      <c r="Q236" s="390"/>
      <c r="R236" s="20"/>
      <c r="S236" s="390"/>
      <c r="T236" s="352"/>
      <c r="U236" s="17"/>
      <c r="V236" s="352"/>
      <c r="W236" s="352"/>
    </row>
    <row r="237" spans="2:23" s="101" customFormat="1" ht="14.4">
      <c r="B237" s="17"/>
      <c r="C237" s="17"/>
      <c r="D237" s="20"/>
      <c r="E237" s="20"/>
      <c r="F237" s="184"/>
      <c r="G237" s="390"/>
      <c r="H237" s="392"/>
      <c r="I237" s="414"/>
      <c r="J237" s="25"/>
      <c r="K237" s="20"/>
      <c r="L237" s="20"/>
      <c r="M237" s="20"/>
      <c r="N237" s="17"/>
      <c r="O237" s="20"/>
      <c r="P237" s="20"/>
      <c r="Q237" s="390"/>
      <c r="R237" s="20"/>
      <c r="S237" s="390"/>
      <c r="T237" s="352"/>
      <c r="U237" s="17"/>
      <c r="V237" s="352"/>
      <c r="W237" s="352"/>
    </row>
    <row r="238" spans="2:23" s="101" customFormat="1" ht="14.4">
      <c r="B238" s="17"/>
      <c r="C238" s="17"/>
      <c r="D238" s="20"/>
      <c r="E238" s="20"/>
      <c r="F238" s="184"/>
      <c r="G238" s="390"/>
      <c r="H238" s="392"/>
      <c r="I238" s="414"/>
      <c r="J238" s="25"/>
      <c r="K238" s="20"/>
      <c r="L238" s="20"/>
      <c r="M238" s="20"/>
      <c r="N238" s="17"/>
      <c r="O238" s="20"/>
      <c r="P238" s="20"/>
      <c r="Q238" s="390"/>
      <c r="R238" s="20"/>
      <c r="S238" s="390"/>
      <c r="T238" s="352"/>
      <c r="U238" s="17"/>
      <c r="V238" s="352"/>
      <c r="W238" s="352"/>
    </row>
    <row r="239" spans="2:23" s="101" customFormat="1" ht="14.4">
      <c r="B239" s="17"/>
      <c r="C239" s="17"/>
      <c r="D239" s="20"/>
      <c r="E239" s="20"/>
      <c r="F239" s="184"/>
      <c r="G239" s="390"/>
      <c r="H239" s="392"/>
      <c r="I239" s="414"/>
      <c r="J239" s="25"/>
      <c r="K239" s="20"/>
      <c r="L239" s="20"/>
      <c r="M239" s="20"/>
      <c r="N239" s="17"/>
      <c r="O239" s="20"/>
      <c r="P239" s="20"/>
      <c r="Q239" s="390"/>
      <c r="R239" s="20"/>
      <c r="S239" s="390"/>
      <c r="T239" s="352"/>
      <c r="U239" s="17"/>
      <c r="V239" s="352"/>
      <c r="W239" s="352"/>
    </row>
    <row r="240" spans="2:23" s="101" customFormat="1" ht="14.4">
      <c r="B240" s="17"/>
      <c r="C240" s="17"/>
      <c r="D240" s="20"/>
      <c r="E240" s="20"/>
      <c r="F240" s="184"/>
      <c r="G240" s="390"/>
      <c r="H240" s="392"/>
      <c r="I240" s="414"/>
      <c r="J240" s="25"/>
      <c r="K240" s="20"/>
      <c r="L240" s="20"/>
      <c r="M240" s="20"/>
      <c r="N240" s="17"/>
      <c r="O240" s="20"/>
      <c r="P240" s="20"/>
      <c r="Q240" s="390"/>
      <c r="R240" s="20"/>
      <c r="S240" s="390"/>
      <c r="T240" s="352"/>
      <c r="U240" s="17"/>
      <c r="V240" s="352"/>
      <c r="W240" s="352"/>
    </row>
    <row r="241" spans="2:23" s="101" customFormat="1" ht="14.4">
      <c r="B241" s="17"/>
      <c r="C241" s="17"/>
      <c r="D241" s="20"/>
      <c r="E241" s="20"/>
      <c r="F241" s="184"/>
      <c r="G241" s="390"/>
      <c r="H241" s="392"/>
      <c r="I241" s="414"/>
      <c r="J241" s="25"/>
      <c r="K241" s="20"/>
      <c r="L241" s="20"/>
      <c r="M241" s="20"/>
      <c r="N241" s="17"/>
      <c r="O241" s="20"/>
      <c r="P241" s="20"/>
      <c r="Q241" s="390"/>
      <c r="R241" s="20"/>
      <c r="S241" s="390"/>
      <c r="T241" s="352"/>
      <c r="U241" s="17"/>
      <c r="V241" s="352"/>
      <c r="W241" s="352"/>
    </row>
    <row r="242" spans="2:23" s="101" customFormat="1" ht="14.4">
      <c r="B242" s="17"/>
      <c r="C242" s="17"/>
      <c r="D242" s="20"/>
      <c r="E242" s="20"/>
      <c r="F242" s="184"/>
      <c r="G242" s="390"/>
      <c r="H242" s="392"/>
      <c r="I242" s="414"/>
      <c r="J242" s="25"/>
      <c r="K242" s="20"/>
      <c r="L242" s="20"/>
      <c r="M242" s="20"/>
      <c r="N242" s="17"/>
      <c r="O242" s="20"/>
      <c r="P242" s="20"/>
      <c r="Q242" s="390"/>
      <c r="R242" s="20"/>
      <c r="S242" s="390"/>
      <c r="T242" s="352"/>
      <c r="U242" s="17"/>
      <c r="V242" s="352"/>
      <c r="W242" s="352"/>
    </row>
    <row r="243" spans="2:23" s="101" customFormat="1" ht="14.4">
      <c r="B243" s="17"/>
      <c r="C243" s="17"/>
      <c r="D243" s="20"/>
      <c r="E243" s="20"/>
      <c r="F243" s="184"/>
      <c r="G243" s="390"/>
      <c r="H243" s="392"/>
      <c r="I243" s="414"/>
      <c r="J243" s="25"/>
      <c r="K243" s="20"/>
      <c r="L243" s="20"/>
      <c r="M243" s="20"/>
      <c r="N243" s="17"/>
      <c r="O243" s="20"/>
      <c r="P243" s="20"/>
      <c r="Q243" s="390"/>
      <c r="R243" s="20"/>
      <c r="S243" s="390"/>
      <c r="T243" s="352"/>
      <c r="U243" s="17"/>
      <c r="V243" s="352"/>
      <c r="W243" s="352"/>
    </row>
    <row r="244" spans="2:23" s="101" customFormat="1" ht="14.4">
      <c r="B244" s="17"/>
      <c r="C244" s="17"/>
      <c r="D244" s="20"/>
      <c r="E244" s="20"/>
      <c r="F244" s="184"/>
      <c r="G244" s="390"/>
      <c r="H244" s="392"/>
      <c r="I244" s="414"/>
      <c r="J244" s="25"/>
      <c r="K244" s="20"/>
      <c r="L244" s="20"/>
      <c r="M244" s="20"/>
      <c r="N244" s="17"/>
      <c r="O244" s="20"/>
      <c r="P244" s="20"/>
      <c r="Q244" s="390"/>
      <c r="R244" s="20"/>
      <c r="S244" s="390"/>
      <c r="T244" s="352"/>
      <c r="U244" s="17"/>
      <c r="V244" s="352"/>
      <c r="W244" s="352"/>
    </row>
    <row r="245" spans="2:23" s="101" customFormat="1" ht="14.4">
      <c r="B245" s="17"/>
      <c r="C245" s="17"/>
      <c r="D245" s="20"/>
      <c r="E245" s="20"/>
      <c r="F245" s="184"/>
      <c r="G245" s="390"/>
      <c r="H245" s="392"/>
      <c r="I245" s="414"/>
      <c r="J245" s="25"/>
      <c r="K245" s="20"/>
      <c r="L245" s="20"/>
      <c r="M245" s="20"/>
      <c r="N245" s="17"/>
      <c r="O245" s="20"/>
      <c r="P245" s="20"/>
      <c r="Q245" s="390"/>
      <c r="R245" s="20"/>
      <c r="S245" s="390"/>
      <c r="T245" s="352"/>
      <c r="U245" s="17"/>
      <c r="V245" s="352"/>
      <c r="W245" s="352"/>
    </row>
    <row r="246" spans="2:23" s="101" customFormat="1" ht="14.4">
      <c r="B246" s="17"/>
      <c r="C246" s="17"/>
      <c r="D246" s="20"/>
      <c r="E246" s="20"/>
      <c r="F246" s="184"/>
      <c r="G246" s="390"/>
      <c r="H246" s="392"/>
      <c r="I246" s="414"/>
      <c r="J246" s="25"/>
      <c r="K246" s="20"/>
      <c r="L246" s="20"/>
      <c r="M246" s="20"/>
      <c r="N246" s="17"/>
      <c r="O246" s="20"/>
      <c r="P246" s="20"/>
      <c r="Q246" s="390"/>
      <c r="R246" s="20"/>
      <c r="S246" s="390"/>
      <c r="T246" s="352"/>
      <c r="U246" s="17"/>
      <c r="V246" s="352"/>
      <c r="W246" s="352"/>
    </row>
    <row r="247" spans="2:23" s="101" customFormat="1" ht="14.4">
      <c r="B247" s="17"/>
      <c r="C247" s="17"/>
      <c r="D247" s="20"/>
      <c r="E247" s="20"/>
      <c r="F247" s="184"/>
      <c r="G247" s="390"/>
      <c r="H247" s="392"/>
      <c r="I247" s="414"/>
      <c r="J247" s="25"/>
      <c r="K247" s="20"/>
      <c r="L247" s="20"/>
      <c r="M247" s="20"/>
      <c r="N247" s="17"/>
      <c r="O247" s="20"/>
      <c r="P247" s="20"/>
      <c r="Q247" s="390"/>
      <c r="R247" s="20"/>
      <c r="S247" s="390"/>
      <c r="T247" s="352"/>
      <c r="U247" s="17"/>
      <c r="V247" s="352"/>
      <c r="W247" s="352"/>
    </row>
    <row r="248" spans="2:23" s="101" customFormat="1" ht="14.4">
      <c r="B248" s="17"/>
      <c r="C248" s="17"/>
      <c r="D248" s="20"/>
      <c r="E248" s="20"/>
      <c r="F248" s="184"/>
      <c r="G248" s="390"/>
      <c r="H248" s="392"/>
      <c r="I248" s="414"/>
      <c r="J248" s="25"/>
      <c r="K248" s="20"/>
      <c r="L248" s="20"/>
      <c r="M248" s="20"/>
      <c r="N248" s="17"/>
      <c r="O248" s="20"/>
      <c r="P248" s="20"/>
      <c r="Q248" s="390"/>
      <c r="R248" s="20"/>
      <c r="S248" s="390"/>
      <c r="T248" s="352"/>
      <c r="U248" s="17"/>
      <c r="V248" s="352"/>
      <c r="W248" s="352"/>
    </row>
    <row r="249" spans="2:23" s="101" customFormat="1" ht="14.4">
      <c r="B249" s="17"/>
      <c r="C249" s="17"/>
      <c r="D249" s="20"/>
      <c r="E249" s="20"/>
      <c r="F249" s="184"/>
      <c r="G249" s="390"/>
      <c r="H249" s="392"/>
      <c r="I249" s="414"/>
      <c r="J249" s="25"/>
      <c r="K249" s="20"/>
      <c r="L249" s="20"/>
      <c r="M249" s="20"/>
      <c r="N249" s="17"/>
      <c r="O249" s="20"/>
      <c r="P249" s="20"/>
      <c r="Q249" s="390"/>
      <c r="R249" s="20"/>
      <c r="S249" s="390"/>
      <c r="T249" s="352"/>
      <c r="U249" s="17"/>
      <c r="V249" s="352"/>
      <c r="W249" s="352"/>
    </row>
    <row r="250" spans="2:23" s="101" customFormat="1" ht="14.4">
      <c r="B250" s="17"/>
      <c r="C250" s="17"/>
      <c r="D250" s="20"/>
      <c r="E250" s="20"/>
      <c r="F250" s="184"/>
      <c r="G250" s="390"/>
      <c r="H250" s="392"/>
      <c r="I250" s="414"/>
      <c r="J250" s="25"/>
      <c r="K250" s="20"/>
      <c r="L250" s="20"/>
      <c r="M250" s="20"/>
      <c r="N250" s="17"/>
      <c r="O250" s="20"/>
      <c r="P250" s="20"/>
      <c r="Q250" s="390"/>
      <c r="R250" s="20"/>
      <c r="S250" s="390"/>
      <c r="T250" s="352"/>
      <c r="U250" s="17"/>
      <c r="V250" s="352"/>
      <c r="W250" s="352"/>
    </row>
    <row r="251" spans="2:23" s="101" customFormat="1" ht="14.4">
      <c r="B251" s="17"/>
      <c r="C251" s="17"/>
      <c r="D251" s="20"/>
      <c r="E251" s="20"/>
      <c r="F251" s="184"/>
      <c r="G251" s="390"/>
      <c r="H251" s="392"/>
      <c r="I251" s="414"/>
      <c r="J251" s="25"/>
      <c r="K251" s="20"/>
      <c r="L251" s="20"/>
      <c r="M251" s="20"/>
      <c r="N251" s="17"/>
      <c r="O251" s="20"/>
      <c r="P251" s="20"/>
      <c r="Q251" s="390"/>
      <c r="R251" s="20"/>
      <c r="S251" s="390"/>
      <c r="T251" s="352"/>
      <c r="U251" s="17"/>
      <c r="V251" s="352"/>
      <c r="W251" s="352"/>
    </row>
    <row r="252" spans="2:23" s="101" customFormat="1" ht="14.4">
      <c r="B252" s="17"/>
      <c r="C252" s="17"/>
      <c r="D252" s="20"/>
      <c r="E252" s="20"/>
      <c r="F252" s="184"/>
      <c r="G252" s="390"/>
      <c r="H252" s="392"/>
      <c r="I252" s="414"/>
      <c r="J252" s="25"/>
      <c r="K252" s="20"/>
      <c r="L252" s="20"/>
      <c r="M252" s="20"/>
      <c r="N252" s="17"/>
      <c r="O252" s="20"/>
      <c r="P252" s="20"/>
      <c r="Q252" s="390"/>
      <c r="R252" s="20"/>
      <c r="S252" s="390"/>
      <c r="T252" s="352"/>
      <c r="U252" s="17"/>
      <c r="V252" s="352"/>
      <c r="W252" s="352"/>
    </row>
    <row r="253" spans="2:23" s="101" customFormat="1" ht="14.4">
      <c r="B253" s="17"/>
      <c r="C253" s="17"/>
      <c r="D253" s="20"/>
      <c r="E253" s="20"/>
      <c r="F253" s="184"/>
      <c r="G253" s="390"/>
      <c r="H253" s="392"/>
      <c r="I253" s="414"/>
      <c r="J253" s="25"/>
      <c r="K253" s="20"/>
      <c r="L253" s="20"/>
      <c r="M253" s="20"/>
      <c r="N253" s="17"/>
      <c r="O253" s="20"/>
      <c r="P253" s="20"/>
      <c r="Q253" s="390"/>
      <c r="R253" s="20"/>
      <c r="S253" s="390"/>
      <c r="T253" s="352"/>
      <c r="U253" s="17"/>
      <c r="V253" s="352"/>
      <c r="W253" s="352"/>
    </row>
    <row r="254" spans="2:23" s="101" customFormat="1" ht="14.4">
      <c r="B254" s="17"/>
      <c r="C254" s="17"/>
      <c r="D254" s="20"/>
      <c r="E254" s="20"/>
      <c r="F254" s="184"/>
      <c r="G254" s="390"/>
      <c r="H254" s="392"/>
      <c r="I254" s="414"/>
      <c r="J254" s="25"/>
      <c r="K254" s="20"/>
      <c r="L254" s="20"/>
      <c r="M254" s="20"/>
      <c r="N254" s="17"/>
      <c r="O254" s="20"/>
      <c r="P254" s="20"/>
      <c r="Q254" s="390"/>
      <c r="R254" s="20"/>
      <c r="S254" s="390"/>
      <c r="T254" s="352"/>
      <c r="U254" s="17"/>
      <c r="V254" s="352"/>
      <c r="W254" s="352"/>
    </row>
    <row r="255" spans="2:23" s="101" customFormat="1" ht="14.4">
      <c r="B255" s="17"/>
      <c r="C255" s="17"/>
      <c r="D255" s="20"/>
      <c r="E255" s="20"/>
      <c r="F255" s="184"/>
      <c r="G255" s="390"/>
      <c r="H255" s="392"/>
      <c r="I255" s="414"/>
      <c r="J255" s="25"/>
      <c r="K255" s="20"/>
      <c r="L255" s="20"/>
      <c r="M255" s="20"/>
      <c r="N255" s="17"/>
      <c r="O255" s="20"/>
      <c r="P255" s="20"/>
      <c r="Q255" s="390"/>
      <c r="R255" s="20"/>
      <c r="S255" s="390"/>
      <c r="T255" s="352"/>
      <c r="U255" s="17"/>
      <c r="V255" s="352"/>
      <c r="W255" s="352"/>
    </row>
    <row r="256" spans="2:23" s="101" customFormat="1" ht="14.4">
      <c r="B256" s="17"/>
      <c r="C256" s="17"/>
      <c r="D256" s="20"/>
      <c r="E256" s="20"/>
      <c r="F256" s="184"/>
      <c r="G256" s="390"/>
      <c r="H256" s="392"/>
      <c r="I256" s="414"/>
      <c r="J256" s="25"/>
      <c r="K256" s="20"/>
      <c r="L256" s="20"/>
      <c r="M256" s="20"/>
      <c r="N256" s="17"/>
      <c r="O256" s="20"/>
      <c r="P256" s="20"/>
      <c r="Q256" s="390"/>
      <c r="R256" s="20"/>
      <c r="S256" s="390"/>
      <c r="T256" s="352"/>
      <c r="U256" s="17"/>
      <c r="V256" s="352"/>
      <c r="W256" s="352"/>
    </row>
    <row r="257" spans="2:23" s="101" customFormat="1" ht="14.4">
      <c r="B257" s="17"/>
      <c r="C257" s="17"/>
      <c r="D257" s="20"/>
      <c r="E257" s="20"/>
      <c r="F257" s="184"/>
      <c r="G257" s="390"/>
      <c r="H257" s="392"/>
      <c r="I257" s="414"/>
      <c r="J257" s="25"/>
      <c r="K257" s="20"/>
      <c r="L257" s="20"/>
      <c r="M257" s="20"/>
      <c r="N257" s="17"/>
      <c r="O257" s="20"/>
      <c r="P257" s="20"/>
      <c r="Q257" s="390"/>
      <c r="R257" s="20"/>
      <c r="S257" s="390"/>
      <c r="T257" s="352"/>
      <c r="U257" s="17"/>
      <c r="V257" s="352"/>
      <c r="W257" s="352"/>
    </row>
    <row r="258" spans="2:23" s="101" customFormat="1" ht="14.4">
      <c r="B258" s="17"/>
      <c r="C258" s="17"/>
      <c r="D258" s="20"/>
      <c r="E258" s="20"/>
      <c r="F258" s="184"/>
      <c r="G258" s="390"/>
      <c r="H258" s="392"/>
      <c r="I258" s="414"/>
      <c r="J258" s="25"/>
      <c r="K258" s="20"/>
      <c r="L258" s="20"/>
      <c r="M258" s="20"/>
      <c r="N258" s="17"/>
      <c r="O258" s="20"/>
      <c r="P258" s="20"/>
      <c r="Q258" s="390"/>
      <c r="R258" s="20"/>
      <c r="S258" s="390"/>
      <c r="T258" s="352"/>
      <c r="U258" s="17"/>
      <c r="V258" s="352"/>
      <c r="W258" s="352"/>
    </row>
    <row r="259" spans="2:23" s="101" customFormat="1" ht="14.4">
      <c r="B259" s="17"/>
      <c r="C259" s="17"/>
      <c r="D259" s="20"/>
      <c r="E259" s="20"/>
      <c r="F259" s="184"/>
      <c r="G259" s="390"/>
      <c r="H259" s="392"/>
      <c r="I259" s="414"/>
      <c r="J259" s="25"/>
      <c r="K259" s="20"/>
      <c r="L259" s="20"/>
      <c r="M259" s="20"/>
      <c r="N259" s="17"/>
      <c r="O259" s="20"/>
      <c r="P259" s="20"/>
      <c r="Q259" s="390"/>
      <c r="R259" s="20"/>
      <c r="S259" s="390"/>
      <c r="T259" s="352"/>
      <c r="U259" s="17"/>
      <c r="V259" s="352"/>
      <c r="W259" s="352"/>
    </row>
    <row r="260" spans="2:23" s="101" customFormat="1" ht="14.4">
      <c r="B260" s="17"/>
      <c r="C260" s="17"/>
      <c r="D260" s="20"/>
      <c r="E260" s="20"/>
      <c r="F260" s="184"/>
      <c r="G260" s="390"/>
      <c r="H260" s="392"/>
      <c r="I260" s="414"/>
      <c r="J260" s="25"/>
      <c r="K260" s="20"/>
      <c r="L260" s="20"/>
      <c r="M260" s="20"/>
      <c r="N260" s="17"/>
      <c r="O260" s="20"/>
      <c r="P260" s="20"/>
      <c r="Q260" s="390"/>
      <c r="R260" s="20"/>
      <c r="S260" s="390"/>
      <c r="T260" s="352"/>
      <c r="U260" s="17"/>
      <c r="V260" s="352"/>
      <c r="W260" s="352"/>
    </row>
    <row r="261" spans="2:23" s="101" customFormat="1" ht="14.4">
      <c r="B261" s="17"/>
      <c r="C261" s="17"/>
      <c r="D261" s="20"/>
      <c r="E261" s="20"/>
      <c r="F261" s="184"/>
      <c r="G261" s="390"/>
      <c r="H261" s="392"/>
      <c r="I261" s="414"/>
      <c r="J261" s="25"/>
      <c r="K261" s="20"/>
      <c r="L261" s="20"/>
      <c r="M261" s="20"/>
      <c r="N261" s="17"/>
      <c r="O261" s="20"/>
      <c r="P261" s="20"/>
      <c r="Q261" s="390"/>
      <c r="R261" s="20"/>
      <c r="S261" s="390"/>
      <c r="T261" s="352"/>
      <c r="U261" s="17"/>
      <c r="V261" s="352"/>
      <c r="W261" s="352"/>
    </row>
    <row r="262" spans="2:23" s="101" customFormat="1" ht="14.4">
      <c r="B262" s="17"/>
      <c r="C262" s="17"/>
      <c r="D262" s="20"/>
      <c r="E262" s="20"/>
      <c r="F262" s="184"/>
      <c r="G262" s="390"/>
      <c r="H262" s="392"/>
      <c r="I262" s="414"/>
      <c r="J262" s="25"/>
      <c r="K262" s="20"/>
      <c r="L262" s="20"/>
      <c r="M262" s="20"/>
      <c r="N262" s="17"/>
      <c r="O262" s="20"/>
      <c r="P262" s="20"/>
      <c r="Q262" s="390"/>
      <c r="R262" s="20"/>
      <c r="S262" s="390"/>
      <c r="T262" s="352"/>
      <c r="U262" s="17"/>
      <c r="V262" s="352"/>
      <c r="W262" s="352"/>
    </row>
    <row r="263" spans="2:23" s="101" customFormat="1" ht="14.4">
      <c r="B263" s="17"/>
      <c r="C263" s="17"/>
      <c r="D263" s="20"/>
      <c r="E263" s="20"/>
      <c r="F263" s="184"/>
      <c r="G263" s="390"/>
      <c r="H263" s="392"/>
      <c r="I263" s="414"/>
      <c r="J263" s="25"/>
      <c r="K263" s="20"/>
      <c r="L263" s="20"/>
      <c r="M263" s="20"/>
      <c r="N263" s="17"/>
      <c r="O263" s="20"/>
      <c r="P263" s="20"/>
      <c r="Q263" s="390"/>
      <c r="R263" s="20"/>
      <c r="S263" s="390"/>
      <c r="T263" s="352"/>
      <c r="U263" s="17"/>
      <c r="V263" s="352"/>
      <c r="W263" s="352"/>
    </row>
    <row r="264" spans="2:23" s="101" customFormat="1" ht="14.4">
      <c r="B264" s="17"/>
      <c r="C264" s="17"/>
      <c r="D264" s="20"/>
      <c r="E264" s="20"/>
      <c r="F264" s="184"/>
      <c r="G264" s="390"/>
      <c r="H264" s="392"/>
      <c r="I264" s="414"/>
      <c r="J264" s="25"/>
      <c r="K264" s="20"/>
      <c r="L264" s="20"/>
      <c r="M264" s="20"/>
      <c r="N264" s="17"/>
      <c r="O264" s="20"/>
      <c r="P264" s="20"/>
      <c r="Q264" s="390"/>
      <c r="R264" s="20"/>
      <c r="S264" s="390"/>
      <c r="T264" s="352"/>
      <c r="U264" s="17"/>
      <c r="V264" s="352"/>
      <c r="W264" s="352"/>
    </row>
    <row r="265" spans="2:23" s="101" customFormat="1" ht="14.4">
      <c r="B265" s="17"/>
      <c r="C265" s="17"/>
      <c r="D265" s="20"/>
      <c r="E265" s="20"/>
      <c r="F265" s="184"/>
      <c r="G265" s="390"/>
      <c r="H265" s="392"/>
      <c r="I265" s="414"/>
      <c r="J265" s="25"/>
      <c r="K265" s="20"/>
      <c r="L265" s="20"/>
      <c r="M265" s="20"/>
      <c r="N265" s="17"/>
      <c r="O265" s="20"/>
      <c r="P265" s="20"/>
      <c r="Q265" s="390"/>
      <c r="R265" s="20"/>
      <c r="S265" s="390"/>
      <c r="T265" s="352"/>
      <c r="U265" s="17"/>
      <c r="V265" s="352"/>
      <c r="W265" s="352"/>
    </row>
    <row r="266" spans="2:23" s="101" customFormat="1" ht="14.4">
      <c r="B266" s="17"/>
      <c r="C266" s="17"/>
      <c r="D266" s="20"/>
      <c r="E266" s="20"/>
      <c r="F266" s="184"/>
      <c r="G266" s="390"/>
      <c r="H266" s="392"/>
      <c r="I266" s="414"/>
      <c r="J266" s="25"/>
      <c r="K266" s="20"/>
      <c r="L266" s="20"/>
      <c r="M266" s="20"/>
      <c r="N266" s="17"/>
      <c r="O266" s="20"/>
      <c r="P266" s="20"/>
      <c r="Q266" s="390"/>
      <c r="R266" s="20"/>
      <c r="S266" s="390"/>
      <c r="T266" s="352"/>
      <c r="U266" s="17"/>
      <c r="V266" s="352"/>
      <c r="W266" s="352"/>
    </row>
    <row r="267" spans="2:23" s="101" customFormat="1" ht="14.4">
      <c r="B267" s="17"/>
      <c r="C267" s="17"/>
      <c r="D267" s="20"/>
      <c r="E267" s="20"/>
      <c r="F267" s="184"/>
      <c r="G267" s="390"/>
      <c r="H267" s="392"/>
      <c r="I267" s="414"/>
      <c r="J267" s="25"/>
      <c r="K267" s="20"/>
      <c r="L267" s="20"/>
      <c r="M267" s="20"/>
      <c r="N267" s="17"/>
      <c r="O267" s="20"/>
      <c r="P267" s="20"/>
      <c r="Q267" s="390"/>
      <c r="R267" s="20"/>
      <c r="S267" s="390"/>
      <c r="T267" s="352"/>
      <c r="U267" s="17"/>
      <c r="V267" s="352"/>
      <c r="W267" s="352"/>
    </row>
    <row r="268" spans="2:23" s="101" customFormat="1" ht="14.4">
      <c r="B268" s="17"/>
      <c r="C268" s="17"/>
      <c r="D268" s="20"/>
      <c r="E268" s="20"/>
      <c r="F268" s="184"/>
      <c r="G268" s="390"/>
      <c r="H268" s="392"/>
      <c r="I268" s="414"/>
      <c r="J268" s="25"/>
      <c r="K268" s="20"/>
      <c r="L268" s="20"/>
      <c r="M268" s="20"/>
      <c r="N268" s="17"/>
      <c r="O268" s="20"/>
      <c r="P268" s="20"/>
      <c r="Q268" s="390"/>
      <c r="R268" s="20"/>
      <c r="S268" s="390"/>
      <c r="T268" s="352"/>
      <c r="U268" s="17"/>
      <c r="V268" s="352"/>
      <c r="W268" s="352"/>
    </row>
    <row r="269" spans="2:23" s="101" customFormat="1" ht="14.4">
      <c r="B269" s="17"/>
      <c r="C269" s="17"/>
      <c r="D269" s="20"/>
      <c r="E269" s="20"/>
      <c r="F269" s="184"/>
      <c r="G269" s="390"/>
      <c r="H269" s="392"/>
      <c r="I269" s="414"/>
      <c r="J269" s="25"/>
      <c r="K269" s="20"/>
      <c r="L269" s="20"/>
      <c r="M269" s="20"/>
      <c r="N269" s="17"/>
      <c r="O269" s="20"/>
      <c r="P269" s="20"/>
      <c r="Q269" s="390"/>
      <c r="R269" s="20"/>
      <c r="S269" s="390"/>
      <c r="T269" s="352"/>
      <c r="U269" s="17"/>
      <c r="V269" s="352"/>
      <c r="W269" s="352"/>
    </row>
    <row r="270" spans="2:23" s="101" customFormat="1" ht="14.4">
      <c r="B270" s="17"/>
      <c r="C270" s="17"/>
      <c r="D270" s="20"/>
      <c r="E270" s="20"/>
      <c r="F270" s="184"/>
      <c r="G270" s="390"/>
      <c r="H270" s="392"/>
      <c r="I270" s="414"/>
      <c r="J270" s="25"/>
      <c r="K270" s="20"/>
      <c r="L270" s="20"/>
      <c r="M270" s="20"/>
      <c r="N270" s="17"/>
      <c r="O270" s="20"/>
      <c r="P270" s="20"/>
      <c r="Q270" s="390"/>
      <c r="R270" s="20"/>
      <c r="S270" s="390"/>
      <c r="T270" s="352"/>
      <c r="U270" s="17"/>
      <c r="V270" s="352"/>
      <c r="W270" s="352"/>
    </row>
    <row r="271" spans="2:23" s="101" customFormat="1" ht="14.4">
      <c r="B271" s="17"/>
      <c r="C271" s="17"/>
      <c r="D271" s="20"/>
      <c r="E271" s="20"/>
      <c r="F271" s="184"/>
      <c r="G271" s="390"/>
      <c r="H271" s="392"/>
      <c r="I271" s="414"/>
      <c r="J271" s="25"/>
      <c r="K271" s="20"/>
      <c r="L271" s="20"/>
      <c r="M271" s="20"/>
      <c r="N271" s="17"/>
      <c r="O271" s="20"/>
      <c r="P271" s="20"/>
      <c r="Q271" s="390"/>
      <c r="R271" s="20"/>
      <c r="S271" s="390"/>
      <c r="T271" s="352"/>
      <c r="U271" s="17"/>
      <c r="V271" s="352"/>
      <c r="W271" s="352"/>
    </row>
    <row r="272" spans="2:23" s="101" customFormat="1" ht="14.4">
      <c r="B272" s="17"/>
      <c r="C272" s="17"/>
      <c r="D272" s="20"/>
      <c r="E272" s="20"/>
      <c r="F272" s="184"/>
      <c r="G272" s="390"/>
      <c r="H272" s="392"/>
      <c r="I272" s="414"/>
      <c r="J272" s="25"/>
      <c r="K272" s="20"/>
      <c r="L272" s="20"/>
      <c r="M272" s="20"/>
      <c r="N272" s="17"/>
      <c r="O272" s="20"/>
      <c r="P272" s="20"/>
      <c r="Q272" s="390"/>
      <c r="R272" s="20"/>
      <c r="S272" s="390"/>
      <c r="T272" s="352"/>
      <c r="U272" s="17"/>
      <c r="V272" s="352"/>
      <c r="W272" s="352"/>
    </row>
    <row r="273" spans="2:23" s="101" customFormat="1" ht="14.4">
      <c r="B273" s="17"/>
      <c r="C273" s="17"/>
      <c r="D273" s="20"/>
      <c r="E273" s="20"/>
      <c r="F273" s="184"/>
      <c r="G273" s="390"/>
      <c r="H273" s="392"/>
      <c r="I273" s="414"/>
      <c r="J273" s="25"/>
      <c r="K273" s="20"/>
      <c r="L273" s="20"/>
      <c r="M273" s="20"/>
      <c r="N273" s="17"/>
      <c r="O273" s="20"/>
      <c r="P273" s="20"/>
      <c r="Q273" s="390"/>
      <c r="R273" s="20"/>
      <c r="S273" s="390"/>
      <c r="T273" s="352"/>
      <c r="U273" s="17"/>
      <c r="V273" s="352"/>
      <c r="W273" s="352"/>
    </row>
    <row r="274" spans="2:23" s="101" customFormat="1" ht="14.4">
      <c r="B274" s="17"/>
      <c r="C274" s="17"/>
      <c r="D274" s="20"/>
      <c r="E274" s="20"/>
      <c r="F274" s="184"/>
      <c r="G274" s="390"/>
      <c r="H274" s="392"/>
      <c r="I274" s="414"/>
      <c r="J274" s="25"/>
      <c r="K274" s="20"/>
      <c r="L274" s="20"/>
      <c r="M274" s="20"/>
      <c r="N274" s="17"/>
      <c r="O274" s="20"/>
      <c r="P274" s="20"/>
      <c r="Q274" s="390"/>
      <c r="R274" s="20"/>
      <c r="S274" s="390"/>
      <c r="T274" s="352"/>
      <c r="U274" s="17"/>
      <c r="V274" s="352"/>
      <c r="W274" s="352"/>
    </row>
    <row r="275" spans="2:23" s="101" customFormat="1" ht="14.4">
      <c r="B275" s="17"/>
      <c r="C275" s="17"/>
      <c r="D275" s="20"/>
      <c r="E275" s="20"/>
      <c r="F275" s="184"/>
      <c r="G275" s="390"/>
      <c r="H275" s="392"/>
      <c r="I275" s="414"/>
      <c r="J275" s="25"/>
      <c r="K275" s="20"/>
      <c r="L275" s="20"/>
      <c r="M275" s="20"/>
      <c r="N275" s="17"/>
      <c r="O275" s="20"/>
      <c r="P275" s="20"/>
      <c r="Q275" s="390"/>
      <c r="R275" s="20"/>
      <c r="S275" s="390"/>
      <c r="T275" s="352"/>
      <c r="U275" s="17"/>
      <c r="V275" s="352"/>
      <c r="W275" s="352"/>
    </row>
    <row r="276" spans="2:23" s="101" customFormat="1" ht="14.4">
      <c r="B276" s="17"/>
      <c r="C276" s="17"/>
      <c r="D276" s="20"/>
      <c r="E276" s="20"/>
      <c r="F276" s="184"/>
      <c r="G276" s="390"/>
      <c r="H276" s="392"/>
      <c r="I276" s="414"/>
      <c r="J276" s="25"/>
      <c r="K276" s="20"/>
      <c r="L276" s="20"/>
      <c r="M276" s="20"/>
      <c r="N276" s="17"/>
      <c r="O276" s="20"/>
      <c r="P276" s="20"/>
      <c r="Q276" s="390"/>
      <c r="R276" s="20"/>
      <c r="S276" s="390"/>
      <c r="T276" s="352"/>
      <c r="U276" s="17"/>
      <c r="V276" s="352"/>
      <c r="W276" s="352"/>
    </row>
    <row r="277" spans="2:23" s="101" customFormat="1" ht="14.4">
      <c r="B277" s="17"/>
      <c r="C277" s="17"/>
      <c r="D277" s="20"/>
      <c r="E277" s="20"/>
      <c r="F277" s="184"/>
      <c r="G277" s="390"/>
      <c r="H277" s="392"/>
      <c r="I277" s="414"/>
      <c r="J277" s="25"/>
      <c r="K277" s="20"/>
      <c r="L277" s="20"/>
      <c r="M277" s="20"/>
      <c r="N277" s="17"/>
      <c r="O277" s="20"/>
      <c r="P277" s="20"/>
      <c r="Q277" s="390"/>
      <c r="R277" s="20"/>
      <c r="S277" s="390"/>
      <c r="T277" s="352"/>
      <c r="U277" s="17"/>
      <c r="V277" s="352"/>
      <c r="W277" s="352"/>
    </row>
    <row r="278" spans="2:23" s="101" customFormat="1" ht="14.4">
      <c r="B278" s="17"/>
      <c r="C278" s="17"/>
      <c r="D278" s="20"/>
      <c r="E278" s="20"/>
      <c r="F278" s="184"/>
      <c r="G278" s="390"/>
      <c r="H278" s="392"/>
      <c r="I278" s="414"/>
      <c r="J278" s="25"/>
      <c r="K278" s="20"/>
      <c r="L278" s="20"/>
      <c r="M278" s="20"/>
      <c r="N278" s="17"/>
      <c r="O278" s="20"/>
      <c r="P278" s="20"/>
      <c r="Q278" s="390"/>
      <c r="R278" s="20"/>
      <c r="S278" s="390"/>
      <c r="T278" s="352"/>
      <c r="U278" s="17"/>
      <c r="V278" s="352"/>
      <c r="W278" s="352"/>
    </row>
    <row r="279" spans="2:23" s="101" customFormat="1" ht="14.4">
      <c r="B279" s="17"/>
      <c r="C279" s="17"/>
      <c r="D279" s="20"/>
      <c r="E279" s="20"/>
      <c r="F279" s="184"/>
      <c r="G279" s="390"/>
      <c r="H279" s="392"/>
      <c r="I279" s="414"/>
      <c r="J279" s="25"/>
      <c r="K279" s="20"/>
      <c r="L279" s="20"/>
      <c r="M279" s="20"/>
      <c r="N279" s="17"/>
      <c r="O279" s="20"/>
      <c r="P279" s="20"/>
      <c r="Q279" s="390"/>
      <c r="R279" s="20"/>
      <c r="S279" s="390"/>
      <c r="T279" s="352"/>
      <c r="U279" s="17"/>
      <c r="V279" s="352"/>
      <c r="W279" s="352"/>
    </row>
    <row r="280" spans="2:23" s="101" customFormat="1" ht="14.4">
      <c r="B280" s="17"/>
      <c r="C280" s="17"/>
      <c r="D280" s="20"/>
      <c r="E280" s="20"/>
      <c r="F280" s="184"/>
      <c r="G280" s="390"/>
      <c r="H280" s="392"/>
      <c r="I280" s="414"/>
      <c r="J280" s="25"/>
      <c r="K280" s="20"/>
      <c r="L280" s="20"/>
      <c r="M280" s="20"/>
      <c r="N280" s="17"/>
      <c r="O280" s="20"/>
      <c r="P280" s="20"/>
      <c r="Q280" s="390"/>
      <c r="R280" s="20"/>
      <c r="S280" s="390"/>
      <c r="T280" s="352"/>
      <c r="U280" s="17"/>
      <c r="V280" s="352"/>
      <c r="W280" s="352"/>
    </row>
    <row r="281" spans="2:23" s="101" customFormat="1" ht="14.4">
      <c r="B281" s="17"/>
      <c r="C281" s="17"/>
      <c r="D281" s="20"/>
      <c r="E281" s="20"/>
      <c r="F281" s="184"/>
      <c r="G281" s="390"/>
      <c r="H281" s="392"/>
      <c r="I281" s="414"/>
      <c r="J281" s="25"/>
      <c r="K281" s="20"/>
      <c r="L281" s="20"/>
      <c r="M281" s="20"/>
      <c r="N281" s="17"/>
      <c r="O281" s="20"/>
      <c r="P281" s="20"/>
      <c r="Q281" s="390"/>
      <c r="R281" s="20"/>
      <c r="S281" s="390"/>
      <c r="T281" s="352"/>
      <c r="U281" s="17"/>
      <c r="V281" s="352"/>
      <c r="W281" s="352"/>
    </row>
    <row r="282" spans="2:23" ht="15" customHeight="1"/>
    <row r="283" spans="2:23" ht="15" customHeight="1"/>
    <row r="284" spans="2:23" ht="15" customHeight="1"/>
    <row r="285" spans="2:23" ht="15" customHeight="1"/>
    <row r="286" spans="2:23" ht="15" customHeight="1"/>
    <row r="287" spans="2:23" ht="15" customHeight="1"/>
    <row r="288" spans="2:23"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sheetData>
  <sheetProtection algorithmName="SHA-512" hashValue="+G/tXW9E/RM/Hz9ezOhnVKtpp0LO+91qfxj3pEh1J6Vx7/xE9qtRhD6lxIFwAiaS4qtWI3v9vj8bKV8mKlSuvQ==" saltValue="oRP3USQMRkWOefj8TrpiRw==" spinCount="100000" sheet="1" formatCells="0" formatColumns="0" formatRows="0" insertColumns="0" insertRows="0" insertHyperlinks="0" deleteColumns="0" deleteRows="0" sort="0" autoFilter="0" pivotTables="0"/>
  <mergeCells count="6">
    <mergeCell ref="B41:C48"/>
    <mergeCell ref="J2:K3"/>
    <mergeCell ref="Q6:S6"/>
    <mergeCell ref="B8:C15"/>
    <mergeCell ref="B16:C27"/>
    <mergeCell ref="B28:C40"/>
  </mergeCells>
  <dataValidations count="4">
    <dataValidation type="whole" operator="greaterThanOrEqual" allowBlank="1" showInputMessage="1" showErrorMessage="1" errorTitle="Invalid entry!" error="An invalid quantity has been entered. Please enter only whole numbers. Click Retry to change entry or Cancel to clear entry." sqref="L7" xr:uid="{2B5BD5D3-78FE-4196-9215-F2EB195804CB}">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55FC317E-379C-4548-AB8B-515624C65641}">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1:L6 L8:L65065" xr:uid="{8B11CF67-B4D4-4F68-9DEB-FE1DB4C5552D}">
      <formula1>1</formula1>
    </dataValidation>
    <dataValidation allowBlank="1" showErrorMessage="1" sqref="K1:K1048576" xr:uid="{CF1BBF4B-1CF3-4BAB-80E7-28AF971348C2}"/>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pageSetUpPr fitToPage="1"/>
  </sheetPr>
  <dimension ref="A1:W27"/>
  <sheetViews>
    <sheetView topLeftCell="A11" workbookViewId="0">
      <selection activeCell="K16" sqref="K16"/>
    </sheetView>
  </sheetViews>
  <sheetFormatPr defaultColWidth="9.109375" defaultRowHeight="14.4" zeroHeight="1"/>
  <cols>
    <col min="1" max="1" width="2.33203125" style="5" customWidth="1"/>
    <col min="2" max="3" width="8.6640625" style="2" customWidth="1"/>
    <col min="4" max="5" width="12.6640625" style="4" customWidth="1"/>
    <col min="6" max="6" width="50.6640625" style="8" customWidth="1"/>
    <col min="7" max="7" width="10.6640625" style="230" customWidth="1"/>
    <col min="8" max="8" width="10.6640625" style="4" customWidth="1"/>
    <col min="9" max="9" width="10.6640625" style="418" customWidth="1"/>
    <col min="10" max="10" width="10.6640625" style="7" customWidth="1"/>
    <col min="11" max="11" width="10.6640625" style="4" customWidth="1"/>
    <col min="12" max="12" width="1.44140625" style="4" customWidth="1"/>
    <col min="13" max="13" width="10.6640625" style="4" customWidth="1"/>
    <col min="14" max="14" width="2.33203125" style="2" customWidth="1"/>
    <col min="15" max="15" width="12.6640625" style="277" customWidth="1"/>
    <col min="16" max="16" width="11.6640625" style="4" customWidth="1"/>
    <col min="17" max="17" width="13" style="2" customWidth="1"/>
    <col min="18" max="18" width="9.109375" style="2" customWidth="1"/>
    <col min="19" max="19" width="14.109375" style="2" customWidth="1"/>
    <col min="20" max="20" width="11.6640625" style="382" customWidth="1"/>
    <col min="21" max="21" width="11.6640625" style="2" customWidth="1"/>
    <col min="22" max="23" width="11.6640625" style="382" customWidth="1"/>
    <col min="24" max="16384" width="9.109375" style="2"/>
  </cols>
  <sheetData>
    <row r="1" spans="1:23" ht="18">
      <c r="F1" s="211" t="s">
        <v>342</v>
      </c>
      <c r="G1" s="385"/>
      <c r="H1" s="152"/>
      <c r="O1" s="423"/>
      <c r="P1" s="152"/>
    </row>
    <row r="2" spans="1:23" ht="15.6">
      <c r="D2" s="19"/>
      <c r="E2" s="28"/>
      <c r="J2" s="661" t="s">
        <v>59</v>
      </c>
      <c r="K2" s="661"/>
    </row>
    <row r="3" spans="1:23">
      <c r="F3" s="323" t="s">
        <v>343</v>
      </c>
      <c r="J3" s="661"/>
      <c r="K3" s="661"/>
    </row>
    <row r="4" spans="1:23">
      <c r="E4" s="14" t="s">
        <v>5724</v>
      </c>
      <c r="F4" s="327" t="s">
        <v>5981</v>
      </c>
      <c r="J4" s="10"/>
      <c r="K4" s="2"/>
    </row>
    <row r="5" spans="1:23">
      <c r="F5" s="325" t="s">
        <v>5973</v>
      </c>
      <c r="J5" s="10"/>
      <c r="K5" s="2"/>
    </row>
    <row r="6" spans="1:23">
      <c r="J6" s="10"/>
      <c r="K6" s="2"/>
      <c r="O6" s="353" t="s">
        <v>63</v>
      </c>
      <c r="Q6" s="663" t="s">
        <v>64</v>
      </c>
      <c r="R6" s="663"/>
      <c r="S6" s="663"/>
      <c r="T6" s="414"/>
      <c r="U6" s="25"/>
      <c r="V6" s="414"/>
      <c r="W6" s="414"/>
    </row>
    <row r="7" spans="1:23" s="17" customFormat="1" ht="36" customHeight="1">
      <c r="A7" s="101"/>
      <c r="B7" s="136"/>
      <c r="C7" s="136"/>
      <c r="D7" s="136" t="s">
        <v>48</v>
      </c>
      <c r="E7" s="136" t="s">
        <v>49</v>
      </c>
      <c r="F7" s="136" t="s">
        <v>50</v>
      </c>
      <c r="G7" s="231" t="s">
        <v>65</v>
      </c>
      <c r="H7" s="136" t="s">
        <v>66</v>
      </c>
      <c r="I7" s="393" t="s">
        <v>51</v>
      </c>
      <c r="J7" s="157" t="s">
        <v>55</v>
      </c>
      <c r="K7" s="158" t="s">
        <v>52</v>
      </c>
      <c r="L7" s="159"/>
      <c r="M7" s="143" t="s">
        <v>67</v>
      </c>
      <c r="O7" s="213" t="s">
        <v>68</v>
      </c>
      <c r="P7" s="213" t="s">
        <v>69</v>
      </c>
      <c r="Q7" s="203" t="s">
        <v>70</v>
      </c>
      <c r="R7" s="203" t="s">
        <v>71</v>
      </c>
      <c r="S7" s="203" t="s">
        <v>72</v>
      </c>
      <c r="T7" s="383" t="s">
        <v>73</v>
      </c>
      <c r="U7" s="213" t="s">
        <v>333</v>
      </c>
      <c r="V7" s="383" t="s">
        <v>328</v>
      </c>
      <c r="W7" s="383" t="s">
        <v>329</v>
      </c>
    </row>
    <row r="8" spans="1:23">
      <c r="A8" s="101" t="str">
        <f>IF(K8&gt;0,COUNT($A$7:A7)
+COUNT('DWV PVC'!$A$9:$A$316)
+COUNT('DWV ABS'!$A$8:$A$116)
+COUNT('PVC SCH40'!$A$8:$A$424)
+COUNT('PVC SCH40 LD'!$A$8:$A$21)
+COUNT('Pool &amp; SPA Sweep Elbows'!$A$8:$A$11)
+COUNT('Pool &amp; SPA Pipe Extender'!$A$8:$A$10)
+COUNT('PVC SCH80'!$A$8:$A$249)
+COUNT('PVC SCH80 Flange'!$A$8:$A$48)+1,"")</f>
        <v/>
      </c>
      <c r="B8" s="646"/>
      <c r="C8" s="647"/>
      <c r="D8" s="421" t="str">
        <f>_xlfn.XLOOKUP(E8,'All Products'!D:D,'All Products'!C:C,FALSE)</f>
        <v>853-100-1</v>
      </c>
      <c r="E8" s="1">
        <v>100027973</v>
      </c>
      <c r="F8" s="420" t="str">
        <f>_xlfn.XLOOKUP(E8,'All Products'!D:D,'All Products'!E:E,FALSE)</f>
        <v>10 VANSTONE FLANGE BLIND O-RING</v>
      </c>
      <c r="G8" s="422">
        <f>_xlfn.XLOOKUP(E8,'All Products'!D:D,'All Products'!F:F,FALSE)</f>
        <v>2</v>
      </c>
      <c r="H8" s="422" t="str">
        <f>_xlfn.XLOOKUP(E8,'All Products'!D:D,'All Products'!G:G,FALSE)</f>
        <v>-</v>
      </c>
      <c r="I8" s="419">
        <f>_xlfn.XLOOKUP(E8,'All Products'!D:D,'All Products'!H:H,FALSE)</f>
        <v>1182.25</v>
      </c>
      <c r="J8" s="131">
        <f>ROUND(I8*Order_Quote!$L$10,2)</f>
        <v>1182.25</v>
      </c>
      <c r="K8" s="74"/>
      <c r="L8" s="16"/>
      <c r="M8" s="54">
        <f t="shared" ref="M8:M16" si="0">K8/G8</f>
        <v>0</v>
      </c>
      <c r="O8" s="424" t="str">
        <f>_xlfn.XLOOKUP(E8,'All Products'!D:D,'All Products'!I:I,FALSE)</f>
        <v>Within 3 Weeks</v>
      </c>
      <c r="P8" s="424" t="str">
        <f>_xlfn.XLOOKUP(E8,'All Products'!D:D,'All Products'!J:J,FALSE)</f>
        <v>Manufactured</v>
      </c>
      <c r="Q8" s="424">
        <f>_xlfn.XLOOKUP(E8,'All Products'!D:D,'All Products'!K:K,FALSE)</f>
        <v>49081165437</v>
      </c>
      <c r="R8" s="424" t="str">
        <f>_xlfn.XLOOKUP(E8,'All Products'!D:D,'All Products'!L:L,FALSE)</f>
        <v>-</v>
      </c>
      <c r="S8" s="424">
        <f>_xlfn.XLOOKUP(E8,'All Products'!D:D,'All Products'!M:M,FALSE)</f>
        <v>40049081165435</v>
      </c>
      <c r="T8" s="425">
        <f>_xlfn.XLOOKUP(E8,'All Products'!D:D,'All Products'!N:N,FALSE)</f>
        <v>14.025</v>
      </c>
      <c r="U8" s="425" t="str">
        <f>_xlfn.XLOOKUP(E8,'All Products'!D:D,'All Products'!O:O,FALSE)</f>
        <v>-</v>
      </c>
      <c r="V8" s="425">
        <f>_xlfn.XLOOKUP(E8,'All Products'!D:D,'All Products'!P:P,FALSE)</f>
        <v>28.05</v>
      </c>
      <c r="W8" s="425">
        <f>_xlfn.XLOOKUP(E8,'All Products'!D:D,'All Products'!Q:Q,FALSE)</f>
        <v>1.25</v>
      </c>
    </row>
    <row r="9" spans="1:23">
      <c r="A9" s="101" t="str">
        <f>IF(K9&gt;0,COUNT($A$7:A8)
+COUNT('DWV PVC'!$A$9:$A$316)
+COUNT('DWV ABS'!$A$8:$A$116)
+COUNT('PVC SCH40'!$A$8:$A$424)
+COUNT('PVC SCH40 LD'!$A$8:$A$21)
+COUNT('Pool &amp; SPA Sweep Elbows'!$A$8:$A$11)
+COUNT('Pool &amp; SPA Pipe Extender'!$A$8:$A$10)
+COUNT('PVC SCH80'!$A$8:$A$249)
+COUNT('PVC SCH80 Flange'!$A$8:$A$48)+1,"")</f>
        <v/>
      </c>
      <c r="B9" s="646"/>
      <c r="C9" s="647"/>
      <c r="D9" s="421" t="str">
        <f>_xlfn.XLOOKUP(E9,'All Products'!D:D,'All Products'!C:C,FALSE)</f>
        <v>853-120</v>
      </c>
      <c r="E9" s="1">
        <v>100023466</v>
      </c>
      <c r="F9" s="420" t="str">
        <f>_xlfn.XLOOKUP(E9,'All Products'!D:D,'All Products'!E:E,FALSE)</f>
        <v>12 VANSTONE FLANGE BLIND GASKET</v>
      </c>
      <c r="G9" s="422">
        <f>_xlfn.XLOOKUP(E9,'All Products'!D:D,'All Products'!F:F,FALSE)</f>
        <v>2</v>
      </c>
      <c r="H9" s="422" t="str">
        <f>_xlfn.XLOOKUP(E9,'All Products'!D:D,'All Products'!G:G,FALSE)</f>
        <v>-</v>
      </c>
      <c r="I9" s="419">
        <f>_xlfn.XLOOKUP(E9,'All Products'!D:D,'All Products'!H:H,FALSE)</f>
        <v>1841.29</v>
      </c>
      <c r="J9" s="131">
        <f>ROUND(I9*Order_Quote!$L$10,2)</f>
        <v>1841.29</v>
      </c>
      <c r="K9" s="74"/>
      <c r="L9" s="16"/>
      <c r="M9" s="54">
        <f t="shared" si="0"/>
        <v>0</v>
      </c>
      <c r="O9" s="424" t="str">
        <f>_xlfn.XLOOKUP(E9,'All Products'!D:D,'All Products'!I:I,FALSE)</f>
        <v>Within 3 Weeks</v>
      </c>
      <c r="P9" s="424" t="str">
        <f>_xlfn.XLOOKUP(E9,'All Products'!D:D,'All Products'!J:J,FALSE)</f>
        <v>Manufactured</v>
      </c>
      <c r="Q9" s="424">
        <f>_xlfn.XLOOKUP(E9,'All Products'!D:D,'All Products'!K:K,FALSE)</f>
        <v>49081164515</v>
      </c>
      <c r="R9" s="424" t="str">
        <f>_xlfn.XLOOKUP(E9,'All Products'!D:D,'All Products'!L:L,FALSE)</f>
        <v>-</v>
      </c>
      <c r="S9" s="424">
        <f>_xlfn.XLOOKUP(E9,'All Products'!D:D,'All Products'!M:M,FALSE)</f>
        <v>40049081164513</v>
      </c>
      <c r="T9" s="425">
        <f>_xlfn.XLOOKUP(E9,'All Products'!D:D,'All Products'!N:N,FALSE)</f>
        <v>20.87</v>
      </c>
      <c r="U9" s="425" t="str">
        <f>_xlfn.XLOOKUP(E9,'All Products'!D:D,'All Products'!O:O,FALSE)</f>
        <v>-</v>
      </c>
      <c r="V9" s="425">
        <f>_xlfn.XLOOKUP(E9,'All Products'!D:D,'All Products'!P:P,FALSE)</f>
        <v>42.22</v>
      </c>
      <c r="W9" s="425">
        <f>_xlfn.XLOOKUP(E9,'All Products'!D:D,'All Products'!Q:Q,FALSE)</f>
        <v>3.96</v>
      </c>
    </row>
    <row r="10" spans="1:23">
      <c r="A10" s="101" t="str">
        <f>IF(K10&gt;0,COUNT($A$7:A9)
+COUNT('DWV PVC'!$A$9:$A$316)
+COUNT('DWV ABS'!$A$8:$A$116)
+COUNT('PVC SCH40'!$A$8:$A$424)
+COUNT('PVC SCH40 LD'!$A$8:$A$21)
+COUNT('Pool &amp; SPA Sweep Elbows'!$A$8:$A$11)
+COUNT('Pool &amp; SPA Pipe Extender'!$A$8:$A$10)
+COUNT('PVC SCH80'!$A$8:$A$249)
+COUNT('PVC SCH80 Flange'!$A$8:$A$48)+1,"")</f>
        <v/>
      </c>
      <c r="B10" s="646"/>
      <c r="C10" s="647"/>
      <c r="D10" s="421" t="str">
        <f>_xlfn.XLOOKUP(E10,'All Products'!D:D,'All Products'!C:C,FALSE)</f>
        <v>853-120-1</v>
      </c>
      <c r="E10" s="1">
        <v>100027974</v>
      </c>
      <c r="F10" s="420" t="str">
        <f>_xlfn.XLOOKUP(E10,'All Products'!D:D,'All Products'!E:E,FALSE)</f>
        <v>12 VANSTONE FLANGE BLIND O-RING</v>
      </c>
      <c r="G10" s="422">
        <f>_xlfn.XLOOKUP(E10,'All Products'!D:D,'All Products'!F:F,FALSE)</f>
        <v>4</v>
      </c>
      <c r="H10" s="422" t="str">
        <f>_xlfn.XLOOKUP(E10,'All Products'!D:D,'All Products'!G:G,FALSE)</f>
        <v>-</v>
      </c>
      <c r="I10" s="419">
        <f>_xlfn.XLOOKUP(E10,'All Products'!D:D,'All Products'!H:H,FALSE)</f>
        <v>1841.29</v>
      </c>
      <c r="J10" s="131">
        <f>ROUND(I10*Order_Quote!$L$10,2)</f>
        <v>1841.29</v>
      </c>
      <c r="K10" s="74"/>
      <c r="L10" s="16"/>
      <c r="M10" s="54">
        <f t="shared" si="0"/>
        <v>0</v>
      </c>
      <c r="O10" s="424" t="str">
        <f>_xlfn.XLOOKUP(E10,'All Products'!D:D,'All Products'!I:I,FALSE)</f>
        <v>Within 3 Weeks</v>
      </c>
      <c r="P10" s="424" t="str">
        <f>_xlfn.XLOOKUP(E10,'All Products'!D:D,'All Products'!J:J,FALSE)</f>
        <v>Manufactured</v>
      </c>
      <c r="Q10" s="424">
        <f>_xlfn.XLOOKUP(E10,'All Products'!D:D,'All Products'!K:K,FALSE)</f>
        <v>49081165444</v>
      </c>
      <c r="R10" s="424" t="str">
        <f>_xlfn.XLOOKUP(E10,'All Products'!D:D,'All Products'!L:L,FALSE)</f>
        <v>-</v>
      </c>
      <c r="S10" s="424">
        <f>_xlfn.XLOOKUP(E10,'All Products'!D:D,'All Products'!M:M,FALSE)</f>
        <v>40049081165442</v>
      </c>
      <c r="T10" s="425">
        <f>_xlfn.XLOOKUP(E10,'All Products'!D:D,'All Products'!N:N,FALSE)</f>
        <v>11.81</v>
      </c>
      <c r="U10" s="425" t="str">
        <f>_xlfn.XLOOKUP(E10,'All Products'!D:D,'All Products'!O:O,FALSE)</f>
        <v>-</v>
      </c>
      <c r="V10" s="425">
        <f>_xlfn.XLOOKUP(E10,'All Products'!D:D,'All Products'!P:P,FALSE)</f>
        <v>79.3</v>
      </c>
      <c r="W10" s="425">
        <f>_xlfn.XLOOKUP(E10,'All Products'!D:D,'All Products'!Q:Q,FALSE)</f>
        <v>3.96</v>
      </c>
    </row>
    <row r="11" spans="1:23">
      <c r="A11" s="101" t="str">
        <f>IF(K11&gt;0,COUNT($A$7:A10)
+COUNT('DWV PVC'!$A$9:$A$316)
+COUNT('DWV ABS'!$A$8:$A$116)
+COUNT('PVC SCH40'!$A$8:$A$424)
+COUNT('PVC SCH40 LD'!$A$8:$A$21)
+COUNT('Pool &amp; SPA Sweep Elbows'!$A$8:$A$11)
+COUNT('Pool &amp; SPA Pipe Extender'!$A$8:$A$10)
+COUNT('PVC SCH80'!$A$8:$A$249)
+COUNT('PVC SCH80 Flange'!$A$8:$A$48)+1,"")</f>
        <v/>
      </c>
      <c r="B11" s="644"/>
      <c r="C11" s="645"/>
      <c r="D11" s="421" t="str">
        <f>_xlfn.XLOOKUP(E11,'All Products'!D:D,'All Products'!C:C,FALSE)</f>
        <v>854-100</v>
      </c>
      <c r="E11" s="1">
        <v>100027976</v>
      </c>
      <c r="F11" s="420" t="str">
        <f>_xlfn.XLOOKUP(E11,'All Products'!D:D,'All Products'!E:E,FALSE)</f>
        <v>10 VANSTONE FLANGE SLIP GASKET TYPE</v>
      </c>
      <c r="G11" s="422">
        <f>_xlfn.XLOOKUP(E11,'All Products'!D:D,'All Products'!F:F,FALSE)</f>
        <v>1</v>
      </c>
      <c r="H11" s="422" t="str">
        <f>_xlfn.XLOOKUP(E11,'All Products'!D:D,'All Products'!G:G,FALSE)</f>
        <v>-</v>
      </c>
      <c r="I11" s="419">
        <f>_xlfn.XLOOKUP(E11,'All Products'!D:D,'All Products'!H:H,FALSE)</f>
        <v>540.80999999999995</v>
      </c>
      <c r="J11" s="131">
        <f>ROUND(I11*Order_Quote!$L$10,2)</f>
        <v>540.80999999999995</v>
      </c>
      <c r="K11" s="74"/>
      <c r="L11" s="16"/>
      <c r="M11" s="54">
        <f t="shared" si="0"/>
        <v>0</v>
      </c>
      <c r="O11" s="424" t="str">
        <f>_xlfn.XLOOKUP(E11,'All Products'!D:D,'All Products'!I:I,FALSE)</f>
        <v>In Stock</v>
      </c>
      <c r="P11" s="424" t="str">
        <f>_xlfn.XLOOKUP(E11,'All Products'!D:D,'All Products'!J:J,FALSE)</f>
        <v>Manufactured</v>
      </c>
      <c r="Q11" s="424">
        <f>_xlfn.XLOOKUP(E11,'All Products'!D:D,'All Products'!K:K,FALSE)</f>
        <v>49081164881</v>
      </c>
      <c r="R11" s="424" t="str">
        <f>_xlfn.XLOOKUP(E11,'All Products'!D:D,'All Products'!L:L,FALSE)</f>
        <v>-</v>
      </c>
      <c r="S11" s="424">
        <f>_xlfn.XLOOKUP(E11,'All Products'!D:D,'All Products'!M:M,FALSE)</f>
        <v>40049081164889</v>
      </c>
      <c r="T11" s="425">
        <f>_xlfn.XLOOKUP(E11,'All Products'!D:D,'All Products'!N:N,FALSE)</f>
        <v>15.010999999999999</v>
      </c>
      <c r="U11" s="425" t="str">
        <f>_xlfn.XLOOKUP(E11,'All Products'!D:D,'All Products'!O:O,FALSE)</f>
        <v>-</v>
      </c>
      <c r="V11" s="425">
        <f>_xlfn.XLOOKUP(E11,'All Products'!D:D,'All Products'!P:P,FALSE)</f>
        <v>16.34</v>
      </c>
      <c r="W11" s="425">
        <f>_xlfn.XLOOKUP(E11,'All Products'!D:D,'All Products'!Q:Q,FALSE)</f>
        <v>1.25</v>
      </c>
    </row>
    <row r="12" spans="1:23">
      <c r="A12" s="101" t="str">
        <f>IF(K12&gt;0,COUNT($A$7:A11)
+COUNT('DWV PVC'!$A$9:$A$316)
+COUNT('DWV ABS'!$A$8:$A$116)
+COUNT('PVC SCH40'!$A$8:$A$424)
+COUNT('PVC SCH40 LD'!$A$8:$A$21)
+COUNT('Pool &amp; SPA Sweep Elbows'!$A$8:$A$11)
+COUNT('Pool &amp; SPA Pipe Extender'!$A$8:$A$10)
+COUNT('PVC SCH80'!$A$8:$A$249)
+COUNT('PVC SCH80 Flange'!$A$8:$A$48)+1,"")</f>
        <v/>
      </c>
      <c r="B12" s="646"/>
      <c r="C12" s="647"/>
      <c r="D12" s="421" t="str">
        <f>_xlfn.XLOOKUP(E12,'All Products'!D:D,'All Products'!C:C,FALSE)</f>
        <v>854-100-1</v>
      </c>
      <c r="E12" s="1">
        <v>100027977</v>
      </c>
      <c r="F12" s="420" t="str">
        <f>_xlfn.XLOOKUP(E12,'All Products'!D:D,'All Products'!E:E,FALSE)</f>
        <v>10 VANSTONE FLANGE SLIP O-RING TYPE</v>
      </c>
      <c r="G12" s="422">
        <f>_xlfn.XLOOKUP(E12,'All Products'!D:D,'All Products'!F:F,FALSE)</f>
        <v>1</v>
      </c>
      <c r="H12" s="422" t="str">
        <f>_xlfn.XLOOKUP(E12,'All Products'!D:D,'All Products'!G:G,FALSE)</f>
        <v>-</v>
      </c>
      <c r="I12" s="419">
        <f>_xlfn.XLOOKUP(E12,'All Products'!D:D,'All Products'!H:H,FALSE)</f>
        <v>540.80999999999995</v>
      </c>
      <c r="J12" s="131">
        <f>ROUND(I12*Order_Quote!$L$10,2)</f>
        <v>540.80999999999995</v>
      </c>
      <c r="K12" s="74"/>
      <c r="L12" s="16"/>
      <c r="M12" s="54">
        <f t="shared" si="0"/>
        <v>0</v>
      </c>
      <c r="O12" s="424" t="str">
        <f>_xlfn.XLOOKUP(E12,'All Products'!D:D,'All Products'!I:I,FALSE)</f>
        <v>Within 3 Weeks</v>
      </c>
      <c r="P12" s="424" t="str">
        <f>_xlfn.XLOOKUP(E12,'All Products'!D:D,'All Products'!J:J,FALSE)</f>
        <v>Manufactured</v>
      </c>
      <c r="Q12" s="424">
        <f>_xlfn.XLOOKUP(E12,'All Products'!D:D,'All Products'!K:K,FALSE)</f>
        <v>49081164812</v>
      </c>
      <c r="R12" s="424" t="str">
        <f>_xlfn.XLOOKUP(E12,'All Products'!D:D,'All Products'!L:L,FALSE)</f>
        <v>-</v>
      </c>
      <c r="S12" s="424">
        <f>_xlfn.XLOOKUP(E12,'All Products'!D:D,'All Products'!M:M,FALSE)</f>
        <v>40049081164810</v>
      </c>
      <c r="T12" s="425">
        <f>_xlfn.XLOOKUP(E12,'All Products'!D:D,'All Products'!N:N,FALSE)</f>
        <v>15.93</v>
      </c>
      <c r="U12" s="425" t="str">
        <f>_xlfn.XLOOKUP(E12,'All Products'!D:D,'All Products'!O:O,FALSE)</f>
        <v>-</v>
      </c>
      <c r="V12" s="425">
        <f>_xlfn.XLOOKUP(E12,'All Products'!D:D,'All Products'!P:P,FALSE)</f>
        <v>16.03</v>
      </c>
      <c r="W12" s="425">
        <f>_xlfn.XLOOKUP(E12,'All Products'!D:D,'All Products'!Q:Q,FALSE)</f>
        <v>1.25</v>
      </c>
    </row>
    <row r="13" spans="1:23">
      <c r="A13" s="101" t="str">
        <f>IF(K13&gt;0,COUNT($A$7:A12)
+COUNT('DWV PVC'!$A$9:$A$316)
+COUNT('DWV ABS'!$A$8:$A$116)
+COUNT('PVC SCH40'!$A$8:$A$424)
+COUNT('PVC SCH40 LD'!$A$8:$A$21)
+COUNT('Pool &amp; SPA Sweep Elbows'!$A$8:$A$11)
+COUNT('Pool &amp; SPA Pipe Extender'!$A$8:$A$10)
+COUNT('PVC SCH80'!$A$8:$A$249)
+COUNT('PVC SCH80 Flange'!$A$8:$A$48)+1,"")</f>
        <v/>
      </c>
      <c r="B13" s="646"/>
      <c r="C13" s="647"/>
      <c r="D13" s="421" t="str">
        <f>_xlfn.XLOOKUP(E13,'All Products'!D:D,'All Products'!C:C,FALSE)</f>
        <v>854-120</v>
      </c>
      <c r="E13" s="1">
        <v>100027979</v>
      </c>
      <c r="F13" s="420" t="str">
        <f>_xlfn.XLOOKUP(E13,'All Products'!D:D,'All Products'!E:E,FALSE)</f>
        <v>12 VANSTONE FLANGE SLIP GASKET TYPE</v>
      </c>
      <c r="G13" s="422">
        <f>_xlfn.XLOOKUP(E13,'All Products'!D:D,'All Products'!F:F,FALSE)</f>
        <v>2</v>
      </c>
      <c r="H13" s="422" t="str">
        <f>_xlfn.XLOOKUP(E13,'All Products'!D:D,'All Products'!G:G,FALSE)</f>
        <v>-</v>
      </c>
      <c r="I13" s="419">
        <f>_xlfn.XLOOKUP(E13,'All Products'!D:D,'All Products'!H:H,FALSE)</f>
        <v>583.04999999999995</v>
      </c>
      <c r="J13" s="131">
        <f>ROUND(I13*Order_Quote!$L$10,2)</f>
        <v>583.04999999999995</v>
      </c>
      <c r="K13" s="74"/>
      <c r="L13" s="16"/>
      <c r="M13" s="54">
        <f t="shared" si="0"/>
        <v>0</v>
      </c>
      <c r="O13" s="424" t="str">
        <f>_xlfn.XLOOKUP(E13,'All Products'!D:D,'All Products'!I:I,FALSE)</f>
        <v>In Stock</v>
      </c>
      <c r="P13" s="424" t="str">
        <f>_xlfn.XLOOKUP(E13,'All Products'!D:D,'All Products'!J:J,FALSE)</f>
        <v>Manufactured</v>
      </c>
      <c r="Q13" s="424">
        <f>_xlfn.XLOOKUP(E13,'All Products'!D:D,'All Products'!K:K,FALSE)</f>
        <v>49081164904</v>
      </c>
      <c r="R13" s="424" t="str">
        <f>_xlfn.XLOOKUP(E13,'All Products'!D:D,'All Products'!L:L,FALSE)</f>
        <v>-</v>
      </c>
      <c r="S13" s="424">
        <f>_xlfn.XLOOKUP(E13,'All Products'!D:D,'All Products'!M:M,FALSE)</f>
        <v>40049081164902</v>
      </c>
      <c r="T13" s="425">
        <f>_xlfn.XLOOKUP(E13,'All Products'!D:D,'All Products'!N:N,FALSE)</f>
        <v>20.725999999999999</v>
      </c>
      <c r="U13" s="425" t="str">
        <f>_xlfn.XLOOKUP(E13,'All Products'!D:D,'All Products'!O:O,FALSE)</f>
        <v>-</v>
      </c>
      <c r="V13" s="425">
        <f>_xlfn.XLOOKUP(E13,'All Products'!D:D,'All Products'!P:P,FALSE)</f>
        <v>44.16</v>
      </c>
      <c r="W13" s="425">
        <f>_xlfn.XLOOKUP(E13,'All Products'!D:D,'All Products'!Q:Q,FALSE)</f>
        <v>4.38</v>
      </c>
    </row>
    <row r="14" spans="1:23">
      <c r="A14" s="101" t="str">
        <f>IF(K14&gt;0,COUNT($A$7:A13)
+COUNT('DWV PVC'!$A$9:$A$316)
+COUNT('DWV ABS'!$A$8:$A$116)
+COUNT('PVC SCH40'!$A$8:$A$424)
+COUNT('PVC SCH40 LD'!$A$8:$A$21)
+COUNT('Pool &amp; SPA Sweep Elbows'!$A$8:$A$11)
+COUNT('Pool &amp; SPA Pipe Extender'!$A$8:$A$10)
+COUNT('PVC SCH80'!$A$8:$A$249)
+COUNT('PVC SCH80 Flange'!$A$8:$A$48)+1,"")</f>
        <v/>
      </c>
      <c r="B14" s="652"/>
      <c r="C14" s="653"/>
      <c r="D14" s="421" t="str">
        <f>_xlfn.XLOOKUP(E14,'All Products'!D:D,'All Products'!C:C,FALSE)</f>
        <v>854-120-1</v>
      </c>
      <c r="E14" s="1">
        <v>100027980</v>
      </c>
      <c r="F14" s="420" t="str">
        <f>_xlfn.XLOOKUP(E14,'All Products'!D:D,'All Products'!E:E,FALSE)</f>
        <v>12 VANSTONE FLANGE SLIP O-RING TYPE</v>
      </c>
      <c r="G14" s="422">
        <f>_xlfn.XLOOKUP(E14,'All Products'!D:D,'All Products'!F:F,FALSE)</f>
        <v>2</v>
      </c>
      <c r="H14" s="422" t="str">
        <f>_xlfn.XLOOKUP(E14,'All Products'!D:D,'All Products'!G:G,FALSE)</f>
        <v>-</v>
      </c>
      <c r="I14" s="419">
        <f>_xlfn.XLOOKUP(E14,'All Products'!D:D,'All Products'!H:H,FALSE)</f>
        <v>583.04999999999995</v>
      </c>
      <c r="J14" s="131">
        <f>ROUND(I14*Order_Quote!$L$10,2)</f>
        <v>583.04999999999995</v>
      </c>
      <c r="K14" s="74"/>
      <c r="L14" s="16"/>
      <c r="M14" s="54">
        <f t="shared" si="0"/>
        <v>0</v>
      </c>
      <c r="O14" s="424" t="str">
        <f>_xlfn.XLOOKUP(E14,'All Products'!D:D,'All Products'!I:I,FALSE)</f>
        <v>Within 3 Weeks</v>
      </c>
      <c r="P14" s="424" t="str">
        <f>_xlfn.XLOOKUP(E14,'All Products'!D:D,'All Products'!J:J,FALSE)</f>
        <v>Manufactured</v>
      </c>
      <c r="Q14" s="424">
        <f>_xlfn.XLOOKUP(E14,'All Products'!D:D,'All Products'!K:K,FALSE)</f>
        <v>49081164850</v>
      </c>
      <c r="R14" s="424" t="str">
        <f>_xlfn.XLOOKUP(E14,'All Products'!D:D,'All Products'!L:L,FALSE)</f>
        <v>-</v>
      </c>
      <c r="S14" s="424">
        <f>_xlfn.XLOOKUP(E14,'All Products'!D:D,'All Products'!M:M,FALSE)</f>
        <v>40049081164858</v>
      </c>
      <c r="T14" s="425">
        <f>_xlfn.XLOOKUP(E14,'All Products'!D:D,'All Products'!N:N,FALSE)</f>
        <v>20.504000000000001</v>
      </c>
      <c r="U14" s="425" t="str">
        <f>_xlfn.XLOOKUP(E14,'All Products'!D:D,'All Products'!O:O,FALSE)</f>
        <v>-</v>
      </c>
      <c r="V14" s="425">
        <f>_xlfn.XLOOKUP(E14,'All Products'!D:D,'All Products'!P:P,FALSE)</f>
        <v>42.44</v>
      </c>
      <c r="W14" s="425">
        <f>_xlfn.XLOOKUP(E14,'All Products'!D:D,'All Products'!Q:Q,FALSE)</f>
        <v>3.96</v>
      </c>
    </row>
    <row r="15" spans="1:23" ht="26.25" customHeight="1">
      <c r="A15" s="101" t="str">
        <f>IF(K15&gt;0,COUNT($A$7:A14)
+COUNT('DWV PVC'!$A$9:$A$316)
+COUNT('DWV ABS'!$A$8:$A$116)
+COUNT('PVC SCH40'!$A$8:$A$424)
+COUNT('PVC SCH40 LD'!$A$8:$A$21)
+COUNT('Pool &amp; SPA Sweep Elbows'!$A$8:$A$11)
+COUNT('Pool &amp; SPA Pipe Extender'!$A$8:$A$10)
+COUNT('PVC SCH80'!$A$8:$A$249)
+COUNT('PVC SCH80 Flange'!$A$8:$A$48)+1,"")</f>
        <v/>
      </c>
      <c r="B15" s="646"/>
      <c r="C15" s="647"/>
      <c r="D15" s="421" t="str">
        <f>_xlfn.XLOOKUP(E15,'All Products'!D:D,'All Products'!C:C,FALSE)</f>
        <v>856-100-1</v>
      </c>
      <c r="E15" s="1">
        <v>100027983</v>
      </c>
      <c r="F15" s="420" t="str">
        <f>_xlfn.XLOOKUP(E15,'All Products'!D:D,'All Products'!E:E,FALSE)</f>
        <v>10 VANSTONE FLANGE SPG O-RING TYPE</v>
      </c>
      <c r="G15" s="422">
        <f>_xlfn.XLOOKUP(E15,'All Products'!D:D,'All Products'!F:F,FALSE)</f>
        <v>1</v>
      </c>
      <c r="H15" s="422" t="str">
        <f>_xlfn.XLOOKUP(E15,'All Products'!D:D,'All Products'!G:G,FALSE)</f>
        <v>-</v>
      </c>
      <c r="I15" s="419">
        <f>_xlfn.XLOOKUP(E15,'All Products'!D:D,'All Products'!H:H,FALSE)</f>
        <v>540.80999999999995</v>
      </c>
      <c r="J15" s="131">
        <f>ROUND(I15*Order_Quote!$L$10,2)</f>
        <v>540.80999999999995</v>
      </c>
      <c r="K15" s="74"/>
      <c r="L15" s="16"/>
      <c r="M15" s="54">
        <f t="shared" si="0"/>
        <v>0</v>
      </c>
      <c r="O15" s="424" t="str">
        <f>_xlfn.XLOOKUP(E15,'All Products'!D:D,'All Products'!I:I,FALSE)</f>
        <v>Within 3 Weeks</v>
      </c>
      <c r="P15" s="424" t="str">
        <f>_xlfn.XLOOKUP(E15,'All Products'!D:D,'All Products'!J:J,FALSE)</f>
        <v>Manufactured</v>
      </c>
      <c r="Q15" s="424">
        <f>_xlfn.XLOOKUP(E15,'All Products'!D:D,'All Products'!K:K,FALSE)</f>
        <v>49081160586</v>
      </c>
      <c r="R15" s="424" t="str">
        <f>_xlfn.XLOOKUP(E15,'All Products'!D:D,'All Products'!L:L,FALSE)</f>
        <v>-</v>
      </c>
      <c r="S15" s="424">
        <f>_xlfn.XLOOKUP(E15,'All Products'!D:D,'All Products'!M:M,FALSE)</f>
        <v>40049081160584</v>
      </c>
      <c r="T15" s="425">
        <f>_xlfn.XLOOKUP(E15,'All Products'!D:D,'All Products'!N:N,FALSE)</f>
        <v>20.381</v>
      </c>
      <c r="U15" s="425" t="str">
        <f>_xlfn.XLOOKUP(E15,'All Products'!D:D,'All Products'!O:O,FALSE)</f>
        <v>-</v>
      </c>
      <c r="V15" s="425">
        <f>_xlfn.XLOOKUP(E15,'All Products'!D:D,'All Products'!P:P,FALSE)</f>
        <v>14.76</v>
      </c>
      <c r="W15" s="425">
        <f>_xlfn.XLOOKUP(E15,'All Products'!D:D,'All Products'!Q:Q,FALSE)</f>
        <v>1.25</v>
      </c>
    </row>
    <row r="16" spans="1:23" ht="26.25" customHeight="1">
      <c r="A16" s="101" t="str">
        <f>IF(K16&gt;0,COUNT($A$7:A15)
+COUNT('DWV PVC'!$A$9:$A$316)
+COUNT('DWV ABS'!$A$8:$A$116)
+COUNT('PVC SCH40'!$A$8:$A$424)
+COUNT('PVC SCH40 LD'!$A$8:$A$21)
+COUNT('Pool &amp; SPA Sweep Elbows'!$A$8:$A$11)
+COUNT('Pool &amp; SPA Pipe Extender'!$A$8:$A$10)
+COUNT('PVC SCH80'!$A$8:$A$249)
+COUNT('PVC SCH80 Flange'!$A$8:$A$48)+1,"")</f>
        <v/>
      </c>
      <c r="B16" s="652"/>
      <c r="C16" s="653"/>
      <c r="D16" s="421" t="str">
        <f>_xlfn.XLOOKUP(E16,'All Products'!D:D,'All Products'!C:C,FALSE)</f>
        <v>856-120-1</v>
      </c>
      <c r="E16" s="1">
        <v>100027986</v>
      </c>
      <c r="F16" s="420" t="str">
        <f>_xlfn.XLOOKUP(E16,'All Products'!D:D,'All Products'!E:E,FALSE)</f>
        <v>12 VANSTONE FLANGE SPG O-RING TYPE</v>
      </c>
      <c r="G16" s="422">
        <f>_xlfn.XLOOKUP(E16,'All Products'!D:D,'All Products'!F:F,FALSE)</f>
        <v>2</v>
      </c>
      <c r="H16" s="422" t="str">
        <f>_xlfn.XLOOKUP(E16,'All Products'!D:D,'All Products'!G:G,FALSE)</f>
        <v>-</v>
      </c>
      <c r="I16" s="419">
        <f>_xlfn.XLOOKUP(E16,'All Products'!D:D,'All Products'!H:H,FALSE)</f>
        <v>583.04999999999995</v>
      </c>
      <c r="J16" s="131">
        <f>ROUND(I16*Order_Quote!$L$10,2)</f>
        <v>583.04999999999995</v>
      </c>
      <c r="K16" s="74"/>
      <c r="L16" s="16"/>
      <c r="M16" s="54">
        <f t="shared" si="0"/>
        <v>0</v>
      </c>
      <c r="O16" s="424" t="str">
        <f>_xlfn.XLOOKUP(E16,'All Products'!D:D,'All Products'!I:I,FALSE)</f>
        <v>Within 3 Weeks</v>
      </c>
      <c r="P16" s="424" t="str">
        <f>_xlfn.XLOOKUP(E16,'All Products'!D:D,'All Products'!J:J,FALSE)</f>
        <v>Manufactured</v>
      </c>
      <c r="Q16" s="424">
        <f>_xlfn.XLOOKUP(E16,'All Products'!D:D,'All Products'!K:K,FALSE)</f>
        <v>49081160593</v>
      </c>
      <c r="R16" s="424" t="str">
        <f>_xlfn.XLOOKUP(E16,'All Products'!D:D,'All Products'!L:L,FALSE)</f>
        <v>-</v>
      </c>
      <c r="S16" s="424">
        <f>_xlfn.XLOOKUP(E16,'All Products'!D:D,'All Products'!M:M,FALSE)</f>
        <v>40049081160591</v>
      </c>
      <c r="T16" s="425">
        <f>_xlfn.XLOOKUP(E16,'All Products'!D:D,'All Products'!N:N,FALSE)</f>
        <v>8.0500000000000007</v>
      </c>
      <c r="U16" s="425" t="str">
        <f>_xlfn.XLOOKUP(E16,'All Products'!D:D,'All Products'!O:O,FALSE)</f>
        <v>-</v>
      </c>
      <c r="V16" s="425">
        <f>_xlfn.XLOOKUP(E16,'All Products'!D:D,'All Products'!P:P,FALSE)</f>
        <v>22.4</v>
      </c>
      <c r="W16" s="425">
        <f>_xlfn.XLOOKUP(E16,'All Products'!D:D,'All Products'!Q:Q,FALSE)</f>
        <v>3.96</v>
      </c>
    </row>
    <row r="17" spans="1:13">
      <c r="A17" s="5">
        <f>MAX(A8:A16)+1</f>
        <v>1</v>
      </c>
      <c r="B17" s="4"/>
      <c r="C17" s="4"/>
      <c r="M17" s="29"/>
    </row>
    <row r="18" spans="1:13"/>
    <row r="19" spans="1:13"/>
    <row r="20" spans="1:13"/>
    <row r="21" spans="1:13"/>
    <row r="22" spans="1:13"/>
    <row r="23" spans="1:13"/>
    <row r="24" spans="1:13"/>
    <row r="25" spans="1:13"/>
    <row r="26" spans="1:13"/>
    <row r="27" spans="1:13"/>
  </sheetData>
  <sheetProtection algorithmName="SHA-512" hashValue="jtV48g9rJuqF3d3gpEnnen8tSrQSV+qQxNJ/5o0GTUiXEQG4sird2TUk+d0rcZQUbSpMePAeWt6EHkouuHAKzA==" saltValue="YZdtEeVzyGj12bhnF/yxXQ==" spinCount="100000" sheet="1" formatCells="0" formatColumns="0" formatRows="0" insertColumns="0" insertRows="0" insertHyperlinks="0" deleteColumns="0" deleteRows="0" sort="0" autoFilter="0" pivotTables="0"/>
  <mergeCells count="5">
    <mergeCell ref="B8:C10"/>
    <mergeCell ref="B11:C14"/>
    <mergeCell ref="B15:C16"/>
    <mergeCell ref="J2:K3"/>
    <mergeCell ref="Q6:S6"/>
  </mergeCells>
  <dataValidations count="5">
    <dataValidation type="whole" operator="greaterThanOrEqual" allowBlank="1" showInputMessage="1" showErrorMessage="1" errorTitle="Invalid Entry!" error="An invalid quantity has been entered. Please enter only whole numbers. Click Retry to change entry or Cancel to clear entry." sqref="L1:L6" xr:uid="{00000000-0002-0000-0B00-000000000000}">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00000000-0002-0000-0B00-000002000000}">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7" xr:uid="{00000000-0002-0000-0B00-000003000000}">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L8:L17" xr:uid="{00000000-0002-0000-0B00-000001000000}">
      <formula1>1</formula1>
    </dataValidation>
    <dataValidation allowBlank="1" showErrorMessage="1" sqref="K1:K1048576" xr:uid="{4583E35E-75DE-4107-A96E-D36EF91D1C7D}"/>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0"/>
    <pageSetUpPr fitToPage="1"/>
  </sheetPr>
  <dimension ref="A1:V111"/>
  <sheetViews>
    <sheetView topLeftCell="A81" workbookViewId="0">
      <selection activeCell="C102" sqref="C102"/>
    </sheetView>
  </sheetViews>
  <sheetFormatPr defaultColWidth="9.109375" defaultRowHeight="14.4" zeroHeight="1"/>
  <cols>
    <col min="1" max="1" width="2.33203125" style="5" customWidth="1"/>
    <col min="2" max="3" width="8.6640625" style="2" customWidth="1"/>
    <col min="4" max="5" width="12.6640625" style="4" customWidth="1"/>
    <col min="6" max="6" width="49.44140625" style="8" customWidth="1"/>
    <col min="7" max="7" width="10.6640625" style="230" customWidth="1"/>
    <col min="8" max="8" width="10.6640625" style="4" customWidth="1"/>
    <col min="9" max="9" width="14.6640625" style="10" bestFit="1" customWidth="1"/>
    <col min="10" max="10" width="10.44140625" style="18" customWidth="1"/>
    <col min="11" max="11" width="9.5546875" style="2" customWidth="1"/>
    <col min="12" max="12" width="1.109375" style="2" customWidth="1"/>
    <col min="13" max="13" width="12.6640625" style="2" customWidth="1"/>
    <col min="14" max="14" width="1.33203125" style="2" customWidth="1"/>
    <col min="15" max="15" width="12.6640625" style="8" customWidth="1"/>
    <col min="16" max="16" width="10.6640625" style="8" customWidth="1"/>
    <col min="17" max="17" width="11.6640625" style="505" customWidth="1"/>
    <col min="18" max="18" width="10.6640625" style="9" customWidth="1"/>
    <col min="19" max="19" width="13.109375" style="9" bestFit="1" customWidth="1"/>
    <col min="20" max="20" width="10.6640625" style="8" customWidth="1"/>
    <col min="21" max="16384" width="9.109375" style="2"/>
  </cols>
  <sheetData>
    <row r="1" spans="1:22" ht="18">
      <c r="F1" s="211" t="s">
        <v>344</v>
      </c>
      <c r="G1" s="385"/>
      <c r="H1" s="152"/>
      <c r="O1" s="152"/>
      <c r="P1" s="152"/>
      <c r="Q1" s="491"/>
      <c r="T1" s="152"/>
    </row>
    <row r="2" spans="1:22" ht="15.6">
      <c r="D2" s="19"/>
      <c r="E2" s="13"/>
      <c r="J2" s="661" t="s">
        <v>59</v>
      </c>
      <c r="K2" s="661"/>
    </row>
    <row r="3" spans="1:22">
      <c r="F3" s="323" t="s">
        <v>345</v>
      </c>
      <c r="J3" s="661"/>
      <c r="K3" s="661"/>
    </row>
    <row r="4" spans="1:22">
      <c r="E4" s="127" t="s">
        <v>5725</v>
      </c>
      <c r="F4" s="327" t="s">
        <v>5982</v>
      </c>
      <c r="I4" s="21"/>
      <c r="J4" s="10"/>
    </row>
    <row r="5" spans="1:22">
      <c r="F5" s="325" t="s">
        <v>5973</v>
      </c>
      <c r="I5" s="21"/>
      <c r="J5" s="10"/>
    </row>
    <row r="6" spans="1:22">
      <c r="F6" s="17"/>
      <c r="I6" s="21"/>
      <c r="J6" s="10"/>
      <c r="O6" s="17"/>
      <c r="P6" s="17"/>
      <c r="Q6" s="662" t="s">
        <v>64</v>
      </c>
      <c r="R6" s="662"/>
      <c r="S6" s="662"/>
      <c r="T6" s="17"/>
    </row>
    <row r="7" spans="1:22" ht="36" customHeight="1" thickBot="1">
      <c r="A7" s="57"/>
      <c r="B7" s="136"/>
      <c r="C7" s="136"/>
      <c r="D7" s="136" t="s">
        <v>48</v>
      </c>
      <c r="E7" s="136" t="s">
        <v>49</v>
      </c>
      <c r="F7" s="136" t="s">
        <v>50</v>
      </c>
      <c r="G7" s="231" t="s">
        <v>65</v>
      </c>
      <c r="H7" s="136" t="s">
        <v>66</v>
      </c>
      <c r="I7" s="157" t="s">
        <v>51</v>
      </c>
      <c r="J7" s="157" t="s">
        <v>55</v>
      </c>
      <c r="K7" s="58" t="s">
        <v>52</v>
      </c>
      <c r="L7" s="59"/>
      <c r="M7" s="60" t="s">
        <v>67</v>
      </c>
      <c r="O7" s="213" t="s">
        <v>68</v>
      </c>
      <c r="P7" s="213" t="s">
        <v>69</v>
      </c>
      <c r="Q7" s="396" t="s">
        <v>70</v>
      </c>
      <c r="R7" s="396" t="s">
        <v>71</v>
      </c>
      <c r="S7" s="396" t="s">
        <v>72</v>
      </c>
      <c r="T7" s="213" t="s">
        <v>73</v>
      </c>
    </row>
    <row r="8" spans="1:22" s="17" customFormat="1" ht="16.2" thickBot="1">
      <c r="A8" s="101"/>
      <c r="B8" s="501" t="s">
        <v>5830</v>
      </c>
      <c r="C8" s="151"/>
      <c r="D8" s="151"/>
      <c r="E8" s="459"/>
      <c r="F8" s="151"/>
      <c r="G8" s="468"/>
      <c r="H8" s="151"/>
      <c r="I8" s="472"/>
      <c r="J8" s="468"/>
      <c r="K8" s="477"/>
      <c r="L8" s="238"/>
      <c r="M8" s="476"/>
      <c r="O8" s="494"/>
      <c r="P8" s="478"/>
      <c r="Q8" s="492"/>
      <c r="R8" s="492"/>
      <c r="S8" s="492"/>
      <c r="T8" s="495"/>
      <c r="U8" s="496"/>
      <c r="V8" s="497"/>
    </row>
    <row r="9" spans="1:22">
      <c r="A9" s="101" t="str">
        <f>IF(K9&gt;0,COUNT($A$8:A8)
+COUNT('DWV PVC'!$A$9:$A$316)
+COUNT('DWV ABS'!$A$8:$A$116)
+COUNT('PVC SCH40'!$A$8:$A$424)
+COUNT('PVC SCH40 LD'!$A$8:$A$21)
+COUNT('Pool &amp; SPA Sweep Elbows'!$A$8:$A$11)
+COUNT('Pool &amp; SPA Pipe Extender'!$A$8:$A$10)
+COUNT('PVC SCH80'!$A$8:$A$249)
+COUNT('PVC SCH80 Flange'!$A$8:$A$48)
+COUNT('PVC SCH80 LD Flange'!$A$8:$A$16)+1,"")</f>
        <v/>
      </c>
      <c r="B9" s="644"/>
      <c r="C9" s="645"/>
      <c r="D9" s="426" t="str">
        <f>_xlfn.XLOOKUP(E9,'All Products'!D:D,'All Products'!C:C,FALSE)</f>
        <v>4101-005</v>
      </c>
      <c r="E9" s="6">
        <v>300006054</v>
      </c>
      <c r="F9" s="427" t="str">
        <f>_xlfn.XLOOKUP(E9,'All Products'!D:D,'All Products'!E:E,FALSE)</f>
        <v>CPVC TEE ASTM 1/2"</v>
      </c>
      <c r="G9" s="428">
        <f>_xlfn.XLOOKUP(E9,'All Products'!D:D,'All Products'!F:F,FALSE)</f>
        <v>500</v>
      </c>
      <c r="H9" s="428" t="str">
        <f>_xlfn.XLOOKUP(E9,'All Products'!D:D,'All Products'!G:G,FALSE)</f>
        <v>-</v>
      </c>
      <c r="I9" s="269" t="str">
        <f>_xlfn.XLOOKUP(E9,'All Products'!D:D,'All Products'!H:H,FALSE)</f>
        <v>Quote Required</v>
      </c>
      <c r="J9" s="129">
        <f>IFERROR(ROUNDUP(I9*Order_Quote!$L$11,2),0)</f>
        <v>0</v>
      </c>
      <c r="K9" s="70"/>
      <c r="L9" s="48"/>
      <c r="M9" s="46">
        <f t="shared" ref="M9:M41" si="0">K9/G9</f>
        <v>0</v>
      </c>
      <c r="O9" s="215" t="str">
        <f>_xlfn.XLOOKUP(E9,'All Products'!D:D,'All Products'!I:I,FALSE)</f>
        <v>3 weeks</v>
      </c>
      <c r="P9" s="215" t="str">
        <f>_xlfn.XLOOKUP(E9,'All Products'!D:D,'All Products'!J:J,FALSE)</f>
        <v>Sourced</v>
      </c>
      <c r="Q9" s="266">
        <f>_xlfn.XLOOKUP(E9,'All Products'!D:D,'All Products'!K:K,FALSE)</f>
        <v>810673012404</v>
      </c>
      <c r="R9" s="266" t="str">
        <f>_xlfn.XLOOKUP(E9,'All Products'!D:D,'All Products'!L:L,FALSE)</f>
        <v>-</v>
      </c>
      <c r="S9" s="266">
        <f>_xlfn.XLOOKUP(E9,'All Products'!D:D,'All Products'!M:M,FALSE)</f>
        <v>10810673012401</v>
      </c>
      <c r="T9" s="215">
        <f>_xlfn.XLOOKUP(E9,'All Products'!D:D,'All Products'!N:N,FALSE)</f>
        <v>3.5000000000000003E-2</v>
      </c>
    </row>
    <row r="10" spans="1:22">
      <c r="A10" s="101" t="str">
        <f>IF(K10&gt;0,COUNT($A$8:A9)
+COUNT('DWV PVC'!$A$9:$A$316)
+COUNT('DWV ABS'!$A$8:$A$116)
+COUNT('PVC SCH40'!$A$8:$A$424)
+COUNT('PVC SCH40 LD'!$A$8:$A$21)
+COUNT('Pool &amp; SPA Sweep Elbows'!$A$8:$A$11)
+COUNT('Pool &amp; SPA Pipe Extender'!$A$8:$A$10)
+COUNT('PVC SCH80'!$A$8:$A$249)
+COUNT('PVC SCH80 Flange'!$A$8:$A$48)
+COUNT('PVC SCH80 LD Flange'!$A$8:$A$16)+1,"")</f>
        <v/>
      </c>
      <c r="B10" s="646"/>
      <c r="C10" s="647"/>
      <c r="D10" s="426" t="str">
        <f>_xlfn.XLOOKUP(E10,'All Products'!D:D,'All Products'!C:C,FALSE)</f>
        <v>4101-007</v>
      </c>
      <c r="E10" s="6">
        <v>300006053</v>
      </c>
      <c r="F10" s="427" t="str">
        <f>_xlfn.XLOOKUP(E10,'All Products'!D:D,'All Products'!E:E,FALSE)</f>
        <v>CPVC TEE ASTM 3/4"</v>
      </c>
      <c r="G10" s="428">
        <f>_xlfn.XLOOKUP(E10,'All Products'!D:D,'All Products'!F:F,FALSE)</f>
        <v>250</v>
      </c>
      <c r="H10" s="428" t="str">
        <f>_xlfn.XLOOKUP(E10,'All Products'!D:D,'All Products'!G:G,FALSE)</f>
        <v>-</v>
      </c>
      <c r="I10" s="269" t="str">
        <f>_xlfn.XLOOKUP(E10,'All Products'!D:D,'All Products'!H:H,FALSE)</f>
        <v>Quote Required</v>
      </c>
      <c r="J10" s="129">
        <f>IFERROR(ROUNDUP(I10*Order_Quote!$L$11,2),0)</f>
        <v>0</v>
      </c>
      <c r="K10" s="71"/>
      <c r="L10" s="48"/>
      <c r="M10" s="46">
        <f t="shared" si="0"/>
        <v>0</v>
      </c>
      <c r="O10" s="215" t="str">
        <f>_xlfn.XLOOKUP(E10,'All Products'!D:D,'All Products'!I:I,FALSE)</f>
        <v>3 weeks</v>
      </c>
      <c r="P10" s="215" t="str">
        <f>_xlfn.XLOOKUP(E10,'All Products'!D:D,'All Products'!J:J,FALSE)</f>
        <v>Sourced</v>
      </c>
      <c r="Q10" s="266">
        <f>_xlfn.XLOOKUP(E10,'All Products'!D:D,'All Products'!K:K,FALSE)</f>
        <v>810673012411</v>
      </c>
      <c r="R10" s="266" t="str">
        <f>_xlfn.XLOOKUP(E10,'All Products'!D:D,'All Products'!L:L,FALSE)</f>
        <v>-</v>
      </c>
      <c r="S10" s="266">
        <f>_xlfn.XLOOKUP(E10,'All Products'!D:D,'All Products'!M:M,FALSE)</f>
        <v>10810673012418</v>
      </c>
      <c r="T10" s="215">
        <f>_xlfn.XLOOKUP(E10,'All Products'!D:D,'All Products'!N:N,FALSE)</f>
        <v>6.8000000000000005E-2</v>
      </c>
    </row>
    <row r="11" spans="1:22">
      <c r="A11" s="101" t="str">
        <f>IF(K11&gt;0,COUNT($A$8:A10)
+COUNT('DWV PVC'!$A$9:$A$316)
+COUNT('DWV ABS'!$A$8:$A$116)
+COUNT('PVC SCH40'!$A$8:$A$424)
+COUNT('PVC SCH40 LD'!$A$8:$A$21)
+COUNT('Pool &amp; SPA Sweep Elbows'!$A$8:$A$11)
+COUNT('Pool &amp; SPA Pipe Extender'!$A$8:$A$10)
+COUNT('PVC SCH80'!$A$8:$A$249)
+COUNT('PVC SCH80 Flange'!$A$8:$A$48)
+COUNT('PVC SCH80 LD Flange'!$A$8:$A$16)+1,"")</f>
        <v/>
      </c>
      <c r="B11" s="646"/>
      <c r="C11" s="647"/>
      <c r="D11" s="426" t="str">
        <f>_xlfn.XLOOKUP(E11,'All Products'!D:D,'All Products'!C:C,FALSE)</f>
        <v>4101-010</v>
      </c>
      <c r="E11" s="22">
        <v>300005784</v>
      </c>
      <c r="F11" s="427" t="str">
        <f>_xlfn.XLOOKUP(E11,'All Products'!D:D,'All Products'!E:E,FALSE)</f>
        <v>CPVC TEE ASTM 1"</v>
      </c>
      <c r="G11" s="428">
        <f>_xlfn.XLOOKUP(E11,'All Products'!D:D,'All Products'!F:F,FALSE)</f>
        <v>100</v>
      </c>
      <c r="H11" s="428" t="str">
        <f>_xlfn.XLOOKUP(E11,'All Products'!D:D,'All Products'!G:G,FALSE)</f>
        <v>-</v>
      </c>
      <c r="I11" s="269" t="str">
        <f>_xlfn.XLOOKUP(E11,'All Products'!D:D,'All Products'!H:H,FALSE)</f>
        <v>Quote Required</v>
      </c>
      <c r="J11" s="129">
        <f>IFERROR(ROUNDUP(I11*Order_Quote!$L$11,2),0)</f>
        <v>0</v>
      </c>
      <c r="K11" s="71"/>
      <c r="L11" s="48"/>
      <c r="M11" s="50">
        <f t="shared" si="0"/>
        <v>0</v>
      </c>
      <c r="O11" s="215" t="str">
        <f>_xlfn.XLOOKUP(E11,'All Products'!D:D,'All Products'!I:I,FALSE)</f>
        <v>3 weeks</v>
      </c>
      <c r="P11" s="215" t="str">
        <f>_xlfn.XLOOKUP(E11,'All Products'!D:D,'All Products'!J:J,FALSE)</f>
        <v>Sourced</v>
      </c>
      <c r="Q11" s="266" t="str">
        <f>_xlfn.XLOOKUP(E11,'All Products'!D:D,'All Products'!K:K,FALSE)</f>
        <v>-</v>
      </c>
      <c r="R11" s="266" t="str">
        <f>_xlfn.XLOOKUP(E11,'All Products'!D:D,'All Products'!L:L,FALSE)</f>
        <v>-</v>
      </c>
      <c r="S11" s="266" t="str">
        <f>_xlfn.XLOOKUP(E11,'All Products'!D:D,'All Products'!M:M,FALSE)</f>
        <v>-</v>
      </c>
      <c r="T11" s="215">
        <f>_xlfn.XLOOKUP(E11,'All Products'!D:D,'All Products'!N:N,FALSE)</f>
        <v>0.13900000000000001</v>
      </c>
    </row>
    <row r="12" spans="1:22">
      <c r="A12" s="101" t="str">
        <f>IF(K12&gt;0,COUNT($A$8:A11)
+COUNT('DWV PVC'!$A$9:$A$316)
+COUNT('DWV ABS'!$A$8:$A$116)
+COUNT('PVC SCH40'!$A$8:$A$424)
+COUNT('PVC SCH40 LD'!$A$8:$A$21)
+COUNT('Pool &amp; SPA Sweep Elbows'!$A$8:$A$11)
+COUNT('Pool &amp; SPA Pipe Extender'!$A$8:$A$10)
+COUNT('PVC SCH80'!$A$8:$A$249)
+COUNT('PVC SCH80 Flange'!$A$8:$A$48)
+COUNT('PVC SCH80 LD Flange'!$A$8:$A$16)+1,"")</f>
        <v/>
      </c>
      <c r="B12" s="646"/>
      <c r="C12" s="647"/>
      <c r="D12" s="426" t="str">
        <f>_xlfn.XLOOKUP(E12,'All Products'!D:D,'All Products'!C:C,FALSE)</f>
        <v>4101-012</v>
      </c>
      <c r="E12" s="6">
        <v>300005789</v>
      </c>
      <c r="F12" s="427" t="str">
        <f>_xlfn.XLOOKUP(E12,'All Products'!D:D,'All Products'!E:E,FALSE)</f>
        <v>CPVC TEE ASTM  1.1/4"</v>
      </c>
      <c r="G12" s="428">
        <f>_xlfn.XLOOKUP(E12,'All Products'!D:D,'All Products'!F:F,FALSE)</f>
        <v>100</v>
      </c>
      <c r="H12" s="428" t="str">
        <f>_xlfn.XLOOKUP(E12,'All Products'!D:D,'All Products'!G:G,FALSE)</f>
        <v>-</v>
      </c>
      <c r="I12" s="269" t="str">
        <f>_xlfn.XLOOKUP(E12,'All Products'!D:D,'All Products'!H:H,FALSE)</f>
        <v>Quote Required</v>
      </c>
      <c r="J12" s="129">
        <f>IFERROR(ROUNDUP(I12*Order_Quote!$L$11,2),0)</f>
        <v>0</v>
      </c>
      <c r="K12" s="71"/>
      <c r="L12" s="48"/>
      <c r="M12" s="46">
        <f t="shared" si="0"/>
        <v>0</v>
      </c>
      <c r="O12" s="215" t="str">
        <f>_xlfn.XLOOKUP(E12,'All Products'!D:D,'All Products'!I:I,FALSE)</f>
        <v>3 weeks</v>
      </c>
      <c r="P12" s="215" t="str">
        <f>_xlfn.XLOOKUP(E12,'All Products'!D:D,'All Products'!J:J,FALSE)</f>
        <v>Sourced</v>
      </c>
      <c r="Q12" s="266">
        <f>_xlfn.XLOOKUP(E12,'All Products'!D:D,'All Products'!K:K,FALSE)</f>
        <v>816842024353</v>
      </c>
      <c r="R12" s="266" t="str">
        <f>_xlfn.XLOOKUP(E12,'All Products'!D:D,'All Products'!L:L,FALSE)</f>
        <v>-</v>
      </c>
      <c r="S12" s="266" t="str">
        <f>_xlfn.XLOOKUP(E12,'All Products'!D:D,'All Products'!M:M,FALSE)</f>
        <v>-</v>
      </c>
      <c r="T12" s="215">
        <f>_xlfn.XLOOKUP(E12,'All Products'!D:D,'All Products'!N:N,FALSE)</f>
        <v>0.19400000000000001</v>
      </c>
    </row>
    <row r="13" spans="1:22">
      <c r="A13" s="101" t="str">
        <f>IF(K13&gt;0,COUNT($A$8:A12)
+COUNT('DWV PVC'!$A$9:$A$316)
+COUNT('DWV ABS'!$A$8:$A$116)
+COUNT('PVC SCH40'!$A$8:$A$424)
+COUNT('PVC SCH40 LD'!$A$8:$A$21)
+COUNT('Pool &amp; SPA Sweep Elbows'!$A$8:$A$11)
+COUNT('Pool &amp; SPA Pipe Extender'!$A$8:$A$10)
+COUNT('PVC SCH80'!$A$8:$A$249)
+COUNT('PVC SCH80 Flange'!$A$8:$A$48)
+COUNT('PVC SCH80 LD Flange'!$A$8:$A$16)+1,"")</f>
        <v/>
      </c>
      <c r="B13" s="646"/>
      <c r="C13" s="647"/>
      <c r="D13" s="426" t="str">
        <f>_xlfn.XLOOKUP(E13,'All Products'!D:D,'All Products'!C:C,FALSE)</f>
        <v>4101-015</v>
      </c>
      <c r="E13" s="6">
        <v>300005790</v>
      </c>
      <c r="F13" s="427" t="str">
        <f>_xlfn.XLOOKUP(E13,'All Products'!D:D,'All Products'!E:E,FALSE)</f>
        <v>CPVC TEE ASTM 1.1/2"</v>
      </c>
      <c r="G13" s="428">
        <f>_xlfn.XLOOKUP(E13,'All Products'!D:D,'All Products'!F:F,FALSE)</f>
        <v>100</v>
      </c>
      <c r="H13" s="428" t="str">
        <f>_xlfn.XLOOKUP(E13,'All Products'!D:D,'All Products'!G:G,FALSE)</f>
        <v>-</v>
      </c>
      <c r="I13" s="269" t="str">
        <f>_xlfn.XLOOKUP(E13,'All Products'!D:D,'All Products'!H:H,FALSE)</f>
        <v>Quote Required</v>
      </c>
      <c r="J13" s="129">
        <f>IFERROR(ROUNDUP(I13*Order_Quote!$L$11,2),0)</f>
        <v>0</v>
      </c>
      <c r="K13" s="71"/>
      <c r="L13" s="48"/>
      <c r="M13" s="46">
        <f t="shared" si="0"/>
        <v>0</v>
      </c>
      <c r="O13" s="215" t="str">
        <f>_xlfn.XLOOKUP(E13,'All Products'!D:D,'All Products'!I:I,FALSE)</f>
        <v>3 weeks</v>
      </c>
      <c r="P13" s="215" t="str">
        <f>_xlfn.XLOOKUP(E13,'All Products'!D:D,'All Products'!J:J,FALSE)</f>
        <v>Sourced</v>
      </c>
      <c r="Q13" s="266">
        <f>_xlfn.XLOOKUP(E13,'All Products'!D:D,'All Products'!K:K,FALSE)</f>
        <v>816842024155</v>
      </c>
      <c r="R13" s="266" t="str">
        <f>_xlfn.XLOOKUP(E13,'All Products'!D:D,'All Products'!L:L,FALSE)</f>
        <v>-</v>
      </c>
      <c r="S13" s="266" t="str">
        <f>_xlfn.XLOOKUP(E13,'All Products'!D:D,'All Products'!M:M,FALSE)</f>
        <v>-</v>
      </c>
      <c r="T13" s="215">
        <f>_xlfn.XLOOKUP(E13,'All Products'!D:D,'All Products'!N:N,FALSE)</f>
        <v>0.30599999999999999</v>
      </c>
    </row>
    <row r="14" spans="1:22">
      <c r="A14" s="101" t="str">
        <f>IF(K14&gt;0,COUNT($A$8:A13)
+COUNT('DWV PVC'!$A$9:$A$316)
+COUNT('DWV ABS'!$A$8:$A$116)
+COUNT('PVC SCH40'!$A$8:$A$424)
+COUNT('PVC SCH40 LD'!$A$8:$A$21)
+COUNT('Pool &amp; SPA Sweep Elbows'!$A$8:$A$11)
+COUNT('Pool &amp; SPA Pipe Extender'!$A$8:$A$10)
+COUNT('PVC SCH80'!$A$8:$A$249)
+COUNT('PVC SCH80 Flange'!$A$8:$A$48)
+COUNT('PVC SCH80 LD Flange'!$A$8:$A$16)+1,"")</f>
        <v/>
      </c>
      <c r="B14" s="652"/>
      <c r="C14" s="653"/>
      <c r="D14" s="426" t="str">
        <f>_xlfn.XLOOKUP(E14,'All Products'!D:D,'All Products'!C:C,FALSE)</f>
        <v>4101-020</v>
      </c>
      <c r="E14" s="6">
        <v>300005783</v>
      </c>
      <c r="F14" s="427" t="str">
        <f>_xlfn.XLOOKUP(E14,'All Products'!D:D,'All Products'!E:E,FALSE)</f>
        <v>CPVC TEE ASTM 2"</v>
      </c>
      <c r="G14" s="428">
        <f>_xlfn.XLOOKUP(E14,'All Products'!D:D,'All Products'!F:F,FALSE)</f>
        <v>50</v>
      </c>
      <c r="H14" s="428" t="str">
        <f>_xlfn.XLOOKUP(E14,'All Products'!D:D,'All Products'!G:G,FALSE)</f>
        <v>-</v>
      </c>
      <c r="I14" s="269" t="str">
        <f>_xlfn.XLOOKUP(E14,'All Products'!D:D,'All Products'!H:H,FALSE)</f>
        <v>Quote Required</v>
      </c>
      <c r="J14" s="129">
        <f>IFERROR(ROUNDUP(I14*Order_Quote!$L$11,2),0)</f>
        <v>0</v>
      </c>
      <c r="K14" s="71"/>
      <c r="L14" s="48"/>
      <c r="M14" s="46">
        <f t="shared" si="0"/>
        <v>0</v>
      </c>
      <c r="O14" s="215" t="str">
        <f>_xlfn.XLOOKUP(E14,'All Products'!D:D,'All Products'!I:I,FALSE)</f>
        <v>3 weeks</v>
      </c>
      <c r="P14" s="215" t="str">
        <f>_xlfn.XLOOKUP(E14,'All Products'!D:D,'All Products'!J:J,FALSE)</f>
        <v>Sourced</v>
      </c>
      <c r="Q14" s="266">
        <f>_xlfn.XLOOKUP(E14,'All Products'!D:D,'All Products'!K:K,FALSE)</f>
        <v>816842024018</v>
      </c>
      <c r="R14" s="266" t="str">
        <f>_xlfn.XLOOKUP(E14,'All Products'!D:D,'All Products'!L:L,FALSE)</f>
        <v>-</v>
      </c>
      <c r="S14" s="266" t="str">
        <f>_xlfn.XLOOKUP(E14,'All Products'!D:D,'All Products'!M:M,FALSE)</f>
        <v>-</v>
      </c>
      <c r="T14" s="215">
        <f>_xlfn.XLOOKUP(E14,'All Products'!D:D,'All Products'!N:N,FALSE)</f>
        <v>0.69199999999999995</v>
      </c>
    </row>
    <row r="15" spans="1:22">
      <c r="A15" s="101" t="str">
        <f>IF(K15&gt;0,COUNT($A$8:A14)
+COUNT('DWV PVC'!$A$9:$A$316)
+COUNT('DWV ABS'!$A$8:$A$116)
+COUNT('PVC SCH40'!$A$8:$A$424)
+COUNT('PVC SCH40 LD'!$A$8:$A$21)
+COUNT('Pool &amp; SPA Sweep Elbows'!$A$8:$A$11)
+COUNT('Pool &amp; SPA Pipe Extender'!$A$8:$A$10)
+COUNT('PVC SCH80'!$A$8:$A$249)
+COUNT('PVC SCH80 Flange'!$A$8:$A$48)
+COUNT('PVC SCH80 LD Flange'!$A$8:$A$16)+1,"")</f>
        <v/>
      </c>
      <c r="B15" s="644"/>
      <c r="C15" s="645"/>
      <c r="D15" s="426" t="str">
        <f>_xlfn.XLOOKUP(E15,'All Products'!D:D,'All Products'!C:C,FALSE)</f>
        <v>4101-094</v>
      </c>
      <c r="E15" s="6">
        <v>300005736</v>
      </c>
      <c r="F15" s="427" t="str">
        <f>_xlfn.XLOOKUP(E15,'All Products'!D:D,'All Products'!E:E,FALSE)</f>
        <v>3/4 X 1/2 X 1/2" CPVC REDUCTION TEE ASTM</v>
      </c>
      <c r="G15" s="428">
        <f>_xlfn.XLOOKUP(E15,'All Products'!D:D,'All Products'!F:F,FALSE)</f>
        <v>320</v>
      </c>
      <c r="H15" s="428" t="str">
        <f>_xlfn.XLOOKUP(E15,'All Products'!D:D,'All Products'!G:G,FALSE)</f>
        <v>-</v>
      </c>
      <c r="I15" s="269" t="str">
        <f>_xlfn.XLOOKUP(E15,'All Products'!D:D,'All Products'!H:H,FALSE)</f>
        <v>Quote Required</v>
      </c>
      <c r="J15" s="129">
        <f>IFERROR(ROUNDUP(I15*Order_Quote!$L$11,2),0)</f>
        <v>0</v>
      </c>
      <c r="K15" s="71"/>
      <c r="L15" s="48"/>
      <c r="M15" s="50">
        <f t="shared" si="0"/>
        <v>0</v>
      </c>
      <c r="O15" s="215" t="str">
        <f>_xlfn.XLOOKUP(E15,'All Products'!D:D,'All Products'!I:I,FALSE)</f>
        <v>3 weeks</v>
      </c>
      <c r="P15" s="215" t="str">
        <f>_xlfn.XLOOKUP(E15,'All Products'!D:D,'All Products'!J:J,FALSE)</f>
        <v>Sourced</v>
      </c>
      <c r="Q15" s="266" t="str">
        <f>_xlfn.XLOOKUP(E15,'All Products'!D:D,'All Products'!K:K,FALSE)</f>
        <v>-</v>
      </c>
      <c r="R15" s="266" t="str">
        <f>_xlfn.XLOOKUP(E15,'All Products'!D:D,'All Products'!L:L,FALSE)</f>
        <v>-</v>
      </c>
      <c r="S15" s="266" t="str">
        <f>_xlfn.XLOOKUP(E15,'All Products'!D:D,'All Products'!M:M,FALSE)</f>
        <v>-</v>
      </c>
      <c r="T15" s="215">
        <f>_xlfn.XLOOKUP(E15,'All Products'!D:D,'All Products'!N:N,FALSE)</f>
        <v>7.0999999999999994E-2</v>
      </c>
    </row>
    <row r="16" spans="1:22">
      <c r="A16" s="101" t="str">
        <f>IF(K16&gt;0,COUNT($A$8:A15)
+COUNT('DWV PVC'!$A$9:$A$316)
+COUNT('DWV ABS'!$A$8:$A$116)
+COUNT('PVC SCH40'!$A$8:$A$424)
+COUNT('PVC SCH40 LD'!$A$8:$A$21)
+COUNT('Pool &amp; SPA Sweep Elbows'!$A$8:$A$11)
+COUNT('Pool &amp; SPA Pipe Extender'!$A$8:$A$10)
+COUNT('PVC SCH80'!$A$8:$A$249)
+COUNT('PVC SCH80 Flange'!$A$8:$A$48)
+COUNT('PVC SCH80 LD Flange'!$A$8:$A$16)+1,"")</f>
        <v/>
      </c>
      <c r="B16" s="646"/>
      <c r="C16" s="647"/>
      <c r="D16" s="426" t="str">
        <f>_xlfn.XLOOKUP(E16,'All Products'!D:D,'All Products'!C:C,FALSE)</f>
        <v>4101-095</v>
      </c>
      <c r="E16" s="6">
        <v>300005734</v>
      </c>
      <c r="F16" s="427" t="str">
        <f>_xlfn.XLOOKUP(E16,'All Products'!D:D,'All Products'!E:E,FALSE)</f>
        <v>3/4 X 1/2 X 3/4" CPVC REDUCTION TEE ASTM</v>
      </c>
      <c r="G16" s="428">
        <f>_xlfn.XLOOKUP(E16,'All Products'!D:D,'All Products'!F:F,FALSE)</f>
        <v>100</v>
      </c>
      <c r="H16" s="428" t="str">
        <f>_xlfn.XLOOKUP(E16,'All Products'!D:D,'All Products'!G:G,FALSE)</f>
        <v>-</v>
      </c>
      <c r="I16" s="269" t="str">
        <f>_xlfn.XLOOKUP(E16,'All Products'!D:D,'All Products'!H:H,FALSE)</f>
        <v>Quote Required</v>
      </c>
      <c r="J16" s="129">
        <f>IFERROR(ROUNDUP(I16*Order_Quote!$L$11,2),0)</f>
        <v>0</v>
      </c>
      <c r="K16" s="71"/>
      <c r="L16" s="48"/>
      <c r="M16" s="46">
        <f t="shared" si="0"/>
        <v>0</v>
      </c>
      <c r="O16" s="215" t="str">
        <f>_xlfn.XLOOKUP(E16,'All Products'!D:D,'All Products'!I:I,FALSE)</f>
        <v>3 weeks</v>
      </c>
      <c r="P16" s="215" t="str">
        <f>_xlfn.XLOOKUP(E16,'All Products'!D:D,'All Products'!J:J,FALSE)</f>
        <v>Sourced</v>
      </c>
      <c r="Q16" s="266">
        <f>_xlfn.XLOOKUP(E16,'All Products'!D:D,'All Products'!K:K,FALSE)</f>
        <v>810673012428</v>
      </c>
      <c r="R16" s="266" t="str">
        <f>_xlfn.XLOOKUP(E16,'All Products'!D:D,'All Products'!L:L,FALSE)</f>
        <v>-</v>
      </c>
      <c r="S16" s="266">
        <f>_xlfn.XLOOKUP(E16,'All Products'!D:D,'All Products'!M:M,FALSE)</f>
        <v>10810673012425</v>
      </c>
      <c r="T16" s="215">
        <f>_xlfn.XLOOKUP(E16,'All Products'!D:D,'All Products'!N:N,FALSE)</f>
        <v>7.0999999999999994E-2</v>
      </c>
    </row>
    <row r="17" spans="1:22">
      <c r="A17" s="101" t="str">
        <f>IF(K17&gt;0,COUNT($A$8:A16)
+COUNT('DWV PVC'!$A$9:$A$316)
+COUNT('DWV ABS'!$A$8:$A$116)
+COUNT('PVC SCH40'!$A$8:$A$424)
+COUNT('PVC SCH40 LD'!$A$8:$A$21)
+COUNT('Pool &amp; SPA Sweep Elbows'!$A$8:$A$11)
+COUNT('Pool &amp; SPA Pipe Extender'!$A$8:$A$10)
+COUNT('PVC SCH80'!$A$8:$A$249)
+COUNT('PVC SCH80 Flange'!$A$8:$A$48)
+COUNT('PVC SCH80 LD Flange'!$A$8:$A$16)+1,"")</f>
        <v/>
      </c>
      <c r="B17" s="646"/>
      <c r="C17" s="647"/>
      <c r="D17" s="426" t="str">
        <f>_xlfn.XLOOKUP(E17,'All Products'!D:D,'All Products'!C:C,FALSE)</f>
        <v>4101-101</v>
      </c>
      <c r="E17" s="6">
        <v>300005822</v>
      </c>
      <c r="F17" s="427" t="str">
        <f>_xlfn.XLOOKUP(E17,'All Products'!D:D,'All Products'!E:E,FALSE)</f>
        <v>3/4 X 3/4 X 1/2" CPVC REDUCTION TEE ASTM</v>
      </c>
      <c r="G17" s="428">
        <f>_xlfn.XLOOKUP(E17,'All Products'!D:D,'All Products'!F:F,FALSE)</f>
        <v>100</v>
      </c>
      <c r="H17" s="428" t="str">
        <f>_xlfn.XLOOKUP(E17,'All Products'!D:D,'All Products'!G:G,FALSE)</f>
        <v>-</v>
      </c>
      <c r="I17" s="269" t="str">
        <f>_xlfn.XLOOKUP(E17,'All Products'!D:D,'All Products'!H:H,FALSE)</f>
        <v>Quote Required</v>
      </c>
      <c r="J17" s="129">
        <f>IFERROR(ROUNDUP(I17*Order_Quote!$L$11,2),0)</f>
        <v>0</v>
      </c>
      <c r="K17" s="71"/>
      <c r="L17" s="48"/>
      <c r="M17" s="46">
        <f t="shared" si="0"/>
        <v>0</v>
      </c>
      <c r="O17" s="215" t="str">
        <f>_xlfn.XLOOKUP(E17,'All Products'!D:D,'All Products'!I:I,FALSE)</f>
        <v>3 weeks</v>
      </c>
      <c r="P17" s="215" t="str">
        <f>_xlfn.XLOOKUP(E17,'All Products'!D:D,'All Products'!J:J,FALSE)</f>
        <v>Sourced</v>
      </c>
      <c r="Q17" s="266" t="str">
        <f>_xlfn.XLOOKUP(E17,'All Products'!D:D,'All Products'!K:K,FALSE)</f>
        <v>-</v>
      </c>
      <c r="R17" s="266" t="str">
        <f>_xlfn.XLOOKUP(E17,'All Products'!D:D,'All Products'!L:L,FALSE)</f>
        <v>-</v>
      </c>
      <c r="S17" s="266" t="str">
        <f>_xlfn.XLOOKUP(E17,'All Products'!D:D,'All Products'!M:M,FALSE)</f>
        <v>-</v>
      </c>
      <c r="T17" s="215">
        <f>_xlfn.XLOOKUP(E17,'All Products'!D:D,'All Products'!N:N,FALSE)</f>
        <v>7.0999999999999994E-2</v>
      </c>
    </row>
    <row r="18" spans="1:22">
      <c r="A18" s="101" t="str">
        <f>IF(K18&gt;0,COUNT($A$8:A17)
+COUNT('DWV PVC'!$A$9:$A$316)
+COUNT('DWV ABS'!$A$8:$A$116)
+COUNT('PVC SCH40'!$A$8:$A$424)
+COUNT('PVC SCH40 LD'!$A$8:$A$21)
+COUNT('Pool &amp; SPA Sweep Elbows'!$A$8:$A$11)
+COUNT('Pool &amp; SPA Pipe Extender'!$A$8:$A$10)
+COUNT('PVC SCH80'!$A$8:$A$249)
+COUNT('PVC SCH80 Flange'!$A$8:$A$48)
+COUNT('PVC SCH80 LD Flange'!$A$8:$A$16)+1,"")</f>
        <v/>
      </c>
      <c r="B18" s="646"/>
      <c r="C18" s="647"/>
      <c r="D18" s="426" t="str">
        <f>_xlfn.XLOOKUP(E18,'All Products'!D:D,'All Products'!C:C,FALSE)</f>
        <v>4101-130</v>
      </c>
      <c r="E18" s="6">
        <v>300005806</v>
      </c>
      <c r="F18" s="427" t="str">
        <f>_xlfn.XLOOKUP(E18,'All Products'!D:D,'All Products'!E:E,FALSE)</f>
        <v>1 X 1 X 1/2 CPVC REDUCTION TEE ASTM</v>
      </c>
      <c r="G18" s="428">
        <f>_xlfn.XLOOKUP(E18,'All Products'!D:D,'All Products'!F:F,FALSE)</f>
        <v>100</v>
      </c>
      <c r="H18" s="428" t="str">
        <f>_xlfn.XLOOKUP(E18,'All Products'!D:D,'All Products'!G:G,FALSE)</f>
        <v>-</v>
      </c>
      <c r="I18" s="269" t="str">
        <f>_xlfn.XLOOKUP(E18,'All Products'!D:D,'All Products'!H:H,FALSE)</f>
        <v>Quote Required</v>
      </c>
      <c r="J18" s="129">
        <f>IFERROR(ROUNDUP(I18*Order_Quote!$L$11,2),0)</f>
        <v>0</v>
      </c>
      <c r="K18" s="71"/>
      <c r="L18" s="48"/>
      <c r="M18" s="46">
        <f t="shared" si="0"/>
        <v>0</v>
      </c>
      <c r="O18" s="215" t="str">
        <f>_xlfn.XLOOKUP(E18,'All Products'!D:D,'All Products'!I:I,FALSE)</f>
        <v>3 weeks</v>
      </c>
      <c r="P18" s="215" t="str">
        <f>_xlfn.XLOOKUP(E18,'All Products'!D:D,'All Products'!J:J,FALSE)</f>
        <v>Sourced</v>
      </c>
      <c r="Q18" s="266" t="str">
        <f>_xlfn.XLOOKUP(E18,'All Products'!D:D,'All Products'!K:K,FALSE)</f>
        <v>-</v>
      </c>
      <c r="R18" s="266" t="str">
        <f>_xlfn.XLOOKUP(E18,'All Products'!D:D,'All Products'!L:L,FALSE)</f>
        <v>-</v>
      </c>
      <c r="S18" s="266" t="str">
        <f>_xlfn.XLOOKUP(E18,'All Products'!D:D,'All Products'!M:M,FALSE)</f>
        <v>-</v>
      </c>
      <c r="T18" s="215">
        <f>_xlfn.XLOOKUP(E18,'All Products'!D:D,'All Products'!N:N,FALSE)</f>
        <v>9.9000000000000005E-2</v>
      </c>
    </row>
    <row r="19" spans="1:22" ht="15" customHeight="1">
      <c r="A19" s="101" t="str">
        <f>IF(K19&gt;0,COUNT($A$8:A18)
+COUNT('DWV PVC'!$A$9:$A$316)
+COUNT('DWV ABS'!$A$8:$A$116)
+COUNT('PVC SCH40'!$A$8:$A$424)
+COUNT('PVC SCH40 LD'!$A$8:$A$21)
+COUNT('Pool &amp; SPA Sweep Elbows'!$A$8:$A$11)
+COUNT('Pool &amp; SPA Pipe Extender'!$A$8:$A$10)
+COUNT('PVC SCH80'!$A$8:$A$249)
+COUNT('PVC SCH80 Flange'!$A$8:$A$48)
+COUNT('PVC SCH80 LD Flange'!$A$8:$A$16)+1,"")</f>
        <v/>
      </c>
      <c r="B19" s="646"/>
      <c r="C19" s="647"/>
      <c r="D19" s="426" t="str">
        <f>_xlfn.XLOOKUP(E19,'All Products'!D:D,'All Products'!C:C,FALSE)</f>
        <v>4101-131</v>
      </c>
      <c r="E19" s="6">
        <v>300005807</v>
      </c>
      <c r="F19" s="427" t="str">
        <f>_xlfn.XLOOKUP(E19,'All Products'!D:D,'All Products'!E:E,FALSE)</f>
        <v>1 X 1 X 3/4 CPVC REDUCTION TEE ASTM</v>
      </c>
      <c r="G19" s="428">
        <f>_xlfn.XLOOKUP(E19,'All Products'!D:D,'All Products'!F:F,FALSE)</f>
        <v>100</v>
      </c>
      <c r="H19" s="428" t="str">
        <f>_xlfn.XLOOKUP(E19,'All Products'!D:D,'All Products'!G:G,FALSE)</f>
        <v>-</v>
      </c>
      <c r="I19" s="269" t="str">
        <f>_xlfn.XLOOKUP(E19,'All Products'!D:D,'All Products'!H:H,FALSE)</f>
        <v>Quote Required</v>
      </c>
      <c r="J19" s="129">
        <f>IFERROR(ROUNDUP(I19*Order_Quote!$L$11,2),0)</f>
        <v>0</v>
      </c>
      <c r="K19" s="71"/>
      <c r="L19" s="48"/>
      <c r="M19" s="50">
        <f t="shared" si="0"/>
        <v>0</v>
      </c>
      <c r="O19" s="215" t="str">
        <f>_xlfn.XLOOKUP(E19,'All Products'!D:D,'All Products'!I:I,FALSE)</f>
        <v>3 weeks</v>
      </c>
      <c r="P19" s="215" t="str">
        <f>_xlfn.XLOOKUP(E19,'All Products'!D:D,'All Products'!J:J,FALSE)</f>
        <v>Sourced</v>
      </c>
      <c r="Q19" s="266" t="str">
        <f>_xlfn.XLOOKUP(E19,'All Products'!D:D,'All Products'!K:K,FALSE)</f>
        <v>-</v>
      </c>
      <c r="R19" s="266" t="str">
        <f>_xlfn.XLOOKUP(E19,'All Products'!D:D,'All Products'!L:L,FALSE)</f>
        <v>-</v>
      </c>
      <c r="S19" s="266" t="str">
        <f>_xlfn.XLOOKUP(E19,'All Products'!D:D,'All Products'!M:M,FALSE)</f>
        <v>-</v>
      </c>
      <c r="T19" s="215">
        <f>_xlfn.XLOOKUP(E19,'All Products'!D:D,'All Products'!N:N,FALSE)</f>
        <v>0.11899999999999999</v>
      </c>
    </row>
    <row r="20" spans="1:22" ht="15" customHeight="1">
      <c r="A20" s="101" t="str">
        <f>IF(K20&gt;0,COUNT($A$8:A19)
+COUNT('DWV PVC'!$A$9:$A$316)
+COUNT('DWV ABS'!$A$8:$A$116)
+COUNT('PVC SCH40'!$A$8:$A$424)
+COUNT('PVC SCH40 LD'!$A$8:$A$21)
+COUNT('Pool &amp; SPA Sweep Elbows'!$A$8:$A$11)
+COUNT('Pool &amp; SPA Pipe Extender'!$A$8:$A$10)
+COUNT('PVC SCH80'!$A$8:$A$249)
+COUNT('PVC SCH80 Flange'!$A$8:$A$48)
+COUNT('PVC SCH80 LD Flange'!$A$8:$A$16)+1,"")</f>
        <v/>
      </c>
      <c r="B20" s="646"/>
      <c r="C20" s="647"/>
      <c r="D20" s="426" t="str">
        <f>_xlfn.XLOOKUP(E20,'All Products'!D:D,'All Products'!C:C,FALSE)</f>
        <v>4101-167</v>
      </c>
      <c r="E20" s="6">
        <v>300005814</v>
      </c>
      <c r="F20" s="427" t="str">
        <f>_xlfn.XLOOKUP(E20,'All Products'!D:D,'All Products'!E:E,FALSE)</f>
        <v>1.1/4 X 1.1/4 X 3/4 CPVC REDUCTION TEE ASTM</v>
      </c>
      <c r="G20" s="428">
        <f>_xlfn.XLOOKUP(E20,'All Products'!D:D,'All Products'!F:F,FALSE)</f>
        <v>100</v>
      </c>
      <c r="H20" s="428" t="str">
        <f>_xlfn.XLOOKUP(E20,'All Products'!D:D,'All Products'!G:G,FALSE)</f>
        <v>-</v>
      </c>
      <c r="I20" s="269" t="str">
        <f>_xlfn.XLOOKUP(E20,'All Products'!D:D,'All Products'!H:H,FALSE)</f>
        <v>Quote Required</v>
      </c>
      <c r="J20" s="129">
        <f>IFERROR(ROUNDUP(I20*Order_Quote!$L$11,2),0)</f>
        <v>0</v>
      </c>
      <c r="K20" s="71"/>
      <c r="L20" s="48"/>
      <c r="M20" s="50">
        <f t="shared" si="0"/>
        <v>0</v>
      </c>
      <c r="O20" s="215" t="str">
        <f>_xlfn.XLOOKUP(E20,'All Products'!D:D,'All Products'!I:I,FALSE)</f>
        <v>3 weeks</v>
      </c>
      <c r="P20" s="215" t="str">
        <f>_xlfn.XLOOKUP(E20,'All Products'!D:D,'All Products'!J:J,FALSE)</f>
        <v>Sourced</v>
      </c>
      <c r="Q20" s="266" t="str">
        <f>_xlfn.XLOOKUP(E20,'All Products'!D:D,'All Products'!K:K,FALSE)</f>
        <v>-</v>
      </c>
      <c r="R20" s="266" t="str">
        <f>_xlfn.XLOOKUP(E20,'All Products'!D:D,'All Products'!L:L,FALSE)</f>
        <v>-</v>
      </c>
      <c r="S20" s="266" t="str">
        <f>_xlfn.XLOOKUP(E20,'All Products'!D:D,'All Products'!M:M,FALSE)</f>
        <v>-</v>
      </c>
      <c r="T20" s="215">
        <f>_xlfn.XLOOKUP(E20,'All Products'!D:D,'All Products'!N:N,FALSE)</f>
        <v>0.16800000000000001</v>
      </c>
    </row>
    <row r="21" spans="1:22" ht="15" customHeight="1">
      <c r="A21" s="101" t="str">
        <f>IF(K21&gt;0,COUNT($A$8:A20)
+COUNT('DWV PVC'!$A$9:$A$316)
+COUNT('DWV ABS'!$A$8:$A$116)
+COUNT('PVC SCH40'!$A$8:$A$424)
+COUNT('PVC SCH40 LD'!$A$8:$A$21)
+COUNT('Pool &amp; SPA Sweep Elbows'!$A$8:$A$11)
+COUNT('Pool &amp; SPA Pipe Extender'!$A$8:$A$10)
+COUNT('PVC SCH80'!$A$8:$A$249)
+COUNT('PVC SCH80 Flange'!$A$8:$A$48)
+COUNT('PVC SCH80 LD Flange'!$A$8:$A$16)+1,"")</f>
        <v/>
      </c>
      <c r="B21" s="646"/>
      <c r="C21" s="647"/>
      <c r="D21" s="426" t="str">
        <f>_xlfn.XLOOKUP(E21,'All Products'!D:D,'All Products'!C:C,FALSE)</f>
        <v>4101-210</v>
      </c>
      <c r="E21" s="6">
        <v>300005815</v>
      </c>
      <c r="F21" s="427" t="str">
        <f>_xlfn.XLOOKUP(E21,'All Products'!D:D,'All Products'!E:E,FALSE)</f>
        <v>1.1/2 X 1.1/2 X 3/4 CPVC REDUCTION TEE ASTM</v>
      </c>
      <c r="G21" s="428">
        <f>_xlfn.XLOOKUP(E21,'All Products'!D:D,'All Products'!F:F,FALSE)</f>
        <v>100</v>
      </c>
      <c r="H21" s="428" t="str">
        <f>_xlfn.XLOOKUP(E21,'All Products'!D:D,'All Products'!G:G,FALSE)</f>
        <v>-</v>
      </c>
      <c r="I21" s="269" t="str">
        <f>_xlfn.XLOOKUP(E21,'All Products'!D:D,'All Products'!H:H,FALSE)</f>
        <v>Quote Required</v>
      </c>
      <c r="J21" s="129">
        <f>IFERROR(ROUNDUP(I21*Order_Quote!$L$11,2),0)</f>
        <v>0</v>
      </c>
      <c r="K21" s="71"/>
      <c r="L21" s="48"/>
      <c r="M21" s="50">
        <f t="shared" si="0"/>
        <v>0</v>
      </c>
      <c r="O21" s="215" t="str">
        <f>_xlfn.XLOOKUP(E21,'All Products'!D:D,'All Products'!I:I,FALSE)</f>
        <v>3 weeks</v>
      </c>
      <c r="P21" s="215" t="str">
        <f>_xlfn.XLOOKUP(E21,'All Products'!D:D,'All Products'!J:J,FALSE)</f>
        <v>Sourced</v>
      </c>
      <c r="Q21" s="266" t="str">
        <f>_xlfn.XLOOKUP(E21,'All Products'!D:D,'All Products'!K:K,FALSE)</f>
        <v>-</v>
      </c>
      <c r="R21" s="266" t="str">
        <f>_xlfn.XLOOKUP(E21,'All Products'!D:D,'All Products'!L:L,FALSE)</f>
        <v>-</v>
      </c>
      <c r="S21" s="266" t="str">
        <f>_xlfn.XLOOKUP(E21,'All Products'!D:D,'All Products'!M:M,FALSE)</f>
        <v>-</v>
      </c>
      <c r="T21" s="215">
        <f>_xlfn.XLOOKUP(E21,'All Products'!D:D,'All Products'!N:N,FALSE)</f>
        <v>0.24299999999999999</v>
      </c>
    </row>
    <row r="22" spans="1:22" ht="15" customHeight="1" thickBot="1">
      <c r="A22" s="101" t="str">
        <f>IF(K22&gt;0,COUNT($A$8:A21)
+COUNT('DWV PVC'!$A$9:$A$316)
+COUNT('DWV ABS'!$A$8:$A$116)
+COUNT('PVC SCH40'!$A$8:$A$424)
+COUNT('PVC SCH40 LD'!$A$8:$A$21)
+COUNT('Pool &amp; SPA Sweep Elbows'!$A$8:$A$11)
+COUNT('Pool &amp; SPA Pipe Extender'!$A$8:$A$10)
+COUNT('PVC SCH80'!$A$8:$A$249)
+COUNT('PVC SCH80 Flange'!$A$8:$A$48)
+COUNT('PVC SCH80 LD Flange'!$A$8:$A$16)+1,"")</f>
        <v/>
      </c>
      <c r="B22" s="652"/>
      <c r="C22" s="653"/>
      <c r="D22" s="426" t="str">
        <f>_xlfn.XLOOKUP(E22,'All Products'!D:D,'All Products'!C:C,FALSE)</f>
        <v>4101-248</v>
      </c>
      <c r="E22" s="6">
        <v>300005808</v>
      </c>
      <c r="F22" s="427" t="str">
        <f>_xlfn.XLOOKUP(E22,'All Products'!D:D,'All Products'!E:E,FALSE)</f>
        <v>2 X 2 X 3/4 CPVC REDUCTION TEE ASTM</v>
      </c>
      <c r="G22" s="428">
        <f>_xlfn.XLOOKUP(E22,'All Products'!D:D,'All Products'!F:F,FALSE)</f>
        <v>50</v>
      </c>
      <c r="H22" s="428" t="str">
        <f>_xlfn.XLOOKUP(E22,'All Products'!D:D,'All Products'!G:G,FALSE)</f>
        <v>-</v>
      </c>
      <c r="I22" s="269" t="str">
        <f>_xlfn.XLOOKUP(E22,'All Products'!D:D,'All Products'!H:H,FALSE)</f>
        <v>Quote Required</v>
      </c>
      <c r="J22" s="129">
        <f>IFERROR(ROUNDUP(I22*Order_Quote!$L$11,2),0)</f>
        <v>0</v>
      </c>
      <c r="K22" s="71"/>
      <c r="L22" s="48"/>
      <c r="M22" s="46">
        <f t="shared" si="0"/>
        <v>0</v>
      </c>
      <c r="O22" s="215" t="str">
        <f>_xlfn.XLOOKUP(E22,'All Products'!D:D,'All Products'!I:I,FALSE)</f>
        <v>3 weeks</v>
      </c>
      <c r="P22" s="215" t="str">
        <f>_xlfn.XLOOKUP(E22,'All Products'!D:D,'All Products'!J:J,FALSE)</f>
        <v>Sourced</v>
      </c>
      <c r="Q22" s="266" t="str">
        <f>_xlfn.XLOOKUP(E22,'All Products'!D:D,'All Products'!K:K,FALSE)</f>
        <v>-</v>
      </c>
      <c r="R22" s="266" t="str">
        <f>_xlfn.XLOOKUP(E22,'All Products'!D:D,'All Products'!L:L,FALSE)</f>
        <v>-</v>
      </c>
      <c r="S22" s="266" t="str">
        <f>_xlfn.XLOOKUP(E22,'All Products'!D:D,'All Products'!M:M,FALSE)</f>
        <v>-</v>
      </c>
      <c r="T22" s="215">
        <f>_xlfn.XLOOKUP(E22,'All Products'!D:D,'All Products'!N:N,FALSE)</f>
        <v>0.47199999999999998</v>
      </c>
    </row>
    <row r="23" spans="1:22" s="17" customFormat="1" ht="16.2" thickBot="1">
      <c r="A23" s="101" t="str">
        <f>IF(K23&gt;0,COUNT($A$8:A22)
+COUNT('DWV PVC'!$A$9:$A$316)
+COUNT('DWV ABS'!$A$8:$A$116)
+COUNT('PVC SCH40'!$A$8:$A$424)
+COUNT('PVC SCH40 LD'!$A$8:$A$21)
+COUNT('Pool &amp; SPA Sweep Elbows'!$A$8:$A$11)
+COUNT('Pool &amp; SPA Pipe Extender'!$A$8:$A$10)
+COUNT('PVC SCH80'!$A$8:$A$249)
+COUNT('PVC SCH80 Flange'!$A$8:$A$48)
+COUNT('PVC SCH80 LD Flange'!$A$8:$A$16)+1,"")</f>
        <v/>
      </c>
      <c r="B23" s="446" t="s">
        <v>5831</v>
      </c>
      <c r="C23" s="151"/>
      <c r="D23" s="151"/>
      <c r="E23" s="459"/>
      <c r="F23" s="151"/>
      <c r="G23" s="468"/>
      <c r="H23" s="151"/>
      <c r="I23" s="472"/>
      <c r="J23" s="468"/>
      <c r="K23" s="477"/>
      <c r="L23" s="238"/>
      <c r="M23" s="476"/>
      <c r="O23" s="475"/>
      <c r="P23" s="145"/>
      <c r="Q23" s="492"/>
      <c r="R23" s="493"/>
      <c r="S23" s="493"/>
      <c r="T23" s="479"/>
      <c r="U23" s="459"/>
      <c r="V23" s="489"/>
    </row>
    <row r="24" spans="1:22" ht="15" customHeight="1">
      <c r="A24" s="101" t="str">
        <f>IF(K24&gt;0,COUNT($A$8:A23)
+COUNT('DWV PVC'!$A$9:$A$316)
+COUNT('DWV ABS'!$A$8:$A$116)
+COUNT('PVC SCH40'!$A$8:$A$424)
+COUNT('PVC SCH40 LD'!$A$8:$A$21)
+COUNT('Pool &amp; SPA Sweep Elbows'!$A$8:$A$11)
+COUNT('Pool &amp; SPA Pipe Extender'!$A$8:$A$10)
+COUNT('PVC SCH80'!$A$8:$A$249)
+COUNT('PVC SCH80 Flange'!$A$8:$A$48)
+COUNT('PVC SCH80 LD Flange'!$A$8:$A$16)+1,"")</f>
        <v/>
      </c>
      <c r="B24" s="644"/>
      <c r="C24" s="645"/>
      <c r="D24" s="426" t="str">
        <f>_xlfn.XLOOKUP(E24,'All Products'!D:D,'All Products'!C:C,FALSE)</f>
        <v>4106-005</v>
      </c>
      <c r="E24" s="6">
        <v>300006060</v>
      </c>
      <c r="F24" s="427" t="str">
        <f>_xlfn.XLOOKUP(E24,'All Products'!D:D,'All Products'!E:E,FALSE)</f>
        <v>90º CPVC ELBOW ASTM 1/2"</v>
      </c>
      <c r="G24" s="428">
        <f>_xlfn.XLOOKUP(E24,'All Products'!D:D,'All Products'!F:F,FALSE)</f>
        <v>500</v>
      </c>
      <c r="H24" s="428" t="str">
        <f>_xlfn.XLOOKUP(E24,'All Products'!D:D,'All Products'!G:G,FALSE)</f>
        <v>-</v>
      </c>
      <c r="I24" s="269" t="str">
        <f>_xlfn.XLOOKUP(E24,'All Products'!D:D,'All Products'!H:H,FALSE)</f>
        <v>Quote Required</v>
      </c>
      <c r="J24" s="129">
        <f>IFERROR(ROUNDUP(I24*Order_Quote!$L$11,2),0)</f>
        <v>0</v>
      </c>
      <c r="K24" s="71"/>
      <c r="L24" s="48"/>
      <c r="M24" s="46">
        <f t="shared" si="0"/>
        <v>0</v>
      </c>
      <c r="O24" s="215" t="str">
        <f>_xlfn.XLOOKUP(E24,'All Products'!D:D,'All Products'!I:I,FALSE)</f>
        <v>3 weeks</v>
      </c>
      <c r="P24" s="215" t="str">
        <f>_xlfn.XLOOKUP(E24,'All Products'!D:D,'All Products'!J:J,FALSE)</f>
        <v>Sourced</v>
      </c>
      <c r="Q24" s="266">
        <f>_xlfn.XLOOKUP(E24,'All Products'!D:D,'All Products'!K:K,FALSE)</f>
        <v>810673012381</v>
      </c>
      <c r="R24" s="266" t="str">
        <f>_xlfn.XLOOKUP(E24,'All Products'!D:D,'All Products'!L:L,FALSE)</f>
        <v>-</v>
      </c>
      <c r="S24" s="266">
        <f>_xlfn.XLOOKUP(E24,'All Products'!D:D,'All Products'!M:M,FALSE)</f>
        <v>10810673012388</v>
      </c>
      <c r="T24" s="215">
        <f>_xlfn.XLOOKUP(E24,'All Products'!D:D,'All Products'!N:N,FALSE)</f>
        <v>2.9000000000000001E-2</v>
      </c>
    </row>
    <row r="25" spans="1:22" ht="15" customHeight="1">
      <c r="A25" s="101" t="str">
        <f>IF(K25&gt;0,COUNT($A$8:A24)
+COUNT('DWV PVC'!$A$9:$A$316)
+COUNT('DWV ABS'!$A$8:$A$116)
+COUNT('PVC SCH40'!$A$8:$A$424)
+COUNT('PVC SCH40 LD'!$A$8:$A$21)
+COUNT('Pool &amp; SPA Sweep Elbows'!$A$8:$A$11)
+COUNT('Pool &amp; SPA Pipe Extender'!$A$8:$A$10)
+COUNT('PVC SCH80'!$A$8:$A$249)
+COUNT('PVC SCH80 Flange'!$A$8:$A$48)
+COUNT('PVC SCH80 LD Flange'!$A$8:$A$16)+1,"")</f>
        <v/>
      </c>
      <c r="B25" s="646"/>
      <c r="C25" s="647"/>
      <c r="D25" s="426" t="str">
        <f>_xlfn.XLOOKUP(E25,'All Products'!D:D,'All Products'!C:C,FALSE)</f>
        <v>4106-007</v>
      </c>
      <c r="E25" s="6">
        <v>300006059</v>
      </c>
      <c r="F25" s="427" t="str">
        <f>_xlfn.XLOOKUP(E25,'All Products'!D:D,'All Products'!E:E,FALSE)</f>
        <v>90º CPVC ELBOW ASTM 3/4"</v>
      </c>
      <c r="G25" s="428">
        <f>_xlfn.XLOOKUP(E25,'All Products'!D:D,'All Products'!F:F,FALSE)</f>
        <v>250</v>
      </c>
      <c r="H25" s="428" t="str">
        <f>_xlfn.XLOOKUP(E25,'All Products'!D:D,'All Products'!G:G,FALSE)</f>
        <v>-</v>
      </c>
      <c r="I25" s="269" t="str">
        <f>_xlfn.XLOOKUP(E25,'All Products'!D:D,'All Products'!H:H,FALSE)</f>
        <v>Quote Required</v>
      </c>
      <c r="J25" s="129">
        <f>IFERROR(ROUNDUP(I25*Order_Quote!$L$11,2),0)</f>
        <v>0</v>
      </c>
      <c r="K25" s="71"/>
      <c r="L25" s="48"/>
      <c r="M25" s="50">
        <f t="shared" si="0"/>
        <v>0</v>
      </c>
      <c r="O25" s="215" t="str">
        <f>_xlfn.XLOOKUP(E25,'All Products'!D:D,'All Products'!I:I,FALSE)</f>
        <v>3 weeks</v>
      </c>
      <c r="P25" s="215" t="str">
        <f>_xlfn.XLOOKUP(E25,'All Products'!D:D,'All Products'!J:J,FALSE)</f>
        <v>Sourced</v>
      </c>
      <c r="Q25" s="266">
        <f>_xlfn.XLOOKUP(E25,'All Products'!D:D,'All Products'!K:K,FALSE)</f>
        <v>810673012398</v>
      </c>
      <c r="R25" s="266" t="str">
        <f>_xlfn.XLOOKUP(E25,'All Products'!D:D,'All Products'!L:L,FALSE)</f>
        <v>-</v>
      </c>
      <c r="S25" s="266">
        <f>_xlfn.XLOOKUP(E25,'All Products'!D:D,'All Products'!M:M,FALSE)</f>
        <v>10810673012395</v>
      </c>
      <c r="T25" s="215">
        <f>_xlfn.XLOOKUP(E25,'All Products'!D:D,'All Products'!N:N,FALSE)</f>
        <v>5.7000000000000002E-2</v>
      </c>
    </row>
    <row r="26" spans="1:22" ht="15" customHeight="1">
      <c r="A26" s="101" t="str">
        <f>IF(K26&gt;0,COUNT($A$8:A25)
+COUNT('DWV PVC'!$A$9:$A$316)
+COUNT('DWV ABS'!$A$8:$A$116)
+COUNT('PVC SCH40'!$A$8:$A$424)
+COUNT('PVC SCH40 LD'!$A$8:$A$21)
+COUNT('Pool &amp; SPA Sweep Elbows'!$A$8:$A$11)
+COUNT('Pool &amp; SPA Pipe Extender'!$A$8:$A$10)
+COUNT('PVC SCH80'!$A$8:$A$249)
+COUNT('PVC SCH80 Flange'!$A$8:$A$48)
+COUNT('PVC SCH80 LD Flange'!$A$8:$A$16)+1,"")</f>
        <v/>
      </c>
      <c r="B26" s="646"/>
      <c r="C26" s="647"/>
      <c r="D26" s="426" t="str">
        <f>_xlfn.XLOOKUP(E26,'All Products'!D:D,'All Products'!C:C,FALSE)</f>
        <v>4106-010</v>
      </c>
      <c r="E26" s="6">
        <v>300005793</v>
      </c>
      <c r="F26" s="427" t="str">
        <f>_xlfn.XLOOKUP(E26,'All Products'!D:D,'All Products'!E:E,FALSE)</f>
        <v>90º CPVC ELBOW ASTM 1"</v>
      </c>
      <c r="G26" s="428">
        <f>_xlfn.XLOOKUP(E26,'All Products'!D:D,'All Products'!F:F,FALSE)</f>
        <v>100</v>
      </c>
      <c r="H26" s="428" t="str">
        <f>_xlfn.XLOOKUP(E26,'All Products'!D:D,'All Products'!G:G,FALSE)</f>
        <v>-</v>
      </c>
      <c r="I26" s="269" t="str">
        <f>_xlfn.XLOOKUP(E26,'All Products'!D:D,'All Products'!H:H,FALSE)</f>
        <v>Quote Required</v>
      </c>
      <c r="J26" s="129">
        <f>IFERROR(ROUNDUP(I26*Order_Quote!$L$11,2),0)</f>
        <v>0</v>
      </c>
      <c r="K26" s="71"/>
      <c r="L26" s="48"/>
      <c r="M26" s="46">
        <f t="shared" si="0"/>
        <v>0</v>
      </c>
      <c r="O26" s="215" t="str">
        <f>_xlfn.XLOOKUP(E26,'All Products'!D:D,'All Products'!I:I,FALSE)</f>
        <v>3 weeks</v>
      </c>
      <c r="P26" s="215" t="str">
        <f>_xlfn.XLOOKUP(E26,'All Products'!D:D,'All Products'!J:J,FALSE)</f>
        <v>Sourced</v>
      </c>
      <c r="Q26" s="266">
        <f>_xlfn.XLOOKUP(E26,'All Products'!D:D,'All Products'!K:K,FALSE)</f>
        <v>816842023615</v>
      </c>
      <c r="R26" s="266" t="str">
        <f>_xlfn.XLOOKUP(E26,'All Products'!D:D,'All Products'!L:L,FALSE)</f>
        <v>-</v>
      </c>
      <c r="S26" s="266" t="str">
        <f>_xlfn.XLOOKUP(E26,'All Products'!D:D,'All Products'!M:M,FALSE)</f>
        <v>-</v>
      </c>
      <c r="T26" s="215">
        <f>_xlfn.XLOOKUP(E26,'All Products'!D:D,'All Products'!N:N,FALSE)</f>
        <v>0.108</v>
      </c>
    </row>
    <row r="27" spans="1:22" ht="15" customHeight="1">
      <c r="A27" s="101" t="str">
        <f>IF(K27&gt;0,COUNT($A$8:A26)
+COUNT('DWV PVC'!$A$9:$A$316)
+COUNT('DWV ABS'!$A$8:$A$116)
+COUNT('PVC SCH40'!$A$8:$A$424)
+COUNT('PVC SCH40 LD'!$A$8:$A$21)
+COUNT('Pool &amp; SPA Sweep Elbows'!$A$8:$A$11)
+COUNT('Pool &amp; SPA Pipe Extender'!$A$8:$A$10)
+COUNT('PVC SCH80'!$A$8:$A$249)
+COUNT('PVC SCH80 Flange'!$A$8:$A$48)
+COUNT('PVC SCH80 LD Flange'!$A$8:$A$16)+1,"")</f>
        <v/>
      </c>
      <c r="B27" s="646"/>
      <c r="C27" s="647"/>
      <c r="D27" s="426" t="str">
        <f>_xlfn.XLOOKUP(E27,'All Products'!D:D,'All Products'!C:C,FALSE)</f>
        <v>4106-012</v>
      </c>
      <c r="E27" s="6">
        <v>300005800</v>
      </c>
      <c r="F27" s="427" t="str">
        <f>_xlfn.XLOOKUP(E27,'All Products'!D:D,'All Products'!E:E,FALSE)</f>
        <v>90º CPVC ELBOW ASTM  1.1/4"</v>
      </c>
      <c r="G27" s="428">
        <f>_xlfn.XLOOKUP(E27,'All Products'!D:D,'All Products'!F:F,FALSE)</f>
        <v>100</v>
      </c>
      <c r="H27" s="428" t="str">
        <f>_xlfn.XLOOKUP(E27,'All Products'!D:D,'All Products'!G:G,FALSE)</f>
        <v>-</v>
      </c>
      <c r="I27" s="269" t="str">
        <f>_xlfn.XLOOKUP(E27,'All Products'!D:D,'All Products'!H:H,FALSE)</f>
        <v>Quote Required</v>
      </c>
      <c r="J27" s="129">
        <f>IFERROR(ROUNDUP(I27*Order_Quote!$L$11,2),0)</f>
        <v>0</v>
      </c>
      <c r="K27" s="71"/>
      <c r="L27" s="48"/>
      <c r="M27" s="46">
        <f t="shared" si="0"/>
        <v>0</v>
      </c>
      <c r="O27" s="215" t="str">
        <f>_xlfn.XLOOKUP(E27,'All Products'!D:D,'All Products'!I:I,FALSE)</f>
        <v>3 weeks</v>
      </c>
      <c r="P27" s="215" t="str">
        <f>_xlfn.XLOOKUP(E27,'All Products'!D:D,'All Products'!J:J,FALSE)</f>
        <v>Sourced</v>
      </c>
      <c r="Q27" s="266">
        <f>_xlfn.XLOOKUP(E27,'All Products'!D:D,'All Products'!K:K,FALSE)</f>
        <v>816842023752</v>
      </c>
      <c r="R27" s="266" t="str">
        <f>_xlfn.XLOOKUP(E27,'All Products'!D:D,'All Products'!L:L,FALSE)</f>
        <v>-</v>
      </c>
      <c r="S27" s="266" t="str">
        <f>_xlfn.XLOOKUP(E27,'All Products'!D:D,'All Products'!M:M,FALSE)</f>
        <v>-</v>
      </c>
      <c r="T27" s="215">
        <f>_xlfn.XLOOKUP(E27,'All Products'!D:D,'All Products'!N:N,FALSE)</f>
        <v>0.17399999999999999</v>
      </c>
    </row>
    <row r="28" spans="1:22" ht="15" customHeight="1">
      <c r="A28" s="101" t="str">
        <f>IF(K28&gt;0,COUNT($A$8:A27)
+COUNT('DWV PVC'!$A$9:$A$316)
+COUNT('DWV ABS'!$A$8:$A$116)
+COUNT('PVC SCH40'!$A$8:$A$424)
+COUNT('PVC SCH40 LD'!$A$8:$A$21)
+COUNT('Pool &amp; SPA Sweep Elbows'!$A$8:$A$11)
+COUNT('Pool &amp; SPA Pipe Extender'!$A$8:$A$10)
+COUNT('PVC SCH80'!$A$8:$A$249)
+COUNT('PVC SCH80 Flange'!$A$8:$A$48)
+COUNT('PVC SCH80 LD Flange'!$A$8:$A$16)+1,"")</f>
        <v/>
      </c>
      <c r="B28" s="646"/>
      <c r="C28" s="647"/>
      <c r="D28" s="426" t="str">
        <f>_xlfn.XLOOKUP(E28,'All Products'!D:D,'All Products'!C:C,FALSE)</f>
        <v>4106-015</v>
      </c>
      <c r="E28" s="6">
        <v>300005801</v>
      </c>
      <c r="F28" s="427" t="str">
        <f>_xlfn.XLOOKUP(E28,'All Products'!D:D,'All Products'!E:E,FALSE)</f>
        <v>90º CPVC ELBOW ASTM  1.1/2"</v>
      </c>
      <c r="G28" s="428">
        <f>_xlfn.XLOOKUP(E28,'All Products'!D:D,'All Products'!F:F,FALSE)</f>
        <v>100</v>
      </c>
      <c r="H28" s="428" t="str">
        <f>_xlfn.XLOOKUP(E28,'All Products'!D:D,'All Products'!G:G,FALSE)</f>
        <v>-</v>
      </c>
      <c r="I28" s="269" t="str">
        <f>_xlfn.XLOOKUP(E28,'All Products'!D:D,'All Products'!H:H,FALSE)</f>
        <v>Quote Required</v>
      </c>
      <c r="J28" s="129">
        <f>IFERROR(ROUNDUP(I28*Order_Quote!$L$11,2),0)</f>
        <v>0</v>
      </c>
      <c r="K28" s="71"/>
      <c r="L28" s="48"/>
      <c r="M28" s="46">
        <f t="shared" si="0"/>
        <v>0</v>
      </c>
      <c r="O28" s="215" t="str">
        <f>_xlfn.XLOOKUP(E28,'All Products'!D:D,'All Products'!I:I,FALSE)</f>
        <v>3 weeks</v>
      </c>
      <c r="P28" s="215" t="str">
        <f>_xlfn.XLOOKUP(E28,'All Products'!D:D,'All Products'!J:J,FALSE)</f>
        <v>Sourced</v>
      </c>
      <c r="Q28" s="266" t="str">
        <f>_xlfn.XLOOKUP(E28,'All Products'!D:D,'All Products'!K:K,FALSE)</f>
        <v>-</v>
      </c>
      <c r="R28" s="266" t="str">
        <f>_xlfn.XLOOKUP(E28,'All Products'!D:D,'All Products'!L:L,FALSE)</f>
        <v>-</v>
      </c>
      <c r="S28" s="266" t="str">
        <f>_xlfn.XLOOKUP(E28,'All Products'!D:D,'All Products'!M:M,FALSE)</f>
        <v>-</v>
      </c>
      <c r="T28" s="215">
        <f>_xlfn.XLOOKUP(E28,'All Products'!D:D,'All Products'!N:N,FALSE)</f>
        <v>0.27600000000000002</v>
      </c>
    </row>
    <row r="29" spans="1:22" ht="15" customHeight="1">
      <c r="A29" s="101" t="str">
        <f>IF(K29&gt;0,COUNT($A$8:A28)
+COUNT('DWV PVC'!$A$9:$A$316)
+COUNT('DWV ABS'!$A$8:$A$116)
+COUNT('PVC SCH40'!$A$8:$A$424)
+COUNT('PVC SCH40 LD'!$A$8:$A$21)
+COUNT('Pool &amp; SPA Sweep Elbows'!$A$8:$A$11)
+COUNT('Pool &amp; SPA Pipe Extender'!$A$8:$A$10)
+COUNT('PVC SCH80'!$A$8:$A$249)
+COUNT('PVC SCH80 Flange'!$A$8:$A$48)
+COUNT('PVC SCH80 LD Flange'!$A$8:$A$16)+1,"")</f>
        <v/>
      </c>
      <c r="B29" s="652"/>
      <c r="C29" s="653"/>
      <c r="D29" s="426" t="str">
        <f>_xlfn.XLOOKUP(E29,'All Products'!D:D,'All Products'!C:C,FALSE)</f>
        <v>4106-020</v>
      </c>
      <c r="E29" s="125">
        <v>300005794</v>
      </c>
      <c r="F29" s="427" t="str">
        <f>_xlfn.XLOOKUP(E29,'All Products'!D:D,'All Products'!E:E,FALSE)</f>
        <v>90º CPVC ELBOW ASTM 2"</v>
      </c>
      <c r="G29" s="428">
        <f>_xlfn.XLOOKUP(E29,'All Products'!D:D,'All Products'!F:F,FALSE)</f>
        <v>50</v>
      </c>
      <c r="H29" s="428" t="str">
        <f>_xlfn.XLOOKUP(E29,'All Products'!D:D,'All Products'!G:G,FALSE)</f>
        <v>-</v>
      </c>
      <c r="I29" s="269" t="str">
        <f>_xlfn.XLOOKUP(E29,'All Products'!D:D,'All Products'!H:H,FALSE)</f>
        <v>Quote Required</v>
      </c>
      <c r="J29" s="129">
        <f>IFERROR(ROUNDUP(I29*Order_Quote!$L$11,2),0)</f>
        <v>0</v>
      </c>
      <c r="K29" s="71"/>
      <c r="L29" s="48"/>
      <c r="M29" s="50">
        <f t="shared" si="0"/>
        <v>0</v>
      </c>
      <c r="O29" s="215" t="str">
        <f>_xlfn.XLOOKUP(E29,'All Products'!D:D,'All Products'!I:I,FALSE)</f>
        <v>3 weeks</v>
      </c>
      <c r="P29" s="215" t="str">
        <f>_xlfn.XLOOKUP(E29,'All Products'!D:D,'All Products'!J:J,FALSE)</f>
        <v>Sourced</v>
      </c>
      <c r="Q29" s="266" t="str">
        <f>_xlfn.XLOOKUP(E29,'All Products'!D:D,'All Products'!K:K,FALSE)</f>
        <v>-</v>
      </c>
      <c r="R29" s="266" t="str">
        <f>_xlfn.XLOOKUP(E29,'All Products'!D:D,'All Products'!L:L,FALSE)</f>
        <v>-</v>
      </c>
      <c r="S29" s="266" t="str">
        <f>_xlfn.XLOOKUP(E29,'All Products'!D:D,'All Products'!M:M,FALSE)</f>
        <v>-</v>
      </c>
      <c r="T29" s="215">
        <f>_xlfn.XLOOKUP(E29,'All Products'!D:D,'All Products'!N:N,FALSE)</f>
        <v>0.6</v>
      </c>
    </row>
    <row r="30" spans="1:22" ht="15" customHeight="1">
      <c r="A30" s="101" t="str">
        <f>IF(K30&gt;0,COUNT($A$8:A29)
+COUNT('DWV PVC'!$A$9:$A$316)
+COUNT('DWV ABS'!$A$8:$A$116)
+COUNT('PVC SCH40'!$A$8:$A$424)
+COUNT('PVC SCH40 LD'!$A$8:$A$21)
+COUNT('Pool &amp; SPA Sweep Elbows'!$A$8:$A$11)
+COUNT('Pool &amp; SPA Pipe Extender'!$A$8:$A$10)
+COUNT('PVC SCH80'!$A$8:$A$249)
+COUNT('PVC SCH80 Flange'!$A$8:$A$48)
+COUNT('PVC SCH80 LD Flange'!$A$8:$A$16)+1,"")</f>
        <v/>
      </c>
      <c r="B30" s="644"/>
      <c r="C30" s="645"/>
      <c r="D30" s="426" t="str">
        <f>_xlfn.XLOOKUP(E30,'All Products'!D:D,'All Products'!C:C,FALSE)</f>
        <v>4109-005</v>
      </c>
      <c r="E30" s="125">
        <v>300005727</v>
      </c>
      <c r="F30" s="427" t="str">
        <f>_xlfn.XLOOKUP(E30,'All Products'!D:D,'All Products'!E:E,FALSE)</f>
        <v>90 CPVC 1/2  STREET ELBOW</v>
      </c>
      <c r="G30" s="428">
        <f>_xlfn.XLOOKUP(E30,'All Products'!D:D,'All Products'!F:F,FALSE)</f>
        <v>500</v>
      </c>
      <c r="H30" s="428" t="str">
        <f>_xlfn.XLOOKUP(E30,'All Products'!D:D,'All Products'!G:G,FALSE)</f>
        <v>-</v>
      </c>
      <c r="I30" s="269" t="str">
        <f>_xlfn.XLOOKUP(E30,'All Products'!D:D,'All Products'!H:H,FALSE)</f>
        <v>Quote Required</v>
      </c>
      <c r="J30" s="129">
        <f>IFERROR(ROUNDUP(I30*Order_Quote!$L$11,2),0)</f>
        <v>0</v>
      </c>
      <c r="K30" s="71"/>
      <c r="L30" s="48"/>
      <c r="M30" s="46">
        <f t="shared" si="0"/>
        <v>0</v>
      </c>
      <c r="O30" s="215" t="str">
        <f>_xlfn.XLOOKUP(E30,'All Products'!D:D,'All Products'!I:I,FALSE)</f>
        <v>3 weeks</v>
      </c>
      <c r="P30" s="215" t="str">
        <f>_xlfn.XLOOKUP(E30,'All Products'!D:D,'All Products'!J:J,FALSE)</f>
        <v>Sourced</v>
      </c>
      <c r="Q30" s="266" t="str">
        <f>_xlfn.XLOOKUP(E30,'All Products'!D:D,'All Products'!K:K,FALSE)</f>
        <v>-</v>
      </c>
      <c r="R30" s="266" t="str">
        <f>_xlfn.XLOOKUP(E30,'All Products'!D:D,'All Products'!L:L,FALSE)</f>
        <v>-</v>
      </c>
      <c r="S30" s="266" t="str">
        <f>_xlfn.XLOOKUP(E30,'All Products'!D:D,'All Products'!M:M,FALSE)</f>
        <v>-</v>
      </c>
      <c r="T30" s="215">
        <f>_xlfn.XLOOKUP(E30,'All Products'!D:D,'All Products'!N:N,FALSE)</f>
        <v>2.9000000000000001E-2</v>
      </c>
    </row>
    <row r="31" spans="1:22" ht="15" customHeight="1">
      <c r="A31" s="101" t="str">
        <f>IF(K31&gt;0,COUNT($A$8:A30)
+COUNT('DWV PVC'!$A$9:$A$316)
+COUNT('DWV ABS'!$A$8:$A$116)
+COUNT('PVC SCH40'!$A$8:$A$424)
+COUNT('PVC SCH40 LD'!$A$8:$A$21)
+COUNT('Pool &amp; SPA Sweep Elbows'!$A$8:$A$11)
+COUNT('Pool &amp; SPA Pipe Extender'!$A$8:$A$10)
+COUNT('PVC SCH80'!$A$8:$A$249)
+COUNT('PVC SCH80 Flange'!$A$8:$A$48)
+COUNT('PVC SCH80 LD Flange'!$A$8:$A$16)+1,"")</f>
        <v/>
      </c>
      <c r="B31" s="646"/>
      <c r="C31" s="647"/>
      <c r="D31" s="426" t="str">
        <f>_xlfn.XLOOKUP(E31,'All Products'!D:D,'All Products'!C:C,FALSE)</f>
        <v>4109-007</v>
      </c>
      <c r="E31" s="125">
        <v>300005724</v>
      </c>
      <c r="F31" s="427" t="str">
        <f>_xlfn.XLOOKUP(E31,'All Products'!D:D,'All Products'!E:E,FALSE)</f>
        <v>90 CPVC 3/4 STREET ELBOW</v>
      </c>
      <c r="G31" s="428">
        <f>_xlfn.XLOOKUP(E31,'All Products'!D:D,'All Products'!F:F,FALSE)</f>
        <v>250</v>
      </c>
      <c r="H31" s="428" t="str">
        <f>_xlfn.XLOOKUP(E31,'All Products'!D:D,'All Products'!G:G,FALSE)</f>
        <v>-</v>
      </c>
      <c r="I31" s="269" t="str">
        <f>_xlfn.XLOOKUP(E31,'All Products'!D:D,'All Products'!H:H,FALSE)</f>
        <v>Quote Required</v>
      </c>
      <c r="J31" s="129">
        <f>IFERROR(ROUNDUP(I31*Order_Quote!$L$11,2),0)</f>
        <v>0</v>
      </c>
      <c r="K31" s="71"/>
      <c r="L31" s="48"/>
      <c r="M31" s="46">
        <f t="shared" si="0"/>
        <v>0</v>
      </c>
      <c r="O31" s="215" t="str">
        <f>_xlfn.XLOOKUP(E31,'All Products'!D:D,'All Products'!I:I,FALSE)</f>
        <v>3 weeks</v>
      </c>
      <c r="P31" s="215" t="str">
        <f>_xlfn.XLOOKUP(E31,'All Products'!D:D,'All Products'!J:J,FALSE)</f>
        <v>Sourced</v>
      </c>
      <c r="Q31" s="266" t="str">
        <f>_xlfn.XLOOKUP(E31,'All Products'!D:D,'All Products'!K:K,FALSE)</f>
        <v>-</v>
      </c>
      <c r="R31" s="266" t="str">
        <f>_xlfn.XLOOKUP(E31,'All Products'!D:D,'All Products'!L:L,FALSE)</f>
        <v>-</v>
      </c>
      <c r="S31" s="266" t="str">
        <f>_xlfn.XLOOKUP(E31,'All Products'!D:D,'All Products'!M:M,FALSE)</f>
        <v>-</v>
      </c>
      <c r="T31" s="215">
        <f>_xlfn.XLOOKUP(E31,'All Products'!D:D,'All Products'!N:N,FALSE)</f>
        <v>5.7000000000000002E-2</v>
      </c>
    </row>
    <row r="32" spans="1:22" ht="15" customHeight="1" thickBot="1">
      <c r="A32" s="101" t="str">
        <f>IF(K32&gt;0,COUNT($A$8:A31)
+COUNT('DWV PVC'!$A$9:$A$316)
+COUNT('DWV ABS'!$A$8:$A$116)
+COUNT('PVC SCH40'!$A$8:$A$424)
+COUNT('PVC SCH40 LD'!$A$8:$A$21)
+COUNT('Pool &amp; SPA Sweep Elbows'!$A$8:$A$11)
+COUNT('Pool &amp; SPA Pipe Extender'!$A$8:$A$10)
+COUNT('PVC SCH80'!$A$8:$A$249)
+COUNT('PVC SCH80 Flange'!$A$8:$A$48)
+COUNT('PVC SCH80 LD Flange'!$A$8:$A$16)+1,"")</f>
        <v/>
      </c>
      <c r="B32" s="652"/>
      <c r="C32" s="653"/>
      <c r="D32" s="426" t="str">
        <f>_xlfn.XLOOKUP(E32,'All Products'!D:D,'All Products'!C:C,FALSE)</f>
        <v>4109-010</v>
      </c>
      <c r="E32" s="125">
        <v>300005719</v>
      </c>
      <c r="F32" s="427" t="str">
        <f>_xlfn.XLOOKUP(E32,'All Products'!D:D,'All Products'!E:E,FALSE)</f>
        <v>90 CPVC 1 STREET ELBOW</v>
      </c>
      <c r="G32" s="428">
        <f>_xlfn.XLOOKUP(E32,'All Products'!D:D,'All Products'!F:F,FALSE)</f>
        <v>100</v>
      </c>
      <c r="H32" s="428" t="str">
        <f>_xlfn.XLOOKUP(E32,'All Products'!D:D,'All Products'!G:G,FALSE)</f>
        <v>-</v>
      </c>
      <c r="I32" s="269" t="str">
        <f>_xlfn.XLOOKUP(E32,'All Products'!D:D,'All Products'!H:H,FALSE)</f>
        <v>Quote Required</v>
      </c>
      <c r="J32" s="129">
        <f>IFERROR(ROUNDUP(I32*Order_Quote!$L$11,2),0)</f>
        <v>0</v>
      </c>
      <c r="K32" s="71"/>
      <c r="L32" s="48"/>
      <c r="M32" s="46">
        <f t="shared" si="0"/>
        <v>0</v>
      </c>
      <c r="O32" s="215" t="str">
        <f>_xlfn.XLOOKUP(E32,'All Products'!D:D,'All Products'!I:I,FALSE)</f>
        <v>3 weeks</v>
      </c>
      <c r="P32" s="215" t="str">
        <f>_xlfn.XLOOKUP(E32,'All Products'!D:D,'All Products'!J:J,FALSE)</f>
        <v>Sourced</v>
      </c>
      <c r="Q32" s="266" t="str">
        <f>_xlfn.XLOOKUP(E32,'All Products'!D:D,'All Products'!K:K,FALSE)</f>
        <v>-</v>
      </c>
      <c r="R32" s="266" t="str">
        <f>_xlfn.XLOOKUP(E32,'All Products'!D:D,'All Products'!L:L,FALSE)</f>
        <v>-</v>
      </c>
      <c r="S32" s="266" t="str">
        <f>_xlfn.XLOOKUP(E32,'All Products'!D:D,'All Products'!M:M,FALSE)</f>
        <v>-</v>
      </c>
      <c r="T32" s="215">
        <f>_xlfn.XLOOKUP(E32,'All Products'!D:D,'All Products'!N:N,FALSE)</f>
        <v>3.6999999999999998E-2</v>
      </c>
    </row>
    <row r="33" spans="1:22" s="17" customFormat="1" ht="16.2" thickBot="1">
      <c r="A33" s="101" t="str">
        <f>IF(K33&gt;0,COUNT($A$8:A32)
+COUNT('DWV PVC'!$A$9:$A$316)
+COUNT('DWV ABS'!$A$8:$A$116)
+COUNT('PVC SCH40'!$A$8:$A$424)
+COUNT('PVC SCH40 LD'!$A$8:$A$21)
+COUNT('Pool &amp; SPA Sweep Elbows'!$A$8:$A$11)
+COUNT('Pool &amp; SPA Pipe Extender'!$A$8:$A$10)
+COUNT('PVC SCH80'!$A$8:$A$249)
+COUNT('PVC SCH80 Flange'!$A$8:$A$48)
+COUNT('PVC SCH80 LD Flange'!$A$8:$A$16)+1,"")</f>
        <v/>
      </c>
      <c r="B33" s="521" t="s">
        <v>5832</v>
      </c>
      <c r="C33" s="151"/>
      <c r="D33" s="151"/>
      <c r="E33" s="459"/>
      <c r="F33" s="151"/>
      <c r="G33" s="468"/>
      <c r="H33" s="151"/>
      <c r="I33" s="472"/>
      <c r="J33" s="468"/>
      <c r="K33" s="477"/>
      <c r="L33" s="238"/>
      <c r="M33" s="476"/>
      <c r="O33" s="475"/>
      <c r="P33" s="145"/>
      <c r="Q33" s="492"/>
      <c r="R33" s="493"/>
      <c r="S33" s="493"/>
      <c r="T33" s="479"/>
      <c r="U33" s="459"/>
      <c r="V33" s="489"/>
    </row>
    <row r="34" spans="1:22" ht="15" customHeight="1">
      <c r="A34" s="101" t="str">
        <f>IF(K34&gt;0,COUNT($A$8:A33)
+COUNT('DWV PVC'!$A$9:$A$316)
+COUNT('DWV ABS'!$A$8:$A$116)
+COUNT('PVC SCH40'!$A$8:$A$424)
+COUNT('PVC SCH40 LD'!$A$8:$A$21)
+COUNT('Pool &amp; SPA Sweep Elbows'!$A$8:$A$11)
+COUNT('Pool &amp; SPA Pipe Extender'!$A$8:$A$10)
+COUNT('PVC SCH80'!$A$8:$A$249)
+COUNT('PVC SCH80 Flange'!$A$8:$A$48)
+COUNT('PVC SCH80 LD Flange'!$A$8:$A$16)+1,"")</f>
        <v/>
      </c>
      <c r="B34" s="644"/>
      <c r="C34" s="645"/>
      <c r="D34" s="426" t="str">
        <f>_xlfn.XLOOKUP(E34,'All Products'!D:D,'All Products'!C:C,FALSE)</f>
        <v>4117-005</v>
      </c>
      <c r="E34" s="125">
        <v>300006062</v>
      </c>
      <c r="F34" s="427" t="str">
        <f>_xlfn.XLOOKUP(E34,'All Products'!D:D,'All Products'!E:E,FALSE)</f>
        <v>45º CPVC ELBOW ASTM 1/2"</v>
      </c>
      <c r="G34" s="428">
        <f>_xlfn.XLOOKUP(E34,'All Products'!D:D,'All Products'!F:F,FALSE)</f>
        <v>500</v>
      </c>
      <c r="H34" s="428" t="str">
        <f>_xlfn.XLOOKUP(E34,'All Products'!D:D,'All Products'!G:G,FALSE)</f>
        <v>-</v>
      </c>
      <c r="I34" s="269" t="str">
        <f>_xlfn.XLOOKUP(E34,'All Products'!D:D,'All Products'!H:H,FALSE)</f>
        <v>Quote Required</v>
      </c>
      <c r="J34" s="129">
        <f>IFERROR(ROUNDUP(I34*Order_Quote!$L$11,2),0)</f>
        <v>0</v>
      </c>
      <c r="K34" s="71"/>
      <c r="L34" s="48"/>
      <c r="M34" s="50">
        <f t="shared" si="0"/>
        <v>0</v>
      </c>
      <c r="O34" s="215" t="str">
        <f>_xlfn.XLOOKUP(E34,'All Products'!D:D,'All Products'!I:I,FALSE)</f>
        <v>3 weeks</v>
      </c>
      <c r="P34" s="215" t="str">
        <f>_xlfn.XLOOKUP(E34,'All Products'!D:D,'All Products'!J:J,FALSE)</f>
        <v>Sourced</v>
      </c>
      <c r="Q34" s="266">
        <f>_xlfn.XLOOKUP(E34,'All Products'!D:D,'All Products'!K:K,FALSE)</f>
        <v>810673012367</v>
      </c>
      <c r="R34" s="266" t="str">
        <f>_xlfn.XLOOKUP(E34,'All Products'!D:D,'All Products'!L:L,FALSE)</f>
        <v>-</v>
      </c>
      <c r="S34" s="266">
        <f>_xlfn.XLOOKUP(E34,'All Products'!D:D,'All Products'!M:M,FALSE)</f>
        <v>10810673012364</v>
      </c>
      <c r="T34" s="215">
        <f>_xlfn.XLOOKUP(E34,'All Products'!D:D,'All Products'!N:N,FALSE)</f>
        <v>2.4E-2</v>
      </c>
    </row>
    <row r="35" spans="1:22" ht="15" customHeight="1">
      <c r="A35" s="101" t="str">
        <f>IF(K35&gt;0,COUNT($A$8:A34)
+COUNT('DWV PVC'!$A$9:$A$316)
+COUNT('DWV ABS'!$A$8:$A$116)
+COUNT('PVC SCH40'!$A$8:$A$424)
+COUNT('PVC SCH40 LD'!$A$8:$A$21)
+COUNT('Pool &amp; SPA Sweep Elbows'!$A$8:$A$11)
+COUNT('Pool &amp; SPA Pipe Extender'!$A$8:$A$10)
+COUNT('PVC SCH80'!$A$8:$A$249)
+COUNT('PVC SCH80 Flange'!$A$8:$A$48)
+COUNT('PVC SCH80 LD Flange'!$A$8:$A$16)+1,"")</f>
        <v/>
      </c>
      <c r="B35" s="646"/>
      <c r="C35" s="647"/>
      <c r="D35" s="426" t="str">
        <f>_xlfn.XLOOKUP(E35,'All Products'!D:D,'All Products'!C:C,FALSE)</f>
        <v>4117-007</v>
      </c>
      <c r="E35" s="125">
        <v>300006061</v>
      </c>
      <c r="F35" s="427" t="str">
        <f>_xlfn.XLOOKUP(E35,'All Products'!D:D,'All Products'!E:E,FALSE)</f>
        <v>45º CPVC ELBOW ASTM 3/4"</v>
      </c>
      <c r="G35" s="428">
        <f>_xlfn.XLOOKUP(E35,'All Products'!D:D,'All Products'!F:F,FALSE)</f>
        <v>250</v>
      </c>
      <c r="H35" s="428" t="str">
        <f>_xlfn.XLOOKUP(E35,'All Products'!D:D,'All Products'!G:G,FALSE)</f>
        <v>-</v>
      </c>
      <c r="I35" s="269" t="str">
        <f>_xlfn.XLOOKUP(E35,'All Products'!D:D,'All Products'!H:H,FALSE)</f>
        <v>Quote Required</v>
      </c>
      <c r="J35" s="129">
        <f>IFERROR(ROUNDUP(I35*Order_Quote!$L$11,2),0)</f>
        <v>0</v>
      </c>
      <c r="K35" s="71"/>
      <c r="L35" s="48"/>
      <c r="M35" s="46">
        <f t="shared" si="0"/>
        <v>0</v>
      </c>
      <c r="O35" s="215" t="str">
        <f>_xlfn.XLOOKUP(E35,'All Products'!D:D,'All Products'!I:I,FALSE)</f>
        <v>3 weeks</v>
      </c>
      <c r="P35" s="215" t="str">
        <f>_xlfn.XLOOKUP(E35,'All Products'!D:D,'All Products'!J:J,FALSE)</f>
        <v>Sourced</v>
      </c>
      <c r="Q35" s="266">
        <f>_xlfn.XLOOKUP(E35,'All Products'!D:D,'All Products'!K:K,FALSE)</f>
        <v>810673012374</v>
      </c>
      <c r="R35" s="266" t="str">
        <f>_xlfn.XLOOKUP(E35,'All Products'!D:D,'All Products'!L:L,FALSE)</f>
        <v>-</v>
      </c>
      <c r="S35" s="266">
        <f>_xlfn.XLOOKUP(E35,'All Products'!D:D,'All Products'!M:M,FALSE)</f>
        <v>10810673012371</v>
      </c>
      <c r="T35" s="215">
        <f>_xlfn.XLOOKUP(E35,'All Products'!D:D,'All Products'!N:N,FALSE)</f>
        <v>4.9000000000000002E-2</v>
      </c>
    </row>
    <row r="36" spans="1:22">
      <c r="A36" s="101" t="str">
        <f>IF(K36&gt;0,COUNT($A$8:A35)
+COUNT('DWV PVC'!$A$9:$A$316)
+COUNT('DWV ABS'!$A$8:$A$116)
+COUNT('PVC SCH40'!$A$8:$A$424)
+COUNT('PVC SCH40 LD'!$A$8:$A$21)
+COUNT('Pool &amp; SPA Sweep Elbows'!$A$8:$A$11)
+COUNT('Pool &amp; SPA Pipe Extender'!$A$8:$A$10)
+COUNT('PVC SCH80'!$A$8:$A$249)
+COUNT('PVC SCH80 Flange'!$A$8:$A$48)
+COUNT('PVC SCH80 LD Flange'!$A$8:$A$16)+1,"")</f>
        <v/>
      </c>
      <c r="B36" s="646"/>
      <c r="C36" s="647"/>
      <c r="D36" s="426" t="str">
        <f>_xlfn.XLOOKUP(E36,'All Products'!D:D,'All Products'!C:C,FALSE)</f>
        <v>4117-010</v>
      </c>
      <c r="E36" s="125">
        <v>300005791</v>
      </c>
      <c r="F36" s="427" t="str">
        <f>_xlfn.XLOOKUP(E36,'All Products'!D:D,'All Products'!E:E,FALSE)</f>
        <v>45º CPVC ELBOW ASTM 1"</v>
      </c>
      <c r="G36" s="428">
        <f>_xlfn.XLOOKUP(E36,'All Products'!D:D,'All Products'!F:F,FALSE)</f>
        <v>100</v>
      </c>
      <c r="H36" s="428" t="str">
        <f>_xlfn.XLOOKUP(E36,'All Products'!D:D,'All Products'!G:G,FALSE)</f>
        <v>-</v>
      </c>
      <c r="I36" s="269" t="str">
        <f>_xlfn.XLOOKUP(E36,'All Products'!D:D,'All Products'!H:H,FALSE)</f>
        <v>Quote Required</v>
      </c>
      <c r="J36" s="129">
        <f>IFERROR(ROUNDUP(I36*Order_Quote!$L$11,2),0)</f>
        <v>0</v>
      </c>
      <c r="K36" s="71"/>
      <c r="L36" s="48"/>
      <c r="M36" s="46">
        <f t="shared" si="0"/>
        <v>0</v>
      </c>
      <c r="O36" s="215" t="str">
        <f>_xlfn.XLOOKUP(E36,'All Products'!D:D,'All Products'!I:I,FALSE)</f>
        <v>3 weeks</v>
      </c>
      <c r="P36" s="215" t="str">
        <f>_xlfn.XLOOKUP(E36,'All Products'!D:D,'All Products'!J:J,FALSE)</f>
        <v>Sourced</v>
      </c>
      <c r="Q36" s="266">
        <f>_xlfn.XLOOKUP(E36,'All Products'!D:D,'All Products'!K:K,FALSE)</f>
        <v>810116843732</v>
      </c>
      <c r="R36" s="266" t="str">
        <f>_xlfn.XLOOKUP(E36,'All Products'!D:D,'All Products'!L:L,FALSE)</f>
        <v>-</v>
      </c>
      <c r="S36" s="266" t="str">
        <f>_xlfn.XLOOKUP(E36,'All Products'!D:D,'All Products'!M:M,FALSE)</f>
        <v>-</v>
      </c>
      <c r="T36" s="215">
        <f>_xlfn.XLOOKUP(E36,'All Products'!D:D,'All Products'!N:N,FALSE)</f>
        <v>7.9000000000000001E-2</v>
      </c>
    </row>
    <row r="37" spans="1:22">
      <c r="A37" s="101" t="str">
        <f>IF(K37&gt;0,COUNT($A$8:A36)
+COUNT('DWV PVC'!$A$9:$A$316)
+COUNT('DWV ABS'!$A$8:$A$116)
+COUNT('PVC SCH40'!$A$8:$A$424)
+COUNT('PVC SCH40 LD'!$A$8:$A$21)
+COUNT('Pool &amp; SPA Sweep Elbows'!$A$8:$A$11)
+COUNT('Pool &amp; SPA Pipe Extender'!$A$8:$A$10)
+COUNT('PVC SCH80'!$A$8:$A$249)
+COUNT('PVC SCH80 Flange'!$A$8:$A$48)
+COUNT('PVC SCH80 LD Flange'!$A$8:$A$16)+1,"")</f>
        <v/>
      </c>
      <c r="B37" s="646"/>
      <c r="C37" s="647"/>
      <c r="D37" s="426" t="str">
        <f>_xlfn.XLOOKUP(E37,'All Products'!D:D,'All Products'!C:C,FALSE)</f>
        <v>4117-012</v>
      </c>
      <c r="E37" s="125">
        <v>300005804</v>
      </c>
      <c r="F37" s="427" t="str">
        <f>_xlfn.XLOOKUP(E37,'All Products'!D:D,'All Products'!E:E,FALSE)</f>
        <v>45º CPVC ELBOW ASTM  1.1/4"</v>
      </c>
      <c r="G37" s="428">
        <f>_xlfn.XLOOKUP(E37,'All Products'!D:D,'All Products'!F:F,FALSE)</f>
        <v>100</v>
      </c>
      <c r="H37" s="428" t="str">
        <f>_xlfn.XLOOKUP(E37,'All Products'!D:D,'All Products'!G:G,FALSE)</f>
        <v>-</v>
      </c>
      <c r="I37" s="269" t="str">
        <f>_xlfn.XLOOKUP(E37,'All Products'!D:D,'All Products'!H:H,FALSE)</f>
        <v>Quote Required</v>
      </c>
      <c r="J37" s="129">
        <f>IFERROR(ROUNDUP(I37*Order_Quote!$L$11,2),0)</f>
        <v>0</v>
      </c>
      <c r="K37" s="71"/>
      <c r="L37" s="48"/>
      <c r="M37" s="46">
        <f t="shared" si="0"/>
        <v>0</v>
      </c>
      <c r="O37" s="215" t="str">
        <f>_xlfn.XLOOKUP(E37,'All Products'!D:D,'All Products'!I:I,FALSE)</f>
        <v>3 weeks</v>
      </c>
      <c r="P37" s="215" t="str">
        <f>_xlfn.XLOOKUP(E37,'All Products'!D:D,'All Products'!J:J,FALSE)</f>
        <v>Sourced</v>
      </c>
      <c r="Q37" s="266">
        <f>_xlfn.XLOOKUP(E37,'All Products'!D:D,'All Products'!K:K,FALSE)</f>
        <v>810116843695</v>
      </c>
      <c r="R37" s="266" t="str">
        <f>_xlfn.XLOOKUP(E37,'All Products'!D:D,'All Products'!L:L,FALSE)</f>
        <v>-</v>
      </c>
      <c r="S37" s="266" t="str">
        <f>_xlfn.XLOOKUP(E37,'All Products'!D:D,'All Products'!M:M,FALSE)</f>
        <v>-</v>
      </c>
      <c r="T37" s="215">
        <f>_xlfn.XLOOKUP(E37,'All Products'!D:D,'All Products'!N:N,FALSE)</f>
        <v>0.13</v>
      </c>
    </row>
    <row r="38" spans="1:22">
      <c r="A38" s="101" t="str">
        <f>IF(K38&gt;0,COUNT($A$8:A37)
+COUNT('DWV PVC'!$A$9:$A$316)
+COUNT('DWV ABS'!$A$8:$A$116)
+COUNT('PVC SCH40'!$A$8:$A$424)
+COUNT('PVC SCH40 LD'!$A$8:$A$21)
+COUNT('Pool &amp; SPA Sweep Elbows'!$A$8:$A$11)
+COUNT('Pool &amp; SPA Pipe Extender'!$A$8:$A$10)
+COUNT('PVC SCH80'!$A$8:$A$249)
+COUNT('PVC SCH80 Flange'!$A$8:$A$48)
+COUNT('PVC SCH80 LD Flange'!$A$8:$A$16)+1,"")</f>
        <v/>
      </c>
      <c r="B38" s="646"/>
      <c r="C38" s="647"/>
      <c r="D38" s="426" t="str">
        <f>_xlfn.XLOOKUP(E38,'All Products'!D:D,'All Products'!C:C,FALSE)</f>
        <v>4117-015</v>
      </c>
      <c r="E38" s="125">
        <v>300005799</v>
      </c>
      <c r="F38" s="427" t="str">
        <f>_xlfn.XLOOKUP(E38,'All Products'!D:D,'All Products'!E:E,FALSE)</f>
        <v>45º CPVC ELBOW ASTM  1.1/2"</v>
      </c>
      <c r="G38" s="428">
        <f>_xlfn.XLOOKUP(E38,'All Products'!D:D,'All Products'!F:F,FALSE)</f>
        <v>100</v>
      </c>
      <c r="H38" s="428" t="str">
        <f>_xlfn.XLOOKUP(E38,'All Products'!D:D,'All Products'!G:G,FALSE)</f>
        <v>-</v>
      </c>
      <c r="I38" s="269" t="str">
        <f>_xlfn.XLOOKUP(E38,'All Products'!D:D,'All Products'!H:H,FALSE)</f>
        <v>Quote Required</v>
      </c>
      <c r="J38" s="129">
        <f>IFERROR(ROUNDUP(I38*Order_Quote!$L$11,2),0)</f>
        <v>0</v>
      </c>
      <c r="K38" s="71"/>
      <c r="L38" s="48"/>
      <c r="M38" s="50">
        <f t="shared" si="0"/>
        <v>0</v>
      </c>
      <c r="O38" s="215" t="str">
        <f>_xlfn.XLOOKUP(E38,'All Products'!D:D,'All Products'!I:I,FALSE)</f>
        <v>3 weeks</v>
      </c>
      <c r="P38" s="215" t="str">
        <f>_xlfn.XLOOKUP(E38,'All Products'!D:D,'All Products'!J:J,FALSE)</f>
        <v>Sourced</v>
      </c>
      <c r="Q38" s="266" t="str">
        <f>_xlfn.XLOOKUP(E38,'All Products'!D:D,'All Products'!K:K,FALSE)</f>
        <v>-</v>
      </c>
      <c r="R38" s="266" t="str">
        <f>_xlfn.XLOOKUP(E38,'All Products'!D:D,'All Products'!L:L,FALSE)</f>
        <v>-</v>
      </c>
      <c r="S38" s="266" t="str">
        <f>_xlfn.XLOOKUP(E38,'All Products'!D:D,'All Products'!M:M,FALSE)</f>
        <v>-</v>
      </c>
      <c r="T38" s="215">
        <f>_xlfn.XLOOKUP(E38,'All Products'!D:D,'All Products'!N:N,FALSE)</f>
        <v>0.20499999999999999</v>
      </c>
    </row>
    <row r="39" spans="1:22">
      <c r="A39" s="101" t="str">
        <f>IF(K39&gt;0,COUNT($A$8:A38)
+COUNT('DWV PVC'!$A$9:$A$316)
+COUNT('DWV ABS'!$A$8:$A$116)
+COUNT('PVC SCH40'!$A$8:$A$424)
+COUNT('PVC SCH40 LD'!$A$8:$A$21)
+COUNT('Pool &amp; SPA Sweep Elbows'!$A$8:$A$11)
+COUNT('Pool &amp; SPA Pipe Extender'!$A$8:$A$10)
+COUNT('PVC SCH80'!$A$8:$A$249)
+COUNT('PVC SCH80 Flange'!$A$8:$A$48)
+COUNT('PVC SCH80 LD Flange'!$A$8:$A$16)+1,"")</f>
        <v/>
      </c>
      <c r="B39" s="652"/>
      <c r="C39" s="653"/>
      <c r="D39" s="426" t="str">
        <f>_xlfn.XLOOKUP(E39,'All Products'!D:D,'All Products'!C:C,FALSE)</f>
        <v>4117-020</v>
      </c>
      <c r="E39" s="125">
        <v>300005792</v>
      </c>
      <c r="F39" s="427" t="str">
        <f>_xlfn.XLOOKUP(E39,'All Products'!D:D,'All Products'!E:E,FALSE)</f>
        <v>45º CPVC ELBOW ASTM      2"</v>
      </c>
      <c r="G39" s="428">
        <f>_xlfn.XLOOKUP(E39,'All Products'!D:D,'All Products'!F:F,FALSE)</f>
        <v>50</v>
      </c>
      <c r="H39" s="428" t="str">
        <f>_xlfn.XLOOKUP(E39,'All Products'!D:D,'All Products'!G:G,FALSE)</f>
        <v>-</v>
      </c>
      <c r="I39" s="269" t="str">
        <f>_xlfn.XLOOKUP(E39,'All Products'!D:D,'All Products'!H:H,FALSE)</f>
        <v>Quote Required</v>
      </c>
      <c r="J39" s="129">
        <f>IFERROR(ROUNDUP(I39*Order_Quote!$L$11,2),0)</f>
        <v>0</v>
      </c>
      <c r="K39" s="71"/>
      <c r="L39" s="48"/>
      <c r="M39" s="46">
        <f t="shared" si="0"/>
        <v>0</v>
      </c>
      <c r="O39" s="215" t="str">
        <f>_xlfn.XLOOKUP(E39,'All Products'!D:D,'All Products'!I:I,FALSE)</f>
        <v>3 weeks</v>
      </c>
      <c r="P39" s="215" t="str">
        <f>_xlfn.XLOOKUP(E39,'All Products'!D:D,'All Products'!J:J,FALSE)</f>
        <v>Sourced</v>
      </c>
      <c r="Q39" s="266" t="str">
        <f>_xlfn.XLOOKUP(E39,'All Products'!D:D,'All Products'!K:K,FALSE)</f>
        <v>-</v>
      </c>
      <c r="R39" s="266" t="str">
        <f>_xlfn.XLOOKUP(E39,'All Products'!D:D,'All Products'!L:L,FALSE)</f>
        <v>-</v>
      </c>
      <c r="S39" s="266" t="str">
        <f>_xlfn.XLOOKUP(E39,'All Products'!D:D,'All Products'!M:M,FALSE)</f>
        <v>-</v>
      </c>
      <c r="T39" s="215">
        <f>_xlfn.XLOOKUP(E39,'All Products'!D:D,'All Products'!N:N,FALSE)</f>
        <v>0.45600000000000002</v>
      </c>
    </row>
    <row r="40" spans="1:22">
      <c r="A40" s="101" t="str">
        <f>IF(K40&gt;0,COUNT($A$8:A39)
+COUNT('DWV PVC'!$A$9:$A$316)
+COUNT('DWV ABS'!$A$8:$A$116)
+COUNT('PVC SCH40'!$A$8:$A$424)
+COUNT('PVC SCH40 LD'!$A$8:$A$21)
+COUNT('Pool &amp; SPA Sweep Elbows'!$A$8:$A$11)
+COUNT('Pool &amp; SPA Pipe Extender'!$A$8:$A$10)
+COUNT('PVC SCH80'!$A$8:$A$249)
+COUNT('PVC SCH80 Flange'!$A$8:$A$48)
+COUNT('PVC SCH80 LD Flange'!$A$8:$A$16)+1,"")</f>
        <v/>
      </c>
      <c r="B40" s="644"/>
      <c r="C40" s="645"/>
      <c r="D40" s="426" t="str">
        <f>_xlfn.XLOOKUP(E40,'All Products'!D:D,'All Products'!C:C,FALSE)</f>
        <v>4127-005</v>
      </c>
      <c r="E40" s="125">
        <v>300005725</v>
      </c>
      <c r="F40" s="427" t="str">
        <f>_xlfn.XLOOKUP(E40,'All Products'!D:D,'All Products'!E:E,FALSE)</f>
        <v>45 CPVC 1/2 STREET ELBOW</v>
      </c>
      <c r="G40" s="428">
        <f>_xlfn.XLOOKUP(E40,'All Products'!D:D,'All Products'!F:F,FALSE)</f>
        <v>500</v>
      </c>
      <c r="H40" s="428" t="str">
        <f>_xlfn.XLOOKUP(E40,'All Products'!D:D,'All Products'!G:G,FALSE)</f>
        <v>-</v>
      </c>
      <c r="I40" s="269" t="str">
        <f>_xlfn.XLOOKUP(E40,'All Products'!D:D,'All Products'!H:H,FALSE)</f>
        <v>Quote Required</v>
      </c>
      <c r="J40" s="129">
        <f>IFERROR(ROUNDUP(I40*Order_Quote!$L$11,2),0)</f>
        <v>0</v>
      </c>
      <c r="K40" s="71"/>
      <c r="L40" s="48"/>
      <c r="M40" s="50">
        <f t="shared" si="0"/>
        <v>0</v>
      </c>
      <c r="O40" s="215" t="str">
        <f>_xlfn.XLOOKUP(E40,'All Products'!D:D,'All Products'!I:I,FALSE)</f>
        <v>3 weeks</v>
      </c>
      <c r="P40" s="215" t="str">
        <f>_xlfn.XLOOKUP(E40,'All Products'!D:D,'All Products'!J:J,FALSE)</f>
        <v>Sourced</v>
      </c>
      <c r="Q40" s="266" t="str">
        <f>_xlfn.XLOOKUP(E40,'All Products'!D:D,'All Products'!K:K,FALSE)</f>
        <v>-</v>
      </c>
      <c r="R40" s="266" t="str">
        <f>_xlfn.XLOOKUP(E40,'All Products'!D:D,'All Products'!L:L,FALSE)</f>
        <v>-</v>
      </c>
      <c r="S40" s="266" t="str">
        <f>_xlfn.XLOOKUP(E40,'All Products'!D:D,'All Products'!M:M,FALSE)</f>
        <v>-</v>
      </c>
      <c r="T40" s="215">
        <f>_xlfn.XLOOKUP(E40,'All Products'!D:D,'All Products'!N:N,FALSE)</f>
        <v>7.0000000000000001E-3</v>
      </c>
    </row>
    <row r="41" spans="1:22">
      <c r="A41" s="101" t="str">
        <f>IF(K41&gt;0,COUNT($A$8:A40)
+COUNT('DWV PVC'!$A$9:$A$316)
+COUNT('DWV ABS'!$A$8:$A$116)
+COUNT('PVC SCH40'!$A$8:$A$424)
+COUNT('PVC SCH40 LD'!$A$8:$A$21)
+COUNT('Pool &amp; SPA Sweep Elbows'!$A$8:$A$11)
+COUNT('Pool &amp; SPA Pipe Extender'!$A$8:$A$10)
+COUNT('PVC SCH80'!$A$8:$A$249)
+COUNT('PVC SCH80 Flange'!$A$8:$A$48)
+COUNT('PVC SCH80 LD Flange'!$A$8:$A$16)+1,"")</f>
        <v/>
      </c>
      <c r="B41" s="646"/>
      <c r="C41" s="647"/>
      <c r="D41" s="426" t="str">
        <f>_xlfn.XLOOKUP(E41,'All Products'!D:D,'All Products'!C:C,FALSE)</f>
        <v>4127-007</v>
      </c>
      <c r="E41" s="125">
        <v>300005726</v>
      </c>
      <c r="F41" s="427" t="str">
        <f>_xlfn.XLOOKUP(E41,'All Products'!D:D,'All Products'!E:E,FALSE)</f>
        <v>45 CPVC 3/4 STREET ELBOW</v>
      </c>
      <c r="G41" s="428">
        <f>_xlfn.XLOOKUP(E41,'All Products'!D:D,'All Products'!F:F,FALSE)</f>
        <v>250</v>
      </c>
      <c r="H41" s="428" t="str">
        <f>_xlfn.XLOOKUP(E41,'All Products'!D:D,'All Products'!G:G,FALSE)</f>
        <v>-</v>
      </c>
      <c r="I41" s="269" t="str">
        <f>_xlfn.XLOOKUP(E41,'All Products'!D:D,'All Products'!H:H,FALSE)</f>
        <v>Quote Required</v>
      </c>
      <c r="J41" s="129">
        <f>IFERROR(ROUNDUP(I41*Order_Quote!$L$11,2),0)</f>
        <v>0</v>
      </c>
      <c r="K41" s="71"/>
      <c r="L41" s="48"/>
      <c r="M41" s="46">
        <f t="shared" si="0"/>
        <v>0</v>
      </c>
      <c r="O41" s="215" t="str">
        <f>_xlfn.XLOOKUP(E41,'All Products'!D:D,'All Products'!I:I,FALSE)</f>
        <v>3 weeks</v>
      </c>
      <c r="P41" s="215" t="str">
        <f>_xlfn.XLOOKUP(E41,'All Products'!D:D,'All Products'!J:J,FALSE)</f>
        <v>Sourced</v>
      </c>
      <c r="Q41" s="266" t="str">
        <f>_xlfn.XLOOKUP(E41,'All Products'!D:D,'All Products'!K:K,FALSE)</f>
        <v>-</v>
      </c>
      <c r="R41" s="266" t="str">
        <f>_xlfn.XLOOKUP(E41,'All Products'!D:D,'All Products'!L:L,FALSE)</f>
        <v>-</v>
      </c>
      <c r="S41" s="266" t="str">
        <f>_xlfn.XLOOKUP(E41,'All Products'!D:D,'All Products'!M:M,FALSE)</f>
        <v>-</v>
      </c>
      <c r="T41" s="215">
        <f>_xlfn.XLOOKUP(E41,'All Products'!D:D,'All Products'!N:N,FALSE)</f>
        <v>1.4E-2</v>
      </c>
    </row>
    <row r="42" spans="1:22">
      <c r="A42" s="101" t="str">
        <f>IF(K42&gt;0,COUNT($A$8:A41)
+COUNT('DWV PVC'!$A$9:$A$316)
+COUNT('DWV ABS'!$A$8:$A$116)
+COUNT('PVC SCH40'!$A$8:$A$424)
+COUNT('PVC SCH40 LD'!$A$8:$A$21)
+COUNT('Pool &amp; SPA Sweep Elbows'!$A$8:$A$11)
+COUNT('Pool &amp; SPA Pipe Extender'!$A$8:$A$10)
+COUNT('PVC SCH80'!$A$8:$A$249)
+COUNT('PVC SCH80 Flange'!$A$8:$A$48)
+COUNT('PVC SCH80 LD Flange'!$A$8:$A$16)+1,"")</f>
        <v/>
      </c>
      <c r="B42" s="652"/>
      <c r="C42" s="653"/>
      <c r="D42" s="426" t="str">
        <f>_xlfn.XLOOKUP(E42,'All Products'!D:D,'All Products'!C:C,FALSE)</f>
        <v>4127-010</v>
      </c>
      <c r="E42" s="125">
        <v>300005720</v>
      </c>
      <c r="F42" s="427" t="str">
        <f>_xlfn.XLOOKUP(E42,'All Products'!D:D,'All Products'!E:E,FALSE)</f>
        <v>45 CPVC 1 STREET ELBOW</v>
      </c>
      <c r="G42" s="428">
        <f>_xlfn.XLOOKUP(E42,'All Products'!D:D,'All Products'!F:F,FALSE)</f>
        <v>100</v>
      </c>
      <c r="H42" s="428" t="str">
        <f>_xlfn.XLOOKUP(E42,'All Products'!D:D,'All Products'!G:G,FALSE)</f>
        <v>-</v>
      </c>
      <c r="I42" s="269" t="str">
        <f>_xlfn.XLOOKUP(E42,'All Products'!D:D,'All Products'!H:H,FALSE)</f>
        <v>Quote Required</v>
      </c>
      <c r="J42" s="129">
        <f>IFERROR(ROUNDUP(I42*Order_Quote!$L$11,2),0)</f>
        <v>0</v>
      </c>
      <c r="K42" s="71"/>
      <c r="L42" s="48"/>
      <c r="M42" s="50">
        <f t="shared" ref="M42:M75" si="1">K42/G42</f>
        <v>0</v>
      </c>
      <c r="O42" s="215" t="str">
        <f>_xlfn.XLOOKUP(E42,'All Products'!D:D,'All Products'!I:I,FALSE)</f>
        <v>3 weeks</v>
      </c>
      <c r="P42" s="215" t="str">
        <f>_xlfn.XLOOKUP(E42,'All Products'!D:D,'All Products'!J:J,FALSE)</f>
        <v>Sourced</v>
      </c>
      <c r="Q42" s="266" t="str">
        <f>_xlfn.XLOOKUP(E42,'All Products'!D:D,'All Products'!K:K,FALSE)</f>
        <v>-</v>
      </c>
      <c r="R42" s="266" t="str">
        <f>_xlfn.XLOOKUP(E42,'All Products'!D:D,'All Products'!L:L,FALSE)</f>
        <v>-</v>
      </c>
      <c r="S42" s="266" t="str">
        <f>_xlfn.XLOOKUP(E42,'All Products'!D:D,'All Products'!M:M,FALSE)</f>
        <v>-</v>
      </c>
      <c r="T42" s="215">
        <f>_xlfn.XLOOKUP(E42,'All Products'!D:D,'All Products'!N:N,FALSE)</f>
        <v>2.8000000000000001E-2</v>
      </c>
    </row>
    <row r="43" spans="1:22">
      <c r="A43" s="101" t="str">
        <f>IF(K43&gt;0,COUNT($A$8:A42)
+COUNT('DWV PVC'!$A$9:$A$316)
+COUNT('DWV ABS'!$A$8:$A$116)
+COUNT('PVC SCH40'!$A$8:$A$424)
+COUNT('PVC SCH40 LD'!$A$8:$A$21)
+COUNT('Pool &amp; SPA Sweep Elbows'!$A$8:$A$11)
+COUNT('Pool &amp; SPA Pipe Extender'!$A$8:$A$10)
+COUNT('PVC SCH80'!$A$8:$A$249)
+COUNT('PVC SCH80 Flange'!$A$8:$A$48)
+COUNT('PVC SCH80 LD Flange'!$A$8:$A$16)+1,"")</f>
        <v/>
      </c>
      <c r="B43" s="644"/>
      <c r="C43" s="645"/>
      <c r="D43" s="426" t="str">
        <f>_xlfn.XLOOKUP(E43,'All Products'!D:D,'All Products'!C:C,FALSE)</f>
        <v>4129-005</v>
      </c>
      <c r="E43" s="125">
        <v>300006058</v>
      </c>
      <c r="F43" s="427" t="str">
        <f>_xlfn.XLOOKUP(E43,'All Products'!D:D,'All Products'!E:E,FALSE)</f>
        <v>CPVC COUPLING ASTM 1/2"</v>
      </c>
      <c r="G43" s="428">
        <f>_xlfn.XLOOKUP(E43,'All Products'!D:D,'All Products'!F:F,FALSE)</f>
        <v>500</v>
      </c>
      <c r="H43" s="428" t="str">
        <f>_xlfn.XLOOKUP(E43,'All Products'!D:D,'All Products'!G:G,FALSE)</f>
        <v>-</v>
      </c>
      <c r="I43" s="269" t="str">
        <f>_xlfn.XLOOKUP(E43,'All Products'!D:D,'All Products'!H:H,FALSE)</f>
        <v>Quote Required</v>
      </c>
      <c r="J43" s="129">
        <f>IFERROR(ROUNDUP(I43*Order_Quote!$L$11,2),0)</f>
        <v>0</v>
      </c>
      <c r="K43" s="71"/>
      <c r="L43" s="48"/>
      <c r="M43" s="46">
        <f t="shared" si="1"/>
        <v>0</v>
      </c>
      <c r="O43" s="215" t="str">
        <f>_xlfn.XLOOKUP(E43,'All Products'!D:D,'All Products'!I:I,FALSE)</f>
        <v>3 weeks</v>
      </c>
      <c r="P43" s="215" t="str">
        <f>_xlfn.XLOOKUP(E43,'All Products'!D:D,'All Products'!J:J,FALSE)</f>
        <v>Sourced</v>
      </c>
      <c r="Q43" s="266">
        <f>_xlfn.XLOOKUP(E43,'All Products'!D:D,'All Products'!K:K,FALSE)</f>
        <v>810673012206</v>
      </c>
      <c r="R43" s="266" t="str">
        <f>_xlfn.XLOOKUP(E43,'All Products'!D:D,'All Products'!L:L,FALSE)</f>
        <v>-</v>
      </c>
      <c r="S43" s="266">
        <f>_xlfn.XLOOKUP(E43,'All Products'!D:D,'All Products'!M:M,FALSE)</f>
        <v>10810673012203</v>
      </c>
      <c r="T43" s="215">
        <f>_xlfn.XLOOKUP(E43,'All Products'!D:D,'All Products'!N:N,FALSE)</f>
        <v>1.7999999999999999E-2</v>
      </c>
    </row>
    <row r="44" spans="1:22">
      <c r="A44" s="101" t="str">
        <f>IF(K44&gt;0,COUNT($A$8:A43)
+COUNT('DWV PVC'!$A$9:$A$316)
+COUNT('DWV ABS'!$A$8:$A$116)
+COUNT('PVC SCH40'!$A$8:$A$424)
+COUNT('PVC SCH40 LD'!$A$8:$A$21)
+COUNT('Pool &amp; SPA Sweep Elbows'!$A$8:$A$11)
+COUNT('Pool &amp; SPA Pipe Extender'!$A$8:$A$10)
+COUNT('PVC SCH80'!$A$8:$A$249)
+COUNT('PVC SCH80 Flange'!$A$8:$A$48)
+COUNT('PVC SCH80 LD Flange'!$A$8:$A$16)+1,"")</f>
        <v/>
      </c>
      <c r="B44" s="646"/>
      <c r="C44" s="647"/>
      <c r="D44" s="426" t="str">
        <f>_xlfn.XLOOKUP(E44,'All Products'!D:D,'All Products'!C:C,FALSE)</f>
        <v>4129-007</v>
      </c>
      <c r="E44" s="125">
        <v>300006057</v>
      </c>
      <c r="F44" s="427" t="str">
        <f>_xlfn.XLOOKUP(E44,'All Products'!D:D,'All Products'!E:E,FALSE)</f>
        <v>CPVC COUPLING ASTM 3/4"</v>
      </c>
      <c r="G44" s="428">
        <f>_xlfn.XLOOKUP(E44,'All Products'!D:D,'All Products'!F:F,FALSE)</f>
        <v>250</v>
      </c>
      <c r="H44" s="428" t="str">
        <f>_xlfn.XLOOKUP(E44,'All Products'!D:D,'All Products'!G:G,FALSE)</f>
        <v>-</v>
      </c>
      <c r="I44" s="269" t="str">
        <f>_xlfn.XLOOKUP(E44,'All Products'!D:D,'All Products'!H:H,FALSE)</f>
        <v>Quote Required</v>
      </c>
      <c r="J44" s="129">
        <f>IFERROR(ROUNDUP(I44*Order_Quote!$L$11,2),0)</f>
        <v>0</v>
      </c>
      <c r="K44" s="71"/>
      <c r="L44" s="48"/>
      <c r="M44" s="50">
        <f t="shared" si="1"/>
        <v>0</v>
      </c>
      <c r="O44" s="215" t="str">
        <f>_xlfn.XLOOKUP(E44,'All Products'!D:D,'All Products'!I:I,FALSE)</f>
        <v>3 weeks</v>
      </c>
      <c r="P44" s="215" t="str">
        <f>_xlfn.XLOOKUP(E44,'All Products'!D:D,'All Products'!J:J,FALSE)</f>
        <v>Sourced</v>
      </c>
      <c r="Q44" s="266">
        <f>_xlfn.XLOOKUP(E44,'All Products'!D:D,'All Products'!K:K,FALSE)</f>
        <v>810673012213</v>
      </c>
      <c r="R44" s="266" t="str">
        <f>_xlfn.XLOOKUP(E44,'All Products'!D:D,'All Products'!L:L,FALSE)</f>
        <v>-</v>
      </c>
      <c r="S44" s="266">
        <f>_xlfn.XLOOKUP(E44,'All Products'!D:D,'All Products'!M:M,FALSE)</f>
        <v>10810673012210</v>
      </c>
      <c r="T44" s="215">
        <f>_xlfn.XLOOKUP(E44,'All Products'!D:D,'All Products'!N:N,FALSE)</f>
        <v>3.1E-2</v>
      </c>
    </row>
    <row r="45" spans="1:22">
      <c r="A45" s="101" t="str">
        <f>IF(K45&gt;0,COUNT($A$8:A44)
+COUNT('DWV PVC'!$A$9:$A$316)
+COUNT('DWV ABS'!$A$8:$A$116)
+COUNT('PVC SCH40'!$A$8:$A$424)
+COUNT('PVC SCH40 LD'!$A$8:$A$21)
+COUNT('Pool &amp; SPA Sweep Elbows'!$A$8:$A$11)
+COUNT('Pool &amp; SPA Pipe Extender'!$A$8:$A$10)
+COUNT('PVC SCH80'!$A$8:$A$249)
+COUNT('PVC SCH80 Flange'!$A$8:$A$48)
+COUNT('PVC SCH80 LD Flange'!$A$8:$A$16)+1,"")</f>
        <v/>
      </c>
      <c r="B45" s="646"/>
      <c r="C45" s="647"/>
      <c r="D45" s="426" t="str">
        <f>_xlfn.XLOOKUP(E45,'All Products'!D:D,'All Products'!C:C,FALSE)</f>
        <v>4129-010</v>
      </c>
      <c r="E45" s="125">
        <v>300005795</v>
      </c>
      <c r="F45" s="427" t="str">
        <f>_xlfn.XLOOKUP(E45,'All Products'!D:D,'All Products'!E:E,FALSE)</f>
        <v>CPVC COUPLING ASTM 1"</v>
      </c>
      <c r="G45" s="428">
        <f>_xlfn.XLOOKUP(E45,'All Products'!D:D,'All Products'!F:F,FALSE)</f>
        <v>100</v>
      </c>
      <c r="H45" s="428" t="str">
        <f>_xlfn.XLOOKUP(E45,'All Products'!D:D,'All Products'!G:G,FALSE)</f>
        <v>-</v>
      </c>
      <c r="I45" s="269" t="str">
        <f>_xlfn.XLOOKUP(E45,'All Products'!D:D,'All Products'!H:H,FALSE)</f>
        <v>Quote Required</v>
      </c>
      <c r="J45" s="129">
        <f>IFERROR(ROUNDUP(I45*Order_Quote!$L$11,2),0)</f>
        <v>0</v>
      </c>
      <c r="K45" s="71"/>
      <c r="L45" s="48"/>
      <c r="M45" s="46">
        <f t="shared" si="1"/>
        <v>0</v>
      </c>
      <c r="O45" s="215" t="str">
        <f>_xlfn.XLOOKUP(E45,'All Products'!D:D,'All Products'!I:I,FALSE)</f>
        <v>3 weeks</v>
      </c>
      <c r="P45" s="215" t="str">
        <f>_xlfn.XLOOKUP(E45,'All Products'!D:D,'All Products'!J:J,FALSE)</f>
        <v>Sourced</v>
      </c>
      <c r="Q45" s="266">
        <f>_xlfn.XLOOKUP(E45,'All Products'!D:D,'All Products'!K:K,FALSE)</f>
        <v>810116843749</v>
      </c>
      <c r="R45" s="266" t="str">
        <f>_xlfn.XLOOKUP(E45,'All Products'!D:D,'All Products'!L:L,FALSE)</f>
        <v>-</v>
      </c>
      <c r="S45" s="266" t="str">
        <f>_xlfn.XLOOKUP(E45,'All Products'!D:D,'All Products'!M:M,FALSE)</f>
        <v>-</v>
      </c>
      <c r="T45" s="215">
        <f>_xlfn.XLOOKUP(E45,'All Products'!D:D,'All Products'!N:N,FALSE)</f>
        <v>0.06</v>
      </c>
    </row>
    <row r="46" spans="1:22">
      <c r="A46" s="101" t="str">
        <f>IF(K46&gt;0,COUNT($A$8:A45)
+COUNT('DWV PVC'!$A$9:$A$316)
+COUNT('DWV ABS'!$A$8:$A$116)
+COUNT('PVC SCH40'!$A$8:$A$424)
+COUNT('PVC SCH40 LD'!$A$8:$A$21)
+COUNT('Pool &amp; SPA Sweep Elbows'!$A$8:$A$11)
+COUNT('Pool &amp; SPA Pipe Extender'!$A$8:$A$10)
+COUNT('PVC SCH80'!$A$8:$A$249)
+COUNT('PVC SCH80 Flange'!$A$8:$A$48)
+COUNT('PVC SCH80 LD Flange'!$A$8:$A$16)+1,"")</f>
        <v/>
      </c>
      <c r="B46" s="646"/>
      <c r="C46" s="647"/>
      <c r="D46" s="426" t="str">
        <f>_xlfn.XLOOKUP(E46,'All Products'!D:D,'All Products'!C:C,FALSE)</f>
        <v>4129-012</v>
      </c>
      <c r="E46" s="125">
        <v>300005802</v>
      </c>
      <c r="F46" s="427" t="str">
        <f>_xlfn.XLOOKUP(E46,'All Products'!D:D,'All Products'!E:E,FALSE)</f>
        <v>CPVC COUPLING ASTM 1.1/4</v>
      </c>
      <c r="G46" s="428">
        <f>_xlfn.XLOOKUP(E46,'All Products'!D:D,'All Products'!F:F,FALSE)</f>
        <v>100</v>
      </c>
      <c r="H46" s="428" t="str">
        <f>_xlfn.XLOOKUP(E46,'All Products'!D:D,'All Products'!G:G,FALSE)</f>
        <v>-</v>
      </c>
      <c r="I46" s="269" t="str">
        <f>_xlfn.XLOOKUP(E46,'All Products'!D:D,'All Products'!H:H,FALSE)</f>
        <v>Quote Required</v>
      </c>
      <c r="J46" s="129">
        <f>IFERROR(ROUNDUP(I46*Order_Quote!$L$11,2),0)</f>
        <v>0</v>
      </c>
      <c r="K46" s="71"/>
      <c r="L46" s="48"/>
      <c r="M46" s="50">
        <f t="shared" si="1"/>
        <v>0</v>
      </c>
      <c r="O46" s="215" t="str">
        <f>_xlfn.XLOOKUP(E46,'All Products'!D:D,'All Products'!I:I,FALSE)</f>
        <v>3 weeks</v>
      </c>
      <c r="P46" s="215" t="str">
        <f>_xlfn.XLOOKUP(E46,'All Products'!D:D,'All Products'!J:J,FALSE)</f>
        <v>Sourced</v>
      </c>
      <c r="Q46" s="266">
        <f>_xlfn.XLOOKUP(E46,'All Products'!D:D,'All Products'!K:K,FALSE)</f>
        <v>810116843657</v>
      </c>
      <c r="R46" s="266" t="str">
        <f>_xlfn.XLOOKUP(E46,'All Products'!D:D,'All Products'!L:L,FALSE)</f>
        <v>-</v>
      </c>
      <c r="S46" s="266" t="str">
        <f>_xlfn.XLOOKUP(E46,'All Products'!D:D,'All Products'!M:M,FALSE)</f>
        <v>-</v>
      </c>
      <c r="T46" s="215">
        <f>_xlfn.XLOOKUP(E46,'All Products'!D:D,'All Products'!N:N,FALSE)</f>
        <v>0.09</v>
      </c>
    </row>
    <row r="47" spans="1:22">
      <c r="A47" s="101" t="str">
        <f>IF(K47&gt;0,COUNT($A$8:A46)
+COUNT('DWV PVC'!$A$9:$A$316)
+COUNT('DWV ABS'!$A$8:$A$116)
+COUNT('PVC SCH40'!$A$8:$A$424)
+COUNT('PVC SCH40 LD'!$A$8:$A$21)
+COUNT('Pool &amp; SPA Sweep Elbows'!$A$8:$A$11)
+COUNT('Pool &amp; SPA Pipe Extender'!$A$8:$A$10)
+COUNT('PVC SCH80'!$A$8:$A$249)
+COUNT('PVC SCH80 Flange'!$A$8:$A$48)
+COUNT('PVC SCH80 LD Flange'!$A$8:$A$16)+1,"")</f>
        <v/>
      </c>
      <c r="B47" s="646"/>
      <c r="C47" s="647"/>
      <c r="D47" s="426" t="str">
        <f>_xlfn.XLOOKUP(E47,'All Products'!D:D,'All Products'!C:C,FALSE)</f>
        <v>4129-015</v>
      </c>
      <c r="E47" s="125">
        <v>300005803</v>
      </c>
      <c r="F47" s="427" t="str">
        <f>_xlfn.XLOOKUP(E47,'All Products'!D:D,'All Products'!E:E,FALSE)</f>
        <v>CPVC COUPLING ASTM 1.1/2</v>
      </c>
      <c r="G47" s="428">
        <f>_xlfn.XLOOKUP(E47,'All Products'!D:D,'All Products'!F:F,FALSE)</f>
        <v>100</v>
      </c>
      <c r="H47" s="428" t="str">
        <f>_xlfn.XLOOKUP(E47,'All Products'!D:D,'All Products'!G:G,FALSE)</f>
        <v>-</v>
      </c>
      <c r="I47" s="269" t="str">
        <f>_xlfn.XLOOKUP(E47,'All Products'!D:D,'All Products'!H:H,FALSE)</f>
        <v>Quote Required</v>
      </c>
      <c r="J47" s="129">
        <f>IFERROR(ROUNDUP(I47*Order_Quote!$L$11,2),0)</f>
        <v>0</v>
      </c>
      <c r="K47" s="71"/>
      <c r="L47" s="48"/>
      <c r="M47" s="46">
        <f t="shared" si="1"/>
        <v>0</v>
      </c>
      <c r="O47" s="215" t="str">
        <f>_xlfn.XLOOKUP(E47,'All Products'!D:D,'All Products'!I:I,FALSE)</f>
        <v>3 weeks</v>
      </c>
      <c r="P47" s="215" t="str">
        <f>_xlfn.XLOOKUP(E47,'All Products'!D:D,'All Products'!J:J,FALSE)</f>
        <v>Sourced</v>
      </c>
      <c r="Q47" s="266" t="str">
        <f>_xlfn.XLOOKUP(E47,'All Products'!D:D,'All Products'!K:K,FALSE)</f>
        <v>-</v>
      </c>
      <c r="R47" s="266" t="str">
        <f>_xlfn.XLOOKUP(E47,'All Products'!D:D,'All Products'!L:L,FALSE)</f>
        <v>-</v>
      </c>
      <c r="S47" s="266" t="str">
        <f>_xlfn.XLOOKUP(E47,'All Products'!D:D,'All Products'!M:M,FALSE)</f>
        <v>-</v>
      </c>
      <c r="T47" s="215">
        <f>_xlfn.XLOOKUP(E47,'All Products'!D:D,'All Products'!N:N,FALSE)</f>
        <v>0.13400000000000001</v>
      </c>
    </row>
    <row r="48" spans="1:22" ht="15" thickBot="1">
      <c r="A48" s="101" t="str">
        <f>IF(K48&gt;0,COUNT($A$8:A47)
+COUNT('DWV PVC'!$A$9:$A$316)
+COUNT('DWV ABS'!$A$8:$A$116)
+COUNT('PVC SCH40'!$A$8:$A$424)
+COUNT('PVC SCH40 LD'!$A$8:$A$21)
+COUNT('Pool &amp; SPA Sweep Elbows'!$A$8:$A$11)
+COUNT('Pool &amp; SPA Pipe Extender'!$A$8:$A$10)
+COUNT('PVC SCH80'!$A$8:$A$249)
+COUNT('PVC SCH80 Flange'!$A$8:$A$48)
+COUNT('PVC SCH80 LD Flange'!$A$8:$A$16)+1,"")</f>
        <v/>
      </c>
      <c r="B48" s="652"/>
      <c r="C48" s="653"/>
      <c r="D48" s="426" t="str">
        <f>_xlfn.XLOOKUP(E48,'All Products'!D:D,'All Products'!C:C,FALSE)</f>
        <v>4129-020</v>
      </c>
      <c r="E48" s="125">
        <v>300005796</v>
      </c>
      <c r="F48" s="427" t="str">
        <f>_xlfn.XLOOKUP(E48,'All Products'!D:D,'All Products'!E:E,FALSE)</f>
        <v>CPVC COUPLING ASTM 2"</v>
      </c>
      <c r="G48" s="428">
        <f>_xlfn.XLOOKUP(E48,'All Products'!D:D,'All Products'!F:F,FALSE)</f>
        <v>50</v>
      </c>
      <c r="H48" s="428" t="str">
        <f>_xlfn.XLOOKUP(E48,'All Products'!D:D,'All Products'!G:G,FALSE)</f>
        <v>-</v>
      </c>
      <c r="I48" s="269" t="str">
        <f>_xlfn.XLOOKUP(E48,'All Products'!D:D,'All Products'!H:H,FALSE)</f>
        <v>Quote Required</v>
      </c>
      <c r="J48" s="129">
        <f>IFERROR(ROUNDUP(I48*Order_Quote!$L$11,2),0)</f>
        <v>0</v>
      </c>
      <c r="K48" s="71"/>
      <c r="L48" s="48"/>
      <c r="M48" s="50">
        <f t="shared" si="1"/>
        <v>0</v>
      </c>
      <c r="O48" s="215" t="str">
        <f>_xlfn.XLOOKUP(E48,'All Products'!D:D,'All Products'!I:I,FALSE)</f>
        <v>3 weeks</v>
      </c>
      <c r="P48" s="215" t="str">
        <f>_xlfn.XLOOKUP(E48,'All Products'!D:D,'All Products'!J:J,FALSE)</f>
        <v>Sourced</v>
      </c>
      <c r="Q48" s="266" t="str">
        <f>_xlfn.XLOOKUP(E48,'All Products'!D:D,'All Products'!K:K,FALSE)</f>
        <v>-</v>
      </c>
      <c r="R48" s="266" t="str">
        <f>_xlfn.XLOOKUP(E48,'All Products'!D:D,'All Products'!L:L,FALSE)</f>
        <v>-</v>
      </c>
      <c r="S48" s="266" t="str">
        <f>_xlfn.XLOOKUP(E48,'All Products'!D:D,'All Products'!M:M,FALSE)</f>
        <v>-</v>
      </c>
      <c r="T48" s="215">
        <f>_xlfn.XLOOKUP(E48,'All Products'!D:D,'All Products'!N:N,FALSE)</f>
        <v>0.317</v>
      </c>
    </row>
    <row r="49" spans="1:22" s="17" customFormat="1" ht="16.2" thickBot="1">
      <c r="A49" s="101" t="str">
        <f>IF(K49&gt;0,COUNT($A$8:A48)
+COUNT('DWV PVC'!$A$9:$A$316)
+COUNT('DWV ABS'!$A$8:$A$116)
+COUNT('PVC SCH40'!$A$8:$A$424)
+COUNT('PVC SCH40 LD'!$A$8:$A$21)
+COUNT('Pool &amp; SPA Sweep Elbows'!$A$8:$A$11)
+COUNT('Pool &amp; SPA Pipe Extender'!$A$8:$A$10)
+COUNT('PVC SCH80'!$A$8:$A$249)
+COUNT('PVC SCH80 Flange'!$A$8:$A$48)
+COUNT('PVC SCH80 LD Flange'!$A$8:$A$16)+1,"")</f>
        <v/>
      </c>
      <c r="B49" s="522" t="s">
        <v>5797</v>
      </c>
      <c r="C49" s="151"/>
      <c r="D49" s="151"/>
      <c r="E49" s="459"/>
      <c r="F49" s="151"/>
      <c r="G49" s="468"/>
      <c r="H49" s="151"/>
      <c r="I49" s="472"/>
      <c r="J49" s="468"/>
      <c r="K49" s="477"/>
      <c r="L49" s="238"/>
      <c r="M49" s="476"/>
      <c r="O49" s="475"/>
      <c r="P49" s="145"/>
      <c r="Q49" s="492"/>
      <c r="R49" s="493"/>
      <c r="S49" s="493"/>
      <c r="T49" s="479"/>
      <c r="U49" s="459"/>
      <c r="V49" s="489"/>
    </row>
    <row r="50" spans="1:22">
      <c r="A50" s="101" t="str">
        <f>IF(K50&gt;0,COUNT($A$8:A49)
+COUNT('DWV PVC'!$A$9:$A$316)
+COUNT('DWV ABS'!$A$8:$A$116)
+COUNT('PVC SCH40'!$A$8:$A$424)
+COUNT('PVC SCH40 LD'!$A$8:$A$21)
+COUNT('Pool &amp; SPA Sweep Elbows'!$A$8:$A$11)
+COUNT('Pool &amp; SPA Pipe Extender'!$A$8:$A$10)
+COUNT('PVC SCH80'!$A$8:$A$249)
+COUNT('PVC SCH80 Flange'!$A$8:$A$48)
+COUNT('PVC SCH80 LD Flange'!$A$8:$A$16)+1,"")</f>
        <v/>
      </c>
      <c r="B50" s="664"/>
      <c r="C50" s="665"/>
      <c r="D50" s="426" t="str">
        <f>_xlfn.XLOOKUP(E50,'All Products'!D:D,'All Products'!C:C,FALSE)</f>
        <v>4129-101</v>
      </c>
      <c r="E50" s="125">
        <v>300005728</v>
      </c>
      <c r="F50" s="427" t="str">
        <f>_xlfn.XLOOKUP(E50,'All Products'!D:D,'All Products'!E:E,FALSE)</f>
        <v>CPVC RED COUPLING 3/4X1/2"</v>
      </c>
      <c r="G50" s="428">
        <f>_xlfn.XLOOKUP(E50,'All Products'!D:D,'All Products'!F:F,FALSE)</f>
        <v>750</v>
      </c>
      <c r="H50" s="428" t="str">
        <f>_xlfn.XLOOKUP(E50,'All Products'!D:D,'All Products'!G:G,FALSE)</f>
        <v>-</v>
      </c>
      <c r="I50" s="269" t="str">
        <f>_xlfn.XLOOKUP(E50,'All Products'!D:D,'All Products'!H:H,FALSE)</f>
        <v>Quote Required</v>
      </c>
      <c r="J50" s="129">
        <f>IFERROR(ROUNDUP(I50*Order_Quote!$L$11,2),0)</f>
        <v>0</v>
      </c>
      <c r="K50" s="71"/>
      <c r="L50" s="48"/>
      <c r="M50" s="50">
        <f t="shared" si="1"/>
        <v>0</v>
      </c>
      <c r="O50" s="215" t="str">
        <f>_xlfn.XLOOKUP(E50,'All Products'!D:D,'All Products'!I:I,FALSE)</f>
        <v>3 weeks</v>
      </c>
      <c r="P50" s="215" t="str">
        <f>_xlfn.XLOOKUP(E50,'All Products'!D:D,'All Products'!J:J,FALSE)</f>
        <v>Sourced</v>
      </c>
      <c r="Q50" s="266" t="str">
        <f>_xlfn.XLOOKUP(E50,'All Products'!D:D,'All Products'!K:K,FALSE)</f>
        <v>-</v>
      </c>
      <c r="R50" s="266" t="str">
        <f>_xlfn.XLOOKUP(E50,'All Products'!D:D,'All Products'!L:L,FALSE)</f>
        <v>-</v>
      </c>
      <c r="S50" s="266" t="str">
        <f>_xlfn.XLOOKUP(E50,'All Products'!D:D,'All Products'!M:M,FALSE)</f>
        <v>-</v>
      </c>
      <c r="T50" s="215">
        <f>_xlfn.XLOOKUP(E50,'All Products'!D:D,'All Products'!N:N,FALSE)</f>
        <v>0.01</v>
      </c>
    </row>
    <row r="51" spans="1:22" ht="14.25" customHeight="1">
      <c r="A51" s="101" t="str">
        <f>IF(K51&gt;0,COUNT($A$8:A50)
+COUNT('DWV PVC'!$A$9:$A$316)
+COUNT('DWV ABS'!$A$8:$A$116)
+COUNT('PVC SCH40'!$A$8:$A$424)
+COUNT('PVC SCH40 LD'!$A$8:$A$21)
+COUNT('Pool &amp; SPA Sweep Elbows'!$A$8:$A$11)
+COUNT('Pool &amp; SPA Pipe Extender'!$A$8:$A$10)
+COUNT('PVC SCH80'!$A$8:$A$249)
+COUNT('PVC SCH80 Flange'!$A$8:$A$48)
+COUNT('PVC SCH80 LD Flange'!$A$8:$A$16)+1,"")</f>
        <v/>
      </c>
      <c r="B51" s="652"/>
      <c r="C51" s="653"/>
      <c r="D51" s="426" t="str">
        <f>_xlfn.XLOOKUP(E51,'All Products'!D:D,'All Products'!C:C,FALSE)</f>
        <v>4129-131</v>
      </c>
      <c r="E51" s="125">
        <v>300005723</v>
      </c>
      <c r="F51" s="427" t="str">
        <f>_xlfn.XLOOKUP(E51,'All Products'!D:D,'All Products'!E:E,FALSE)</f>
        <v>CPVC RED COUPLING 1X3/4"</v>
      </c>
      <c r="G51" s="428">
        <f>_xlfn.XLOOKUP(E51,'All Products'!D:D,'All Products'!F:F,FALSE)</f>
        <v>350</v>
      </c>
      <c r="H51" s="428" t="str">
        <f>_xlfn.XLOOKUP(E51,'All Products'!D:D,'All Products'!G:G,FALSE)</f>
        <v>-</v>
      </c>
      <c r="I51" s="269" t="str">
        <f>_xlfn.XLOOKUP(E51,'All Products'!D:D,'All Products'!H:H,FALSE)</f>
        <v>Quote Required</v>
      </c>
      <c r="J51" s="129">
        <f>IFERROR(ROUNDUP(I51*Order_Quote!$L$11,2),0)</f>
        <v>0</v>
      </c>
      <c r="K51" s="71"/>
      <c r="L51" s="48"/>
      <c r="M51" s="50">
        <f t="shared" si="1"/>
        <v>0</v>
      </c>
      <c r="O51" s="215" t="str">
        <f>_xlfn.XLOOKUP(E51,'All Products'!D:D,'All Products'!I:I,FALSE)</f>
        <v>3 weeks</v>
      </c>
      <c r="P51" s="215" t="str">
        <f>_xlfn.XLOOKUP(E51,'All Products'!D:D,'All Products'!J:J,FALSE)</f>
        <v>Sourced</v>
      </c>
      <c r="Q51" s="266" t="str">
        <f>_xlfn.XLOOKUP(E51,'All Products'!D:D,'All Products'!K:K,FALSE)</f>
        <v>-</v>
      </c>
      <c r="R51" s="266" t="str">
        <f>_xlfn.XLOOKUP(E51,'All Products'!D:D,'All Products'!L:L,FALSE)</f>
        <v>-</v>
      </c>
      <c r="S51" s="266" t="str">
        <f>_xlfn.XLOOKUP(E51,'All Products'!D:D,'All Products'!M:M,FALSE)</f>
        <v>-</v>
      </c>
      <c r="T51" s="215">
        <f>_xlfn.XLOOKUP(E51,'All Products'!D:D,'All Products'!N:N,FALSE)</f>
        <v>1.7999999999999999E-2</v>
      </c>
    </row>
    <row r="52" spans="1:22">
      <c r="A52" s="101" t="str">
        <f>IF(K52&gt;0,COUNT($A$8:A51)
+COUNT('DWV PVC'!$A$9:$A$316)
+COUNT('DWV ABS'!$A$8:$A$116)
+COUNT('PVC SCH40'!$A$8:$A$424)
+COUNT('PVC SCH40 LD'!$A$8:$A$21)
+COUNT('Pool &amp; SPA Sweep Elbows'!$A$8:$A$11)
+COUNT('Pool &amp; SPA Pipe Extender'!$A$8:$A$10)
+COUNT('PVC SCH80'!$A$8:$A$249)
+COUNT('PVC SCH80 Flange'!$A$8:$A$48)
+COUNT('PVC SCH80 LD Flange'!$A$8:$A$16)+1,"")</f>
        <v/>
      </c>
      <c r="B52" s="644"/>
      <c r="C52" s="645"/>
      <c r="D52" s="426" t="str">
        <f>_xlfn.XLOOKUP(E52,'All Products'!D:D,'All Products'!C:C,FALSE)</f>
        <v>4135-005</v>
      </c>
      <c r="E52" s="125">
        <v>300005721</v>
      </c>
      <c r="F52" s="427" t="str">
        <f>_xlfn.XLOOKUP(E52,'All Products'!D:D,'All Products'!E:E,FALSE)</f>
        <v>1/2" CPVC FEMALE ADAPTER</v>
      </c>
      <c r="G52" s="428">
        <f>_xlfn.XLOOKUP(E52,'All Products'!D:D,'All Products'!F:F,FALSE)</f>
        <v>500</v>
      </c>
      <c r="H52" s="428" t="str">
        <f>_xlfn.XLOOKUP(E52,'All Products'!D:D,'All Products'!G:G,FALSE)</f>
        <v>-</v>
      </c>
      <c r="I52" s="269" t="str">
        <f>_xlfn.XLOOKUP(E52,'All Products'!D:D,'All Products'!H:H,FALSE)</f>
        <v>Quote Required</v>
      </c>
      <c r="J52" s="129">
        <f>IFERROR(ROUNDUP(I52*Order_Quote!$L$11,2),0)</f>
        <v>0</v>
      </c>
      <c r="K52" s="71"/>
      <c r="L52" s="48"/>
      <c r="M52" s="50">
        <f t="shared" si="1"/>
        <v>0</v>
      </c>
      <c r="O52" s="215" t="str">
        <f>_xlfn.XLOOKUP(E52,'All Products'!D:D,'All Products'!I:I,FALSE)</f>
        <v>3 weeks</v>
      </c>
      <c r="P52" s="215" t="str">
        <f>_xlfn.XLOOKUP(E52,'All Products'!D:D,'All Products'!J:J,FALSE)</f>
        <v>Sourced</v>
      </c>
      <c r="Q52" s="266" t="str">
        <f>_xlfn.XLOOKUP(E52,'All Products'!D:D,'All Products'!K:K,FALSE)</f>
        <v>-</v>
      </c>
      <c r="R52" s="266" t="str">
        <f>_xlfn.XLOOKUP(E52,'All Products'!D:D,'All Products'!L:L,FALSE)</f>
        <v>-</v>
      </c>
      <c r="S52" s="266" t="str">
        <f>_xlfn.XLOOKUP(E52,'All Products'!D:D,'All Products'!M:M,FALSE)</f>
        <v>-</v>
      </c>
      <c r="T52" s="215">
        <f>_xlfn.XLOOKUP(E52,'All Products'!D:D,'All Products'!N:N,FALSE)</f>
        <v>0.01</v>
      </c>
    </row>
    <row r="53" spans="1:22">
      <c r="A53" s="101" t="str">
        <f>IF(K53&gt;0,COUNT($A$8:A52)
+COUNT('DWV PVC'!$A$9:$A$316)
+COUNT('DWV ABS'!$A$8:$A$116)
+COUNT('PVC SCH40'!$A$8:$A$424)
+COUNT('PVC SCH40 LD'!$A$8:$A$21)
+COUNT('Pool &amp; SPA Sweep Elbows'!$A$8:$A$11)
+COUNT('Pool &amp; SPA Pipe Extender'!$A$8:$A$10)
+COUNT('PVC SCH80'!$A$8:$A$249)
+COUNT('PVC SCH80 Flange'!$A$8:$A$48)
+COUNT('PVC SCH80 LD Flange'!$A$8:$A$16)+1,"")</f>
        <v/>
      </c>
      <c r="B53" s="646"/>
      <c r="C53" s="647"/>
      <c r="D53" s="426" t="str">
        <f>_xlfn.XLOOKUP(E53,'All Products'!D:D,'All Products'!C:C,FALSE)</f>
        <v>4135-007</v>
      </c>
      <c r="E53" s="125">
        <v>300005722</v>
      </c>
      <c r="F53" s="427" t="str">
        <f>_xlfn.XLOOKUP(E53,'All Products'!D:D,'All Products'!E:E,FALSE)</f>
        <v>3/4" CPVC FEMALE ADAPTER</v>
      </c>
      <c r="G53" s="428">
        <f>_xlfn.XLOOKUP(E53,'All Products'!D:D,'All Products'!F:F,FALSE)</f>
        <v>250</v>
      </c>
      <c r="H53" s="428" t="str">
        <f>_xlfn.XLOOKUP(E53,'All Products'!D:D,'All Products'!G:G,FALSE)</f>
        <v>-</v>
      </c>
      <c r="I53" s="269" t="str">
        <f>_xlfn.XLOOKUP(E53,'All Products'!D:D,'All Products'!H:H,FALSE)</f>
        <v>Quote Required</v>
      </c>
      <c r="J53" s="129">
        <f>IFERROR(ROUNDUP(I53*Order_Quote!$L$11,2),0)</f>
        <v>0</v>
      </c>
      <c r="K53" s="71"/>
      <c r="L53" s="48"/>
      <c r="M53" s="50">
        <f t="shared" si="1"/>
        <v>0</v>
      </c>
      <c r="O53" s="215" t="str">
        <f>_xlfn.XLOOKUP(E53,'All Products'!D:D,'All Products'!I:I,FALSE)</f>
        <v>3 weeks</v>
      </c>
      <c r="P53" s="215" t="str">
        <f>_xlfn.XLOOKUP(E53,'All Products'!D:D,'All Products'!J:J,FALSE)</f>
        <v>Sourced</v>
      </c>
      <c r="Q53" s="266">
        <f>_xlfn.XLOOKUP(E53,'All Products'!D:D,'All Products'!K:K,FALSE)</f>
        <v>810116843701</v>
      </c>
      <c r="R53" s="266" t="str">
        <f>_xlfn.XLOOKUP(E53,'All Products'!D:D,'All Products'!L:L,FALSE)</f>
        <v>-</v>
      </c>
      <c r="S53" s="266" t="str">
        <f>_xlfn.XLOOKUP(E53,'All Products'!D:D,'All Products'!M:M,FALSE)</f>
        <v>-</v>
      </c>
      <c r="T53" s="215">
        <f>_xlfn.XLOOKUP(E53,'All Products'!D:D,'All Products'!N:N,FALSE)</f>
        <v>1.7999999999999999E-2</v>
      </c>
    </row>
    <row r="54" spans="1:22" ht="14.25" customHeight="1" thickBot="1">
      <c r="A54" s="101" t="str">
        <f>IF(K54&gt;0,COUNT($A$8:A53)
+COUNT('DWV PVC'!$A$9:$A$316)
+COUNT('DWV ABS'!$A$8:$A$116)
+COUNT('PVC SCH40'!$A$8:$A$424)
+COUNT('PVC SCH40 LD'!$A$8:$A$21)
+COUNT('Pool &amp; SPA Sweep Elbows'!$A$8:$A$11)
+COUNT('Pool &amp; SPA Pipe Extender'!$A$8:$A$10)
+COUNT('PVC SCH80'!$A$8:$A$249)
+COUNT('PVC SCH80 Flange'!$A$8:$A$48)
+COUNT('PVC SCH80 LD Flange'!$A$8:$A$16)+1,"")</f>
        <v/>
      </c>
      <c r="B54" s="666"/>
      <c r="C54" s="667"/>
      <c r="D54" s="426" t="str">
        <f>_xlfn.XLOOKUP(E54,'All Products'!D:D,'All Products'!C:C,FALSE)</f>
        <v>4135-010</v>
      </c>
      <c r="E54" s="125">
        <v>300005718</v>
      </c>
      <c r="F54" s="427" t="str">
        <f>_xlfn.XLOOKUP(E54,'All Products'!D:D,'All Products'!E:E,FALSE)</f>
        <v>1" CPVC FEMALE ADAPTER</v>
      </c>
      <c r="G54" s="428">
        <f>_xlfn.XLOOKUP(E54,'All Products'!D:D,'All Products'!F:F,FALSE)</f>
        <v>100</v>
      </c>
      <c r="H54" s="428" t="str">
        <f>_xlfn.XLOOKUP(E54,'All Products'!D:D,'All Products'!G:G,FALSE)</f>
        <v>-</v>
      </c>
      <c r="I54" s="269" t="str">
        <f>_xlfn.XLOOKUP(E54,'All Products'!D:D,'All Products'!H:H,FALSE)</f>
        <v>Quote Required</v>
      </c>
      <c r="J54" s="129">
        <f>IFERROR(ROUNDUP(I54*Order_Quote!$L$11,2),0)</f>
        <v>0</v>
      </c>
      <c r="K54" s="71"/>
      <c r="L54" s="48"/>
      <c r="M54" s="50">
        <f t="shared" si="1"/>
        <v>0</v>
      </c>
      <c r="O54" s="215" t="str">
        <f>_xlfn.XLOOKUP(E54,'All Products'!D:D,'All Products'!I:I,FALSE)</f>
        <v>3 weeks</v>
      </c>
      <c r="P54" s="215" t="str">
        <f>_xlfn.XLOOKUP(E54,'All Products'!D:D,'All Products'!J:J,FALSE)</f>
        <v>Sourced</v>
      </c>
      <c r="Q54" s="266" t="str">
        <f>_xlfn.XLOOKUP(E54,'All Products'!D:D,'All Products'!K:K,FALSE)</f>
        <v>-</v>
      </c>
      <c r="R54" s="266" t="str">
        <f>_xlfn.XLOOKUP(E54,'All Products'!D:D,'All Products'!L:L,FALSE)</f>
        <v>-</v>
      </c>
      <c r="S54" s="266" t="str">
        <f>_xlfn.XLOOKUP(E54,'All Products'!D:D,'All Products'!M:M,FALSE)</f>
        <v>-</v>
      </c>
      <c r="T54" s="215">
        <f>_xlfn.XLOOKUP(E54,'All Products'!D:D,'All Products'!N:N,FALSE)</f>
        <v>0.04</v>
      </c>
    </row>
    <row r="55" spans="1:22" s="17" customFormat="1" ht="16.2" thickBot="1">
      <c r="A55" s="101" t="str">
        <f>IF(K55&gt;0,COUNT($A$8:A54)
+COUNT('DWV PVC'!$A$9:$A$316)
+COUNT('DWV ABS'!$A$8:$A$116)
+COUNT('PVC SCH40'!$A$8:$A$424)
+COUNT('PVC SCH40 LD'!$A$8:$A$21)
+COUNT('Pool &amp; SPA Sweep Elbows'!$A$8:$A$11)
+COUNT('Pool &amp; SPA Pipe Extender'!$A$8:$A$10)
+COUNT('PVC SCH80'!$A$8:$A$249)
+COUNT('PVC SCH80 Flange'!$A$8:$A$48)
+COUNT('PVC SCH80 LD Flange'!$A$8:$A$16)+1,"")</f>
        <v/>
      </c>
      <c r="B55" s="522" t="s">
        <v>5833</v>
      </c>
      <c r="C55" s="151"/>
      <c r="D55" s="151"/>
      <c r="E55" s="459"/>
      <c r="F55" s="151"/>
      <c r="G55" s="468"/>
      <c r="H55" s="151"/>
      <c r="I55" s="472"/>
      <c r="J55" s="468"/>
      <c r="K55" s="477"/>
      <c r="L55" s="238"/>
      <c r="M55" s="476"/>
      <c r="O55" s="475"/>
      <c r="P55" s="145"/>
      <c r="Q55" s="492"/>
      <c r="R55" s="493"/>
      <c r="S55" s="493"/>
      <c r="T55" s="479"/>
      <c r="U55" s="459"/>
      <c r="V55" s="489"/>
    </row>
    <row r="56" spans="1:22">
      <c r="A56" s="101" t="str">
        <f>IF(K56&gt;0,COUNT($A$8:A55)
+COUNT('DWV PVC'!$A$9:$A$316)
+COUNT('DWV ABS'!$A$8:$A$116)
+COUNT('PVC SCH40'!$A$8:$A$424)
+COUNT('PVC SCH40 LD'!$A$8:$A$21)
+COUNT('Pool &amp; SPA Sweep Elbows'!$A$8:$A$11)
+COUNT('Pool &amp; SPA Pipe Extender'!$A$8:$A$10)
+COUNT('PVC SCH80'!$A$8:$A$249)
+COUNT('PVC SCH80 Flange'!$A$8:$A$48)
+COUNT('PVC SCH80 LD Flange'!$A$8:$A$16)+1,"")</f>
        <v/>
      </c>
      <c r="B56" s="644"/>
      <c r="C56" s="645"/>
      <c r="D56" s="426" t="str">
        <f>_xlfn.XLOOKUP(E56,'All Products'!D:D,'All Products'!C:C,FALSE)</f>
        <v>4135-005BR</v>
      </c>
      <c r="E56" s="125">
        <v>300006056</v>
      </c>
      <c r="F56" s="427" t="str">
        <f>_xlfn.XLOOKUP(E56,'All Products'!D:D,'All Products'!E:E,FALSE)</f>
        <v>CPVC FEMALE ADAPTER ASTM 1/2" BRASS X CPVC</v>
      </c>
      <c r="G56" s="428">
        <f>_xlfn.XLOOKUP(E56,'All Products'!D:D,'All Products'!F:F,FALSE)</f>
        <v>500</v>
      </c>
      <c r="H56" s="428" t="str">
        <f>_xlfn.XLOOKUP(E56,'All Products'!D:D,'All Products'!G:G,FALSE)</f>
        <v>-</v>
      </c>
      <c r="I56" s="269" t="str">
        <f>_xlfn.XLOOKUP(E56,'All Products'!D:D,'All Products'!H:H,FALSE)</f>
        <v>Quote Required</v>
      </c>
      <c r="J56" s="129">
        <f>IFERROR(ROUNDUP(I56*Order_Quote!$L$11,2),0)</f>
        <v>0</v>
      </c>
      <c r="K56" s="71"/>
      <c r="L56" s="48"/>
      <c r="M56" s="46">
        <f t="shared" si="1"/>
        <v>0</v>
      </c>
      <c r="O56" s="215" t="str">
        <f>_xlfn.XLOOKUP(E56,'All Products'!D:D,'All Products'!I:I,FALSE)</f>
        <v>3 weeks</v>
      </c>
      <c r="P56" s="215" t="str">
        <f>_xlfn.XLOOKUP(E56,'All Products'!D:D,'All Products'!J:J,FALSE)</f>
        <v>Sourced</v>
      </c>
      <c r="Q56" s="266">
        <f>_xlfn.XLOOKUP(E56,'All Products'!D:D,'All Products'!K:K,FALSE)</f>
        <v>810673012268</v>
      </c>
      <c r="R56" s="266" t="str">
        <f>_xlfn.XLOOKUP(E56,'All Products'!D:D,'All Products'!L:L,FALSE)</f>
        <v>-</v>
      </c>
      <c r="S56" s="266">
        <f>_xlfn.XLOOKUP(E56,'All Products'!D:D,'All Products'!M:M,FALSE)</f>
        <v>10810673012265</v>
      </c>
      <c r="T56" s="215">
        <f>_xlfn.XLOOKUP(E56,'All Products'!D:D,'All Products'!N:N,FALSE)</f>
        <v>8.2000000000000003E-2</v>
      </c>
    </row>
    <row r="57" spans="1:22">
      <c r="A57" s="101" t="str">
        <f>IF(K57&gt;0,COUNT($A$8:A56)
+COUNT('DWV PVC'!$A$9:$A$316)
+COUNT('DWV ABS'!$A$8:$A$116)
+COUNT('PVC SCH40'!$A$8:$A$424)
+COUNT('PVC SCH40 LD'!$A$8:$A$21)
+COUNT('Pool &amp; SPA Sweep Elbows'!$A$8:$A$11)
+COUNT('Pool &amp; SPA Pipe Extender'!$A$8:$A$10)
+COUNT('PVC SCH80'!$A$8:$A$249)
+COUNT('PVC SCH80 Flange'!$A$8:$A$48)
+COUNT('PVC SCH80 LD Flange'!$A$8:$A$16)+1,"")</f>
        <v/>
      </c>
      <c r="B57" s="646"/>
      <c r="C57" s="647"/>
      <c r="D57" s="426" t="str">
        <f>_xlfn.XLOOKUP(E57,'All Products'!D:D,'All Products'!C:C,FALSE)</f>
        <v>4135-007BR</v>
      </c>
      <c r="E57" s="125">
        <v>300006055</v>
      </c>
      <c r="F57" s="427" t="str">
        <f>_xlfn.XLOOKUP(E57,'All Products'!D:D,'All Products'!E:E,FALSE)</f>
        <v>CPVC FEMALE ADAPTER ASTM 3/4" BRASS X CPVC</v>
      </c>
      <c r="G57" s="428">
        <f>_xlfn.XLOOKUP(E57,'All Products'!D:D,'All Products'!F:F,FALSE)</f>
        <v>250</v>
      </c>
      <c r="H57" s="428" t="str">
        <f>_xlfn.XLOOKUP(E57,'All Products'!D:D,'All Products'!G:G,FALSE)</f>
        <v>-</v>
      </c>
      <c r="I57" s="269" t="str">
        <f>_xlfn.XLOOKUP(E57,'All Products'!D:D,'All Products'!H:H,FALSE)</f>
        <v>Quote Required</v>
      </c>
      <c r="J57" s="129">
        <f>IFERROR(ROUNDUP(I57*Order_Quote!$L$11,2),0)</f>
        <v>0</v>
      </c>
      <c r="K57" s="71"/>
      <c r="L57" s="48"/>
      <c r="M57" s="50">
        <f t="shared" si="1"/>
        <v>0</v>
      </c>
      <c r="O57" s="215" t="str">
        <f>_xlfn.XLOOKUP(E57,'All Products'!D:D,'All Products'!I:I,FALSE)</f>
        <v>3 weeks</v>
      </c>
      <c r="P57" s="215" t="str">
        <f>_xlfn.XLOOKUP(E57,'All Products'!D:D,'All Products'!J:J,FALSE)</f>
        <v>Sourced</v>
      </c>
      <c r="Q57" s="266">
        <f>_xlfn.XLOOKUP(E57,'All Products'!D:D,'All Products'!K:K,FALSE)</f>
        <v>810673012275</v>
      </c>
      <c r="R57" s="266" t="str">
        <f>_xlfn.XLOOKUP(E57,'All Products'!D:D,'All Products'!L:L,FALSE)</f>
        <v>-</v>
      </c>
      <c r="S57" s="266">
        <f>_xlfn.XLOOKUP(E57,'All Products'!D:D,'All Products'!M:M,FALSE)</f>
        <v>10810673012272</v>
      </c>
      <c r="T57" s="215">
        <f>_xlfn.XLOOKUP(E57,'All Products'!D:D,'All Products'!N:N,FALSE)</f>
        <v>0.126</v>
      </c>
    </row>
    <row r="58" spans="1:22">
      <c r="A58" s="101" t="str">
        <f>IF(K58&gt;0,COUNT($A$8:A57)
+COUNT('DWV PVC'!$A$9:$A$316)
+COUNT('DWV ABS'!$A$8:$A$116)
+COUNT('PVC SCH40'!$A$8:$A$424)
+COUNT('PVC SCH40 LD'!$A$8:$A$21)
+COUNT('Pool &amp; SPA Sweep Elbows'!$A$8:$A$11)
+COUNT('Pool &amp; SPA Pipe Extender'!$A$8:$A$10)
+COUNT('PVC SCH80'!$A$8:$A$249)
+COUNT('PVC SCH80 Flange'!$A$8:$A$48)
+COUNT('PVC SCH80 LD Flange'!$A$8:$A$16)+1,"")</f>
        <v/>
      </c>
      <c r="B58" s="646"/>
      <c r="C58" s="647"/>
      <c r="D58" s="426" t="str">
        <f>_xlfn.XLOOKUP(E58,'All Products'!D:D,'All Products'!C:C,FALSE)</f>
        <v>4135-010BR</v>
      </c>
      <c r="E58" s="125">
        <v>300005828</v>
      </c>
      <c r="F58" s="427" t="str">
        <f>_xlfn.XLOOKUP(E58,'All Products'!D:D,'All Products'!E:E,FALSE)</f>
        <v>CPVC FEMALE ADAPTER ASTM 1" BRASS X CPVC</v>
      </c>
      <c r="G58" s="428">
        <f>_xlfn.XLOOKUP(E58,'All Products'!D:D,'All Products'!F:F,FALSE)</f>
        <v>100</v>
      </c>
      <c r="H58" s="428" t="str">
        <f>_xlfn.XLOOKUP(E58,'All Products'!D:D,'All Products'!G:G,FALSE)</f>
        <v>-</v>
      </c>
      <c r="I58" s="269" t="str">
        <f>_xlfn.XLOOKUP(E58,'All Products'!D:D,'All Products'!H:H,FALSE)</f>
        <v>Quote Required</v>
      </c>
      <c r="J58" s="129">
        <f>IFERROR(ROUNDUP(I58*Order_Quote!$L$11,2),0)</f>
        <v>0</v>
      </c>
      <c r="K58" s="71"/>
      <c r="L58" s="48"/>
      <c r="M58" s="46">
        <f t="shared" si="1"/>
        <v>0</v>
      </c>
      <c r="O58" s="215" t="str">
        <f>_xlfn.XLOOKUP(E58,'All Products'!D:D,'All Products'!I:I,FALSE)</f>
        <v>3 weeks</v>
      </c>
      <c r="P58" s="215" t="str">
        <f>_xlfn.XLOOKUP(E58,'All Products'!D:D,'All Products'!J:J,FALSE)</f>
        <v>Sourced</v>
      </c>
      <c r="Q58" s="266" t="str">
        <f>_xlfn.XLOOKUP(E58,'All Products'!D:D,'All Products'!K:K,FALSE)</f>
        <v>-</v>
      </c>
      <c r="R58" s="266" t="str">
        <f>_xlfn.XLOOKUP(E58,'All Products'!D:D,'All Products'!L:L,FALSE)</f>
        <v>-</v>
      </c>
      <c r="S58" s="266" t="str">
        <f>_xlfn.XLOOKUP(E58,'All Products'!D:D,'All Products'!M:M,FALSE)</f>
        <v>-</v>
      </c>
      <c r="T58" s="215">
        <f>_xlfn.XLOOKUP(E58,'All Products'!D:D,'All Products'!N:N,FALSE)</f>
        <v>0.23799999999999999</v>
      </c>
    </row>
    <row r="59" spans="1:22">
      <c r="A59" s="101" t="str">
        <f>IF(K59&gt;0,COUNT($A$8:A58)
+COUNT('DWV PVC'!$A$9:$A$316)
+COUNT('DWV ABS'!$A$8:$A$116)
+COUNT('PVC SCH40'!$A$8:$A$424)
+COUNT('PVC SCH40 LD'!$A$8:$A$21)
+COUNT('Pool &amp; SPA Sweep Elbows'!$A$8:$A$11)
+COUNT('Pool &amp; SPA Pipe Extender'!$A$8:$A$10)
+COUNT('PVC SCH80'!$A$8:$A$249)
+COUNT('PVC SCH80 Flange'!$A$8:$A$48)
+COUNT('PVC SCH80 LD Flange'!$A$8:$A$16)+1,"")</f>
        <v/>
      </c>
      <c r="B59" s="646"/>
      <c r="C59" s="647"/>
      <c r="D59" s="426" t="str">
        <f>_xlfn.XLOOKUP(E59,'All Products'!D:D,'All Products'!C:C,FALSE)</f>
        <v>4135-012BR</v>
      </c>
      <c r="E59" s="125">
        <v>300005741</v>
      </c>
      <c r="F59" s="427" t="str">
        <f>_xlfn.XLOOKUP(E59,'All Products'!D:D,'All Products'!E:E,FALSE)</f>
        <v>CPVC FEMALE ADAPTER ASTM 1.1/4" BRASS X CPVC</v>
      </c>
      <c r="G59" s="428">
        <f>_xlfn.XLOOKUP(E59,'All Products'!D:D,'All Products'!F:F,FALSE)</f>
        <v>100</v>
      </c>
      <c r="H59" s="428" t="str">
        <f>_xlfn.XLOOKUP(E59,'All Products'!D:D,'All Products'!G:G,FALSE)</f>
        <v>-</v>
      </c>
      <c r="I59" s="269" t="str">
        <f>_xlfn.XLOOKUP(E59,'All Products'!D:D,'All Products'!H:H,FALSE)</f>
        <v>Quote Required</v>
      </c>
      <c r="J59" s="129">
        <f>IFERROR(ROUNDUP(I59*Order_Quote!$L$11,2),0)</f>
        <v>0</v>
      </c>
      <c r="K59" s="71"/>
      <c r="L59" s="48"/>
      <c r="M59" s="50">
        <f t="shared" si="1"/>
        <v>0</v>
      </c>
      <c r="O59" s="215" t="str">
        <f>_xlfn.XLOOKUP(E59,'All Products'!D:D,'All Products'!I:I,FALSE)</f>
        <v>3 weeks</v>
      </c>
      <c r="P59" s="215" t="str">
        <f>_xlfn.XLOOKUP(E59,'All Products'!D:D,'All Products'!J:J,FALSE)</f>
        <v>Sourced</v>
      </c>
      <c r="Q59" s="266" t="str">
        <f>_xlfn.XLOOKUP(E59,'All Products'!D:D,'All Products'!K:K,FALSE)</f>
        <v>-</v>
      </c>
      <c r="R59" s="266" t="str">
        <f>_xlfn.XLOOKUP(E59,'All Products'!D:D,'All Products'!L:L,FALSE)</f>
        <v>-</v>
      </c>
      <c r="S59" s="266" t="str">
        <f>_xlfn.XLOOKUP(E59,'All Products'!D:D,'All Products'!M:M,FALSE)</f>
        <v>-</v>
      </c>
      <c r="T59" s="215">
        <f>_xlfn.XLOOKUP(E59,'All Products'!D:D,'All Products'!N:N,FALSE)</f>
        <v>0.85299999999999998</v>
      </c>
    </row>
    <row r="60" spans="1:22">
      <c r="A60" s="101" t="str">
        <f>IF(K60&gt;0,COUNT($A$8:A59)
+COUNT('DWV PVC'!$A$9:$A$316)
+COUNT('DWV ABS'!$A$8:$A$116)
+COUNT('PVC SCH40'!$A$8:$A$424)
+COUNT('PVC SCH40 LD'!$A$8:$A$21)
+COUNT('Pool &amp; SPA Sweep Elbows'!$A$8:$A$11)
+COUNT('Pool &amp; SPA Pipe Extender'!$A$8:$A$10)
+COUNT('PVC SCH80'!$A$8:$A$249)
+COUNT('PVC SCH80 Flange'!$A$8:$A$48)
+COUNT('PVC SCH80 LD Flange'!$A$8:$A$16)+1,"")</f>
        <v/>
      </c>
      <c r="B60" s="646"/>
      <c r="C60" s="647"/>
      <c r="D60" s="426" t="str">
        <f>_xlfn.XLOOKUP(E60,'All Products'!D:D,'All Products'!C:C,FALSE)</f>
        <v>4135-015BR</v>
      </c>
      <c r="E60" s="125">
        <v>300005742</v>
      </c>
      <c r="F60" s="427" t="str">
        <f>_xlfn.XLOOKUP(E60,'All Products'!D:D,'All Products'!E:E,FALSE)</f>
        <v>CPVC FEMALE ADAPTER ASTM 1.1/2" BRASS X CPVC</v>
      </c>
      <c r="G60" s="428">
        <f>_xlfn.XLOOKUP(E60,'All Products'!D:D,'All Products'!F:F,FALSE)</f>
        <v>100</v>
      </c>
      <c r="H60" s="428" t="str">
        <f>_xlfn.XLOOKUP(E60,'All Products'!D:D,'All Products'!G:G,FALSE)</f>
        <v>-</v>
      </c>
      <c r="I60" s="269" t="str">
        <f>_xlfn.XLOOKUP(E60,'All Products'!D:D,'All Products'!H:H,FALSE)</f>
        <v>Quote Required</v>
      </c>
      <c r="J60" s="129">
        <f>IFERROR(ROUNDUP(I60*Order_Quote!$L$11,2),0)</f>
        <v>0</v>
      </c>
      <c r="K60" s="71"/>
      <c r="L60" s="48"/>
      <c r="M60" s="46">
        <f t="shared" si="1"/>
        <v>0</v>
      </c>
      <c r="O60" s="215" t="str">
        <f>_xlfn.XLOOKUP(E60,'All Products'!D:D,'All Products'!I:I,FALSE)</f>
        <v>3 weeks</v>
      </c>
      <c r="P60" s="215" t="str">
        <f>_xlfn.XLOOKUP(E60,'All Products'!D:D,'All Products'!J:J,FALSE)</f>
        <v>Sourced</v>
      </c>
      <c r="Q60" s="266" t="str">
        <f>_xlfn.XLOOKUP(E60,'All Products'!D:D,'All Products'!K:K,FALSE)</f>
        <v>-</v>
      </c>
      <c r="R60" s="266" t="str">
        <f>_xlfn.XLOOKUP(E60,'All Products'!D:D,'All Products'!L:L,FALSE)</f>
        <v>-</v>
      </c>
      <c r="S60" s="266" t="str">
        <f>_xlfn.XLOOKUP(E60,'All Products'!D:D,'All Products'!M:M,FALSE)</f>
        <v>-</v>
      </c>
      <c r="T60" s="215">
        <f>_xlfn.XLOOKUP(E60,'All Products'!D:D,'All Products'!N:N,FALSE)</f>
        <v>1.113</v>
      </c>
    </row>
    <row r="61" spans="1:22">
      <c r="A61" s="101" t="str">
        <f>IF(K61&gt;0,COUNT($A$8:A60)
+COUNT('DWV PVC'!$A$9:$A$316)
+COUNT('DWV ABS'!$A$8:$A$116)
+COUNT('PVC SCH40'!$A$8:$A$424)
+COUNT('PVC SCH40 LD'!$A$8:$A$21)
+COUNT('Pool &amp; SPA Sweep Elbows'!$A$8:$A$11)
+COUNT('Pool &amp; SPA Pipe Extender'!$A$8:$A$10)
+COUNT('PVC SCH80'!$A$8:$A$249)
+COUNT('PVC SCH80 Flange'!$A$8:$A$48)
+COUNT('PVC SCH80 LD Flange'!$A$8:$A$16)+1,"")</f>
        <v/>
      </c>
      <c r="B61" s="652"/>
      <c r="C61" s="653"/>
      <c r="D61" s="426" t="str">
        <f>_xlfn.XLOOKUP(E61,'All Products'!D:D,'All Products'!C:C,FALSE)</f>
        <v>4135-020BR</v>
      </c>
      <c r="E61" s="125">
        <v>300005738</v>
      </c>
      <c r="F61" s="427" t="str">
        <f>_xlfn.XLOOKUP(E61,'All Products'!D:D,'All Products'!E:E,FALSE)</f>
        <v>CPVC FEMALE ADAPTER ASTM 2" BRASS X CPVC</v>
      </c>
      <c r="G61" s="428">
        <f>_xlfn.XLOOKUP(E61,'All Products'!D:D,'All Products'!F:F,FALSE)</f>
        <v>50</v>
      </c>
      <c r="H61" s="428" t="str">
        <f>_xlfn.XLOOKUP(E61,'All Products'!D:D,'All Products'!G:G,FALSE)</f>
        <v>-</v>
      </c>
      <c r="I61" s="269" t="str">
        <f>_xlfn.XLOOKUP(E61,'All Products'!D:D,'All Products'!H:H,FALSE)</f>
        <v>Quote Required</v>
      </c>
      <c r="J61" s="129">
        <f>IFERROR(ROUNDUP(I61*Order_Quote!$L$11,2),0)</f>
        <v>0</v>
      </c>
      <c r="K61" s="71"/>
      <c r="L61" s="48"/>
      <c r="M61" s="50">
        <f t="shared" si="1"/>
        <v>0</v>
      </c>
      <c r="O61" s="215" t="str">
        <f>_xlfn.XLOOKUP(E61,'All Products'!D:D,'All Products'!I:I,FALSE)</f>
        <v>3 weeks</v>
      </c>
      <c r="P61" s="215" t="str">
        <f>_xlfn.XLOOKUP(E61,'All Products'!D:D,'All Products'!J:J,FALSE)</f>
        <v>Sourced</v>
      </c>
      <c r="Q61" s="266" t="str">
        <f>_xlfn.XLOOKUP(E61,'All Products'!D:D,'All Products'!K:K,FALSE)</f>
        <v>-</v>
      </c>
      <c r="R61" s="266" t="str">
        <f>_xlfn.XLOOKUP(E61,'All Products'!D:D,'All Products'!L:L,FALSE)</f>
        <v>-</v>
      </c>
      <c r="S61" s="266" t="str">
        <f>_xlfn.XLOOKUP(E61,'All Products'!D:D,'All Products'!M:M,FALSE)</f>
        <v>-</v>
      </c>
      <c r="T61" s="215">
        <f>_xlfn.XLOOKUP(E61,'All Products'!D:D,'All Products'!N:N,FALSE)</f>
        <v>1.7789999999999999</v>
      </c>
    </row>
    <row r="62" spans="1:22">
      <c r="A62" s="101" t="str">
        <f>IF(K62&gt;0,COUNT($A$8:A61)
+COUNT('DWV PVC'!$A$9:$A$316)
+COUNT('DWV ABS'!$A$8:$A$116)
+COUNT('PVC SCH40'!$A$8:$A$424)
+COUNT('PVC SCH40 LD'!$A$8:$A$21)
+COUNT('Pool &amp; SPA Sweep Elbows'!$A$8:$A$11)
+COUNT('Pool &amp; SPA Pipe Extender'!$A$8:$A$10)
+COUNT('PVC SCH80'!$A$8:$A$249)
+COUNT('PVC SCH80 Flange'!$A$8:$A$48)
+COUNT('PVC SCH80 LD Flange'!$A$8:$A$16)+1,"")</f>
        <v/>
      </c>
      <c r="B62" s="644"/>
      <c r="C62" s="645"/>
      <c r="D62" s="426" t="str">
        <f>_xlfn.XLOOKUP(E62,'All Products'!D:D,'All Products'!C:C,FALSE)</f>
        <v>4136-005</v>
      </c>
      <c r="E62" s="125">
        <v>100029325</v>
      </c>
      <c r="F62" s="427" t="str">
        <f>_xlfn.XLOOKUP(E62,'All Products'!D:D,'All Products'!E:E,FALSE)</f>
        <v>1/2" CPVC MALE ADAPTER</v>
      </c>
      <c r="G62" s="428">
        <f>_xlfn.XLOOKUP(E62,'All Products'!D:D,'All Products'!F:F,FALSE)</f>
        <v>250</v>
      </c>
      <c r="H62" s="428" t="str">
        <f>_xlfn.XLOOKUP(E62,'All Products'!D:D,'All Products'!G:G,FALSE)</f>
        <v>-</v>
      </c>
      <c r="I62" s="269">
        <f>_xlfn.XLOOKUP(E62,'All Products'!D:D,'All Products'!H:H,FALSE)</f>
        <v>3.42</v>
      </c>
      <c r="J62" s="129">
        <f>IFERROR(ROUNDUP(I62*Order_Quote!$L$11,2),0)</f>
        <v>3.42</v>
      </c>
      <c r="K62" s="71"/>
      <c r="L62" s="48"/>
      <c r="M62" s="50">
        <f t="shared" si="1"/>
        <v>0</v>
      </c>
      <c r="O62" s="215" t="str">
        <f>_xlfn.XLOOKUP(E62,'All Products'!D:D,'All Products'!I:I,FALSE)</f>
        <v>3 weeks</v>
      </c>
      <c r="P62" s="215" t="str">
        <f>_xlfn.XLOOKUP(E62,'All Products'!D:D,'All Products'!J:J,FALSE)</f>
        <v>Sourced</v>
      </c>
      <c r="Q62" s="266" t="str">
        <f>_xlfn.XLOOKUP(E62,'All Products'!D:D,'All Products'!K:K,FALSE)</f>
        <v>-</v>
      </c>
      <c r="R62" s="266" t="str">
        <f>_xlfn.XLOOKUP(E62,'All Products'!D:D,'All Products'!L:L,FALSE)</f>
        <v>-</v>
      </c>
      <c r="S62" s="266" t="str">
        <f>_xlfn.XLOOKUP(E62,'All Products'!D:D,'All Products'!M:M,FALSE)</f>
        <v>-</v>
      </c>
      <c r="T62" s="215">
        <f>_xlfn.XLOOKUP(E62,'All Products'!D:D,'All Products'!N:N,FALSE)</f>
        <v>2.4E-2</v>
      </c>
    </row>
    <row r="63" spans="1:22">
      <c r="A63" s="101" t="str">
        <f>IF(K63&gt;0,COUNT($A$8:A62)
+COUNT('DWV PVC'!$A$9:$A$316)
+COUNT('DWV ABS'!$A$8:$A$116)
+COUNT('PVC SCH40'!$A$8:$A$424)
+COUNT('PVC SCH40 LD'!$A$8:$A$21)
+COUNT('Pool &amp; SPA Sweep Elbows'!$A$8:$A$11)
+COUNT('Pool &amp; SPA Pipe Extender'!$A$8:$A$10)
+COUNT('PVC SCH80'!$A$8:$A$249)
+COUNT('PVC SCH80 Flange'!$A$8:$A$48)
+COUNT('PVC SCH80 LD Flange'!$A$8:$A$16)+1,"")</f>
        <v/>
      </c>
      <c r="B63" s="646"/>
      <c r="C63" s="647"/>
      <c r="D63" s="426" t="str">
        <f>_xlfn.XLOOKUP(E63,'All Products'!D:D,'All Products'!C:C,FALSE)</f>
        <v>4136-007</v>
      </c>
      <c r="E63" s="125">
        <v>300005717</v>
      </c>
      <c r="F63" s="427" t="str">
        <f>_xlfn.XLOOKUP(E63,'All Products'!D:D,'All Products'!E:E,FALSE)</f>
        <v>3/4" CPVC MALE ADAPTER</v>
      </c>
      <c r="G63" s="428">
        <f>_xlfn.XLOOKUP(E63,'All Products'!D:D,'All Products'!F:F,FALSE)</f>
        <v>250</v>
      </c>
      <c r="H63" s="428" t="str">
        <f>_xlfn.XLOOKUP(E63,'All Products'!D:D,'All Products'!G:G,FALSE)</f>
        <v>-</v>
      </c>
      <c r="I63" s="269" t="str">
        <f>_xlfn.XLOOKUP(E63,'All Products'!D:D,'All Products'!H:H,FALSE)</f>
        <v>Quote Required</v>
      </c>
      <c r="J63" s="129">
        <f>IFERROR(ROUNDUP(I63*Order_Quote!$L$11,2),0)</f>
        <v>0</v>
      </c>
      <c r="K63" s="71"/>
      <c r="L63" s="48"/>
      <c r="M63" s="50">
        <f t="shared" si="1"/>
        <v>0</v>
      </c>
      <c r="O63" s="215" t="str">
        <f>_xlfn.XLOOKUP(E63,'All Products'!D:D,'All Products'!I:I,FALSE)</f>
        <v>3 weeks</v>
      </c>
      <c r="P63" s="215" t="str">
        <f>_xlfn.XLOOKUP(E63,'All Products'!D:D,'All Products'!J:J,FALSE)</f>
        <v>Sourced</v>
      </c>
      <c r="Q63" s="266">
        <f>_xlfn.XLOOKUP(E63,'All Products'!D:D,'All Products'!K:K,FALSE)</f>
        <v>810116843602</v>
      </c>
      <c r="R63" s="266" t="str">
        <f>_xlfn.XLOOKUP(E63,'All Products'!D:D,'All Products'!L:L,FALSE)</f>
        <v>-</v>
      </c>
      <c r="S63" s="266" t="str">
        <f>_xlfn.XLOOKUP(E63,'All Products'!D:D,'All Products'!M:M,FALSE)</f>
        <v>-</v>
      </c>
      <c r="T63" s="215">
        <f>_xlfn.XLOOKUP(E63,'All Products'!D:D,'All Products'!N:N,FALSE)</f>
        <v>0.14000000000000001</v>
      </c>
    </row>
    <row r="64" spans="1:22">
      <c r="A64" s="101" t="str">
        <f>IF(K64&gt;0,COUNT($A$8:A63)
+COUNT('DWV PVC'!$A$9:$A$316)
+COUNT('DWV ABS'!$A$8:$A$116)
+COUNT('PVC SCH40'!$A$8:$A$424)
+COUNT('PVC SCH40 LD'!$A$8:$A$21)
+COUNT('Pool &amp; SPA Sweep Elbows'!$A$8:$A$11)
+COUNT('Pool &amp; SPA Pipe Extender'!$A$8:$A$10)
+COUNT('PVC SCH80'!$A$8:$A$249)
+COUNT('PVC SCH80 Flange'!$A$8:$A$48)
+COUNT('PVC SCH80 LD Flange'!$A$8:$A$16)+1,"")</f>
        <v/>
      </c>
      <c r="B64" s="646"/>
      <c r="C64" s="647"/>
      <c r="D64" s="426" t="str">
        <f>_xlfn.XLOOKUP(E64,'All Products'!D:D,'All Products'!C:C,FALSE)</f>
        <v>4136-007P</v>
      </c>
      <c r="E64" s="125">
        <v>300005950</v>
      </c>
      <c r="F64" s="427" t="str">
        <f>_xlfn.XLOOKUP(E64,'All Products'!D:D,'All Products'!E:E,FALSE)</f>
        <v>3/4" CPVC MALE ADAPTER</v>
      </c>
      <c r="G64" s="428">
        <f>_xlfn.XLOOKUP(E64,'All Products'!D:D,'All Products'!F:F,FALSE)</f>
        <v>250</v>
      </c>
      <c r="H64" s="428" t="str">
        <f>_xlfn.XLOOKUP(E64,'All Products'!D:D,'All Products'!G:G,FALSE)</f>
        <v>-</v>
      </c>
      <c r="I64" s="269" t="str">
        <f>_xlfn.XLOOKUP(E64,'All Products'!D:D,'All Products'!H:H,FALSE)</f>
        <v>Quote Required</v>
      </c>
      <c r="J64" s="129">
        <f>IFERROR(ROUNDUP(I64*Order_Quote!$L$11,2),0)</f>
        <v>0</v>
      </c>
      <c r="K64" s="71"/>
      <c r="L64" s="48"/>
      <c r="M64" s="50">
        <f t="shared" si="1"/>
        <v>0</v>
      </c>
      <c r="O64" s="215" t="str">
        <f>_xlfn.XLOOKUP(E64,'All Products'!D:D,'All Products'!I:I,FALSE)</f>
        <v>3 weeks</v>
      </c>
      <c r="P64" s="215" t="str">
        <f>_xlfn.XLOOKUP(E64,'All Products'!D:D,'All Products'!J:J,FALSE)</f>
        <v>Sourced</v>
      </c>
      <c r="Q64" s="266" t="str">
        <f>_xlfn.XLOOKUP(E64,'All Products'!D:D,'All Products'!K:K,FALSE)</f>
        <v>-</v>
      </c>
      <c r="R64" s="266" t="str">
        <f>_xlfn.XLOOKUP(E64,'All Products'!D:D,'All Products'!L:L,FALSE)</f>
        <v>-</v>
      </c>
      <c r="S64" s="266" t="str">
        <f>_xlfn.XLOOKUP(E64,'All Products'!D:D,'All Products'!M:M,FALSE)</f>
        <v>-</v>
      </c>
      <c r="T64" s="215">
        <f>_xlfn.XLOOKUP(E64,'All Products'!D:D,'All Products'!N:N,FALSE)</f>
        <v>1.4E-2</v>
      </c>
    </row>
    <row r="65" spans="1:22" ht="14.25" customHeight="1">
      <c r="A65" s="101" t="str">
        <f>IF(K65&gt;0,COUNT($A$8:A64)
+COUNT('DWV PVC'!$A$9:$A$316)
+COUNT('DWV ABS'!$A$8:$A$116)
+COUNT('PVC SCH40'!$A$8:$A$424)
+COUNT('PVC SCH40 LD'!$A$8:$A$21)
+COUNT('Pool &amp; SPA Sweep Elbows'!$A$8:$A$11)
+COUNT('Pool &amp; SPA Pipe Extender'!$A$8:$A$10)
+COUNT('PVC SCH80'!$A$8:$A$249)
+COUNT('PVC SCH80 Flange'!$A$8:$A$48)
+COUNT('PVC SCH80 LD Flange'!$A$8:$A$16)+1,"")</f>
        <v/>
      </c>
      <c r="B65" s="652"/>
      <c r="C65" s="653"/>
      <c r="D65" s="426" t="str">
        <f>_xlfn.XLOOKUP(E65,'All Products'!D:D,'All Products'!C:C,FALSE)</f>
        <v>4136-010</v>
      </c>
      <c r="E65" s="125">
        <v>300005716</v>
      </c>
      <c r="F65" s="427" t="str">
        <f>_xlfn.XLOOKUP(E65,'All Products'!D:D,'All Products'!E:E,FALSE)</f>
        <v>1" CPVC MALE ADAPTER</v>
      </c>
      <c r="G65" s="428">
        <f>_xlfn.XLOOKUP(E65,'All Products'!D:D,'All Products'!F:F,FALSE)</f>
        <v>100</v>
      </c>
      <c r="H65" s="428" t="str">
        <f>_xlfn.XLOOKUP(E65,'All Products'!D:D,'All Products'!G:G,FALSE)</f>
        <v>-</v>
      </c>
      <c r="I65" s="269" t="str">
        <f>_xlfn.XLOOKUP(E65,'All Products'!D:D,'All Products'!H:H,FALSE)</f>
        <v>Quote Required</v>
      </c>
      <c r="J65" s="129">
        <f>IFERROR(ROUNDUP(I65*Order_Quote!$L$11,2),0)</f>
        <v>0</v>
      </c>
      <c r="K65" s="71"/>
      <c r="L65" s="48"/>
      <c r="M65" s="50">
        <f t="shared" si="1"/>
        <v>0</v>
      </c>
      <c r="O65" s="215" t="str">
        <f>_xlfn.XLOOKUP(E65,'All Products'!D:D,'All Products'!I:I,FALSE)</f>
        <v>3 weeks</v>
      </c>
      <c r="P65" s="215" t="str">
        <f>_xlfn.XLOOKUP(E65,'All Products'!D:D,'All Products'!J:J,FALSE)</f>
        <v>Sourced</v>
      </c>
      <c r="Q65" s="266">
        <f>_xlfn.XLOOKUP(E65,'All Products'!D:D,'All Products'!K:K,FALSE)</f>
        <v>810116843640</v>
      </c>
      <c r="R65" s="266" t="str">
        <f>_xlfn.XLOOKUP(E65,'All Products'!D:D,'All Products'!L:L,FALSE)</f>
        <v>-</v>
      </c>
      <c r="S65" s="266" t="str">
        <f>_xlfn.XLOOKUP(E65,'All Products'!D:D,'All Products'!M:M,FALSE)</f>
        <v>-</v>
      </c>
      <c r="T65" s="215">
        <f>_xlfn.XLOOKUP(E65,'All Products'!D:D,'All Products'!N:N,FALSE)</f>
        <v>2.5999999999999999E-2</v>
      </c>
    </row>
    <row r="66" spans="1:22">
      <c r="A66" s="101" t="str">
        <f>IF(K66&gt;0,COUNT($A$8:A65)
+COUNT('DWV PVC'!$A$9:$A$316)
+COUNT('DWV ABS'!$A$8:$A$116)
+COUNT('PVC SCH40'!$A$8:$A$424)
+COUNT('PVC SCH40 LD'!$A$8:$A$21)
+COUNT('Pool &amp; SPA Sweep Elbows'!$A$8:$A$11)
+COUNT('Pool &amp; SPA Pipe Extender'!$A$8:$A$10)
+COUNT('PVC SCH80'!$A$8:$A$249)
+COUNT('PVC SCH80 Flange'!$A$8:$A$48)
+COUNT('PVC SCH80 LD Flange'!$A$8:$A$16)+1,"")</f>
        <v/>
      </c>
      <c r="B66" s="644"/>
      <c r="C66" s="645"/>
      <c r="D66" s="426" t="str">
        <f>_xlfn.XLOOKUP(E66,'All Products'!D:D,'All Products'!C:C,FALSE)</f>
        <v>4136-005BR</v>
      </c>
      <c r="E66" s="125">
        <v>300006064</v>
      </c>
      <c r="F66" s="427" t="str">
        <f>_xlfn.XLOOKUP(E66,'All Products'!D:D,'All Products'!E:E,FALSE)</f>
        <v>CPVC MALE ADAPTER ASTM 1/2" BRASS X CPVC</v>
      </c>
      <c r="G66" s="428">
        <f>_xlfn.XLOOKUP(E66,'All Products'!D:D,'All Products'!F:F,FALSE)</f>
        <v>500</v>
      </c>
      <c r="H66" s="428" t="str">
        <f>_xlfn.XLOOKUP(E66,'All Products'!D:D,'All Products'!G:G,FALSE)</f>
        <v>-</v>
      </c>
      <c r="I66" s="269" t="str">
        <f>_xlfn.XLOOKUP(E66,'All Products'!D:D,'All Products'!H:H,FALSE)</f>
        <v>Quote Required</v>
      </c>
      <c r="J66" s="129">
        <f>IFERROR(ROUNDUP(I66*Order_Quote!$L$11,2),0)</f>
        <v>0</v>
      </c>
      <c r="K66" s="71"/>
      <c r="L66" s="48"/>
      <c r="M66" s="46">
        <f t="shared" si="1"/>
        <v>0</v>
      </c>
      <c r="O66" s="215" t="str">
        <f>_xlfn.XLOOKUP(E66,'All Products'!D:D,'All Products'!I:I,FALSE)</f>
        <v>3 weeks</v>
      </c>
      <c r="P66" s="215" t="str">
        <f>_xlfn.XLOOKUP(E66,'All Products'!D:D,'All Products'!J:J,FALSE)</f>
        <v>Sourced</v>
      </c>
      <c r="Q66" s="266">
        <f>_xlfn.XLOOKUP(E66,'All Products'!D:D,'All Products'!K:K,FALSE)</f>
        <v>810673012282</v>
      </c>
      <c r="R66" s="266" t="str">
        <f>_xlfn.XLOOKUP(E66,'All Products'!D:D,'All Products'!L:L,FALSE)</f>
        <v>-</v>
      </c>
      <c r="S66" s="266">
        <f>_xlfn.XLOOKUP(E66,'All Products'!D:D,'All Products'!M:M,FALSE)</f>
        <v>10810673012289</v>
      </c>
      <c r="T66" s="215">
        <f>_xlfn.XLOOKUP(E66,'All Products'!D:D,'All Products'!N:N,FALSE)</f>
        <v>0.13</v>
      </c>
    </row>
    <row r="67" spans="1:22">
      <c r="A67" s="101" t="str">
        <f>IF(K67&gt;0,COUNT($A$8:A66)
+COUNT('DWV PVC'!$A$9:$A$316)
+COUNT('DWV ABS'!$A$8:$A$116)
+COUNT('PVC SCH40'!$A$8:$A$424)
+COUNT('PVC SCH40 LD'!$A$8:$A$21)
+COUNT('Pool &amp; SPA Sweep Elbows'!$A$8:$A$11)
+COUNT('Pool &amp; SPA Pipe Extender'!$A$8:$A$10)
+COUNT('PVC SCH80'!$A$8:$A$249)
+COUNT('PVC SCH80 Flange'!$A$8:$A$48)
+COUNT('PVC SCH80 LD Flange'!$A$8:$A$16)+1,"")</f>
        <v/>
      </c>
      <c r="B67" s="646"/>
      <c r="C67" s="647"/>
      <c r="D67" s="426" t="str">
        <f>_xlfn.XLOOKUP(E67,'All Products'!D:D,'All Products'!C:C,FALSE)</f>
        <v>4136-007BR</v>
      </c>
      <c r="E67" s="125">
        <v>300006063</v>
      </c>
      <c r="F67" s="427" t="str">
        <f>_xlfn.XLOOKUP(E67,'All Products'!D:D,'All Products'!E:E,FALSE)</f>
        <v>CPVC MALE ADAPTER ASTM 3/4" BRASS X CPVC</v>
      </c>
      <c r="G67" s="428">
        <f>_xlfn.XLOOKUP(E67,'All Products'!D:D,'All Products'!F:F,FALSE)</f>
        <v>250</v>
      </c>
      <c r="H67" s="428" t="str">
        <f>_xlfn.XLOOKUP(E67,'All Products'!D:D,'All Products'!G:G,FALSE)</f>
        <v>-</v>
      </c>
      <c r="I67" s="269" t="str">
        <f>_xlfn.XLOOKUP(E67,'All Products'!D:D,'All Products'!H:H,FALSE)</f>
        <v>Quote Required</v>
      </c>
      <c r="J67" s="129">
        <f>IFERROR(ROUNDUP(I67*Order_Quote!$L$11,2),0)</f>
        <v>0</v>
      </c>
      <c r="K67" s="71"/>
      <c r="L67" s="48"/>
      <c r="M67" s="50">
        <f t="shared" si="1"/>
        <v>0</v>
      </c>
      <c r="O67" s="215" t="str">
        <f>_xlfn.XLOOKUP(E67,'All Products'!D:D,'All Products'!I:I,FALSE)</f>
        <v>3 weeks</v>
      </c>
      <c r="P67" s="215" t="str">
        <f>_xlfn.XLOOKUP(E67,'All Products'!D:D,'All Products'!J:J,FALSE)</f>
        <v>Sourced</v>
      </c>
      <c r="Q67" s="266">
        <f>_xlfn.XLOOKUP(E67,'All Products'!D:D,'All Products'!K:K,FALSE)</f>
        <v>810673012350</v>
      </c>
      <c r="R67" s="266" t="str">
        <f>_xlfn.XLOOKUP(E67,'All Products'!D:D,'All Products'!L:L,FALSE)</f>
        <v>-</v>
      </c>
      <c r="S67" s="266">
        <f>_xlfn.XLOOKUP(E67,'All Products'!D:D,'All Products'!M:M,FALSE)</f>
        <v>10810673012357</v>
      </c>
      <c r="T67" s="215">
        <f>_xlfn.XLOOKUP(E67,'All Products'!D:D,'All Products'!N:N,FALSE)</f>
        <v>0.19</v>
      </c>
    </row>
    <row r="68" spans="1:22">
      <c r="A68" s="101" t="str">
        <f>IF(K68&gt;0,COUNT($A$8:A67)
+COUNT('DWV PVC'!$A$9:$A$316)
+COUNT('DWV ABS'!$A$8:$A$116)
+COUNT('PVC SCH40'!$A$8:$A$424)
+COUNT('PVC SCH40 LD'!$A$8:$A$21)
+COUNT('Pool &amp; SPA Sweep Elbows'!$A$8:$A$11)
+COUNT('Pool &amp; SPA Pipe Extender'!$A$8:$A$10)
+COUNT('PVC SCH80'!$A$8:$A$249)
+COUNT('PVC SCH80 Flange'!$A$8:$A$48)
+COUNT('PVC SCH80 LD Flange'!$A$8:$A$16)+1,"")</f>
        <v/>
      </c>
      <c r="B68" s="646"/>
      <c r="C68" s="647"/>
      <c r="D68" s="426" t="str">
        <f>_xlfn.XLOOKUP(E68,'All Products'!D:D,'All Products'!C:C,FALSE)</f>
        <v>4136-010BR</v>
      </c>
      <c r="E68" s="125">
        <v>300005825</v>
      </c>
      <c r="F68" s="427" t="str">
        <f>_xlfn.XLOOKUP(E68,'All Products'!D:D,'All Products'!E:E,FALSE)</f>
        <v>CPVC MALE ADAPTER ASTM 1" BRASS X CPVC</v>
      </c>
      <c r="G68" s="428">
        <f>_xlfn.XLOOKUP(E68,'All Products'!D:D,'All Products'!F:F,FALSE)</f>
        <v>100</v>
      </c>
      <c r="H68" s="428" t="str">
        <f>_xlfn.XLOOKUP(E68,'All Products'!D:D,'All Products'!G:G,FALSE)</f>
        <v>-</v>
      </c>
      <c r="I68" s="269" t="str">
        <f>_xlfn.XLOOKUP(E68,'All Products'!D:D,'All Products'!H:H,FALSE)</f>
        <v>Quote Required</v>
      </c>
      <c r="J68" s="129">
        <f>IFERROR(ROUNDUP(I68*Order_Quote!$L$11,2),0)</f>
        <v>0</v>
      </c>
      <c r="K68" s="71"/>
      <c r="L68" s="48"/>
      <c r="M68" s="46">
        <f t="shared" si="1"/>
        <v>0</v>
      </c>
      <c r="O68" s="215" t="str">
        <f>_xlfn.XLOOKUP(E68,'All Products'!D:D,'All Products'!I:I,FALSE)</f>
        <v>3 weeks</v>
      </c>
      <c r="P68" s="215" t="str">
        <f>_xlfn.XLOOKUP(E68,'All Products'!D:D,'All Products'!J:J,FALSE)</f>
        <v>Sourced</v>
      </c>
      <c r="Q68" s="266" t="str">
        <f>_xlfn.XLOOKUP(E68,'All Products'!D:D,'All Products'!K:K,FALSE)</f>
        <v>-</v>
      </c>
      <c r="R68" s="266" t="str">
        <f>_xlfn.XLOOKUP(E68,'All Products'!D:D,'All Products'!L:L,FALSE)</f>
        <v>-</v>
      </c>
      <c r="S68" s="266" t="str">
        <f>_xlfn.XLOOKUP(E68,'All Products'!D:D,'All Products'!M:M,FALSE)</f>
        <v>-</v>
      </c>
      <c r="T68" s="215">
        <f>_xlfn.XLOOKUP(E68,'All Products'!D:D,'All Products'!N:N,FALSE)</f>
        <v>0.42799999999999999</v>
      </c>
    </row>
    <row r="69" spans="1:22">
      <c r="A69" s="101" t="str">
        <f>IF(K69&gt;0,COUNT($A$8:A68)
+COUNT('DWV PVC'!$A$9:$A$316)
+COUNT('DWV ABS'!$A$8:$A$116)
+COUNT('PVC SCH40'!$A$8:$A$424)
+COUNT('PVC SCH40 LD'!$A$8:$A$21)
+COUNT('Pool &amp; SPA Sweep Elbows'!$A$8:$A$11)
+COUNT('Pool &amp; SPA Pipe Extender'!$A$8:$A$10)
+COUNT('PVC SCH80'!$A$8:$A$249)
+COUNT('PVC SCH80 Flange'!$A$8:$A$48)
+COUNT('PVC SCH80 LD Flange'!$A$8:$A$16)+1,"")</f>
        <v/>
      </c>
      <c r="B69" s="646"/>
      <c r="C69" s="647"/>
      <c r="D69" s="426" t="str">
        <f>_xlfn.XLOOKUP(E69,'All Products'!D:D,'All Products'!C:C,FALSE)</f>
        <v>4136-012BR</v>
      </c>
      <c r="E69" s="125">
        <v>300005739</v>
      </c>
      <c r="F69" s="427" t="str">
        <f>_xlfn.XLOOKUP(E69,'All Products'!D:D,'All Products'!E:E,FALSE)</f>
        <v>CPVC MALE ADAPTER ASTM 1.1/4" BRASS X CPVC</v>
      </c>
      <c r="G69" s="428">
        <f>_xlfn.XLOOKUP(E69,'All Products'!D:D,'All Products'!F:F,FALSE)</f>
        <v>100</v>
      </c>
      <c r="H69" s="428" t="str">
        <f>_xlfn.XLOOKUP(E69,'All Products'!D:D,'All Products'!G:G,FALSE)</f>
        <v>-</v>
      </c>
      <c r="I69" s="269" t="str">
        <f>_xlfn.XLOOKUP(E69,'All Products'!D:D,'All Products'!H:H,FALSE)</f>
        <v>Quote Required</v>
      </c>
      <c r="J69" s="129">
        <f>IFERROR(ROUNDUP(I69*Order_Quote!$L$11,2),0)</f>
        <v>0</v>
      </c>
      <c r="K69" s="71"/>
      <c r="L69" s="48"/>
      <c r="M69" s="50">
        <f t="shared" si="1"/>
        <v>0</v>
      </c>
      <c r="O69" s="215" t="str">
        <f>_xlfn.XLOOKUP(E69,'All Products'!D:D,'All Products'!I:I,FALSE)</f>
        <v>3 weeks</v>
      </c>
      <c r="P69" s="215" t="str">
        <f>_xlfn.XLOOKUP(E69,'All Products'!D:D,'All Products'!J:J,FALSE)</f>
        <v>Sourced</v>
      </c>
      <c r="Q69" s="266" t="str">
        <f>_xlfn.XLOOKUP(E69,'All Products'!D:D,'All Products'!K:K,FALSE)</f>
        <v>-</v>
      </c>
      <c r="R69" s="266" t="str">
        <f>_xlfn.XLOOKUP(E69,'All Products'!D:D,'All Products'!L:L,FALSE)</f>
        <v>-</v>
      </c>
      <c r="S69" s="266" t="str">
        <f>_xlfn.XLOOKUP(E69,'All Products'!D:D,'All Products'!M:M,FALSE)</f>
        <v>-</v>
      </c>
      <c r="T69" s="215">
        <f>_xlfn.XLOOKUP(E69,'All Products'!D:D,'All Products'!N:N,FALSE)</f>
        <v>9.5000000000000001E-2</v>
      </c>
    </row>
    <row r="70" spans="1:22">
      <c r="A70" s="101" t="str">
        <f>IF(K70&gt;0,COUNT($A$8:A69)
+COUNT('DWV PVC'!$A$9:$A$316)
+COUNT('DWV ABS'!$A$8:$A$116)
+COUNT('PVC SCH40'!$A$8:$A$424)
+COUNT('PVC SCH40 LD'!$A$8:$A$21)
+COUNT('Pool &amp; SPA Sweep Elbows'!$A$8:$A$11)
+COUNT('Pool &amp; SPA Pipe Extender'!$A$8:$A$10)
+COUNT('PVC SCH80'!$A$8:$A$249)
+COUNT('PVC SCH80 Flange'!$A$8:$A$48)
+COUNT('PVC SCH80 LD Flange'!$A$8:$A$16)+1,"")</f>
        <v/>
      </c>
      <c r="B70" s="646"/>
      <c r="C70" s="647"/>
      <c r="D70" s="426" t="str">
        <f>_xlfn.XLOOKUP(E70,'All Products'!D:D,'All Products'!C:C,FALSE)</f>
        <v>4136-015BR</v>
      </c>
      <c r="E70" s="125">
        <v>300005740</v>
      </c>
      <c r="F70" s="427" t="str">
        <f>_xlfn.XLOOKUP(E70,'All Products'!D:D,'All Products'!E:E,FALSE)</f>
        <v>CPVC MALE ADAPTER ASTM 1.1/2" BRASS X CPVC</v>
      </c>
      <c r="G70" s="428">
        <f>_xlfn.XLOOKUP(E70,'All Products'!D:D,'All Products'!F:F,FALSE)</f>
        <v>100</v>
      </c>
      <c r="H70" s="428" t="str">
        <f>_xlfn.XLOOKUP(E70,'All Products'!D:D,'All Products'!G:G,FALSE)</f>
        <v>-</v>
      </c>
      <c r="I70" s="269" t="str">
        <f>_xlfn.XLOOKUP(E70,'All Products'!D:D,'All Products'!H:H,FALSE)</f>
        <v>Quote Required</v>
      </c>
      <c r="J70" s="129">
        <f>IFERROR(ROUNDUP(I70*Order_Quote!$L$11,2),0)</f>
        <v>0</v>
      </c>
      <c r="K70" s="71"/>
      <c r="L70" s="48"/>
      <c r="M70" s="46">
        <f t="shared" si="1"/>
        <v>0</v>
      </c>
      <c r="O70" s="215" t="str">
        <f>_xlfn.XLOOKUP(E70,'All Products'!D:D,'All Products'!I:I,FALSE)</f>
        <v>3 weeks</v>
      </c>
      <c r="P70" s="215" t="str">
        <f>_xlfn.XLOOKUP(E70,'All Products'!D:D,'All Products'!J:J,FALSE)</f>
        <v>Sourced</v>
      </c>
      <c r="Q70" s="266" t="str">
        <f>_xlfn.XLOOKUP(E70,'All Products'!D:D,'All Products'!K:K,FALSE)</f>
        <v>-</v>
      </c>
      <c r="R70" s="266" t="str">
        <f>_xlfn.XLOOKUP(E70,'All Products'!D:D,'All Products'!L:L,FALSE)</f>
        <v>-</v>
      </c>
      <c r="S70" s="266" t="str">
        <f>_xlfn.XLOOKUP(E70,'All Products'!D:D,'All Products'!M:M,FALSE)</f>
        <v>-</v>
      </c>
      <c r="T70" s="215">
        <f>_xlfn.XLOOKUP(E70,'All Products'!D:D,'All Products'!N:N,FALSE)</f>
        <v>0.91900000000000004</v>
      </c>
    </row>
    <row r="71" spans="1:22" ht="15" thickBot="1">
      <c r="A71" s="101" t="str">
        <f>IF(K71&gt;0,COUNT($A$8:A70)
+COUNT('DWV PVC'!$A$9:$A$316)
+COUNT('DWV ABS'!$A$8:$A$116)
+COUNT('PVC SCH40'!$A$8:$A$424)
+COUNT('PVC SCH40 LD'!$A$8:$A$21)
+COUNT('Pool &amp; SPA Sweep Elbows'!$A$8:$A$11)
+COUNT('Pool &amp; SPA Pipe Extender'!$A$8:$A$10)
+COUNT('PVC SCH80'!$A$8:$A$249)
+COUNT('PVC SCH80 Flange'!$A$8:$A$48)
+COUNT('PVC SCH80 LD Flange'!$A$8:$A$16)+1,"")</f>
        <v/>
      </c>
      <c r="B71" s="646"/>
      <c r="C71" s="647"/>
      <c r="D71" s="426" t="str">
        <f>_xlfn.XLOOKUP(E71,'All Products'!D:D,'All Products'!C:C,FALSE)</f>
        <v>4136-020BR</v>
      </c>
      <c r="E71" s="125">
        <v>300005737</v>
      </c>
      <c r="F71" s="427" t="str">
        <f>_xlfn.XLOOKUP(E71,'All Products'!D:D,'All Products'!E:E,FALSE)</f>
        <v>CPVC MALE ADAPTER ASTM 2" BRASS X CPVC</v>
      </c>
      <c r="G71" s="428">
        <f>_xlfn.XLOOKUP(E71,'All Products'!D:D,'All Products'!F:F,FALSE)</f>
        <v>50</v>
      </c>
      <c r="H71" s="428" t="str">
        <f>_xlfn.XLOOKUP(E71,'All Products'!D:D,'All Products'!G:G,FALSE)</f>
        <v>-</v>
      </c>
      <c r="I71" s="269" t="str">
        <f>_xlfn.XLOOKUP(E71,'All Products'!D:D,'All Products'!H:H,FALSE)</f>
        <v>Quote Required</v>
      </c>
      <c r="J71" s="129">
        <f>IFERROR(ROUNDUP(I71*Order_Quote!$L$11,2),0)</f>
        <v>0</v>
      </c>
      <c r="K71" s="71"/>
      <c r="L71" s="48"/>
      <c r="M71" s="50">
        <f t="shared" si="1"/>
        <v>0</v>
      </c>
      <c r="O71" s="215" t="str">
        <f>_xlfn.XLOOKUP(E71,'All Products'!D:D,'All Products'!I:I,FALSE)</f>
        <v>3 weeks</v>
      </c>
      <c r="P71" s="215" t="str">
        <f>_xlfn.XLOOKUP(E71,'All Products'!D:D,'All Products'!J:J,FALSE)</f>
        <v>Sourced</v>
      </c>
      <c r="Q71" s="266" t="str">
        <f>_xlfn.XLOOKUP(E71,'All Products'!D:D,'All Products'!K:K,FALSE)</f>
        <v>-</v>
      </c>
      <c r="R71" s="266" t="str">
        <f>_xlfn.XLOOKUP(E71,'All Products'!D:D,'All Products'!L:L,FALSE)</f>
        <v>-</v>
      </c>
      <c r="S71" s="266" t="str">
        <f>_xlfn.XLOOKUP(E71,'All Products'!D:D,'All Products'!M:M,FALSE)</f>
        <v>-</v>
      </c>
      <c r="T71" s="215">
        <f>_xlfn.XLOOKUP(E71,'All Products'!D:D,'All Products'!N:N,FALSE)</f>
        <v>0.313</v>
      </c>
    </row>
    <row r="72" spans="1:22" s="17" customFormat="1" ht="16.2" thickBot="1">
      <c r="A72" s="101" t="str">
        <f>IF(K72&gt;0,COUNT($A$8:A71)
+COUNT('DWV PVC'!$A$9:$A$316)
+COUNT('DWV ABS'!$A$8:$A$116)
+COUNT('PVC SCH40'!$A$8:$A$424)
+COUNT('PVC SCH40 LD'!$A$8:$A$21)
+COUNT('Pool &amp; SPA Sweep Elbows'!$A$8:$A$11)
+COUNT('Pool &amp; SPA Pipe Extender'!$A$8:$A$10)
+COUNT('PVC SCH80'!$A$8:$A$249)
+COUNT('PVC SCH80 Flange'!$A$8:$A$48)
+COUNT('PVC SCH80 LD Flange'!$A$8:$A$16)+1,"")</f>
        <v/>
      </c>
      <c r="B72" s="522" t="s">
        <v>5834</v>
      </c>
      <c r="C72" s="151"/>
      <c r="D72" s="151"/>
      <c r="E72" s="459"/>
      <c r="F72" s="151"/>
      <c r="G72" s="468"/>
      <c r="H72" s="151"/>
      <c r="I72" s="472"/>
      <c r="J72" s="468"/>
      <c r="K72" s="477"/>
      <c r="L72" s="238"/>
      <c r="M72" s="476"/>
      <c r="O72" s="475"/>
      <c r="P72" s="145"/>
      <c r="Q72" s="492"/>
      <c r="R72" s="493"/>
      <c r="S72" s="493"/>
      <c r="T72" s="479"/>
      <c r="U72" s="459"/>
      <c r="V72" s="489"/>
    </row>
    <row r="73" spans="1:22">
      <c r="A73" s="101" t="str">
        <f>IF(K73&gt;0,COUNT($A$8:A72)
+COUNT('DWV PVC'!$A$9:$A$316)
+COUNT('DWV ABS'!$A$8:$A$116)
+COUNT('PVC SCH40'!$A$8:$A$424)
+COUNT('PVC SCH40 LD'!$A$8:$A$21)
+COUNT('Pool &amp; SPA Sweep Elbows'!$A$8:$A$11)
+COUNT('Pool &amp; SPA Pipe Extender'!$A$8:$A$10)
+COUNT('PVC SCH80'!$A$8:$A$249)
+COUNT('PVC SCH80 Flange'!$A$8:$A$48)
+COUNT('PVC SCH80 LD Flange'!$A$8:$A$16)+1,"")</f>
        <v/>
      </c>
      <c r="B73" s="644"/>
      <c r="C73" s="645"/>
      <c r="D73" s="426" t="str">
        <f>_xlfn.XLOOKUP(E73,'All Products'!D:D,'All Products'!C:C,FALSE)</f>
        <v>4137-101</v>
      </c>
      <c r="E73" s="125">
        <v>300006067</v>
      </c>
      <c r="F73" s="427" t="str">
        <f>_xlfn.XLOOKUP(E73,'All Products'!D:D,'All Products'!E:E,FALSE)</f>
        <v>CPVC REDUCTION BUSHING ASTM 3/4" X 1/2"</v>
      </c>
      <c r="G73" s="428">
        <f>_xlfn.XLOOKUP(E73,'All Products'!D:D,'All Products'!F:F,FALSE)</f>
        <v>250</v>
      </c>
      <c r="H73" s="428" t="str">
        <f>_xlfn.XLOOKUP(E73,'All Products'!D:D,'All Products'!G:G,FALSE)</f>
        <v>-</v>
      </c>
      <c r="I73" s="269" t="str">
        <f>_xlfn.XLOOKUP(E73,'All Products'!D:D,'All Products'!H:H,FALSE)</f>
        <v>Quote Required</v>
      </c>
      <c r="J73" s="129">
        <f>IFERROR(ROUNDUP(I73*Order_Quote!$L$11,2),0)</f>
        <v>0</v>
      </c>
      <c r="K73" s="71"/>
      <c r="L73" s="48"/>
      <c r="M73" s="50">
        <f t="shared" si="1"/>
        <v>0</v>
      </c>
      <c r="O73" s="215" t="str">
        <f>_xlfn.XLOOKUP(E73,'All Products'!D:D,'All Products'!I:I,FALSE)</f>
        <v>3 weeks</v>
      </c>
      <c r="P73" s="215" t="str">
        <f>_xlfn.XLOOKUP(E73,'All Products'!D:D,'All Products'!J:J,FALSE)</f>
        <v>Sourced</v>
      </c>
      <c r="Q73" s="266">
        <f>_xlfn.XLOOKUP(E73,'All Products'!D:D,'All Products'!K:K,FALSE)</f>
        <v>810673012251</v>
      </c>
      <c r="R73" s="266" t="str">
        <f>_xlfn.XLOOKUP(E73,'All Products'!D:D,'All Products'!L:L,FALSE)</f>
        <v>-</v>
      </c>
      <c r="S73" s="266">
        <f>_xlfn.XLOOKUP(E73,'All Products'!D:D,'All Products'!M:M,FALSE)</f>
        <v>10810673012258</v>
      </c>
      <c r="T73" s="215">
        <f>_xlfn.XLOOKUP(E73,'All Products'!D:D,'All Products'!N:N,FALSE)</f>
        <v>1.2999999999999999E-2</v>
      </c>
    </row>
    <row r="74" spans="1:22">
      <c r="A74" s="101" t="str">
        <f>IF(K74&gt;0,COUNT($A$8:A73)
+COUNT('DWV PVC'!$A$9:$A$316)
+COUNT('DWV ABS'!$A$8:$A$116)
+COUNT('PVC SCH40'!$A$8:$A$424)
+COUNT('PVC SCH40 LD'!$A$8:$A$21)
+COUNT('Pool &amp; SPA Sweep Elbows'!$A$8:$A$11)
+COUNT('Pool &amp; SPA Pipe Extender'!$A$8:$A$10)
+COUNT('PVC SCH80'!$A$8:$A$249)
+COUNT('PVC SCH80 Flange'!$A$8:$A$48)
+COUNT('PVC SCH80 LD Flange'!$A$8:$A$16)+1,"")</f>
        <v/>
      </c>
      <c r="B74" s="646"/>
      <c r="C74" s="647"/>
      <c r="D74" s="426" t="str">
        <f>_xlfn.XLOOKUP(E74,'All Products'!D:D,'All Products'!C:C,FALSE)</f>
        <v>4137-130</v>
      </c>
      <c r="E74" s="125">
        <v>300005812</v>
      </c>
      <c r="F74" s="427" t="str">
        <f>_xlfn.XLOOKUP(E74,'All Products'!D:D,'All Products'!E:E,FALSE)</f>
        <v>CPVC REDUCTION BUSHING ASTM 1X1/2"</v>
      </c>
      <c r="G74" s="428">
        <f>_xlfn.XLOOKUP(E74,'All Products'!D:D,'All Products'!F:F,FALSE)</f>
        <v>100</v>
      </c>
      <c r="H74" s="428" t="str">
        <f>_xlfn.XLOOKUP(E74,'All Products'!D:D,'All Products'!G:G,FALSE)</f>
        <v>-</v>
      </c>
      <c r="I74" s="269" t="str">
        <f>_xlfn.XLOOKUP(E74,'All Products'!D:D,'All Products'!H:H,FALSE)</f>
        <v>Quote Required</v>
      </c>
      <c r="J74" s="129">
        <f>IFERROR(ROUNDUP(I74*Order_Quote!$L$11,2),0)</f>
        <v>0</v>
      </c>
      <c r="K74" s="71"/>
      <c r="L74" s="48"/>
      <c r="M74" s="46">
        <f t="shared" si="1"/>
        <v>0</v>
      </c>
      <c r="O74" s="215" t="str">
        <f>_xlfn.XLOOKUP(E74,'All Products'!D:D,'All Products'!I:I,FALSE)</f>
        <v>3 weeks</v>
      </c>
      <c r="P74" s="215" t="str">
        <f>_xlfn.XLOOKUP(E74,'All Products'!D:D,'All Products'!J:J,FALSE)</f>
        <v>Sourced</v>
      </c>
      <c r="Q74" s="266" t="str">
        <f>_xlfn.XLOOKUP(E74,'All Products'!D:D,'All Products'!K:K,FALSE)</f>
        <v>-</v>
      </c>
      <c r="R74" s="266" t="str">
        <f>_xlfn.XLOOKUP(E74,'All Products'!D:D,'All Products'!L:L,FALSE)</f>
        <v>-</v>
      </c>
      <c r="S74" s="266" t="str">
        <f>_xlfn.XLOOKUP(E74,'All Products'!D:D,'All Products'!M:M,FALSE)</f>
        <v>-</v>
      </c>
      <c r="T74" s="215">
        <f>_xlfn.XLOOKUP(E74,'All Products'!D:D,'All Products'!N:N,FALSE)</f>
        <v>3.5000000000000003E-2</v>
      </c>
    </row>
    <row r="75" spans="1:22">
      <c r="A75" s="101" t="str">
        <f>IF(K75&gt;0,COUNT($A$8:A74)
+COUNT('DWV PVC'!$A$9:$A$316)
+COUNT('DWV ABS'!$A$8:$A$116)
+COUNT('PVC SCH40'!$A$8:$A$424)
+COUNT('PVC SCH40 LD'!$A$8:$A$21)
+COUNT('Pool &amp; SPA Sweep Elbows'!$A$8:$A$11)
+COUNT('Pool &amp; SPA Pipe Extender'!$A$8:$A$10)
+COUNT('PVC SCH80'!$A$8:$A$249)
+COUNT('PVC SCH80 Flange'!$A$8:$A$48)
+COUNT('PVC SCH80 LD Flange'!$A$8:$A$16)+1,"")</f>
        <v/>
      </c>
      <c r="B75" s="646"/>
      <c r="C75" s="647"/>
      <c r="D75" s="426" t="str">
        <f>_xlfn.XLOOKUP(E75,'All Products'!D:D,'All Products'!C:C,FALSE)</f>
        <v>4137-131</v>
      </c>
      <c r="E75" s="125">
        <v>300005813</v>
      </c>
      <c r="F75" s="427" t="str">
        <f>_xlfn.XLOOKUP(E75,'All Products'!D:D,'All Products'!E:E,FALSE)</f>
        <v>CPVC REDUCTION BUSHING ASTM 1" X 3/4"</v>
      </c>
      <c r="G75" s="428">
        <f>_xlfn.XLOOKUP(E75,'All Products'!D:D,'All Products'!F:F,FALSE)</f>
        <v>100</v>
      </c>
      <c r="H75" s="428" t="str">
        <f>_xlfn.XLOOKUP(E75,'All Products'!D:D,'All Products'!G:G,FALSE)</f>
        <v>-</v>
      </c>
      <c r="I75" s="269" t="str">
        <f>_xlfn.XLOOKUP(E75,'All Products'!D:D,'All Products'!H:H,FALSE)</f>
        <v>Quote Required</v>
      </c>
      <c r="J75" s="129">
        <f>IFERROR(ROUNDUP(I75*Order_Quote!$L$11,2),0)</f>
        <v>0</v>
      </c>
      <c r="K75" s="71"/>
      <c r="L75" s="48"/>
      <c r="M75" s="50">
        <f t="shared" si="1"/>
        <v>0</v>
      </c>
      <c r="O75" s="215" t="str">
        <f>_xlfn.XLOOKUP(E75,'All Products'!D:D,'All Products'!I:I,FALSE)</f>
        <v>3 weeks</v>
      </c>
      <c r="P75" s="215" t="str">
        <f>_xlfn.XLOOKUP(E75,'All Products'!D:D,'All Products'!J:J,FALSE)</f>
        <v>Sourced</v>
      </c>
      <c r="Q75" s="266">
        <f>_xlfn.XLOOKUP(E75,'All Products'!D:D,'All Products'!K:K,FALSE)</f>
        <v>810116843718</v>
      </c>
      <c r="R75" s="266" t="str">
        <f>_xlfn.XLOOKUP(E75,'All Products'!D:D,'All Products'!L:L,FALSE)</f>
        <v>-</v>
      </c>
      <c r="S75" s="266" t="str">
        <f>_xlfn.XLOOKUP(E75,'All Products'!D:D,'All Products'!M:M,FALSE)</f>
        <v>-</v>
      </c>
      <c r="T75" s="215">
        <f>_xlfn.XLOOKUP(E75,'All Products'!D:D,'All Products'!N:N,FALSE)</f>
        <v>0.02</v>
      </c>
    </row>
    <row r="76" spans="1:22">
      <c r="A76" s="101" t="str">
        <f>IF(K76&gt;0,COUNT($A$8:A75)
+COUNT('DWV PVC'!$A$9:$A$316)
+COUNT('DWV ABS'!$A$8:$A$116)
+COUNT('PVC SCH40'!$A$8:$A$424)
+COUNT('PVC SCH40 LD'!$A$8:$A$21)
+COUNT('Pool &amp; SPA Sweep Elbows'!$A$8:$A$11)
+COUNT('Pool &amp; SPA Pipe Extender'!$A$8:$A$10)
+COUNT('PVC SCH80'!$A$8:$A$249)
+COUNT('PVC SCH80 Flange'!$A$8:$A$48)
+COUNT('PVC SCH80 LD Flange'!$A$8:$A$16)+1,"")</f>
        <v/>
      </c>
      <c r="B76" s="646"/>
      <c r="C76" s="647"/>
      <c r="D76" s="426" t="str">
        <f>_xlfn.XLOOKUP(E76,'All Products'!D:D,'All Products'!C:C,FALSE)</f>
        <v>4137-166</v>
      </c>
      <c r="E76" s="125">
        <v>300005823</v>
      </c>
      <c r="F76" s="427" t="str">
        <f>_xlfn.XLOOKUP(E76,'All Products'!D:D,'All Products'!E:E,FALSE)</f>
        <v>CPVC REDUCTION BUSHING ASTM 1.1/4X1/2"</v>
      </c>
      <c r="G76" s="428">
        <f>_xlfn.XLOOKUP(E76,'All Products'!D:D,'All Products'!F:F,FALSE)</f>
        <v>100</v>
      </c>
      <c r="H76" s="428" t="str">
        <f>_xlfn.XLOOKUP(E76,'All Products'!D:D,'All Products'!G:G,FALSE)</f>
        <v>-</v>
      </c>
      <c r="I76" s="269" t="str">
        <f>_xlfn.XLOOKUP(E76,'All Products'!D:D,'All Products'!H:H,FALSE)</f>
        <v>Quote Required</v>
      </c>
      <c r="J76" s="129">
        <f>IFERROR(ROUNDUP(I76*Order_Quote!$L$11,2),0)</f>
        <v>0</v>
      </c>
      <c r="K76" s="71"/>
      <c r="L76" s="48"/>
      <c r="M76" s="46">
        <f t="shared" ref="M76:M104" si="2">K76/G76</f>
        <v>0</v>
      </c>
      <c r="O76" s="215" t="str">
        <f>_xlfn.XLOOKUP(E76,'All Products'!D:D,'All Products'!I:I,FALSE)</f>
        <v>3 weeks</v>
      </c>
      <c r="P76" s="215" t="str">
        <f>_xlfn.XLOOKUP(E76,'All Products'!D:D,'All Products'!J:J,FALSE)</f>
        <v>Sourced</v>
      </c>
      <c r="Q76" s="266" t="str">
        <f>_xlfn.XLOOKUP(E76,'All Products'!D:D,'All Products'!K:K,FALSE)</f>
        <v>-</v>
      </c>
      <c r="R76" s="266" t="str">
        <f>_xlfn.XLOOKUP(E76,'All Products'!D:D,'All Products'!L:L,FALSE)</f>
        <v>-</v>
      </c>
      <c r="S76" s="266" t="str">
        <f>_xlfn.XLOOKUP(E76,'All Products'!D:D,'All Products'!M:M,FALSE)</f>
        <v>-</v>
      </c>
      <c r="T76" s="215">
        <f>_xlfn.XLOOKUP(E76,'All Products'!D:D,'All Products'!N:N,FALSE)</f>
        <v>0.51600000000000001</v>
      </c>
    </row>
    <row r="77" spans="1:22">
      <c r="A77" s="101" t="str">
        <f>IF(K77&gt;0,COUNT($A$8:A76)
+COUNT('DWV PVC'!$A$9:$A$316)
+COUNT('DWV ABS'!$A$8:$A$116)
+COUNT('PVC SCH40'!$A$8:$A$424)
+COUNT('PVC SCH40 LD'!$A$8:$A$21)
+COUNT('Pool &amp; SPA Sweep Elbows'!$A$8:$A$11)
+COUNT('Pool &amp; SPA Pipe Extender'!$A$8:$A$10)
+COUNT('PVC SCH80'!$A$8:$A$249)
+COUNT('PVC SCH80 Flange'!$A$8:$A$48)
+COUNT('PVC SCH80 LD Flange'!$A$8:$A$16)+1,"")</f>
        <v/>
      </c>
      <c r="B77" s="646"/>
      <c r="C77" s="647"/>
      <c r="D77" s="426" t="str">
        <f>_xlfn.XLOOKUP(E77,'All Products'!D:D,'All Products'!C:C,FALSE)</f>
        <v>4137-167</v>
      </c>
      <c r="E77" s="125">
        <v>300005826</v>
      </c>
      <c r="F77" s="427" t="str">
        <f>_xlfn.XLOOKUP(E77,'All Products'!D:D,'All Products'!E:E,FALSE)</f>
        <v>CPVC REDUCTION BUSHING ASTM  1.1/4X3/4"</v>
      </c>
      <c r="G77" s="428">
        <f>_xlfn.XLOOKUP(E77,'All Products'!D:D,'All Products'!F:F,FALSE)</f>
        <v>100</v>
      </c>
      <c r="H77" s="428" t="str">
        <f>_xlfn.XLOOKUP(E77,'All Products'!D:D,'All Products'!G:G,FALSE)</f>
        <v>-</v>
      </c>
      <c r="I77" s="269" t="str">
        <f>_xlfn.XLOOKUP(E77,'All Products'!D:D,'All Products'!H:H,FALSE)</f>
        <v>Quote Required</v>
      </c>
      <c r="J77" s="129">
        <f>IFERROR(ROUNDUP(I77*Order_Quote!$L$11,2),0)</f>
        <v>0</v>
      </c>
      <c r="K77" s="71"/>
      <c r="L77" s="48"/>
      <c r="M77" s="50">
        <f t="shared" si="2"/>
        <v>0</v>
      </c>
      <c r="O77" s="215" t="str">
        <f>_xlfn.XLOOKUP(E77,'All Products'!D:D,'All Products'!I:I,FALSE)</f>
        <v>3 weeks</v>
      </c>
      <c r="P77" s="215" t="str">
        <f>_xlfn.XLOOKUP(E77,'All Products'!D:D,'All Products'!J:J,FALSE)</f>
        <v>Sourced</v>
      </c>
      <c r="Q77" s="266">
        <f>_xlfn.XLOOKUP(E77,'All Products'!D:D,'All Products'!K:K,FALSE)</f>
        <v>810116843725</v>
      </c>
      <c r="R77" s="266" t="str">
        <f>_xlfn.XLOOKUP(E77,'All Products'!D:D,'All Products'!L:L,FALSE)</f>
        <v>-</v>
      </c>
      <c r="S77" s="266" t="str">
        <f>_xlfn.XLOOKUP(E77,'All Products'!D:D,'All Products'!M:M,FALSE)</f>
        <v>-</v>
      </c>
      <c r="T77" s="215">
        <f>_xlfn.XLOOKUP(E77,'All Products'!D:D,'All Products'!N:N,FALSE)</f>
        <v>0.55100000000000005</v>
      </c>
    </row>
    <row r="78" spans="1:22">
      <c r="A78" s="101" t="str">
        <f>IF(K78&gt;0,COUNT($A$8:A77)
+COUNT('DWV PVC'!$A$9:$A$316)
+COUNT('DWV ABS'!$A$8:$A$116)
+COUNT('PVC SCH40'!$A$8:$A$424)
+COUNT('PVC SCH40 LD'!$A$8:$A$21)
+COUNT('Pool &amp; SPA Sweep Elbows'!$A$8:$A$11)
+COUNT('Pool &amp; SPA Pipe Extender'!$A$8:$A$10)
+COUNT('PVC SCH80'!$A$8:$A$249)
+COUNT('PVC SCH80 Flange'!$A$8:$A$48)
+COUNT('PVC SCH80 LD Flange'!$A$8:$A$16)+1,"")</f>
        <v/>
      </c>
      <c r="B78" s="646"/>
      <c r="C78" s="647"/>
      <c r="D78" s="426" t="str">
        <f>_xlfn.XLOOKUP(E78,'All Products'!D:D,'All Products'!C:C,FALSE)</f>
        <v>4137-168</v>
      </c>
      <c r="E78" s="125">
        <v>300005818</v>
      </c>
      <c r="F78" s="427" t="str">
        <f>_xlfn.XLOOKUP(E78,'All Products'!D:D,'All Products'!E:E,FALSE)</f>
        <v>CPVC REDUCTION BUSHING ASTM 1.1/4X 1"</v>
      </c>
      <c r="G78" s="428">
        <f>_xlfn.XLOOKUP(E78,'All Products'!D:D,'All Products'!F:F,FALSE)</f>
        <v>100</v>
      </c>
      <c r="H78" s="428" t="str">
        <f>_xlfn.XLOOKUP(E78,'All Products'!D:D,'All Products'!G:G,FALSE)</f>
        <v>-</v>
      </c>
      <c r="I78" s="269" t="str">
        <f>_xlfn.XLOOKUP(E78,'All Products'!D:D,'All Products'!H:H,FALSE)</f>
        <v>Quote Required</v>
      </c>
      <c r="J78" s="129">
        <f>IFERROR(ROUNDUP(I78*Order_Quote!$L$11,2),0)</f>
        <v>0</v>
      </c>
      <c r="K78" s="71"/>
      <c r="L78" s="48"/>
      <c r="M78" s="46">
        <f t="shared" si="2"/>
        <v>0</v>
      </c>
      <c r="O78" s="215" t="str">
        <f>_xlfn.XLOOKUP(E78,'All Products'!D:D,'All Products'!I:I,FALSE)</f>
        <v>3 weeks</v>
      </c>
      <c r="P78" s="215" t="str">
        <f>_xlfn.XLOOKUP(E78,'All Products'!D:D,'All Products'!J:J,FALSE)</f>
        <v>Sourced</v>
      </c>
      <c r="Q78" s="266">
        <f>_xlfn.XLOOKUP(E78,'All Products'!D:D,'All Products'!K:K,FALSE)</f>
        <v>810116843633</v>
      </c>
      <c r="R78" s="266" t="str">
        <f>_xlfn.XLOOKUP(E78,'All Products'!D:D,'All Products'!L:L,FALSE)</f>
        <v>-</v>
      </c>
      <c r="S78" s="266" t="str">
        <f>_xlfn.XLOOKUP(E78,'All Products'!D:D,'All Products'!M:M,FALSE)</f>
        <v>-</v>
      </c>
      <c r="T78" s="215">
        <f>_xlfn.XLOOKUP(E78,'All Products'!D:D,'All Products'!N:N,FALSE)</f>
        <v>4.2000000000000003E-2</v>
      </c>
    </row>
    <row r="79" spans="1:22">
      <c r="A79" s="101" t="str">
        <f>IF(K79&gt;0,COUNT($A$8:A78)
+COUNT('DWV PVC'!$A$9:$A$316)
+COUNT('DWV ABS'!$A$8:$A$116)
+COUNT('PVC SCH40'!$A$8:$A$424)
+COUNT('PVC SCH40 LD'!$A$8:$A$21)
+COUNT('Pool &amp; SPA Sweep Elbows'!$A$8:$A$11)
+COUNT('Pool &amp; SPA Pipe Extender'!$A$8:$A$10)
+COUNT('PVC SCH80'!$A$8:$A$249)
+COUNT('PVC SCH80 Flange'!$A$8:$A$48)
+COUNT('PVC SCH80 LD Flange'!$A$8:$A$16)+1,"")</f>
        <v/>
      </c>
      <c r="B79" s="646"/>
      <c r="C79" s="647"/>
      <c r="D79" s="426" t="str">
        <f>_xlfn.XLOOKUP(E79,'All Products'!D:D,'All Products'!C:C,FALSE)</f>
        <v>4137-210</v>
      </c>
      <c r="E79" s="125">
        <v>300005824</v>
      </c>
      <c r="F79" s="427" t="str">
        <f>_xlfn.XLOOKUP(E79,'All Products'!D:D,'All Products'!E:E,FALSE)</f>
        <v>CPVC REDUCTION BUSHING ASTM 1.1/2X3/4"</v>
      </c>
      <c r="G79" s="428">
        <f>_xlfn.XLOOKUP(E79,'All Products'!D:D,'All Products'!F:F,FALSE)</f>
        <v>100</v>
      </c>
      <c r="H79" s="428" t="str">
        <f>_xlfn.XLOOKUP(E79,'All Products'!D:D,'All Products'!G:G,FALSE)</f>
        <v>-</v>
      </c>
      <c r="I79" s="269" t="str">
        <f>_xlfn.XLOOKUP(E79,'All Products'!D:D,'All Products'!H:H,FALSE)</f>
        <v>Quote Required</v>
      </c>
      <c r="J79" s="129">
        <f>IFERROR(ROUNDUP(I79*Order_Quote!$L$11,2),0)</f>
        <v>0</v>
      </c>
      <c r="K79" s="71"/>
      <c r="L79" s="48"/>
      <c r="M79" s="50">
        <f t="shared" si="2"/>
        <v>0</v>
      </c>
      <c r="O79" s="215" t="str">
        <f>_xlfn.XLOOKUP(E79,'All Products'!D:D,'All Products'!I:I,FALSE)</f>
        <v>3 weeks</v>
      </c>
      <c r="P79" s="215" t="str">
        <f>_xlfn.XLOOKUP(E79,'All Products'!D:D,'All Products'!J:J,FALSE)</f>
        <v>Sourced</v>
      </c>
      <c r="Q79" s="266" t="str">
        <f>_xlfn.XLOOKUP(E79,'All Products'!D:D,'All Products'!K:K,FALSE)</f>
        <v>-</v>
      </c>
      <c r="R79" s="266" t="str">
        <f>_xlfn.XLOOKUP(E79,'All Products'!D:D,'All Products'!L:L,FALSE)</f>
        <v>-</v>
      </c>
      <c r="S79" s="266" t="str">
        <f>_xlfn.XLOOKUP(E79,'All Products'!D:D,'All Products'!M:M,FALSE)</f>
        <v>-</v>
      </c>
      <c r="T79" s="215">
        <f>_xlfn.XLOOKUP(E79,'All Products'!D:D,'All Products'!N:N,FALSE)</f>
        <v>8.5999999999999993E-2</v>
      </c>
    </row>
    <row r="80" spans="1:22">
      <c r="A80" s="101" t="str">
        <f>IF(K80&gt;0,COUNT($A$8:A79)
+COUNT('DWV PVC'!$A$9:$A$316)
+COUNT('DWV ABS'!$A$8:$A$116)
+COUNT('PVC SCH40'!$A$8:$A$424)
+COUNT('PVC SCH40 LD'!$A$8:$A$21)
+COUNT('Pool &amp; SPA Sweep Elbows'!$A$8:$A$11)
+COUNT('Pool &amp; SPA Pipe Extender'!$A$8:$A$10)
+COUNT('PVC SCH80'!$A$8:$A$249)
+COUNT('PVC SCH80 Flange'!$A$8:$A$48)
+COUNT('PVC SCH80 LD Flange'!$A$8:$A$16)+1,"")</f>
        <v/>
      </c>
      <c r="B80" s="646"/>
      <c r="C80" s="647"/>
      <c r="D80" s="426" t="str">
        <f>_xlfn.XLOOKUP(E80,'All Products'!D:D,'All Products'!C:C,FALSE)</f>
        <v>4137-211</v>
      </c>
      <c r="E80" s="125">
        <v>300005817</v>
      </c>
      <c r="F80" s="427" t="str">
        <f>_xlfn.XLOOKUP(E80,'All Products'!D:D,'All Products'!E:E,FALSE)</f>
        <v>CPVC REDUCTION BUSHING ASTM 1.1/2X1"</v>
      </c>
      <c r="G80" s="428">
        <f>_xlfn.XLOOKUP(E80,'All Products'!D:D,'All Products'!F:F,FALSE)</f>
        <v>100</v>
      </c>
      <c r="H80" s="428" t="str">
        <f>_xlfn.XLOOKUP(E80,'All Products'!D:D,'All Products'!G:G,FALSE)</f>
        <v>-</v>
      </c>
      <c r="I80" s="269" t="str">
        <f>_xlfn.XLOOKUP(E80,'All Products'!D:D,'All Products'!H:H,FALSE)</f>
        <v>Quote Required</v>
      </c>
      <c r="J80" s="129">
        <f>IFERROR(ROUNDUP(I80*Order_Quote!$L$11,2),0)</f>
        <v>0</v>
      </c>
      <c r="K80" s="71"/>
      <c r="L80" s="48"/>
      <c r="M80" s="46">
        <f t="shared" si="2"/>
        <v>0</v>
      </c>
      <c r="O80" s="215" t="str">
        <f>_xlfn.XLOOKUP(E80,'All Products'!D:D,'All Products'!I:I,FALSE)</f>
        <v>3 weeks</v>
      </c>
      <c r="P80" s="215" t="str">
        <f>_xlfn.XLOOKUP(E80,'All Products'!D:D,'All Products'!J:J,FALSE)</f>
        <v>Sourced</v>
      </c>
      <c r="Q80" s="266" t="str">
        <f>_xlfn.XLOOKUP(E80,'All Products'!D:D,'All Products'!K:K,FALSE)</f>
        <v>-</v>
      </c>
      <c r="R80" s="266" t="str">
        <f>_xlfn.XLOOKUP(E80,'All Products'!D:D,'All Products'!L:L,FALSE)</f>
        <v>-</v>
      </c>
      <c r="S80" s="266" t="str">
        <f>_xlfn.XLOOKUP(E80,'All Products'!D:D,'All Products'!M:M,FALSE)</f>
        <v>-</v>
      </c>
      <c r="T80" s="215">
        <f>_xlfn.XLOOKUP(E80,'All Products'!D:D,'All Products'!N:N,FALSE)</f>
        <v>8.4000000000000005E-2</v>
      </c>
    </row>
    <row r="81" spans="1:22">
      <c r="A81" s="101" t="str">
        <f>IF(K81&gt;0,COUNT($A$8:A80)
+COUNT('DWV PVC'!$A$9:$A$316)
+COUNT('DWV ABS'!$A$8:$A$116)
+COUNT('PVC SCH40'!$A$8:$A$424)
+COUNT('PVC SCH40 LD'!$A$8:$A$21)
+COUNT('Pool &amp; SPA Sweep Elbows'!$A$8:$A$11)
+COUNT('Pool &amp; SPA Pipe Extender'!$A$8:$A$10)
+COUNT('PVC SCH80'!$A$8:$A$249)
+COUNT('PVC SCH80 Flange'!$A$8:$A$48)
+COUNT('PVC SCH80 LD Flange'!$A$8:$A$16)+1,"")</f>
        <v/>
      </c>
      <c r="B81" s="646"/>
      <c r="C81" s="647"/>
      <c r="D81" s="426" t="str">
        <f>_xlfn.XLOOKUP(E81,'All Products'!D:D,'All Products'!C:C,FALSE)</f>
        <v>4137-212</v>
      </c>
      <c r="E81" s="125">
        <v>300005827</v>
      </c>
      <c r="F81" s="427" t="str">
        <f>_xlfn.XLOOKUP(E81,'All Products'!D:D,'All Products'!E:E,FALSE)</f>
        <v>CPVC REDUCTION BUSHING ASTM 1.1/2" X1.1/4</v>
      </c>
      <c r="G81" s="428">
        <f>_xlfn.XLOOKUP(E81,'All Products'!D:D,'All Products'!F:F,FALSE)</f>
        <v>100</v>
      </c>
      <c r="H81" s="428" t="str">
        <f>_xlfn.XLOOKUP(E81,'All Products'!D:D,'All Products'!G:G,FALSE)</f>
        <v>-</v>
      </c>
      <c r="I81" s="269" t="str">
        <f>_xlfn.XLOOKUP(E81,'All Products'!D:D,'All Products'!H:H,FALSE)</f>
        <v>Quote Required</v>
      </c>
      <c r="J81" s="129">
        <f>IFERROR(ROUNDUP(I81*Order_Quote!$L$11,2),0)</f>
        <v>0</v>
      </c>
      <c r="K81" s="71"/>
      <c r="L81" s="48"/>
      <c r="M81" s="50">
        <f t="shared" si="2"/>
        <v>0</v>
      </c>
      <c r="O81" s="215" t="str">
        <f>_xlfn.XLOOKUP(E81,'All Products'!D:D,'All Products'!I:I,FALSE)</f>
        <v>3 weeks</v>
      </c>
      <c r="P81" s="215" t="str">
        <f>_xlfn.XLOOKUP(E81,'All Products'!D:D,'All Products'!J:J,FALSE)</f>
        <v>Sourced</v>
      </c>
      <c r="Q81" s="266" t="str">
        <f>_xlfn.XLOOKUP(E81,'All Products'!D:D,'All Products'!K:K,FALSE)</f>
        <v>-</v>
      </c>
      <c r="R81" s="266" t="str">
        <f>_xlfn.XLOOKUP(E81,'All Products'!D:D,'All Products'!L:L,FALSE)</f>
        <v>-</v>
      </c>
      <c r="S81" s="266" t="str">
        <f>_xlfn.XLOOKUP(E81,'All Products'!D:D,'All Products'!M:M,FALSE)</f>
        <v>-</v>
      </c>
      <c r="T81" s="215">
        <f>_xlfn.XLOOKUP(E81,'All Products'!D:D,'All Products'!N:N,FALSE)</f>
        <v>5.5E-2</v>
      </c>
    </row>
    <row r="82" spans="1:22">
      <c r="A82" s="101" t="str">
        <f>IF(K82&gt;0,COUNT($A$8:A81)
+COUNT('DWV PVC'!$A$9:$A$316)
+COUNT('DWV ABS'!$A$8:$A$116)
+COUNT('PVC SCH40'!$A$8:$A$424)
+COUNT('PVC SCH40 LD'!$A$8:$A$21)
+COUNT('Pool &amp; SPA Sweep Elbows'!$A$8:$A$11)
+COUNT('Pool &amp; SPA Pipe Extender'!$A$8:$A$10)
+COUNT('PVC SCH80'!$A$8:$A$249)
+COUNT('PVC SCH80 Flange'!$A$8:$A$48)
+COUNT('PVC SCH80 LD Flange'!$A$8:$A$16)+1,"")</f>
        <v/>
      </c>
      <c r="B82" s="646"/>
      <c r="C82" s="647"/>
      <c r="D82" s="426" t="str">
        <f>_xlfn.XLOOKUP(E82,'All Products'!D:D,'All Products'!C:C,FALSE)</f>
        <v>4137-249</v>
      </c>
      <c r="E82" s="125">
        <v>300005811</v>
      </c>
      <c r="F82" s="427" t="str">
        <f>_xlfn.XLOOKUP(E82,'All Products'!D:D,'All Products'!E:E,FALSE)</f>
        <v>CPVC REDUCTION BUSHING ASTM 2X1"</v>
      </c>
      <c r="G82" s="428">
        <f>_xlfn.XLOOKUP(E82,'All Products'!D:D,'All Products'!F:F,FALSE)</f>
        <v>50</v>
      </c>
      <c r="H82" s="428" t="str">
        <f>_xlfn.XLOOKUP(E82,'All Products'!D:D,'All Products'!G:G,FALSE)</f>
        <v>-</v>
      </c>
      <c r="I82" s="269" t="str">
        <f>_xlfn.XLOOKUP(E82,'All Products'!D:D,'All Products'!H:H,FALSE)</f>
        <v>Quote Required</v>
      </c>
      <c r="J82" s="129">
        <f>IFERROR(ROUNDUP(I82*Order_Quote!$L$11,2),0)</f>
        <v>0</v>
      </c>
      <c r="K82" s="71"/>
      <c r="L82" s="48"/>
      <c r="M82" s="46">
        <f t="shared" si="2"/>
        <v>0</v>
      </c>
      <c r="O82" s="215" t="str">
        <f>_xlfn.XLOOKUP(E82,'All Products'!D:D,'All Products'!I:I,FALSE)</f>
        <v>3 weeks</v>
      </c>
      <c r="P82" s="215" t="str">
        <f>_xlfn.XLOOKUP(E82,'All Products'!D:D,'All Products'!J:J,FALSE)</f>
        <v>Sourced</v>
      </c>
      <c r="Q82" s="266" t="str">
        <f>_xlfn.XLOOKUP(E82,'All Products'!D:D,'All Products'!K:K,FALSE)</f>
        <v>-</v>
      </c>
      <c r="R82" s="266" t="str">
        <f>_xlfn.XLOOKUP(E82,'All Products'!D:D,'All Products'!L:L,FALSE)</f>
        <v>-</v>
      </c>
      <c r="S82" s="266" t="str">
        <f>_xlfn.XLOOKUP(E82,'All Products'!D:D,'All Products'!M:M,FALSE)</f>
        <v>-</v>
      </c>
      <c r="T82" s="215">
        <f>_xlfn.XLOOKUP(E82,'All Products'!D:D,'All Products'!N:N,FALSE)</f>
        <v>0.17899999999999999</v>
      </c>
    </row>
    <row r="83" spans="1:22">
      <c r="A83" s="101" t="str">
        <f>IF(K83&gt;0,COUNT($A$8:A82)
+COUNT('DWV PVC'!$A$9:$A$316)
+COUNT('DWV ABS'!$A$8:$A$116)
+COUNT('PVC SCH40'!$A$8:$A$424)
+COUNT('PVC SCH40 LD'!$A$8:$A$21)
+COUNT('Pool &amp; SPA Sweep Elbows'!$A$8:$A$11)
+COUNT('Pool &amp; SPA Pipe Extender'!$A$8:$A$10)
+COUNT('PVC SCH80'!$A$8:$A$249)
+COUNT('PVC SCH80 Flange'!$A$8:$A$48)
+COUNT('PVC SCH80 LD Flange'!$A$8:$A$16)+1,"")</f>
        <v/>
      </c>
      <c r="B83" s="646"/>
      <c r="C83" s="647"/>
      <c r="D83" s="426" t="str">
        <f>_xlfn.XLOOKUP(E83,'All Products'!D:D,'All Products'!C:C,FALSE)</f>
        <v>4137-250</v>
      </c>
      <c r="E83" s="125">
        <v>300005819</v>
      </c>
      <c r="F83" s="427" t="str">
        <f>_xlfn.XLOOKUP(E83,'All Products'!D:D,'All Products'!E:E,FALSE)</f>
        <v>CPVC REDUCTION BUSHING ASTM 2X1.1/4"</v>
      </c>
      <c r="G83" s="428">
        <f>_xlfn.XLOOKUP(E83,'All Products'!D:D,'All Products'!F:F,FALSE)</f>
        <v>50</v>
      </c>
      <c r="H83" s="428" t="str">
        <f>_xlfn.XLOOKUP(E83,'All Products'!D:D,'All Products'!G:G,FALSE)</f>
        <v>-</v>
      </c>
      <c r="I83" s="269" t="str">
        <f>_xlfn.XLOOKUP(E83,'All Products'!D:D,'All Products'!H:H,FALSE)</f>
        <v>Quote Required</v>
      </c>
      <c r="J83" s="129">
        <f>IFERROR(ROUNDUP(I83*Order_Quote!$L$11,2),0)</f>
        <v>0</v>
      </c>
      <c r="K83" s="71"/>
      <c r="L83" s="48"/>
      <c r="M83" s="50">
        <f t="shared" si="2"/>
        <v>0</v>
      </c>
      <c r="O83" s="215" t="str">
        <f>_xlfn.XLOOKUP(E83,'All Products'!D:D,'All Products'!I:I,FALSE)</f>
        <v>3 weeks</v>
      </c>
      <c r="P83" s="215" t="str">
        <f>_xlfn.XLOOKUP(E83,'All Products'!D:D,'All Products'!J:J,FALSE)</f>
        <v>Sourced</v>
      </c>
      <c r="Q83" s="266" t="str">
        <f>_xlfn.XLOOKUP(E83,'All Products'!D:D,'All Products'!K:K,FALSE)</f>
        <v>-</v>
      </c>
      <c r="R83" s="266" t="str">
        <f>_xlfn.XLOOKUP(E83,'All Products'!D:D,'All Products'!L:L,FALSE)</f>
        <v>-</v>
      </c>
      <c r="S83" s="266" t="str">
        <f>_xlfn.XLOOKUP(E83,'All Products'!D:D,'All Products'!M:M,FALSE)</f>
        <v>-</v>
      </c>
      <c r="T83" s="215">
        <f>_xlfn.XLOOKUP(E83,'All Products'!D:D,'All Products'!N:N,FALSE)</f>
        <v>0.19400000000000001</v>
      </c>
    </row>
    <row r="84" spans="1:22" ht="15" thickBot="1">
      <c r="A84" s="101" t="str">
        <f>IF(K84&gt;0,COUNT($A$8:A83)
+COUNT('DWV PVC'!$A$9:$A$316)
+COUNT('DWV ABS'!$A$8:$A$116)
+COUNT('PVC SCH40'!$A$8:$A$424)
+COUNT('PVC SCH40 LD'!$A$8:$A$21)
+COUNT('Pool &amp; SPA Sweep Elbows'!$A$8:$A$11)
+COUNT('Pool &amp; SPA Pipe Extender'!$A$8:$A$10)
+COUNT('PVC SCH80'!$A$8:$A$249)
+COUNT('PVC SCH80 Flange'!$A$8:$A$48)
+COUNT('PVC SCH80 LD Flange'!$A$8:$A$16)+1,"")</f>
        <v/>
      </c>
      <c r="B84" s="652"/>
      <c r="C84" s="653"/>
      <c r="D84" s="426" t="str">
        <f>_xlfn.XLOOKUP(E84,'All Products'!D:D,'All Products'!C:C,FALSE)</f>
        <v>4137-251</v>
      </c>
      <c r="E84" s="125">
        <v>300005820</v>
      </c>
      <c r="F84" s="427" t="str">
        <f>_xlfn.XLOOKUP(E84,'All Products'!D:D,'All Products'!E:E,FALSE)</f>
        <v>CPVC REDUCTION BUSHING ASTM 2" X1.1/2"</v>
      </c>
      <c r="G84" s="428">
        <f>_xlfn.XLOOKUP(E84,'All Products'!D:D,'All Products'!F:F,FALSE)</f>
        <v>50</v>
      </c>
      <c r="H84" s="428" t="str">
        <f>_xlfn.XLOOKUP(E84,'All Products'!D:D,'All Products'!G:G,FALSE)</f>
        <v>-</v>
      </c>
      <c r="I84" s="269" t="str">
        <f>_xlfn.XLOOKUP(E84,'All Products'!D:D,'All Products'!H:H,FALSE)</f>
        <v>Quote Required</v>
      </c>
      <c r="J84" s="129">
        <f>IFERROR(ROUNDUP(I84*Order_Quote!$L$11,2),0)</f>
        <v>0</v>
      </c>
      <c r="K84" s="71"/>
      <c r="L84" s="48"/>
      <c r="M84" s="46">
        <f t="shared" si="2"/>
        <v>0</v>
      </c>
      <c r="O84" s="215" t="str">
        <f>_xlfn.XLOOKUP(E84,'All Products'!D:D,'All Products'!I:I,FALSE)</f>
        <v>3 weeks</v>
      </c>
      <c r="P84" s="215" t="str">
        <f>_xlfn.XLOOKUP(E84,'All Products'!D:D,'All Products'!J:J,FALSE)</f>
        <v>Sourced</v>
      </c>
      <c r="Q84" s="266" t="str">
        <f>_xlfn.XLOOKUP(E84,'All Products'!D:D,'All Products'!K:K,FALSE)</f>
        <v>-</v>
      </c>
      <c r="R84" s="266" t="str">
        <f>_xlfn.XLOOKUP(E84,'All Products'!D:D,'All Products'!L:L,FALSE)</f>
        <v>-</v>
      </c>
      <c r="S84" s="266" t="str">
        <f>_xlfn.XLOOKUP(E84,'All Products'!D:D,'All Products'!M:M,FALSE)</f>
        <v>-</v>
      </c>
      <c r="T84" s="215">
        <f>_xlfn.XLOOKUP(E84,'All Products'!D:D,'All Products'!N:N,FALSE)</f>
        <v>0.161</v>
      </c>
    </row>
    <row r="85" spans="1:22" s="17" customFormat="1" ht="16.2" thickBot="1">
      <c r="A85" s="101" t="str">
        <f>IF(K85&gt;0,COUNT($A$8:A84)
+COUNT('DWV PVC'!$A$9:$A$316)
+COUNT('DWV ABS'!$A$8:$A$116)
+COUNT('PVC SCH40'!$A$8:$A$424)
+COUNT('PVC SCH40 LD'!$A$8:$A$21)
+COUNT('Pool &amp; SPA Sweep Elbows'!$A$8:$A$11)
+COUNT('Pool &amp; SPA Pipe Extender'!$A$8:$A$10)
+COUNT('PVC SCH80'!$A$8:$A$249)
+COUNT('PVC SCH80 Flange'!$A$8:$A$48)
+COUNT('PVC SCH80 LD Flange'!$A$8:$A$16)+1,"")</f>
        <v/>
      </c>
      <c r="B85" s="522" t="s">
        <v>5803</v>
      </c>
      <c r="C85" s="151"/>
      <c r="D85" s="151"/>
      <c r="E85" s="459"/>
      <c r="F85" s="151"/>
      <c r="G85" s="468"/>
      <c r="H85" s="151"/>
      <c r="I85" s="472"/>
      <c r="J85" s="468"/>
      <c r="K85" s="477"/>
      <c r="L85" s="238"/>
      <c r="M85" s="476"/>
      <c r="O85" s="475"/>
      <c r="P85" s="145"/>
      <c r="Q85" s="492"/>
      <c r="R85" s="493"/>
      <c r="S85" s="493"/>
      <c r="T85" s="479"/>
      <c r="U85" s="459"/>
      <c r="V85" s="489"/>
    </row>
    <row r="86" spans="1:22">
      <c r="A86" s="101" t="str">
        <f>IF(K86&gt;0,COUNT($A$8:A85)
+COUNT('DWV PVC'!$A$9:$A$316)
+COUNT('DWV ABS'!$A$8:$A$116)
+COUNT('PVC SCH40'!$A$8:$A$424)
+COUNT('PVC SCH40 LD'!$A$8:$A$21)
+COUNT('Pool &amp; SPA Sweep Elbows'!$A$8:$A$11)
+COUNT('Pool &amp; SPA Pipe Extender'!$A$8:$A$10)
+COUNT('PVC SCH80'!$A$8:$A$249)
+COUNT('PVC SCH80 Flange'!$A$8:$A$48)
+COUNT('PVC SCH80 LD Flange'!$A$8:$A$16)+1,"")</f>
        <v/>
      </c>
      <c r="B86" s="644"/>
      <c r="C86" s="645"/>
      <c r="D86" s="426" t="str">
        <f>_xlfn.XLOOKUP(E86,'All Products'!D:D,'All Products'!C:C,FALSE)</f>
        <v>4147-005</v>
      </c>
      <c r="E86" s="125">
        <v>300006066</v>
      </c>
      <c r="F86" s="427" t="str">
        <f>_xlfn.XLOOKUP(E86,'All Products'!D:D,'All Products'!E:E,FALSE)</f>
        <v>CPVC CAP ASTM 1/2"</v>
      </c>
      <c r="G86" s="428">
        <f>_xlfn.XLOOKUP(E86,'All Products'!D:D,'All Products'!F:F,FALSE)</f>
        <v>500</v>
      </c>
      <c r="H86" s="428" t="str">
        <f>_xlfn.XLOOKUP(E86,'All Products'!D:D,'All Products'!G:G,FALSE)</f>
        <v>-</v>
      </c>
      <c r="I86" s="269" t="str">
        <f>_xlfn.XLOOKUP(E86,'All Products'!D:D,'All Products'!H:H,FALSE)</f>
        <v>Quote Required</v>
      </c>
      <c r="J86" s="129">
        <f>IFERROR(ROUNDUP(I86*Order_Quote!$L$11,2),0)</f>
        <v>0</v>
      </c>
      <c r="K86" s="71"/>
      <c r="L86" s="48"/>
      <c r="M86" s="46">
        <f t="shared" si="2"/>
        <v>0</v>
      </c>
      <c r="O86" s="215" t="str">
        <f>_xlfn.XLOOKUP(E86,'All Products'!D:D,'All Products'!I:I,FALSE)</f>
        <v>3 weeks</v>
      </c>
      <c r="P86" s="215" t="str">
        <f>_xlfn.XLOOKUP(E86,'All Products'!D:D,'All Products'!J:J,FALSE)</f>
        <v>Sourced</v>
      </c>
      <c r="Q86" s="266">
        <f>_xlfn.XLOOKUP(E86,'All Products'!D:D,'All Products'!K:K,FALSE)</f>
        <v>810673012220</v>
      </c>
      <c r="R86" s="266" t="str">
        <f>_xlfn.XLOOKUP(E86,'All Products'!D:D,'All Products'!L:L,FALSE)</f>
        <v>-</v>
      </c>
      <c r="S86" s="266">
        <f>_xlfn.XLOOKUP(E86,'All Products'!D:D,'All Products'!M:M,FALSE)</f>
        <v>10810673012227</v>
      </c>
      <c r="T86" s="215">
        <f>_xlfn.XLOOKUP(E86,'All Products'!D:D,'All Products'!N:N,FALSE)</f>
        <v>1.0999999999999999E-2</v>
      </c>
    </row>
    <row r="87" spans="1:22">
      <c r="A87" s="101" t="str">
        <f>IF(K87&gt;0,COUNT($A$8:A86)
+COUNT('DWV PVC'!$A$9:$A$316)
+COUNT('DWV ABS'!$A$8:$A$116)
+COUNT('PVC SCH40'!$A$8:$A$424)
+COUNT('PVC SCH40 LD'!$A$8:$A$21)
+COUNT('Pool &amp; SPA Sweep Elbows'!$A$8:$A$11)
+COUNT('Pool &amp; SPA Pipe Extender'!$A$8:$A$10)
+COUNT('PVC SCH80'!$A$8:$A$249)
+COUNT('PVC SCH80 Flange'!$A$8:$A$48)
+COUNT('PVC SCH80 LD Flange'!$A$8:$A$16)+1,"")</f>
        <v/>
      </c>
      <c r="B87" s="646"/>
      <c r="C87" s="647"/>
      <c r="D87" s="426" t="str">
        <f>_xlfn.XLOOKUP(E87,'All Products'!D:D,'All Products'!C:C,FALSE)</f>
        <v>4147-007</v>
      </c>
      <c r="E87" s="125">
        <v>300006065</v>
      </c>
      <c r="F87" s="427" t="str">
        <f>_xlfn.XLOOKUP(E87,'All Products'!D:D,'All Products'!E:E,FALSE)</f>
        <v>CPVC CAP ASTM 3/4"</v>
      </c>
      <c r="G87" s="428">
        <f>_xlfn.XLOOKUP(E87,'All Products'!D:D,'All Products'!F:F,FALSE)</f>
        <v>250</v>
      </c>
      <c r="H87" s="428" t="str">
        <f>_xlfn.XLOOKUP(E87,'All Products'!D:D,'All Products'!G:G,FALSE)</f>
        <v>-</v>
      </c>
      <c r="I87" s="269" t="str">
        <f>_xlfn.XLOOKUP(E87,'All Products'!D:D,'All Products'!H:H,FALSE)</f>
        <v>Quote Required</v>
      </c>
      <c r="J87" s="129">
        <f>IFERROR(ROUNDUP(I87*Order_Quote!$L$11,2),0)</f>
        <v>0</v>
      </c>
      <c r="K87" s="71"/>
      <c r="L87" s="48"/>
      <c r="M87" s="46">
        <f t="shared" si="2"/>
        <v>0</v>
      </c>
      <c r="O87" s="215" t="str">
        <f>_xlfn.XLOOKUP(E87,'All Products'!D:D,'All Products'!I:I,FALSE)</f>
        <v>3 weeks</v>
      </c>
      <c r="P87" s="215" t="str">
        <f>_xlfn.XLOOKUP(E87,'All Products'!D:D,'All Products'!J:J,FALSE)</f>
        <v>Sourced</v>
      </c>
      <c r="Q87" s="266">
        <f>_xlfn.XLOOKUP(E87,'All Products'!D:D,'All Products'!K:K,FALSE)</f>
        <v>810673012244</v>
      </c>
      <c r="R87" s="266" t="str">
        <f>_xlfn.XLOOKUP(E87,'All Products'!D:D,'All Products'!L:L,FALSE)</f>
        <v>-</v>
      </c>
      <c r="S87" s="266">
        <f>_xlfn.XLOOKUP(E87,'All Products'!D:D,'All Products'!M:M,FALSE)</f>
        <v>10810673012241</v>
      </c>
      <c r="T87" s="215">
        <f>_xlfn.XLOOKUP(E87,'All Products'!D:D,'All Products'!N:N,FALSE)</f>
        <v>2.4E-2</v>
      </c>
    </row>
    <row r="88" spans="1:22">
      <c r="A88" s="101" t="str">
        <f>IF(K88&gt;0,COUNT($A$8:A87)
+COUNT('DWV PVC'!$A$9:$A$316)
+COUNT('DWV ABS'!$A$8:$A$116)
+COUNT('PVC SCH40'!$A$8:$A$424)
+COUNT('PVC SCH40 LD'!$A$8:$A$21)
+COUNT('Pool &amp; SPA Sweep Elbows'!$A$8:$A$11)
+COUNT('Pool &amp; SPA Pipe Extender'!$A$8:$A$10)
+COUNT('PVC SCH80'!$A$8:$A$249)
+COUNT('PVC SCH80 Flange'!$A$8:$A$48)
+COUNT('PVC SCH80 LD Flange'!$A$8:$A$16)+1,"")</f>
        <v/>
      </c>
      <c r="B88" s="646"/>
      <c r="C88" s="647"/>
      <c r="D88" s="426" t="str">
        <f>_xlfn.XLOOKUP(E88,'All Products'!D:D,'All Products'!C:C,FALSE)</f>
        <v>4147-010</v>
      </c>
      <c r="E88" s="125">
        <v>300005782</v>
      </c>
      <c r="F88" s="427" t="str">
        <f>_xlfn.XLOOKUP(E88,'All Products'!D:D,'All Products'!E:E,FALSE)</f>
        <v>CPVC CAP ASTM 1"</v>
      </c>
      <c r="G88" s="428">
        <f>_xlfn.XLOOKUP(E88,'All Products'!D:D,'All Products'!F:F,FALSE)</f>
        <v>100</v>
      </c>
      <c r="H88" s="428" t="str">
        <f>_xlfn.XLOOKUP(E88,'All Products'!D:D,'All Products'!G:G,FALSE)</f>
        <v>-</v>
      </c>
      <c r="I88" s="269" t="str">
        <f>_xlfn.XLOOKUP(E88,'All Products'!D:D,'All Products'!H:H,FALSE)</f>
        <v>Quote Required</v>
      </c>
      <c r="J88" s="129">
        <f>IFERROR(ROUNDUP(I88*Order_Quote!$L$11,2),0)</f>
        <v>0</v>
      </c>
      <c r="K88" s="71"/>
      <c r="L88" s="48"/>
      <c r="M88" s="46">
        <f t="shared" si="2"/>
        <v>0</v>
      </c>
      <c r="O88" s="215" t="str">
        <f>_xlfn.XLOOKUP(E88,'All Products'!D:D,'All Products'!I:I,FALSE)</f>
        <v>3 weeks</v>
      </c>
      <c r="P88" s="215" t="str">
        <f>_xlfn.XLOOKUP(E88,'All Products'!D:D,'All Products'!J:J,FALSE)</f>
        <v>Sourced</v>
      </c>
      <c r="Q88" s="266" t="str">
        <f>_xlfn.XLOOKUP(E88,'All Products'!D:D,'All Products'!K:K,FALSE)</f>
        <v>-</v>
      </c>
      <c r="R88" s="266" t="str">
        <f>_xlfn.XLOOKUP(E88,'All Products'!D:D,'All Products'!L:L,FALSE)</f>
        <v>-</v>
      </c>
      <c r="S88" s="266" t="str">
        <f>_xlfn.XLOOKUP(E88,'All Products'!D:D,'All Products'!M:M,FALSE)</f>
        <v>-</v>
      </c>
      <c r="T88" s="215">
        <f>_xlfn.XLOOKUP(E88,'All Products'!D:D,'All Products'!N:N,FALSE)</f>
        <v>4.9000000000000002E-2</v>
      </c>
    </row>
    <row r="89" spans="1:22">
      <c r="A89" s="101" t="str">
        <f>IF(K89&gt;0,COUNT($A$8:A88)
+COUNT('DWV PVC'!$A$9:$A$316)
+COUNT('DWV ABS'!$A$8:$A$116)
+COUNT('PVC SCH40'!$A$8:$A$424)
+COUNT('PVC SCH40 LD'!$A$8:$A$21)
+COUNT('Pool &amp; SPA Sweep Elbows'!$A$8:$A$11)
+COUNT('Pool &amp; SPA Pipe Extender'!$A$8:$A$10)
+COUNT('PVC SCH80'!$A$8:$A$249)
+COUNT('PVC SCH80 Flange'!$A$8:$A$48)
+COUNT('PVC SCH80 LD Flange'!$A$8:$A$16)+1,"")</f>
        <v/>
      </c>
      <c r="B89" s="646"/>
      <c r="C89" s="647"/>
      <c r="D89" s="426" t="str">
        <f>_xlfn.XLOOKUP(E89,'All Products'!D:D,'All Products'!C:C,FALSE)</f>
        <v>4147-012</v>
      </c>
      <c r="E89" s="125">
        <v>300005787</v>
      </c>
      <c r="F89" s="427" t="str">
        <f>_xlfn.XLOOKUP(E89,'All Products'!D:D,'All Products'!E:E,FALSE)</f>
        <v>CPVC CAP ASTM 1.1/4"</v>
      </c>
      <c r="G89" s="428">
        <f>_xlfn.XLOOKUP(E89,'All Products'!D:D,'All Products'!F:F,FALSE)</f>
        <v>100</v>
      </c>
      <c r="H89" s="428" t="str">
        <f>_xlfn.XLOOKUP(E89,'All Products'!D:D,'All Products'!G:G,FALSE)</f>
        <v>-</v>
      </c>
      <c r="I89" s="269" t="str">
        <f>_xlfn.XLOOKUP(E89,'All Products'!D:D,'All Products'!H:H,FALSE)</f>
        <v>Quote Required</v>
      </c>
      <c r="J89" s="129">
        <f>IFERROR(ROUNDUP(I89*Order_Quote!$L$11,2),0)</f>
        <v>0</v>
      </c>
      <c r="K89" s="71"/>
      <c r="L89" s="48"/>
      <c r="M89" s="46">
        <f t="shared" si="2"/>
        <v>0</v>
      </c>
      <c r="O89" s="215" t="str">
        <f>_xlfn.XLOOKUP(E89,'All Products'!D:D,'All Products'!I:I,FALSE)</f>
        <v>3 weeks</v>
      </c>
      <c r="P89" s="215" t="str">
        <f>_xlfn.XLOOKUP(E89,'All Products'!D:D,'All Products'!J:J,FALSE)</f>
        <v>Sourced</v>
      </c>
      <c r="Q89" s="266" t="str">
        <f>_xlfn.XLOOKUP(E89,'All Products'!D:D,'All Products'!K:K,FALSE)</f>
        <v>-</v>
      </c>
      <c r="R89" s="266" t="str">
        <f>_xlfn.XLOOKUP(E89,'All Products'!D:D,'All Products'!L:L,FALSE)</f>
        <v>-</v>
      </c>
      <c r="S89" s="266" t="str">
        <f>_xlfn.XLOOKUP(E89,'All Products'!D:D,'All Products'!M:M,FALSE)</f>
        <v>-</v>
      </c>
      <c r="T89" s="215">
        <f>_xlfn.XLOOKUP(E89,'All Products'!D:D,'All Products'!N:N,FALSE)</f>
        <v>7.2999999999999995E-2</v>
      </c>
    </row>
    <row r="90" spans="1:22">
      <c r="A90" s="101" t="str">
        <f>IF(K90&gt;0,COUNT($A$8:A89)
+COUNT('DWV PVC'!$A$9:$A$316)
+COUNT('DWV ABS'!$A$8:$A$116)
+COUNT('PVC SCH40'!$A$8:$A$424)
+COUNT('PVC SCH40 LD'!$A$8:$A$21)
+COUNT('Pool &amp; SPA Sweep Elbows'!$A$8:$A$11)
+COUNT('Pool &amp; SPA Pipe Extender'!$A$8:$A$10)
+COUNT('PVC SCH80'!$A$8:$A$249)
+COUNT('PVC SCH80 Flange'!$A$8:$A$48)
+COUNT('PVC SCH80 LD Flange'!$A$8:$A$16)+1,"")</f>
        <v/>
      </c>
      <c r="B90" s="646"/>
      <c r="C90" s="647"/>
      <c r="D90" s="426" t="str">
        <f>_xlfn.XLOOKUP(E90,'All Products'!D:D,'All Products'!C:C,FALSE)</f>
        <v>4147-015</v>
      </c>
      <c r="E90" s="125">
        <v>300005788</v>
      </c>
      <c r="F90" s="427" t="str">
        <f>_xlfn.XLOOKUP(E90,'All Products'!D:D,'All Products'!E:E,FALSE)</f>
        <v>CPVC CAP ASTM 1.1/2"</v>
      </c>
      <c r="G90" s="428">
        <f>_xlfn.XLOOKUP(E90,'All Products'!D:D,'All Products'!F:F,FALSE)</f>
        <v>100</v>
      </c>
      <c r="H90" s="428" t="str">
        <f>_xlfn.XLOOKUP(E90,'All Products'!D:D,'All Products'!G:G,FALSE)</f>
        <v>-</v>
      </c>
      <c r="I90" s="269" t="str">
        <f>_xlfn.XLOOKUP(E90,'All Products'!D:D,'All Products'!H:H,FALSE)</f>
        <v>Quote Required</v>
      </c>
      <c r="J90" s="129">
        <f>IFERROR(ROUNDUP(I90*Order_Quote!$L$11,2),0)</f>
        <v>0</v>
      </c>
      <c r="K90" s="71"/>
      <c r="L90" s="48"/>
      <c r="M90" s="46">
        <f t="shared" si="2"/>
        <v>0</v>
      </c>
      <c r="O90" s="215" t="str">
        <f>_xlfn.XLOOKUP(E90,'All Products'!D:D,'All Products'!I:I,FALSE)</f>
        <v>3 weeks</v>
      </c>
      <c r="P90" s="215" t="str">
        <f>_xlfn.XLOOKUP(E90,'All Products'!D:D,'All Products'!J:J,FALSE)</f>
        <v>Sourced</v>
      </c>
      <c r="Q90" s="266" t="str">
        <f>_xlfn.XLOOKUP(E90,'All Products'!D:D,'All Products'!K:K,FALSE)</f>
        <v>-</v>
      </c>
      <c r="R90" s="266" t="str">
        <f>_xlfn.XLOOKUP(E90,'All Products'!D:D,'All Products'!L:L,FALSE)</f>
        <v>-</v>
      </c>
      <c r="S90" s="266" t="str">
        <f>_xlfn.XLOOKUP(E90,'All Products'!D:D,'All Products'!M:M,FALSE)</f>
        <v>-</v>
      </c>
      <c r="T90" s="215">
        <f>_xlfn.XLOOKUP(E90,'All Products'!D:D,'All Products'!N:N,FALSE)</f>
        <v>0.11700000000000001</v>
      </c>
    </row>
    <row r="91" spans="1:22" ht="15" thickBot="1">
      <c r="A91" s="101" t="str">
        <f>IF(K91&gt;0,COUNT($A$8:A90)
+COUNT('DWV PVC'!$A$9:$A$316)
+COUNT('DWV ABS'!$A$8:$A$116)
+COUNT('PVC SCH40'!$A$8:$A$424)
+COUNT('PVC SCH40 LD'!$A$8:$A$21)
+COUNT('Pool &amp; SPA Sweep Elbows'!$A$8:$A$11)
+COUNT('Pool &amp; SPA Pipe Extender'!$A$8:$A$10)
+COUNT('PVC SCH80'!$A$8:$A$249)
+COUNT('PVC SCH80 Flange'!$A$8:$A$48)
+COUNT('PVC SCH80 LD Flange'!$A$8:$A$16)+1,"")</f>
        <v/>
      </c>
      <c r="B91" s="652"/>
      <c r="C91" s="653"/>
      <c r="D91" s="426" t="str">
        <f>_xlfn.XLOOKUP(E91,'All Products'!D:D,'All Products'!C:C,FALSE)</f>
        <v>4147-020</v>
      </c>
      <c r="E91" s="125">
        <v>300005781</v>
      </c>
      <c r="F91" s="427" t="str">
        <f>_xlfn.XLOOKUP(E91,'All Products'!D:D,'All Products'!E:E,FALSE)</f>
        <v>CPVC CAP ASTM 2"</v>
      </c>
      <c r="G91" s="428">
        <f>_xlfn.XLOOKUP(E91,'All Products'!D:D,'All Products'!F:F,FALSE)</f>
        <v>50</v>
      </c>
      <c r="H91" s="428" t="str">
        <f>_xlfn.XLOOKUP(E91,'All Products'!D:D,'All Products'!G:G,FALSE)</f>
        <v>-</v>
      </c>
      <c r="I91" s="269" t="str">
        <f>_xlfn.XLOOKUP(E91,'All Products'!D:D,'All Products'!H:H,FALSE)</f>
        <v>Quote Required</v>
      </c>
      <c r="J91" s="129">
        <f>IFERROR(ROUNDUP(I91*Order_Quote!$L$11,2),0)</f>
        <v>0</v>
      </c>
      <c r="K91" s="71"/>
      <c r="L91" s="48"/>
      <c r="M91" s="46">
        <f t="shared" si="2"/>
        <v>0</v>
      </c>
      <c r="O91" s="215" t="str">
        <f>_xlfn.XLOOKUP(E91,'All Products'!D:D,'All Products'!I:I,FALSE)</f>
        <v>3 weeks</v>
      </c>
      <c r="P91" s="215" t="str">
        <f>_xlfn.XLOOKUP(E91,'All Products'!D:D,'All Products'!J:J,FALSE)</f>
        <v>Sourced</v>
      </c>
      <c r="Q91" s="266" t="str">
        <f>_xlfn.XLOOKUP(E91,'All Products'!D:D,'All Products'!K:K,FALSE)</f>
        <v>-</v>
      </c>
      <c r="R91" s="266" t="str">
        <f>_xlfn.XLOOKUP(E91,'All Products'!D:D,'All Products'!L:L,FALSE)</f>
        <v>-</v>
      </c>
      <c r="S91" s="266" t="str">
        <f>_xlfn.XLOOKUP(E91,'All Products'!D:D,'All Products'!M:M,FALSE)</f>
        <v>-</v>
      </c>
      <c r="T91" s="215">
        <f>_xlfn.XLOOKUP(E91,'All Products'!D:D,'All Products'!N:N,FALSE)</f>
        <v>0.254</v>
      </c>
    </row>
    <row r="92" spans="1:22" s="17" customFormat="1" ht="16.2" thickBot="1">
      <c r="A92" s="101" t="str">
        <f>IF(K92&gt;0,COUNT($A$8:A91)
+COUNT('DWV PVC'!$A$9:$A$316)
+COUNT('DWV ABS'!$A$8:$A$116)
+COUNT('PVC SCH40'!$A$8:$A$424)
+COUNT('PVC SCH40 LD'!$A$8:$A$21)
+COUNT('Pool &amp; SPA Sweep Elbows'!$A$8:$A$11)
+COUNT('Pool &amp; SPA Pipe Extender'!$A$8:$A$10)
+COUNT('PVC SCH80'!$A$8:$A$249)
+COUNT('PVC SCH80 Flange'!$A$8:$A$48)
+COUNT('PVC SCH80 LD Flange'!$A$8:$A$16)+1,"")</f>
        <v/>
      </c>
      <c r="B92" s="522" t="s">
        <v>5835</v>
      </c>
      <c r="C92" s="151"/>
      <c r="D92" s="151"/>
      <c r="E92" s="459"/>
      <c r="F92" s="151"/>
      <c r="G92" s="468"/>
      <c r="H92" s="151"/>
      <c r="I92" s="472"/>
      <c r="J92" s="468"/>
      <c r="K92" s="477"/>
      <c r="L92" s="238"/>
      <c r="M92" s="476"/>
      <c r="O92" s="475"/>
      <c r="P92" s="145"/>
      <c r="Q92" s="492"/>
      <c r="R92" s="493"/>
      <c r="S92" s="493"/>
      <c r="T92" s="479"/>
      <c r="U92" s="459"/>
      <c r="V92" s="489"/>
    </row>
    <row r="93" spans="1:22">
      <c r="A93" s="101" t="str">
        <f>IF(K93&gt;0,COUNT($A$8:A92)
+COUNT('DWV PVC'!$A$9:$A$316)
+COUNT('DWV ABS'!$A$8:$A$116)
+COUNT('PVC SCH40'!$A$8:$A$424)
+COUNT('PVC SCH40 LD'!$A$8:$A$21)
+COUNT('Pool &amp; SPA Sweep Elbows'!$A$8:$A$11)
+COUNT('Pool &amp; SPA Pipe Extender'!$A$8:$A$10)
+COUNT('PVC SCH80'!$A$8:$A$249)
+COUNT('PVC SCH80 Flange'!$A$8:$A$48)
+COUNT('PVC SCH80 LD Flange'!$A$8:$A$16)+1,"")</f>
        <v/>
      </c>
      <c r="B93" s="644"/>
      <c r="C93" s="645"/>
      <c r="D93" s="426" t="str">
        <f>_xlfn.XLOOKUP(E93,'All Products'!D:D,'All Products'!C:C,FALSE)</f>
        <v>4197-005</v>
      </c>
      <c r="E93" s="125">
        <v>300006052</v>
      </c>
      <c r="F93" s="427" t="str">
        <f>_xlfn.XLOOKUP(E93,'All Products'!D:D,'All Products'!E:E,FALSE)</f>
        <v>CPVC UNION ASTM 1/2"</v>
      </c>
      <c r="G93" s="428">
        <f>_xlfn.XLOOKUP(E93,'All Products'!D:D,'All Products'!F:F,FALSE)</f>
        <v>500</v>
      </c>
      <c r="H93" s="428" t="str">
        <f>_xlfn.XLOOKUP(E93,'All Products'!D:D,'All Products'!G:G,FALSE)</f>
        <v>-</v>
      </c>
      <c r="I93" s="269" t="str">
        <f>_xlfn.XLOOKUP(E93,'All Products'!D:D,'All Products'!H:H,FALSE)</f>
        <v>Quote Required</v>
      </c>
      <c r="J93" s="129">
        <f>IFERROR(ROUNDUP(I93*Order_Quote!$L$11,2),0)</f>
        <v>0</v>
      </c>
      <c r="K93" s="71"/>
      <c r="L93" s="48"/>
      <c r="M93" s="46">
        <f t="shared" si="2"/>
        <v>0</v>
      </c>
      <c r="O93" s="215" t="str">
        <f>_xlfn.XLOOKUP(E93,'All Products'!D:D,'All Products'!I:I,FALSE)</f>
        <v>3 weeks</v>
      </c>
      <c r="P93" s="215" t="str">
        <f>_xlfn.XLOOKUP(E93,'All Products'!D:D,'All Products'!J:J,FALSE)</f>
        <v>Sourced</v>
      </c>
      <c r="Q93" s="266">
        <f>_xlfn.XLOOKUP(E93,'All Products'!D:D,'All Products'!K:K,FALSE)</f>
        <v>810673012435</v>
      </c>
      <c r="R93" s="266" t="str">
        <f>_xlfn.XLOOKUP(E93,'All Products'!D:D,'All Products'!L:L,FALSE)</f>
        <v>-</v>
      </c>
      <c r="S93" s="266">
        <f>_xlfn.XLOOKUP(E93,'All Products'!D:D,'All Products'!M:M,FALSE)</f>
        <v>10810673012432</v>
      </c>
      <c r="T93" s="215">
        <f>_xlfn.XLOOKUP(E93,'All Products'!D:D,'All Products'!N:N,FALSE)</f>
        <v>8.4000000000000005E-2</v>
      </c>
    </row>
    <row r="94" spans="1:22">
      <c r="A94" s="101" t="str">
        <f>IF(K94&gt;0,COUNT($A$8:A93)
+COUNT('DWV PVC'!$A$9:$A$316)
+COUNT('DWV ABS'!$A$8:$A$116)
+COUNT('PVC SCH40'!$A$8:$A$424)
+COUNT('PVC SCH40 LD'!$A$8:$A$21)
+COUNT('Pool &amp; SPA Sweep Elbows'!$A$8:$A$11)
+COUNT('Pool &amp; SPA Pipe Extender'!$A$8:$A$10)
+COUNT('PVC SCH80'!$A$8:$A$249)
+COUNT('PVC SCH80 Flange'!$A$8:$A$48)
+COUNT('PVC SCH80 LD Flange'!$A$8:$A$16)+1,"")</f>
        <v/>
      </c>
      <c r="B94" s="646"/>
      <c r="C94" s="647"/>
      <c r="D94" s="426" t="str">
        <f>_xlfn.XLOOKUP(E94,'All Products'!D:D,'All Products'!C:C,FALSE)</f>
        <v>4197-007</v>
      </c>
      <c r="E94" s="125">
        <v>300006051</v>
      </c>
      <c r="F94" s="427" t="str">
        <f>_xlfn.XLOOKUP(E94,'All Products'!D:D,'All Products'!E:E,FALSE)</f>
        <v>CPVC UNION ASTM 3/4"</v>
      </c>
      <c r="G94" s="428">
        <f>_xlfn.XLOOKUP(E94,'All Products'!D:D,'All Products'!F:F,FALSE)</f>
        <v>250</v>
      </c>
      <c r="H94" s="428" t="str">
        <f>_xlfn.XLOOKUP(E94,'All Products'!D:D,'All Products'!G:G,FALSE)</f>
        <v>-</v>
      </c>
      <c r="I94" s="269" t="str">
        <f>_xlfn.XLOOKUP(E94,'All Products'!D:D,'All Products'!H:H,FALSE)</f>
        <v>Quote Required</v>
      </c>
      <c r="J94" s="129">
        <f>IFERROR(ROUNDUP(I94*Order_Quote!$L$11,2),0)</f>
        <v>0</v>
      </c>
      <c r="K94" s="71"/>
      <c r="L94" s="48"/>
      <c r="M94" s="46">
        <f t="shared" si="2"/>
        <v>0</v>
      </c>
      <c r="O94" s="215" t="str">
        <f>_xlfn.XLOOKUP(E94,'All Products'!D:D,'All Products'!I:I,FALSE)</f>
        <v>3 weeks</v>
      </c>
      <c r="P94" s="215" t="str">
        <f>_xlfn.XLOOKUP(E94,'All Products'!D:D,'All Products'!J:J,FALSE)</f>
        <v>Sourced</v>
      </c>
      <c r="Q94" s="266">
        <f>_xlfn.XLOOKUP(E94,'All Products'!D:D,'All Products'!K:K,FALSE)</f>
        <v>810673012442</v>
      </c>
      <c r="R94" s="266" t="str">
        <f>_xlfn.XLOOKUP(E94,'All Products'!D:D,'All Products'!L:L,FALSE)</f>
        <v>-</v>
      </c>
      <c r="S94" s="266">
        <f>_xlfn.XLOOKUP(E94,'All Products'!D:D,'All Products'!M:M,FALSE)</f>
        <v>10810673012449</v>
      </c>
      <c r="T94" s="215">
        <f>_xlfn.XLOOKUP(E94,'All Products'!D:D,'All Products'!N:N,FALSE)</f>
        <v>8.7999999999999995E-2</v>
      </c>
    </row>
    <row r="95" spans="1:22">
      <c r="A95" s="101" t="str">
        <f>IF(K95&gt;0,COUNT($A$8:A94)
+COUNT('DWV PVC'!$A$9:$A$316)
+COUNT('DWV ABS'!$A$8:$A$116)
+COUNT('PVC SCH40'!$A$8:$A$424)
+COUNT('PVC SCH40 LD'!$A$8:$A$21)
+COUNT('Pool &amp; SPA Sweep Elbows'!$A$8:$A$11)
+COUNT('Pool &amp; SPA Pipe Extender'!$A$8:$A$10)
+COUNT('PVC SCH80'!$A$8:$A$249)
+COUNT('PVC SCH80 Flange'!$A$8:$A$48)
+COUNT('PVC SCH80 LD Flange'!$A$8:$A$16)+1,"")</f>
        <v/>
      </c>
      <c r="B95" s="646"/>
      <c r="C95" s="647"/>
      <c r="D95" s="426" t="str">
        <f>_xlfn.XLOOKUP(E95,'All Products'!D:D,'All Products'!C:C,FALSE)</f>
        <v>4197-010</v>
      </c>
      <c r="E95" s="126">
        <v>300005785</v>
      </c>
      <c r="F95" s="427" t="str">
        <f>_xlfn.XLOOKUP(E95,'All Products'!D:D,'All Products'!E:E,FALSE)</f>
        <v>CPVC UNION ASTM 1"</v>
      </c>
      <c r="G95" s="428">
        <f>_xlfn.XLOOKUP(E95,'All Products'!D:D,'All Products'!F:F,FALSE)</f>
        <v>100</v>
      </c>
      <c r="H95" s="428" t="str">
        <f>_xlfn.XLOOKUP(E95,'All Products'!D:D,'All Products'!G:G,FALSE)</f>
        <v>-</v>
      </c>
      <c r="I95" s="269" t="str">
        <f>_xlfn.XLOOKUP(E95,'All Products'!D:D,'All Products'!H:H,FALSE)</f>
        <v>Quote Required</v>
      </c>
      <c r="J95" s="129">
        <f>IFERROR(ROUNDUP(I95*Order_Quote!$L$11,2),0)</f>
        <v>0</v>
      </c>
      <c r="K95" s="71"/>
      <c r="L95" s="48"/>
      <c r="M95" s="46">
        <f t="shared" si="2"/>
        <v>0</v>
      </c>
      <c r="O95" s="215" t="str">
        <f>_xlfn.XLOOKUP(E95,'All Products'!D:D,'All Products'!I:I,FALSE)</f>
        <v>3 weeks</v>
      </c>
      <c r="P95" s="215" t="str">
        <f>_xlfn.XLOOKUP(E95,'All Products'!D:D,'All Products'!J:J,FALSE)</f>
        <v>Sourced</v>
      </c>
      <c r="Q95" s="266">
        <f>_xlfn.XLOOKUP(E95,'All Products'!D:D,'All Products'!K:K,FALSE)</f>
        <v>810116843626</v>
      </c>
      <c r="R95" s="266" t="str">
        <f>_xlfn.XLOOKUP(E95,'All Products'!D:D,'All Products'!L:L,FALSE)</f>
        <v>-</v>
      </c>
      <c r="S95" s="266" t="str">
        <f>_xlfn.XLOOKUP(E95,'All Products'!D:D,'All Products'!M:M,FALSE)</f>
        <v>-</v>
      </c>
      <c r="T95" s="215">
        <f>_xlfn.XLOOKUP(E95,'All Products'!D:D,'All Products'!N:N,FALSE)</f>
        <v>0.154</v>
      </c>
    </row>
    <row r="96" spans="1:22">
      <c r="A96" s="101" t="str">
        <f>IF(K96&gt;0,COUNT($A$8:A95)
+COUNT('DWV PVC'!$A$9:$A$316)
+COUNT('DWV ABS'!$A$8:$A$116)
+COUNT('PVC SCH40'!$A$8:$A$424)
+COUNT('PVC SCH40 LD'!$A$8:$A$21)
+COUNT('Pool &amp; SPA Sweep Elbows'!$A$8:$A$11)
+COUNT('Pool &amp; SPA Pipe Extender'!$A$8:$A$10)
+COUNT('PVC SCH80'!$A$8:$A$249)
+COUNT('PVC SCH80 Flange'!$A$8:$A$48)
+COUNT('PVC SCH80 LD Flange'!$A$8:$A$16)+1,"")</f>
        <v/>
      </c>
      <c r="B96" s="646"/>
      <c r="C96" s="647"/>
      <c r="D96" s="426" t="str">
        <f>_xlfn.XLOOKUP(E96,'All Products'!D:D,'All Products'!C:C,FALSE)</f>
        <v>4197-012</v>
      </c>
      <c r="E96" s="125">
        <v>300005797</v>
      </c>
      <c r="F96" s="427" t="str">
        <f>_xlfn.XLOOKUP(E96,'All Products'!D:D,'All Products'!E:E,FALSE)</f>
        <v>CPVC UNION ASTM 1.1/4"</v>
      </c>
      <c r="G96" s="428">
        <f>_xlfn.XLOOKUP(E96,'All Products'!D:D,'All Products'!F:F,FALSE)</f>
        <v>100</v>
      </c>
      <c r="H96" s="428" t="str">
        <f>_xlfn.XLOOKUP(E96,'All Products'!D:D,'All Products'!G:G,FALSE)</f>
        <v>-</v>
      </c>
      <c r="I96" s="269" t="str">
        <f>_xlfn.XLOOKUP(E96,'All Products'!D:D,'All Products'!H:H,FALSE)</f>
        <v>Quote Required</v>
      </c>
      <c r="J96" s="129">
        <f>IFERROR(ROUNDUP(I96*Order_Quote!$L$11,2),0)</f>
        <v>0</v>
      </c>
      <c r="K96" s="71"/>
      <c r="L96" s="48"/>
      <c r="M96" s="46">
        <f t="shared" si="2"/>
        <v>0</v>
      </c>
      <c r="O96" s="215" t="str">
        <f>_xlfn.XLOOKUP(E96,'All Products'!D:D,'All Products'!I:I,FALSE)</f>
        <v>3 weeks</v>
      </c>
      <c r="P96" s="215" t="str">
        <f>_xlfn.XLOOKUP(E96,'All Products'!D:D,'All Products'!J:J,FALSE)</f>
        <v>Sourced</v>
      </c>
      <c r="Q96" s="266" t="str">
        <f>_xlfn.XLOOKUP(E96,'All Products'!D:D,'All Products'!K:K,FALSE)</f>
        <v>-</v>
      </c>
      <c r="R96" s="266" t="str">
        <f>_xlfn.XLOOKUP(E96,'All Products'!D:D,'All Products'!L:L,FALSE)</f>
        <v>-</v>
      </c>
      <c r="S96" s="266" t="str">
        <f>_xlfn.XLOOKUP(E96,'All Products'!D:D,'All Products'!M:M,FALSE)</f>
        <v>-</v>
      </c>
      <c r="T96" s="215">
        <f>_xlfn.XLOOKUP(E96,'All Products'!D:D,'All Products'!N:N,FALSE)</f>
        <v>0.32800000000000001</v>
      </c>
    </row>
    <row r="97" spans="1:22">
      <c r="A97" s="101" t="str">
        <f>IF(K97&gt;0,COUNT($A$8:A96)
+COUNT('DWV PVC'!$A$9:$A$316)
+COUNT('DWV ABS'!$A$8:$A$116)
+COUNT('PVC SCH40'!$A$8:$A$424)
+COUNT('PVC SCH40 LD'!$A$8:$A$21)
+COUNT('Pool &amp; SPA Sweep Elbows'!$A$8:$A$11)
+COUNT('Pool &amp; SPA Pipe Extender'!$A$8:$A$10)
+COUNT('PVC SCH80'!$A$8:$A$249)
+COUNT('PVC SCH80 Flange'!$A$8:$A$48)
+COUNT('PVC SCH80 LD Flange'!$A$8:$A$16)+1,"")</f>
        <v/>
      </c>
      <c r="B97" s="646"/>
      <c r="C97" s="647"/>
      <c r="D97" s="426" t="str">
        <f>_xlfn.XLOOKUP(E97,'All Products'!D:D,'All Products'!C:C,FALSE)</f>
        <v>4197-015</v>
      </c>
      <c r="E97" s="125">
        <v>300005798</v>
      </c>
      <c r="F97" s="427" t="str">
        <f>_xlfn.XLOOKUP(E97,'All Products'!D:D,'All Products'!E:E,FALSE)</f>
        <v>CPVC UNION ASTM 1.1/2"</v>
      </c>
      <c r="G97" s="428">
        <f>_xlfn.XLOOKUP(E97,'All Products'!D:D,'All Products'!F:F,FALSE)</f>
        <v>100</v>
      </c>
      <c r="H97" s="428" t="str">
        <f>_xlfn.XLOOKUP(E97,'All Products'!D:D,'All Products'!G:G,FALSE)</f>
        <v>-</v>
      </c>
      <c r="I97" s="269" t="str">
        <f>_xlfn.XLOOKUP(E97,'All Products'!D:D,'All Products'!H:H,FALSE)</f>
        <v>Quote Required</v>
      </c>
      <c r="J97" s="129">
        <f>IFERROR(ROUNDUP(I97*Order_Quote!$L$11,2),0)</f>
        <v>0</v>
      </c>
      <c r="K97" s="71"/>
      <c r="L97" s="48"/>
      <c r="M97" s="46">
        <f t="shared" si="2"/>
        <v>0</v>
      </c>
      <c r="O97" s="215" t="str">
        <f>_xlfn.XLOOKUP(E97,'All Products'!D:D,'All Products'!I:I,FALSE)</f>
        <v>3 weeks</v>
      </c>
      <c r="P97" s="215" t="str">
        <f>_xlfn.XLOOKUP(E97,'All Products'!D:D,'All Products'!J:J,FALSE)</f>
        <v>Sourced</v>
      </c>
      <c r="Q97" s="266" t="str">
        <f>_xlfn.XLOOKUP(E97,'All Products'!D:D,'All Products'!K:K,FALSE)</f>
        <v>-</v>
      </c>
      <c r="R97" s="266" t="str">
        <f>_xlfn.XLOOKUP(E97,'All Products'!D:D,'All Products'!L:L,FALSE)</f>
        <v>-</v>
      </c>
      <c r="S97" s="266" t="str">
        <f>_xlfn.XLOOKUP(E97,'All Products'!D:D,'All Products'!M:M,FALSE)</f>
        <v>-</v>
      </c>
      <c r="T97" s="215">
        <f>_xlfn.XLOOKUP(E97,'All Products'!D:D,'All Products'!N:N,FALSE)</f>
        <v>0.51400000000000001</v>
      </c>
    </row>
    <row r="98" spans="1:22" ht="15" thickBot="1">
      <c r="A98" s="101" t="str">
        <f>IF(K98&gt;0,COUNT($A$8:A97)
+COUNT('DWV PVC'!$A$9:$A$316)
+COUNT('DWV ABS'!$A$8:$A$116)
+COUNT('PVC SCH40'!$A$8:$A$424)
+COUNT('PVC SCH40 LD'!$A$8:$A$21)
+COUNT('Pool &amp; SPA Sweep Elbows'!$A$8:$A$11)
+COUNT('Pool &amp; SPA Pipe Extender'!$A$8:$A$10)
+COUNT('PVC SCH80'!$A$8:$A$249)
+COUNT('PVC SCH80 Flange'!$A$8:$A$48)
+COUNT('PVC SCH80 LD Flange'!$A$8:$A$16)+1,"")</f>
        <v/>
      </c>
      <c r="B98" s="652"/>
      <c r="C98" s="653"/>
      <c r="D98" s="426" t="str">
        <f>_xlfn.XLOOKUP(E98,'All Products'!D:D,'All Products'!C:C,FALSE)</f>
        <v>4197-020</v>
      </c>
      <c r="E98" s="125">
        <v>300005786</v>
      </c>
      <c r="F98" s="427" t="str">
        <f>_xlfn.XLOOKUP(E98,'All Products'!D:D,'All Products'!E:E,FALSE)</f>
        <v>CPVC UNION ASTM    2"</v>
      </c>
      <c r="G98" s="428">
        <f>_xlfn.XLOOKUP(E98,'All Products'!D:D,'All Products'!F:F,FALSE)</f>
        <v>50</v>
      </c>
      <c r="H98" s="428" t="str">
        <f>_xlfn.XLOOKUP(E98,'All Products'!D:D,'All Products'!G:G,FALSE)</f>
        <v>-</v>
      </c>
      <c r="I98" s="269" t="str">
        <f>_xlfn.XLOOKUP(E98,'All Products'!D:D,'All Products'!H:H,FALSE)</f>
        <v>Quote Required</v>
      </c>
      <c r="J98" s="129">
        <f>IFERROR(ROUNDUP(I98*Order_Quote!$L$11,2),0)</f>
        <v>0</v>
      </c>
      <c r="K98" s="71"/>
      <c r="L98" s="48"/>
      <c r="M98" s="46">
        <f t="shared" si="2"/>
        <v>0</v>
      </c>
      <c r="O98" s="215" t="str">
        <f>_xlfn.XLOOKUP(E98,'All Products'!D:D,'All Products'!I:I,FALSE)</f>
        <v>3 weeks</v>
      </c>
      <c r="P98" s="215" t="str">
        <f>_xlfn.XLOOKUP(E98,'All Products'!D:D,'All Products'!J:J,FALSE)</f>
        <v>Sourced</v>
      </c>
      <c r="Q98" s="266" t="str">
        <f>_xlfn.XLOOKUP(E98,'All Products'!D:D,'All Products'!K:K,FALSE)</f>
        <v>-</v>
      </c>
      <c r="R98" s="266" t="str">
        <f>_xlfn.XLOOKUP(E98,'All Products'!D:D,'All Products'!L:L,FALSE)</f>
        <v>-</v>
      </c>
      <c r="S98" s="266" t="str">
        <f>_xlfn.XLOOKUP(E98,'All Products'!D:D,'All Products'!M:M,FALSE)</f>
        <v>-</v>
      </c>
      <c r="T98" s="215">
        <f>_xlfn.XLOOKUP(E98,'All Products'!D:D,'All Products'!N:N,FALSE)</f>
        <v>0.51400000000000001</v>
      </c>
    </row>
    <row r="99" spans="1:22" s="17" customFormat="1" ht="16.2" thickBot="1">
      <c r="A99" s="101" t="str">
        <f>IF(K99&gt;0,COUNT($A$8:A98)
+COUNT('DWV PVC'!$A$9:$A$316)
+COUNT('DWV ABS'!$A$8:$A$116)
+COUNT('PVC SCH40'!$A$8:$A$424)
+COUNT('PVC SCH40 LD'!$A$8:$A$21)
+COUNT('Pool &amp; SPA Sweep Elbows'!$A$8:$A$11)
+COUNT('Pool &amp; SPA Pipe Extender'!$A$8:$A$10)
+COUNT('PVC SCH80'!$A$8:$A$249)
+COUNT('PVC SCH80 Flange'!$A$8:$A$48)
+COUNT('PVC SCH80 LD Flange'!$A$8:$A$16)+1,"")</f>
        <v/>
      </c>
      <c r="B99" s="522" t="s">
        <v>5836</v>
      </c>
      <c r="C99" s="151"/>
      <c r="D99" s="151"/>
      <c r="E99" s="459"/>
      <c r="F99" s="151"/>
      <c r="G99" s="468"/>
      <c r="H99" s="151"/>
      <c r="I99" s="472"/>
      <c r="J99" s="468"/>
      <c r="K99" s="477"/>
      <c r="L99" s="238"/>
      <c r="M99" s="476"/>
      <c r="O99" s="475"/>
      <c r="P99" s="145"/>
      <c r="Q99" s="492"/>
      <c r="R99" s="493"/>
      <c r="S99" s="493"/>
      <c r="T99" s="479"/>
      <c r="U99" s="459"/>
      <c r="V99" s="489"/>
    </row>
    <row r="100" spans="1:22">
      <c r="A100" s="101" t="str">
        <f>IF(K100&gt;0,COUNT($A$8:A99)
+COUNT('DWV PVC'!$A$9:$A$316)
+COUNT('DWV ABS'!$A$8:$A$116)
+COUNT('PVC SCH40'!$A$8:$A$424)
+COUNT('PVC SCH40 LD'!$A$8:$A$21)
+COUNT('Pool &amp; SPA Sweep Elbows'!$A$8:$A$11)
+COUNT('Pool &amp; SPA Pipe Extender'!$A$8:$A$10)
+COUNT('PVC SCH80'!$A$8:$A$249)
+COUNT('PVC SCH80 Flange'!$A$8:$A$48)
+COUNT('PVC SCH80 LD Flange'!$A$8:$A$16)+1,"")</f>
        <v/>
      </c>
      <c r="B100" s="644"/>
      <c r="C100" s="645"/>
      <c r="D100" s="426" t="str">
        <f>_xlfn.XLOOKUP(E100,'All Products'!D:D,'All Products'!C:C,FALSE)</f>
        <v>4724-005-25</v>
      </c>
      <c r="E100" s="125">
        <v>300005732</v>
      </c>
      <c r="F100" s="427" t="str">
        <f>_xlfn.XLOOKUP(E100,'All Products'!D:D,'All Products'!E:E,FALSE)</f>
        <v>25 PK 1/2 CPVC TUBING STRAPS</v>
      </c>
      <c r="G100" s="428">
        <f>_xlfn.XLOOKUP(E100,'All Products'!D:D,'All Products'!F:F,FALSE)</f>
        <v>25</v>
      </c>
      <c r="H100" s="428" t="str">
        <f>_xlfn.XLOOKUP(E100,'All Products'!D:D,'All Products'!G:G,FALSE)</f>
        <v>-</v>
      </c>
      <c r="I100" s="269" t="str">
        <f>_xlfn.XLOOKUP(E100,'All Products'!D:D,'All Products'!H:H,FALSE)</f>
        <v>Quote Required</v>
      </c>
      <c r="J100" s="129">
        <f>IFERROR(ROUNDUP(I100*Order_Quote!$L$11,2),0)</f>
        <v>0</v>
      </c>
      <c r="K100" s="71"/>
      <c r="L100" s="48"/>
      <c r="M100" s="46">
        <f t="shared" si="2"/>
        <v>0</v>
      </c>
      <c r="O100" s="215" t="str">
        <f>_xlfn.XLOOKUP(E100,'All Products'!D:D,'All Products'!I:I,FALSE)</f>
        <v>3 weeks</v>
      </c>
      <c r="P100" s="215" t="str">
        <f>_xlfn.XLOOKUP(E100,'All Products'!D:D,'All Products'!J:J,FALSE)</f>
        <v>Sourced</v>
      </c>
      <c r="Q100" s="266" t="str">
        <f>_xlfn.XLOOKUP(E100,'All Products'!D:D,'All Products'!K:K,FALSE)</f>
        <v>-</v>
      </c>
      <c r="R100" s="266" t="str">
        <f>_xlfn.XLOOKUP(E100,'All Products'!D:D,'All Products'!L:L,FALSE)</f>
        <v>-</v>
      </c>
      <c r="S100" s="266" t="str">
        <f>_xlfn.XLOOKUP(E100,'All Products'!D:D,'All Products'!M:M,FALSE)</f>
        <v>-</v>
      </c>
      <c r="T100" s="215">
        <f>_xlfn.XLOOKUP(E100,'All Products'!D:D,'All Products'!N:N,FALSE)</f>
        <v>2E-3</v>
      </c>
    </row>
    <row r="101" spans="1:22" ht="15" thickBot="1">
      <c r="A101" s="101" t="str">
        <f>IF(K101&gt;0,COUNT($A$8:A100)
+COUNT('DWV PVC'!$A$9:$A$316)
+COUNT('DWV ABS'!$A$8:$A$116)
+COUNT('PVC SCH40'!$A$8:$A$424)
+COUNT('PVC SCH40 LD'!$A$8:$A$21)
+COUNT('Pool &amp; SPA Sweep Elbows'!$A$8:$A$11)
+COUNT('Pool &amp; SPA Pipe Extender'!$A$8:$A$10)
+COUNT('PVC SCH80'!$A$8:$A$249)
+COUNT('PVC SCH80 Flange'!$A$8:$A$48)
+COUNT('PVC SCH80 LD Flange'!$A$8:$A$16)+1,"")</f>
        <v/>
      </c>
      <c r="B101" s="652"/>
      <c r="C101" s="653"/>
      <c r="D101" s="426" t="str">
        <f>_xlfn.XLOOKUP(E101,'All Products'!D:D,'All Products'!C:C,FALSE)</f>
        <v>4724-007-25</v>
      </c>
      <c r="E101" s="125">
        <v>300005733</v>
      </c>
      <c r="F101" s="427" t="str">
        <f>_xlfn.XLOOKUP(E101,'All Products'!D:D,'All Products'!E:E,FALSE)</f>
        <v>25 PK 3/4 CPVC TUBING STRAPS</v>
      </c>
      <c r="G101" s="428">
        <f>_xlfn.XLOOKUP(E101,'All Products'!D:D,'All Products'!F:F,FALSE)</f>
        <v>25</v>
      </c>
      <c r="H101" s="428" t="str">
        <f>_xlfn.XLOOKUP(E101,'All Products'!D:D,'All Products'!G:G,FALSE)</f>
        <v>-</v>
      </c>
      <c r="I101" s="269" t="str">
        <f>_xlfn.XLOOKUP(E101,'All Products'!D:D,'All Products'!H:H,FALSE)</f>
        <v>Quote Required</v>
      </c>
      <c r="J101" s="129">
        <f>IFERROR(ROUNDUP(I101*Order_Quote!$L$11,2),0)</f>
        <v>0</v>
      </c>
      <c r="K101" s="71"/>
      <c r="L101" s="48"/>
      <c r="M101" s="46">
        <f t="shared" si="2"/>
        <v>0</v>
      </c>
      <c r="O101" s="215" t="str">
        <f>_xlfn.XLOOKUP(E101,'All Products'!D:D,'All Products'!I:I,FALSE)</f>
        <v>3 weeks</v>
      </c>
      <c r="P101" s="215" t="str">
        <f>_xlfn.XLOOKUP(E101,'All Products'!D:D,'All Products'!J:J,FALSE)</f>
        <v>Sourced</v>
      </c>
      <c r="Q101" s="266" t="str">
        <f>_xlfn.XLOOKUP(E101,'All Products'!D:D,'All Products'!K:K,FALSE)</f>
        <v>-</v>
      </c>
      <c r="R101" s="266" t="str">
        <f>_xlfn.XLOOKUP(E101,'All Products'!D:D,'All Products'!L:L,FALSE)</f>
        <v>-</v>
      </c>
      <c r="S101" s="266" t="str">
        <f>_xlfn.XLOOKUP(E101,'All Products'!D:D,'All Products'!M:M,FALSE)</f>
        <v>-</v>
      </c>
      <c r="T101" s="215">
        <f>_xlfn.XLOOKUP(E101,'All Products'!D:D,'All Products'!N:N,FALSE)</f>
        <v>2E-3</v>
      </c>
    </row>
    <row r="102" spans="1:22" s="17" customFormat="1" ht="16.2" thickBot="1">
      <c r="A102" s="101" t="str">
        <f>IF(K102&gt;0,COUNT($A$8:A101)
+COUNT('DWV PVC'!$A$9:$A$316)
+COUNT('DWV ABS'!$A$8:$A$116)
+COUNT('PVC SCH40'!$A$8:$A$424)
+COUNT('PVC SCH40 LD'!$A$8:$A$21)
+COUNT('Pool &amp; SPA Sweep Elbows'!$A$8:$A$11)
+COUNT('Pool &amp; SPA Pipe Extender'!$A$8:$A$10)
+COUNT('PVC SCH80'!$A$8:$A$249)
+COUNT('PVC SCH80 Flange'!$A$8:$A$48)
+COUNT('PVC SCH80 LD Flange'!$A$8:$A$16)+1,"")</f>
        <v/>
      </c>
      <c r="B102" s="522" t="s">
        <v>5837</v>
      </c>
      <c r="C102" s="151"/>
      <c r="D102" s="151"/>
      <c r="E102" s="459"/>
      <c r="F102" s="151"/>
      <c r="G102" s="468"/>
      <c r="H102" s="151"/>
      <c r="I102" s="472"/>
      <c r="J102" s="468"/>
      <c r="K102" s="477"/>
      <c r="L102" s="238"/>
      <c r="M102" s="476"/>
      <c r="O102" s="475"/>
      <c r="P102" s="145"/>
      <c r="Q102" s="492"/>
      <c r="R102" s="493"/>
      <c r="S102" s="493"/>
      <c r="T102" s="479"/>
      <c r="U102" s="459"/>
      <c r="V102" s="489"/>
    </row>
    <row r="103" spans="1:22">
      <c r="A103" s="101" t="str">
        <f>IF(K103&gt;0,COUNT($A$8:A102)
+COUNT('DWV PVC'!$A$9:$A$316)
+COUNT('DWV ABS'!$A$8:$A$116)
+COUNT('PVC SCH40'!$A$8:$A$424)
+COUNT('PVC SCH40 LD'!$A$8:$A$21)
+COUNT('Pool &amp; SPA Sweep Elbows'!$A$8:$A$11)
+COUNT('Pool &amp; SPA Pipe Extender'!$A$8:$A$10)
+COUNT('PVC SCH80'!$A$8:$A$249)
+COUNT('PVC SCH80 Flange'!$A$8:$A$48)
+COUNT('PVC SCH80 LD Flange'!$A$8:$A$16)+1,"")</f>
        <v/>
      </c>
      <c r="B103" s="650"/>
      <c r="C103" s="651"/>
      <c r="D103" s="426" t="str">
        <f>_xlfn.XLOOKUP(E103,'All Products'!D:D,'All Products'!C:C,FALSE)</f>
        <v>DE4107-005BR</v>
      </c>
      <c r="E103" s="125">
        <v>300005730</v>
      </c>
      <c r="F103" s="427" t="str">
        <f>_xlfn.XLOOKUP(E103,'All Products'!D:D,'All Products'!E:E,FALSE)</f>
        <v>CPVC 1/2 DROP EAR ELBOW BRASS FPT X CPVC H</v>
      </c>
      <c r="G103" s="428">
        <f>_xlfn.XLOOKUP(E103,'All Products'!D:D,'All Products'!F:F,FALSE)</f>
        <v>100</v>
      </c>
      <c r="H103" s="428" t="str">
        <f>_xlfn.XLOOKUP(E103,'All Products'!D:D,'All Products'!G:G,FALSE)</f>
        <v>-</v>
      </c>
      <c r="I103" s="269" t="str">
        <f>_xlfn.XLOOKUP(E103,'All Products'!D:D,'All Products'!H:H,FALSE)</f>
        <v>Quote Required</v>
      </c>
      <c r="J103" s="129">
        <f>IFERROR(ROUNDUP(I103*Order_Quote!$L$11,2),0)</f>
        <v>0</v>
      </c>
      <c r="K103" s="71"/>
      <c r="L103" s="48"/>
      <c r="M103" s="46">
        <f t="shared" si="2"/>
        <v>0</v>
      </c>
      <c r="O103" s="215" t="str">
        <f>_xlfn.XLOOKUP(E103,'All Products'!D:D,'All Products'!I:I,FALSE)</f>
        <v>3 weeks</v>
      </c>
      <c r="P103" s="215" t="str">
        <f>_xlfn.XLOOKUP(E103,'All Products'!D:D,'All Products'!J:J,FALSE)</f>
        <v>Sourced</v>
      </c>
      <c r="Q103" s="266" t="str">
        <f>_xlfn.XLOOKUP(E103,'All Products'!D:D,'All Products'!K:K,FALSE)</f>
        <v>-</v>
      </c>
      <c r="R103" s="266" t="str">
        <f>_xlfn.XLOOKUP(E103,'All Products'!D:D,'All Products'!L:L,FALSE)</f>
        <v>-</v>
      </c>
      <c r="S103" s="266" t="str">
        <f>_xlfn.XLOOKUP(E103,'All Products'!D:D,'All Products'!M:M,FALSE)</f>
        <v>-</v>
      </c>
      <c r="T103" s="215">
        <f>_xlfn.XLOOKUP(E103,'All Products'!D:D,'All Products'!N:N,FALSE)</f>
        <v>3.9E-2</v>
      </c>
    </row>
    <row r="104" spans="1:22">
      <c r="A104" s="101" t="str">
        <f>IF(K104&gt;0,COUNT($A$8:A103)
+COUNT('DWV PVC'!$A$9:$A$316)
+COUNT('DWV ABS'!$A$8:$A$116)
+COUNT('PVC SCH40'!$A$8:$A$424)
+COUNT('PVC SCH40 LD'!$A$8:$A$21)
+COUNT('Pool &amp; SPA Sweep Elbows'!$A$8:$A$11)
+COUNT('Pool &amp; SPA Pipe Extender'!$A$8:$A$10)
+COUNT('PVC SCH80'!$A$8:$A$249)
+COUNT('PVC SCH80 Flange'!$A$8:$A$48)
+COUNT('PVC SCH80 LD Flange'!$A$8:$A$16)+1,"")</f>
        <v/>
      </c>
      <c r="B104" s="650"/>
      <c r="C104" s="651"/>
      <c r="D104" s="426" t="str">
        <f>_xlfn.XLOOKUP(E104,'All Products'!D:D,'All Products'!C:C,FALSE)</f>
        <v>T4106-005</v>
      </c>
      <c r="E104" s="125">
        <v>300005809</v>
      </c>
      <c r="F104" s="427" t="str">
        <f>_xlfn.XLOOKUP(E104,'All Products'!D:D,'All Products'!E:E,FALSE)</f>
        <v>CPVC TRANSITION ELBOW ASTM 1/2"</v>
      </c>
      <c r="G104" s="428">
        <f>_xlfn.XLOOKUP(E104,'All Products'!D:D,'All Products'!F:F,FALSE)</f>
        <v>100</v>
      </c>
      <c r="H104" s="428" t="str">
        <f>_xlfn.XLOOKUP(E104,'All Products'!D:D,'All Products'!G:G,FALSE)</f>
        <v>-</v>
      </c>
      <c r="I104" s="269" t="str">
        <f>_xlfn.XLOOKUP(E104,'All Products'!D:D,'All Products'!H:H,FALSE)</f>
        <v>Quote Required</v>
      </c>
      <c r="J104" s="129">
        <f>IFERROR(ROUNDUP(I104*Order_Quote!$L$11,2),0)</f>
        <v>0</v>
      </c>
      <c r="K104" s="71"/>
      <c r="L104" s="48"/>
      <c r="M104" s="46">
        <f t="shared" si="2"/>
        <v>0</v>
      </c>
      <c r="O104" s="215" t="str">
        <f>_xlfn.XLOOKUP(E104,'All Products'!D:D,'All Products'!I:I,FALSE)</f>
        <v>3 weeks</v>
      </c>
      <c r="P104" s="215" t="str">
        <f>_xlfn.XLOOKUP(E104,'All Products'!D:D,'All Products'!J:J,FALSE)</f>
        <v>Sourced</v>
      </c>
      <c r="Q104" s="266" t="str">
        <f>_xlfn.XLOOKUP(E104,'All Products'!D:D,'All Products'!K:K,FALSE)</f>
        <v>-</v>
      </c>
      <c r="R104" s="266" t="str">
        <f>_xlfn.XLOOKUP(E104,'All Products'!D:D,'All Products'!L:L,FALSE)</f>
        <v>-</v>
      </c>
      <c r="S104" s="266" t="str">
        <f>_xlfn.XLOOKUP(E104,'All Products'!D:D,'All Products'!M:M,FALSE)</f>
        <v>-</v>
      </c>
      <c r="T104" s="215">
        <f>_xlfn.XLOOKUP(E104,'All Products'!D:D,'All Products'!N:N,FALSE)</f>
        <v>9.2999999999999999E-2</v>
      </c>
    </row>
    <row r="105" spans="1:22" customFormat="1">
      <c r="A105" s="5">
        <f>MAX(A9:A104)+1</f>
        <v>1</v>
      </c>
      <c r="G105" s="429"/>
      <c r="Q105" s="506"/>
      <c r="R105" s="506"/>
      <c r="S105" s="506"/>
    </row>
    <row r="106" spans="1:22"/>
    <row r="107" spans="1:22"/>
    <row r="108" spans="1:22"/>
    <row r="109" spans="1:22"/>
    <row r="110" spans="1:22"/>
    <row r="111" spans="1:22"/>
  </sheetData>
  <sheetProtection algorithmName="SHA-512" hashValue="AKO7FARUk5jYVTjpbYmOumeJN7TI0d1uu8vUoVd6vIqEbEZTQhjcK1FdMMOGRrGrE+TL3tljRlFBv9yoj6WvWQ==" saltValue="/6PbTX9DPlhrZF4B0K94tQ==" spinCount="100000" sheet="1" formatCells="0" formatColumns="0" formatRows="0" insertColumns="0" insertRows="0" insertHyperlinks="0" deleteColumns="0" deleteRows="0" sort="0" autoFilter="0" pivotTables="0"/>
  <mergeCells count="20">
    <mergeCell ref="B62:C65"/>
    <mergeCell ref="Q6:S6"/>
    <mergeCell ref="B30:C32"/>
    <mergeCell ref="B34:C39"/>
    <mergeCell ref="B40:C42"/>
    <mergeCell ref="B43:C48"/>
    <mergeCell ref="B103:C103"/>
    <mergeCell ref="B104:C104"/>
    <mergeCell ref="B66:C71"/>
    <mergeCell ref="B73:C84"/>
    <mergeCell ref="B86:C91"/>
    <mergeCell ref="B93:C98"/>
    <mergeCell ref="B100:C101"/>
    <mergeCell ref="J2:K3"/>
    <mergeCell ref="B9:C14"/>
    <mergeCell ref="B15:C22"/>
    <mergeCell ref="B24:C29"/>
    <mergeCell ref="B56:C61"/>
    <mergeCell ref="B50:C51"/>
    <mergeCell ref="B52:C54"/>
  </mergeCells>
  <phoneticPr fontId="32" type="noConversion"/>
  <dataValidations count="5">
    <dataValidation type="whole" operator="greaterThanOrEqual" allowBlank="1" showInputMessage="1" showErrorMessage="1" errorTitle="Invalid Entry!" error="An invalid quantity has been entered. Please enter only whole numbers. Click Retry to change entry or Cancel to clear entry." sqref="L1:L6" xr:uid="{00000000-0002-0000-0500-000000000000}">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00000000-0002-0000-0500-000001000000}">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7:L8 L23 L33 L49 L55 L72 L85 L92 L99 L102" xr:uid="{00000000-0002-0000-0500-000002000000}">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L24:L32 L34:L48 L50:L54 L56:L71 L73:L84 L86:L91 L93:L98 L100:L101 L103:L104 L9:L22" xr:uid="{00000000-0002-0000-0500-000003000000}">
      <formula1>1</formula1>
    </dataValidation>
    <dataValidation allowBlank="1" showErrorMessage="1" sqref="K1:K1048576" xr:uid="{0E036B29-E168-4EC3-A015-2D485E1DDB85}"/>
  </dataValidations>
  <printOptions horizontalCentered="1"/>
  <pageMargins left="0.7" right="0.7" top="0.75" bottom="0.75" header="0.3" footer="0.3"/>
  <pageSetup scale="71" fitToHeight="0" orientation="portrait" horizontalDpi="4294967292" r:id="rId1"/>
  <headerFooter>
    <oddFooter>&amp;L&amp;8V06032014&amp;CCopyright 2014
All rights reserved
For Tigre-ADS USA customer and rep use only_x000D_&amp;1#&amp;"Aptos"&amp;11&amp;K000000 TIGRE:Internal&amp;R&amp;P</oddFooter>
  </headerFooter>
  <rowBreaks count="1" manualBreakCount="1">
    <brk id="49" max="8"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3AFC9-4FB4-4601-8B0B-6ABD2620538E}">
  <sheetPr codeName="Sheet20">
    <tabColor theme="0"/>
    <pageSetUpPr fitToPage="1"/>
  </sheetPr>
  <dimension ref="A1:Y308"/>
  <sheetViews>
    <sheetView topLeftCell="A151" workbookViewId="0">
      <selection activeCell="B179" sqref="B179:C184"/>
    </sheetView>
  </sheetViews>
  <sheetFormatPr defaultColWidth="9.109375" defaultRowHeight="0" customHeight="1" zeroHeight="1"/>
  <cols>
    <col min="1" max="1" width="2.33203125" style="261" customWidth="1"/>
    <col min="2" max="3" width="8.6640625" style="139" customWidth="1"/>
    <col min="4" max="5" width="12.6640625" style="139" customWidth="1"/>
    <col min="6" max="6" width="50.6640625" style="139" customWidth="1"/>
    <col min="7" max="9" width="10.6640625" style="139" customWidth="1"/>
    <col min="10" max="10" width="10.44140625" style="347" customWidth="1"/>
    <col min="11" max="11" width="10.44140625" style="139" customWidth="1"/>
    <col min="12" max="12" width="1.44140625" style="139" customWidth="1"/>
    <col min="13" max="13" width="12.5546875" style="139" bestFit="1" customWidth="1"/>
    <col min="14" max="14" width="2.33203125" style="17" customWidth="1"/>
    <col min="15" max="15" width="12.6640625" style="139" customWidth="1"/>
    <col min="16" max="16" width="10.6640625" style="139" customWidth="1"/>
    <col min="17" max="18" width="11.33203125" style="463" bestFit="1" customWidth="1"/>
    <col min="19" max="19" width="13.109375" style="463" bestFit="1" customWidth="1"/>
    <col min="20" max="23" width="10.6640625" style="139" customWidth="1"/>
    <col min="24" max="32" width="9.109375" style="17" customWidth="1"/>
    <col min="33" max="16384" width="9.109375" style="17"/>
  </cols>
  <sheetData>
    <row r="1" spans="1:25" ht="15" customHeight="1">
      <c r="A1" s="101"/>
      <c r="B1" s="17"/>
      <c r="C1" s="17"/>
      <c r="D1" s="20"/>
      <c r="E1" s="20"/>
      <c r="F1" s="155" t="s">
        <v>29</v>
      </c>
      <c r="G1" s="198"/>
      <c r="H1" s="198"/>
      <c r="I1" s="198"/>
      <c r="J1" s="199"/>
      <c r="K1" s="20"/>
      <c r="L1" s="20"/>
      <c r="M1" s="20"/>
      <c r="O1" s="198"/>
      <c r="P1" s="198"/>
      <c r="Q1" s="389"/>
      <c r="R1" s="389"/>
      <c r="S1" s="389"/>
      <c r="T1" s="198"/>
      <c r="U1" s="198"/>
      <c r="V1" s="198"/>
      <c r="W1" s="198"/>
    </row>
    <row r="2" spans="1:25" ht="15" customHeight="1">
      <c r="A2" s="101"/>
      <c r="B2" s="17"/>
      <c r="C2" s="17"/>
      <c r="D2" s="441"/>
      <c r="E2" s="201"/>
      <c r="F2" s="184"/>
      <c r="G2" s="20"/>
      <c r="H2" s="20"/>
      <c r="I2" s="17"/>
      <c r="J2" s="607" t="s">
        <v>59</v>
      </c>
      <c r="K2" s="607"/>
      <c r="L2" s="20"/>
      <c r="M2" s="20"/>
      <c r="O2" s="20"/>
      <c r="P2" s="20"/>
      <c r="Q2" s="390"/>
      <c r="R2" s="390"/>
      <c r="S2" s="390"/>
      <c r="T2" s="20"/>
      <c r="U2" s="20"/>
      <c r="V2" s="20"/>
      <c r="W2" s="20"/>
    </row>
    <row r="3" spans="1:25" ht="15" customHeight="1">
      <c r="A3" s="101"/>
      <c r="B3" s="17"/>
      <c r="C3" s="17"/>
      <c r="D3" s="20"/>
      <c r="E3" s="20"/>
      <c r="F3" s="323" t="s">
        <v>348</v>
      </c>
      <c r="G3" s="20"/>
      <c r="H3" s="20"/>
      <c r="I3" s="17"/>
      <c r="J3" s="607"/>
      <c r="K3" s="607"/>
      <c r="L3" s="20"/>
      <c r="M3" s="20"/>
      <c r="O3" s="20"/>
      <c r="P3" s="20"/>
      <c r="Q3" s="390"/>
      <c r="R3" s="390"/>
      <c r="S3" s="390"/>
      <c r="T3" s="20"/>
      <c r="U3" s="20"/>
      <c r="V3" s="20"/>
      <c r="W3" s="20"/>
    </row>
    <row r="4" spans="1:25" ht="15" customHeight="1">
      <c r="A4" s="101"/>
      <c r="B4" s="17"/>
      <c r="C4" s="17"/>
      <c r="D4" s="20"/>
      <c r="E4" s="147" t="s">
        <v>5726</v>
      </c>
      <c r="F4" s="327" t="s">
        <v>5983</v>
      </c>
      <c r="G4" s="20"/>
      <c r="H4" s="20"/>
      <c r="I4" s="17"/>
      <c r="J4" s="199"/>
      <c r="K4" s="17"/>
      <c r="L4" s="20"/>
      <c r="M4" s="20"/>
      <c r="O4" s="20"/>
      <c r="P4" s="20"/>
      <c r="Q4" s="390"/>
      <c r="R4" s="390"/>
      <c r="S4" s="390"/>
      <c r="T4" s="20"/>
      <c r="U4" s="20"/>
      <c r="V4" s="20"/>
      <c r="W4" s="20"/>
    </row>
    <row r="5" spans="1:25" ht="15" customHeight="1">
      <c r="A5" s="101"/>
      <c r="B5" s="17"/>
      <c r="C5" s="17"/>
      <c r="D5" s="20"/>
      <c r="E5" s="20"/>
      <c r="F5" s="325" t="s">
        <v>5973</v>
      </c>
      <c r="G5" s="20"/>
      <c r="H5" s="20"/>
      <c r="I5" s="17"/>
      <c r="J5" s="199"/>
      <c r="K5" s="17"/>
      <c r="L5" s="20"/>
      <c r="M5" s="20"/>
      <c r="O5" s="20"/>
      <c r="P5" s="20"/>
      <c r="Q5" s="390"/>
      <c r="R5" s="390"/>
      <c r="S5" s="390"/>
      <c r="T5" s="20"/>
      <c r="U5" s="20"/>
      <c r="V5" s="20"/>
      <c r="W5" s="20"/>
    </row>
    <row r="6" spans="1:25" ht="14.4">
      <c r="A6" s="101"/>
      <c r="B6" s="17"/>
      <c r="C6" s="17"/>
      <c r="D6" s="20"/>
      <c r="E6" s="20"/>
      <c r="F6" s="184"/>
      <c r="G6" s="20"/>
      <c r="H6" s="20"/>
      <c r="I6" s="17"/>
      <c r="J6" s="199"/>
      <c r="K6" s="17"/>
      <c r="L6" s="20"/>
      <c r="M6" s="20"/>
      <c r="O6" s="353" t="s">
        <v>63</v>
      </c>
      <c r="P6" s="20"/>
      <c r="Q6" s="662" t="s">
        <v>64</v>
      </c>
      <c r="R6" s="662"/>
      <c r="S6" s="662"/>
      <c r="T6" s="20"/>
      <c r="U6" s="20"/>
      <c r="V6" s="20"/>
      <c r="W6" s="20"/>
    </row>
    <row r="7" spans="1:25" s="20" customFormat="1" ht="28.8">
      <c r="A7" s="147"/>
      <c r="B7" s="136"/>
      <c r="C7" s="136"/>
      <c r="D7" s="136" t="s">
        <v>48</v>
      </c>
      <c r="E7" s="136" t="s">
        <v>49</v>
      </c>
      <c r="F7" s="136" t="s">
        <v>50</v>
      </c>
      <c r="G7" s="136" t="s">
        <v>65</v>
      </c>
      <c r="H7" s="136" t="s">
        <v>66</v>
      </c>
      <c r="I7" s="157" t="s">
        <v>51</v>
      </c>
      <c r="J7" s="190" t="s">
        <v>55</v>
      </c>
      <c r="K7" s="158" t="s">
        <v>52</v>
      </c>
      <c r="L7" s="159"/>
      <c r="M7" s="143" t="s">
        <v>67</v>
      </c>
      <c r="N7" s="17"/>
      <c r="O7" s="213" t="s">
        <v>68</v>
      </c>
      <c r="P7" s="213" t="s">
        <v>69</v>
      </c>
      <c r="Q7" s="396" t="s">
        <v>70</v>
      </c>
      <c r="R7" s="396" t="s">
        <v>71</v>
      </c>
      <c r="S7" s="396" t="s">
        <v>72</v>
      </c>
      <c r="T7" s="213" t="s">
        <v>73</v>
      </c>
      <c r="U7" s="213" t="s">
        <v>333</v>
      </c>
      <c r="V7" s="213" t="s">
        <v>328</v>
      </c>
      <c r="W7" s="213" t="s">
        <v>329</v>
      </c>
    </row>
    <row r="8" spans="1:25" ht="15" customHeight="1">
      <c r="A8" s="101"/>
      <c r="B8" s="433" t="s">
        <v>5742</v>
      </c>
      <c r="C8" s="248"/>
      <c r="D8" s="442"/>
      <c r="E8" s="248"/>
      <c r="F8" s="248"/>
      <c r="G8" s="248"/>
      <c r="H8" s="248"/>
      <c r="I8" s="370"/>
      <c r="J8" s="250"/>
      <c r="K8" s="251"/>
      <c r="L8" s="252"/>
      <c r="M8" s="249"/>
      <c r="O8" s="524"/>
      <c r="P8" s="248"/>
      <c r="Q8" s="507"/>
      <c r="R8" s="507"/>
      <c r="S8" s="507"/>
      <c r="T8" s="248"/>
      <c r="U8" s="248"/>
      <c r="V8" s="248"/>
      <c r="W8" s="531"/>
    </row>
    <row r="9" spans="1:25" ht="15" customHeight="1">
      <c r="A9" s="101" t="str">
        <f>IF(K9&gt;0,COUNT($A$8:A8)
+COUNT('DWV PVC'!$A$9:$A$316)
+COUNT('DWV ABS'!$A$8:$A$116)
+COUNT('PVC SCH40'!$A$8:$A$424)
+COUNT('PVC SCH40 LD'!$A$8:$A$21)
+COUNT('Pool &amp; SPA Sweep Elbows'!$A$8:$A$11)
+COUNT('Pool &amp; SPA Pipe Extender'!$A$8:$A$10)
+COUNT('PVC SCH80'!$A$8:$A$249)
+COUNT('PVC SCH80 Flange'!$A$8:$A$48)
+COUNT('PVC SCH80 LD Flange'!$A$8:$A$16)
+COUNT(CPVC!$A$9:$A$104)+1,"")</f>
        <v/>
      </c>
      <c r="B9" s="608"/>
      <c r="C9" s="609"/>
      <c r="D9" s="443" t="str">
        <f>_xlfn.XLOOKUP(E9,'All Products'!D:D,'All Products'!C:C,FALSE)</f>
        <v>1401-005</v>
      </c>
      <c r="E9" s="153">
        <v>100021857</v>
      </c>
      <c r="F9" s="236" t="str">
        <f>_xlfn.XLOOKUP(E9,'All Products'!D:D,'All Products'!E:E,FALSE)</f>
        <v>1/2 TEE INSERT</v>
      </c>
      <c r="G9" s="153">
        <f>_xlfn.XLOOKUP(E9,'All Products'!D:D,'All Products'!F:F,FALSE)</f>
        <v>250</v>
      </c>
      <c r="H9" s="153">
        <f>_xlfn.XLOOKUP(E9,'All Products'!D:D,'All Products'!G:G,FALSE)</f>
        <v>9450</v>
      </c>
      <c r="I9" s="371">
        <f>_xlfn.XLOOKUP(E9,'All Products'!D:D,'All Products'!H:H)</f>
        <v>5.29</v>
      </c>
      <c r="J9" s="256">
        <f>ROUNDUP(I9*Order_Quote!$L$12,2)</f>
        <v>5.29</v>
      </c>
      <c r="K9" s="330"/>
      <c r="L9" s="113"/>
      <c r="M9" s="243">
        <f t="shared" ref="M9:M14" si="0">K9/G9</f>
        <v>0</v>
      </c>
      <c r="O9" s="247" t="str">
        <f>_xlfn.XLOOKUP(E9,'All Products'!D:D,'All Products'!I:I,FALSE)</f>
        <v>In Stock</v>
      </c>
      <c r="P9" s="247" t="str">
        <f>_xlfn.XLOOKUP(E9,'All Products'!D:D,'All Products'!J:J,FALSE)</f>
        <v>Manufactured</v>
      </c>
      <c r="Q9" s="508">
        <f>_xlfn.XLOOKUP(E9,'All Products'!D:D,'All Products'!K:K,FALSE)</f>
        <v>49081106331</v>
      </c>
      <c r="R9" s="508">
        <f>_xlfn.XLOOKUP(E9,'All Products'!D:D,'All Products'!L:L,FALSE)</f>
        <v>49081606336</v>
      </c>
      <c r="S9" s="508">
        <f>_xlfn.XLOOKUP(E9,'All Products'!D:D,'All Products'!M:M,FALSE)</f>
        <v>40049081106339</v>
      </c>
      <c r="T9" s="264">
        <f>_xlfn.XLOOKUP(E9,'All Products'!D:D,'All Products'!N:N,FALSE)</f>
        <v>5.8999999999999997E-2</v>
      </c>
      <c r="U9" s="215">
        <f>_xlfn.XLOOKUP(E9,'All Products'!D:D,'All Products'!O:O,FALSE)</f>
        <v>10</v>
      </c>
      <c r="V9" s="265">
        <f>_xlfn.XLOOKUP(E9,'All Products'!D:D,'All Products'!P:P,FALSE)</f>
        <v>15.59</v>
      </c>
      <c r="W9" s="265">
        <f>_xlfn.XLOOKUP(E9,'All Products'!D:D,'All Products'!Q:Q,FALSE)</f>
        <v>1.1000000000000001</v>
      </c>
      <c r="X9" s="331"/>
      <c r="Y9" s="331"/>
    </row>
    <row r="10" spans="1:25" ht="15" customHeight="1">
      <c r="A10" s="101" t="str">
        <f>IF(K10&gt;0,COUNT($A$8:A9)
+COUNT('DWV PVC'!$A$9:$A$316)
+COUNT('DWV ABS'!$A$8:$A$116)
+COUNT('PVC SCH40'!$A$8:$A$424)
+COUNT('PVC SCH40 LD'!$A$8:$A$21)
+COUNT('Pool &amp; SPA Sweep Elbows'!$A$8:$A$11)
+COUNT('Pool &amp; SPA Pipe Extender'!$A$8:$A$10)
+COUNT('PVC SCH80'!$A$8:$A$249)
+COUNT('PVC SCH80 Flange'!$A$8:$A$48)
+COUNT('PVC SCH80 LD Flange'!$A$8:$A$16)
+COUNT(CPVC!$A$9:$A$104)+1,"")</f>
        <v/>
      </c>
      <c r="B10" s="610"/>
      <c r="C10" s="611"/>
      <c r="D10" s="443" t="str">
        <f>_xlfn.XLOOKUP(E10,'All Products'!D:D,'All Products'!C:C,FALSE)</f>
        <v>1401-007</v>
      </c>
      <c r="E10" s="103">
        <v>100021859</v>
      </c>
      <c r="F10" s="236" t="str">
        <f>_xlfn.XLOOKUP(E10,'All Products'!D:D,'All Products'!E:E,FALSE)</f>
        <v>3/4 TEE INSERT</v>
      </c>
      <c r="G10" s="153">
        <f>_xlfn.XLOOKUP(E10,'All Products'!D:D,'All Products'!F:F,FALSE)</f>
        <v>200</v>
      </c>
      <c r="H10" s="153">
        <f>_xlfn.XLOOKUP(E10,'All Products'!D:D,'All Products'!G:G,FALSE)</f>
        <v>6000</v>
      </c>
      <c r="I10" s="372">
        <f>_xlfn.XLOOKUP(E10,'All Products'!D:D,'All Products'!H:H)</f>
        <v>5.71</v>
      </c>
      <c r="J10" s="256">
        <f>ROUNDUP(I10*Order_Quote!$L$12,2)</f>
        <v>5.71</v>
      </c>
      <c r="K10" s="75"/>
      <c r="L10" s="113"/>
      <c r="M10" s="171">
        <f t="shared" si="0"/>
        <v>0</v>
      </c>
      <c r="O10" s="247" t="str">
        <f>_xlfn.XLOOKUP(E10,'All Products'!D:D,'All Products'!I:I,FALSE)</f>
        <v>In Stock</v>
      </c>
      <c r="P10" s="247" t="str">
        <f>_xlfn.XLOOKUP(E10,'All Products'!D:D,'All Products'!J:J,FALSE)</f>
        <v>Manufactured</v>
      </c>
      <c r="Q10" s="508">
        <f>_xlfn.XLOOKUP(E10,'All Products'!D:D,'All Products'!K:K,FALSE)</f>
        <v>49081106348</v>
      </c>
      <c r="R10" s="508">
        <f>_xlfn.XLOOKUP(E10,'All Products'!D:D,'All Products'!L:L,FALSE)</f>
        <v>49081606343</v>
      </c>
      <c r="S10" s="508">
        <f>_xlfn.XLOOKUP(E10,'All Products'!D:D,'All Products'!M:M,FALSE)</f>
        <v>40049081106346</v>
      </c>
      <c r="T10" s="264">
        <f>_xlfn.XLOOKUP(E10,'All Products'!D:D,'All Products'!N:N,FALSE)</f>
        <v>8.7999999999999995E-2</v>
      </c>
      <c r="U10" s="215">
        <f>_xlfn.XLOOKUP(E10,'All Products'!D:D,'All Products'!O:O,FALSE)</f>
        <v>10</v>
      </c>
      <c r="V10" s="265">
        <f>_xlfn.XLOOKUP(E10,'All Products'!D:D,'All Products'!P:P,FALSE)</f>
        <v>18.36</v>
      </c>
      <c r="W10" s="265">
        <f>_xlfn.XLOOKUP(E10,'All Products'!D:D,'All Products'!Q:Q,FALSE)</f>
        <v>1.25</v>
      </c>
      <c r="X10" s="331"/>
      <c r="Y10" s="331"/>
    </row>
    <row r="11" spans="1:25" ht="15" customHeight="1">
      <c r="A11" s="101" t="str">
        <f>IF(K11&gt;0,COUNT($A$8:A10)
+COUNT('DWV PVC'!$A$9:$A$316)
+COUNT('DWV ABS'!$A$8:$A$116)
+COUNT('PVC SCH40'!$A$8:$A$424)
+COUNT('PVC SCH40 LD'!$A$8:$A$21)
+COUNT('Pool &amp; SPA Sweep Elbows'!$A$8:$A$11)
+COUNT('Pool &amp; SPA Pipe Extender'!$A$8:$A$10)
+COUNT('PVC SCH80'!$A$8:$A$249)
+COUNT('PVC SCH80 Flange'!$A$8:$A$48)
+COUNT('PVC SCH80 LD Flange'!$A$8:$A$16)
+COUNT(CPVC!$A$9:$A$104)+1,"")</f>
        <v/>
      </c>
      <c r="B11" s="610"/>
      <c r="C11" s="611"/>
      <c r="D11" s="443" t="str">
        <f>_xlfn.XLOOKUP(E11,'All Products'!D:D,'All Products'!C:C,FALSE)</f>
        <v>1401-010</v>
      </c>
      <c r="E11" s="103">
        <v>100021861</v>
      </c>
      <c r="F11" s="236" t="str">
        <f>_xlfn.XLOOKUP(E11,'All Products'!D:D,'All Products'!E:E,FALSE)</f>
        <v>1 TEE INSERT</v>
      </c>
      <c r="G11" s="153">
        <f>_xlfn.XLOOKUP(E11,'All Products'!D:D,'All Products'!F:F,FALSE)</f>
        <v>50</v>
      </c>
      <c r="H11" s="153">
        <f>_xlfn.XLOOKUP(E11,'All Products'!D:D,'All Products'!G:G,FALSE)</f>
        <v>4500</v>
      </c>
      <c r="I11" s="372">
        <f>_xlfn.XLOOKUP(E11,'All Products'!D:D,'All Products'!H:H)</f>
        <v>7.43</v>
      </c>
      <c r="J11" s="256">
        <f>ROUNDUP(I11*Order_Quote!$L$12,2)</f>
        <v>7.43</v>
      </c>
      <c r="K11" s="75"/>
      <c r="L11" s="113"/>
      <c r="M11" s="171">
        <f t="shared" si="0"/>
        <v>0</v>
      </c>
      <c r="O11" s="247" t="str">
        <f>_xlfn.XLOOKUP(E11,'All Products'!D:D,'All Products'!I:I,FALSE)</f>
        <v>In Stock</v>
      </c>
      <c r="P11" s="247" t="str">
        <f>_xlfn.XLOOKUP(E11,'All Products'!D:D,'All Products'!J:J,FALSE)</f>
        <v>Manufactured</v>
      </c>
      <c r="Q11" s="508">
        <f>_xlfn.XLOOKUP(E11,'All Products'!D:D,'All Products'!K:K,FALSE)</f>
        <v>49081106355</v>
      </c>
      <c r="R11" s="508">
        <f>_xlfn.XLOOKUP(E11,'All Products'!D:D,'All Products'!L:L,FALSE)</f>
        <v>49081606350</v>
      </c>
      <c r="S11" s="508">
        <f>_xlfn.XLOOKUP(E11,'All Products'!D:D,'All Products'!M:M,FALSE)</f>
        <v>40049081106353</v>
      </c>
      <c r="T11" s="264">
        <f>_xlfn.XLOOKUP(E11,'All Products'!D:D,'All Products'!N:N,FALSE)</f>
        <v>0.13200000000000001</v>
      </c>
      <c r="U11" s="215">
        <f>_xlfn.XLOOKUP(E11,'All Products'!D:D,'All Products'!O:O,FALSE)</f>
        <v>10</v>
      </c>
      <c r="V11" s="265">
        <f>_xlfn.XLOOKUP(E11,'All Products'!D:D,'All Products'!P:P,FALSE)</f>
        <v>7.27</v>
      </c>
      <c r="W11" s="265">
        <f>_xlfn.XLOOKUP(E11,'All Products'!D:D,'All Products'!Q:Q,FALSE)</f>
        <v>0.5</v>
      </c>
      <c r="X11" s="331"/>
      <c r="Y11" s="331"/>
    </row>
    <row r="12" spans="1:25" ht="15" customHeight="1">
      <c r="A12" s="101" t="str">
        <f>IF(K12&gt;0,COUNT($A$8:A11)
+COUNT('DWV PVC'!$A$9:$A$316)
+COUNT('DWV ABS'!$A$8:$A$116)
+COUNT('PVC SCH40'!$A$8:$A$424)
+COUNT('PVC SCH40 LD'!$A$8:$A$21)
+COUNT('Pool &amp; SPA Sweep Elbows'!$A$8:$A$11)
+COUNT('Pool &amp; SPA Pipe Extender'!$A$8:$A$10)
+COUNT('PVC SCH80'!$A$8:$A$249)
+COUNT('PVC SCH80 Flange'!$A$8:$A$48)
+COUNT('PVC SCH80 LD Flange'!$A$8:$A$16)
+COUNT(CPVC!$A$9:$A$104)+1,"")</f>
        <v/>
      </c>
      <c r="B12" s="610"/>
      <c r="C12" s="611"/>
      <c r="D12" s="443" t="str">
        <f>_xlfn.XLOOKUP(E12,'All Products'!D:D,'All Products'!C:C,FALSE)</f>
        <v>1401-012</v>
      </c>
      <c r="E12" s="103">
        <v>100021863</v>
      </c>
      <c r="F12" s="236" t="str">
        <f>_xlfn.XLOOKUP(E12,'All Products'!D:D,'All Products'!E:E,FALSE)</f>
        <v>1-1/4 TEE INSERT</v>
      </c>
      <c r="G12" s="153">
        <f>_xlfn.XLOOKUP(E12,'All Products'!D:D,'All Products'!F:F,FALSE)</f>
        <v>50</v>
      </c>
      <c r="H12" s="153">
        <f>_xlfn.XLOOKUP(E12,'All Products'!D:D,'All Products'!G:G,FALSE)</f>
        <v>3000</v>
      </c>
      <c r="I12" s="372">
        <f>_xlfn.XLOOKUP(E12,'All Products'!D:D,'All Products'!H:H)</f>
        <v>11.66</v>
      </c>
      <c r="J12" s="256">
        <f>ROUNDUP(I12*Order_Quote!$L$12,2)</f>
        <v>11.66</v>
      </c>
      <c r="K12" s="75"/>
      <c r="L12" s="113"/>
      <c r="M12" s="171">
        <f t="shared" si="0"/>
        <v>0</v>
      </c>
      <c r="O12" s="247" t="str">
        <f>_xlfn.XLOOKUP(E12,'All Products'!D:D,'All Products'!I:I,FALSE)</f>
        <v>In Stock</v>
      </c>
      <c r="P12" s="247" t="str">
        <f>_xlfn.XLOOKUP(E12,'All Products'!D:D,'All Products'!J:J,FALSE)</f>
        <v>Manufactured</v>
      </c>
      <c r="Q12" s="508">
        <f>_xlfn.XLOOKUP(E12,'All Products'!D:D,'All Products'!K:K,FALSE)</f>
        <v>49081106362</v>
      </c>
      <c r="R12" s="508">
        <f>_xlfn.XLOOKUP(E12,'All Products'!D:D,'All Products'!L:L,FALSE)</f>
        <v>49081606367</v>
      </c>
      <c r="S12" s="508">
        <f>_xlfn.XLOOKUP(E12,'All Products'!D:D,'All Products'!M:M,FALSE)</f>
        <v>40049081106360</v>
      </c>
      <c r="T12" s="264">
        <f>_xlfn.XLOOKUP(E12,'All Products'!D:D,'All Products'!N:N,FALSE)</f>
        <v>0.189</v>
      </c>
      <c r="U12" s="215">
        <f>_xlfn.XLOOKUP(E12,'All Products'!D:D,'All Products'!O:O,FALSE)</f>
        <v>10</v>
      </c>
      <c r="V12" s="265">
        <f>_xlfn.XLOOKUP(E12,'All Products'!D:D,'All Products'!P:P,FALSE)</f>
        <v>9.56</v>
      </c>
      <c r="W12" s="265">
        <f>_xlfn.XLOOKUP(E12,'All Products'!D:D,'All Products'!Q:Q,FALSE)</f>
        <v>0.8</v>
      </c>
      <c r="X12" s="331"/>
      <c r="Y12" s="331"/>
    </row>
    <row r="13" spans="1:25" ht="15" customHeight="1">
      <c r="A13" s="101" t="str">
        <f>IF(K13&gt;0,COUNT($A$8:A12)
+COUNT('DWV PVC'!$A$9:$A$316)
+COUNT('DWV ABS'!$A$8:$A$116)
+COUNT('PVC SCH40'!$A$8:$A$424)
+COUNT('PVC SCH40 LD'!$A$8:$A$21)
+COUNT('Pool &amp; SPA Sweep Elbows'!$A$8:$A$11)
+COUNT('Pool &amp; SPA Pipe Extender'!$A$8:$A$10)
+COUNT('PVC SCH80'!$A$8:$A$249)
+COUNT('PVC SCH80 Flange'!$A$8:$A$48)
+COUNT('PVC SCH80 LD Flange'!$A$8:$A$16)
+COUNT(CPVC!$A$9:$A$104)+1,"")</f>
        <v/>
      </c>
      <c r="B13" s="610"/>
      <c r="C13" s="611"/>
      <c r="D13" s="443" t="str">
        <f>_xlfn.XLOOKUP(E13,'All Products'!D:D,'All Products'!C:C,FALSE)</f>
        <v>1401-015</v>
      </c>
      <c r="E13" s="103">
        <v>100021864</v>
      </c>
      <c r="F13" s="236" t="str">
        <f>_xlfn.XLOOKUP(E13,'All Products'!D:D,'All Products'!E:E,FALSE)</f>
        <v>1-1/2 TEE INSERT</v>
      </c>
      <c r="G13" s="153">
        <f>_xlfn.XLOOKUP(E13,'All Products'!D:D,'All Products'!F:F,FALSE)</f>
        <v>25</v>
      </c>
      <c r="H13" s="153">
        <f>_xlfn.XLOOKUP(E13,'All Products'!D:D,'All Products'!G:G,FALSE)</f>
        <v>2250</v>
      </c>
      <c r="I13" s="372">
        <f>_xlfn.XLOOKUP(E13,'All Products'!D:D,'All Products'!H:H)</f>
        <v>13.19</v>
      </c>
      <c r="J13" s="256">
        <f>ROUNDUP(I13*Order_Quote!$L$12,2)</f>
        <v>13.19</v>
      </c>
      <c r="K13" s="75"/>
      <c r="L13" s="113"/>
      <c r="M13" s="171">
        <f t="shared" si="0"/>
        <v>0</v>
      </c>
      <c r="O13" s="247" t="str">
        <f>_xlfn.XLOOKUP(E13,'All Products'!D:D,'All Products'!I:I,FALSE)</f>
        <v>In Stock</v>
      </c>
      <c r="P13" s="247" t="str">
        <f>_xlfn.XLOOKUP(E13,'All Products'!D:D,'All Products'!J:J,FALSE)</f>
        <v>Manufactured</v>
      </c>
      <c r="Q13" s="508">
        <f>_xlfn.XLOOKUP(E13,'All Products'!D:D,'All Products'!K:K,FALSE)</f>
        <v>49081106379</v>
      </c>
      <c r="R13" s="508">
        <f>_xlfn.XLOOKUP(E13,'All Products'!D:D,'All Products'!L:L,FALSE)</f>
        <v>49081606374</v>
      </c>
      <c r="S13" s="508">
        <f>_xlfn.XLOOKUP(E13,'All Products'!D:D,'All Products'!M:M,FALSE)</f>
        <v>40049081106377</v>
      </c>
      <c r="T13" s="264">
        <f>_xlfn.XLOOKUP(E13,'All Products'!D:D,'All Products'!N:N,FALSE)</f>
        <v>0.218</v>
      </c>
      <c r="U13" s="215">
        <f>_xlfn.XLOOKUP(E13,'All Products'!D:D,'All Products'!O:O,FALSE)</f>
        <v>5</v>
      </c>
      <c r="V13" s="265">
        <f>_xlfn.XLOOKUP(E13,'All Products'!D:D,'All Products'!P:P,FALSE)</f>
        <v>6.12</v>
      </c>
      <c r="W13" s="265">
        <f>_xlfn.XLOOKUP(E13,'All Products'!D:D,'All Products'!Q:Q,FALSE)</f>
        <v>0.5</v>
      </c>
      <c r="X13" s="331"/>
      <c r="Y13" s="331"/>
    </row>
    <row r="14" spans="1:25" ht="15" customHeight="1">
      <c r="A14" s="101" t="str">
        <f>IF(K14&gt;0,COUNT($A$8:A13)
+COUNT('DWV PVC'!$A$9:$A$316)
+COUNT('DWV ABS'!$A$8:$A$116)
+COUNT('PVC SCH40'!$A$8:$A$424)
+COUNT('PVC SCH40 LD'!$A$8:$A$21)
+COUNT('Pool &amp; SPA Sweep Elbows'!$A$8:$A$11)
+COUNT('Pool &amp; SPA Pipe Extender'!$A$8:$A$10)
+COUNT('PVC SCH80'!$A$8:$A$249)
+COUNT('PVC SCH80 Flange'!$A$8:$A$48)
+COUNT('PVC SCH80 LD Flange'!$A$8:$A$16)
+COUNT(CPVC!$A$9:$A$104)+1,"")</f>
        <v/>
      </c>
      <c r="B14" s="612"/>
      <c r="C14" s="613"/>
      <c r="D14" s="443" t="str">
        <f>_xlfn.XLOOKUP(E14,'All Products'!D:D,'All Products'!C:C,FALSE)</f>
        <v>1401-020</v>
      </c>
      <c r="E14" s="103">
        <v>100021866</v>
      </c>
      <c r="F14" s="236" t="str">
        <f>_xlfn.XLOOKUP(E14,'All Products'!D:D,'All Products'!E:E,FALSE)</f>
        <v>2 TEE INSERT</v>
      </c>
      <c r="G14" s="153">
        <f>_xlfn.XLOOKUP(E14,'All Products'!D:D,'All Products'!F:F,FALSE)</f>
        <v>20</v>
      </c>
      <c r="H14" s="153">
        <f>_xlfn.XLOOKUP(E14,'All Products'!D:D,'All Products'!G:G,FALSE)</f>
        <v>1200</v>
      </c>
      <c r="I14" s="372">
        <f>_xlfn.XLOOKUP(E14,'All Products'!D:D,'All Products'!H:H)</f>
        <v>26.04</v>
      </c>
      <c r="J14" s="256">
        <f>ROUNDUP(I14*Order_Quote!$L$12,2)</f>
        <v>26.04</v>
      </c>
      <c r="K14" s="75"/>
      <c r="L14" s="239"/>
      <c r="M14" s="171">
        <f t="shared" si="0"/>
        <v>0</v>
      </c>
      <c r="O14" s="247" t="str">
        <f>_xlfn.XLOOKUP(E14,'All Products'!D:D,'All Products'!I:I,FALSE)</f>
        <v>In Stock</v>
      </c>
      <c r="P14" s="247" t="str">
        <f>_xlfn.XLOOKUP(E14,'All Products'!D:D,'All Products'!J:J,FALSE)</f>
        <v>Manufactured</v>
      </c>
      <c r="Q14" s="508">
        <f>_xlfn.XLOOKUP(E14,'All Products'!D:D,'All Products'!K:K,FALSE)</f>
        <v>49081106386</v>
      </c>
      <c r="R14" s="508">
        <f>_xlfn.XLOOKUP(E14,'All Products'!D:D,'All Products'!L:L,FALSE)</f>
        <v>49081606381</v>
      </c>
      <c r="S14" s="508">
        <f>_xlfn.XLOOKUP(E14,'All Products'!D:D,'All Products'!M:M,FALSE)</f>
        <v>40049081106384</v>
      </c>
      <c r="T14" s="264">
        <f>_xlfn.XLOOKUP(E14,'All Products'!D:D,'All Products'!N:N,FALSE)</f>
        <v>0.318</v>
      </c>
      <c r="U14" s="215">
        <f>_xlfn.XLOOKUP(E14,'All Products'!D:D,'All Products'!O:O,FALSE)</f>
        <v>5</v>
      </c>
      <c r="V14" s="265">
        <f>_xlfn.XLOOKUP(E14,'All Products'!D:D,'All Products'!P:P,FALSE)</f>
        <v>7.22</v>
      </c>
      <c r="W14" s="265">
        <f>_xlfn.XLOOKUP(E14,'All Products'!D:D,'All Products'!Q:Q,FALSE)</f>
        <v>0.8</v>
      </c>
      <c r="X14" s="331"/>
      <c r="Y14" s="331"/>
    </row>
    <row r="15" spans="1:25" ht="15" customHeight="1">
      <c r="A15" s="101" t="str">
        <f>IF(K15&gt;0,COUNT($A$8:A14)
+COUNT('DWV PVC'!$A$9:$A$316)
+COUNT('DWV ABS'!$A$8:$A$116)
+COUNT('PVC SCH40'!$A$8:$A$424)
+COUNT('PVC SCH40 LD'!$A$8:$A$21)
+COUNT('Pool &amp; SPA Sweep Elbows'!$A$8:$A$11)
+COUNT('Pool &amp; SPA Pipe Extender'!$A$8:$A$10)
+COUNT('PVC SCH80'!$A$8:$A$249)
+COUNT('PVC SCH80 Flange'!$A$8:$A$48)
+COUNT('PVC SCH80 LD Flange'!$A$8:$A$16)
+COUNT(CPVC!$A$9:$A$104)+1,"")</f>
        <v/>
      </c>
      <c r="B15" s="433" t="s">
        <v>5743</v>
      </c>
      <c r="C15" s="248"/>
      <c r="D15" s="333"/>
      <c r="E15" s="248"/>
      <c r="F15" s="333"/>
      <c r="G15" s="248"/>
      <c r="H15" s="248"/>
      <c r="I15" s="370"/>
      <c r="J15" s="250"/>
      <c r="K15" s="251"/>
      <c r="L15" s="252"/>
      <c r="M15" s="249"/>
      <c r="O15" s="524"/>
      <c r="P15" s="248"/>
      <c r="Q15" s="507"/>
      <c r="R15" s="507"/>
      <c r="S15" s="507"/>
      <c r="T15" s="248"/>
      <c r="U15" s="248"/>
      <c r="V15" s="248"/>
      <c r="W15" s="531"/>
    </row>
    <row r="16" spans="1:25" ht="15" customHeight="1">
      <c r="A16" s="101" t="str">
        <f>IF(K16&gt;0,COUNT($A$8:A15)
+COUNT('DWV PVC'!$A$9:$A$316)
+COUNT('DWV ABS'!$A$8:$A$116)
+COUNT('PVC SCH40'!$A$8:$A$424)
+COUNT('PVC SCH40 LD'!$A$8:$A$21)
+COUNT('Pool &amp; SPA Sweep Elbows'!$A$8:$A$11)
+COUNT('Pool &amp; SPA Pipe Extender'!$A$8:$A$10)
+COUNT('PVC SCH80'!$A$8:$A$249)
+COUNT('PVC SCH80 Flange'!$A$8:$A$48)
+COUNT('PVC SCH80 LD Flange'!$A$8:$A$16)
+COUNT(CPVC!$A$9:$A$104)+1,"")</f>
        <v/>
      </c>
      <c r="B16" s="608"/>
      <c r="C16" s="609"/>
      <c r="D16" s="443" t="str">
        <f>_xlfn.XLOOKUP(E16,'All Products'!D:D,'All Products'!C:C,FALSE)</f>
        <v>1401-101</v>
      </c>
      <c r="E16" s="153">
        <v>100021872</v>
      </c>
      <c r="F16" s="236" t="str">
        <f>_xlfn.XLOOKUP(E16,'All Products'!D:D,'All Products'!E:E,FALSE)</f>
        <v>3/4X3/4X1/2 TEE INSERT</v>
      </c>
      <c r="G16" s="153">
        <f>_xlfn.XLOOKUP(E16,'All Products'!D:D,'All Products'!F:F,FALSE)</f>
        <v>200</v>
      </c>
      <c r="H16" s="153">
        <f>_xlfn.XLOOKUP(E16,'All Products'!D:D,'All Products'!G:G,FALSE)</f>
        <v>9000</v>
      </c>
      <c r="I16" s="371">
        <f>_xlfn.XLOOKUP(E16,'All Products'!D:D,'All Products'!H:H)</f>
        <v>6.49</v>
      </c>
      <c r="J16" s="256">
        <f>ROUNDUP(I16*Order_Quote!$L$12,2)</f>
        <v>6.49</v>
      </c>
      <c r="K16" s="161"/>
      <c r="L16" s="113"/>
      <c r="M16" s="243">
        <f t="shared" ref="M16:M23" si="1">K16/G16</f>
        <v>0</v>
      </c>
      <c r="O16" s="247" t="str">
        <f>_xlfn.XLOOKUP(E16,'All Products'!D:D,'All Products'!I:I,FALSE)</f>
        <v>In Stock</v>
      </c>
      <c r="P16" s="247" t="str">
        <f>_xlfn.XLOOKUP(E16,'All Products'!D:D,'All Products'!J:J,FALSE)</f>
        <v>Manufactured</v>
      </c>
      <c r="Q16" s="508">
        <f>_xlfn.XLOOKUP(E16,'All Products'!D:D,'All Products'!K:K,FALSE)</f>
        <v>49081106485</v>
      </c>
      <c r="R16" s="508">
        <f>_xlfn.XLOOKUP(E16,'All Products'!D:D,'All Products'!L:L,FALSE)</f>
        <v>49081606480</v>
      </c>
      <c r="S16" s="508">
        <f>_xlfn.XLOOKUP(E16,'All Products'!D:D,'All Products'!M:M,FALSE)</f>
        <v>40049081106483</v>
      </c>
      <c r="T16" s="264">
        <f>_xlfn.XLOOKUP(E16,'All Products'!D:D,'All Products'!N:N,FALSE)</f>
        <v>7.5999999999999998E-2</v>
      </c>
      <c r="U16" s="215">
        <f>_xlfn.XLOOKUP(E16,'All Products'!D:D,'All Products'!O:O,FALSE)</f>
        <v>10</v>
      </c>
      <c r="V16" s="265">
        <f>_xlfn.XLOOKUP(E16,'All Products'!D:D,'All Products'!P:P,FALSE)</f>
        <v>16.61</v>
      </c>
      <c r="W16" s="265">
        <f>_xlfn.XLOOKUP(E16,'All Products'!D:D,'All Products'!Q:Q,FALSE)</f>
        <v>1.1000000000000001</v>
      </c>
      <c r="X16" s="331"/>
      <c r="Y16" s="331"/>
    </row>
    <row r="17" spans="1:25" ht="15" customHeight="1">
      <c r="A17" s="101" t="str">
        <f>IF(K17&gt;0,COUNT($A$8:A16)
+COUNT('DWV PVC'!$A$9:$A$316)
+COUNT('DWV ABS'!$A$8:$A$116)
+COUNT('PVC SCH40'!$A$8:$A$424)
+COUNT('PVC SCH40 LD'!$A$8:$A$21)
+COUNT('Pool &amp; SPA Sweep Elbows'!$A$8:$A$11)
+COUNT('Pool &amp; SPA Pipe Extender'!$A$8:$A$10)
+COUNT('PVC SCH80'!$A$8:$A$249)
+COUNT('PVC SCH80 Flange'!$A$8:$A$48)
+COUNT('PVC SCH80 LD Flange'!$A$8:$A$16)
+COUNT(CPVC!$A$9:$A$104)+1,"")</f>
        <v/>
      </c>
      <c r="B17" s="610"/>
      <c r="C17" s="611"/>
      <c r="D17" s="443" t="str">
        <f>_xlfn.XLOOKUP(E17,'All Products'!D:D,'All Products'!C:C,FALSE)</f>
        <v>1401-125</v>
      </c>
      <c r="E17" s="103">
        <v>100021877</v>
      </c>
      <c r="F17" s="236" t="str">
        <f>_xlfn.XLOOKUP(E17,'All Products'!D:D,'All Products'!E:E,FALSE)</f>
        <v>1X3/4X3/4 TEE INSERT</v>
      </c>
      <c r="G17" s="153">
        <f>_xlfn.XLOOKUP(E17,'All Products'!D:D,'All Products'!F:F,FALSE)</f>
        <v>100</v>
      </c>
      <c r="H17" s="153">
        <f>_xlfn.XLOOKUP(E17,'All Products'!D:D,'All Products'!G:G,FALSE)</f>
        <v>6000</v>
      </c>
      <c r="I17" s="372">
        <f>_xlfn.XLOOKUP(E17,'All Products'!D:D,'All Products'!H:H)</f>
        <v>12.35</v>
      </c>
      <c r="J17" s="256">
        <f>ROUNDUP(I17*Order_Quote!$L$12,2)</f>
        <v>12.35</v>
      </c>
      <c r="K17" s="75"/>
      <c r="L17" s="113"/>
      <c r="M17" s="171">
        <f t="shared" si="1"/>
        <v>0</v>
      </c>
      <c r="O17" s="247" t="str">
        <f>_xlfn.XLOOKUP(E17,'All Products'!D:D,'All Products'!I:I,FALSE)</f>
        <v>Within 3 Weeks</v>
      </c>
      <c r="P17" s="247" t="str">
        <f>_xlfn.XLOOKUP(E17,'All Products'!D:D,'All Products'!J:J,FALSE)</f>
        <v>Manufactured</v>
      </c>
      <c r="Q17" s="508">
        <f>_xlfn.XLOOKUP(E17,'All Products'!D:D,'All Products'!K:K,FALSE)</f>
        <v>49081106669</v>
      </c>
      <c r="R17" s="508">
        <f>_xlfn.XLOOKUP(E17,'All Products'!D:D,'All Products'!L:L,FALSE)</f>
        <v>49081606664</v>
      </c>
      <c r="S17" s="508">
        <f>_xlfn.XLOOKUP(E17,'All Products'!D:D,'All Products'!M:M,FALSE)</f>
        <v>40049081106667</v>
      </c>
      <c r="T17" s="264">
        <f>_xlfn.XLOOKUP(E17,'All Products'!D:D,'All Products'!N:N,FALSE)</f>
        <v>8.6999999999999994E-2</v>
      </c>
      <c r="U17" s="215">
        <f>_xlfn.XLOOKUP(E17,'All Products'!D:D,'All Products'!O:O,FALSE)</f>
        <v>10</v>
      </c>
      <c r="V17" s="265">
        <f>_xlfn.XLOOKUP(E17,'All Products'!D:D,'All Products'!P:P,FALSE)</f>
        <v>9.44</v>
      </c>
      <c r="W17" s="265">
        <f>_xlfn.XLOOKUP(E17,'All Products'!D:D,'All Products'!Q:Q,FALSE)</f>
        <v>0.8</v>
      </c>
      <c r="X17" s="331"/>
      <c r="Y17" s="331"/>
    </row>
    <row r="18" spans="1:25" ht="15" customHeight="1">
      <c r="A18" s="101" t="str">
        <f>IF(K18&gt;0,COUNT($A$8:A17)
+COUNT('DWV PVC'!$A$9:$A$316)
+COUNT('DWV ABS'!$A$8:$A$116)
+COUNT('PVC SCH40'!$A$8:$A$424)
+COUNT('PVC SCH40 LD'!$A$8:$A$21)
+COUNT('Pool &amp; SPA Sweep Elbows'!$A$8:$A$11)
+COUNT('Pool &amp; SPA Pipe Extender'!$A$8:$A$10)
+COUNT('PVC SCH80'!$A$8:$A$249)
+COUNT('PVC SCH80 Flange'!$A$8:$A$48)
+COUNT('PVC SCH80 LD Flange'!$A$8:$A$16)
+COUNT(CPVC!$A$9:$A$104)+1,"")</f>
        <v/>
      </c>
      <c r="B18" s="610"/>
      <c r="C18" s="611"/>
      <c r="D18" s="443" t="str">
        <f>_xlfn.XLOOKUP(E18,'All Products'!D:D,'All Products'!C:C,FALSE)</f>
        <v>1401-130</v>
      </c>
      <c r="E18" s="103">
        <v>100021879</v>
      </c>
      <c r="F18" s="236" t="str">
        <f>_xlfn.XLOOKUP(E18,'All Products'!D:D,'All Products'!E:E,FALSE)</f>
        <v>1X1X1/2 TEE INSERT</v>
      </c>
      <c r="G18" s="153">
        <f>_xlfn.XLOOKUP(E18,'All Products'!D:D,'All Products'!F:F,FALSE)</f>
        <v>100</v>
      </c>
      <c r="H18" s="153">
        <f>_xlfn.XLOOKUP(E18,'All Products'!D:D,'All Products'!G:G,FALSE)</f>
        <v>7500</v>
      </c>
      <c r="I18" s="372">
        <f>_xlfn.XLOOKUP(E18,'All Products'!D:D,'All Products'!H:H)</f>
        <v>7.61</v>
      </c>
      <c r="J18" s="256">
        <f>ROUNDUP(I18*Order_Quote!$L$12,2)</f>
        <v>7.61</v>
      </c>
      <c r="K18" s="75"/>
      <c r="L18" s="113"/>
      <c r="M18" s="171">
        <f t="shared" si="1"/>
        <v>0</v>
      </c>
      <c r="O18" s="247" t="str">
        <f>_xlfn.XLOOKUP(E18,'All Products'!D:D,'All Products'!I:I,FALSE)</f>
        <v>In Stock</v>
      </c>
      <c r="P18" s="247" t="str">
        <f>_xlfn.XLOOKUP(E18,'All Products'!D:D,'All Products'!J:J,FALSE)</f>
        <v>Manufactured</v>
      </c>
      <c r="Q18" s="508">
        <f>_xlfn.XLOOKUP(E18,'All Products'!D:D,'All Products'!K:K,FALSE)</f>
        <v>49081106492</v>
      </c>
      <c r="R18" s="508">
        <f>_xlfn.XLOOKUP(E18,'All Products'!D:D,'All Products'!L:L,FALSE)</f>
        <v>49081606497</v>
      </c>
      <c r="S18" s="508">
        <f>_xlfn.XLOOKUP(E18,'All Products'!D:D,'All Products'!M:M,FALSE)</f>
        <v>40049081106490</v>
      </c>
      <c r="T18" s="264">
        <f>_xlfn.XLOOKUP(E18,'All Products'!D:D,'All Products'!N:N,FALSE)</f>
        <v>0.105</v>
      </c>
      <c r="U18" s="215">
        <f>_xlfn.XLOOKUP(E18,'All Products'!D:D,'All Products'!O:O,FALSE)</f>
        <v>10</v>
      </c>
      <c r="V18" s="265">
        <f>_xlfn.XLOOKUP(E18,'All Products'!D:D,'All Products'!P:P,FALSE)</f>
        <v>8.9499999999999993</v>
      </c>
      <c r="W18" s="265">
        <f>_xlfn.XLOOKUP(E18,'All Products'!D:D,'All Products'!Q:Q,FALSE)</f>
        <v>0.65</v>
      </c>
      <c r="X18" s="331"/>
      <c r="Y18" s="331"/>
    </row>
    <row r="19" spans="1:25" ht="15" customHeight="1">
      <c r="A19" s="101" t="str">
        <f>IF(K19&gt;0,COUNT($A$8:A18)
+COUNT('DWV PVC'!$A$9:$A$316)
+COUNT('DWV ABS'!$A$8:$A$116)
+COUNT('PVC SCH40'!$A$8:$A$424)
+COUNT('PVC SCH40 LD'!$A$8:$A$21)
+COUNT('Pool &amp; SPA Sweep Elbows'!$A$8:$A$11)
+COUNT('Pool &amp; SPA Pipe Extender'!$A$8:$A$10)
+COUNT('PVC SCH80'!$A$8:$A$249)
+COUNT('PVC SCH80 Flange'!$A$8:$A$48)
+COUNT('PVC SCH80 LD Flange'!$A$8:$A$16)
+COUNT(CPVC!$A$9:$A$104)+1,"")</f>
        <v/>
      </c>
      <c r="B19" s="610"/>
      <c r="C19" s="611"/>
      <c r="D19" s="443" t="str">
        <f>_xlfn.XLOOKUP(E19,'All Products'!D:D,'All Products'!C:C,FALSE)</f>
        <v>1401-131</v>
      </c>
      <c r="E19" s="103">
        <v>100021881</v>
      </c>
      <c r="F19" s="236" t="str">
        <f>_xlfn.XLOOKUP(E19,'All Products'!D:D,'All Products'!E:E,FALSE)</f>
        <v>1X1X3/4 TEE INSERT</v>
      </c>
      <c r="G19" s="153">
        <f>_xlfn.XLOOKUP(E19,'All Products'!D:D,'All Products'!F:F,FALSE)</f>
        <v>100</v>
      </c>
      <c r="H19" s="153">
        <f>_xlfn.XLOOKUP(E19,'All Products'!D:D,'All Products'!G:G,FALSE)</f>
        <v>7500</v>
      </c>
      <c r="I19" s="372">
        <f>_xlfn.XLOOKUP(E19,'All Products'!D:D,'All Products'!H:H)</f>
        <v>7.67</v>
      </c>
      <c r="J19" s="256">
        <f>ROUNDUP(I19*Order_Quote!$L$12,2)</f>
        <v>7.67</v>
      </c>
      <c r="K19" s="75"/>
      <c r="L19" s="113"/>
      <c r="M19" s="171">
        <f t="shared" si="1"/>
        <v>0</v>
      </c>
      <c r="O19" s="247" t="str">
        <f>_xlfn.XLOOKUP(E19,'All Products'!D:D,'All Products'!I:I,FALSE)</f>
        <v>In Stock</v>
      </c>
      <c r="P19" s="247" t="str">
        <f>_xlfn.XLOOKUP(E19,'All Products'!D:D,'All Products'!J:J,FALSE)</f>
        <v>Manufactured</v>
      </c>
      <c r="Q19" s="508">
        <f>_xlfn.XLOOKUP(E19,'All Products'!D:D,'All Products'!K:K,FALSE)</f>
        <v>49081106508</v>
      </c>
      <c r="R19" s="508">
        <f>_xlfn.XLOOKUP(E19,'All Products'!D:D,'All Products'!L:L,FALSE)</f>
        <v>49081606503</v>
      </c>
      <c r="S19" s="508">
        <f>_xlfn.XLOOKUP(E19,'All Products'!D:D,'All Products'!M:M,FALSE)</f>
        <v>40049081106506</v>
      </c>
      <c r="T19" s="264">
        <f>_xlfn.XLOOKUP(E19,'All Products'!D:D,'All Products'!N:N,FALSE)</f>
        <v>0.16800000000000001</v>
      </c>
      <c r="U19" s="215">
        <f>_xlfn.XLOOKUP(E19,'All Products'!D:D,'All Products'!O:O,FALSE)</f>
        <v>10</v>
      </c>
      <c r="V19" s="265">
        <f>_xlfn.XLOOKUP(E19,'All Products'!D:D,'All Products'!P:P,FALSE)</f>
        <v>12.68</v>
      </c>
      <c r="W19" s="265">
        <f>_xlfn.XLOOKUP(E19,'All Products'!D:D,'All Products'!Q:Q,FALSE)</f>
        <v>0.65</v>
      </c>
      <c r="X19" s="331"/>
      <c r="Y19" s="331"/>
    </row>
    <row r="20" spans="1:25" ht="15" customHeight="1">
      <c r="A20" s="101" t="str">
        <f>IF(K20&gt;0,COUNT($A$8:A19)
+COUNT('DWV PVC'!$A$9:$A$316)
+COUNT('DWV ABS'!$A$8:$A$116)
+COUNT('PVC SCH40'!$A$8:$A$424)
+COUNT('PVC SCH40 LD'!$A$8:$A$21)
+COUNT('Pool &amp; SPA Sweep Elbows'!$A$8:$A$11)
+COUNT('Pool &amp; SPA Pipe Extender'!$A$8:$A$10)
+COUNT('PVC SCH80'!$A$8:$A$249)
+COUNT('PVC SCH80 Flange'!$A$8:$A$48)
+COUNT('PVC SCH80 LD Flange'!$A$8:$A$16)
+COUNT(CPVC!$A$9:$A$104)+1,"")</f>
        <v/>
      </c>
      <c r="B20" s="610"/>
      <c r="C20" s="611"/>
      <c r="D20" s="443" t="str">
        <f>_xlfn.XLOOKUP(E20,'All Products'!D:D,'All Products'!C:C,FALSE)</f>
        <v>1401-168</v>
      </c>
      <c r="E20" s="103">
        <v>100021888</v>
      </c>
      <c r="F20" s="236" t="str">
        <f>_xlfn.XLOOKUP(E20,'All Products'!D:D,'All Products'!E:E,FALSE)</f>
        <v>1-1/4X1-1/4X1 TEE INSERT</v>
      </c>
      <c r="G20" s="153">
        <f>_xlfn.XLOOKUP(E20,'All Products'!D:D,'All Products'!F:F,FALSE)</f>
        <v>50</v>
      </c>
      <c r="H20" s="153">
        <f>_xlfn.XLOOKUP(E20,'All Products'!D:D,'All Products'!G:G,FALSE)</f>
        <v>3750</v>
      </c>
      <c r="I20" s="372">
        <f>_xlfn.XLOOKUP(E20,'All Products'!D:D,'All Products'!H:H)</f>
        <v>9.9600000000000009</v>
      </c>
      <c r="J20" s="256">
        <f>ROUNDUP(I20*Order_Quote!$L$12,2)</f>
        <v>9.9600000000000009</v>
      </c>
      <c r="K20" s="75"/>
      <c r="L20" s="113"/>
      <c r="M20" s="171">
        <f t="shared" si="1"/>
        <v>0</v>
      </c>
      <c r="O20" s="247" t="str">
        <f>_xlfn.XLOOKUP(E20,'All Products'!D:D,'All Products'!I:I,FALSE)</f>
        <v>In Stock</v>
      </c>
      <c r="P20" s="247" t="str">
        <f>_xlfn.XLOOKUP(E20,'All Products'!D:D,'All Products'!J:J,FALSE)</f>
        <v>Manufactured</v>
      </c>
      <c r="Q20" s="508">
        <f>_xlfn.XLOOKUP(E20,'All Products'!D:D,'All Products'!K:K,FALSE)</f>
        <v>49081106539</v>
      </c>
      <c r="R20" s="508">
        <f>_xlfn.XLOOKUP(E20,'All Products'!D:D,'All Products'!L:L,FALSE)</f>
        <v>49081606534</v>
      </c>
      <c r="S20" s="508">
        <f>_xlfn.XLOOKUP(E20,'All Products'!D:D,'All Products'!M:M,FALSE)</f>
        <v>40049081106537</v>
      </c>
      <c r="T20" s="264">
        <f>_xlfn.XLOOKUP(E20,'All Products'!D:D,'All Products'!N:N,FALSE)</f>
        <v>0.15</v>
      </c>
      <c r="U20" s="215">
        <f>_xlfn.XLOOKUP(E20,'All Products'!D:D,'All Products'!O:O,FALSE)</f>
        <v>10</v>
      </c>
      <c r="V20" s="265">
        <f>_xlfn.XLOOKUP(E20,'All Products'!D:D,'All Products'!P:P,FALSE)</f>
        <v>8.3000000000000007</v>
      </c>
      <c r="W20" s="265">
        <f>_xlfn.XLOOKUP(E20,'All Products'!D:D,'All Products'!Q:Q,FALSE)</f>
        <v>0.65</v>
      </c>
      <c r="X20" s="331"/>
      <c r="Y20" s="331"/>
    </row>
    <row r="21" spans="1:25" ht="15" customHeight="1">
      <c r="A21" s="101" t="str">
        <f>IF(K21&gt;0,COUNT($A$8:A20)
+COUNT('DWV PVC'!$A$9:$A$316)
+COUNT('DWV ABS'!$A$8:$A$116)
+COUNT('PVC SCH40'!$A$8:$A$424)
+COUNT('PVC SCH40 LD'!$A$8:$A$21)
+COUNT('Pool &amp; SPA Sweep Elbows'!$A$8:$A$11)
+COUNT('Pool &amp; SPA Pipe Extender'!$A$8:$A$10)
+COUNT('PVC SCH80'!$A$8:$A$249)
+COUNT('PVC SCH80 Flange'!$A$8:$A$48)
+COUNT('PVC SCH80 LD Flange'!$A$8:$A$16)
+COUNT(CPVC!$A$9:$A$104)+1,"")</f>
        <v/>
      </c>
      <c r="B21" s="610"/>
      <c r="C21" s="611"/>
      <c r="D21" s="443" t="str">
        <f>_xlfn.XLOOKUP(E21,'All Products'!D:D,'All Products'!C:C,FALSE)</f>
        <v>1401-210</v>
      </c>
      <c r="E21" s="103">
        <v>100021894</v>
      </c>
      <c r="F21" s="236" t="str">
        <f>_xlfn.XLOOKUP(E21,'All Products'!D:D,'All Products'!E:E,FALSE)</f>
        <v>1-1/2X1-1/2X3/4 TEE INSERT</v>
      </c>
      <c r="G21" s="153">
        <f>_xlfn.XLOOKUP(E21,'All Products'!D:D,'All Products'!F:F,FALSE)</f>
        <v>50</v>
      </c>
      <c r="H21" s="153">
        <f>_xlfn.XLOOKUP(E21,'All Products'!D:D,'All Products'!G:G,FALSE)</f>
        <v>3750</v>
      </c>
      <c r="I21" s="372">
        <f>_xlfn.XLOOKUP(E21,'All Products'!D:D,'All Products'!H:H)</f>
        <v>17.440000000000001</v>
      </c>
      <c r="J21" s="256">
        <f>ROUNDUP(I21*Order_Quote!$L$12,2)</f>
        <v>17.440000000000001</v>
      </c>
      <c r="K21" s="75"/>
      <c r="L21" s="113"/>
      <c r="M21" s="171">
        <f t="shared" si="1"/>
        <v>0</v>
      </c>
      <c r="O21" s="247" t="str">
        <f>_xlfn.XLOOKUP(E21,'All Products'!D:D,'All Products'!I:I,FALSE)</f>
        <v>Within 3 Weeks</v>
      </c>
      <c r="P21" s="247" t="str">
        <f>_xlfn.XLOOKUP(E21,'All Products'!D:D,'All Products'!J:J,FALSE)</f>
        <v>Manufactured</v>
      </c>
      <c r="Q21" s="508">
        <f>_xlfn.XLOOKUP(E21,'All Products'!D:D,'All Products'!K:K,FALSE)</f>
        <v>49081106553</v>
      </c>
      <c r="R21" s="508">
        <f>_xlfn.XLOOKUP(E21,'All Products'!D:D,'All Products'!L:L,FALSE)</f>
        <v>49081606558</v>
      </c>
      <c r="S21" s="508">
        <f>_xlfn.XLOOKUP(E21,'All Products'!D:D,'All Products'!M:M,FALSE)</f>
        <v>40049081106551</v>
      </c>
      <c r="T21" s="264">
        <f>_xlfn.XLOOKUP(E21,'All Products'!D:D,'All Products'!N:N,FALSE)</f>
        <v>0.17199999999999999</v>
      </c>
      <c r="U21" s="215">
        <f>_xlfn.XLOOKUP(E21,'All Products'!D:D,'All Products'!O:O,FALSE)</f>
        <v>10</v>
      </c>
      <c r="V21" s="265">
        <f>_xlfn.XLOOKUP(E21,'All Products'!D:D,'All Products'!P:P,FALSE)</f>
        <v>8.6199999999999992</v>
      </c>
      <c r="W21" s="265">
        <f>_xlfn.XLOOKUP(E21,'All Products'!D:D,'All Products'!Q:Q,FALSE)</f>
        <v>0.65</v>
      </c>
      <c r="X21" s="331"/>
      <c r="Y21" s="331"/>
    </row>
    <row r="22" spans="1:25" ht="15" customHeight="1">
      <c r="A22" s="101" t="str">
        <f>IF(K22&gt;0,COUNT($A$8:A21)
+COUNT('DWV PVC'!$A$9:$A$316)
+COUNT('DWV ABS'!$A$8:$A$116)
+COUNT('PVC SCH40'!$A$8:$A$424)
+COUNT('PVC SCH40 LD'!$A$8:$A$21)
+COUNT('Pool &amp; SPA Sweep Elbows'!$A$8:$A$11)
+COUNT('Pool &amp; SPA Pipe Extender'!$A$8:$A$10)
+COUNT('PVC SCH80'!$A$8:$A$249)
+COUNT('PVC SCH80 Flange'!$A$8:$A$48)
+COUNT('PVC SCH80 LD Flange'!$A$8:$A$16)
+COUNT(CPVC!$A$9:$A$104)+1,"")</f>
        <v/>
      </c>
      <c r="B22" s="610"/>
      <c r="C22" s="611"/>
      <c r="D22" s="443" t="str">
        <f>_xlfn.XLOOKUP(E22,'All Products'!D:D,'All Products'!C:C,FALSE)</f>
        <v>1401-211</v>
      </c>
      <c r="E22" s="103">
        <v>100021895</v>
      </c>
      <c r="F22" s="236" t="str">
        <f>_xlfn.XLOOKUP(E22,'All Products'!D:D,'All Products'!E:E,FALSE)</f>
        <v>1-1/2X1-1/2X1 TEE INSERT</v>
      </c>
      <c r="G22" s="153">
        <f>_xlfn.XLOOKUP(E22,'All Products'!D:D,'All Products'!F:F,FALSE)</f>
        <v>50</v>
      </c>
      <c r="H22" s="153">
        <f>_xlfn.XLOOKUP(E22,'All Products'!D:D,'All Products'!G:G,FALSE)</f>
        <v>3000</v>
      </c>
      <c r="I22" s="372">
        <f>_xlfn.XLOOKUP(E22,'All Products'!D:D,'All Products'!H:H)</f>
        <v>17.440000000000001</v>
      </c>
      <c r="J22" s="256">
        <f>ROUNDUP(I22*Order_Quote!$L$12,2)</f>
        <v>17.440000000000001</v>
      </c>
      <c r="K22" s="75"/>
      <c r="L22" s="113"/>
      <c r="M22" s="171">
        <f t="shared" si="1"/>
        <v>0</v>
      </c>
      <c r="O22" s="247" t="str">
        <f>_xlfn.XLOOKUP(E22,'All Products'!D:D,'All Products'!I:I,FALSE)</f>
        <v>In Stock</v>
      </c>
      <c r="P22" s="247" t="str">
        <f>_xlfn.XLOOKUP(E22,'All Products'!D:D,'All Products'!J:J,FALSE)</f>
        <v>Manufactured</v>
      </c>
      <c r="Q22" s="508">
        <f>_xlfn.XLOOKUP(E22,'All Products'!D:D,'All Products'!K:K,FALSE)</f>
        <v>49081106560</v>
      </c>
      <c r="R22" s="508">
        <f>_xlfn.XLOOKUP(E22,'All Products'!D:D,'All Products'!L:L,FALSE)</f>
        <v>49081606565</v>
      </c>
      <c r="S22" s="508">
        <f>_xlfn.XLOOKUP(E22,'All Products'!D:D,'All Products'!M:M,FALSE)</f>
        <v>40049081106568</v>
      </c>
      <c r="T22" s="264">
        <f>_xlfn.XLOOKUP(E22,'All Products'!D:D,'All Products'!N:N,FALSE)</f>
        <v>0.17599999999999999</v>
      </c>
      <c r="U22" s="215">
        <f>_xlfn.XLOOKUP(E22,'All Products'!D:D,'All Products'!O:O,FALSE)</f>
        <v>10</v>
      </c>
      <c r="V22" s="265">
        <f>_xlfn.XLOOKUP(E22,'All Products'!D:D,'All Products'!P:P,FALSE)</f>
        <v>8.86</v>
      </c>
      <c r="W22" s="265">
        <f>_xlfn.XLOOKUP(E22,'All Products'!D:D,'All Products'!Q:Q,FALSE)</f>
        <v>0.8</v>
      </c>
      <c r="X22" s="331"/>
      <c r="Y22" s="331"/>
    </row>
    <row r="23" spans="1:25" ht="15" customHeight="1">
      <c r="A23" s="101" t="str">
        <f>IF(K23&gt;0,COUNT($A$8:A22)
+COUNT('DWV PVC'!$A$9:$A$316)
+COUNT('DWV ABS'!$A$8:$A$116)
+COUNT('PVC SCH40'!$A$8:$A$424)
+COUNT('PVC SCH40 LD'!$A$8:$A$21)
+COUNT('Pool &amp; SPA Sweep Elbows'!$A$8:$A$11)
+COUNT('Pool &amp; SPA Pipe Extender'!$A$8:$A$10)
+COUNT('PVC SCH80'!$A$8:$A$249)
+COUNT('PVC SCH80 Flange'!$A$8:$A$48)
+COUNT('PVC SCH80 LD Flange'!$A$8:$A$16)
+COUNT(CPVC!$A$9:$A$104)+1,"")</f>
        <v/>
      </c>
      <c r="B23" s="612"/>
      <c r="C23" s="613"/>
      <c r="D23" s="443" t="str">
        <f>_xlfn.XLOOKUP(E23,'All Products'!D:D,'All Products'!C:C,FALSE)</f>
        <v>1401-249</v>
      </c>
      <c r="E23" s="103">
        <v>100021901</v>
      </c>
      <c r="F23" s="236" t="str">
        <f>_xlfn.XLOOKUP(E23,'All Products'!D:D,'All Products'!E:E,FALSE)</f>
        <v>2X2X1 TEE INSERT</v>
      </c>
      <c r="G23" s="153">
        <f>_xlfn.XLOOKUP(E23,'All Products'!D:D,'All Products'!F:F,FALSE)</f>
        <v>25</v>
      </c>
      <c r="H23" s="153">
        <f>_xlfn.XLOOKUP(E23,'All Products'!D:D,'All Products'!G:G,FALSE)</f>
        <v>1875</v>
      </c>
      <c r="I23" s="372">
        <f>_xlfn.XLOOKUP(E23,'All Products'!D:D,'All Products'!H:H)</f>
        <v>24.76</v>
      </c>
      <c r="J23" s="256">
        <f>ROUNDUP(I23*Order_Quote!$L$12,2)</f>
        <v>24.76</v>
      </c>
      <c r="K23" s="75"/>
      <c r="M23" s="171">
        <f t="shared" si="1"/>
        <v>0</v>
      </c>
      <c r="O23" s="247" t="str">
        <f>_xlfn.XLOOKUP(E23,'All Products'!D:D,'All Products'!I:I,FALSE)</f>
        <v>Within 3 Weeks</v>
      </c>
      <c r="P23" s="247" t="str">
        <f>_xlfn.XLOOKUP(E23,'All Products'!D:D,'All Products'!J:J,FALSE)</f>
        <v>Manufactured</v>
      </c>
      <c r="Q23" s="508">
        <f>_xlfn.XLOOKUP(E23,'All Products'!D:D,'All Products'!K:K,FALSE)</f>
        <v>49081106607</v>
      </c>
      <c r="R23" s="508">
        <f>_xlfn.XLOOKUP(E23,'All Products'!D:D,'All Products'!L:L,FALSE)</f>
        <v>49081606602</v>
      </c>
      <c r="S23" s="508">
        <f>_xlfn.XLOOKUP(E23,'All Products'!D:D,'All Products'!M:M,FALSE)</f>
        <v>40049081106605</v>
      </c>
      <c r="T23" s="264">
        <f>_xlfn.XLOOKUP(E23,'All Products'!D:D,'All Products'!N:N,FALSE)</f>
        <v>0.25600000000000001</v>
      </c>
      <c r="U23" s="215">
        <f>_xlfn.XLOOKUP(E23,'All Products'!D:D,'All Products'!O:O,FALSE)</f>
        <v>5</v>
      </c>
      <c r="V23" s="265">
        <f>_xlfn.XLOOKUP(E23,'All Products'!D:D,'All Products'!P:P,FALSE)</f>
        <v>6.28</v>
      </c>
      <c r="W23" s="265">
        <f>_xlfn.XLOOKUP(E23,'All Products'!D:D,'All Products'!Q:Q,FALSE)</f>
        <v>0.65</v>
      </c>
      <c r="X23" s="331"/>
      <c r="Y23" s="331"/>
    </row>
    <row r="24" spans="1:25" ht="15" customHeight="1">
      <c r="A24" s="101" t="str">
        <f>IF(K24&gt;0,COUNT($A$8:A23)
+COUNT('DWV PVC'!$A$9:$A$316)
+COUNT('DWV ABS'!$A$8:$A$116)
+COUNT('PVC SCH40'!$A$8:$A$424)
+COUNT('PVC SCH40 LD'!$A$8:$A$21)
+COUNT('Pool &amp; SPA Sweep Elbows'!$A$8:$A$11)
+COUNT('Pool &amp; SPA Pipe Extender'!$A$8:$A$10)
+COUNT('PVC SCH80'!$A$8:$A$249)
+COUNT('PVC SCH80 Flange'!$A$8:$A$48)
+COUNT('PVC SCH80 LD Flange'!$A$8:$A$16)
+COUNT(CPVC!$A$9:$A$104)+1,"")</f>
        <v/>
      </c>
      <c r="B24" s="433" t="s">
        <v>5744</v>
      </c>
      <c r="C24" s="248"/>
      <c r="D24" s="333"/>
      <c r="E24" s="248"/>
      <c r="F24" s="333"/>
      <c r="G24" s="248"/>
      <c r="H24" s="248"/>
      <c r="I24" s="370"/>
      <c r="J24" s="250"/>
      <c r="K24" s="251"/>
      <c r="L24" s="252"/>
      <c r="M24" s="249"/>
      <c r="O24" s="524"/>
      <c r="P24" s="248"/>
      <c r="Q24" s="507"/>
      <c r="R24" s="507"/>
      <c r="S24" s="507"/>
      <c r="T24" s="248"/>
      <c r="U24" s="248"/>
      <c r="V24" s="248"/>
      <c r="W24" s="531"/>
    </row>
    <row r="25" spans="1:25" ht="41.25" customHeight="1">
      <c r="A25" s="101" t="str">
        <f>IF(K25&gt;0,COUNT($A$8:A24)
+COUNT('DWV PVC'!$A$9:$A$316)
+COUNT('DWV ABS'!$A$8:$A$116)
+COUNT('PVC SCH40'!$A$8:$A$424)
+COUNT('PVC SCH40 LD'!$A$8:$A$21)
+COUNT('Pool &amp; SPA Sweep Elbows'!$A$8:$A$11)
+COUNT('Pool &amp; SPA Pipe Extender'!$A$8:$A$10)
+COUNT('PVC SCH80'!$A$8:$A$249)
+COUNT('PVC SCH80 Flange'!$A$8:$A$48)
+COUNT('PVC SCH80 LD Flange'!$A$8:$A$16)
+COUNT(CPVC!$A$9:$A$104)+1,"")</f>
        <v/>
      </c>
      <c r="B25" s="668"/>
      <c r="C25" s="669"/>
      <c r="D25" s="443" t="str">
        <f>_xlfn.XLOOKUP(E25,'All Products'!D:D,'All Products'!C:C,FALSE)</f>
        <v>1401-158</v>
      </c>
      <c r="E25" s="103">
        <v>100021885</v>
      </c>
      <c r="F25" s="236" t="str">
        <f>_xlfn.XLOOKUP(E25,'All Products'!D:D,'All Products'!E:E,FALSE)</f>
        <v>1-1/4X1X1 TEE INSERT</v>
      </c>
      <c r="G25" s="153">
        <f>_xlfn.XLOOKUP(E25,'All Products'!D:D,'All Products'!F:F,FALSE)</f>
        <v>50</v>
      </c>
      <c r="H25" s="153">
        <f>_xlfn.XLOOKUP(E25,'All Products'!D:D,'All Products'!G:G,FALSE)</f>
        <v>4500</v>
      </c>
      <c r="I25" s="372">
        <f>_xlfn.XLOOKUP(E25,'All Products'!D:D,'All Products'!H:H)</f>
        <v>14.2</v>
      </c>
      <c r="J25" s="256">
        <f>ROUNDUP(I25*Order_Quote!$L$12,2)</f>
        <v>14.2</v>
      </c>
      <c r="K25" s="75"/>
      <c r="M25" s="171">
        <f>K25/G25</f>
        <v>0</v>
      </c>
      <c r="O25" s="247" t="str">
        <f>_xlfn.XLOOKUP(E25,'All Products'!D:D,'All Products'!I:I,FALSE)</f>
        <v>In Stock</v>
      </c>
      <c r="P25" s="247" t="str">
        <f>_xlfn.XLOOKUP(E25,'All Products'!D:D,'All Products'!J:J,FALSE)</f>
        <v>Manufactured</v>
      </c>
      <c r="Q25" s="508">
        <f>_xlfn.XLOOKUP(E25,'All Products'!D:D,'All Products'!K:K,FALSE)</f>
        <v>49081106690</v>
      </c>
      <c r="R25" s="508" t="str">
        <f>_xlfn.XLOOKUP(E25,'All Products'!D:D,'All Products'!L:L,FALSE)</f>
        <v>-</v>
      </c>
      <c r="S25" s="508">
        <f>_xlfn.XLOOKUP(E25,'All Products'!D:D,'All Products'!M:M,FALSE)</f>
        <v>40049081106698</v>
      </c>
      <c r="T25" s="264">
        <f>_xlfn.XLOOKUP(E25,'All Products'!D:D,'All Products'!N:N,FALSE)</f>
        <v>0.14799999999999999</v>
      </c>
      <c r="U25" s="215" t="str">
        <f>_xlfn.XLOOKUP(E25,'All Products'!D:D,'All Products'!O:O,FALSE)</f>
        <v>-</v>
      </c>
      <c r="V25" s="265">
        <f>_xlfn.XLOOKUP(E25,'All Products'!D:D,'All Products'!P:P,FALSE)</f>
        <v>7.67</v>
      </c>
      <c r="W25" s="265">
        <f>_xlfn.XLOOKUP(E25,'All Products'!D:D,'All Products'!Q:Q,FALSE)</f>
        <v>0.5</v>
      </c>
      <c r="X25" s="331"/>
      <c r="Y25" s="331"/>
    </row>
    <row r="26" spans="1:25" s="309" customFormat="1" ht="15" customHeight="1">
      <c r="A26" s="101" t="str">
        <f>IF(K26&gt;0,COUNT($A$8:A25)
+COUNT('DWV PVC'!$A$9:$A$316)
+COUNT('DWV ABS'!$A$8:$A$116)
+COUNT('PVC SCH40'!$A$8:$A$424)
+COUNT('PVC SCH40 LD'!$A$8:$A$21)
+COUNT('Pool &amp; SPA Sweep Elbows'!$A$8:$A$11)
+COUNT('Pool &amp; SPA Pipe Extender'!$A$8:$A$10)
+COUNT('PVC SCH80'!$A$8:$A$249)
+COUNT('PVC SCH80 Flange'!$A$8:$A$48)
+COUNT('PVC SCH80 LD Flange'!$A$8:$A$16)
+COUNT(CPVC!$A$9:$A$104)+1,"")</f>
        <v/>
      </c>
      <c r="B26" s="433" t="s">
        <v>5745</v>
      </c>
      <c r="C26" s="248"/>
      <c r="D26" s="333"/>
      <c r="E26" s="248"/>
      <c r="F26" s="333"/>
      <c r="G26" s="248"/>
      <c r="H26" s="248"/>
      <c r="I26" s="370"/>
      <c r="J26" s="250"/>
      <c r="K26" s="251"/>
      <c r="L26" s="252"/>
      <c r="M26" s="249"/>
      <c r="O26" s="524"/>
      <c r="P26" s="248"/>
      <c r="Q26" s="507"/>
      <c r="R26" s="507"/>
      <c r="S26" s="507"/>
      <c r="T26" s="248"/>
      <c r="U26" s="248"/>
      <c r="V26" s="248"/>
      <c r="W26" s="531"/>
    </row>
    <row r="27" spans="1:25" ht="15" customHeight="1">
      <c r="A27" s="101" t="str">
        <f>IF(K27&gt;0,COUNT($A$8:A26)
+COUNT('DWV PVC'!$A$9:$A$316)
+COUNT('DWV ABS'!$A$8:$A$116)
+COUNT('PVC SCH40'!$A$8:$A$424)
+COUNT('PVC SCH40 LD'!$A$8:$A$21)
+COUNT('Pool &amp; SPA Sweep Elbows'!$A$8:$A$11)
+COUNT('Pool &amp; SPA Pipe Extender'!$A$8:$A$10)
+COUNT('PVC SCH80'!$A$8:$A$249)
+COUNT('PVC SCH80 Flange'!$A$8:$A$48)
+COUNT('PVC SCH80 LD Flange'!$A$8:$A$16)
+COUNT(CPVC!$A$9:$A$104)+1,"")</f>
        <v/>
      </c>
      <c r="B27" s="608"/>
      <c r="C27" s="609"/>
      <c r="D27" s="443" t="str">
        <f>_xlfn.XLOOKUP(E27,'All Products'!D:D,'All Products'!C:C,FALSE)</f>
        <v>1401-074</v>
      </c>
      <c r="E27" s="153">
        <v>100021868</v>
      </c>
      <c r="F27" s="236" t="str">
        <f>_xlfn.XLOOKUP(E27,'All Products'!D:D,'All Products'!E:E,FALSE)</f>
        <v>1/2X1/2X3/4 BULLHEAD INSERT</v>
      </c>
      <c r="G27" s="153">
        <f>_xlfn.XLOOKUP(E27,'All Products'!D:D,'All Products'!F:F,FALSE)</f>
        <v>250</v>
      </c>
      <c r="H27" s="153">
        <f>_xlfn.XLOOKUP(E27,'All Products'!D:D,'All Products'!G:G,FALSE)</f>
        <v>11250</v>
      </c>
      <c r="I27" s="371">
        <f>_xlfn.XLOOKUP(E27,'All Products'!D:D,'All Products'!H:H)</f>
        <v>14.31</v>
      </c>
      <c r="J27" s="256">
        <f>ROUNDUP(I27*Order_Quote!$L$12,2)</f>
        <v>14.31</v>
      </c>
      <c r="K27" s="161"/>
      <c r="L27" s="113"/>
      <c r="M27" s="243">
        <f>K27/G27</f>
        <v>0</v>
      </c>
      <c r="O27" s="247" t="str">
        <f>_xlfn.XLOOKUP(E27,'All Products'!D:D,'All Products'!I:I,FALSE)</f>
        <v>In Stock</v>
      </c>
      <c r="P27" s="247" t="str">
        <f>_xlfn.XLOOKUP(E27,'All Products'!D:D,'All Products'!J:J,FALSE)</f>
        <v>Manufactured</v>
      </c>
      <c r="Q27" s="508">
        <f>_xlfn.XLOOKUP(E27,'All Products'!D:D,'All Products'!K:K,FALSE)</f>
        <v>49081106744</v>
      </c>
      <c r="R27" s="508">
        <f>_xlfn.XLOOKUP(E27,'All Products'!D:D,'All Products'!L:L,FALSE)</f>
        <v>49081606749</v>
      </c>
      <c r="S27" s="508">
        <f>_xlfn.XLOOKUP(E27,'All Products'!D:D,'All Products'!M:M,FALSE)</f>
        <v>40049081106742</v>
      </c>
      <c r="T27" s="264">
        <f>_xlfn.XLOOKUP(E27,'All Products'!D:D,'All Products'!N:N,FALSE)</f>
        <v>5.6000000000000001E-2</v>
      </c>
      <c r="U27" s="215">
        <f>_xlfn.XLOOKUP(E27,'All Products'!D:D,'All Products'!O:O,FALSE)</f>
        <v>10</v>
      </c>
      <c r="V27" s="265">
        <f>_xlfn.XLOOKUP(E27,'All Products'!D:D,'All Products'!P:P,FALSE)</f>
        <v>13.75</v>
      </c>
      <c r="W27" s="265">
        <f>_xlfn.XLOOKUP(E27,'All Products'!D:D,'All Products'!Q:Q,FALSE)</f>
        <v>0.95</v>
      </c>
      <c r="X27" s="331"/>
      <c r="Y27" s="331"/>
    </row>
    <row r="28" spans="1:25" ht="21.75" customHeight="1">
      <c r="A28" s="101" t="str">
        <f>IF(K28&gt;0,COUNT($A$8:A27)
+COUNT('DWV PVC'!$A$9:$A$316)
+COUNT('DWV ABS'!$A$8:$A$116)
+COUNT('PVC SCH40'!$A$8:$A$424)
+COUNT('PVC SCH40 LD'!$A$8:$A$21)
+COUNT('Pool &amp; SPA Sweep Elbows'!$A$8:$A$11)
+COUNT('Pool &amp; SPA Pipe Extender'!$A$8:$A$10)
+COUNT('PVC SCH80'!$A$8:$A$249)
+COUNT('PVC SCH80 Flange'!$A$8:$A$48)
+COUNT('PVC SCH80 LD Flange'!$A$8:$A$16)
+COUNT(CPVC!$A$9:$A$104)+1,"")</f>
        <v/>
      </c>
      <c r="B28" s="610"/>
      <c r="C28" s="611"/>
      <c r="D28" s="443" t="str">
        <f>_xlfn.XLOOKUP(E28,'All Products'!D:D,'All Products'!C:C,FALSE)</f>
        <v>1401-102</v>
      </c>
      <c r="E28" s="103">
        <v>100021874</v>
      </c>
      <c r="F28" s="236" t="str">
        <f>_xlfn.XLOOKUP(E28,'All Products'!D:D,'All Products'!E:E,FALSE)</f>
        <v>3/4X3/4X1 TEE INSERT</v>
      </c>
      <c r="G28" s="153">
        <f>_xlfn.XLOOKUP(E28,'All Products'!D:D,'All Products'!F:F,FALSE)</f>
        <v>100</v>
      </c>
      <c r="H28" s="153">
        <f>_xlfn.XLOOKUP(E28,'All Products'!D:D,'All Products'!G:G,FALSE)</f>
        <v>72000</v>
      </c>
      <c r="I28" s="372">
        <f>_xlfn.XLOOKUP(E28,'All Products'!D:D,'All Products'!H:H)</f>
        <v>16.43</v>
      </c>
      <c r="J28" s="256">
        <f>ROUNDUP(I28*Order_Quote!$L$12,2)</f>
        <v>16.43</v>
      </c>
      <c r="K28" s="75"/>
      <c r="L28" s="113"/>
      <c r="M28" s="171">
        <f>K28/G28</f>
        <v>0</v>
      </c>
      <c r="O28" s="247" t="str">
        <f>_xlfn.XLOOKUP(E28,'All Products'!D:D,'All Products'!I:I,FALSE)</f>
        <v>In Stock</v>
      </c>
      <c r="P28" s="247" t="str">
        <f>_xlfn.XLOOKUP(E28,'All Products'!D:D,'All Products'!J:J,FALSE)</f>
        <v>Manufactured</v>
      </c>
      <c r="Q28" s="508">
        <f>_xlfn.XLOOKUP(E28,'All Products'!D:D,'All Products'!K:K,FALSE)</f>
        <v>49081106751</v>
      </c>
      <c r="R28" s="508">
        <f>_xlfn.XLOOKUP(E28,'All Products'!D:D,'All Products'!L:L,FALSE)</f>
        <v>49081606756</v>
      </c>
      <c r="S28" s="508">
        <f>_xlfn.XLOOKUP(E28,'All Products'!D:D,'All Products'!M:M,FALSE)</f>
        <v>40049081106759</v>
      </c>
      <c r="T28" s="264">
        <f>_xlfn.XLOOKUP(E28,'All Products'!D:D,'All Products'!N:N,FALSE)</f>
        <v>8.5999999999999993E-2</v>
      </c>
      <c r="U28" s="215">
        <f>_xlfn.XLOOKUP(E28,'All Products'!D:D,'All Products'!O:O,FALSE)</f>
        <v>10</v>
      </c>
      <c r="V28" s="265">
        <f>_xlfn.XLOOKUP(E28,'All Products'!D:D,'All Products'!P:P,FALSE)</f>
        <v>9.2799999999999994</v>
      </c>
      <c r="W28" s="265">
        <f>_xlfn.XLOOKUP(E28,'All Products'!D:D,'All Products'!Q:Q,FALSE)</f>
        <v>0.65</v>
      </c>
      <c r="X28" s="331"/>
      <c r="Y28" s="331"/>
    </row>
    <row r="29" spans="1:25" ht="21.75" customHeight="1">
      <c r="A29" s="101" t="str">
        <f>IF(K29&gt;0,COUNT($A$8:A28)
+COUNT('DWV PVC'!$A$9:$A$316)
+COUNT('DWV ABS'!$A$8:$A$116)
+COUNT('PVC SCH40'!$A$8:$A$424)
+COUNT('PVC SCH40 LD'!$A$8:$A$21)
+COUNT('Pool &amp; SPA Sweep Elbows'!$A$8:$A$11)
+COUNT('Pool &amp; SPA Pipe Extender'!$A$8:$A$10)
+COUNT('PVC SCH80'!$A$8:$A$249)
+COUNT('PVC SCH80 Flange'!$A$8:$A$48)
+COUNT('PVC SCH80 LD Flange'!$A$8:$A$16)
+COUNT(CPVC!$A$9:$A$104)+1,"")</f>
        <v/>
      </c>
      <c r="B29" s="612"/>
      <c r="C29" s="613"/>
      <c r="D29" s="443" t="str">
        <f>_xlfn.XLOOKUP(E29,'All Products'!D:D,'All Products'!C:C,FALSE)</f>
        <v>1401-132</v>
      </c>
      <c r="E29" s="103">
        <v>100021882</v>
      </c>
      <c r="F29" s="236" t="str">
        <f>_xlfn.XLOOKUP(E29,'All Products'!D:D,'All Products'!E:E,FALSE)</f>
        <v>1X1X1-1/4 BULLHEAD INSERT</v>
      </c>
      <c r="G29" s="153">
        <f>_xlfn.XLOOKUP(E29,'All Products'!D:D,'All Products'!F:F,FALSE)</f>
        <v>50</v>
      </c>
      <c r="H29" s="153">
        <f>_xlfn.XLOOKUP(E29,'All Products'!D:D,'All Products'!G:G,FALSE)</f>
        <v>3750</v>
      </c>
      <c r="I29" s="372">
        <f>_xlfn.XLOOKUP(E29,'All Products'!D:D,'All Products'!H:H)</f>
        <v>22.95</v>
      </c>
      <c r="J29" s="256">
        <f>ROUNDUP(I29*Order_Quote!$L$12,2)</f>
        <v>22.95</v>
      </c>
      <c r="K29" s="75"/>
      <c r="L29" s="239"/>
      <c r="M29" s="171">
        <f>K29/G29</f>
        <v>0</v>
      </c>
      <c r="O29" s="247" t="str">
        <f>_xlfn.XLOOKUP(E29,'All Products'!D:D,'All Products'!I:I,FALSE)</f>
        <v>In Stock</v>
      </c>
      <c r="P29" s="247" t="str">
        <f>_xlfn.XLOOKUP(E29,'All Products'!D:D,'All Products'!J:J,FALSE)</f>
        <v>Manufactured</v>
      </c>
      <c r="Q29" s="508">
        <f>_xlfn.XLOOKUP(E29,'All Products'!D:D,'All Products'!K:K,FALSE)</f>
        <v>49081106768</v>
      </c>
      <c r="R29" s="508">
        <f>_xlfn.XLOOKUP(E29,'All Products'!D:D,'All Products'!L:L,FALSE)</f>
        <v>49081606763</v>
      </c>
      <c r="S29" s="508">
        <f>_xlfn.XLOOKUP(E29,'All Products'!D:D,'All Products'!M:M,FALSE)</f>
        <v>40049081106766</v>
      </c>
      <c r="T29" s="264">
        <f>_xlfn.XLOOKUP(E29,'All Products'!D:D,'All Products'!N:N,FALSE)</f>
        <v>0.13</v>
      </c>
      <c r="U29" s="215">
        <f>_xlfn.XLOOKUP(E29,'All Products'!D:D,'All Products'!O:O,FALSE)</f>
        <v>10</v>
      </c>
      <c r="V29" s="265">
        <f>_xlfn.XLOOKUP(E29,'All Products'!D:D,'All Products'!P:P,FALSE)</f>
        <v>7.22</v>
      </c>
      <c r="W29" s="265">
        <f>_xlfn.XLOOKUP(E29,'All Products'!D:D,'All Products'!Q:Q,FALSE)</f>
        <v>0.65</v>
      </c>
      <c r="X29" s="331"/>
      <c r="Y29" s="331"/>
    </row>
    <row r="30" spans="1:25" ht="15" customHeight="1">
      <c r="A30" s="101" t="str">
        <f>IF(K30&gt;0,COUNT($A$8:A29)
+COUNT('DWV PVC'!$A$9:$A$316)
+COUNT('DWV ABS'!$A$8:$A$116)
+COUNT('PVC SCH40'!$A$8:$A$424)
+COUNT('PVC SCH40 LD'!$A$8:$A$21)
+COUNT('Pool &amp; SPA Sweep Elbows'!$A$8:$A$11)
+COUNT('Pool &amp; SPA Pipe Extender'!$A$8:$A$10)
+COUNT('PVC SCH80'!$A$8:$A$249)
+COUNT('PVC SCH80 Flange'!$A$8:$A$48)
+COUNT('PVC SCH80 LD Flange'!$A$8:$A$16)
+COUNT(CPVC!$A$9:$A$104)+1,"")</f>
        <v/>
      </c>
      <c r="B30" s="433" t="s">
        <v>5746</v>
      </c>
      <c r="C30" s="248"/>
      <c r="D30" s="333"/>
      <c r="E30" s="248"/>
      <c r="F30" s="333"/>
      <c r="G30" s="248"/>
      <c r="H30" s="248"/>
      <c r="I30" s="370"/>
      <c r="J30" s="250"/>
      <c r="K30" s="251"/>
      <c r="L30" s="252"/>
      <c r="M30" s="249"/>
      <c r="O30" s="524"/>
      <c r="P30" s="248"/>
      <c r="Q30" s="507"/>
      <c r="R30" s="507"/>
      <c r="S30" s="507"/>
      <c r="T30" s="248"/>
      <c r="U30" s="248"/>
      <c r="V30" s="248"/>
      <c r="W30" s="531"/>
    </row>
    <row r="31" spans="1:25" ht="31.5" customHeight="1">
      <c r="A31" s="101" t="str">
        <f>IF(K31&gt;0,COUNT($A$8:A30)
+COUNT('DWV PVC'!$A$9:$A$316)
+COUNT('DWV ABS'!$A$8:$A$116)
+COUNT('PVC SCH40'!$A$8:$A$424)
+COUNT('PVC SCH40 LD'!$A$8:$A$21)
+COUNT('Pool &amp; SPA Sweep Elbows'!$A$8:$A$11)
+COUNT('Pool &amp; SPA Pipe Extender'!$A$8:$A$10)
+COUNT('PVC SCH80'!$A$8:$A$249)
+COUNT('PVC SCH80 Flange'!$A$8:$A$48)
+COUNT('PVC SCH80 LD Flange'!$A$8:$A$16)
+COUNT(CPVC!$A$9:$A$104)+1,"")</f>
        <v/>
      </c>
      <c r="B31" s="608"/>
      <c r="C31" s="609"/>
      <c r="D31" s="443" t="str">
        <f>_xlfn.XLOOKUP(E31,'All Products'!D:D,'All Products'!C:C,FALSE)</f>
        <v>1401-099</v>
      </c>
      <c r="E31" s="153">
        <v>100026295</v>
      </c>
      <c r="F31" s="236" t="str">
        <f>_xlfn.XLOOKUP(E31,'All Products'!D:D,'All Products'!E:E,FALSE)</f>
        <v>3/4X3/4X3/8 FUNNY PIPE TEE INS</v>
      </c>
      <c r="G31" s="153">
        <f>_xlfn.XLOOKUP(E31,'All Products'!D:D,'All Products'!F:F,FALSE)</f>
        <v>100</v>
      </c>
      <c r="H31" s="153">
        <f>_xlfn.XLOOKUP(E31,'All Products'!D:D,'All Products'!G:G,FALSE)</f>
        <v>9000</v>
      </c>
      <c r="I31" s="371">
        <f>_xlfn.XLOOKUP(E31,'All Products'!D:D,'All Products'!H:H)</f>
        <v>8.2200000000000006</v>
      </c>
      <c r="J31" s="256">
        <f>ROUNDUP(I31*Order_Quote!$L$12,2)</f>
        <v>8.2200000000000006</v>
      </c>
      <c r="K31" s="161"/>
      <c r="L31" s="113"/>
      <c r="M31" s="243">
        <f>K31/G31</f>
        <v>0</v>
      </c>
      <c r="O31" s="247" t="str">
        <f>_xlfn.XLOOKUP(E31,'All Products'!D:D,'All Products'!I:I,FALSE)</f>
        <v>In Stock</v>
      </c>
      <c r="P31" s="247" t="str">
        <f>_xlfn.XLOOKUP(E31,'All Products'!D:D,'All Products'!J:J,FALSE)</f>
        <v>Manufactured</v>
      </c>
      <c r="Q31" s="508">
        <f>_xlfn.XLOOKUP(E31,'All Products'!D:D,'All Products'!K:K,FALSE)</f>
        <v>49081106638</v>
      </c>
      <c r="R31" s="508">
        <f>_xlfn.XLOOKUP(E31,'All Products'!D:D,'All Products'!L:L,FALSE)</f>
        <v>49081606633</v>
      </c>
      <c r="S31" s="508">
        <f>_xlfn.XLOOKUP(E31,'All Products'!D:D,'All Products'!M:M,FALSE)</f>
        <v>40049081106636</v>
      </c>
      <c r="T31" s="264">
        <f>_xlfn.XLOOKUP(E31,'All Products'!D:D,'All Products'!N:N,FALSE)</f>
        <v>7.5999999999999998E-2</v>
      </c>
      <c r="U31" s="215">
        <f>_xlfn.XLOOKUP(E31,'All Products'!D:D,'All Products'!O:O,FALSE)</f>
        <v>10</v>
      </c>
      <c r="V31" s="265">
        <f>_xlfn.XLOOKUP(E31,'All Products'!D:D,'All Products'!P:P,FALSE)</f>
        <v>8.57</v>
      </c>
      <c r="W31" s="265">
        <f>_xlfn.XLOOKUP(E31,'All Products'!D:D,'All Products'!Q:Q,FALSE)</f>
        <v>0.5</v>
      </c>
      <c r="X31" s="331"/>
      <c r="Y31" s="331"/>
    </row>
    <row r="32" spans="1:25" ht="31.5" customHeight="1">
      <c r="A32" s="101" t="str">
        <f>IF(K32&gt;0,COUNT($A$8:A31)
+COUNT('DWV PVC'!$A$9:$A$316)
+COUNT('DWV ABS'!$A$8:$A$116)
+COUNT('PVC SCH40'!$A$8:$A$424)
+COUNT('PVC SCH40 LD'!$A$8:$A$21)
+COUNT('Pool &amp; SPA Sweep Elbows'!$A$8:$A$11)
+COUNT('Pool &amp; SPA Pipe Extender'!$A$8:$A$10)
+COUNT('PVC SCH80'!$A$8:$A$249)
+COUNT('PVC SCH80 Flange'!$A$8:$A$48)
+COUNT('PVC SCH80 LD Flange'!$A$8:$A$16)
+COUNT(CPVC!$A$9:$A$104)+1,"")</f>
        <v/>
      </c>
      <c r="B32" s="612"/>
      <c r="C32" s="613"/>
      <c r="D32" s="443" t="str">
        <f>_xlfn.XLOOKUP(E32,'All Products'!D:D,'All Products'!C:C,FALSE)</f>
        <v>1401-129</v>
      </c>
      <c r="E32" s="103">
        <v>100026296</v>
      </c>
      <c r="F32" s="236" t="str">
        <f>_xlfn.XLOOKUP(E32,'All Products'!D:D,'All Products'!E:E,FALSE)</f>
        <v>1X1X3/8 FUNNY PIPE TEE INSERT</v>
      </c>
      <c r="G32" s="153">
        <f>_xlfn.XLOOKUP(E32,'All Products'!D:D,'All Products'!F:F,FALSE)</f>
        <v>100</v>
      </c>
      <c r="H32" s="153">
        <f>_xlfn.XLOOKUP(E32,'All Products'!D:D,'All Products'!G:G,FALSE)</f>
        <v>6000</v>
      </c>
      <c r="I32" s="372">
        <f>_xlfn.XLOOKUP(E32,'All Products'!D:D,'All Products'!H:H)</f>
        <v>8.9700000000000006</v>
      </c>
      <c r="J32" s="256">
        <f>ROUNDUP(I32*Order_Quote!$L$12,2)</f>
        <v>8.9700000000000006</v>
      </c>
      <c r="K32" s="75"/>
      <c r="L32" s="239"/>
      <c r="M32" s="171">
        <f>K32/G32</f>
        <v>0</v>
      </c>
      <c r="O32" s="247" t="str">
        <f>_xlfn.XLOOKUP(E32,'All Products'!D:D,'All Products'!I:I,FALSE)</f>
        <v>In Stock</v>
      </c>
      <c r="P32" s="247" t="str">
        <f>_xlfn.XLOOKUP(E32,'All Products'!D:D,'All Products'!J:J,FALSE)</f>
        <v>Manufactured</v>
      </c>
      <c r="Q32" s="508">
        <f>_xlfn.XLOOKUP(E32,'All Products'!D:D,'All Products'!K:K,FALSE)</f>
        <v>49081106737</v>
      </c>
      <c r="R32" s="508">
        <f>_xlfn.XLOOKUP(E32,'All Products'!D:D,'All Products'!L:L,FALSE)</f>
        <v>49081606732</v>
      </c>
      <c r="S32" s="508">
        <f>_xlfn.XLOOKUP(E32,'All Products'!D:D,'All Products'!M:M,FALSE)</f>
        <v>40049081106735</v>
      </c>
      <c r="T32" s="264">
        <f>_xlfn.XLOOKUP(E32,'All Products'!D:D,'All Products'!N:N,FALSE)</f>
        <v>0.107</v>
      </c>
      <c r="U32" s="215">
        <f>_xlfn.XLOOKUP(E32,'All Products'!D:D,'All Products'!O:O,FALSE)</f>
        <v>10</v>
      </c>
      <c r="V32" s="265">
        <f>_xlfn.XLOOKUP(E32,'All Products'!D:D,'All Products'!P:P,FALSE)</f>
        <v>11.57</v>
      </c>
      <c r="W32" s="265">
        <f>_xlfn.XLOOKUP(E32,'All Products'!D:D,'All Products'!Q:Q,FALSE)</f>
        <v>0.8</v>
      </c>
      <c r="X32" s="331"/>
      <c r="Y32" s="331"/>
    </row>
    <row r="33" spans="1:25" ht="15" customHeight="1">
      <c r="A33" s="101" t="str">
        <f>IF(K33&gt;0,COUNT($A$8:A32)
+COUNT('DWV PVC'!$A$9:$A$316)
+COUNT('DWV ABS'!$A$8:$A$116)
+COUNT('PVC SCH40'!$A$8:$A$424)
+COUNT('PVC SCH40 LD'!$A$8:$A$21)
+COUNT('Pool &amp; SPA Sweep Elbows'!$A$8:$A$11)
+COUNT('Pool &amp; SPA Pipe Extender'!$A$8:$A$10)
+COUNT('PVC SCH80'!$A$8:$A$249)
+COUNT('PVC SCH80 Flange'!$A$8:$A$48)
+COUNT('PVC SCH80 LD Flange'!$A$8:$A$16)
+COUNT(CPVC!$A$9:$A$104)+1,"")</f>
        <v/>
      </c>
      <c r="B33" s="433" t="s">
        <v>5747</v>
      </c>
      <c r="C33" s="248"/>
      <c r="D33" s="333"/>
      <c r="E33" s="248"/>
      <c r="F33" s="333"/>
      <c r="G33" s="248"/>
      <c r="H33" s="248"/>
      <c r="I33" s="370"/>
      <c r="J33" s="250"/>
      <c r="K33" s="251"/>
      <c r="L33" s="252"/>
      <c r="M33" s="249"/>
      <c r="O33" s="524"/>
      <c r="P33" s="248"/>
      <c r="Q33" s="507"/>
      <c r="R33" s="507"/>
      <c r="S33" s="507"/>
      <c r="T33" s="248"/>
      <c r="U33" s="248"/>
      <c r="V33" s="248"/>
      <c r="W33" s="531"/>
    </row>
    <row r="34" spans="1:25" ht="15" customHeight="1">
      <c r="A34" s="101" t="str">
        <f>IF(K34&gt;0,COUNT($A$8:A33)
+COUNT('DWV PVC'!$A$9:$A$316)
+COUNT('DWV ABS'!$A$8:$A$116)
+COUNT('PVC SCH40'!$A$8:$A$424)
+COUNT('PVC SCH40 LD'!$A$8:$A$21)
+COUNT('Pool &amp; SPA Sweep Elbows'!$A$8:$A$11)
+COUNT('Pool &amp; SPA Pipe Extender'!$A$8:$A$10)
+COUNT('PVC SCH80'!$A$8:$A$249)
+COUNT('PVC SCH80 Flange'!$A$8:$A$48)
+COUNT('PVC SCH80 LD Flange'!$A$8:$A$16)
+COUNT(CPVC!$A$9:$A$104)+1,"")</f>
        <v/>
      </c>
      <c r="B34" s="608"/>
      <c r="C34" s="609"/>
      <c r="D34" s="443" t="str">
        <f>_xlfn.XLOOKUP(E34,'All Products'!D:D,'All Products'!C:C,FALSE)</f>
        <v>1402-005</v>
      </c>
      <c r="E34" s="153">
        <v>100021905</v>
      </c>
      <c r="F34" s="236" t="str">
        <f>_xlfn.XLOOKUP(E34,'All Products'!D:D,'All Products'!E:E,FALSE)</f>
        <v>1/2 TEE INS/FPT</v>
      </c>
      <c r="G34" s="153">
        <f>_xlfn.XLOOKUP(E34,'All Products'!D:D,'All Products'!F:F,FALSE)</f>
        <v>200</v>
      </c>
      <c r="H34" s="153">
        <f>_xlfn.XLOOKUP(E34,'All Products'!D:D,'All Products'!G:G,FALSE)</f>
        <v>12000</v>
      </c>
      <c r="I34" s="371">
        <f>_xlfn.XLOOKUP(E34,'All Products'!D:D,'All Products'!H:H)</f>
        <v>5.71</v>
      </c>
      <c r="J34" s="256">
        <f>ROUNDUP(I34*Order_Quote!$L$12,2)</f>
        <v>5.71</v>
      </c>
      <c r="K34" s="161"/>
      <c r="L34" s="113"/>
      <c r="M34" s="243">
        <f>K34/G34</f>
        <v>0</v>
      </c>
      <c r="O34" s="247" t="str">
        <f>_xlfn.XLOOKUP(E34,'All Products'!D:D,'All Products'!I:I,FALSE)</f>
        <v>In Stock</v>
      </c>
      <c r="P34" s="247" t="str">
        <f>_xlfn.XLOOKUP(E34,'All Products'!D:D,'All Products'!J:J,FALSE)</f>
        <v>Manufactured</v>
      </c>
      <c r="Q34" s="508">
        <f>_xlfn.XLOOKUP(E34,'All Products'!D:D,'All Products'!K:K,FALSE)</f>
        <v>49081106782</v>
      </c>
      <c r="R34" s="508">
        <f>_xlfn.XLOOKUP(E34,'All Products'!D:D,'All Products'!L:L,FALSE)</f>
        <v>49081606787</v>
      </c>
      <c r="S34" s="508">
        <f>_xlfn.XLOOKUP(E34,'All Products'!D:D,'All Products'!M:M,FALSE)</f>
        <v>40049081106780</v>
      </c>
      <c r="T34" s="264">
        <f>_xlfn.XLOOKUP(E34,'All Products'!D:D,'All Products'!N:N,FALSE)</f>
        <v>6.2E-2</v>
      </c>
      <c r="U34" s="215">
        <f>_xlfn.XLOOKUP(E34,'All Products'!D:D,'All Products'!O:O,FALSE)</f>
        <v>10</v>
      </c>
      <c r="V34" s="265">
        <f>_xlfn.XLOOKUP(E34,'All Products'!D:D,'All Products'!P:P,FALSE)</f>
        <v>13.44</v>
      </c>
      <c r="W34" s="265">
        <f>_xlfn.XLOOKUP(E34,'All Products'!D:D,'All Products'!Q:Q,FALSE)</f>
        <v>0.8</v>
      </c>
      <c r="X34" s="331"/>
      <c r="Y34" s="331"/>
    </row>
    <row r="35" spans="1:25" ht="15" customHeight="1">
      <c r="A35" s="101" t="str">
        <f>IF(K35&gt;0,COUNT($A$8:A34)
+COUNT('DWV PVC'!$A$9:$A$316)
+COUNT('DWV ABS'!$A$8:$A$116)
+COUNT('PVC SCH40'!$A$8:$A$424)
+COUNT('PVC SCH40 LD'!$A$8:$A$21)
+COUNT('Pool &amp; SPA Sweep Elbows'!$A$8:$A$11)
+COUNT('Pool &amp; SPA Pipe Extender'!$A$8:$A$10)
+COUNT('PVC SCH80'!$A$8:$A$249)
+COUNT('PVC SCH80 Flange'!$A$8:$A$48)
+COUNT('PVC SCH80 LD Flange'!$A$8:$A$16)
+COUNT(CPVC!$A$9:$A$104)+1,"")</f>
        <v/>
      </c>
      <c r="B35" s="610"/>
      <c r="C35" s="611"/>
      <c r="D35" s="443" t="str">
        <f>_xlfn.XLOOKUP(E35,'All Products'!D:D,'All Products'!C:C,FALSE)</f>
        <v>1402-007</v>
      </c>
      <c r="E35" s="103">
        <v>100021907</v>
      </c>
      <c r="F35" s="236" t="str">
        <f>_xlfn.XLOOKUP(E35,'All Products'!D:D,'All Products'!E:E,FALSE)</f>
        <v>3/4 TEE INS/FPT</v>
      </c>
      <c r="G35" s="153">
        <f>_xlfn.XLOOKUP(E35,'All Products'!D:D,'All Products'!F:F,FALSE)</f>
        <v>200</v>
      </c>
      <c r="H35" s="153">
        <f>_xlfn.XLOOKUP(E35,'All Products'!D:D,'All Products'!G:G,FALSE)</f>
        <v>9000</v>
      </c>
      <c r="I35" s="372">
        <f>_xlfn.XLOOKUP(E35,'All Products'!D:D,'All Products'!H:H)</f>
        <v>8.61</v>
      </c>
      <c r="J35" s="256">
        <f>ROUNDUP(I35*Order_Quote!$L$12,2)</f>
        <v>8.61</v>
      </c>
      <c r="K35" s="75"/>
      <c r="L35" s="113"/>
      <c r="M35" s="171">
        <f>K35/G35</f>
        <v>0</v>
      </c>
      <c r="O35" s="247" t="str">
        <f>_xlfn.XLOOKUP(E35,'All Products'!D:D,'All Products'!I:I,FALSE)</f>
        <v>In Stock</v>
      </c>
      <c r="P35" s="247" t="str">
        <f>_xlfn.XLOOKUP(E35,'All Products'!D:D,'All Products'!J:J,FALSE)</f>
        <v>Manufactured</v>
      </c>
      <c r="Q35" s="508">
        <f>_xlfn.XLOOKUP(E35,'All Products'!D:D,'All Products'!K:K,FALSE)</f>
        <v>49081106805</v>
      </c>
      <c r="R35" s="508">
        <f>_xlfn.XLOOKUP(E35,'All Products'!D:D,'All Products'!L:L,FALSE)</f>
        <v>49081606800</v>
      </c>
      <c r="S35" s="508">
        <f>_xlfn.XLOOKUP(E35,'All Products'!D:D,'All Products'!M:M,FALSE)</f>
        <v>40049081106803</v>
      </c>
      <c r="T35" s="264">
        <f>_xlfn.XLOOKUP(E35,'All Products'!D:D,'All Products'!N:N,FALSE)</f>
        <v>8.4000000000000005E-2</v>
      </c>
      <c r="U35" s="215">
        <f>_xlfn.XLOOKUP(E35,'All Products'!D:D,'All Products'!O:O,FALSE)</f>
        <v>10</v>
      </c>
      <c r="V35" s="265">
        <f>_xlfn.XLOOKUP(E35,'All Products'!D:D,'All Products'!P:P,FALSE)</f>
        <v>18.18</v>
      </c>
      <c r="W35" s="265">
        <f>_xlfn.XLOOKUP(E35,'All Products'!D:D,'All Products'!Q:Q,FALSE)</f>
        <v>1.1000000000000001</v>
      </c>
      <c r="X35" s="331"/>
      <c r="Y35" s="331"/>
    </row>
    <row r="36" spans="1:25" ht="15" customHeight="1">
      <c r="A36" s="101" t="str">
        <f>IF(K36&gt;0,COUNT($A$8:A35)
+COUNT('DWV PVC'!$A$9:$A$316)
+COUNT('DWV ABS'!$A$8:$A$116)
+COUNT('PVC SCH40'!$A$8:$A$424)
+COUNT('PVC SCH40 LD'!$A$8:$A$21)
+COUNT('Pool &amp; SPA Sweep Elbows'!$A$8:$A$11)
+COUNT('Pool &amp; SPA Pipe Extender'!$A$8:$A$10)
+COUNT('PVC SCH80'!$A$8:$A$249)
+COUNT('PVC SCH80 Flange'!$A$8:$A$48)
+COUNT('PVC SCH80 LD Flange'!$A$8:$A$16)
+COUNT(CPVC!$A$9:$A$104)+1,"")</f>
        <v/>
      </c>
      <c r="B36" s="610"/>
      <c r="C36" s="611"/>
      <c r="D36" s="443" t="str">
        <f>_xlfn.XLOOKUP(E36,'All Products'!D:D,'All Products'!C:C,FALSE)</f>
        <v>1402-010</v>
      </c>
      <c r="E36" s="103">
        <v>100021909</v>
      </c>
      <c r="F36" s="236" t="str">
        <f>_xlfn.XLOOKUP(E36,'All Products'!D:D,'All Products'!E:E,FALSE)</f>
        <v>1 TEE INS/FPT</v>
      </c>
      <c r="G36" s="153">
        <f>_xlfn.XLOOKUP(E36,'All Products'!D:D,'All Products'!F:F,FALSE)</f>
        <v>50</v>
      </c>
      <c r="H36" s="153">
        <f>_xlfn.XLOOKUP(E36,'All Products'!D:D,'All Products'!G:G,FALSE)</f>
        <v>4500</v>
      </c>
      <c r="I36" s="372">
        <f>_xlfn.XLOOKUP(E36,'All Products'!D:D,'All Products'!H:H)</f>
        <v>10.16</v>
      </c>
      <c r="J36" s="256">
        <f>ROUNDUP(I36*Order_Quote!$L$12,2)</f>
        <v>10.16</v>
      </c>
      <c r="K36" s="75"/>
      <c r="L36" s="113"/>
      <c r="M36" s="171">
        <f>K36/G36</f>
        <v>0</v>
      </c>
      <c r="O36" s="247" t="str">
        <f>_xlfn.XLOOKUP(E36,'All Products'!D:D,'All Products'!I:I,FALSE)</f>
        <v>In Stock</v>
      </c>
      <c r="P36" s="247" t="str">
        <f>_xlfn.XLOOKUP(E36,'All Products'!D:D,'All Products'!J:J,FALSE)</f>
        <v>Manufactured</v>
      </c>
      <c r="Q36" s="508">
        <f>_xlfn.XLOOKUP(E36,'All Products'!D:D,'All Products'!K:K,FALSE)</f>
        <v>49081106836</v>
      </c>
      <c r="R36" s="508">
        <f>_xlfn.XLOOKUP(E36,'All Products'!D:D,'All Products'!L:L,FALSE)</f>
        <v>49081606831</v>
      </c>
      <c r="S36" s="508">
        <f>_xlfn.XLOOKUP(E36,'All Products'!D:D,'All Products'!M:M,FALSE)</f>
        <v>40049081106834</v>
      </c>
      <c r="T36" s="264">
        <f>_xlfn.XLOOKUP(E36,'All Products'!D:D,'All Products'!N:N,FALSE)</f>
        <v>0.14399999999999999</v>
      </c>
      <c r="U36" s="215">
        <f>_xlfn.XLOOKUP(E36,'All Products'!D:D,'All Products'!O:O,FALSE)</f>
        <v>10</v>
      </c>
      <c r="V36" s="265">
        <f>_xlfn.XLOOKUP(E36,'All Products'!D:D,'All Products'!P:P,FALSE)</f>
        <v>8.0299999999999994</v>
      </c>
      <c r="W36" s="265">
        <f>_xlfn.XLOOKUP(E36,'All Products'!D:D,'All Products'!Q:Q,FALSE)</f>
        <v>0.5</v>
      </c>
      <c r="X36" s="331"/>
      <c r="Y36" s="331"/>
    </row>
    <row r="37" spans="1:25" ht="15" customHeight="1">
      <c r="A37" s="101" t="str">
        <f>IF(K37&gt;0,COUNT($A$8:A36)
+COUNT('DWV PVC'!$A$9:$A$316)
+COUNT('DWV ABS'!$A$8:$A$116)
+COUNT('PVC SCH40'!$A$8:$A$424)
+COUNT('PVC SCH40 LD'!$A$8:$A$21)
+COUNT('Pool &amp; SPA Sweep Elbows'!$A$8:$A$11)
+COUNT('Pool &amp; SPA Pipe Extender'!$A$8:$A$10)
+COUNT('PVC SCH80'!$A$8:$A$249)
+COUNT('PVC SCH80 Flange'!$A$8:$A$48)
+COUNT('PVC SCH80 LD Flange'!$A$8:$A$16)
+COUNT(CPVC!$A$9:$A$104)+1,"")</f>
        <v/>
      </c>
      <c r="B37" s="610"/>
      <c r="C37" s="611"/>
      <c r="D37" s="443" t="str">
        <f>_xlfn.XLOOKUP(E37,'All Products'!D:D,'All Products'!C:C,FALSE)</f>
        <v>1402-015</v>
      </c>
      <c r="E37" s="103">
        <v>100021911</v>
      </c>
      <c r="F37" s="236" t="str">
        <f>_xlfn.XLOOKUP(E37,'All Products'!D:D,'All Products'!E:E,FALSE)</f>
        <v>1-1/2 TEE INS/FPT</v>
      </c>
      <c r="G37" s="153">
        <f>_xlfn.XLOOKUP(E37,'All Products'!D:D,'All Products'!F:F,FALSE)</f>
        <v>25</v>
      </c>
      <c r="H37" s="153">
        <f>_xlfn.XLOOKUP(E37,'All Products'!D:D,'All Products'!G:G,FALSE)</f>
        <v>1875</v>
      </c>
      <c r="I37" s="372">
        <f>_xlfn.XLOOKUP(E37,'All Products'!D:D,'All Products'!H:H)</f>
        <v>25.88</v>
      </c>
      <c r="J37" s="256">
        <f>ROUNDUP(I37*Order_Quote!$L$12,2)</f>
        <v>25.88</v>
      </c>
      <c r="K37" s="75"/>
      <c r="L37" s="113"/>
      <c r="M37" s="171">
        <f>K37/G37</f>
        <v>0</v>
      </c>
      <c r="O37" s="247" t="str">
        <f>_xlfn.XLOOKUP(E37,'All Products'!D:D,'All Products'!I:I,FALSE)</f>
        <v>Within 3 Weeks</v>
      </c>
      <c r="P37" s="247" t="str">
        <f>_xlfn.XLOOKUP(E37,'All Products'!D:D,'All Products'!J:J,FALSE)</f>
        <v>Manufactured</v>
      </c>
      <c r="Q37" s="508">
        <f>_xlfn.XLOOKUP(E37,'All Products'!D:D,'All Products'!K:K,FALSE)</f>
        <v>49081106928</v>
      </c>
      <c r="R37" s="508">
        <f>_xlfn.XLOOKUP(E37,'All Products'!D:D,'All Products'!L:L,FALSE)</f>
        <v>49081606923</v>
      </c>
      <c r="S37" s="508">
        <f>_xlfn.XLOOKUP(E37,'All Products'!D:D,'All Products'!M:M,FALSE)</f>
        <v>40049081106926</v>
      </c>
      <c r="T37" s="264">
        <f>_xlfn.XLOOKUP(E37,'All Products'!D:D,'All Products'!N:N,FALSE)</f>
        <v>0.28000000000000003</v>
      </c>
      <c r="U37" s="215">
        <f>_xlfn.XLOOKUP(E37,'All Products'!D:D,'All Products'!O:O,FALSE)</f>
        <v>5</v>
      </c>
      <c r="V37" s="265">
        <f>_xlfn.XLOOKUP(E37,'All Products'!D:D,'All Products'!P:P,FALSE)</f>
        <v>7.68</v>
      </c>
      <c r="W37" s="265">
        <f>_xlfn.XLOOKUP(E37,'All Products'!D:D,'All Products'!Q:Q,FALSE)</f>
        <v>0.65</v>
      </c>
      <c r="X37" s="331"/>
      <c r="Y37" s="331"/>
    </row>
    <row r="38" spans="1:25" ht="15" customHeight="1">
      <c r="A38" s="101" t="str">
        <f>IF(K38&gt;0,COUNT($A$8:A37)
+COUNT('DWV PVC'!$A$9:$A$316)
+COUNT('DWV ABS'!$A$8:$A$116)
+COUNT('PVC SCH40'!$A$8:$A$424)
+COUNT('PVC SCH40 LD'!$A$8:$A$21)
+COUNT('Pool &amp; SPA Sweep Elbows'!$A$8:$A$11)
+COUNT('Pool &amp; SPA Pipe Extender'!$A$8:$A$10)
+COUNT('PVC SCH80'!$A$8:$A$249)
+COUNT('PVC SCH80 Flange'!$A$8:$A$48)
+COUNT('PVC SCH80 LD Flange'!$A$8:$A$16)
+COUNT(CPVC!$A$9:$A$104)+1,"")</f>
        <v/>
      </c>
      <c r="B38" s="612"/>
      <c r="C38" s="613"/>
      <c r="D38" s="443" t="str">
        <f>_xlfn.XLOOKUP(E38,'All Products'!D:D,'All Products'!C:C,FALSE)</f>
        <v>1402-020</v>
      </c>
      <c r="E38" s="103">
        <v>100021912</v>
      </c>
      <c r="F38" s="236" t="str">
        <f>_xlfn.XLOOKUP(E38,'All Products'!D:D,'All Products'!E:E,FALSE)</f>
        <v>2 TEE INS/FPT</v>
      </c>
      <c r="G38" s="153">
        <f>_xlfn.XLOOKUP(E38,'All Products'!D:D,'All Products'!F:F,FALSE)</f>
        <v>20</v>
      </c>
      <c r="H38" s="153">
        <f>_xlfn.XLOOKUP(E38,'All Products'!D:D,'All Products'!G:G,FALSE)</f>
        <v>1200</v>
      </c>
      <c r="I38" s="372">
        <f>_xlfn.XLOOKUP(E38,'All Products'!D:D,'All Products'!H:H)</f>
        <v>32.15</v>
      </c>
      <c r="J38" s="256">
        <f>ROUNDUP(I38*Order_Quote!$L$12,2)</f>
        <v>32.15</v>
      </c>
      <c r="K38" s="75"/>
      <c r="L38" s="239"/>
      <c r="M38" s="171">
        <f>K38/G38</f>
        <v>0</v>
      </c>
      <c r="O38" s="247" t="str">
        <f>_xlfn.XLOOKUP(E38,'All Products'!D:D,'All Products'!I:I,FALSE)</f>
        <v>In Stock</v>
      </c>
      <c r="P38" s="247" t="str">
        <f>_xlfn.XLOOKUP(E38,'All Products'!D:D,'All Products'!J:J,FALSE)</f>
        <v>Manufactured</v>
      </c>
      <c r="Q38" s="508">
        <f>_xlfn.XLOOKUP(E38,'All Products'!D:D,'All Products'!K:K,FALSE)</f>
        <v>49081106973</v>
      </c>
      <c r="R38" s="508">
        <f>_xlfn.XLOOKUP(E38,'All Products'!D:D,'All Products'!L:L,FALSE)</f>
        <v>49081606978</v>
      </c>
      <c r="S38" s="508">
        <f>_xlfn.XLOOKUP(E38,'All Products'!D:D,'All Products'!M:M,FALSE)</f>
        <v>40049081106971</v>
      </c>
      <c r="T38" s="264">
        <f>_xlfn.XLOOKUP(E38,'All Products'!D:D,'All Products'!N:N,FALSE)</f>
        <v>0.41</v>
      </c>
      <c r="U38" s="215">
        <f>_xlfn.XLOOKUP(E38,'All Products'!D:D,'All Products'!O:O,FALSE)</f>
        <v>5</v>
      </c>
      <c r="V38" s="265">
        <f>_xlfn.XLOOKUP(E38,'All Products'!D:D,'All Products'!P:P,FALSE)</f>
        <v>9.09</v>
      </c>
      <c r="W38" s="265">
        <f>_xlfn.XLOOKUP(E38,'All Products'!D:D,'All Products'!Q:Q,FALSE)</f>
        <v>0.8</v>
      </c>
      <c r="X38" s="331"/>
      <c r="Y38" s="331"/>
    </row>
    <row r="39" spans="1:25" ht="15" customHeight="1">
      <c r="A39" s="101" t="str">
        <f>IF(K39&gt;0,COUNT($A$8:A38)
+COUNT('DWV PVC'!$A$9:$A$316)
+COUNT('DWV ABS'!$A$8:$A$116)
+COUNT('PVC SCH40'!$A$8:$A$424)
+COUNT('PVC SCH40 LD'!$A$8:$A$21)
+COUNT('Pool &amp; SPA Sweep Elbows'!$A$8:$A$11)
+COUNT('Pool &amp; SPA Pipe Extender'!$A$8:$A$10)
+COUNT('PVC SCH80'!$A$8:$A$249)
+COUNT('PVC SCH80 Flange'!$A$8:$A$48)
+COUNT('PVC SCH80 LD Flange'!$A$8:$A$16)
+COUNT(CPVC!$A$9:$A$104)+1,"")</f>
        <v/>
      </c>
      <c r="B39" s="433" t="s">
        <v>5748</v>
      </c>
      <c r="C39" s="248"/>
      <c r="D39" s="333"/>
      <c r="E39" s="248"/>
      <c r="F39" s="333"/>
      <c r="G39" s="248"/>
      <c r="H39" s="248"/>
      <c r="I39" s="370"/>
      <c r="J39" s="250"/>
      <c r="K39" s="251"/>
      <c r="L39" s="252"/>
      <c r="M39" s="249"/>
      <c r="O39" s="524"/>
      <c r="P39" s="248"/>
      <c r="Q39" s="507"/>
      <c r="R39" s="507"/>
      <c r="S39" s="507"/>
      <c r="T39" s="248"/>
      <c r="U39" s="248"/>
      <c r="V39" s="248"/>
      <c r="W39" s="531"/>
    </row>
    <row r="40" spans="1:25" ht="15" customHeight="1">
      <c r="A40" s="101" t="str">
        <f>IF(K40&gt;0,COUNT($A$8:A39)
+COUNT('DWV PVC'!$A$9:$A$316)
+COUNT('DWV ABS'!$A$8:$A$116)
+COUNT('PVC SCH40'!$A$8:$A$424)
+COUNT('PVC SCH40 LD'!$A$8:$A$21)
+COUNT('Pool &amp; SPA Sweep Elbows'!$A$8:$A$11)
+COUNT('Pool &amp; SPA Pipe Extender'!$A$8:$A$10)
+COUNT('PVC SCH80'!$A$8:$A$249)
+COUNT('PVC SCH80 Flange'!$A$8:$A$48)
+COUNT('PVC SCH80 LD Flange'!$A$8:$A$16)
+COUNT(CPVC!$A$9:$A$104)+1,"")</f>
        <v/>
      </c>
      <c r="B40" s="608"/>
      <c r="C40" s="609"/>
      <c r="D40" s="443" t="str">
        <f>_xlfn.XLOOKUP(E40,'All Products'!D:D,'All Products'!C:C,FALSE)</f>
        <v>1402-101</v>
      </c>
      <c r="E40" s="153">
        <v>100021917</v>
      </c>
      <c r="F40" s="236" t="str">
        <f>_xlfn.XLOOKUP(E40,'All Products'!D:D,'All Products'!E:E,FALSE)</f>
        <v>3/4X3/4X1/2 TEE INS/FPT</v>
      </c>
      <c r="G40" s="153">
        <f>_xlfn.XLOOKUP(E40,'All Products'!D:D,'All Products'!F:F,FALSE)</f>
        <v>200</v>
      </c>
      <c r="H40" s="153">
        <f>_xlfn.XLOOKUP(E40,'All Products'!D:D,'All Products'!G:G,FALSE)</f>
        <v>9000</v>
      </c>
      <c r="I40" s="371">
        <f>_xlfn.XLOOKUP(E40,'All Products'!D:D,'All Products'!H:H)</f>
        <v>7.2</v>
      </c>
      <c r="J40" s="256">
        <f>ROUNDUP(I40*Order_Quote!$L$12,2)</f>
        <v>7.2</v>
      </c>
      <c r="K40" s="161"/>
      <c r="L40" s="113"/>
      <c r="M40" s="243">
        <f t="shared" ref="M40:M51" si="2">K40/G40</f>
        <v>0</v>
      </c>
      <c r="O40" s="247" t="str">
        <f>_xlfn.XLOOKUP(E40,'All Products'!D:D,'All Products'!I:I,FALSE)</f>
        <v>In Stock</v>
      </c>
      <c r="P40" s="247" t="str">
        <f>_xlfn.XLOOKUP(E40,'All Products'!D:D,'All Products'!J:J,FALSE)</f>
        <v>Manufactured</v>
      </c>
      <c r="Q40" s="508">
        <f>_xlfn.XLOOKUP(E40,'All Products'!D:D,'All Products'!K:K,FALSE)</f>
        <v>49081106799</v>
      </c>
      <c r="R40" s="508">
        <f>_xlfn.XLOOKUP(E40,'All Products'!D:D,'All Products'!L:L,FALSE)</f>
        <v>49081606794</v>
      </c>
      <c r="S40" s="508">
        <f>_xlfn.XLOOKUP(E40,'All Products'!D:D,'All Products'!M:M,FALSE)</f>
        <v>40049081106797</v>
      </c>
      <c r="T40" s="264">
        <f>_xlfn.XLOOKUP(E40,'All Products'!D:D,'All Products'!N:N,FALSE)</f>
        <v>7.4999999999999997E-2</v>
      </c>
      <c r="U40" s="215">
        <f>_xlfn.XLOOKUP(E40,'All Products'!D:D,'All Products'!O:O,FALSE)</f>
        <v>10</v>
      </c>
      <c r="V40" s="265">
        <f>_xlfn.XLOOKUP(E40,'All Products'!D:D,'All Products'!P:P,FALSE)</f>
        <v>16.32</v>
      </c>
      <c r="W40" s="265">
        <f>_xlfn.XLOOKUP(E40,'All Products'!D:D,'All Products'!Q:Q,FALSE)</f>
        <v>1.1000000000000001</v>
      </c>
      <c r="X40" s="331"/>
      <c r="Y40" s="331"/>
    </row>
    <row r="41" spans="1:25" ht="15" customHeight="1">
      <c r="A41" s="101" t="str">
        <f>IF(K41&gt;0,COUNT($A$8:A40)
+COUNT('DWV PVC'!$A$9:$A$316)
+COUNT('DWV ABS'!$A$8:$A$116)
+COUNT('PVC SCH40'!$A$8:$A$424)
+COUNT('PVC SCH40 LD'!$A$8:$A$21)
+COUNT('Pool &amp; SPA Sweep Elbows'!$A$8:$A$11)
+COUNT('Pool &amp; SPA Pipe Extender'!$A$8:$A$10)
+COUNT('PVC SCH80'!$A$8:$A$249)
+COUNT('PVC SCH80 Flange'!$A$8:$A$48)
+COUNT('PVC SCH80 LD Flange'!$A$8:$A$16)
+COUNT(CPVC!$A$9:$A$104)+1,"")</f>
        <v/>
      </c>
      <c r="B41" s="610"/>
      <c r="C41" s="611"/>
      <c r="D41" s="443" t="str">
        <f>_xlfn.XLOOKUP(E41,'All Products'!D:D,'All Products'!C:C,FALSE)</f>
        <v>1402-130</v>
      </c>
      <c r="E41" s="103">
        <v>100021923</v>
      </c>
      <c r="F41" s="236" t="str">
        <f>_xlfn.XLOOKUP(E41,'All Products'!D:D,'All Products'!E:E,FALSE)</f>
        <v>1X1X1/2 TEE INS/FPT</v>
      </c>
      <c r="G41" s="153">
        <f>_xlfn.XLOOKUP(E41,'All Products'!D:D,'All Products'!F:F,FALSE)</f>
        <v>100</v>
      </c>
      <c r="H41" s="153">
        <f>_xlfn.XLOOKUP(E41,'All Products'!D:D,'All Products'!G:G,FALSE)</f>
        <v>7500</v>
      </c>
      <c r="I41" s="372">
        <f>_xlfn.XLOOKUP(E41,'All Products'!D:D,'All Products'!H:H)</f>
        <v>9.4</v>
      </c>
      <c r="J41" s="256">
        <f>ROUNDUP(I41*Order_Quote!$L$12,2)</f>
        <v>9.4</v>
      </c>
      <c r="K41" s="75"/>
      <c r="L41" s="113"/>
      <c r="M41" s="171">
        <f t="shared" si="2"/>
        <v>0</v>
      </c>
      <c r="O41" s="247" t="str">
        <f>_xlfn.XLOOKUP(E41,'All Products'!D:D,'All Products'!I:I,FALSE)</f>
        <v>In Stock</v>
      </c>
      <c r="P41" s="247" t="str">
        <f>_xlfn.XLOOKUP(E41,'All Products'!D:D,'All Products'!J:J,FALSE)</f>
        <v>Manufactured</v>
      </c>
      <c r="Q41" s="508">
        <f>_xlfn.XLOOKUP(E41,'All Products'!D:D,'All Products'!K:K,FALSE)</f>
        <v>49081106812</v>
      </c>
      <c r="R41" s="508">
        <f>_xlfn.XLOOKUP(E41,'All Products'!D:D,'All Products'!L:L,FALSE)</f>
        <v>49081606817</v>
      </c>
      <c r="S41" s="508">
        <f>_xlfn.XLOOKUP(E41,'All Products'!D:D,'All Products'!M:M,FALSE)</f>
        <v>40049081106810</v>
      </c>
      <c r="T41" s="264">
        <f>_xlfn.XLOOKUP(E41,'All Products'!D:D,'All Products'!N:N,FALSE)</f>
        <v>9.9000000000000005E-2</v>
      </c>
      <c r="U41" s="215">
        <f>_xlfn.XLOOKUP(E41,'All Products'!D:D,'All Products'!O:O,FALSE)</f>
        <v>10</v>
      </c>
      <c r="V41" s="265">
        <f>_xlfn.XLOOKUP(E41,'All Products'!D:D,'All Products'!P:P,FALSE)</f>
        <v>10.69</v>
      </c>
      <c r="W41" s="265">
        <f>_xlfn.XLOOKUP(E41,'All Products'!D:D,'All Products'!Q:Q,FALSE)</f>
        <v>0.65</v>
      </c>
      <c r="X41" s="331"/>
      <c r="Y41" s="331"/>
    </row>
    <row r="42" spans="1:25" ht="15" customHeight="1">
      <c r="A42" s="101" t="str">
        <f>IF(K42&gt;0,COUNT($A$8:A41)
+COUNT('DWV PVC'!$A$9:$A$316)
+COUNT('DWV ABS'!$A$8:$A$116)
+COUNT('PVC SCH40'!$A$8:$A$424)
+COUNT('PVC SCH40 LD'!$A$8:$A$21)
+COUNT('Pool &amp; SPA Sweep Elbows'!$A$8:$A$11)
+COUNT('Pool &amp; SPA Pipe Extender'!$A$8:$A$10)
+COUNT('PVC SCH80'!$A$8:$A$249)
+COUNT('PVC SCH80 Flange'!$A$8:$A$48)
+COUNT('PVC SCH80 LD Flange'!$A$8:$A$16)
+COUNT(CPVC!$A$9:$A$104)+1,"")</f>
        <v/>
      </c>
      <c r="B42" s="610"/>
      <c r="C42" s="611"/>
      <c r="D42" s="443" t="str">
        <f>_xlfn.XLOOKUP(E42,'All Products'!D:D,'All Products'!C:C,FALSE)</f>
        <v>1402-131</v>
      </c>
      <c r="E42" s="103">
        <v>100021925</v>
      </c>
      <c r="F42" s="236" t="str">
        <f>_xlfn.XLOOKUP(E42,'All Products'!D:D,'All Products'!E:E,FALSE)</f>
        <v>1X1X3/4 TEE INS/FPT</v>
      </c>
      <c r="G42" s="153">
        <f>_xlfn.XLOOKUP(E42,'All Products'!D:D,'All Products'!F:F,FALSE)</f>
        <v>100</v>
      </c>
      <c r="H42" s="153">
        <f>_xlfn.XLOOKUP(E42,'All Products'!D:D,'All Products'!G:G,FALSE)</f>
        <v>6000</v>
      </c>
      <c r="I42" s="372">
        <f>_xlfn.XLOOKUP(E42,'All Products'!D:D,'All Products'!H:H)</f>
        <v>9.4</v>
      </c>
      <c r="J42" s="256">
        <f>ROUNDUP(I42*Order_Quote!$L$12,2)</f>
        <v>9.4</v>
      </c>
      <c r="K42" s="75"/>
      <c r="L42" s="113"/>
      <c r="M42" s="171">
        <f t="shared" si="2"/>
        <v>0</v>
      </c>
      <c r="O42" s="247" t="str">
        <f>_xlfn.XLOOKUP(E42,'All Products'!D:D,'All Products'!I:I,FALSE)</f>
        <v>In Stock</v>
      </c>
      <c r="P42" s="247" t="str">
        <f>_xlfn.XLOOKUP(E42,'All Products'!D:D,'All Products'!J:J,FALSE)</f>
        <v>Manufactured</v>
      </c>
      <c r="Q42" s="508">
        <f>_xlfn.XLOOKUP(E42,'All Products'!D:D,'All Products'!K:K,FALSE)</f>
        <v>49081106829</v>
      </c>
      <c r="R42" s="508">
        <f>_xlfn.XLOOKUP(E42,'All Products'!D:D,'All Products'!L:L,FALSE)</f>
        <v>49081606824</v>
      </c>
      <c r="S42" s="508">
        <f>_xlfn.XLOOKUP(E42,'All Products'!D:D,'All Products'!M:M,FALSE)</f>
        <v>40049081106827</v>
      </c>
      <c r="T42" s="264">
        <f>_xlfn.XLOOKUP(E42,'All Products'!D:D,'All Products'!N:N,FALSE)</f>
        <v>0.105</v>
      </c>
      <c r="U42" s="215">
        <f>_xlfn.XLOOKUP(E42,'All Products'!D:D,'All Products'!O:O,FALSE)</f>
        <v>10</v>
      </c>
      <c r="V42" s="265">
        <f>_xlfn.XLOOKUP(E42,'All Products'!D:D,'All Products'!P:P,FALSE)</f>
        <v>11.26</v>
      </c>
      <c r="W42" s="265">
        <f>_xlfn.XLOOKUP(E42,'All Products'!D:D,'All Products'!Q:Q,FALSE)</f>
        <v>0.8</v>
      </c>
      <c r="X42" s="331"/>
      <c r="Y42" s="331"/>
    </row>
    <row r="43" spans="1:25" ht="15" customHeight="1">
      <c r="A43" s="101" t="str">
        <f>IF(K43&gt;0,COUNT($A$8:A42)
+COUNT('DWV PVC'!$A$9:$A$316)
+COUNT('DWV ABS'!$A$8:$A$116)
+COUNT('PVC SCH40'!$A$8:$A$424)
+COUNT('PVC SCH40 LD'!$A$8:$A$21)
+COUNT('Pool &amp; SPA Sweep Elbows'!$A$8:$A$11)
+COUNT('Pool &amp; SPA Pipe Extender'!$A$8:$A$10)
+COUNT('PVC SCH80'!$A$8:$A$249)
+COUNT('PVC SCH80 Flange'!$A$8:$A$48)
+COUNT('PVC SCH80 LD Flange'!$A$8:$A$16)
+COUNT(CPVC!$A$9:$A$104)+1,"")</f>
        <v/>
      </c>
      <c r="B43" s="610"/>
      <c r="C43" s="611"/>
      <c r="D43" s="443" t="str">
        <f>_xlfn.XLOOKUP(E43,'All Products'!D:D,'All Products'!C:C,FALSE)</f>
        <v>1402-166</v>
      </c>
      <c r="E43" s="103">
        <v>100021928</v>
      </c>
      <c r="F43" s="236" t="str">
        <f>_xlfn.XLOOKUP(E43,'All Products'!D:D,'All Products'!E:E,FALSE)</f>
        <v>1-1/4X1-1/4X1/2 TEE INS/FPT</v>
      </c>
      <c r="G43" s="153">
        <f>_xlfn.XLOOKUP(E43,'All Products'!D:D,'All Products'!F:F,FALSE)</f>
        <v>50</v>
      </c>
      <c r="H43" s="153">
        <f>_xlfn.XLOOKUP(E43,'All Products'!D:D,'All Products'!G:G,FALSE)</f>
        <v>4500</v>
      </c>
      <c r="I43" s="372">
        <f>_xlfn.XLOOKUP(E43,'All Products'!D:D,'All Products'!H:H)</f>
        <v>12.8</v>
      </c>
      <c r="J43" s="256">
        <f>ROUNDUP(I43*Order_Quote!$L$12,2)</f>
        <v>12.8</v>
      </c>
      <c r="K43" s="75"/>
      <c r="L43" s="113"/>
      <c r="M43" s="171">
        <f t="shared" si="2"/>
        <v>0</v>
      </c>
      <c r="O43" s="247" t="str">
        <f>_xlfn.XLOOKUP(E43,'All Products'!D:D,'All Products'!I:I,FALSE)</f>
        <v>In Stock</v>
      </c>
      <c r="P43" s="247" t="str">
        <f>_xlfn.XLOOKUP(E43,'All Products'!D:D,'All Products'!J:J,FALSE)</f>
        <v>Manufactured</v>
      </c>
      <c r="Q43" s="508">
        <f>_xlfn.XLOOKUP(E43,'All Products'!D:D,'All Products'!K:K,FALSE)</f>
        <v>49081106843</v>
      </c>
      <c r="R43" s="508">
        <f>_xlfn.XLOOKUP(E43,'All Products'!D:D,'All Products'!L:L,FALSE)</f>
        <v>49081606848</v>
      </c>
      <c r="S43" s="508">
        <f>_xlfn.XLOOKUP(E43,'All Products'!D:D,'All Products'!M:M,FALSE)</f>
        <v>40049081106841</v>
      </c>
      <c r="T43" s="264">
        <f>_xlfn.XLOOKUP(E43,'All Products'!D:D,'All Products'!N:N,FALSE)</f>
        <v>0.14499999999999999</v>
      </c>
      <c r="U43" s="215">
        <f>_xlfn.XLOOKUP(E43,'All Products'!D:D,'All Products'!O:O,FALSE)</f>
        <v>10</v>
      </c>
      <c r="V43" s="265">
        <f>_xlfn.XLOOKUP(E43,'All Products'!D:D,'All Products'!P:P,FALSE)</f>
        <v>7.93</v>
      </c>
      <c r="W43" s="265">
        <f>_xlfn.XLOOKUP(E43,'All Products'!D:D,'All Products'!Q:Q,FALSE)</f>
        <v>0.5</v>
      </c>
      <c r="X43" s="331"/>
      <c r="Y43" s="331"/>
    </row>
    <row r="44" spans="1:25" ht="15" customHeight="1">
      <c r="A44" s="101" t="str">
        <f>IF(K44&gt;0,COUNT($A$8:A43)
+COUNT('DWV PVC'!$A$9:$A$316)
+COUNT('DWV ABS'!$A$8:$A$116)
+COUNT('PVC SCH40'!$A$8:$A$424)
+COUNT('PVC SCH40 LD'!$A$8:$A$21)
+COUNT('Pool &amp; SPA Sweep Elbows'!$A$8:$A$11)
+COUNT('Pool &amp; SPA Pipe Extender'!$A$8:$A$10)
+COUNT('PVC SCH80'!$A$8:$A$249)
+COUNT('PVC SCH80 Flange'!$A$8:$A$48)
+COUNT('PVC SCH80 LD Flange'!$A$8:$A$16)
+COUNT(CPVC!$A$9:$A$104)+1,"")</f>
        <v/>
      </c>
      <c r="B44" s="610"/>
      <c r="C44" s="611"/>
      <c r="D44" s="443" t="str">
        <f>_xlfn.XLOOKUP(E44,'All Products'!D:D,'All Products'!C:C,FALSE)</f>
        <v>1402-167</v>
      </c>
      <c r="E44" s="103">
        <v>100021929</v>
      </c>
      <c r="F44" s="236" t="str">
        <f>_xlfn.XLOOKUP(E44,'All Products'!D:D,'All Products'!E:E,FALSE)</f>
        <v>1-1/4X1-1/4X3/4 TEE INS/FPT</v>
      </c>
      <c r="G44" s="153">
        <f>_xlfn.XLOOKUP(E44,'All Products'!D:D,'All Products'!F:F,FALSE)</f>
        <v>50</v>
      </c>
      <c r="H44" s="153">
        <f>_xlfn.XLOOKUP(E44,'All Products'!D:D,'All Products'!G:G,FALSE)</f>
        <v>3750</v>
      </c>
      <c r="I44" s="372">
        <f>_xlfn.XLOOKUP(E44,'All Products'!D:D,'All Products'!H:H)</f>
        <v>14.12</v>
      </c>
      <c r="J44" s="256">
        <f>ROUNDUP(I44*Order_Quote!$L$12,2)</f>
        <v>14.12</v>
      </c>
      <c r="K44" s="75"/>
      <c r="L44" s="113"/>
      <c r="M44" s="171">
        <f t="shared" si="2"/>
        <v>0</v>
      </c>
      <c r="O44" s="247" t="str">
        <f>_xlfn.XLOOKUP(E44,'All Products'!D:D,'All Products'!I:I,FALSE)</f>
        <v>In Stock</v>
      </c>
      <c r="P44" s="247" t="str">
        <f>_xlfn.XLOOKUP(E44,'All Products'!D:D,'All Products'!J:J,FALSE)</f>
        <v>Manufactured</v>
      </c>
      <c r="Q44" s="508">
        <f>_xlfn.XLOOKUP(E44,'All Products'!D:D,'All Products'!K:K,FALSE)</f>
        <v>49081106850</v>
      </c>
      <c r="R44" s="508">
        <f>_xlfn.XLOOKUP(E44,'All Products'!D:D,'All Products'!L:L,FALSE)</f>
        <v>49081606855</v>
      </c>
      <c r="S44" s="508">
        <f>_xlfn.XLOOKUP(E44,'All Products'!D:D,'All Products'!M:M,FALSE)</f>
        <v>40049081106858</v>
      </c>
      <c r="T44" s="264">
        <f>_xlfn.XLOOKUP(E44,'All Products'!D:D,'All Products'!N:N,FALSE)</f>
        <v>0.16200000000000001</v>
      </c>
      <c r="U44" s="215">
        <f>_xlfn.XLOOKUP(E44,'All Products'!D:D,'All Products'!O:O,FALSE)</f>
        <v>10</v>
      </c>
      <c r="V44" s="265">
        <f>_xlfn.XLOOKUP(E44,'All Products'!D:D,'All Products'!P:P,FALSE)</f>
        <v>9.18</v>
      </c>
      <c r="W44" s="265">
        <f>_xlfn.XLOOKUP(E44,'All Products'!D:D,'All Products'!Q:Q,FALSE)</f>
        <v>0.65</v>
      </c>
      <c r="X44" s="331"/>
      <c r="Y44" s="331"/>
    </row>
    <row r="45" spans="1:25" ht="15" customHeight="1">
      <c r="A45" s="101" t="str">
        <f>IF(K45&gt;0,COUNT($A$8:A44)
+COUNT('DWV PVC'!$A$9:$A$316)
+COUNT('DWV ABS'!$A$8:$A$116)
+COUNT('PVC SCH40'!$A$8:$A$424)
+COUNT('PVC SCH40 LD'!$A$8:$A$21)
+COUNT('Pool &amp; SPA Sweep Elbows'!$A$8:$A$11)
+COUNT('Pool &amp; SPA Pipe Extender'!$A$8:$A$10)
+COUNT('PVC SCH80'!$A$8:$A$249)
+COUNT('PVC SCH80 Flange'!$A$8:$A$48)
+COUNT('PVC SCH80 LD Flange'!$A$8:$A$16)
+COUNT(CPVC!$A$9:$A$104)+1,"")</f>
        <v/>
      </c>
      <c r="B45" s="610"/>
      <c r="C45" s="611"/>
      <c r="D45" s="443" t="str">
        <f>_xlfn.XLOOKUP(E45,'All Products'!D:D,'All Products'!C:C,FALSE)</f>
        <v>1402-168</v>
      </c>
      <c r="E45" s="103">
        <v>100021930</v>
      </c>
      <c r="F45" s="236" t="str">
        <f>_xlfn.XLOOKUP(E45,'All Products'!D:D,'All Products'!E:E,FALSE)</f>
        <v>1-1/4X1-1/4X1 TEE INS/FPT</v>
      </c>
      <c r="G45" s="153">
        <f>_xlfn.XLOOKUP(E45,'All Products'!D:D,'All Products'!F:F,FALSE)</f>
        <v>50</v>
      </c>
      <c r="H45" s="153">
        <f>_xlfn.XLOOKUP(E45,'All Products'!D:D,'All Products'!G:G,FALSE)</f>
        <v>3750</v>
      </c>
      <c r="I45" s="372">
        <f>_xlfn.XLOOKUP(E45,'All Products'!D:D,'All Products'!H:H)</f>
        <v>14.95</v>
      </c>
      <c r="J45" s="256">
        <f>ROUNDUP(I45*Order_Quote!$L$12,2)</f>
        <v>14.95</v>
      </c>
      <c r="K45" s="75"/>
      <c r="L45" s="113"/>
      <c r="M45" s="171">
        <f t="shared" si="2"/>
        <v>0</v>
      </c>
      <c r="O45" s="247" t="str">
        <f>_xlfn.XLOOKUP(E45,'All Products'!D:D,'All Products'!I:I,FALSE)</f>
        <v>Within 3 Weeks</v>
      </c>
      <c r="P45" s="247" t="str">
        <f>_xlfn.XLOOKUP(E45,'All Products'!D:D,'All Products'!J:J,FALSE)</f>
        <v>Manufactured</v>
      </c>
      <c r="Q45" s="508">
        <f>_xlfn.XLOOKUP(E45,'All Products'!D:D,'All Products'!K:K,FALSE)</f>
        <v>49081106867</v>
      </c>
      <c r="R45" s="508">
        <f>_xlfn.XLOOKUP(E45,'All Products'!D:D,'All Products'!L:L,FALSE)</f>
        <v>49081606862</v>
      </c>
      <c r="S45" s="508">
        <f>_xlfn.XLOOKUP(E45,'All Products'!D:D,'All Products'!M:M,FALSE)</f>
        <v>40049081106865</v>
      </c>
      <c r="T45" s="264">
        <f>_xlfn.XLOOKUP(E45,'All Products'!D:D,'All Products'!N:N,FALSE)</f>
        <v>0.20200000000000001</v>
      </c>
      <c r="U45" s="215">
        <f>_xlfn.XLOOKUP(E45,'All Products'!D:D,'All Products'!O:O,FALSE)</f>
        <v>10</v>
      </c>
      <c r="V45" s="265">
        <f>_xlfn.XLOOKUP(E45,'All Products'!D:D,'All Products'!P:P,FALSE)</f>
        <v>10.76</v>
      </c>
      <c r="W45" s="265">
        <f>_xlfn.XLOOKUP(E45,'All Products'!D:D,'All Products'!Q:Q,FALSE)</f>
        <v>0.65</v>
      </c>
      <c r="X45" s="331"/>
      <c r="Y45" s="331"/>
    </row>
    <row r="46" spans="1:25" ht="15" customHeight="1">
      <c r="A46" s="101" t="str">
        <f>IF(K46&gt;0,COUNT($A$8:A45)
+COUNT('DWV PVC'!$A$9:$A$316)
+COUNT('DWV ABS'!$A$8:$A$116)
+COUNT('PVC SCH40'!$A$8:$A$424)
+COUNT('PVC SCH40 LD'!$A$8:$A$21)
+COUNT('Pool &amp; SPA Sweep Elbows'!$A$8:$A$11)
+COUNT('Pool &amp; SPA Pipe Extender'!$A$8:$A$10)
+COUNT('PVC SCH80'!$A$8:$A$249)
+COUNT('PVC SCH80 Flange'!$A$8:$A$48)
+COUNT('PVC SCH80 LD Flange'!$A$8:$A$16)
+COUNT(CPVC!$A$9:$A$104)+1,"")</f>
        <v/>
      </c>
      <c r="B46" s="610"/>
      <c r="C46" s="611"/>
      <c r="D46" s="443" t="str">
        <f>_xlfn.XLOOKUP(E46,'All Products'!D:D,'All Products'!C:C,FALSE)</f>
        <v>1402-209</v>
      </c>
      <c r="E46" s="103">
        <v>100021934</v>
      </c>
      <c r="F46" s="236" t="str">
        <f>_xlfn.XLOOKUP(E46,'All Products'!D:D,'All Products'!E:E,FALSE)</f>
        <v>1-1/2X1-1/2X1/2 TEE INS/FPT</v>
      </c>
      <c r="G46" s="153">
        <f>_xlfn.XLOOKUP(E46,'All Products'!D:D,'All Products'!F:F,FALSE)</f>
        <v>50</v>
      </c>
      <c r="H46" s="153">
        <f>_xlfn.XLOOKUP(E46,'All Products'!D:D,'All Products'!G:G,FALSE)</f>
        <v>3750</v>
      </c>
      <c r="I46" s="372">
        <f>_xlfn.XLOOKUP(E46,'All Products'!D:D,'All Products'!H:H)</f>
        <v>19.670000000000002</v>
      </c>
      <c r="J46" s="256">
        <f>ROUNDUP(I46*Order_Quote!$L$12,2)</f>
        <v>19.670000000000002</v>
      </c>
      <c r="K46" s="75"/>
      <c r="L46" s="113"/>
      <c r="M46" s="171">
        <f t="shared" si="2"/>
        <v>0</v>
      </c>
      <c r="O46" s="247" t="str">
        <f>_xlfn.XLOOKUP(E46,'All Products'!D:D,'All Products'!I:I,FALSE)</f>
        <v>In Stock</v>
      </c>
      <c r="P46" s="247" t="str">
        <f>_xlfn.XLOOKUP(E46,'All Products'!D:D,'All Products'!J:J,FALSE)</f>
        <v>Manufactured</v>
      </c>
      <c r="Q46" s="508">
        <f>_xlfn.XLOOKUP(E46,'All Products'!D:D,'All Products'!K:K,FALSE)</f>
        <v>49081106881</v>
      </c>
      <c r="R46" s="508">
        <f>_xlfn.XLOOKUP(E46,'All Products'!D:D,'All Products'!L:L,FALSE)</f>
        <v>49081606886</v>
      </c>
      <c r="S46" s="508">
        <f>_xlfn.XLOOKUP(E46,'All Products'!D:D,'All Products'!M:M,FALSE)</f>
        <v>40049081106889</v>
      </c>
      <c r="T46" s="264">
        <f>_xlfn.XLOOKUP(E46,'All Products'!D:D,'All Products'!N:N,FALSE)</f>
        <v>0.17199999999999999</v>
      </c>
      <c r="U46" s="215">
        <f>_xlfn.XLOOKUP(E46,'All Products'!D:D,'All Products'!O:O,FALSE)</f>
        <v>10</v>
      </c>
      <c r="V46" s="265">
        <f>_xlfn.XLOOKUP(E46,'All Products'!D:D,'All Products'!P:P,FALSE)</f>
        <v>9.2200000000000006</v>
      </c>
      <c r="W46" s="265">
        <f>_xlfn.XLOOKUP(E46,'All Products'!D:D,'All Products'!Q:Q,FALSE)</f>
        <v>0.65</v>
      </c>
      <c r="X46" s="331"/>
      <c r="Y46" s="331"/>
    </row>
    <row r="47" spans="1:25" ht="15" customHeight="1">
      <c r="A47" s="101" t="str">
        <f>IF(K47&gt;0,COUNT($A$8:A46)
+COUNT('DWV PVC'!$A$9:$A$316)
+COUNT('DWV ABS'!$A$8:$A$116)
+COUNT('PVC SCH40'!$A$8:$A$424)
+COUNT('PVC SCH40 LD'!$A$8:$A$21)
+COUNT('Pool &amp; SPA Sweep Elbows'!$A$8:$A$11)
+COUNT('Pool &amp; SPA Pipe Extender'!$A$8:$A$10)
+COUNT('PVC SCH80'!$A$8:$A$249)
+COUNT('PVC SCH80 Flange'!$A$8:$A$48)
+COUNT('PVC SCH80 LD Flange'!$A$8:$A$16)
+COUNT(CPVC!$A$9:$A$104)+1,"")</f>
        <v/>
      </c>
      <c r="B47" s="610"/>
      <c r="C47" s="611"/>
      <c r="D47" s="443" t="str">
        <f>_xlfn.XLOOKUP(E47,'All Products'!D:D,'All Products'!C:C,FALSE)</f>
        <v>1402-210</v>
      </c>
      <c r="E47" s="103">
        <v>100021936</v>
      </c>
      <c r="F47" s="236" t="str">
        <f>_xlfn.XLOOKUP(E47,'All Products'!D:D,'All Products'!E:E,FALSE)</f>
        <v>1-1/2X1-1/2X3/4 TEE INS/FPT</v>
      </c>
      <c r="G47" s="153">
        <f>_xlfn.XLOOKUP(E47,'All Products'!D:D,'All Products'!F:F,FALSE)</f>
        <v>50</v>
      </c>
      <c r="H47" s="153">
        <f>_xlfn.XLOOKUP(E47,'All Products'!D:D,'All Products'!G:G,FALSE)</f>
        <v>3000</v>
      </c>
      <c r="I47" s="372">
        <f>_xlfn.XLOOKUP(E47,'All Products'!D:D,'All Products'!H:H)</f>
        <v>23.29</v>
      </c>
      <c r="J47" s="256">
        <f>ROUNDUP(I47*Order_Quote!$L$12,2)</f>
        <v>23.29</v>
      </c>
      <c r="K47" s="75"/>
      <c r="L47" s="113"/>
      <c r="M47" s="171">
        <f t="shared" si="2"/>
        <v>0</v>
      </c>
      <c r="O47" s="247" t="str">
        <f>_xlfn.XLOOKUP(E47,'All Products'!D:D,'All Products'!I:I,FALSE)</f>
        <v>In Stock</v>
      </c>
      <c r="P47" s="247" t="str">
        <f>_xlfn.XLOOKUP(E47,'All Products'!D:D,'All Products'!J:J,FALSE)</f>
        <v>Manufactured</v>
      </c>
      <c r="Q47" s="508">
        <f>_xlfn.XLOOKUP(E47,'All Products'!D:D,'All Products'!K:K,FALSE)</f>
        <v>49081106898</v>
      </c>
      <c r="R47" s="508">
        <f>_xlfn.XLOOKUP(E47,'All Products'!D:D,'All Products'!L:L,FALSE)</f>
        <v>49081606893</v>
      </c>
      <c r="S47" s="508">
        <f>_xlfn.XLOOKUP(E47,'All Products'!D:D,'All Products'!M:M,FALSE)</f>
        <v>40049081106896</v>
      </c>
      <c r="T47" s="264">
        <f>_xlfn.XLOOKUP(E47,'All Products'!D:D,'All Products'!N:N,FALSE)</f>
        <v>0.193</v>
      </c>
      <c r="U47" s="215">
        <f>_xlfn.XLOOKUP(E47,'All Products'!D:D,'All Products'!O:O,FALSE)</f>
        <v>10</v>
      </c>
      <c r="V47" s="265">
        <f>_xlfn.XLOOKUP(E47,'All Products'!D:D,'All Products'!P:P,FALSE)</f>
        <v>10.15</v>
      </c>
      <c r="W47" s="265">
        <f>_xlfn.XLOOKUP(E47,'All Products'!D:D,'All Products'!Q:Q,FALSE)</f>
        <v>0.8</v>
      </c>
      <c r="X47" s="331"/>
      <c r="Y47" s="331"/>
    </row>
    <row r="48" spans="1:25" ht="15" customHeight="1">
      <c r="A48" s="101" t="str">
        <f>IF(K48&gt;0,COUNT($A$8:A47)
+COUNT('DWV PVC'!$A$9:$A$316)
+COUNT('DWV ABS'!$A$8:$A$116)
+COUNT('PVC SCH40'!$A$8:$A$424)
+COUNT('PVC SCH40 LD'!$A$8:$A$21)
+COUNT('Pool &amp; SPA Sweep Elbows'!$A$8:$A$11)
+COUNT('Pool &amp; SPA Pipe Extender'!$A$8:$A$10)
+COUNT('PVC SCH80'!$A$8:$A$249)
+COUNT('PVC SCH80 Flange'!$A$8:$A$48)
+COUNT('PVC SCH80 LD Flange'!$A$8:$A$16)
+COUNT(CPVC!$A$9:$A$104)+1,"")</f>
        <v/>
      </c>
      <c r="B48" s="610"/>
      <c r="C48" s="611"/>
      <c r="D48" s="443" t="str">
        <f>_xlfn.XLOOKUP(E48,'All Products'!D:D,'All Products'!C:C,FALSE)</f>
        <v>1402-211</v>
      </c>
      <c r="E48" s="103">
        <v>100021937</v>
      </c>
      <c r="F48" s="236" t="str">
        <f>_xlfn.XLOOKUP(E48,'All Products'!D:D,'All Products'!E:E,FALSE)</f>
        <v>1-1/2X1-1/2X1 TEE INS FPT</v>
      </c>
      <c r="G48" s="153">
        <f>_xlfn.XLOOKUP(E48,'All Products'!D:D,'All Products'!F:F,FALSE)</f>
        <v>50</v>
      </c>
      <c r="H48" s="153">
        <f>_xlfn.XLOOKUP(E48,'All Products'!D:D,'All Products'!G:G,FALSE)</f>
        <v>2250</v>
      </c>
      <c r="I48" s="372">
        <f>_xlfn.XLOOKUP(E48,'All Products'!D:D,'All Products'!H:H)</f>
        <v>23.29</v>
      </c>
      <c r="J48" s="256">
        <f>ROUNDUP(I48*Order_Quote!$L$12,2)</f>
        <v>23.29</v>
      </c>
      <c r="K48" s="75"/>
      <c r="L48" s="113"/>
      <c r="M48" s="171">
        <f t="shared" si="2"/>
        <v>0</v>
      </c>
      <c r="O48" s="247" t="str">
        <f>_xlfn.XLOOKUP(E48,'All Products'!D:D,'All Products'!I:I,FALSE)</f>
        <v>In Stock</v>
      </c>
      <c r="P48" s="247" t="str">
        <f>_xlfn.XLOOKUP(E48,'All Products'!D:D,'All Products'!J:J,FALSE)</f>
        <v>Manufactured</v>
      </c>
      <c r="Q48" s="508">
        <f>_xlfn.XLOOKUP(E48,'All Products'!D:D,'All Products'!K:K,FALSE)</f>
        <v>49081106904</v>
      </c>
      <c r="R48" s="508">
        <f>_xlfn.XLOOKUP(E48,'All Products'!D:D,'All Products'!L:L,FALSE)</f>
        <v>49081606909</v>
      </c>
      <c r="S48" s="508">
        <f>_xlfn.XLOOKUP(E48,'All Products'!D:D,'All Products'!M:M,FALSE)</f>
        <v>40049081106902</v>
      </c>
      <c r="T48" s="264">
        <f>_xlfn.XLOOKUP(E48,'All Products'!D:D,'All Products'!N:N,FALSE)</f>
        <v>0.222</v>
      </c>
      <c r="U48" s="215">
        <f>_xlfn.XLOOKUP(E48,'All Products'!D:D,'All Products'!O:O,FALSE)</f>
        <v>10</v>
      </c>
      <c r="V48" s="265">
        <f>_xlfn.XLOOKUP(E48,'All Products'!D:D,'All Products'!P:P,FALSE)</f>
        <v>11.85</v>
      </c>
      <c r="W48" s="265">
        <f>_xlfn.XLOOKUP(E48,'All Products'!D:D,'All Products'!Q:Q,FALSE)</f>
        <v>0.95</v>
      </c>
      <c r="X48" s="331"/>
      <c r="Y48" s="331"/>
    </row>
    <row r="49" spans="1:25" ht="15" customHeight="1">
      <c r="A49" s="101" t="str">
        <f>IF(K49&gt;0,COUNT($A$8:A48)
+COUNT('DWV PVC'!$A$9:$A$316)
+COUNT('DWV ABS'!$A$8:$A$116)
+COUNT('PVC SCH40'!$A$8:$A$424)
+COUNT('PVC SCH40 LD'!$A$8:$A$21)
+COUNT('Pool &amp; SPA Sweep Elbows'!$A$8:$A$11)
+COUNT('Pool &amp; SPA Pipe Extender'!$A$8:$A$10)
+COUNT('PVC SCH80'!$A$8:$A$249)
+COUNT('PVC SCH80 Flange'!$A$8:$A$48)
+COUNT('PVC SCH80 LD Flange'!$A$8:$A$16)
+COUNT(CPVC!$A$9:$A$104)+1,"")</f>
        <v/>
      </c>
      <c r="B49" s="610"/>
      <c r="C49" s="611"/>
      <c r="D49" s="443" t="str">
        <f>_xlfn.XLOOKUP(E49,'All Products'!D:D,'All Products'!C:C,FALSE)</f>
        <v>1402-247</v>
      </c>
      <c r="E49" s="103">
        <v>100021939</v>
      </c>
      <c r="F49" s="236" t="str">
        <f>_xlfn.XLOOKUP(E49,'All Products'!D:D,'All Products'!E:E,FALSE)</f>
        <v>2X2X1/2 TEE INS/FPT</v>
      </c>
      <c r="G49" s="153">
        <f>_xlfn.XLOOKUP(E49,'All Products'!D:D,'All Products'!F:F,FALSE)</f>
        <v>25</v>
      </c>
      <c r="H49" s="153">
        <f>_xlfn.XLOOKUP(E49,'All Products'!D:D,'All Products'!G:G,FALSE)</f>
        <v>1875</v>
      </c>
      <c r="I49" s="372">
        <f>_xlfn.XLOOKUP(E49,'All Products'!D:D,'All Products'!H:H)</f>
        <v>26.37</v>
      </c>
      <c r="J49" s="256">
        <f>ROUNDUP(I49*Order_Quote!$L$12,2)</f>
        <v>26.37</v>
      </c>
      <c r="K49" s="161"/>
      <c r="L49" s="113"/>
      <c r="M49" s="243">
        <f t="shared" si="2"/>
        <v>0</v>
      </c>
      <c r="O49" s="247" t="str">
        <f>_xlfn.XLOOKUP(E49,'All Products'!D:D,'All Products'!I:I,FALSE)</f>
        <v>Within 3 Weeks</v>
      </c>
      <c r="P49" s="247" t="str">
        <f>_xlfn.XLOOKUP(E49,'All Products'!D:D,'All Products'!J:J,FALSE)</f>
        <v>Manufactured</v>
      </c>
      <c r="Q49" s="508">
        <f>_xlfn.XLOOKUP(E49,'All Products'!D:D,'All Products'!K:K,FALSE)</f>
        <v>49081106935</v>
      </c>
      <c r="R49" s="508">
        <f>_xlfn.XLOOKUP(E49,'All Products'!D:D,'All Products'!L:L,FALSE)</f>
        <v>49081606930</v>
      </c>
      <c r="S49" s="508">
        <f>_xlfn.XLOOKUP(E49,'All Products'!D:D,'All Products'!M:M,FALSE)</f>
        <v>40049081106933</v>
      </c>
      <c r="T49" s="264">
        <f>_xlfn.XLOOKUP(E49,'All Products'!D:D,'All Products'!N:N,FALSE)</f>
        <v>0.22700000000000001</v>
      </c>
      <c r="U49" s="215">
        <f>_xlfn.XLOOKUP(E49,'All Products'!D:D,'All Products'!O:O,FALSE)</f>
        <v>5</v>
      </c>
      <c r="V49" s="265">
        <f>_xlfn.XLOOKUP(E49,'All Products'!D:D,'All Products'!P:P,FALSE)</f>
        <v>6.25</v>
      </c>
      <c r="W49" s="265">
        <f>_xlfn.XLOOKUP(E49,'All Products'!D:D,'All Products'!Q:Q,FALSE)</f>
        <v>0.65</v>
      </c>
      <c r="X49" s="331"/>
      <c r="Y49" s="331"/>
    </row>
    <row r="50" spans="1:25" ht="15" customHeight="1">
      <c r="A50" s="101" t="str">
        <f>IF(K50&gt;0,COUNT($A$8:A49)
+COUNT('DWV PVC'!$A$9:$A$316)
+COUNT('DWV ABS'!$A$8:$A$116)
+COUNT('PVC SCH40'!$A$8:$A$424)
+COUNT('PVC SCH40 LD'!$A$8:$A$21)
+COUNT('Pool &amp; SPA Sweep Elbows'!$A$8:$A$11)
+COUNT('Pool &amp; SPA Pipe Extender'!$A$8:$A$10)
+COUNT('PVC SCH80'!$A$8:$A$249)
+COUNT('PVC SCH80 Flange'!$A$8:$A$48)
+COUNT('PVC SCH80 LD Flange'!$A$8:$A$16)
+COUNT(CPVC!$A$9:$A$104)+1,"")</f>
        <v/>
      </c>
      <c r="B50" s="610"/>
      <c r="C50" s="611"/>
      <c r="D50" s="443" t="str">
        <f>_xlfn.XLOOKUP(E50,'All Products'!D:D,'All Products'!C:C,FALSE)</f>
        <v>1402-248</v>
      </c>
      <c r="E50" s="103">
        <v>100021940</v>
      </c>
      <c r="F50" s="236" t="str">
        <f>_xlfn.XLOOKUP(E50,'All Products'!D:D,'All Products'!E:E,FALSE)</f>
        <v>2X2X3/4 TEE INS/FPT</v>
      </c>
      <c r="G50" s="153">
        <f>_xlfn.XLOOKUP(E50,'All Products'!D:D,'All Products'!F:F,FALSE)</f>
        <v>25</v>
      </c>
      <c r="H50" s="153">
        <f>_xlfn.XLOOKUP(E50,'All Products'!D:D,'All Products'!G:G,FALSE)</f>
        <v>1875</v>
      </c>
      <c r="I50" s="372">
        <f>_xlfn.XLOOKUP(E50,'All Products'!D:D,'All Products'!H:H)</f>
        <v>27.91</v>
      </c>
      <c r="J50" s="256">
        <f>ROUNDUP(I50*Order_Quote!$L$12,2)</f>
        <v>27.91</v>
      </c>
      <c r="K50" s="75"/>
      <c r="L50" s="113"/>
      <c r="M50" s="171">
        <f t="shared" si="2"/>
        <v>0</v>
      </c>
      <c r="O50" s="247" t="str">
        <f>_xlfn.XLOOKUP(E50,'All Products'!D:D,'All Products'!I:I,FALSE)</f>
        <v>In Stock</v>
      </c>
      <c r="P50" s="247" t="str">
        <f>_xlfn.XLOOKUP(E50,'All Products'!D:D,'All Products'!J:J,FALSE)</f>
        <v>Manufactured</v>
      </c>
      <c r="Q50" s="508">
        <f>_xlfn.XLOOKUP(E50,'All Products'!D:D,'All Products'!K:K,FALSE)</f>
        <v>49081106942</v>
      </c>
      <c r="R50" s="508">
        <f>_xlfn.XLOOKUP(E50,'All Products'!D:D,'All Products'!L:L,FALSE)</f>
        <v>49081606947</v>
      </c>
      <c r="S50" s="508">
        <f>_xlfn.XLOOKUP(E50,'All Products'!D:D,'All Products'!M:M,FALSE)</f>
        <v>40049081106940</v>
      </c>
      <c r="T50" s="264">
        <f>_xlfn.XLOOKUP(E50,'All Products'!D:D,'All Products'!N:N,FALSE)</f>
        <v>0.246</v>
      </c>
      <c r="U50" s="215">
        <f>_xlfn.XLOOKUP(E50,'All Products'!D:D,'All Products'!O:O,FALSE)</f>
        <v>5</v>
      </c>
      <c r="V50" s="265">
        <f>_xlfn.XLOOKUP(E50,'All Products'!D:D,'All Products'!P:P,FALSE)</f>
        <v>6.84</v>
      </c>
      <c r="W50" s="265">
        <f>_xlfn.XLOOKUP(E50,'All Products'!D:D,'All Products'!Q:Q,FALSE)</f>
        <v>0.65</v>
      </c>
      <c r="X50" s="331"/>
      <c r="Y50" s="331"/>
    </row>
    <row r="51" spans="1:25" ht="15" customHeight="1">
      <c r="A51" s="101" t="str">
        <f>IF(K51&gt;0,COUNT($A$8:A50)
+COUNT('DWV PVC'!$A$9:$A$316)
+COUNT('DWV ABS'!$A$8:$A$116)
+COUNT('PVC SCH40'!$A$8:$A$424)
+COUNT('PVC SCH40 LD'!$A$8:$A$21)
+COUNT('Pool &amp; SPA Sweep Elbows'!$A$8:$A$11)
+COUNT('Pool &amp; SPA Pipe Extender'!$A$8:$A$10)
+COUNT('PVC SCH80'!$A$8:$A$249)
+COUNT('PVC SCH80 Flange'!$A$8:$A$48)
+COUNT('PVC SCH80 LD Flange'!$A$8:$A$16)
+COUNT(CPVC!$A$9:$A$104)+1,"")</f>
        <v/>
      </c>
      <c r="B51" s="612"/>
      <c r="C51" s="613"/>
      <c r="D51" s="443" t="str">
        <f>_xlfn.XLOOKUP(E51,'All Products'!D:D,'All Products'!C:C,FALSE)</f>
        <v>1402-249</v>
      </c>
      <c r="E51" s="103">
        <v>100021941</v>
      </c>
      <c r="F51" s="236" t="str">
        <f>_xlfn.XLOOKUP(E51,'All Products'!D:D,'All Products'!E:E,FALSE)</f>
        <v>2X2X1 TEE INS/FPT</v>
      </c>
      <c r="G51" s="153">
        <f>_xlfn.XLOOKUP(E51,'All Products'!D:D,'All Products'!F:F,FALSE)</f>
        <v>25</v>
      </c>
      <c r="H51" s="153">
        <f>_xlfn.XLOOKUP(E51,'All Products'!D:D,'All Products'!G:G,FALSE)</f>
        <v>1875</v>
      </c>
      <c r="I51" s="372">
        <f>_xlfn.XLOOKUP(E51,'All Products'!D:D,'All Products'!H:H)</f>
        <v>30.66</v>
      </c>
      <c r="J51" s="256">
        <f>ROUNDUP(I51*Order_Quote!$L$12,2)</f>
        <v>30.66</v>
      </c>
      <c r="K51" s="75"/>
      <c r="L51" s="113"/>
      <c r="M51" s="171">
        <f t="shared" si="2"/>
        <v>0</v>
      </c>
      <c r="O51" s="247" t="str">
        <f>_xlfn.XLOOKUP(E51,'All Products'!D:D,'All Products'!I:I,FALSE)</f>
        <v>In Stock</v>
      </c>
      <c r="P51" s="247" t="str">
        <f>_xlfn.XLOOKUP(E51,'All Products'!D:D,'All Products'!J:J,FALSE)</f>
        <v>Manufactured</v>
      </c>
      <c r="Q51" s="508">
        <f>_xlfn.XLOOKUP(E51,'All Products'!D:D,'All Products'!K:K,FALSE)</f>
        <v>49081106959</v>
      </c>
      <c r="R51" s="508">
        <f>_xlfn.XLOOKUP(E51,'All Products'!D:D,'All Products'!L:L,FALSE)</f>
        <v>49081606954</v>
      </c>
      <c r="S51" s="508">
        <f>_xlfn.XLOOKUP(E51,'All Products'!D:D,'All Products'!M:M,FALSE)</f>
        <v>40049081106957</v>
      </c>
      <c r="T51" s="264">
        <f>_xlfn.XLOOKUP(E51,'All Products'!D:D,'All Products'!N:N,FALSE)</f>
        <v>0.314</v>
      </c>
      <c r="U51" s="215">
        <f>_xlfn.XLOOKUP(E51,'All Products'!D:D,'All Products'!O:O,FALSE)</f>
        <v>5</v>
      </c>
      <c r="V51" s="265">
        <f>_xlfn.XLOOKUP(E51,'All Products'!D:D,'All Products'!P:P,FALSE)</f>
        <v>7.79</v>
      </c>
      <c r="W51" s="265">
        <f>_xlfn.XLOOKUP(E51,'All Products'!D:D,'All Products'!Q:Q,FALSE)</f>
        <v>0.65</v>
      </c>
      <c r="X51" s="331"/>
      <c r="Y51" s="331"/>
    </row>
    <row r="52" spans="1:25" ht="15" customHeight="1">
      <c r="A52" s="101" t="str">
        <f>IF(K52&gt;0,COUNT($A$8:A51)
+COUNT('DWV PVC'!$A$9:$A$316)
+COUNT('DWV ABS'!$A$8:$A$116)
+COUNT('PVC SCH40'!$A$8:$A$424)
+COUNT('PVC SCH40 LD'!$A$8:$A$21)
+COUNT('Pool &amp; SPA Sweep Elbows'!$A$8:$A$11)
+COUNT('Pool &amp; SPA Pipe Extender'!$A$8:$A$10)
+COUNT('PVC SCH80'!$A$8:$A$249)
+COUNT('PVC SCH80 Flange'!$A$8:$A$48)
+COUNT('PVC SCH80 LD Flange'!$A$8:$A$16)
+COUNT(CPVC!$A$9:$A$104)+1,"")</f>
        <v/>
      </c>
      <c r="B52" s="431" t="s">
        <v>5749</v>
      </c>
      <c r="C52" s="332"/>
      <c r="D52" s="333"/>
      <c r="E52" s="333"/>
      <c r="F52" s="333"/>
      <c r="G52" s="333"/>
      <c r="H52" s="333"/>
      <c r="I52" s="333"/>
      <c r="J52" s="334"/>
      <c r="K52" s="333"/>
      <c r="L52" s="333"/>
      <c r="M52" s="335"/>
      <c r="O52" s="525"/>
      <c r="P52" s="333"/>
      <c r="Q52" s="509"/>
      <c r="R52" s="509"/>
      <c r="S52" s="509"/>
      <c r="T52" s="333"/>
      <c r="U52" s="333"/>
      <c r="V52" s="333"/>
      <c r="W52" s="335"/>
    </row>
    <row r="53" spans="1:25" ht="39" customHeight="1">
      <c r="A53" s="101" t="str">
        <f>IF(K53&gt;0,COUNT($A$8:A52)
+COUNT('DWV PVC'!$A$9:$A$316)
+COUNT('DWV ABS'!$A$8:$A$116)
+COUNT('PVC SCH40'!$A$8:$A$424)
+COUNT('PVC SCH40 LD'!$A$8:$A$21)
+COUNT('Pool &amp; SPA Sweep Elbows'!$A$8:$A$11)
+COUNT('Pool &amp; SPA Pipe Extender'!$A$8:$A$10)
+COUNT('PVC SCH80'!$A$8:$A$249)
+COUNT('PVC SCH80 Flange'!$A$8:$A$48)
+COUNT('PVC SCH80 LD Flange'!$A$8:$A$16)
+COUNT(CPVC!$A$9:$A$104)+1,"")</f>
        <v/>
      </c>
      <c r="B53" s="616"/>
      <c r="C53" s="617"/>
      <c r="D53" s="443" t="str">
        <f>_xlfn.XLOOKUP(E53,'All Products'!D:D,'All Products'!C:C,FALSE)</f>
        <v>1402-125</v>
      </c>
      <c r="E53" s="103">
        <v>100021921</v>
      </c>
      <c r="F53" s="236" t="str">
        <f>_xlfn.XLOOKUP(E53,'All Products'!D:D,'All Products'!E:E,FALSE)</f>
        <v>1X3/4X3/4 TEE  INS/FPT</v>
      </c>
      <c r="G53" s="153">
        <f>_xlfn.XLOOKUP(E53,'All Products'!D:D,'All Products'!F:F,FALSE)</f>
        <v>100</v>
      </c>
      <c r="H53" s="153">
        <f>_xlfn.XLOOKUP(E53,'All Products'!D:D,'All Products'!G:G,FALSE)</f>
        <v>6000</v>
      </c>
      <c r="I53" s="372">
        <f>_xlfn.XLOOKUP(E53,'All Products'!D:D,'All Products'!H:H)</f>
        <v>13.92</v>
      </c>
      <c r="J53" s="256">
        <f>ROUNDUP(I53*Order_Quote!$L$12,2)</f>
        <v>13.92</v>
      </c>
      <c r="K53" s="75"/>
      <c r="L53" s="113"/>
      <c r="M53" s="171">
        <f>K53/G53</f>
        <v>0</v>
      </c>
      <c r="O53" s="247" t="str">
        <f>_xlfn.XLOOKUP(E53,'All Products'!D:D,'All Products'!I:I,FALSE)</f>
        <v>In Stock</v>
      </c>
      <c r="P53" s="247" t="str">
        <f>_xlfn.XLOOKUP(E53,'All Products'!D:D,'All Products'!J:J,FALSE)</f>
        <v>Manufactured</v>
      </c>
      <c r="Q53" s="508">
        <f>_xlfn.XLOOKUP(E53,'All Products'!D:D,'All Products'!K:K,FALSE)</f>
        <v>49081107017</v>
      </c>
      <c r="R53" s="508">
        <f>_xlfn.XLOOKUP(E53,'All Products'!D:D,'All Products'!L:L,FALSE)</f>
        <v>49081607012</v>
      </c>
      <c r="S53" s="508">
        <f>_xlfn.XLOOKUP(E53,'All Products'!D:D,'All Products'!M:M,FALSE)</f>
        <v>40049081107015</v>
      </c>
      <c r="T53" s="264">
        <f>_xlfn.XLOOKUP(E53,'All Products'!D:D,'All Products'!N:N,FALSE)</f>
        <v>0.11799999999999999</v>
      </c>
      <c r="U53" s="215">
        <f>_xlfn.XLOOKUP(E53,'All Products'!D:D,'All Products'!O:O,FALSE)</f>
        <v>10</v>
      </c>
      <c r="V53" s="265">
        <f>_xlfn.XLOOKUP(E53,'All Products'!D:D,'All Products'!P:P,FALSE)</f>
        <v>12.52</v>
      </c>
      <c r="W53" s="265">
        <f>_xlfn.XLOOKUP(E53,'All Products'!D:D,'All Products'!Q:Q,FALSE)</f>
        <v>0.8</v>
      </c>
      <c r="X53" s="331"/>
      <c r="Y53" s="331"/>
    </row>
    <row r="54" spans="1:25" ht="15" customHeight="1">
      <c r="A54" s="101" t="str">
        <f>IF(K54&gt;0,COUNT($A$8:A53)
+COUNT('DWV PVC'!$A$9:$A$316)
+COUNT('DWV ABS'!$A$8:$A$116)
+COUNT('PVC SCH40'!$A$8:$A$424)
+COUNT('PVC SCH40 LD'!$A$8:$A$21)
+COUNT('Pool &amp; SPA Sweep Elbows'!$A$8:$A$11)
+COUNT('Pool &amp; SPA Pipe Extender'!$A$8:$A$10)
+COUNT('PVC SCH80'!$A$8:$A$249)
+COUNT('PVC SCH80 Flange'!$A$8:$A$48)
+COUNT('PVC SCH80 LD Flange'!$A$8:$A$16)
+COUNT(CPVC!$A$9:$A$104)+1,"")</f>
        <v/>
      </c>
      <c r="B54" s="432" t="s">
        <v>5750</v>
      </c>
      <c r="C54" s="351"/>
      <c r="D54" s="333"/>
      <c r="E54" s="333"/>
      <c r="F54" s="333"/>
      <c r="G54" s="333"/>
      <c r="H54" s="333"/>
      <c r="I54" s="333"/>
      <c r="J54" s="334"/>
      <c r="K54" s="333"/>
      <c r="L54" s="333"/>
      <c r="M54" s="335"/>
      <c r="O54" s="525"/>
      <c r="P54" s="333"/>
      <c r="Q54" s="509"/>
      <c r="R54" s="509"/>
      <c r="S54" s="509"/>
      <c r="T54" s="333"/>
      <c r="U54" s="333"/>
      <c r="V54" s="333"/>
      <c r="W54" s="335"/>
    </row>
    <row r="55" spans="1:25" ht="15" customHeight="1">
      <c r="A55" s="101" t="str">
        <f>IF(K55&gt;0,COUNT($A$8:A54)
+COUNT('DWV PVC'!$A$9:$A$316)
+COUNT('DWV ABS'!$A$8:$A$116)
+COUNT('PVC SCH40'!$A$8:$A$424)
+COUNT('PVC SCH40 LD'!$A$8:$A$21)
+COUNT('Pool &amp; SPA Sweep Elbows'!$A$8:$A$11)
+COUNT('Pool &amp; SPA Pipe Extender'!$A$8:$A$10)
+COUNT('PVC SCH80'!$A$8:$A$249)
+COUNT('PVC SCH80 Flange'!$A$8:$A$48)
+COUNT('PVC SCH80 LD Flange'!$A$8:$A$16)
+COUNT(CPVC!$A$9:$A$104)+1,"")</f>
        <v/>
      </c>
      <c r="B55" s="608"/>
      <c r="C55" s="609"/>
      <c r="D55" s="443" t="str">
        <f>_xlfn.XLOOKUP(E55,'All Products'!D:D,'All Products'!C:C,FALSE)</f>
        <v>1403-005</v>
      </c>
      <c r="E55" s="153">
        <v>100021944</v>
      </c>
      <c r="F55" s="236" t="str">
        <f>_xlfn.XLOOKUP(E55,'All Products'!D:D,'All Products'!E:E,FALSE)</f>
        <v>1/2 TEE INS/MPT</v>
      </c>
      <c r="G55" s="153">
        <f>_xlfn.XLOOKUP(E55,'All Products'!D:D,'All Products'!F:F,FALSE)</f>
        <v>200</v>
      </c>
      <c r="H55" s="153">
        <f>_xlfn.XLOOKUP(E55,'All Products'!D:D,'All Products'!G:G,FALSE)</f>
        <v>15000</v>
      </c>
      <c r="I55" s="371">
        <f>_xlfn.XLOOKUP(E55,'All Products'!D:D,'All Products'!H:H)</f>
        <v>7.31</v>
      </c>
      <c r="J55" s="256">
        <f>ROUNDUP(I55*Order_Quote!$L$12,2)</f>
        <v>7.31</v>
      </c>
      <c r="K55" s="161"/>
      <c r="L55" s="166"/>
      <c r="M55" s="243">
        <f>K55/G55</f>
        <v>0</v>
      </c>
      <c r="O55" s="247" t="str">
        <f>_xlfn.XLOOKUP(E55,'All Products'!D:D,'All Products'!I:I,FALSE)</f>
        <v>Within 3 Weeks</v>
      </c>
      <c r="P55" s="247" t="str">
        <f>_xlfn.XLOOKUP(E55,'All Products'!D:D,'All Products'!J:J,FALSE)</f>
        <v>Manufactured</v>
      </c>
      <c r="Q55" s="508">
        <f>_xlfn.XLOOKUP(E55,'All Products'!D:D,'All Products'!K:K,FALSE)</f>
        <v>49081107086</v>
      </c>
      <c r="R55" s="508">
        <f>_xlfn.XLOOKUP(E55,'All Products'!D:D,'All Products'!L:L,FALSE)</f>
        <v>49081607081</v>
      </c>
      <c r="S55" s="508">
        <f>_xlfn.XLOOKUP(E55,'All Products'!D:D,'All Products'!M:M,FALSE)</f>
        <v>40049081107084</v>
      </c>
      <c r="T55" s="264">
        <f>_xlfn.XLOOKUP(E55,'All Products'!D:D,'All Products'!N:N,FALSE)</f>
        <v>4.5999999999999999E-2</v>
      </c>
      <c r="U55" s="215">
        <f>_xlfn.XLOOKUP(E55,'All Products'!D:D,'All Products'!O:O,FALSE)</f>
        <v>10</v>
      </c>
      <c r="V55" s="265">
        <f>_xlfn.XLOOKUP(E55,'All Products'!D:D,'All Products'!P:P,FALSE)</f>
        <v>10.1</v>
      </c>
      <c r="W55" s="265">
        <f>_xlfn.XLOOKUP(E55,'All Products'!D:D,'All Products'!Q:Q,FALSE)</f>
        <v>0.65</v>
      </c>
      <c r="X55" s="331"/>
      <c r="Y55" s="331"/>
    </row>
    <row r="56" spans="1:25" ht="15" customHeight="1">
      <c r="A56" s="101" t="str">
        <f>IF(K56&gt;0,COUNT($A$8:A55)
+COUNT('DWV PVC'!$A$9:$A$316)
+COUNT('DWV ABS'!$A$8:$A$116)
+COUNT('PVC SCH40'!$A$8:$A$424)
+COUNT('PVC SCH40 LD'!$A$8:$A$21)
+COUNT('Pool &amp; SPA Sweep Elbows'!$A$8:$A$11)
+COUNT('Pool &amp; SPA Pipe Extender'!$A$8:$A$10)
+COUNT('PVC SCH80'!$A$8:$A$249)
+COUNT('PVC SCH80 Flange'!$A$8:$A$48)
+COUNT('PVC SCH80 LD Flange'!$A$8:$A$16)
+COUNT(CPVC!$A$9:$A$104)+1,"")</f>
        <v/>
      </c>
      <c r="B56" s="610"/>
      <c r="C56" s="611"/>
      <c r="D56" s="443" t="str">
        <f>_xlfn.XLOOKUP(E56,'All Products'!D:D,'All Products'!C:C,FALSE)</f>
        <v>1403-007</v>
      </c>
      <c r="E56" s="103">
        <v>100021946</v>
      </c>
      <c r="F56" s="236" t="str">
        <f>_xlfn.XLOOKUP(E56,'All Products'!D:D,'All Products'!E:E,FALSE)</f>
        <v>3/4 TEE INS/MPT</v>
      </c>
      <c r="G56" s="153">
        <f>_xlfn.XLOOKUP(E56,'All Products'!D:D,'All Products'!F:F,FALSE)</f>
        <v>200</v>
      </c>
      <c r="H56" s="153">
        <f>_xlfn.XLOOKUP(E56,'All Products'!D:D,'All Products'!G:G,FALSE)</f>
        <v>9000</v>
      </c>
      <c r="I56" s="372">
        <f>_xlfn.XLOOKUP(E56,'All Products'!D:D,'All Products'!H:H)</f>
        <v>9.9600000000000009</v>
      </c>
      <c r="J56" s="256">
        <f>ROUNDUP(I56*Order_Quote!$L$12,2)</f>
        <v>9.9600000000000009</v>
      </c>
      <c r="K56" s="75"/>
      <c r="L56" s="166"/>
      <c r="M56" s="171">
        <f>K56/G56</f>
        <v>0</v>
      </c>
      <c r="O56" s="247" t="str">
        <f>_xlfn.XLOOKUP(E56,'All Products'!D:D,'All Products'!I:I,FALSE)</f>
        <v>In Stock</v>
      </c>
      <c r="P56" s="247" t="str">
        <f>_xlfn.XLOOKUP(E56,'All Products'!D:D,'All Products'!J:J,FALSE)</f>
        <v>Manufactured</v>
      </c>
      <c r="Q56" s="508">
        <f>_xlfn.XLOOKUP(E56,'All Products'!D:D,'All Products'!K:K,FALSE)</f>
        <v>49081107093</v>
      </c>
      <c r="R56" s="508">
        <f>_xlfn.XLOOKUP(E56,'All Products'!D:D,'All Products'!L:L,FALSE)</f>
        <v>49081607098</v>
      </c>
      <c r="S56" s="508">
        <f>_xlfn.XLOOKUP(E56,'All Products'!D:D,'All Products'!M:M,FALSE)</f>
        <v>40049081107091</v>
      </c>
      <c r="T56" s="264">
        <f>_xlfn.XLOOKUP(E56,'All Products'!D:D,'All Products'!N:N,FALSE)</f>
        <v>7.0999999999999994E-2</v>
      </c>
      <c r="U56" s="215">
        <f>_xlfn.XLOOKUP(E56,'All Products'!D:D,'All Products'!O:O,FALSE)</f>
        <v>10</v>
      </c>
      <c r="V56" s="265">
        <f>_xlfn.XLOOKUP(E56,'All Products'!D:D,'All Products'!P:P,FALSE)</f>
        <v>15.28</v>
      </c>
      <c r="W56" s="265">
        <f>_xlfn.XLOOKUP(E56,'All Products'!D:D,'All Products'!Q:Q,FALSE)</f>
        <v>0.95</v>
      </c>
      <c r="X56" s="331"/>
      <c r="Y56" s="331"/>
    </row>
    <row r="57" spans="1:25" ht="15" customHeight="1">
      <c r="A57" s="101" t="str">
        <f>IF(K57&gt;0,COUNT($A$8:A56)
+COUNT('DWV PVC'!$A$9:$A$316)
+COUNT('DWV ABS'!$A$8:$A$116)
+COUNT('PVC SCH40'!$A$8:$A$424)
+COUNT('PVC SCH40 LD'!$A$8:$A$21)
+COUNT('Pool &amp; SPA Sweep Elbows'!$A$8:$A$11)
+COUNT('Pool &amp; SPA Pipe Extender'!$A$8:$A$10)
+COUNT('PVC SCH80'!$A$8:$A$249)
+COUNT('PVC SCH80 Flange'!$A$8:$A$48)
+COUNT('PVC SCH80 LD Flange'!$A$8:$A$16)
+COUNT(CPVC!$A$9:$A$104)+1,"")</f>
        <v/>
      </c>
      <c r="B57" s="610"/>
      <c r="C57" s="611"/>
      <c r="D57" s="443" t="str">
        <f>_xlfn.XLOOKUP(E57,'All Products'!D:D,'All Products'!C:C,FALSE)</f>
        <v>1403-010</v>
      </c>
      <c r="E57" s="103">
        <v>100021948</v>
      </c>
      <c r="F57" s="236" t="str">
        <f>_xlfn.XLOOKUP(E57,'All Products'!D:D,'All Products'!E:E,FALSE)</f>
        <v>1 TEE INS/MPT</v>
      </c>
      <c r="G57" s="153">
        <f>_xlfn.XLOOKUP(E57,'All Products'!D:D,'All Products'!F:F,FALSE)</f>
        <v>50</v>
      </c>
      <c r="H57" s="153">
        <f>_xlfn.XLOOKUP(E57,'All Products'!D:D,'All Products'!G:G,FALSE)</f>
        <v>4500</v>
      </c>
      <c r="I57" s="372">
        <f>_xlfn.XLOOKUP(E57,'All Products'!D:D,'All Products'!H:H)</f>
        <v>12.8</v>
      </c>
      <c r="J57" s="256">
        <f>ROUNDUP(I57*Order_Quote!$L$12,2)</f>
        <v>12.8</v>
      </c>
      <c r="K57" s="75"/>
      <c r="L57" s="166"/>
      <c r="M57" s="171">
        <f>K57/G57</f>
        <v>0</v>
      </c>
      <c r="O57" s="247" t="str">
        <f>_xlfn.XLOOKUP(E57,'All Products'!D:D,'All Products'!I:I,FALSE)</f>
        <v>In Stock</v>
      </c>
      <c r="P57" s="247" t="str">
        <f>_xlfn.XLOOKUP(E57,'All Products'!D:D,'All Products'!J:J,FALSE)</f>
        <v>Manufactured</v>
      </c>
      <c r="Q57" s="508">
        <f>_xlfn.XLOOKUP(E57,'All Products'!D:D,'All Products'!K:K,FALSE)</f>
        <v>49081107109</v>
      </c>
      <c r="R57" s="508">
        <f>_xlfn.XLOOKUP(E57,'All Products'!D:D,'All Products'!L:L,FALSE)</f>
        <v>49081607104</v>
      </c>
      <c r="S57" s="508">
        <f>_xlfn.XLOOKUP(E57,'All Products'!D:D,'All Products'!M:M,FALSE)</f>
        <v>40049081107107</v>
      </c>
      <c r="T57" s="264">
        <f>_xlfn.XLOOKUP(E57,'All Products'!D:D,'All Products'!N:N,FALSE)</f>
        <v>0.121</v>
      </c>
      <c r="U57" s="215">
        <f>_xlfn.XLOOKUP(E57,'All Products'!D:D,'All Products'!O:O,FALSE)</f>
        <v>10</v>
      </c>
      <c r="V57" s="265">
        <f>_xlfn.XLOOKUP(E57,'All Products'!D:D,'All Products'!P:P,FALSE)</f>
        <v>6.99</v>
      </c>
      <c r="W57" s="265">
        <f>_xlfn.XLOOKUP(E57,'All Products'!D:D,'All Products'!Q:Q,FALSE)</f>
        <v>0.5</v>
      </c>
      <c r="X57" s="331"/>
      <c r="Y57" s="331"/>
    </row>
    <row r="58" spans="1:25" ht="15" customHeight="1">
      <c r="A58" s="101" t="str">
        <f>IF(K58&gt;0,COUNT($A$8:A57)
+COUNT('DWV PVC'!$A$9:$A$316)
+COUNT('DWV ABS'!$A$8:$A$116)
+COUNT('PVC SCH40'!$A$8:$A$424)
+COUNT('PVC SCH40 LD'!$A$8:$A$21)
+COUNT('Pool &amp; SPA Sweep Elbows'!$A$8:$A$11)
+COUNT('Pool &amp; SPA Pipe Extender'!$A$8:$A$10)
+COUNT('PVC SCH80'!$A$8:$A$249)
+COUNT('PVC SCH80 Flange'!$A$8:$A$48)
+COUNT('PVC SCH80 LD Flange'!$A$8:$A$16)
+COUNT(CPVC!$A$9:$A$104)+1,"")</f>
        <v/>
      </c>
      <c r="B58" s="612"/>
      <c r="C58" s="613"/>
      <c r="D58" s="443" t="str">
        <f>_xlfn.XLOOKUP(E58,'All Products'!D:D,'All Products'!C:C,FALSE)</f>
        <v>1403-012</v>
      </c>
      <c r="E58" s="103">
        <v>100021949</v>
      </c>
      <c r="F58" s="236" t="str">
        <f>_xlfn.XLOOKUP(E58,'All Products'!D:D,'All Products'!E:E,FALSE)</f>
        <v>1-1/4 TEE INS/MPT</v>
      </c>
      <c r="G58" s="153">
        <f>_xlfn.XLOOKUP(E58,'All Products'!D:D,'All Products'!F:F,FALSE)</f>
        <v>50</v>
      </c>
      <c r="H58" s="153">
        <f>_xlfn.XLOOKUP(E58,'All Products'!D:D,'All Products'!G:G,FALSE)</f>
        <v>3750</v>
      </c>
      <c r="I58" s="372">
        <f>_xlfn.XLOOKUP(E58,'All Products'!D:D,'All Products'!H:H)</f>
        <v>16.670000000000002</v>
      </c>
      <c r="J58" s="256">
        <f>ROUNDUP(I58*Order_Quote!$L$12,2)</f>
        <v>16.670000000000002</v>
      </c>
      <c r="K58" s="75"/>
      <c r="L58" s="166"/>
      <c r="M58" s="171">
        <f>K58/G58</f>
        <v>0</v>
      </c>
      <c r="O58" s="247" t="str">
        <f>_xlfn.XLOOKUP(E58,'All Products'!D:D,'All Products'!I:I,FALSE)</f>
        <v>Within 3 Weeks</v>
      </c>
      <c r="P58" s="247" t="str">
        <f>_xlfn.XLOOKUP(E58,'All Products'!D:D,'All Products'!J:J,FALSE)</f>
        <v>Manufactured</v>
      </c>
      <c r="Q58" s="508">
        <f>_xlfn.XLOOKUP(E58,'All Products'!D:D,'All Products'!K:K,FALSE)</f>
        <v>49081107116</v>
      </c>
      <c r="R58" s="508">
        <f>_xlfn.XLOOKUP(E58,'All Products'!D:D,'All Products'!L:L,FALSE)</f>
        <v>49081607111</v>
      </c>
      <c r="S58" s="508">
        <f>_xlfn.XLOOKUP(E58,'All Products'!D:D,'All Products'!M:M,FALSE)</f>
        <v>40049081107114</v>
      </c>
      <c r="T58" s="264">
        <f>_xlfn.XLOOKUP(E58,'All Products'!D:D,'All Products'!N:N,FALSE)</f>
        <v>0.19400000000000001</v>
      </c>
      <c r="U58" s="215">
        <f>_xlfn.XLOOKUP(E58,'All Products'!D:D,'All Products'!O:O,FALSE)</f>
        <v>10</v>
      </c>
      <c r="V58" s="265">
        <f>_xlfn.XLOOKUP(E58,'All Products'!D:D,'All Products'!P:P,FALSE)</f>
        <v>9.56</v>
      </c>
      <c r="W58" s="265">
        <f>_xlfn.XLOOKUP(E58,'All Products'!D:D,'All Products'!Q:Q,FALSE)</f>
        <v>0.65</v>
      </c>
      <c r="X58" s="331"/>
      <c r="Y58" s="331"/>
    </row>
    <row r="59" spans="1:25" ht="15" customHeight="1">
      <c r="A59" s="101" t="str">
        <f>IF(K59&gt;0,COUNT($A$8:A58)
+COUNT('DWV PVC'!$A$9:$A$316)
+COUNT('DWV ABS'!$A$8:$A$116)
+COUNT('PVC SCH40'!$A$8:$A$424)
+COUNT('PVC SCH40 LD'!$A$8:$A$21)
+COUNT('Pool &amp; SPA Sweep Elbows'!$A$8:$A$11)
+COUNT('Pool &amp; SPA Pipe Extender'!$A$8:$A$10)
+COUNT('PVC SCH80'!$A$8:$A$249)
+COUNT('PVC SCH80 Flange'!$A$8:$A$48)
+COUNT('PVC SCH80 LD Flange'!$A$8:$A$16)
+COUNT(CPVC!$A$9:$A$104)+1,"")</f>
        <v/>
      </c>
      <c r="B59" s="433" t="s">
        <v>5751</v>
      </c>
      <c r="C59" s="253"/>
      <c r="D59" s="333"/>
      <c r="E59" s="253"/>
      <c r="F59" s="333"/>
      <c r="G59" s="253"/>
      <c r="H59" s="253"/>
      <c r="I59" s="373"/>
      <c r="J59" s="258"/>
      <c r="K59" s="336"/>
      <c r="L59" s="253"/>
      <c r="M59" s="254"/>
      <c r="O59" s="337"/>
      <c r="P59" s="253"/>
      <c r="Q59" s="510"/>
      <c r="R59" s="510"/>
      <c r="S59" s="510"/>
      <c r="T59" s="253"/>
      <c r="U59" s="253"/>
      <c r="V59" s="253"/>
      <c r="W59" s="529"/>
    </row>
    <row r="60" spans="1:25" ht="15" customHeight="1">
      <c r="A60" s="101" t="str">
        <f>IF(K60&gt;0,COUNT($A$8:A59)
+COUNT('DWV PVC'!$A$9:$A$316)
+COUNT('DWV ABS'!$A$8:$A$116)
+COUNT('PVC SCH40'!$A$8:$A$424)
+COUNT('PVC SCH40 LD'!$A$8:$A$21)
+COUNT('Pool &amp; SPA Sweep Elbows'!$A$8:$A$11)
+COUNT('Pool &amp; SPA Pipe Extender'!$A$8:$A$10)
+COUNT('PVC SCH80'!$A$8:$A$249)
+COUNT('PVC SCH80 Flange'!$A$8:$A$48)
+COUNT('PVC SCH80 LD Flange'!$A$8:$A$16)
+COUNT(CPVC!$A$9:$A$104)+1,"")</f>
        <v/>
      </c>
      <c r="B60" s="608"/>
      <c r="C60" s="609"/>
      <c r="D60" s="443" t="str">
        <f>_xlfn.XLOOKUP(E60,'All Products'!D:D,'All Products'!C:C,FALSE)</f>
        <v>1406-005</v>
      </c>
      <c r="E60" s="153">
        <v>100021953</v>
      </c>
      <c r="F60" s="236" t="str">
        <f>_xlfn.XLOOKUP(E60,'All Products'!D:D,'All Products'!E:E,FALSE)</f>
        <v>1/2 ELL INSERT</v>
      </c>
      <c r="G60" s="153">
        <f>_xlfn.XLOOKUP(E60,'All Products'!D:D,'All Products'!F:F,FALSE)</f>
        <v>250</v>
      </c>
      <c r="H60" s="153">
        <f>_xlfn.XLOOKUP(E60,'All Products'!D:D,'All Products'!G:G,FALSE)</f>
        <v>22500</v>
      </c>
      <c r="I60" s="371">
        <f>_xlfn.XLOOKUP(E60,'All Products'!D:D,'All Products'!H:H)</f>
        <v>4.8499999999999996</v>
      </c>
      <c r="J60" s="256">
        <f>ROUNDUP(I60*Order_Quote!$L$12,2)</f>
        <v>4.8499999999999996</v>
      </c>
      <c r="K60" s="161"/>
      <c r="L60" s="113"/>
      <c r="M60" s="243">
        <f t="shared" ref="M60:M65" si="3">K60/G60</f>
        <v>0</v>
      </c>
      <c r="O60" s="247" t="str">
        <f>_xlfn.XLOOKUP(E60,'All Products'!D:D,'All Products'!I:I,FALSE)</f>
        <v>In Stock</v>
      </c>
      <c r="P60" s="247" t="str">
        <f>_xlfn.XLOOKUP(E60,'All Products'!D:D,'All Products'!J:J,FALSE)</f>
        <v>Manufactured</v>
      </c>
      <c r="Q60" s="508">
        <f>_xlfn.XLOOKUP(E60,'All Products'!D:D,'All Products'!K:K,FALSE)</f>
        <v>49081105747</v>
      </c>
      <c r="R60" s="508">
        <f>_xlfn.XLOOKUP(E60,'All Products'!D:D,'All Products'!L:L,FALSE)</f>
        <v>49081605742</v>
      </c>
      <c r="S60" s="508">
        <f>_xlfn.XLOOKUP(E60,'All Products'!D:D,'All Products'!M:M,FALSE)</f>
        <v>40049081105745</v>
      </c>
      <c r="T60" s="264">
        <f>_xlfn.XLOOKUP(E60,'All Products'!D:D,'All Products'!N:N,FALSE)</f>
        <v>4.2000000000000003E-2</v>
      </c>
      <c r="U60" s="215">
        <f>_xlfn.XLOOKUP(E60,'All Products'!D:D,'All Products'!O:O,FALSE)</f>
        <v>10</v>
      </c>
      <c r="V60" s="265">
        <f>_xlfn.XLOOKUP(E60,'All Products'!D:D,'All Products'!P:P,FALSE)</f>
        <v>11.3</v>
      </c>
      <c r="W60" s="265">
        <f>_xlfn.XLOOKUP(E60,'All Products'!D:D,'All Products'!Q:Q,FALSE)</f>
        <v>0.5</v>
      </c>
      <c r="X60" s="331"/>
      <c r="Y60" s="331"/>
    </row>
    <row r="61" spans="1:25" ht="15" customHeight="1">
      <c r="A61" s="101" t="str">
        <f>IF(K61&gt;0,COUNT($A$8:A60)
+COUNT('DWV PVC'!$A$9:$A$316)
+COUNT('DWV ABS'!$A$8:$A$116)
+COUNT('PVC SCH40'!$A$8:$A$424)
+COUNT('PVC SCH40 LD'!$A$8:$A$21)
+COUNT('Pool &amp; SPA Sweep Elbows'!$A$8:$A$11)
+COUNT('Pool &amp; SPA Pipe Extender'!$A$8:$A$10)
+COUNT('PVC SCH80'!$A$8:$A$249)
+COUNT('PVC SCH80 Flange'!$A$8:$A$48)
+COUNT('PVC SCH80 LD Flange'!$A$8:$A$16)
+COUNT(CPVC!$A$9:$A$104)+1,"")</f>
        <v/>
      </c>
      <c r="B61" s="610"/>
      <c r="C61" s="611"/>
      <c r="D61" s="443" t="str">
        <f>_xlfn.XLOOKUP(E61,'All Products'!D:D,'All Products'!C:C,FALSE)</f>
        <v>1406-007</v>
      </c>
      <c r="E61" s="103">
        <v>100021955</v>
      </c>
      <c r="F61" s="236" t="str">
        <f>_xlfn.XLOOKUP(E61,'All Products'!D:D,'All Products'!E:E,FALSE)</f>
        <v>3/4 ELL INSERT</v>
      </c>
      <c r="G61" s="153">
        <f>_xlfn.XLOOKUP(E61,'All Products'!D:D,'All Products'!F:F,FALSE)</f>
        <v>250</v>
      </c>
      <c r="H61" s="153">
        <f>_xlfn.XLOOKUP(E61,'All Products'!D:D,'All Products'!G:G,FALSE)</f>
        <v>11250</v>
      </c>
      <c r="I61" s="372">
        <f>_xlfn.XLOOKUP(E61,'All Products'!D:D,'All Products'!H:H)</f>
        <v>5.96</v>
      </c>
      <c r="J61" s="256">
        <f>ROUNDUP(I61*Order_Quote!$L$12,2)</f>
        <v>5.96</v>
      </c>
      <c r="K61" s="75"/>
      <c r="L61" s="113"/>
      <c r="M61" s="171">
        <f t="shared" si="3"/>
        <v>0</v>
      </c>
      <c r="O61" s="247" t="str">
        <f>_xlfn.XLOOKUP(E61,'All Products'!D:D,'All Products'!I:I,FALSE)</f>
        <v>In Stock</v>
      </c>
      <c r="P61" s="247" t="str">
        <f>_xlfn.XLOOKUP(E61,'All Products'!D:D,'All Products'!J:J,FALSE)</f>
        <v>Manufactured</v>
      </c>
      <c r="Q61" s="508">
        <f>_xlfn.XLOOKUP(E61,'All Products'!D:D,'All Products'!K:K,FALSE)</f>
        <v>49081105754</v>
      </c>
      <c r="R61" s="508">
        <f>_xlfn.XLOOKUP(E61,'All Products'!D:D,'All Products'!L:L,FALSE)</f>
        <v>49081605759</v>
      </c>
      <c r="S61" s="508">
        <f>_xlfn.XLOOKUP(E61,'All Products'!D:D,'All Products'!M:M,FALSE)</f>
        <v>40049081105752</v>
      </c>
      <c r="T61" s="264">
        <f>_xlfn.XLOOKUP(E61,'All Products'!D:D,'All Products'!N:N,FALSE)</f>
        <v>0.06</v>
      </c>
      <c r="U61" s="215">
        <f>_xlfn.XLOOKUP(E61,'All Products'!D:D,'All Products'!O:O,FALSE)</f>
        <v>10</v>
      </c>
      <c r="V61" s="265">
        <f>_xlfn.XLOOKUP(E61,'All Products'!D:D,'All Products'!P:P,FALSE)</f>
        <v>16.21</v>
      </c>
      <c r="W61" s="265">
        <f>_xlfn.XLOOKUP(E61,'All Products'!D:D,'All Products'!Q:Q,FALSE)</f>
        <v>0.95</v>
      </c>
      <c r="X61" s="331"/>
      <c r="Y61" s="331"/>
    </row>
    <row r="62" spans="1:25" ht="15" customHeight="1">
      <c r="A62" s="101" t="str">
        <f>IF(K62&gt;0,COUNT($A$8:A61)
+COUNT('DWV PVC'!$A$9:$A$316)
+COUNT('DWV ABS'!$A$8:$A$116)
+COUNT('PVC SCH40'!$A$8:$A$424)
+COUNT('PVC SCH40 LD'!$A$8:$A$21)
+COUNT('Pool &amp; SPA Sweep Elbows'!$A$8:$A$11)
+COUNT('Pool &amp; SPA Pipe Extender'!$A$8:$A$10)
+COUNT('PVC SCH80'!$A$8:$A$249)
+COUNT('PVC SCH80 Flange'!$A$8:$A$48)
+COUNT('PVC SCH80 LD Flange'!$A$8:$A$16)
+COUNT(CPVC!$A$9:$A$104)+1,"")</f>
        <v/>
      </c>
      <c r="B62" s="610"/>
      <c r="C62" s="611"/>
      <c r="D62" s="443" t="str">
        <f>_xlfn.XLOOKUP(E62,'All Products'!D:D,'All Products'!C:C,FALSE)</f>
        <v>1406-010</v>
      </c>
      <c r="E62" s="103">
        <v>100021957</v>
      </c>
      <c r="F62" s="236" t="str">
        <f>_xlfn.XLOOKUP(E62,'All Products'!D:D,'All Products'!E:E,FALSE)</f>
        <v>1 ELL INSERT</v>
      </c>
      <c r="G62" s="153">
        <f>_xlfn.XLOOKUP(E62,'All Products'!D:D,'All Products'!F:F,FALSE)</f>
        <v>100</v>
      </c>
      <c r="H62" s="153">
        <f>_xlfn.XLOOKUP(E62,'All Products'!D:D,'All Products'!G:G,FALSE)</f>
        <v>7500</v>
      </c>
      <c r="I62" s="372">
        <f>_xlfn.XLOOKUP(E62,'All Products'!D:D,'All Products'!H:H)</f>
        <v>6.55</v>
      </c>
      <c r="J62" s="256">
        <f>ROUNDUP(I62*Order_Quote!$L$12,2)</f>
        <v>6.55</v>
      </c>
      <c r="K62" s="75"/>
      <c r="L62" s="113"/>
      <c r="M62" s="171">
        <f t="shared" si="3"/>
        <v>0</v>
      </c>
      <c r="O62" s="247" t="str">
        <f>_xlfn.XLOOKUP(E62,'All Products'!D:D,'All Products'!I:I,FALSE)</f>
        <v>In Stock</v>
      </c>
      <c r="P62" s="247" t="str">
        <f>_xlfn.XLOOKUP(E62,'All Products'!D:D,'All Products'!J:J,FALSE)</f>
        <v>Manufactured</v>
      </c>
      <c r="Q62" s="508">
        <f>_xlfn.XLOOKUP(E62,'All Products'!D:D,'All Products'!K:K,FALSE)</f>
        <v>49081105761</v>
      </c>
      <c r="R62" s="508">
        <f>_xlfn.XLOOKUP(E62,'All Products'!D:D,'All Products'!L:L,FALSE)</f>
        <v>49081605766</v>
      </c>
      <c r="S62" s="508">
        <f>_xlfn.XLOOKUP(E62,'All Products'!D:D,'All Products'!M:M,FALSE)</f>
        <v>40049081105769</v>
      </c>
      <c r="T62" s="264">
        <f>_xlfn.XLOOKUP(E62,'All Products'!D:D,'All Products'!N:N,FALSE)</f>
        <v>9.2999999999999999E-2</v>
      </c>
      <c r="U62" s="215">
        <f>_xlfn.XLOOKUP(E62,'All Products'!D:D,'All Products'!O:O,FALSE)</f>
        <v>10</v>
      </c>
      <c r="V62" s="265">
        <f>_xlfn.XLOOKUP(E62,'All Products'!D:D,'All Products'!P:P,FALSE)</f>
        <v>10.119999999999999</v>
      </c>
      <c r="W62" s="265">
        <f>_xlfn.XLOOKUP(E62,'All Products'!D:D,'All Products'!Q:Q,FALSE)</f>
        <v>0.65</v>
      </c>
      <c r="X62" s="331"/>
      <c r="Y62" s="331"/>
    </row>
    <row r="63" spans="1:25" ht="15" customHeight="1">
      <c r="A63" s="101" t="str">
        <f>IF(K63&gt;0,COUNT($A$8:A62)
+COUNT('DWV PVC'!$A$9:$A$316)
+COUNT('DWV ABS'!$A$8:$A$116)
+COUNT('PVC SCH40'!$A$8:$A$424)
+COUNT('PVC SCH40 LD'!$A$8:$A$21)
+COUNT('Pool &amp; SPA Sweep Elbows'!$A$8:$A$11)
+COUNT('Pool &amp; SPA Pipe Extender'!$A$8:$A$10)
+COUNT('PVC SCH80'!$A$8:$A$249)
+COUNT('PVC SCH80 Flange'!$A$8:$A$48)
+COUNT('PVC SCH80 LD Flange'!$A$8:$A$16)
+COUNT(CPVC!$A$9:$A$104)+1,"")</f>
        <v/>
      </c>
      <c r="B63" s="610"/>
      <c r="C63" s="611"/>
      <c r="D63" s="443" t="str">
        <f>_xlfn.XLOOKUP(E63,'All Products'!D:D,'All Products'!C:C,FALSE)</f>
        <v>1406-012</v>
      </c>
      <c r="E63" s="103">
        <v>100021959</v>
      </c>
      <c r="F63" s="236" t="str">
        <f>_xlfn.XLOOKUP(E63,'All Products'!D:D,'All Products'!E:E,FALSE)</f>
        <v>1-1/4 ELL INSERT</v>
      </c>
      <c r="G63" s="153">
        <f>_xlfn.XLOOKUP(E63,'All Products'!D:D,'All Products'!F:F,FALSE)</f>
        <v>50</v>
      </c>
      <c r="H63" s="153">
        <f>_xlfn.XLOOKUP(E63,'All Products'!D:D,'All Products'!G:G,FALSE)</f>
        <v>4500</v>
      </c>
      <c r="I63" s="372">
        <f>_xlfn.XLOOKUP(E63,'All Products'!D:D,'All Products'!H:H)</f>
        <v>7.31</v>
      </c>
      <c r="J63" s="256">
        <f>ROUNDUP(I63*Order_Quote!$L$12,2)</f>
        <v>7.31</v>
      </c>
      <c r="K63" s="75"/>
      <c r="L63" s="113"/>
      <c r="M63" s="171">
        <f t="shared" si="3"/>
        <v>0</v>
      </c>
      <c r="O63" s="247" t="str">
        <f>_xlfn.XLOOKUP(E63,'All Products'!D:D,'All Products'!I:I,FALSE)</f>
        <v>In Stock</v>
      </c>
      <c r="P63" s="247" t="str">
        <f>_xlfn.XLOOKUP(E63,'All Products'!D:D,'All Products'!J:J,FALSE)</f>
        <v>Manufactured</v>
      </c>
      <c r="Q63" s="508">
        <f>_xlfn.XLOOKUP(E63,'All Products'!D:D,'All Products'!K:K,FALSE)</f>
        <v>49081105778</v>
      </c>
      <c r="R63" s="508">
        <f>_xlfn.XLOOKUP(E63,'All Products'!D:D,'All Products'!L:L,FALSE)</f>
        <v>49081605773</v>
      </c>
      <c r="S63" s="508">
        <f>_xlfn.XLOOKUP(E63,'All Products'!D:D,'All Products'!M:M,FALSE)</f>
        <v>40049081105776</v>
      </c>
      <c r="T63" s="264">
        <f>_xlfn.XLOOKUP(E63,'All Products'!D:D,'All Products'!N:N,FALSE)</f>
        <v>0.13600000000000001</v>
      </c>
      <c r="U63" s="215">
        <f>_xlfn.XLOOKUP(E63,'All Products'!D:D,'All Products'!O:O,FALSE)</f>
        <v>5</v>
      </c>
      <c r="V63" s="265">
        <f>_xlfn.XLOOKUP(E63,'All Products'!D:D,'All Products'!P:P,FALSE)</f>
        <v>7.44</v>
      </c>
      <c r="W63" s="265">
        <f>_xlfn.XLOOKUP(E63,'All Products'!D:D,'All Products'!Q:Q,FALSE)</f>
        <v>0.5</v>
      </c>
      <c r="X63" s="331"/>
      <c r="Y63" s="331"/>
    </row>
    <row r="64" spans="1:25" ht="15" customHeight="1">
      <c r="A64" s="101" t="str">
        <f>IF(K64&gt;0,COUNT($A$8:A63)
+COUNT('DWV PVC'!$A$9:$A$316)
+COUNT('DWV ABS'!$A$8:$A$116)
+COUNT('PVC SCH40'!$A$8:$A$424)
+COUNT('PVC SCH40 LD'!$A$8:$A$21)
+COUNT('Pool &amp; SPA Sweep Elbows'!$A$8:$A$11)
+COUNT('Pool &amp; SPA Pipe Extender'!$A$8:$A$10)
+COUNT('PVC SCH80'!$A$8:$A$249)
+COUNT('PVC SCH80 Flange'!$A$8:$A$48)
+COUNT('PVC SCH80 LD Flange'!$A$8:$A$16)
+COUNT(CPVC!$A$9:$A$104)+1,"")</f>
        <v/>
      </c>
      <c r="B64" s="610"/>
      <c r="C64" s="611"/>
      <c r="D64" s="443" t="str">
        <f>_xlfn.XLOOKUP(E64,'All Products'!D:D,'All Products'!C:C,FALSE)</f>
        <v>1406-015</v>
      </c>
      <c r="E64" s="103">
        <v>100021961</v>
      </c>
      <c r="F64" s="236" t="str">
        <f>_xlfn.XLOOKUP(E64,'All Products'!D:D,'All Products'!E:E,FALSE)</f>
        <v>1-1/2 ELL INSERT</v>
      </c>
      <c r="G64" s="153">
        <f>_xlfn.XLOOKUP(E64,'All Products'!D:D,'All Products'!F:F,FALSE)</f>
        <v>50</v>
      </c>
      <c r="H64" s="153">
        <f>_xlfn.XLOOKUP(E64,'All Products'!D:D,'All Products'!G:G,FALSE)</f>
        <v>3750</v>
      </c>
      <c r="I64" s="372">
        <f>_xlfn.XLOOKUP(E64,'All Products'!D:D,'All Products'!H:H)</f>
        <v>8.61</v>
      </c>
      <c r="J64" s="256">
        <f>ROUNDUP(I64*Order_Quote!$L$12,2)</f>
        <v>8.61</v>
      </c>
      <c r="K64" s="75"/>
      <c r="L64" s="113"/>
      <c r="M64" s="171">
        <f t="shared" si="3"/>
        <v>0</v>
      </c>
      <c r="O64" s="247" t="str">
        <f>_xlfn.XLOOKUP(E64,'All Products'!D:D,'All Products'!I:I,FALSE)</f>
        <v>In Stock</v>
      </c>
      <c r="P64" s="247" t="str">
        <f>_xlfn.XLOOKUP(E64,'All Products'!D:D,'All Products'!J:J,FALSE)</f>
        <v>Manufactured</v>
      </c>
      <c r="Q64" s="508">
        <f>_xlfn.XLOOKUP(E64,'All Products'!D:D,'All Products'!K:K,FALSE)</f>
        <v>49081105785</v>
      </c>
      <c r="R64" s="508">
        <f>_xlfn.XLOOKUP(E64,'All Products'!D:D,'All Products'!L:L,FALSE)</f>
        <v>49081605780</v>
      </c>
      <c r="S64" s="508">
        <f>_xlfn.XLOOKUP(E64,'All Products'!D:D,'All Products'!M:M,FALSE)</f>
        <v>40049081105783</v>
      </c>
      <c r="T64" s="264">
        <f>_xlfn.XLOOKUP(E64,'All Products'!D:D,'All Products'!N:N,FALSE)</f>
        <v>0.16400000000000001</v>
      </c>
      <c r="U64" s="215">
        <f>_xlfn.XLOOKUP(E64,'All Products'!D:D,'All Products'!O:O,FALSE)</f>
        <v>5</v>
      </c>
      <c r="V64" s="265">
        <f>_xlfn.XLOOKUP(E64,'All Products'!D:D,'All Products'!P:P,FALSE)</f>
        <v>9.2899999999999991</v>
      </c>
      <c r="W64" s="265">
        <f>_xlfn.XLOOKUP(E64,'All Products'!D:D,'All Products'!Q:Q,FALSE)</f>
        <v>0.65</v>
      </c>
      <c r="X64" s="331"/>
      <c r="Y64" s="331"/>
    </row>
    <row r="65" spans="1:25" ht="15" customHeight="1">
      <c r="A65" s="101" t="str">
        <f>IF(K65&gt;0,COUNT($A$8:A64)
+COUNT('DWV PVC'!$A$9:$A$316)
+COUNT('DWV ABS'!$A$8:$A$116)
+COUNT('PVC SCH40'!$A$8:$A$424)
+COUNT('PVC SCH40 LD'!$A$8:$A$21)
+COUNT('Pool &amp; SPA Sweep Elbows'!$A$8:$A$11)
+COUNT('Pool &amp; SPA Pipe Extender'!$A$8:$A$10)
+COUNT('PVC SCH80'!$A$8:$A$249)
+COUNT('PVC SCH80 Flange'!$A$8:$A$48)
+COUNT('PVC SCH80 LD Flange'!$A$8:$A$16)
+COUNT(CPVC!$A$9:$A$104)+1,"")</f>
        <v/>
      </c>
      <c r="B65" s="612"/>
      <c r="C65" s="613"/>
      <c r="D65" s="443" t="str">
        <f>_xlfn.XLOOKUP(E65,'All Products'!D:D,'All Products'!C:C,FALSE)</f>
        <v>1406-020</v>
      </c>
      <c r="E65" s="103">
        <v>100021963</v>
      </c>
      <c r="F65" s="236" t="str">
        <f>_xlfn.XLOOKUP(E65,'All Products'!D:D,'All Products'!E:E,FALSE)</f>
        <v>2 ELL INSERT</v>
      </c>
      <c r="G65" s="153">
        <f>_xlfn.XLOOKUP(E65,'All Products'!D:D,'All Products'!F:F,FALSE)</f>
        <v>25</v>
      </c>
      <c r="H65" s="153">
        <f>_xlfn.XLOOKUP(E65,'All Products'!D:D,'All Products'!G:G,FALSE)</f>
        <v>1875</v>
      </c>
      <c r="I65" s="372">
        <f>_xlfn.XLOOKUP(E65,'All Products'!D:D,'All Products'!H:H)</f>
        <v>12.04</v>
      </c>
      <c r="J65" s="256">
        <f>ROUNDUP(I65*Order_Quote!$L$12,2)</f>
        <v>12.04</v>
      </c>
      <c r="K65" s="75"/>
      <c r="L65" s="239"/>
      <c r="M65" s="171">
        <f t="shared" si="3"/>
        <v>0</v>
      </c>
      <c r="O65" s="247" t="str">
        <f>_xlfn.XLOOKUP(E65,'All Products'!D:D,'All Products'!I:I,FALSE)</f>
        <v>In Stock</v>
      </c>
      <c r="P65" s="247" t="str">
        <f>_xlfn.XLOOKUP(E65,'All Products'!D:D,'All Products'!J:J,FALSE)</f>
        <v>Manufactured</v>
      </c>
      <c r="Q65" s="508">
        <f>_xlfn.XLOOKUP(E65,'All Products'!D:D,'All Products'!K:K,FALSE)</f>
        <v>49081105792</v>
      </c>
      <c r="R65" s="508">
        <f>_xlfn.XLOOKUP(E65,'All Products'!D:D,'All Products'!L:L,FALSE)</f>
        <v>49081605797</v>
      </c>
      <c r="S65" s="508">
        <f>_xlfn.XLOOKUP(E65,'All Products'!D:D,'All Products'!M:M,FALSE)</f>
        <v>40049081105790</v>
      </c>
      <c r="T65" s="264">
        <f>_xlfn.XLOOKUP(E65,'All Products'!D:D,'All Products'!N:N,FALSE)</f>
        <v>0.25600000000000001</v>
      </c>
      <c r="U65" s="215">
        <f>_xlfn.XLOOKUP(E65,'All Products'!D:D,'All Products'!O:O,FALSE)</f>
        <v>5</v>
      </c>
      <c r="V65" s="265">
        <f>_xlfn.XLOOKUP(E65,'All Products'!D:D,'All Products'!P:P,FALSE)</f>
        <v>7.25</v>
      </c>
      <c r="W65" s="265">
        <f>_xlfn.XLOOKUP(E65,'All Products'!D:D,'All Products'!Q:Q,FALSE)</f>
        <v>0.65</v>
      </c>
      <c r="X65" s="331"/>
      <c r="Y65" s="331"/>
    </row>
    <row r="66" spans="1:25" ht="15" customHeight="1" thickBot="1">
      <c r="A66" s="101" t="str">
        <f>IF(K66&gt;0,COUNT($A$8:A65)
+COUNT('DWV PVC'!$A$9:$A$316)
+COUNT('DWV ABS'!$A$8:$A$116)
+COUNT('PVC SCH40'!$A$8:$A$424)
+COUNT('PVC SCH40 LD'!$A$8:$A$21)
+COUNT('Pool &amp; SPA Sweep Elbows'!$A$8:$A$11)
+COUNT('Pool &amp; SPA Pipe Extender'!$A$8:$A$10)
+COUNT('PVC SCH80'!$A$8:$A$249)
+COUNT('PVC SCH80 Flange'!$A$8:$A$48)
+COUNT('PVC SCH80 LD Flange'!$A$8:$A$16)
+COUNT(CPVC!$A$9:$A$104)+1,"")</f>
        <v/>
      </c>
      <c r="B66" s="434" t="s">
        <v>5752</v>
      </c>
      <c r="C66" s="337"/>
      <c r="D66" s="333"/>
      <c r="E66" s="253"/>
      <c r="F66" s="333"/>
      <c r="G66" s="253"/>
      <c r="H66" s="253"/>
      <c r="I66" s="373"/>
      <c r="J66" s="258"/>
      <c r="K66" s="336"/>
      <c r="L66" s="253"/>
      <c r="M66" s="254"/>
      <c r="O66" s="337"/>
      <c r="P66" s="253"/>
      <c r="Q66" s="510"/>
      <c r="R66" s="510"/>
      <c r="S66" s="510"/>
      <c r="T66" s="253"/>
      <c r="U66" s="253"/>
      <c r="V66" s="253"/>
      <c r="W66" s="529"/>
    </row>
    <row r="67" spans="1:25" ht="33.75" customHeight="1">
      <c r="A67" s="101" t="str">
        <f>IF(K67&gt;0,COUNT($A$8:A66)
+COUNT('DWV PVC'!$A$9:$A$316)
+COUNT('DWV ABS'!$A$8:$A$116)
+COUNT('PVC SCH40'!$A$8:$A$424)
+COUNT('PVC SCH40 LD'!$A$8:$A$21)
+COUNT('Pool &amp; SPA Sweep Elbows'!$A$8:$A$11)
+COUNT('Pool &amp; SPA Pipe Extender'!$A$8:$A$10)
+COUNT('PVC SCH80'!$A$8:$A$249)
+COUNT('PVC SCH80 Flange'!$A$8:$A$48)
+COUNT('PVC SCH80 LD Flange'!$A$8:$A$16)
+COUNT(CPVC!$A$9:$A$104)+1,"")</f>
        <v/>
      </c>
      <c r="B67" s="612"/>
      <c r="C67" s="613"/>
      <c r="D67" s="443" t="str">
        <f>_xlfn.XLOOKUP(E67,'All Products'!D:D,'All Products'!C:C,FALSE)</f>
        <v>1406-129</v>
      </c>
      <c r="E67" s="103">
        <v>100021967</v>
      </c>
      <c r="F67" s="236" t="str">
        <f>_xlfn.XLOOKUP(E67,'All Products'!D:D,'All Products'!E:E,FALSE)</f>
        <v>1X3/8 FUNNY PIPE ELL INSERT</v>
      </c>
      <c r="G67" s="153">
        <f>_xlfn.XLOOKUP(E67,'All Products'!D:D,'All Products'!F:F,FALSE)</f>
        <v>100</v>
      </c>
      <c r="H67" s="153">
        <f>_xlfn.XLOOKUP(E67,'All Products'!D:D,'All Products'!G:G,FALSE)</f>
        <v>9000</v>
      </c>
      <c r="I67" s="372">
        <f>_xlfn.XLOOKUP(E67,'All Products'!D:D,'All Products'!H:H)</f>
        <v>6.89</v>
      </c>
      <c r="J67" s="256">
        <f>ROUNDUP(I67*Order_Quote!$L$12,2)</f>
        <v>6.89</v>
      </c>
      <c r="K67" s="75"/>
      <c r="L67" s="239"/>
      <c r="M67" s="171">
        <f>K67/G67</f>
        <v>0</v>
      </c>
      <c r="O67" s="247" t="str">
        <f>_xlfn.XLOOKUP(E67,'All Products'!D:D,'All Products'!I:I,FALSE)</f>
        <v>Within 3 Weeks</v>
      </c>
      <c r="P67" s="247" t="str">
        <f>_xlfn.XLOOKUP(E67,'All Products'!D:D,'All Products'!J:J,FALSE)</f>
        <v>Manufactured</v>
      </c>
      <c r="Q67" s="508">
        <f>_xlfn.XLOOKUP(E67,'All Products'!D:D,'All Products'!K:K,FALSE)</f>
        <v>49081105518</v>
      </c>
      <c r="R67" s="508">
        <f>_xlfn.XLOOKUP(E67,'All Products'!D:D,'All Products'!L:L,FALSE)</f>
        <v>49081605513</v>
      </c>
      <c r="S67" s="508">
        <f>_xlfn.XLOOKUP(E67,'All Products'!D:D,'All Products'!M:M,FALSE)</f>
        <v>40049081105516</v>
      </c>
      <c r="T67" s="264">
        <f>_xlfn.XLOOKUP(E67,'All Products'!D:D,'All Products'!N:N,FALSE)</f>
        <v>9.2999999999999999E-2</v>
      </c>
      <c r="U67" s="215">
        <f>_xlfn.XLOOKUP(E67,'All Products'!D:D,'All Products'!O:O,FALSE)</f>
        <v>10</v>
      </c>
      <c r="V67" s="265">
        <f>_xlfn.XLOOKUP(E67,'All Products'!D:D,'All Products'!P:P,FALSE)</f>
        <v>9.33</v>
      </c>
      <c r="W67" s="265">
        <f>_xlfn.XLOOKUP(E67,'All Products'!D:D,'All Products'!Q:Q,FALSE)</f>
        <v>0.5</v>
      </c>
      <c r="X67" s="331"/>
      <c r="Y67" s="331"/>
    </row>
    <row r="68" spans="1:25" ht="15" customHeight="1">
      <c r="A68" s="101" t="str">
        <f>IF(K68&gt;0,COUNT($A$8:A67)
+COUNT('DWV PVC'!$A$9:$A$316)
+COUNT('DWV ABS'!$A$8:$A$116)
+COUNT('PVC SCH40'!$A$8:$A$424)
+COUNT('PVC SCH40 LD'!$A$8:$A$21)
+COUNT('Pool &amp; SPA Sweep Elbows'!$A$8:$A$11)
+COUNT('Pool &amp; SPA Pipe Extender'!$A$8:$A$10)
+COUNT('PVC SCH80'!$A$8:$A$249)
+COUNT('PVC SCH80 Flange'!$A$8:$A$48)
+COUNT('PVC SCH80 LD Flange'!$A$8:$A$16)
+COUNT(CPVC!$A$9:$A$104)+1,"")</f>
        <v/>
      </c>
      <c r="B68" s="431" t="s">
        <v>5753</v>
      </c>
      <c r="C68" s="332"/>
      <c r="D68" s="333"/>
      <c r="E68" s="333"/>
      <c r="F68" s="333"/>
      <c r="G68" s="333"/>
      <c r="H68" s="333"/>
      <c r="I68" s="333"/>
      <c r="J68" s="334"/>
      <c r="K68" s="333"/>
      <c r="L68" s="333"/>
      <c r="M68" s="335"/>
      <c r="O68" s="525"/>
      <c r="P68" s="333"/>
      <c r="Q68" s="509"/>
      <c r="R68" s="509"/>
      <c r="S68" s="509"/>
      <c r="T68" s="333"/>
      <c r="U68" s="333"/>
      <c r="V68" s="333"/>
      <c r="W68" s="335"/>
    </row>
    <row r="69" spans="1:25" ht="27.75" customHeight="1">
      <c r="A69" s="101" t="str">
        <f>IF(K69&gt;0,COUNT($A$8:A68)
+COUNT('DWV PVC'!$A$9:$A$316)
+COUNT('DWV ABS'!$A$8:$A$116)
+COUNT('PVC SCH40'!$A$8:$A$424)
+COUNT('PVC SCH40 LD'!$A$8:$A$21)
+COUNT('Pool &amp; SPA Sweep Elbows'!$A$8:$A$11)
+COUNT('Pool &amp; SPA Pipe Extender'!$A$8:$A$10)
+COUNT('PVC SCH80'!$A$8:$A$249)
+COUNT('PVC SCH80 Flange'!$A$8:$A$48)
+COUNT('PVC SCH80 LD Flange'!$A$8:$A$16)
+COUNT(CPVC!$A$9:$A$104)+1,"")</f>
        <v/>
      </c>
      <c r="B69" s="608"/>
      <c r="C69" s="609"/>
      <c r="D69" s="443" t="str">
        <f>_xlfn.XLOOKUP(E69,'All Products'!D:D,'All Products'!C:C,FALSE)</f>
        <v>1406-101</v>
      </c>
      <c r="E69" s="153">
        <v>100021966</v>
      </c>
      <c r="F69" s="236" t="str">
        <f>_xlfn.XLOOKUP(E69,'All Products'!D:D,'All Products'!E:E,FALSE)</f>
        <v>3/4x1/2 ELL INSERT</v>
      </c>
      <c r="G69" s="153">
        <f>_xlfn.XLOOKUP(E69,'All Products'!D:D,'All Products'!F:F,FALSE)</f>
        <v>250</v>
      </c>
      <c r="H69" s="153">
        <f>_xlfn.XLOOKUP(E69,'All Products'!D:D,'All Products'!G:G,FALSE)</f>
        <v>18750</v>
      </c>
      <c r="I69" s="371">
        <f>_xlfn.XLOOKUP(E69,'All Products'!D:D,'All Products'!H:H)</f>
        <v>5.58</v>
      </c>
      <c r="J69" s="256">
        <f>ROUNDUP(I69*Order_Quote!$L$12,2)</f>
        <v>5.58</v>
      </c>
      <c r="K69" s="161"/>
      <c r="L69" s="113"/>
      <c r="M69" s="243">
        <f>K69/G69</f>
        <v>0</v>
      </c>
      <c r="O69" s="247" t="str">
        <f>_xlfn.XLOOKUP(E69,'All Products'!D:D,'All Products'!I:I,FALSE)</f>
        <v>Within 3 Weeks</v>
      </c>
      <c r="P69" s="247" t="str">
        <f>_xlfn.XLOOKUP(E69,'All Products'!D:D,'All Products'!J:J,FALSE)</f>
        <v>Manufactured</v>
      </c>
      <c r="Q69" s="508">
        <f>_xlfn.XLOOKUP(E69,'All Products'!D:D,'All Products'!K:K,FALSE)</f>
        <v>49081105907</v>
      </c>
      <c r="R69" s="508">
        <f>_xlfn.XLOOKUP(E69,'All Products'!D:D,'All Products'!L:L,FALSE)</f>
        <v>49081605902</v>
      </c>
      <c r="S69" s="508">
        <f>_xlfn.XLOOKUP(E69,'All Products'!D:D,'All Products'!M:M,FALSE)</f>
        <v>40049081105905</v>
      </c>
      <c r="T69" s="264">
        <f>_xlfn.XLOOKUP(E69,'All Products'!D:D,'All Products'!N:N,FALSE)</f>
        <v>4.2999999999999997E-2</v>
      </c>
      <c r="U69" s="215">
        <f>_xlfn.XLOOKUP(E69,'All Products'!D:D,'All Products'!O:O,FALSE)</f>
        <v>10</v>
      </c>
      <c r="V69" s="265">
        <f>_xlfn.XLOOKUP(E69,'All Products'!D:D,'All Products'!P:P,FALSE)</f>
        <v>10.41</v>
      </c>
      <c r="W69" s="265">
        <f>_xlfn.XLOOKUP(E69,'All Products'!D:D,'All Products'!Q:Q,FALSE)</f>
        <v>0.65</v>
      </c>
      <c r="X69" s="331"/>
      <c r="Y69" s="331"/>
    </row>
    <row r="70" spans="1:25" ht="27.75" customHeight="1">
      <c r="A70" s="101" t="str">
        <f>IF(K70&gt;0,COUNT($A$8:A69)
+COUNT('DWV PVC'!$A$9:$A$316)
+COUNT('DWV ABS'!$A$8:$A$116)
+COUNT('PVC SCH40'!$A$8:$A$424)
+COUNT('PVC SCH40 LD'!$A$8:$A$21)
+COUNT('Pool &amp; SPA Sweep Elbows'!$A$8:$A$11)
+COUNT('Pool &amp; SPA Pipe Extender'!$A$8:$A$10)
+COUNT('PVC SCH80'!$A$8:$A$249)
+COUNT('PVC SCH80 Flange'!$A$8:$A$48)
+COUNT('PVC SCH80 LD Flange'!$A$8:$A$16)
+COUNT(CPVC!$A$9:$A$104)+1,"")</f>
        <v/>
      </c>
      <c r="B70" s="612"/>
      <c r="C70" s="613"/>
      <c r="D70" s="443" t="str">
        <f>_xlfn.XLOOKUP(E70,'All Products'!D:D,'All Products'!C:C,FALSE)</f>
        <v>1406-131</v>
      </c>
      <c r="E70" s="103">
        <v>100021969</v>
      </c>
      <c r="F70" s="236" t="str">
        <f>_xlfn.XLOOKUP(E70,'All Products'!D:D,'All Products'!E:E,FALSE)</f>
        <v>1X3/4 ELL INSERT</v>
      </c>
      <c r="G70" s="153">
        <f>_xlfn.XLOOKUP(E70,'All Products'!D:D,'All Products'!F:F,FALSE)</f>
        <v>100</v>
      </c>
      <c r="H70" s="153">
        <f>_xlfn.XLOOKUP(E70,'All Products'!D:D,'All Products'!G:G,FALSE)</f>
        <v>9000</v>
      </c>
      <c r="I70" s="372">
        <f>_xlfn.XLOOKUP(E70,'All Products'!D:D,'All Products'!H:H)</f>
        <v>6.89</v>
      </c>
      <c r="J70" s="256">
        <f>ROUNDUP(I70*Order_Quote!$L$12,2)</f>
        <v>6.89</v>
      </c>
      <c r="K70" s="75"/>
      <c r="L70" s="113"/>
      <c r="M70" s="171">
        <f>K70/G70</f>
        <v>0</v>
      </c>
      <c r="O70" s="247" t="str">
        <f>_xlfn.XLOOKUP(E70,'All Products'!D:D,'All Products'!I:I,FALSE)</f>
        <v>In Stock</v>
      </c>
      <c r="P70" s="247" t="str">
        <f>_xlfn.XLOOKUP(E70,'All Products'!D:D,'All Products'!J:J,FALSE)</f>
        <v>Manufactured</v>
      </c>
      <c r="Q70" s="508">
        <f>_xlfn.XLOOKUP(E70,'All Products'!D:D,'All Products'!K:K,FALSE)</f>
        <v>49081105914</v>
      </c>
      <c r="R70" s="508">
        <f>_xlfn.XLOOKUP(E70,'All Products'!D:D,'All Products'!L:L,FALSE)</f>
        <v>49081605919</v>
      </c>
      <c r="S70" s="508">
        <f>_xlfn.XLOOKUP(E70,'All Products'!D:D,'All Products'!M:M,FALSE)</f>
        <v>40049081105912</v>
      </c>
      <c r="T70" s="264">
        <f>_xlfn.XLOOKUP(E70,'All Products'!D:D,'All Products'!N:N,FALSE)</f>
        <v>6.7000000000000004E-2</v>
      </c>
      <c r="U70" s="215">
        <f>_xlfn.XLOOKUP(E70,'All Products'!D:D,'All Products'!O:O,FALSE)</f>
        <v>10</v>
      </c>
      <c r="V70" s="265">
        <f>_xlfn.XLOOKUP(E70,'All Products'!D:D,'All Products'!P:P,FALSE)</f>
        <v>7.02</v>
      </c>
      <c r="W70" s="265">
        <f>_xlfn.XLOOKUP(E70,'All Products'!D:D,'All Products'!Q:Q,FALSE)</f>
        <v>0.5</v>
      </c>
      <c r="X70" s="331"/>
      <c r="Y70" s="331"/>
    </row>
    <row r="71" spans="1:25" ht="15" customHeight="1">
      <c r="A71" s="101" t="str">
        <f>IF(K71&gt;0,COUNT($A$8:A70)
+COUNT('DWV PVC'!$A$9:$A$316)
+COUNT('DWV ABS'!$A$8:$A$116)
+COUNT('PVC SCH40'!$A$8:$A$424)
+COUNT('PVC SCH40 LD'!$A$8:$A$21)
+COUNT('Pool &amp; SPA Sweep Elbows'!$A$8:$A$11)
+COUNT('Pool &amp; SPA Pipe Extender'!$A$8:$A$10)
+COUNT('PVC SCH80'!$A$8:$A$249)
+COUNT('PVC SCH80 Flange'!$A$8:$A$48)
+COUNT('PVC SCH80 LD Flange'!$A$8:$A$16)
+COUNT(CPVC!$A$9:$A$104)+1,"")</f>
        <v/>
      </c>
      <c r="B71" s="431" t="s">
        <v>5754</v>
      </c>
      <c r="C71" s="332"/>
      <c r="D71" s="333"/>
      <c r="E71" s="333"/>
      <c r="F71" s="333"/>
      <c r="G71" s="333"/>
      <c r="H71" s="333"/>
      <c r="I71" s="333"/>
      <c r="J71" s="334"/>
      <c r="K71" s="333"/>
      <c r="L71" s="333"/>
      <c r="M71" s="335"/>
      <c r="O71" s="525"/>
      <c r="P71" s="333"/>
      <c r="Q71" s="509"/>
      <c r="R71" s="509"/>
      <c r="S71" s="509"/>
      <c r="T71" s="333"/>
      <c r="U71" s="333"/>
      <c r="V71" s="333"/>
      <c r="W71" s="335"/>
    </row>
    <row r="72" spans="1:25" ht="15" customHeight="1">
      <c r="A72" s="101" t="str">
        <f>IF(K72&gt;0,COUNT($A$8:A71)
+COUNT('DWV PVC'!$A$9:$A$316)
+COUNT('DWV ABS'!$A$8:$A$116)
+COUNT('PVC SCH40'!$A$8:$A$424)
+COUNT('PVC SCH40 LD'!$A$8:$A$21)
+COUNT('Pool &amp; SPA Sweep Elbows'!$A$8:$A$11)
+COUNT('Pool &amp; SPA Pipe Extender'!$A$8:$A$10)
+COUNT('PVC SCH80'!$A$8:$A$249)
+COUNT('PVC SCH80 Flange'!$A$8:$A$48)
+COUNT('PVC SCH80 LD Flange'!$A$8:$A$16)
+COUNT(CPVC!$A$9:$A$104)+1,"")</f>
        <v/>
      </c>
      <c r="B72" s="608"/>
      <c r="C72" s="609"/>
      <c r="D72" s="443" t="str">
        <f>_xlfn.XLOOKUP(E72,'All Products'!D:D,'All Products'!C:C,FALSE)</f>
        <v>1407-005</v>
      </c>
      <c r="E72" s="153">
        <v>100021974</v>
      </c>
      <c r="F72" s="236" t="str">
        <f>_xlfn.XLOOKUP(E72,'All Products'!D:D,'All Products'!E:E,FALSE)</f>
        <v>1/2 ELL INS/FPT</v>
      </c>
      <c r="G72" s="153">
        <f>_xlfn.XLOOKUP(E72,'All Products'!D:D,'All Products'!F:F,FALSE)</f>
        <v>250</v>
      </c>
      <c r="H72" s="153">
        <f>_xlfn.XLOOKUP(E72,'All Products'!D:D,'All Products'!G:G,FALSE)</f>
        <v>15000</v>
      </c>
      <c r="I72" s="371">
        <f>_xlfn.XLOOKUP(E72,'All Products'!D:D,'All Products'!H:H)</f>
        <v>5.44</v>
      </c>
      <c r="J72" s="256">
        <f>ROUNDUP(I72*Order_Quote!$L$12,2)</f>
        <v>5.44</v>
      </c>
      <c r="K72" s="257"/>
      <c r="L72" s="166"/>
      <c r="M72" s="259">
        <f t="shared" ref="M72:M77" si="4">K72/G72</f>
        <v>0</v>
      </c>
      <c r="O72" s="247" t="str">
        <f>_xlfn.XLOOKUP(E72,'All Products'!D:D,'All Products'!I:I,FALSE)</f>
        <v>In Stock</v>
      </c>
      <c r="P72" s="247" t="str">
        <f>_xlfn.XLOOKUP(E72,'All Products'!D:D,'All Products'!J:J,FALSE)</f>
        <v>Manufactured</v>
      </c>
      <c r="Q72" s="508">
        <f>_xlfn.XLOOKUP(E72,'All Products'!D:D,'All Products'!K:K,FALSE)</f>
        <v>49081105952</v>
      </c>
      <c r="R72" s="508">
        <f>_xlfn.XLOOKUP(E72,'All Products'!D:D,'All Products'!L:L,FALSE)</f>
        <v>49081605957</v>
      </c>
      <c r="S72" s="508">
        <f>_xlfn.XLOOKUP(E72,'All Products'!D:D,'All Products'!M:M,FALSE)</f>
        <v>40049081105950</v>
      </c>
      <c r="T72" s="264">
        <f>_xlfn.XLOOKUP(E72,'All Products'!D:D,'All Products'!N:N,FALSE)</f>
        <v>6.2E-2</v>
      </c>
      <c r="U72" s="215">
        <f>_xlfn.XLOOKUP(E72,'All Products'!D:D,'All Products'!O:O,FALSE)</f>
        <v>10</v>
      </c>
      <c r="V72" s="265">
        <f>_xlfn.XLOOKUP(E72,'All Products'!D:D,'All Products'!P:P,FALSE)</f>
        <v>16.59</v>
      </c>
      <c r="W72" s="265">
        <f>_xlfn.XLOOKUP(E72,'All Products'!D:D,'All Products'!Q:Q,FALSE)</f>
        <v>0.65</v>
      </c>
      <c r="X72" s="331"/>
      <c r="Y72" s="331"/>
    </row>
    <row r="73" spans="1:25" ht="15" customHeight="1">
      <c r="A73" s="101" t="str">
        <f>IF(K73&gt;0,COUNT($A$8:A72)
+COUNT('DWV PVC'!$A$9:$A$316)
+COUNT('DWV ABS'!$A$8:$A$116)
+COUNT('PVC SCH40'!$A$8:$A$424)
+COUNT('PVC SCH40 LD'!$A$8:$A$21)
+COUNT('Pool &amp; SPA Sweep Elbows'!$A$8:$A$11)
+COUNT('Pool &amp; SPA Pipe Extender'!$A$8:$A$10)
+COUNT('PVC SCH80'!$A$8:$A$249)
+COUNT('PVC SCH80 Flange'!$A$8:$A$48)
+COUNT('PVC SCH80 LD Flange'!$A$8:$A$16)
+COUNT(CPVC!$A$9:$A$104)+1,"")</f>
        <v/>
      </c>
      <c r="B73" s="610"/>
      <c r="C73" s="611"/>
      <c r="D73" s="443" t="str">
        <f>_xlfn.XLOOKUP(E73,'All Products'!D:D,'All Products'!C:C,FALSE)</f>
        <v>1407-007</v>
      </c>
      <c r="E73" s="103">
        <v>100021976</v>
      </c>
      <c r="F73" s="236" t="str">
        <f>_xlfn.XLOOKUP(E73,'All Products'!D:D,'All Products'!E:E,FALSE)</f>
        <v>3/4 ELL INS/FPT</v>
      </c>
      <c r="G73" s="153">
        <f>_xlfn.XLOOKUP(E73,'All Products'!D:D,'All Products'!F:F,FALSE)</f>
        <v>250</v>
      </c>
      <c r="H73" s="153">
        <f>_xlfn.XLOOKUP(E73,'All Products'!D:D,'All Products'!G:G,FALSE)</f>
        <v>11250</v>
      </c>
      <c r="I73" s="372">
        <f>_xlfn.XLOOKUP(E73,'All Products'!D:D,'All Products'!H:H)</f>
        <v>5.96</v>
      </c>
      <c r="J73" s="256">
        <f>ROUNDUP(I73*Order_Quote!$L$12,2)</f>
        <v>5.96</v>
      </c>
      <c r="K73" s="161"/>
      <c r="L73" s="166"/>
      <c r="M73" s="243">
        <f t="shared" si="4"/>
        <v>0</v>
      </c>
      <c r="O73" s="247" t="str">
        <f>_xlfn.XLOOKUP(E73,'All Products'!D:D,'All Products'!I:I,FALSE)</f>
        <v>In Stock</v>
      </c>
      <c r="P73" s="247" t="str">
        <f>_xlfn.XLOOKUP(E73,'All Products'!D:D,'All Products'!J:J,FALSE)</f>
        <v>Manufactured</v>
      </c>
      <c r="Q73" s="508">
        <f>_xlfn.XLOOKUP(E73,'All Products'!D:D,'All Products'!K:K,FALSE)</f>
        <v>49081105976</v>
      </c>
      <c r="R73" s="508">
        <f>_xlfn.XLOOKUP(E73,'All Products'!D:D,'All Products'!L:L,FALSE)</f>
        <v>49081605971</v>
      </c>
      <c r="S73" s="508">
        <f>_xlfn.XLOOKUP(E73,'All Products'!D:D,'All Products'!M:M,FALSE)</f>
        <v>40049081105974</v>
      </c>
      <c r="T73" s="264">
        <f>_xlfn.XLOOKUP(E73,'All Products'!D:D,'All Products'!N:N,FALSE)</f>
        <v>8.2000000000000003E-2</v>
      </c>
      <c r="U73" s="215">
        <f>_xlfn.XLOOKUP(E73,'All Products'!D:D,'All Products'!O:O,FALSE)</f>
        <v>10</v>
      </c>
      <c r="V73" s="265">
        <f>_xlfn.XLOOKUP(E73,'All Products'!D:D,'All Products'!P:P,FALSE)</f>
        <v>22.79</v>
      </c>
      <c r="W73" s="265">
        <f>_xlfn.XLOOKUP(E73,'All Products'!D:D,'All Products'!Q:Q,FALSE)</f>
        <v>0.95</v>
      </c>
      <c r="X73" s="331"/>
      <c r="Y73" s="331"/>
    </row>
    <row r="74" spans="1:25" ht="15" customHeight="1">
      <c r="A74" s="101" t="str">
        <f>IF(K74&gt;0,COUNT($A$8:A73)
+COUNT('DWV PVC'!$A$9:$A$316)
+COUNT('DWV ABS'!$A$8:$A$116)
+COUNT('PVC SCH40'!$A$8:$A$424)
+COUNT('PVC SCH40 LD'!$A$8:$A$21)
+COUNT('Pool &amp; SPA Sweep Elbows'!$A$8:$A$11)
+COUNT('Pool &amp; SPA Pipe Extender'!$A$8:$A$10)
+COUNT('PVC SCH80'!$A$8:$A$249)
+COUNT('PVC SCH80 Flange'!$A$8:$A$48)
+COUNT('PVC SCH80 LD Flange'!$A$8:$A$16)
+COUNT(CPVC!$A$9:$A$104)+1,"")</f>
        <v/>
      </c>
      <c r="B74" s="610"/>
      <c r="C74" s="611"/>
      <c r="D74" s="443" t="str">
        <f>_xlfn.XLOOKUP(E74,'All Products'!D:D,'All Products'!C:C,FALSE)</f>
        <v>1407-010</v>
      </c>
      <c r="E74" s="103">
        <v>100021978</v>
      </c>
      <c r="F74" s="236" t="str">
        <f>_xlfn.XLOOKUP(E74,'All Products'!D:D,'All Products'!E:E,FALSE)</f>
        <v>1 ELL INS/FPT</v>
      </c>
      <c r="G74" s="153">
        <f>_xlfn.XLOOKUP(E74,'All Products'!D:D,'All Products'!F:F,FALSE)</f>
        <v>100</v>
      </c>
      <c r="H74" s="153">
        <f>_xlfn.XLOOKUP(E74,'All Products'!D:D,'All Products'!G:G,FALSE)</f>
        <v>6000</v>
      </c>
      <c r="I74" s="372">
        <f>_xlfn.XLOOKUP(E74,'All Products'!D:D,'All Products'!H:H)</f>
        <v>7.61</v>
      </c>
      <c r="J74" s="256">
        <f>ROUNDUP(I74*Order_Quote!$L$12,2)</f>
        <v>7.61</v>
      </c>
      <c r="K74" s="75"/>
      <c r="L74" s="113"/>
      <c r="M74" s="171">
        <f t="shared" si="4"/>
        <v>0</v>
      </c>
      <c r="O74" s="247" t="str">
        <f>_xlfn.XLOOKUP(E74,'All Products'!D:D,'All Products'!I:I,FALSE)</f>
        <v>In Stock</v>
      </c>
      <c r="P74" s="247" t="str">
        <f>_xlfn.XLOOKUP(E74,'All Products'!D:D,'All Products'!J:J,FALSE)</f>
        <v>Manufactured</v>
      </c>
      <c r="Q74" s="508">
        <f>_xlfn.XLOOKUP(E74,'All Products'!D:D,'All Products'!K:K,FALSE)</f>
        <v>49081106003</v>
      </c>
      <c r="R74" s="508">
        <f>_xlfn.XLOOKUP(E74,'All Products'!D:D,'All Products'!L:L,FALSE)</f>
        <v>49081606008</v>
      </c>
      <c r="S74" s="508">
        <f>_xlfn.XLOOKUP(E74,'All Products'!D:D,'All Products'!M:M,FALSE)</f>
        <v>40049081106001</v>
      </c>
      <c r="T74" s="264">
        <f>_xlfn.XLOOKUP(E74,'All Products'!D:D,'All Products'!N:N,FALSE)</f>
        <v>0.154</v>
      </c>
      <c r="U74" s="215">
        <f>_xlfn.XLOOKUP(E74,'All Products'!D:D,'All Products'!O:O,FALSE)</f>
        <v>10</v>
      </c>
      <c r="V74" s="265">
        <f>_xlfn.XLOOKUP(E74,'All Products'!D:D,'All Products'!P:P,FALSE)</f>
        <v>15.85</v>
      </c>
      <c r="W74" s="265">
        <f>_xlfn.XLOOKUP(E74,'All Products'!D:D,'All Products'!Q:Q,FALSE)</f>
        <v>0.8</v>
      </c>
      <c r="X74" s="331"/>
      <c r="Y74" s="331"/>
    </row>
    <row r="75" spans="1:25" ht="15" customHeight="1">
      <c r="A75" s="101" t="str">
        <f>IF(K75&gt;0,COUNT($A$8:A74)
+COUNT('DWV PVC'!$A$9:$A$316)
+COUNT('DWV ABS'!$A$8:$A$116)
+COUNT('PVC SCH40'!$A$8:$A$424)
+COUNT('PVC SCH40 LD'!$A$8:$A$21)
+COUNT('Pool &amp; SPA Sweep Elbows'!$A$8:$A$11)
+COUNT('Pool &amp; SPA Pipe Extender'!$A$8:$A$10)
+COUNT('PVC SCH80'!$A$8:$A$249)
+COUNT('PVC SCH80 Flange'!$A$8:$A$48)
+COUNT('PVC SCH80 LD Flange'!$A$8:$A$16)
+COUNT(CPVC!$A$9:$A$104)+1,"")</f>
        <v/>
      </c>
      <c r="B75" s="610"/>
      <c r="C75" s="611"/>
      <c r="D75" s="443" t="str">
        <f>_xlfn.XLOOKUP(E75,'All Products'!D:D,'All Products'!C:C,FALSE)</f>
        <v>1407-012</v>
      </c>
      <c r="E75" s="103">
        <v>100021979</v>
      </c>
      <c r="F75" s="236" t="str">
        <f>_xlfn.XLOOKUP(E75,'All Products'!D:D,'All Products'!E:E,FALSE)</f>
        <v>1-1/4 ELL INS/FPT</v>
      </c>
      <c r="G75" s="153">
        <f>_xlfn.XLOOKUP(E75,'All Products'!D:D,'All Products'!F:F,FALSE)</f>
        <v>50</v>
      </c>
      <c r="H75" s="153">
        <f>_xlfn.XLOOKUP(E75,'All Products'!D:D,'All Products'!G:G,FALSE)</f>
        <v>3750</v>
      </c>
      <c r="I75" s="372">
        <f>_xlfn.XLOOKUP(E75,'All Products'!D:D,'All Products'!H:H)</f>
        <v>11.24</v>
      </c>
      <c r="J75" s="256">
        <f>ROUNDUP(I75*Order_Quote!$L$12,2)</f>
        <v>11.24</v>
      </c>
      <c r="K75" s="75"/>
      <c r="L75" s="113"/>
      <c r="M75" s="171">
        <f t="shared" si="4"/>
        <v>0</v>
      </c>
      <c r="O75" s="247" t="str">
        <f>_xlfn.XLOOKUP(E75,'All Products'!D:D,'All Products'!I:I,FALSE)</f>
        <v>Within 3 Weeks</v>
      </c>
      <c r="P75" s="247" t="str">
        <f>_xlfn.XLOOKUP(E75,'All Products'!D:D,'All Products'!J:J,FALSE)</f>
        <v>Manufactured</v>
      </c>
      <c r="Q75" s="508">
        <f>_xlfn.XLOOKUP(E75,'All Products'!D:D,'All Products'!K:K,FALSE)</f>
        <v>49081106041</v>
      </c>
      <c r="R75" s="508">
        <f>_xlfn.XLOOKUP(E75,'All Products'!D:D,'All Products'!L:L,FALSE)</f>
        <v>49081606046</v>
      </c>
      <c r="S75" s="508">
        <f>_xlfn.XLOOKUP(E75,'All Products'!D:D,'All Products'!M:M,FALSE)</f>
        <v>40049081106049</v>
      </c>
      <c r="T75" s="264">
        <f>_xlfn.XLOOKUP(E75,'All Products'!D:D,'All Products'!N:N,FALSE)</f>
        <v>0.17899999999999999</v>
      </c>
      <c r="U75" s="215">
        <f>_xlfn.XLOOKUP(E75,'All Products'!D:D,'All Products'!O:O,FALSE)</f>
        <v>5</v>
      </c>
      <c r="V75" s="265">
        <f>_xlfn.XLOOKUP(E75,'All Products'!D:D,'All Products'!P:P,FALSE)</f>
        <v>10.130000000000001</v>
      </c>
      <c r="W75" s="265">
        <f>_xlfn.XLOOKUP(E75,'All Products'!D:D,'All Products'!Q:Q,FALSE)</f>
        <v>0.65</v>
      </c>
      <c r="X75" s="331"/>
      <c r="Y75" s="331"/>
    </row>
    <row r="76" spans="1:25" ht="15" customHeight="1">
      <c r="A76" s="101" t="str">
        <f>IF(K76&gt;0,COUNT($A$8:A75)
+COUNT('DWV PVC'!$A$9:$A$316)
+COUNT('DWV ABS'!$A$8:$A$116)
+COUNT('PVC SCH40'!$A$8:$A$424)
+COUNT('PVC SCH40 LD'!$A$8:$A$21)
+COUNT('Pool &amp; SPA Sweep Elbows'!$A$8:$A$11)
+COUNT('Pool &amp; SPA Pipe Extender'!$A$8:$A$10)
+COUNT('PVC SCH80'!$A$8:$A$249)
+COUNT('PVC SCH80 Flange'!$A$8:$A$48)
+COUNT('PVC SCH80 LD Flange'!$A$8:$A$16)
+COUNT(CPVC!$A$9:$A$104)+1,"")</f>
        <v/>
      </c>
      <c r="B76" s="610"/>
      <c r="C76" s="611"/>
      <c r="D76" s="443" t="str">
        <f>_xlfn.XLOOKUP(E76,'All Products'!D:D,'All Products'!C:C,FALSE)</f>
        <v>1407-015</v>
      </c>
      <c r="E76" s="103">
        <v>100021980</v>
      </c>
      <c r="F76" s="236" t="str">
        <f>_xlfn.XLOOKUP(E76,'All Products'!D:D,'All Products'!E:E,FALSE)</f>
        <v>1-1/2 ELL INS/FPT</v>
      </c>
      <c r="G76" s="153">
        <f>_xlfn.XLOOKUP(E76,'All Products'!D:D,'All Products'!F:F,FALSE)</f>
        <v>50</v>
      </c>
      <c r="H76" s="153">
        <f>_xlfn.XLOOKUP(E76,'All Products'!D:D,'All Products'!G:G,FALSE)</f>
        <v>3000</v>
      </c>
      <c r="I76" s="372">
        <f>_xlfn.XLOOKUP(E76,'All Products'!D:D,'All Products'!H:H)</f>
        <v>12.8</v>
      </c>
      <c r="J76" s="256">
        <f>ROUNDUP(I76*Order_Quote!$L$12,2)</f>
        <v>12.8</v>
      </c>
      <c r="K76" s="75"/>
      <c r="L76" s="113"/>
      <c r="M76" s="171">
        <f t="shared" si="4"/>
        <v>0</v>
      </c>
      <c r="O76" s="247" t="str">
        <f>_xlfn.XLOOKUP(E76,'All Products'!D:D,'All Products'!I:I,FALSE)</f>
        <v>In Stock</v>
      </c>
      <c r="P76" s="247" t="str">
        <f>_xlfn.XLOOKUP(E76,'All Products'!D:D,'All Products'!J:J,FALSE)</f>
        <v>Manufactured</v>
      </c>
      <c r="Q76" s="508">
        <f>_xlfn.XLOOKUP(E76,'All Products'!D:D,'All Products'!K:K,FALSE)</f>
        <v>49081106072</v>
      </c>
      <c r="R76" s="508">
        <f>_xlfn.XLOOKUP(E76,'All Products'!D:D,'All Products'!L:L,FALSE)</f>
        <v>49081606077</v>
      </c>
      <c r="S76" s="508">
        <f>_xlfn.XLOOKUP(E76,'All Products'!D:D,'All Products'!M:M,FALSE)</f>
        <v>40049081106070</v>
      </c>
      <c r="T76" s="264">
        <f>_xlfn.XLOOKUP(E76,'All Products'!D:D,'All Products'!N:N,FALSE)</f>
        <v>0.23</v>
      </c>
      <c r="U76" s="215">
        <f>_xlfn.XLOOKUP(E76,'All Products'!D:D,'All Products'!O:O,FALSE)</f>
        <v>5</v>
      </c>
      <c r="V76" s="265">
        <f>_xlfn.XLOOKUP(E76,'All Products'!D:D,'All Products'!P:P,FALSE)</f>
        <v>12.29</v>
      </c>
      <c r="W76" s="265">
        <f>_xlfn.XLOOKUP(E76,'All Products'!D:D,'All Products'!Q:Q,FALSE)</f>
        <v>0.8</v>
      </c>
      <c r="X76" s="331"/>
      <c r="Y76" s="331"/>
    </row>
    <row r="77" spans="1:25" ht="15" customHeight="1">
      <c r="A77" s="101" t="str">
        <f>IF(K77&gt;0,COUNT($A$8:A76)
+COUNT('DWV PVC'!$A$9:$A$316)
+COUNT('DWV ABS'!$A$8:$A$116)
+COUNT('PVC SCH40'!$A$8:$A$424)
+COUNT('PVC SCH40 LD'!$A$8:$A$21)
+COUNT('Pool &amp; SPA Sweep Elbows'!$A$8:$A$11)
+COUNT('Pool &amp; SPA Pipe Extender'!$A$8:$A$10)
+COUNT('PVC SCH80'!$A$8:$A$249)
+COUNT('PVC SCH80 Flange'!$A$8:$A$48)
+COUNT('PVC SCH80 LD Flange'!$A$8:$A$16)
+COUNT(CPVC!$A$9:$A$104)+1,"")</f>
        <v/>
      </c>
      <c r="B77" s="612"/>
      <c r="C77" s="613"/>
      <c r="D77" s="443" t="str">
        <f>_xlfn.XLOOKUP(E77,'All Products'!D:D,'All Products'!C:C,FALSE)</f>
        <v>1407-020</v>
      </c>
      <c r="E77" s="103">
        <v>100021981</v>
      </c>
      <c r="F77" s="236" t="str">
        <f>_xlfn.XLOOKUP(E77,'All Products'!D:D,'All Products'!E:E,FALSE)</f>
        <v>2 ELL INS/FPT</v>
      </c>
      <c r="G77" s="153">
        <f>_xlfn.XLOOKUP(E77,'All Products'!D:D,'All Products'!F:F,FALSE)</f>
        <v>25</v>
      </c>
      <c r="H77" s="153">
        <f>_xlfn.XLOOKUP(E77,'All Products'!D:D,'All Products'!G:G,FALSE)</f>
        <v>1500</v>
      </c>
      <c r="I77" s="372">
        <f>_xlfn.XLOOKUP(E77,'All Products'!D:D,'All Products'!H:H)</f>
        <v>21.6</v>
      </c>
      <c r="J77" s="256">
        <f>ROUNDUP(I77*Order_Quote!$L$12,2)</f>
        <v>21.6</v>
      </c>
      <c r="K77" s="75"/>
      <c r="L77" s="239"/>
      <c r="M77" s="171">
        <f t="shared" si="4"/>
        <v>0</v>
      </c>
      <c r="O77" s="247" t="str">
        <f>_xlfn.XLOOKUP(E77,'All Products'!D:D,'All Products'!I:I,FALSE)</f>
        <v>In Stock</v>
      </c>
      <c r="P77" s="247" t="str">
        <f>_xlfn.XLOOKUP(E77,'All Products'!D:D,'All Products'!J:J,FALSE)</f>
        <v>Manufactured</v>
      </c>
      <c r="Q77" s="508">
        <f>_xlfn.XLOOKUP(E77,'All Products'!D:D,'All Products'!K:K,FALSE)</f>
        <v>49081106096</v>
      </c>
      <c r="R77" s="508">
        <f>_xlfn.XLOOKUP(E77,'All Products'!D:D,'All Products'!L:L,FALSE)</f>
        <v>49081606091</v>
      </c>
      <c r="S77" s="508">
        <f>_xlfn.XLOOKUP(E77,'All Products'!D:D,'All Products'!M:M,FALSE)</f>
        <v>40049081106094</v>
      </c>
      <c r="T77" s="264">
        <f>_xlfn.XLOOKUP(E77,'All Products'!D:D,'All Products'!N:N,FALSE)</f>
        <v>0.375</v>
      </c>
      <c r="U77" s="215">
        <f>_xlfn.XLOOKUP(E77,'All Products'!D:D,'All Products'!O:O,FALSE)</f>
        <v>5</v>
      </c>
      <c r="V77" s="265">
        <f>_xlfn.XLOOKUP(E77,'All Products'!D:D,'All Products'!P:P,FALSE)</f>
        <v>9.4</v>
      </c>
      <c r="W77" s="265">
        <f>_xlfn.XLOOKUP(E77,'All Products'!D:D,'All Products'!Q:Q,FALSE)</f>
        <v>0.8</v>
      </c>
      <c r="X77" s="331"/>
      <c r="Y77" s="331"/>
    </row>
    <row r="78" spans="1:25" ht="15" customHeight="1">
      <c r="A78" s="101" t="str">
        <f>IF(K78&gt;0,COUNT($A$8:A77)
+COUNT('DWV PVC'!$A$9:$A$316)
+COUNT('DWV ABS'!$A$8:$A$116)
+COUNT('PVC SCH40'!$A$8:$A$424)
+COUNT('PVC SCH40 LD'!$A$8:$A$21)
+COUNT('Pool &amp; SPA Sweep Elbows'!$A$8:$A$11)
+COUNT('Pool &amp; SPA Pipe Extender'!$A$8:$A$10)
+COUNT('PVC SCH80'!$A$8:$A$249)
+COUNT('PVC SCH80 Flange'!$A$8:$A$48)
+COUNT('PVC SCH80 LD Flange'!$A$8:$A$16)
+COUNT(CPVC!$A$9:$A$104)+1,"")</f>
        <v/>
      </c>
      <c r="B78" s="431" t="s">
        <v>5755</v>
      </c>
      <c r="C78" s="332"/>
      <c r="D78" s="333"/>
      <c r="E78" s="333"/>
      <c r="F78" s="333"/>
      <c r="G78" s="333"/>
      <c r="H78" s="333"/>
      <c r="I78" s="333"/>
      <c r="J78" s="334"/>
      <c r="K78" s="333"/>
      <c r="L78" s="333"/>
      <c r="M78" s="335"/>
      <c r="O78" s="525"/>
      <c r="P78" s="333"/>
      <c r="Q78" s="509"/>
      <c r="R78" s="509"/>
      <c r="S78" s="509"/>
      <c r="T78" s="333"/>
      <c r="U78" s="333"/>
      <c r="V78" s="333"/>
      <c r="W78" s="333"/>
    </row>
    <row r="79" spans="1:25" ht="15" customHeight="1">
      <c r="A79" s="101" t="str">
        <f>IF(K79&gt;0,COUNT($A$8:A78)
+COUNT('DWV PVC'!$A$9:$A$316)
+COUNT('DWV ABS'!$A$8:$A$116)
+COUNT('PVC SCH40'!$A$8:$A$424)
+COUNT('PVC SCH40 LD'!$A$8:$A$21)
+COUNT('Pool &amp; SPA Sweep Elbows'!$A$8:$A$11)
+COUNT('Pool &amp; SPA Pipe Extender'!$A$8:$A$10)
+COUNT('PVC SCH80'!$A$8:$A$249)
+COUNT('PVC SCH80 Flange'!$A$8:$A$48)
+COUNT('PVC SCH80 LD Flange'!$A$8:$A$16)
+COUNT(CPVC!$A$9:$A$104)+1,"")</f>
        <v/>
      </c>
      <c r="B79" s="608"/>
      <c r="C79" s="609"/>
      <c r="D79" s="443" t="str">
        <f>_xlfn.XLOOKUP(E79,'All Products'!D:D,'All Products'!C:C,FALSE)</f>
        <v>1407-101</v>
      </c>
      <c r="E79" s="103">
        <v>100021984</v>
      </c>
      <c r="F79" s="236" t="str">
        <f>_xlfn.XLOOKUP(E79,'All Products'!D:D,'All Products'!E:E,FALSE)</f>
        <v>3/4X1/2 ELL INS/FPT</v>
      </c>
      <c r="G79" s="153">
        <f>_xlfn.XLOOKUP(E79,'All Products'!D:D,'All Products'!F:F,FALSE)</f>
        <v>250</v>
      </c>
      <c r="H79" s="153">
        <f>_xlfn.XLOOKUP(E79,'All Products'!D:D,'All Products'!G:G,FALSE)</f>
        <v>15000</v>
      </c>
      <c r="I79" s="372">
        <f>_xlfn.XLOOKUP(E79,'All Products'!D:D,'All Products'!H:H)</f>
        <v>5.58</v>
      </c>
      <c r="J79" s="256">
        <f>ROUNDUP(I79*Order_Quote!$L$12,2)</f>
        <v>5.58</v>
      </c>
      <c r="K79" s="75"/>
      <c r="L79" s="113"/>
      <c r="M79" s="171">
        <f t="shared" ref="M79:M84" si="5">K79/G79</f>
        <v>0</v>
      </c>
      <c r="O79" s="247" t="str">
        <f>_xlfn.XLOOKUP(E79,'All Products'!D:D,'All Products'!I:I,FALSE)</f>
        <v>In Stock</v>
      </c>
      <c r="P79" s="247" t="str">
        <f>_xlfn.XLOOKUP(E79,'All Products'!D:D,'All Products'!J:J,FALSE)</f>
        <v>Manufactured</v>
      </c>
      <c r="Q79" s="508">
        <f>_xlfn.XLOOKUP(E79,'All Products'!D:D,'All Products'!K:K,FALSE)</f>
        <v>49081105969</v>
      </c>
      <c r="R79" s="508">
        <f>_xlfn.XLOOKUP(E79,'All Products'!D:D,'All Products'!L:L,FALSE)</f>
        <v>49081605964</v>
      </c>
      <c r="S79" s="508">
        <f>_xlfn.XLOOKUP(E79,'All Products'!D:D,'All Products'!M:M,FALSE)</f>
        <v>40049081105967</v>
      </c>
      <c r="T79" s="264">
        <f>_xlfn.XLOOKUP(E79,'All Products'!D:D,'All Products'!N:N,FALSE)</f>
        <v>6.3E-2</v>
      </c>
      <c r="U79" s="215">
        <f>_xlfn.XLOOKUP(E79,'All Products'!D:D,'All Products'!O:O,FALSE)</f>
        <v>10</v>
      </c>
      <c r="V79" s="265">
        <f>_xlfn.XLOOKUP(E79,'All Products'!D:D,'All Products'!P:P,FALSE)</f>
        <v>17.440000000000001</v>
      </c>
      <c r="W79" s="265">
        <f>_xlfn.XLOOKUP(E79,'All Products'!D:D,'All Products'!Q:Q,FALSE)</f>
        <v>0.8</v>
      </c>
      <c r="X79" s="331"/>
      <c r="Y79" s="331"/>
    </row>
    <row r="80" spans="1:25" ht="15" customHeight="1">
      <c r="A80" s="101" t="str">
        <f>IF(K80&gt;0,COUNT($A$8:A79)
+COUNT('DWV PVC'!$A$9:$A$316)
+COUNT('DWV ABS'!$A$8:$A$116)
+COUNT('PVC SCH40'!$A$8:$A$424)
+COUNT('PVC SCH40 LD'!$A$8:$A$21)
+COUNT('Pool &amp; SPA Sweep Elbows'!$A$8:$A$11)
+COUNT('Pool &amp; SPA Pipe Extender'!$A$8:$A$10)
+COUNT('PVC SCH80'!$A$8:$A$249)
+COUNT('PVC SCH80 Flange'!$A$8:$A$48)
+COUNT('PVC SCH80 LD Flange'!$A$8:$A$16)
+COUNT(CPVC!$A$9:$A$104)+1,"")</f>
        <v/>
      </c>
      <c r="B80" s="610"/>
      <c r="C80" s="611"/>
      <c r="D80" s="443" t="str">
        <f>_xlfn.XLOOKUP(E80,'All Products'!D:D,'All Products'!C:C,FALSE)</f>
        <v>1407-130</v>
      </c>
      <c r="E80" s="103">
        <v>100021986</v>
      </c>
      <c r="F80" s="236" t="str">
        <f>_xlfn.XLOOKUP(E80,'All Products'!D:D,'All Products'!E:E,FALSE)</f>
        <v>1X1/2 ELL INS/FPT</v>
      </c>
      <c r="G80" s="153">
        <f>_xlfn.XLOOKUP(E80,'All Products'!D:D,'All Products'!F:F,FALSE)</f>
        <v>100</v>
      </c>
      <c r="H80" s="153">
        <f>_xlfn.XLOOKUP(E80,'All Products'!D:D,'All Products'!G:G,FALSE)</f>
        <v>9000</v>
      </c>
      <c r="I80" s="372">
        <f>_xlfn.XLOOKUP(E80,'All Products'!D:D,'All Products'!H:H)</f>
        <v>5.96</v>
      </c>
      <c r="J80" s="256">
        <f>ROUNDUP(I80*Order_Quote!$L$12,2)</f>
        <v>5.96</v>
      </c>
      <c r="K80" s="75"/>
      <c r="L80" s="113"/>
      <c r="M80" s="171">
        <f t="shared" si="5"/>
        <v>0</v>
      </c>
      <c r="O80" s="247" t="str">
        <f>_xlfn.XLOOKUP(E80,'All Products'!D:D,'All Products'!I:I,FALSE)</f>
        <v>In Stock</v>
      </c>
      <c r="P80" s="247" t="str">
        <f>_xlfn.XLOOKUP(E80,'All Products'!D:D,'All Products'!J:J,FALSE)</f>
        <v>Manufactured</v>
      </c>
      <c r="Q80" s="508">
        <f>_xlfn.XLOOKUP(E80,'All Products'!D:D,'All Products'!K:K,FALSE)</f>
        <v>49081105983</v>
      </c>
      <c r="R80" s="508">
        <f>_xlfn.XLOOKUP(E80,'All Products'!D:D,'All Products'!L:L,FALSE)</f>
        <v>49081605988</v>
      </c>
      <c r="S80" s="508">
        <f>_xlfn.XLOOKUP(E80,'All Products'!D:D,'All Products'!M:M,FALSE)</f>
        <v>40049081105981</v>
      </c>
      <c r="T80" s="264">
        <f>_xlfn.XLOOKUP(E80,'All Products'!D:D,'All Products'!N:N,FALSE)</f>
        <v>7.0999999999999994E-2</v>
      </c>
      <c r="U80" s="215">
        <f>_xlfn.XLOOKUP(E80,'All Products'!D:D,'All Products'!O:O,FALSE)</f>
        <v>10</v>
      </c>
      <c r="V80" s="265">
        <f>_xlfn.XLOOKUP(E80,'All Products'!D:D,'All Products'!P:P,FALSE)</f>
        <v>7.91</v>
      </c>
      <c r="W80" s="265">
        <f>_xlfn.XLOOKUP(E80,'All Products'!D:D,'All Products'!Q:Q,FALSE)</f>
        <v>0.5</v>
      </c>
      <c r="X80" s="331"/>
      <c r="Y80" s="331"/>
    </row>
    <row r="81" spans="1:25" ht="15" customHeight="1">
      <c r="A81" s="101" t="str">
        <f>IF(K81&gt;0,COUNT($A$8:A80)
+COUNT('DWV PVC'!$A$9:$A$316)
+COUNT('DWV ABS'!$A$8:$A$116)
+COUNT('PVC SCH40'!$A$8:$A$424)
+COUNT('PVC SCH40 LD'!$A$8:$A$21)
+COUNT('Pool &amp; SPA Sweep Elbows'!$A$8:$A$11)
+COUNT('Pool &amp; SPA Pipe Extender'!$A$8:$A$10)
+COUNT('PVC SCH80'!$A$8:$A$249)
+COUNT('PVC SCH80 Flange'!$A$8:$A$48)
+COUNT('PVC SCH80 LD Flange'!$A$8:$A$16)
+COUNT(CPVC!$A$9:$A$104)+1,"")</f>
        <v/>
      </c>
      <c r="B81" s="610"/>
      <c r="C81" s="611"/>
      <c r="D81" s="443" t="str">
        <f>_xlfn.XLOOKUP(E81,'All Products'!D:D,'All Products'!C:C,FALSE)</f>
        <v>1407-131</v>
      </c>
      <c r="E81" s="103">
        <v>100021988</v>
      </c>
      <c r="F81" s="236" t="str">
        <f>_xlfn.XLOOKUP(E81,'All Products'!D:D,'All Products'!E:E,FALSE)</f>
        <v>1X3/4 ELL INS/FPT</v>
      </c>
      <c r="G81" s="153">
        <f>_xlfn.XLOOKUP(E81,'All Products'!D:D,'All Products'!F:F,FALSE)</f>
        <v>100</v>
      </c>
      <c r="H81" s="153">
        <f>_xlfn.XLOOKUP(E81,'All Products'!D:D,'All Products'!G:G,FALSE)</f>
        <v>9000</v>
      </c>
      <c r="I81" s="372">
        <f>_xlfn.XLOOKUP(E81,'All Products'!D:D,'All Products'!H:H)</f>
        <v>6.89</v>
      </c>
      <c r="J81" s="256">
        <f>ROUNDUP(I81*Order_Quote!$L$12,2)</f>
        <v>6.89</v>
      </c>
      <c r="K81" s="75"/>
      <c r="L81" s="113"/>
      <c r="M81" s="171">
        <f t="shared" si="5"/>
        <v>0</v>
      </c>
      <c r="O81" s="247" t="str">
        <f>_xlfn.XLOOKUP(E81,'All Products'!D:D,'All Products'!I:I,FALSE)</f>
        <v>In Stock</v>
      </c>
      <c r="P81" s="247" t="str">
        <f>_xlfn.XLOOKUP(E81,'All Products'!D:D,'All Products'!J:J,FALSE)</f>
        <v>Manufactured</v>
      </c>
      <c r="Q81" s="508">
        <f>_xlfn.XLOOKUP(E81,'All Products'!D:D,'All Products'!K:K,FALSE)</f>
        <v>49081105990</v>
      </c>
      <c r="R81" s="508">
        <f>_xlfn.XLOOKUP(E81,'All Products'!D:D,'All Products'!L:L,FALSE)</f>
        <v>49081605995</v>
      </c>
      <c r="S81" s="508">
        <f>_xlfn.XLOOKUP(E81,'All Products'!D:D,'All Products'!M:M,FALSE)</f>
        <v>40049081105998</v>
      </c>
      <c r="T81" s="264">
        <f>_xlfn.XLOOKUP(E81,'All Products'!D:D,'All Products'!N:N,FALSE)</f>
        <v>8.5000000000000006E-2</v>
      </c>
      <c r="U81" s="215">
        <f>_xlfn.XLOOKUP(E81,'All Products'!D:D,'All Products'!O:O,FALSE)</f>
        <v>10</v>
      </c>
      <c r="V81" s="265">
        <f>_xlfn.XLOOKUP(E81,'All Products'!D:D,'All Products'!P:P,FALSE)</f>
        <v>9.36</v>
      </c>
      <c r="W81" s="265">
        <f>_xlfn.XLOOKUP(E81,'All Products'!D:D,'All Products'!Q:Q,FALSE)</f>
        <v>0.5</v>
      </c>
      <c r="X81" s="331"/>
      <c r="Y81" s="331"/>
    </row>
    <row r="82" spans="1:25" ht="15" customHeight="1">
      <c r="A82" s="101" t="str">
        <f>IF(K82&gt;0,COUNT($A$8:A81)
+COUNT('DWV PVC'!$A$9:$A$316)
+COUNT('DWV ABS'!$A$8:$A$116)
+COUNT('PVC SCH40'!$A$8:$A$424)
+COUNT('PVC SCH40 LD'!$A$8:$A$21)
+COUNT('Pool &amp; SPA Sweep Elbows'!$A$8:$A$11)
+COUNT('Pool &amp; SPA Pipe Extender'!$A$8:$A$10)
+COUNT('PVC SCH80'!$A$8:$A$249)
+COUNT('PVC SCH80 Flange'!$A$8:$A$48)
+COUNT('PVC SCH80 LD Flange'!$A$8:$A$16)
+COUNT(CPVC!$A$9:$A$104)+1,"")</f>
        <v/>
      </c>
      <c r="B82" s="610"/>
      <c r="C82" s="611"/>
      <c r="D82" s="443" t="str">
        <f>_xlfn.XLOOKUP(E82,'All Products'!D:D,'All Products'!C:C,FALSE)</f>
        <v>1407-166</v>
      </c>
      <c r="E82" s="103">
        <v>100021989</v>
      </c>
      <c r="F82" s="236" t="str">
        <f>_xlfn.XLOOKUP(E82,'All Products'!D:D,'All Products'!E:E,FALSE)</f>
        <v>1-1/4X1/2 ELL INS/FPT</v>
      </c>
      <c r="G82" s="153">
        <f>_xlfn.XLOOKUP(E82,'All Products'!D:D,'All Products'!F:F,FALSE)</f>
        <v>100</v>
      </c>
      <c r="H82" s="153">
        <f>_xlfn.XLOOKUP(E82,'All Products'!D:D,'All Products'!G:G,FALSE)</f>
        <v>7500</v>
      </c>
      <c r="I82" s="372">
        <f>_xlfn.XLOOKUP(E82,'All Products'!D:D,'All Products'!H:H)</f>
        <v>10.16</v>
      </c>
      <c r="J82" s="256">
        <f>ROUNDUP(I82*Order_Quote!$L$12,2)</f>
        <v>10.16</v>
      </c>
      <c r="K82" s="75"/>
      <c r="L82" s="113"/>
      <c r="M82" s="171">
        <f t="shared" si="5"/>
        <v>0</v>
      </c>
      <c r="O82" s="247" t="str">
        <f>_xlfn.XLOOKUP(E82,'All Products'!D:D,'All Products'!I:I,FALSE)</f>
        <v>In Stock</v>
      </c>
      <c r="P82" s="247" t="str">
        <f>_xlfn.XLOOKUP(E82,'All Products'!D:D,'All Products'!J:J,FALSE)</f>
        <v>Manufactured</v>
      </c>
      <c r="Q82" s="508">
        <f>_xlfn.XLOOKUP(E82,'All Products'!D:D,'All Products'!K:K,FALSE)</f>
        <v>49081106010</v>
      </c>
      <c r="R82" s="508">
        <f>_xlfn.XLOOKUP(E82,'All Products'!D:D,'All Products'!L:L,FALSE)</f>
        <v>49081606015</v>
      </c>
      <c r="S82" s="508">
        <f>_xlfn.XLOOKUP(E82,'All Products'!D:D,'All Products'!M:M,FALSE)</f>
        <v>40049081106018</v>
      </c>
      <c r="T82" s="264">
        <f>_xlfn.XLOOKUP(E82,'All Products'!D:D,'All Products'!N:N,FALSE)</f>
        <v>0.112</v>
      </c>
      <c r="U82" s="215">
        <f>_xlfn.XLOOKUP(E82,'All Products'!D:D,'All Products'!O:O,FALSE)</f>
        <v>10</v>
      </c>
      <c r="V82" s="265">
        <f>_xlfn.XLOOKUP(E82,'All Products'!D:D,'All Products'!P:P,FALSE)</f>
        <v>10.98</v>
      </c>
      <c r="W82" s="265">
        <f>_xlfn.XLOOKUP(E82,'All Products'!D:D,'All Products'!Q:Q,FALSE)</f>
        <v>0.65</v>
      </c>
      <c r="X82" s="331"/>
      <c r="Y82" s="331"/>
    </row>
    <row r="83" spans="1:25" ht="15" customHeight="1">
      <c r="A83" s="101" t="str">
        <f>IF(K83&gt;0,COUNT($A$8:A82)
+COUNT('DWV PVC'!$A$9:$A$316)
+COUNT('DWV ABS'!$A$8:$A$116)
+COUNT('PVC SCH40'!$A$8:$A$424)
+COUNT('PVC SCH40 LD'!$A$8:$A$21)
+COUNT('Pool &amp; SPA Sweep Elbows'!$A$8:$A$11)
+COUNT('Pool &amp; SPA Pipe Extender'!$A$8:$A$10)
+COUNT('PVC SCH80'!$A$8:$A$249)
+COUNT('PVC SCH80 Flange'!$A$8:$A$48)
+COUNT('PVC SCH80 LD Flange'!$A$8:$A$16)
+COUNT(CPVC!$A$9:$A$104)+1,"")</f>
        <v/>
      </c>
      <c r="B83" s="610"/>
      <c r="C83" s="611"/>
      <c r="D83" s="443" t="str">
        <f>_xlfn.XLOOKUP(E83,'All Products'!D:D,'All Products'!C:C,FALSE)</f>
        <v>1407-167</v>
      </c>
      <c r="E83" s="103">
        <v>100021990</v>
      </c>
      <c r="F83" s="236" t="str">
        <f>_xlfn.XLOOKUP(E83,'All Products'!D:D,'All Products'!E:E,FALSE)</f>
        <v>1-1/4X3/4 ELL INS/FPT</v>
      </c>
      <c r="G83" s="153">
        <f>_xlfn.XLOOKUP(E83,'All Products'!D:D,'All Products'!F:F,FALSE)</f>
        <v>50</v>
      </c>
      <c r="H83" s="153">
        <f>_xlfn.XLOOKUP(E83,'All Products'!D:D,'All Products'!G:G,FALSE)</f>
        <v>4500</v>
      </c>
      <c r="I83" s="372">
        <f>_xlfn.XLOOKUP(E83,'All Products'!D:D,'All Products'!H:H)</f>
        <v>10.16</v>
      </c>
      <c r="J83" s="256">
        <f>ROUNDUP(I83*Order_Quote!$L$12,2)</f>
        <v>10.16</v>
      </c>
      <c r="K83" s="75"/>
      <c r="L83" s="113"/>
      <c r="M83" s="171">
        <f t="shared" si="5"/>
        <v>0</v>
      </c>
      <c r="O83" s="247" t="str">
        <f>_xlfn.XLOOKUP(E83,'All Products'!D:D,'All Products'!I:I,FALSE)</f>
        <v>Within 3 Weeks</v>
      </c>
      <c r="P83" s="247" t="str">
        <f>_xlfn.XLOOKUP(E83,'All Products'!D:D,'All Products'!J:J,FALSE)</f>
        <v>Manufactured</v>
      </c>
      <c r="Q83" s="508">
        <f>_xlfn.XLOOKUP(E83,'All Products'!D:D,'All Products'!K:K,FALSE)</f>
        <v>49081106027</v>
      </c>
      <c r="R83" s="508">
        <f>_xlfn.XLOOKUP(E83,'All Products'!D:D,'All Products'!L:L,FALSE)</f>
        <v>49081606022</v>
      </c>
      <c r="S83" s="508">
        <f>_xlfn.XLOOKUP(E83,'All Products'!D:D,'All Products'!M:M,FALSE)</f>
        <v>40049081106025</v>
      </c>
      <c r="T83" s="264">
        <f>_xlfn.XLOOKUP(E83,'All Products'!D:D,'All Products'!N:N,FALSE)</f>
        <v>0.127</v>
      </c>
      <c r="U83" s="215">
        <f>_xlfn.XLOOKUP(E83,'All Products'!D:D,'All Products'!O:O,FALSE)</f>
        <v>5</v>
      </c>
      <c r="V83" s="265">
        <f>_xlfn.XLOOKUP(E83,'All Products'!D:D,'All Products'!P:P,FALSE)</f>
        <v>7.23</v>
      </c>
      <c r="W83" s="265">
        <f>_xlfn.XLOOKUP(E83,'All Products'!D:D,'All Products'!Q:Q,FALSE)</f>
        <v>0.5</v>
      </c>
      <c r="X83" s="331"/>
      <c r="Y83" s="331"/>
    </row>
    <row r="84" spans="1:25" ht="15" customHeight="1">
      <c r="A84" s="101" t="str">
        <f>IF(K84&gt;0,COUNT($A$8:A83)
+COUNT('DWV PVC'!$A$9:$A$316)
+COUNT('DWV ABS'!$A$8:$A$116)
+COUNT('PVC SCH40'!$A$8:$A$424)
+COUNT('PVC SCH40 LD'!$A$8:$A$21)
+COUNT('Pool &amp; SPA Sweep Elbows'!$A$8:$A$11)
+COUNT('Pool &amp; SPA Pipe Extender'!$A$8:$A$10)
+COUNT('PVC SCH80'!$A$8:$A$249)
+COUNT('PVC SCH80 Flange'!$A$8:$A$48)
+COUNT('PVC SCH80 LD Flange'!$A$8:$A$16)
+COUNT(CPVC!$A$9:$A$104)+1,"")</f>
        <v/>
      </c>
      <c r="B84" s="612"/>
      <c r="C84" s="613"/>
      <c r="D84" s="443" t="str">
        <f>_xlfn.XLOOKUP(E84,'All Products'!D:D,'All Products'!C:C,FALSE)</f>
        <v>1407-168</v>
      </c>
      <c r="E84" s="103">
        <v>100021992</v>
      </c>
      <c r="F84" s="236" t="str">
        <f>_xlfn.XLOOKUP(E84,'All Products'!D:D,'All Products'!E:E,FALSE)</f>
        <v>1-1/4X1 ELL INS/FPT</v>
      </c>
      <c r="G84" s="153">
        <f>_xlfn.XLOOKUP(E84,'All Products'!D:D,'All Products'!F:F,FALSE)</f>
        <v>50</v>
      </c>
      <c r="H84" s="153">
        <f>_xlfn.XLOOKUP(E84,'All Products'!D:D,'All Products'!G:G,FALSE)</f>
        <v>4500</v>
      </c>
      <c r="I84" s="372">
        <f>_xlfn.XLOOKUP(E84,'All Products'!D:D,'All Products'!H:H)</f>
        <v>10.16</v>
      </c>
      <c r="J84" s="256">
        <f>ROUNDUP(I84*Order_Quote!$L$12,2)</f>
        <v>10.16</v>
      </c>
      <c r="K84" s="75"/>
      <c r="L84" s="113"/>
      <c r="M84" s="171">
        <f t="shared" si="5"/>
        <v>0</v>
      </c>
      <c r="O84" s="247" t="str">
        <f>_xlfn.XLOOKUP(E84,'All Products'!D:D,'All Products'!I:I,FALSE)</f>
        <v>Within 3 Weeks</v>
      </c>
      <c r="P84" s="247" t="str">
        <f>_xlfn.XLOOKUP(E84,'All Products'!D:D,'All Products'!J:J,FALSE)</f>
        <v>Manufactured</v>
      </c>
      <c r="Q84" s="508">
        <f>_xlfn.XLOOKUP(E84,'All Products'!D:D,'All Products'!K:K,FALSE)</f>
        <v>49081106034</v>
      </c>
      <c r="R84" s="508">
        <f>_xlfn.XLOOKUP(E84,'All Products'!D:D,'All Products'!L:L,FALSE)</f>
        <v>49081606039</v>
      </c>
      <c r="S84" s="508">
        <f>_xlfn.XLOOKUP(E84,'All Products'!D:D,'All Products'!M:M,FALSE)</f>
        <v>40049081106032</v>
      </c>
      <c r="T84" s="264">
        <f>_xlfn.XLOOKUP(E84,'All Products'!D:D,'All Products'!N:N,FALSE)</f>
        <v>0.151</v>
      </c>
      <c r="U84" s="215">
        <f>_xlfn.XLOOKUP(E84,'All Products'!D:D,'All Products'!O:O,FALSE)</f>
        <v>5</v>
      </c>
      <c r="V84" s="265">
        <f>_xlfn.XLOOKUP(E84,'All Products'!D:D,'All Products'!P:P,FALSE)</f>
        <v>8.42</v>
      </c>
      <c r="W84" s="265">
        <f>_xlfn.XLOOKUP(E84,'All Products'!D:D,'All Products'!Q:Q,FALSE)</f>
        <v>0.5</v>
      </c>
      <c r="X84" s="331"/>
      <c r="Y84" s="331"/>
    </row>
    <row r="85" spans="1:25" ht="15" customHeight="1">
      <c r="A85" s="101" t="str">
        <f>IF(K85&gt;0,COUNT($A$8:A84)
+COUNT('DWV PVC'!$A$9:$A$316)
+COUNT('DWV ABS'!$A$8:$A$116)
+COUNT('PVC SCH40'!$A$8:$A$424)
+COUNT('PVC SCH40 LD'!$A$8:$A$21)
+COUNT('Pool &amp; SPA Sweep Elbows'!$A$8:$A$11)
+COUNT('Pool &amp; SPA Pipe Extender'!$A$8:$A$10)
+COUNT('PVC SCH80'!$A$8:$A$249)
+COUNT('PVC SCH80 Flange'!$A$8:$A$48)
+COUNT('PVC SCH80 LD Flange'!$A$8:$A$16)
+COUNT(CPVC!$A$9:$A$104)+1,"")</f>
        <v/>
      </c>
      <c r="B85" s="431" t="s">
        <v>5756</v>
      </c>
      <c r="C85" s="332"/>
      <c r="D85" s="333"/>
      <c r="E85" s="332"/>
      <c r="F85" s="333"/>
      <c r="G85" s="332"/>
      <c r="H85" s="332"/>
      <c r="I85" s="332"/>
      <c r="J85" s="338"/>
      <c r="K85" s="332"/>
      <c r="L85" s="332"/>
      <c r="M85" s="339"/>
      <c r="O85" s="526"/>
      <c r="P85" s="332"/>
      <c r="Q85" s="511"/>
      <c r="R85" s="511"/>
      <c r="S85" s="511"/>
      <c r="T85" s="332"/>
      <c r="U85" s="332"/>
      <c r="V85" s="332"/>
      <c r="W85" s="339"/>
    </row>
    <row r="86" spans="1:25" ht="15" customHeight="1">
      <c r="A86" s="101" t="str">
        <f>IF(K86&gt;0,COUNT($A$8:A85)
+COUNT('DWV PVC'!$A$9:$A$316)
+COUNT('DWV ABS'!$A$8:$A$116)
+COUNT('PVC SCH40'!$A$8:$A$424)
+COUNT('PVC SCH40 LD'!$A$8:$A$21)
+COUNT('Pool &amp; SPA Sweep Elbows'!$A$8:$A$11)
+COUNT('Pool &amp; SPA Pipe Extender'!$A$8:$A$10)
+COUNT('PVC SCH80'!$A$8:$A$249)
+COUNT('PVC SCH80 Flange'!$A$8:$A$48)
+COUNT('PVC SCH80 LD Flange'!$A$8:$A$16)
+COUNT(CPVC!$A$9:$A$104)+1,"")</f>
        <v/>
      </c>
      <c r="B86" s="608"/>
      <c r="C86" s="609"/>
      <c r="D86" s="443" t="str">
        <f>_xlfn.XLOOKUP(E86,'All Products'!D:D,'All Products'!C:C,FALSE)</f>
        <v>1413-005</v>
      </c>
      <c r="E86" s="153">
        <v>100022001</v>
      </c>
      <c r="F86" s="236" t="str">
        <f>_xlfn.XLOOKUP(E86,'All Products'!D:D,'All Products'!E:E,FALSE)</f>
        <v>1/2 ELL INS/MPT</v>
      </c>
      <c r="G86" s="153">
        <f>_xlfn.XLOOKUP(E86,'All Products'!D:D,'All Products'!F:F,FALSE)</f>
        <v>250</v>
      </c>
      <c r="H86" s="153">
        <f>_xlfn.XLOOKUP(E86,'All Products'!D:D,'All Products'!G:G,FALSE)</f>
        <v>22500</v>
      </c>
      <c r="I86" s="371">
        <f>_xlfn.XLOOKUP(E86,'All Products'!D:D,'All Products'!H:H)</f>
        <v>6.09</v>
      </c>
      <c r="J86" s="256">
        <f>ROUNDUP(I86*Order_Quote!$L$12,2)</f>
        <v>6.09</v>
      </c>
      <c r="K86" s="161"/>
      <c r="L86" s="113"/>
      <c r="M86" s="243">
        <f t="shared" ref="M86:M95" si="6">K86/G86</f>
        <v>0</v>
      </c>
      <c r="O86" s="247" t="str">
        <f>_xlfn.XLOOKUP(E86,'All Products'!D:D,'All Products'!I:I,FALSE)</f>
        <v>In Stock</v>
      </c>
      <c r="P86" s="247" t="str">
        <f>_xlfn.XLOOKUP(E86,'All Products'!D:D,'All Products'!J:J,FALSE)</f>
        <v>Manufactured</v>
      </c>
      <c r="Q86" s="508">
        <f>_xlfn.XLOOKUP(E86,'All Products'!D:D,'All Products'!K:K,FALSE)</f>
        <v>49081106119</v>
      </c>
      <c r="R86" s="508">
        <f>_xlfn.XLOOKUP(E86,'All Products'!D:D,'All Products'!L:L,FALSE)</f>
        <v>49081606114</v>
      </c>
      <c r="S86" s="508">
        <f>_xlfn.XLOOKUP(E86,'All Products'!D:D,'All Products'!M:M,FALSE)</f>
        <v>40049081106117</v>
      </c>
      <c r="T86" s="264">
        <f>_xlfn.XLOOKUP(E86,'All Products'!D:D,'All Products'!N:N,FALSE)</f>
        <v>3.3000000000000002E-2</v>
      </c>
      <c r="U86" s="215">
        <f>_xlfn.XLOOKUP(E86,'All Products'!D:D,'All Products'!O:O,FALSE)</f>
        <v>10</v>
      </c>
      <c r="V86" s="265">
        <f>_xlfn.XLOOKUP(E86,'All Products'!D:D,'All Products'!P:P,FALSE)</f>
        <v>8.5</v>
      </c>
      <c r="W86" s="265">
        <f>_xlfn.XLOOKUP(E86,'All Products'!D:D,'All Products'!Q:Q,FALSE)</f>
        <v>0.5</v>
      </c>
      <c r="X86" s="331"/>
      <c r="Y86" s="331"/>
    </row>
    <row r="87" spans="1:25" ht="15" customHeight="1">
      <c r="A87" s="101" t="str">
        <f>IF(K87&gt;0,COUNT($A$8:A86)
+COUNT('DWV PVC'!$A$9:$A$316)
+COUNT('DWV ABS'!$A$8:$A$116)
+COUNT('PVC SCH40'!$A$8:$A$424)
+COUNT('PVC SCH40 LD'!$A$8:$A$21)
+COUNT('Pool &amp; SPA Sweep Elbows'!$A$8:$A$11)
+COUNT('Pool &amp; SPA Pipe Extender'!$A$8:$A$10)
+COUNT('PVC SCH80'!$A$8:$A$249)
+COUNT('PVC SCH80 Flange'!$A$8:$A$48)
+COUNT('PVC SCH80 LD Flange'!$A$8:$A$16)
+COUNT(CPVC!$A$9:$A$104)+1,"")</f>
        <v/>
      </c>
      <c r="B87" s="610"/>
      <c r="C87" s="611"/>
      <c r="D87" s="443" t="str">
        <f>_xlfn.XLOOKUP(E87,'All Products'!D:D,'All Products'!C:C,FALSE)</f>
        <v>1413-007</v>
      </c>
      <c r="E87" s="103">
        <v>100022003</v>
      </c>
      <c r="F87" s="236" t="str">
        <f>_xlfn.XLOOKUP(E87,'All Products'!D:D,'All Products'!E:E,FALSE)</f>
        <v>3/4 ELL INS/MPT</v>
      </c>
      <c r="G87" s="153">
        <f>_xlfn.XLOOKUP(E87,'All Products'!D:D,'All Products'!F:F,FALSE)</f>
        <v>250</v>
      </c>
      <c r="H87" s="153">
        <f>_xlfn.XLOOKUP(E87,'All Products'!D:D,'All Products'!G:G,FALSE)</f>
        <v>15000</v>
      </c>
      <c r="I87" s="372">
        <f>_xlfn.XLOOKUP(E87,'All Products'!D:D,'All Products'!H:H)</f>
        <v>8.44</v>
      </c>
      <c r="J87" s="256">
        <f>ROUNDUP(I87*Order_Quote!$L$12,2)</f>
        <v>8.44</v>
      </c>
      <c r="K87" s="75"/>
      <c r="L87" s="113"/>
      <c r="M87" s="171">
        <f t="shared" si="6"/>
        <v>0</v>
      </c>
      <c r="O87" s="247" t="str">
        <f>_xlfn.XLOOKUP(E87,'All Products'!D:D,'All Products'!I:I,FALSE)</f>
        <v>In Stock</v>
      </c>
      <c r="P87" s="247" t="str">
        <f>_xlfn.XLOOKUP(E87,'All Products'!D:D,'All Products'!J:J,FALSE)</f>
        <v>Manufactured</v>
      </c>
      <c r="Q87" s="508">
        <f>_xlfn.XLOOKUP(E87,'All Products'!D:D,'All Products'!K:K,FALSE)</f>
        <v>49081106126</v>
      </c>
      <c r="R87" s="508">
        <f>_xlfn.XLOOKUP(E87,'All Products'!D:D,'All Products'!L:L,FALSE)</f>
        <v>49081606121</v>
      </c>
      <c r="S87" s="508">
        <f>_xlfn.XLOOKUP(E87,'All Products'!D:D,'All Products'!M:M,FALSE)</f>
        <v>40049081106124</v>
      </c>
      <c r="T87" s="264">
        <f>_xlfn.XLOOKUP(E87,'All Products'!D:D,'All Products'!N:N,FALSE)</f>
        <v>5.1999999999999998E-2</v>
      </c>
      <c r="U87" s="215">
        <f>_xlfn.XLOOKUP(E87,'All Products'!D:D,'All Products'!O:O,FALSE)</f>
        <v>10</v>
      </c>
      <c r="V87" s="265">
        <f>_xlfn.XLOOKUP(E87,'All Products'!D:D,'All Products'!P:P,FALSE)</f>
        <v>14.14</v>
      </c>
      <c r="W87" s="265">
        <f>_xlfn.XLOOKUP(E87,'All Products'!D:D,'All Products'!Q:Q,FALSE)</f>
        <v>0.8</v>
      </c>
      <c r="X87" s="331"/>
      <c r="Y87" s="331"/>
    </row>
    <row r="88" spans="1:25" ht="15" customHeight="1">
      <c r="A88" s="101" t="str">
        <f>IF(K88&gt;0,COUNT($A$8:A87)
+COUNT('DWV PVC'!$A$9:$A$316)
+COUNT('DWV ABS'!$A$8:$A$116)
+COUNT('PVC SCH40'!$A$8:$A$424)
+COUNT('PVC SCH40 LD'!$A$8:$A$21)
+COUNT('Pool &amp; SPA Sweep Elbows'!$A$8:$A$11)
+COUNT('Pool &amp; SPA Pipe Extender'!$A$8:$A$10)
+COUNT('PVC SCH80'!$A$8:$A$249)
+COUNT('PVC SCH80 Flange'!$A$8:$A$48)
+COUNT('PVC SCH80 LD Flange'!$A$8:$A$16)
+COUNT(CPVC!$A$9:$A$104)+1,"")</f>
        <v/>
      </c>
      <c r="B88" s="610"/>
      <c r="C88" s="611"/>
      <c r="D88" s="443" t="str">
        <f>_xlfn.XLOOKUP(E88,'All Products'!D:D,'All Products'!C:C,FALSE)</f>
        <v>1413-010</v>
      </c>
      <c r="E88" s="103">
        <v>100022005</v>
      </c>
      <c r="F88" s="236" t="str">
        <f>_xlfn.XLOOKUP(E88,'All Products'!D:D,'All Products'!E:E,FALSE)</f>
        <v>1 ELL INS/MPT</v>
      </c>
      <c r="G88" s="153">
        <f>_xlfn.XLOOKUP(E88,'All Products'!D:D,'All Products'!F:F,FALSE)</f>
        <v>100</v>
      </c>
      <c r="H88" s="153">
        <f>_xlfn.XLOOKUP(E88,'All Products'!D:D,'All Products'!G:G,FALSE)</f>
        <v>7500</v>
      </c>
      <c r="I88" s="372">
        <f>_xlfn.XLOOKUP(E88,'All Products'!D:D,'All Products'!H:H)</f>
        <v>11.03</v>
      </c>
      <c r="J88" s="256">
        <f>ROUNDUP(I88*Order_Quote!$L$12,2)</f>
        <v>11.03</v>
      </c>
      <c r="K88" s="75"/>
      <c r="L88" s="113"/>
      <c r="M88" s="171">
        <f t="shared" si="6"/>
        <v>0</v>
      </c>
      <c r="O88" s="247" t="str">
        <f>_xlfn.XLOOKUP(E88,'All Products'!D:D,'All Products'!I:I,FALSE)</f>
        <v>In Stock</v>
      </c>
      <c r="P88" s="247" t="str">
        <f>_xlfn.XLOOKUP(E88,'All Products'!D:D,'All Products'!J:J,FALSE)</f>
        <v>Manufactured</v>
      </c>
      <c r="Q88" s="508">
        <f>_xlfn.XLOOKUP(E88,'All Products'!D:D,'All Products'!K:K,FALSE)</f>
        <v>49081106133</v>
      </c>
      <c r="R88" s="508">
        <f>_xlfn.XLOOKUP(E88,'All Products'!D:D,'All Products'!L:L,FALSE)</f>
        <v>49081606138</v>
      </c>
      <c r="S88" s="508">
        <f>_xlfn.XLOOKUP(E88,'All Products'!D:D,'All Products'!M:M,FALSE)</f>
        <v>40049081106131</v>
      </c>
      <c r="T88" s="264">
        <f>_xlfn.XLOOKUP(E88,'All Products'!D:D,'All Products'!N:N,FALSE)</f>
        <v>9.1999999999999998E-2</v>
      </c>
      <c r="U88" s="215">
        <f>_xlfn.XLOOKUP(E88,'All Products'!D:D,'All Products'!O:O,FALSE)</f>
        <v>10</v>
      </c>
      <c r="V88" s="265">
        <f>_xlfn.XLOOKUP(E88,'All Products'!D:D,'All Products'!P:P,FALSE)</f>
        <v>10.18</v>
      </c>
      <c r="W88" s="265">
        <f>_xlfn.XLOOKUP(E88,'All Products'!D:D,'All Products'!Q:Q,FALSE)</f>
        <v>0.65</v>
      </c>
      <c r="X88" s="331"/>
      <c r="Y88" s="331"/>
    </row>
    <row r="89" spans="1:25" ht="15" customHeight="1">
      <c r="A89" s="101" t="str">
        <f>IF(K89&gt;0,COUNT($A$8:A88)
+COUNT('DWV PVC'!$A$9:$A$316)
+COUNT('DWV ABS'!$A$8:$A$116)
+COUNT('PVC SCH40'!$A$8:$A$424)
+COUNT('PVC SCH40 LD'!$A$8:$A$21)
+COUNT('Pool &amp; SPA Sweep Elbows'!$A$8:$A$11)
+COUNT('Pool &amp; SPA Pipe Extender'!$A$8:$A$10)
+COUNT('PVC SCH80'!$A$8:$A$249)
+COUNT('PVC SCH80 Flange'!$A$8:$A$48)
+COUNT('PVC SCH80 LD Flange'!$A$8:$A$16)
+COUNT(CPVC!$A$9:$A$104)+1,"")</f>
        <v/>
      </c>
      <c r="B89" s="610"/>
      <c r="C89" s="611"/>
      <c r="D89" s="443" t="str">
        <f>_xlfn.XLOOKUP(E89,'All Products'!D:D,'All Products'!C:C,FALSE)</f>
        <v>1413-012</v>
      </c>
      <c r="E89" s="103">
        <v>100022006</v>
      </c>
      <c r="F89" s="236" t="str">
        <f>_xlfn.XLOOKUP(E89,'All Products'!D:D,'All Products'!E:E,FALSE)</f>
        <v>1-1/4 ELL INS/MPT</v>
      </c>
      <c r="G89" s="153">
        <f>_xlfn.XLOOKUP(E89,'All Products'!D:D,'All Products'!F:F,FALSE)</f>
        <v>50</v>
      </c>
      <c r="H89" s="153">
        <f>_xlfn.XLOOKUP(E89,'All Products'!D:D,'All Products'!G:G,FALSE)</f>
        <v>4500</v>
      </c>
      <c r="I89" s="372">
        <f>_xlfn.XLOOKUP(E89,'All Products'!D:D,'All Products'!H:H)</f>
        <v>14.65</v>
      </c>
      <c r="J89" s="256">
        <f>ROUNDUP(I89*Order_Quote!$L$12,2)</f>
        <v>14.65</v>
      </c>
      <c r="K89" s="75"/>
      <c r="L89" s="113"/>
      <c r="M89" s="171">
        <f t="shared" si="6"/>
        <v>0</v>
      </c>
      <c r="O89" s="247" t="str">
        <f>_xlfn.XLOOKUP(E89,'All Products'!D:D,'All Products'!I:I,FALSE)</f>
        <v>Within 3 Weeks</v>
      </c>
      <c r="P89" s="247" t="str">
        <f>_xlfn.XLOOKUP(E89,'All Products'!D:D,'All Products'!J:J,FALSE)</f>
        <v>Manufactured</v>
      </c>
      <c r="Q89" s="508">
        <f>_xlfn.XLOOKUP(E89,'All Products'!D:D,'All Products'!K:K,FALSE)</f>
        <v>49081106140</v>
      </c>
      <c r="R89" s="508">
        <f>_xlfn.XLOOKUP(E89,'All Products'!D:D,'All Products'!L:L,FALSE)</f>
        <v>49081606145</v>
      </c>
      <c r="S89" s="508">
        <f>_xlfn.XLOOKUP(E89,'All Products'!D:D,'All Products'!M:M,FALSE)</f>
        <v>40049081106148</v>
      </c>
      <c r="T89" s="264">
        <f>_xlfn.XLOOKUP(E89,'All Products'!D:D,'All Products'!N:N,FALSE)</f>
        <v>0.14000000000000001</v>
      </c>
      <c r="U89" s="215">
        <f>_xlfn.XLOOKUP(E89,'All Products'!D:D,'All Products'!O:O,FALSE)</f>
        <v>5</v>
      </c>
      <c r="V89" s="265">
        <f>_xlfn.XLOOKUP(E89,'All Products'!D:D,'All Products'!P:P,FALSE)</f>
        <v>7.95</v>
      </c>
      <c r="W89" s="265">
        <f>_xlfn.XLOOKUP(E89,'All Products'!D:D,'All Products'!Q:Q,FALSE)</f>
        <v>0.5</v>
      </c>
      <c r="X89" s="331"/>
      <c r="Y89" s="331"/>
    </row>
    <row r="90" spans="1:25" ht="15" customHeight="1">
      <c r="A90" s="101" t="str">
        <f>IF(K90&gt;0,COUNT($A$8:A89)
+COUNT('DWV PVC'!$A$9:$A$316)
+COUNT('DWV ABS'!$A$8:$A$116)
+COUNT('PVC SCH40'!$A$8:$A$424)
+COUNT('PVC SCH40 LD'!$A$8:$A$21)
+COUNT('Pool &amp; SPA Sweep Elbows'!$A$8:$A$11)
+COUNT('Pool &amp; SPA Pipe Extender'!$A$8:$A$10)
+COUNT('PVC SCH80'!$A$8:$A$249)
+COUNT('PVC SCH80 Flange'!$A$8:$A$48)
+COUNT('PVC SCH80 LD Flange'!$A$8:$A$16)
+COUNT(CPVC!$A$9:$A$104)+1,"")</f>
        <v/>
      </c>
      <c r="B90" s="610"/>
      <c r="C90" s="611"/>
      <c r="D90" s="443" t="str">
        <f>_xlfn.XLOOKUP(E90,'All Products'!D:D,'All Products'!C:C,FALSE)</f>
        <v>1413-015</v>
      </c>
      <c r="E90" s="103">
        <v>100022007</v>
      </c>
      <c r="F90" s="236" t="str">
        <f>_xlfn.XLOOKUP(E90,'All Products'!D:D,'All Products'!E:E,FALSE)</f>
        <v>1-1/2 ELL INS/MPT</v>
      </c>
      <c r="G90" s="153">
        <f>_xlfn.XLOOKUP(E90,'All Products'!D:D,'All Products'!F:F,FALSE)</f>
        <v>50</v>
      </c>
      <c r="H90" s="153">
        <f>_xlfn.XLOOKUP(E90,'All Products'!D:D,'All Products'!G:G,FALSE)</f>
        <v>3750</v>
      </c>
      <c r="I90" s="372">
        <f>_xlfn.XLOOKUP(E90,'All Products'!D:D,'All Products'!H:H)</f>
        <v>19.48</v>
      </c>
      <c r="J90" s="256">
        <f>ROUNDUP(I90*Order_Quote!$L$12,2)</f>
        <v>19.48</v>
      </c>
      <c r="K90" s="75"/>
      <c r="L90" s="113"/>
      <c r="M90" s="171">
        <f t="shared" si="6"/>
        <v>0</v>
      </c>
      <c r="O90" s="247" t="str">
        <f>_xlfn.XLOOKUP(E90,'All Products'!D:D,'All Products'!I:I,FALSE)</f>
        <v>In Stock</v>
      </c>
      <c r="P90" s="247" t="str">
        <f>_xlfn.XLOOKUP(E90,'All Products'!D:D,'All Products'!J:J,FALSE)</f>
        <v>Manufactured</v>
      </c>
      <c r="Q90" s="508">
        <f>_xlfn.XLOOKUP(E90,'All Products'!D:D,'All Products'!K:K,FALSE)</f>
        <v>49081106157</v>
      </c>
      <c r="R90" s="508">
        <f>_xlfn.XLOOKUP(E90,'All Products'!D:D,'All Products'!L:L,FALSE)</f>
        <v>49081606152</v>
      </c>
      <c r="S90" s="508">
        <f>_xlfn.XLOOKUP(E90,'All Products'!D:D,'All Products'!M:M,FALSE)</f>
        <v>40049081106155</v>
      </c>
      <c r="T90" s="264">
        <f>_xlfn.XLOOKUP(E90,'All Products'!D:D,'All Products'!N:N,FALSE)</f>
        <v>0.17699999999999999</v>
      </c>
      <c r="U90" s="215">
        <f>_xlfn.XLOOKUP(E90,'All Products'!D:D,'All Products'!O:O,FALSE)</f>
        <v>5</v>
      </c>
      <c r="V90" s="265">
        <f>_xlfn.XLOOKUP(E90,'All Products'!D:D,'All Products'!P:P,FALSE)</f>
        <v>9.77</v>
      </c>
      <c r="W90" s="265">
        <f>_xlfn.XLOOKUP(E90,'All Products'!D:D,'All Products'!Q:Q,FALSE)</f>
        <v>0.65</v>
      </c>
      <c r="X90" s="331"/>
      <c r="Y90" s="331"/>
    </row>
    <row r="91" spans="1:25" ht="15" customHeight="1">
      <c r="A91" s="101" t="str">
        <f>IF(K91&gt;0,COUNT($A$8:A90)
+COUNT('DWV PVC'!$A$9:$A$316)
+COUNT('DWV ABS'!$A$8:$A$116)
+COUNT('PVC SCH40'!$A$8:$A$424)
+COUNT('PVC SCH40 LD'!$A$8:$A$21)
+COUNT('Pool &amp; SPA Sweep Elbows'!$A$8:$A$11)
+COUNT('Pool &amp; SPA Pipe Extender'!$A$8:$A$10)
+COUNT('PVC SCH80'!$A$8:$A$249)
+COUNT('PVC SCH80 Flange'!$A$8:$A$48)
+COUNT('PVC SCH80 LD Flange'!$A$8:$A$16)
+COUNT(CPVC!$A$9:$A$104)+1,"")</f>
        <v/>
      </c>
      <c r="B91" s="610"/>
      <c r="C91" s="611"/>
      <c r="D91" s="443" t="str">
        <f>_xlfn.XLOOKUP(E91,'All Products'!D:D,'All Products'!C:C,FALSE)</f>
        <v>1413-020</v>
      </c>
      <c r="E91" s="103">
        <v>100022008</v>
      </c>
      <c r="F91" s="236" t="str">
        <f>_xlfn.XLOOKUP(E91,'All Products'!D:D,'All Products'!E:E,FALSE)</f>
        <v>2 ELL INS/MPT</v>
      </c>
      <c r="G91" s="153">
        <f>_xlfn.XLOOKUP(E91,'All Products'!D:D,'All Products'!F:F,FALSE)</f>
        <v>25</v>
      </c>
      <c r="H91" s="153">
        <f>_xlfn.XLOOKUP(E91,'All Products'!D:D,'All Products'!G:G,FALSE)</f>
        <v>1875</v>
      </c>
      <c r="I91" s="372">
        <f>_xlfn.XLOOKUP(E91,'All Products'!D:D,'All Products'!H:H)</f>
        <v>30.73</v>
      </c>
      <c r="J91" s="256">
        <f>ROUNDUP(I91*Order_Quote!$L$12,2)</f>
        <v>30.73</v>
      </c>
      <c r="K91" s="75"/>
      <c r="L91" s="113"/>
      <c r="M91" s="171">
        <f t="shared" si="6"/>
        <v>0</v>
      </c>
      <c r="O91" s="247" t="str">
        <f>_xlfn.XLOOKUP(E91,'All Products'!D:D,'All Products'!I:I,FALSE)</f>
        <v>In Stock</v>
      </c>
      <c r="P91" s="247" t="str">
        <f>_xlfn.XLOOKUP(E91,'All Products'!D:D,'All Products'!J:J,FALSE)</f>
        <v>Manufactured</v>
      </c>
      <c r="Q91" s="508">
        <f>_xlfn.XLOOKUP(E91,'All Products'!D:D,'All Products'!K:K,FALSE)</f>
        <v>49081106164</v>
      </c>
      <c r="R91" s="508">
        <f>_xlfn.XLOOKUP(E91,'All Products'!D:D,'All Products'!L:L,FALSE)</f>
        <v>49081606169</v>
      </c>
      <c r="S91" s="508">
        <f>_xlfn.XLOOKUP(E91,'All Products'!D:D,'All Products'!M:M,FALSE)</f>
        <v>40049081106162</v>
      </c>
      <c r="T91" s="264">
        <f>_xlfn.XLOOKUP(E91,'All Products'!D:D,'All Products'!N:N,FALSE)</f>
        <v>0.27600000000000002</v>
      </c>
      <c r="U91" s="215">
        <f>_xlfn.XLOOKUP(E91,'All Products'!D:D,'All Products'!O:O,FALSE)</f>
        <v>5</v>
      </c>
      <c r="V91" s="265">
        <f>_xlfn.XLOOKUP(E91,'All Products'!D:D,'All Products'!P:P,FALSE)</f>
        <v>7.46</v>
      </c>
      <c r="W91" s="265">
        <f>_xlfn.XLOOKUP(E91,'All Products'!D:D,'All Products'!Q:Q,FALSE)</f>
        <v>0.65</v>
      </c>
      <c r="X91" s="331"/>
      <c r="Y91" s="331"/>
    </row>
    <row r="92" spans="1:25" ht="15" customHeight="1">
      <c r="A92" s="101" t="str">
        <f>IF(K92&gt;0,COUNT($A$8:A91)
+COUNT('DWV PVC'!$A$9:$A$316)
+COUNT('DWV ABS'!$A$8:$A$116)
+COUNT('PVC SCH40'!$A$8:$A$424)
+COUNT('PVC SCH40 LD'!$A$8:$A$21)
+COUNT('Pool &amp; SPA Sweep Elbows'!$A$8:$A$11)
+COUNT('Pool &amp; SPA Pipe Extender'!$A$8:$A$10)
+COUNT('PVC SCH80'!$A$8:$A$249)
+COUNT('PVC SCH80 Flange'!$A$8:$A$48)
+COUNT('PVC SCH80 LD Flange'!$A$8:$A$16)
+COUNT(CPVC!$A$9:$A$104)+1,"")</f>
        <v/>
      </c>
      <c r="B92" s="610"/>
      <c r="C92" s="611"/>
      <c r="D92" s="443" t="str">
        <f>_xlfn.XLOOKUP(E92,'All Products'!D:D,'All Products'!C:C,FALSE)</f>
        <v>1413-074</v>
      </c>
      <c r="E92" s="103">
        <v>100022012</v>
      </c>
      <c r="F92" s="236" t="str">
        <f>_xlfn.XLOOKUP(E92,'All Products'!D:D,'All Products'!E:E,FALSE)</f>
        <v>1/2X3/4 ELL INS/MPT</v>
      </c>
      <c r="G92" s="153">
        <f>_xlfn.XLOOKUP(E92,'All Products'!D:D,'All Products'!F:F,FALSE)</f>
        <v>250</v>
      </c>
      <c r="H92" s="153">
        <f>_xlfn.XLOOKUP(E92,'All Products'!D:D,'All Products'!G:G,FALSE)</f>
        <v>18750</v>
      </c>
      <c r="I92" s="372">
        <f>_xlfn.XLOOKUP(E92,'All Products'!D:D,'All Products'!H:H)</f>
        <v>12.56</v>
      </c>
      <c r="J92" s="256">
        <f>ROUNDUP(I92*Order_Quote!$L$12,2)</f>
        <v>12.56</v>
      </c>
      <c r="K92" s="75"/>
      <c r="L92" s="113"/>
      <c r="M92" s="171">
        <f t="shared" si="6"/>
        <v>0</v>
      </c>
      <c r="O92" s="247" t="str">
        <f>_xlfn.XLOOKUP(E92,'All Products'!D:D,'All Products'!I:I,FALSE)</f>
        <v>In Stock</v>
      </c>
      <c r="P92" s="247" t="str">
        <f>_xlfn.XLOOKUP(E92,'All Products'!D:D,'All Products'!J:J,FALSE)</f>
        <v>Manufactured</v>
      </c>
      <c r="Q92" s="508">
        <f>_xlfn.XLOOKUP(E92,'All Products'!D:D,'All Products'!K:K,FALSE)</f>
        <v>49081105730</v>
      </c>
      <c r="R92" s="508">
        <f>_xlfn.XLOOKUP(E92,'All Products'!D:D,'All Products'!L:L,FALSE)</f>
        <v>49081605735</v>
      </c>
      <c r="S92" s="508">
        <f>_xlfn.XLOOKUP(E92,'All Products'!D:D,'All Products'!M:M,FALSE)</f>
        <v>40049081105738</v>
      </c>
      <c r="T92" s="264">
        <f>_xlfn.XLOOKUP(E92,'All Products'!D:D,'All Products'!N:N,FALSE)</f>
        <v>0.04</v>
      </c>
      <c r="U92" s="215">
        <f>_xlfn.XLOOKUP(E92,'All Products'!D:D,'All Products'!O:O,FALSE)</f>
        <v>10</v>
      </c>
      <c r="V92" s="265">
        <f>_xlfn.XLOOKUP(E92,'All Products'!D:D,'All Products'!P:P,FALSE)</f>
        <v>10.25</v>
      </c>
      <c r="W92" s="265">
        <f>_xlfn.XLOOKUP(E92,'All Products'!D:D,'All Products'!Q:Q,FALSE)</f>
        <v>0.65</v>
      </c>
      <c r="X92" s="331"/>
      <c r="Y92" s="331"/>
    </row>
    <row r="93" spans="1:25" ht="15" customHeight="1">
      <c r="A93" s="101" t="str">
        <f>IF(K93&gt;0,COUNT($A$8:A92)
+COUNT('DWV PVC'!$A$9:$A$316)
+COUNT('DWV ABS'!$A$8:$A$116)
+COUNT('PVC SCH40'!$A$8:$A$424)
+COUNT('PVC SCH40 LD'!$A$8:$A$21)
+COUNT('Pool &amp; SPA Sweep Elbows'!$A$8:$A$11)
+COUNT('Pool &amp; SPA Pipe Extender'!$A$8:$A$10)
+COUNT('PVC SCH80'!$A$8:$A$249)
+COUNT('PVC SCH80 Flange'!$A$8:$A$48)
+COUNT('PVC SCH80 LD Flange'!$A$8:$A$16)
+COUNT(CPVC!$A$9:$A$104)+1,"")</f>
        <v/>
      </c>
      <c r="B93" s="610"/>
      <c r="C93" s="611"/>
      <c r="D93" s="443" t="str">
        <f>_xlfn.XLOOKUP(E93,'All Products'!D:D,'All Products'!C:C,FALSE)</f>
        <v>1413-101</v>
      </c>
      <c r="E93" s="103">
        <v>100022014</v>
      </c>
      <c r="F93" s="236" t="str">
        <f>_xlfn.XLOOKUP(E93,'All Products'!D:D,'All Products'!E:E,FALSE)</f>
        <v>3/4X1/2 ELL INS/MPT</v>
      </c>
      <c r="G93" s="153">
        <f>_xlfn.XLOOKUP(E93,'All Products'!D:D,'All Products'!F:F,FALSE)</f>
        <v>250</v>
      </c>
      <c r="H93" s="153">
        <f>_xlfn.XLOOKUP(E93,'All Products'!D:D,'All Products'!G:G,FALSE)</f>
        <v>15000</v>
      </c>
      <c r="I93" s="372">
        <f>_xlfn.XLOOKUP(E93,'All Products'!D:D,'All Products'!H:H)</f>
        <v>10.54</v>
      </c>
      <c r="J93" s="256">
        <f>ROUNDUP(I93*Order_Quote!$L$12,2)</f>
        <v>10.54</v>
      </c>
      <c r="K93" s="75"/>
      <c r="L93" s="113"/>
      <c r="M93" s="171">
        <f t="shared" si="6"/>
        <v>0</v>
      </c>
      <c r="O93" s="247" t="str">
        <f>_xlfn.XLOOKUP(E93,'All Products'!D:D,'All Products'!I:I,FALSE)</f>
        <v>In Stock</v>
      </c>
      <c r="P93" s="247" t="str">
        <f>_xlfn.XLOOKUP(E93,'All Products'!D:D,'All Products'!J:J,FALSE)</f>
        <v>Manufactured</v>
      </c>
      <c r="Q93" s="508">
        <f>_xlfn.XLOOKUP(E93,'All Products'!D:D,'All Products'!K:K,FALSE)</f>
        <v>49081105945</v>
      </c>
      <c r="R93" s="508">
        <f>_xlfn.XLOOKUP(E93,'All Products'!D:D,'All Products'!L:L,FALSE)</f>
        <v>49081605940</v>
      </c>
      <c r="S93" s="508">
        <f>_xlfn.XLOOKUP(E93,'All Products'!D:D,'All Products'!M:M,FALSE)</f>
        <v>40049081105943</v>
      </c>
      <c r="T93" s="264">
        <f>_xlfn.XLOOKUP(E93,'All Products'!D:D,'All Products'!N:N,FALSE)</f>
        <v>5.8000000000000003E-2</v>
      </c>
      <c r="U93" s="215">
        <f>_xlfn.XLOOKUP(E93,'All Products'!D:D,'All Products'!O:O,FALSE)</f>
        <v>10</v>
      </c>
      <c r="V93" s="265">
        <f>_xlfn.XLOOKUP(E93,'All Products'!D:D,'All Products'!P:P,FALSE)</f>
        <v>16.2</v>
      </c>
      <c r="W93" s="265">
        <f>_xlfn.XLOOKUP(E93,'All Products'!D:D,'All Products'!Q:Q,FALSE)</f>
        <v>0.8</v>
      </c>
      <c r="X93" s="331"/>
      <c r="Y93" s="331"/>
    </row>
    <row r="94" spans="1:25" ht="15" customHeight="1">
      <c r="A94" s="101" t="str">
        <f>IF(K94&gt;0,COUNT($A$8:A93)
+COUNT('DWV PVC'!$A$9:$A$316)
+COUNT('DWV ABS'!$A$8:$A$116)
+COUNT('PVC SCH40'!$A$8:$A$424)
+COUNT('PVC SCH40 LD'!$A$8:$A$21)
+COUNT('Pool &amp; SPA Sweep Elbows'!$A$8:$A$11)
+COUNT('Pool &amp; SPA Pipe Extender'!$A$8:$A$10)
+COUNT('PVC SCH80'!$A$8:$A$249)
+COUNT('PVC SCH80 Flange'!$A$8:$A$48)
+COUNT('PVC SCH80 LD Flange'!$A$8:$A$16)
+COUNT(CPVC!$A$9:$A$104)+1,"")</f>
        <v/>
      </c>
      <c r="B94" s="610"/>
      <c r="C94" s="611"/>
      <c r="D94" s="443" t="str">
        <f>_xlfn.XLOOKUP(E94,'All Products'!D:D,'All Products'!C:C,FALSE)</f>
        <v>1413-130</v>
      </c>
      <c r="E94" s="103">
        <v>100022016</v>
      </c>
      <c r="F94" s="236" t="str">
        <f>_xlfn.XLOOKUP(E94,'All Products'!D:D,'All Products'!E:E,FALSE)</f>
        <v>1X1/2 ELL INS/MPT</v>
      </c>
      <c r="G94" s="153">
        <f>_xlfn.XLOOKUP(E94,'All Products'!D:D,'All Products'!F:F,FALSE)</f>
        <v>100</v>
      </c>
      <c r="H94" s="153">
        <f>_xlfn.XLOOKUP(E94,'All Products'!D:D,'All Products'!G:G,FALSE)</f>
        <v>9000</v>
      </c>
      <c r="I94" s="372">
        <f>_xlfn.XLOOKUP(E94,'All Products'!D:D,'All Products'!H:H)</f>
        <v>11.94</v>
      </c>
      <c r="J94" s="256">
        <f>ROUNDUP(I94*Order_Quote!$L$12,2)</f>
        <v>11.94</v>
      </c>
      <c r="K94" s="75"/>
      <c r="L94" s="113"/>
      <c r="M94" s="171">
        <f t="shared" si="6"/>
        <v>0</v>
      </c>
      <c r="O94" s="247" t="str">
        <f>_xlfn.XLOOKUP(E94,'All Products'!D:D,'All Products'!I:I,FALSE)</f>
        <v>Within 3 Weeks</v>
      </c>
      <c r="P94" s="247" t="str">
        <f>_xlfn.XLOOKUP(E94,'All Products'!D:D,'All Products'!J:J,FALSE)</f>
        <v>Manufactured</v>
      </c>
      <c r="Q94" s="508">
        <f>_xlfn.XLOOKUP(E94,'All Products'!D:D,'All Products'!K:K,FALSE)</f>
        <v>49081106102</v>
      </c>
      <c r="R94" s="508">
        <f>_xlfn.XLOOKUP(E94,'All Products'!D:D,'All Products'!L:L,FALSE)</f>
        <v>49081606107</v>
      </c>
      <c r="S94" s="508">
        <f>_xlfn.XLOOKUP(E94,'All Products'!D:D,'All Products'!M:M,FALSE)</f>
        <v>40049081106100</v>
      </c>
      <c r="T94" s="264">
        <f>_xlfn.XLOOKUP(E94,'All Products'!D:D,'All Products'!N:N,FALSE)</f>
        <v>7.5999999999999998E-2</v>
      </c>
      <c r="U94" s="215">
        <f>_xlfn.XLOOKUP(E94,'All Products'!D:D,'All Products'!O:O,FALSE)</f>
        <v>10</v>
      </c>
      <c r="V94" s="265">
        <f>_xlfn.XLOOKUP(E94,'All Products'!D:D,'All Products'!P:P,FALSE)</f>
        <v>7.62</v>
      </c>
      <c r="W94" s="265">
        <f>_xlfn.XLOOKUP(E94,'All Products'!D:D,'All Products'!Q:Q,FALSE)</f>
        <v>0.5</v>
      </c>
      <c r="X94" s="331"/>
      <c r="Y94" s="331"/>
    </row>
    <row r="95" spans="1:25" ht="15" customHeight="1">
      <c r="A95" s="101" t="str">
        <f>IF(K95&gt;0,COUNT($A$8:A94)
+COUNT('DWV PVC'!$A$9:$A$316)
+COUNT('DWV ABS'!$A$8:$A$116)
+COUNT('PVC SCH40'!$A$8:$A$424)
+COUNT('PVC SCH40 LD'!$A$8:$A$21)
+COUNT('Pool &amp; SPA Sweep Elbows'!$A$8:$A$11)
+COUNT('Pool &amp; SPA Pipe Extender'!$A$8:$A$10)
+COUNT('PVC SCH80'!$A$8:$A$249)
+COUNT('PVC SCH80 Flange'!$A$8:$A$48)
+COUNT('PVC SCH80 LD Flange'!$A$8:$A$16)
+COUNT(CPVC!$A$9:$A$104)+1,"")</f>
        <v/>
      </c>
      <c r="B95" s="612"/>
      <c r="C95" s="613"/>
      <c r="D95" s="443" t="str">
        <f>_xlfn.XLOOKUP(E95,'All Products'!D:D,'All Products'!C:C,FALSE)</f>
        <v>1413-131</v>
      </c>
      <c r="E95" s="103">
        <v>100022018</v>
      </c>
      <c r="F95" s="236" t="str">
        <f>_xlfn.XLOOKUP(E95,'All Products'!D:D,'All Products'!E:E,FALSE)</f>
        <v>1X3/4 ELL INS/MPT</v>
      </c>
      <c r="G95" s="153">
        <f>_xlfn.XLOOKUP(E95,'All Products'!D:D,'All Products'!F:F,FALSE)</f>
        <v>100</v>
      </c>
      <c r="H95" s="153">
        <f>_xlfn.XLOOKUP(E95,'All Products'!D:D,'All Products'!G:G,FALSE)</f>
        <v>9000</v>
      </c>
      <c r="I95" s="372">
        <f>_xlfn.XLOOKUP(E95,'All Products'!D:D,'All Products'!H:H)</f>
        <v>12.82</v>
      </c>
      <c r="J95" s="256">
        <f>ROUNDUP(I95*Order_Quote!$L$12,2)</f>
        <v>12.82</v>
      </c>
      <c r="K95" s="75"/>
      <c r="L95" s="239"/>
      <c r="M95" s="171">
        <f t="shared" si="6"/>
        <v>0</v>
      </c>
      <c r="O95" s="247" t="str">
        <f>_xlfn.XLOOKUP(E95,'All Products'!D:D,'All Products'!I:I,FALSE)</f>
        <v>In Stock</v>
      </c>
      <c r="P95" s="247" t="str">
        <f>_xlfn.XLOOKUP(E95,'All Products'!D:D,'All Products'!J:J,FALSE)</f>
        <v>Manufactured</v>
      </c>
      <c r="Q95" s="508">
        <f>_xlfn.XLOOKUP(E95,'All Products'!D:D,'All Products'!K:K,FALSE)</f>
        <v>49081106171</v>
      </c>
      <c r="R95" s="508">
        <f>_xlfn.XLOOKUP(E95,'All Products'!D:D,'All Products'!L:L,FALSE)</f>
        <v>49081606176</v>
      </c>
      <c r="S95" s="508">
        <f>_xlfn.XLOOKUP(E95,'All Products'!D:D,'All Products'!M:M,FALSE)</f>
        <v>40049081106179</v>
      </c>
      <c r="T95" s="264">
        <f>_xlfn.XLOOKUP(E95,'All Products'!D:D,'All Products'!N:N,FALSE)</f>
        <v>8.5000000000000006E-2</v>
      </c>
      <c r="U95" s="215">
        <f>_xlfn.XLOOKUP(E95,'All Products'!D:D,'All Products'!O:O,FALSE)</f>
        <v>10</v>
      </c>
      <c r="V95" s="265">
        <f>_xlfn.XLOOKUP(E95,'All Products'!D:D,'All Products'!P:P,FALSE)</f>
        <v>9.4700000000000006</v>
      </c>
      <c r="W95" s="265">
        <f>_xlfn.XLOOKUP(E95,'All Products'!D:D,'All Products'!Q:Q,FALSE)</f>
        <v>0.5</v>
      </c>
      <c r="X95" s="331"/>
      <c r="Y95" s="331"/>
    </row>
    <row r="96" spans="1:25" ht="15" customHeight="1">
      <c r="A96" s="101" t="str">
        <f>IF(K96&gt;0,COUNT($A$8:A95)
+COUNT('DWV PVC'!$A$9:$A$316)
+COUNT('DWV ABS'!$A$8:$A$116)
+COUNT('PVC SCH40'!$A$8:$A$424)
+COUNT('PVC SCH40 LD'!$A$8:$A$21)
+COUNT('Pool &amp; SPA Sweep Elbows'!$A$8:$A$11)
+COUNT('Pool &amp; SPA Pipe Extender'!$A$8:$A$10)
+COUNT('PVC SCH80'!$A$8:$A$249)
+COUNT('PVC SCH80 Flange'!$A$8:$A$48)
+COUNT('PVC SCH80 LD Flange'!$A$8:$A$16)
+COUNT(CPVC!$A$9:$A$104)+1,"")</f>
        <v/>
      </c>
      <c r="B96" s="433" t="s">
        <v>5757</v>
      </c>
      <c r="C96" s="339"/>
      <c r="D96" s="333"/>
      <c r="E96" s="333"/>
      <c r="F96" s="333"/>
      <c r="G96" s="333"/>
      <c r="H96" s="333"/>
      <c r="I96" s="333"/>
      <c r="J96" s="334"/>
      <c r="K96" s="333"/>
      <c r="L96" s="333"/>
      <c r="M96" s="335"/>
      <c r="O96" s="525"/>
      <c r="P96" s="333"/>
      <c r="Q96" s="509"/>
      <c r="R96" s="509"/>
      <c r="S96" s="509"/>
      <c r="T96" s="333"/>
      <c r="U96" s="333"/>
      <c r="V96" s="333"/>
      <c r="W96" s="335"/>
    </row>
    <row r="97" spans="1:25" ht="15" customHeight="1">
      <c r="A97" s="101" t="str">
        <f>IF(K97&gt;0,COUNT($A$8:A96)
+COUNT('DWV PVC'!$A$9:$A$316)
+COUNT('DWV ABS'!$A$8:$A$116)
+COUNT('PVC SCH40'!$A$8:$A$424)
+COUNT('PVC SCH40 LD'!$A$8:$A$21)
+COUNT('Pool &amp; SPA Sweep Elbows'!$A$8:$A$11)
+COUNT('Pool &amp; SPA Pipe Extender'!$A$8:$A$10)
+COUNT('PVC SCH80'!$A$8:$A$249)
+COUNT('PVC SCH80 Flange'!$A$8:$A$48)
+COUNT('PVC SCH80 LD Flange'!$A$8:$A$16)
+COUNT(CPVC!$A$9:$A$104)+1,"")</f>
        <v/>
      </c>
      <c r="B97" s="608"/>
      <c r="C97" s="609"/>
      <c r="D97" s="443" t="str">
        <f>_xlfn.XLOOKUP(E97,'All Products'!D:D,'All Products'!C:C,FALSE)</f>
        <v>1414-007</v>
      </c>
      <c r="E97" s="153">
        <v>100026313</v>
      </c>
      <c r="F97" s="236" t="str">
        <f>_xlfn.XLOOKUP(E97,'All Products'!D:D,'All Products'!E:E,FALSE)</f>
        <v>3/4X3/4X3/4 SID OUTLET 90 ELL</v>
      </c>
      <c r="G97" s="153">
        <f>_xlfn.XLOOKUP(E97,'All Products'!D:D,'All Products'!F:F,FALSE)</f>
        <v>50</v>
      </c>
      <c r="H97" s="153">
        <f>_xlfn.XLOOKUP(E97,'All Products'!D:D,'All Products'!G:G,FALSE)</f>
        <v>4500</v>
      </c>
      <c r="I97" s="371">
        <f>_xlfn.XLOOKUP(E97,'All Products'!D:D,'All Products'!H:H)</f>
        <v>13.92</v>
      </c>
      <c r="J97" s="256">
        <f>ROUNDUP(I97*Order_Quote!$L$12,2)</f>
        <v>13.92</v>
      </c>
      <c r="K97" s="340"/>
      <c r="L97" s="113"/>
      <c r="M97" s="243">
        <f>K97/G97</f>
        <v>0</v>
      </c>
      <c r="O97" s="247" t="str">
        <f>_xlfn.XLOOKUP(E97,'All Products'!D:D,'All Products'!I:I,FALSE)</f>
        <v>Within 3 Weeks</v>
      </c>
      <c r="P97" s="247" t="str">
        <f>_xlfn.XLOOKUP(E97,'All Products'!D:D,'All Products'!J:J,FALSE)</f>
        <v>Manufactured</v>
      </c>
      <c r="Q97" s="508">
        <f>_xlfn.XLOOKUP(E97,'All Products'!D:D,'All Products'!K:K,FALSE)</f>
        <v>49081104436</v>
      </c>
      <c r="R97" s="508">
        <f>_xlfn.XLOOKUP(E97,'All Products'!D:D,'All Products'!L:L,FALSE)</f>
        <v>49081604431</v>
      </c>
      <c r="S97" s="508">
        <f>_xlfn.XLOOKUP(E97,'All Products'!D:D,'All Products'!M:M,FALSE)</f>
        <v>40049081104434</v>
      </c>
      <c r="T97" s="264">
        <f>_xlfn.XLOOKUP(E97,'All Products'!D:D,'All Products'!N:N,FALSE)</f>
        <v>0.1</v>
      </c>
      <c r="U97" s="215">
        <f>_xlfn.XLOOKUP(E97,'All Products'!D:D,'All Products'!O:O,FALSE)</f>
        <v>5</v>
      </c>
      <c r="V97" s="265">
        <f>_xlfn.XLOOKUP(E97,'All Products'!D:D,'All Products'!P:P,FALSE)</f>
        <v>5.86</v>
      </c>
      <c r="W97" s="265">
        <f>_xlfn.XLOOKUP(E97,'All Products'!D:D,'All Products'!Q:Q,FALSE)</f>
        <v>0.5</v>
      </c>
      <c r="X97" s="331"/>
      <c r="Y97" s="331"/>
    </row>
    <row r="98" spans="1:25" ht="15" customHeight="1">
      <c r="A98" s="101" t="str">
        <f>IF(K98&gt;0,COUNT($A$8:A97)
+COUNT('DWV PVC'!$A$9:$A$316)
+COUNT('DWV ABS'!$A$8:$A$116)
+COUNT('PVC SCH40'!$A$8:$A$424)
+COUNT('PVC SCH40 LD'!$A$8:$A$21)
+COUNT('Pool &amp; SPA Sweep Elbows'!$A$8:$A$11)
+COUNT('Pool &amp; SPA Pipe Extender'!$A$8:$A$10)
+COUNT('PVC SCH80'!$A$8:$A$249)
+COUNT('PVC SCH80 Flange'!$A$8:$A$48)
+COUNT('PVC SCH80 LD Flange'!$A$8:$A$16)
+COUNT(CPVC!$A$9:$A$104)+1,"")</f>
        <v/>
      </c>
      <c r="B98" s="610"/>
      <c r="C98" s="611"/>
      <c r="D98" s="443" t="str">
        <f>_xlfn.XLOOKUP(E98,'All Products'!D:D,'All Products'!C:C,FALSE)</f>
        <v>1414-101</v>
      </c>
      <c r="E98" s="103">
        <v>100026314</v>
      </c>
      <c r="F98" s="236" t="str">
        <f>_xlfn.XLOOKUP(E98,'All Products'!D:D,'All Products'!E:E,FALSE)</f>
        <v>3/4X3/4X1/2 SIDE OUTLET 90 ELL</v>
      </c>
      <c r="G98" s="153">
        <f>_xlfn.XLOOKUP(E98,'All Products'!D:D,'All Products'!F:F,FALSE)</f>
        <v>50</v>
      </c>
      <c r="H98" s="153">
        <f>_xlfn.XLOOKUP(E98,'All Products'!D:D,'All Products'!G:G,FALSE)</f>
        <v>4500</v>
      </c>
      <c r="I98" s="372">
        <f>_xlfn.XLOOKUP(E98,'All Products'!D:D,'All Products'!H:H)</f>
        <v>13.92</v>
      </c>
      <c r="J98" s="256">
        <f>ROUNDUP(I98*Order_Quote!$L$12,2)</f>
        <v>13.92</v>
      </c>
      <c r="K98" s="341"/>
      <c r="L98" s="113"/>
      <c r="M98" s="171">
        <f>K98/G98</f>
        <v>0</v>
      </c>
      <c r="O98" s="247" t="str">
        <f>_xlfn.XLOOKUP(E98,'All Products'!D:D,'All Products'!I:I,FALSE)</f>
        <v>In Stock</v>
      </c>
      <c r="P98" s="247" t="str">
        <f>_xlfn.XLOOKUP(E98,'All Products'!D:D,'All Products'!J:J,FALSE)</f>
        <v>Manufactured</v>
      </c>
      <c r="Q98" s="508">
        <f>_xlfn.XLOOKUP(E98,'All Products'!D:D,'All Products'!K:K,FALSE)</f>
        <v>49081104443</v>
      </c>
      <c r="R98" s="508">
        <f>_xlfn.XLOOKUP(E98,'All Products'!D:D,'All Products'!L:L,FALSE)</f>
        <v>49081604448</v>
      </c>
      <c r="S98" s="508">
        <f>_xlfn.XLOOKUP(E98,'All Products'!D:D,'All Products'!M:M,FALSE)</f>
        <v>40049081104441</v>
      </c>
      <c r="T98" s="264">
        <f>_xlfn.XLOOKUP(E98,'All Products'!D:D,'All Products'!N:N,FALSE)</f>
        <v>0.104</v>
      </c>
      <c r="U98" s="215">
        <f>_xlfn.XLOOKUP(E98,'All Products'!D:D,'All Products'!O:O,FALSE)</f>
        <v>5</v>
      </c>
      <c r="V98" s="265">
        <f>_xlfn.XLOOKUP(E98,'All Products'!D:D,'All Products'!P:P,FALSE)</f>
        <v>5.23</v>
      </c>
      <c r="W98" s="265">
        <f>_xlfn.XLOOKUP(E98,'All Products'!D:D,'All Products'!Q:Q,FALSE)</f>
        <v>0.5</v>
      </c>
      <c r="X98" s="331"/>
      <c r="Y98" s="331"/>
    </row>
    <row r="99" spans="1:25" ht="15" customHeight="1">
      <c r="A99" s="101" t="str">
        <f>IF(K99&gt;0,COUNT($A$8:A98)
+COUNT('DWV PVC'!$A$9:$A$316)
+COUNT('DWV ABS'!$A$8:$A$116)
+COUNT('PVC SCH40'!$A$8:$A$424)
+COUNT('PVC SCH40 LD'!$A$8:$A$21)
+COUNT('Pool &amp; SPA Sweep Elbows'!$A$8:$A$11)
+COUNT('Pool &amp; SPA Pipe Extender'!$A$8:$A$10)
+COUNT('PVC SCH80'!$A$8:$A$249)
+COUNT('PVC SCH80 Flange'!$A$8:$A$48)
+COUNT('PVC SCH80 LD Flange'!$A$8:$A$16)
+COUNT(CPVC!$A$9:$A$104)+1,"")</f>
        <v/>
      </c>
      <c r="B99" s="610"/>
      <c r="C99" s="611"/>
      <c r="D99" s="443" t="str">
        <f>_xlfn.XLOOKUP(E99,'All Products'!D:D,'All Products'!C:C,FALSE)</f>
        <v>1414-130</v>
      </c>
      <c r="E99" s="103">
        <v>100026315</v>
      </c>
      <c r="F99" s="236" t="str">
        <f>_xlfn.XLOOKUP(E99,'All Products'!D:D,'All Products'!E:E,FALSE)</f>
        <v>1X1X1/2 SIDE OUTLET 90 ELL</v>
      </c>
      <c r="G99" s="153">
        <f>_xlfn.XLOOKUP(E99,'All Products'!D:D,'All Products'!F:F,FALSE)</f>
        <v>50</v>
      </c>
      <c r="H99" s="153">
        <f>_xlfn.XLOOKUP(E99,'All Products'!D:D,'All Products'!G:G,FALSE)</f>
        <v>4500</v>
      </c>
      <c r="I99" s="372">
        <f>_xlfn.XLOOKUP(E99,'All Products'!D:D,'All Products'!H:H)</f>
        <v>14.98</v>
      </c>
      <c r="J99" s="256">
        <f>ROUNDUP(I99*Order_Quote!$L$12,2)</f>
        <v>14.98</v>
      </c>
      <c r="K99" s="341"/>
      <c r="L99" s="113"/>
      <c r="M99" s="171">
        <f>K99/G99</f>
        <v>0</v>
      </c>
      <c r="O99" s="247" t="str">
        <f>_xlfn.XLOOKUP(E99,'All Products'!D:D,'All Products'!I:I,FALSE)</f>
        <v>Within 3 Weeks</v>
      </c>
      <c r="P99" s="247" t="str">
        <f>_xlfn.XLOOKUP(E99,'All Products'!D:D,'All Products'!J:J,FALSE)</f>
        <v>Manufactured</v>
      </c>
      <c r="Q99" s="508">
        <f>_xlfn.XLOOKUP(E99,'All Products'!D:D,'All Products'!K:K,FALSE)</f>
        <v>49081104412</v>
      </c>
      <c r="R99" s="508">
        <f>_xlfn.XLOOKUP(E99,'All Products'!D:D,'All Products'!L:L,FALSE)</f>
        <v>49081604417</v>
      </c>
      <c r="S99" s="508">
        <f>_xlfn.XLOOKUP(E99,'All Products'!D:D,'All Products'!M:M,FALSE)</f>
        <v>40049081104410</v>
      </c>
      <c r="T99" s="264">
        <f>_xlfn.XLOOKUP(E99,'All Products'!D:D,'All Products'!N:N,FALSE)</f>
        <v>0.13200000000000001</v>
      </c>
      <c r="U99" s="215">
        <f>_xlfn.XLOOKUP(E99,'All Products'!D:D,'All Products'!O:O,FALSE)</f>
        <v>5</v>
      </c>
      <c r="V99" s="265">
        <f>_xlfn.XLOOKUP(E99,'All Products'!D:D,'All Products'!P:P,FALSE)</f>
        <v>6.64</v>
      </c>
      <c r="W99" s="265">
        <f>_xlfn.XLOOKUP(E99,'All Products'!D:D,'All Products'!Q:Q,FALSE)</f>
        <v>0.5</v>
      </c>
      <c r="X99" s="331"/>
      <c r="Y99" s="331"/>
    </row>
    <row r="100" spans="1:25" ht="15" customHeight="1">
      <c r="A100" s="101" t="str">
        <f>IF(K100&gt;0,COUNT($A$8:A99)
+COUNT('DWV PVC'!$A$9:$A$316)
+COUNT('DWV ABS'!$A$8:$A$116)
+COUNT('PVC SCH40'!$A$8:$A$424)
+COUNT('PVC SCH40 LD'!$A$8:$A$21)
+COUNT('Pool &amp; SPA Sweep Elbows'!$A$8:$A$11)
+COUNT('Pool &amp; SPA Pipe Extender'!$A$8:$A$10)
+COUNT('PVC SCH80'!$A$8:$A$249)
+COUNT('PVC SCH80 Flange'!$A$8:$A$48)
+COUNT('PVC SCH80 LD Flange'!$A$8:$A$16)
+COUNT(CPVC!$A$9:$A$104)+1,"")</f>
        <v/>
      </c>
      <c r="B100" s="612"/>
      <c r="C100" s="613"/>
      <c r="D100" s="443" t="str">
        <f>_xlfn.XLOOKUP(E100,'All Products'!D:D,'All Products'!C:C,FALSE)</f>
        <v>1414-131</v>
      </c>
      <c r="E100" s="103">
        <v>100026316</v>
      </c>
      <c r="F100" s="236" t="str">
        <f>_xlfn.XLOOKUP(E100,'All Products'!D:D,'All Products'!E:E,FALSE)</f>
        <v>1X1X3/4 SIDE OUTLET 90 ELL</v>
      </c>
      <c r="G100" s="153">
        <f>_xlfn.XLOOKUP(E100,'All Products'!D:D,'All Products'!F:F,FALSE)</f>
        <v>50</v>
      </c>
      <c r="H100" s="153">
        <f>_xlfn.XLOOKUP(E100,'All Products'!D:D,'All Products'!G:G,FALSE)</f>
        <v>4500</v>
      </c>
      <c r="I100" s="372">
        <v>13.156000000000001</v>
      </c>
      <c r="J100" s="256">
        <f>ROUNDUP(I100*Order_Quote!$L$12,2)</f>
        <v>13.16</v>
      </c>
      <c r="K100" s="341"/>
      <c r="L100" s="239"/>
      <c r="M100" s="171">
        <f>K100/G100</f>
        <v>0</v>
      </c>
      <c r="O100" s="247" t="str">
        <f>_xlfn.XLOOKUP(E100,'All Products'!D:D,'All Products'!I:I,FALSE)</f>
        <v>Within 3 Weeks</v>
      </c>
      <c r="P100" s="247" t="str">
        <f>_xlfn.XLOOKUP(E100,'All Products'!D:D,'All Products'!J:J,FALSE)</f>
        <v>Manufactured</v>
      </c>
      <c r="Q100" s="508">
        <f>_xlfn.XLOOKUP(E100,'All Products'!D:D,'All Products'!K:K,FALSE)</f>
        <v>49081104429</v>
      </c>
      <c r="R100" s="508">
        <f>_xlfn.XLOOKUP(E100,'All Products'!D:D,'All Products'!L:L,FALSE)</f>
        <v>49081604424</v>
      </c>
      <c r="S100" s="508">
        <f>_xlfn.XLOOKUP(E100,'All Products'!D:D,'All Products'!M:M,FALSE)</f>
        <v>40049081104427</v>
      </c>
      <c r="T100" s="264">
        <f>_xlfn.XLOOKUP(E100,'All Products'!D:D,'All Products'!N:N,FALSE)</f>
        <v>0.13</v>
      </c>
      <c r="U100" s="215">
        <f>_xlfn.XLOOKUP(E100,'All Products'!D:D,'All Products'!O:O,FALSE)</f>
        <v>5</v>
      </c>
      <c r="V100" s="265">
        <f>_xlfn.XLOOKUP(E100,'All Products'!D:D,'All Products'!P:P,FALSE)</f>
        <v>7.84</v>
      </c>
      <c r="W100" s="265">
        <f>_xlfn.XLOOKUP(E100,'All Products'!D:D,'All Products'!Q:Q,FALSE)</f>
        <v>0.5</v>
      </c>
      <c r="X100" s="331"/>
      <c r="Y100" s="331"/>
    </row>
    <row r="101" spans="1:25" ht="15" customHeight="1">
      <c r="A101" s="101" t="str">
        <f>IF(K101&gt;0,COUNT($A$8:A100)
+COUNT('DWV PVC'!$A$9:$A$316)
+COUNT('DWV ABS'!$A$8:$A$116)
+COUNT('PVC SCH40'!$A$8:$A$424)
+COUNT('PVC SCH40 LD'!$A$8:$A$21)
+COUNT('Pool &amp; SPA Sweep Elbows'!$A$8:$A$11)
+COUNT('Pool &amp; SPA Pipe Extender'!$A$8:$A$10)
+COUNT('PVC SCH80'!$A$8:$A$249)
+COUNT('PVC SCH80 Flange'!$A$8:$A$48)
+COUNT('PVC SCH80 LD Flange'!$A$8:$A$16)
+COUNT(CPVC!$A$9:$A$104)+1,"")</f>
        <v/>
      </c>
      <c r="B101" s="435" t="s">
        <v>5758</v>
      </c>
      <c r="C101" s="339"/>
      <c r="D101" s="333"/>
      <c r="E101" s="333"/>
      <c r="F101" s="333"/>
      <c r="G101" s="333"/>
      <c r="H101" s="333"/>
      <c r="I101" s="333"/>
      <c r="J101" s="334"/>
      <c r="K101" s="333"/>
      <c r="L101" s="333"/>
      <c r="M101" s="335"/>
      <c r="O101" s="525"/>
      <c r="P101" s="333"/>
      <c r="Q101" s="509"/>
      <c r="R101" s="509"/>
      <c r="S101" s="509"/>
      <c r="T101" s="333"/>
      <c r="U101" s="333"/>
      <c r="V101" s="333"/>
      <c r="W101" s="335"/>
    </row>
    <row r="102" spans="1:25" ht="15" customHeight="1">
      <c r="A102" s="101" t="str">
        <f>IF(K102&gt;0,COUNT($A$8:A101)
+COUNT('DWV PVC'!$A$9:$A$316)
+COUNT('DWV ABS'!$A$8:$A$116)
+COUNT('PVC SCH40'!$A$8:$A$424)
+COUNT('PVC SCH40 LD'!$A$8:$A$21)
+COUNT('Pool &amp; SPA Sweep Elbows'!$A$8:$A$11)
+COUNT('Pool &amp; SPA Pipe Extender'!$A$8:$A$10)
+COUNT('PVC SCH80'!$A$8:$A$249)
+COUNT('PVC SCH80 Flange'!$A$8:$A$48)
+COUNT('PVC SCH80 LD Flange'!$A$8:$A$16)
+COUNT(CPVC!$A$9:$A$104)+1,"")</f>
        <v/>
      </c>
      <c r="B102" s="670"/>
      <c r="C102" s="671"/>
      <c r="D102" s="443" t="str">
        <f>_xlfn.XLOOKUP(E102,'All Products'!D:D,'All Products'!C:C,FALSE)</f>
        <v>1416-101</v>
      </c>
      <c r="E102" s="103">
        <v>100026318</v>
      </c>
      <c r="F102" s="236" t="str">
        <f>_xlfn.XLOOKUP(E102,'All Products'!D:D,'All Products'!E:E,FALSE)</f>
        <v>3/4X3/4X3/4X1/2 SIDE OUTLET TEE</v>
      </c>
      <c r="G102" s="153">
        <f>_xlfn.XLOOKUP(E102,'All Products'!D:D,'All Products'!F:F,FALSE)</f>
        <v>50</v>
      </c>
      <c r="H102" s="153">
        <f>_xlfn.XLOOKUP(E102,'All Products'!D:D,'All Products'!G:G,FALSE)</f>
        <v>4500</v>
      </c>
      <c r="I102" s="372">
        <f>_xlfn.XLOOKUP(E102,'All Products'!D:D,'All Products'!H:H)</f>
        <v>17.97</v>
      </c>
      <c r="J102" s="256">
        <f>ROUNDUP(I102*Order_Quote!$L$12,2)</f>
        <v>17.97</v>
      </c>
      <c r="K102" s="75"/>
      <c r="L102" s="168"/>
      <c r="M102" s="171">
        <f>K102/G102</f>
        <v>0</v>
      </c>
      <c r="O102" s="247" t="str">
        <f>_xlfn.XLOOKUP(E102,'All Products'!D:D,'All Products'!I:I,FALSE)</f>
        <v>In Stock</v>
      </c>
      <c r="P102" s="247" t="str">
        <f>_xlfn.XLOOKUP(E102,'All Products'!D:D,'All Products'!J:J,FALSE)</f>
        <v>Manufactured</v>
      </c>
      <c r="Q102" s="508">
        <f>_xlfn.XLOOKUP(E102,'All Products'!D:D,'All Products'!K:K,FALSE)</f>
        <v>49081104474</v>
      </c>
      <c r="R102" s="508">
        <f>_xlfn.XLOOKUP(E102,'All Products'!D:D,'All Products'!L:L,FALSE)</f>
        <v>49081604479</v>
      </c>
      <c r="S102" s="508">
        <f>_xlfn.XLOOKUP(E102,'All Products'!D:D,'All Products'!M:M,FALSE)</f>
        <v>40049081104472</v>
      </c>
      <c r="T102" s="264">
        <f>_xlfn.XLOOKUP(E102,'All Products'!D:D,'All Products'!N:N,FALSE)</f>
        <v>0.124</v>
      </c>
      <c r="U102" s="215">
        <f>_xlfn.XLOOKUP(E102,'All Products'!D:D,'All Products'!O:O,FALSE)</f>
        <v>5</v>
      </c>
      <c r="V102" s="265">
        <f>_xlfn.XLOOKUP(E102,'All Products'!D:D,'All Products'!P:P,FALSE)</f>
        <v>6.22</v>
      </c>
      <c r="W102" s="265">
        <f>_xlfn.XLOOKUP(E102,'All Products'!D:D,'All Products'!Q:Q,FALSE)</f>
        <v>0.5</v>
      </c>
      <c r="X102" s="331"/>
      <c r="Y102" s="331"/>
    </row>
    <row r="103" spans="1:25" ht="15" customHeight="1">
      <c r="A103" s="101" t="str">
        <f>IF(K103&gt;0,COUNT($A$8:A102)
+COUNT('DWV PVC'!$A$9:$A$316)
+COUNT('DWV ABS'!$A$8:$A$116)
+COUNT('PVC SCH40'!$A$8:$A$424)
+COUNT('PVC SCH40 LD'!$A$8:$A$21)
+COUNT('Pool &amp; SPA Sweep Elbows'!$A$8:$A$11)
+COUNT('Pool &amp; SPA Pipe Extender'!$A$8:$A$10)
+COUNT('PVC SCH80'!$A$8:$A$249)
+COUNT('PVC SCH80 Flange'!$A$8:$A$48)
+COUNT('PVC SCH80 LD Flange'!$A$8:$A$16)
+COUNT(CPVC!$A$9:$A$104)+1,"")</f>
        <v/>
      </c>
      <c r="B103" s="672"/>
      <c r="C103" s="673"/>
      <c r="D103" s="443" t="str">
        <f>_xlfn.XLOOKUP(E103,'All Products'!D:D,'All Products'!C:C,FALSE)</f>
        <v>1416-130</v>
      </c>
      <c r="E103" s="103">
        <v>100026319</v>
      </c>
      <c r="F103" s="236" t="str">
        <f>_xlfn.XLOOKUP(E103,'All Products'!D:D,'All Products'!E:E,FALSE)</f>
        <v>1X1X1X1/2 SIDE OUTLET TEE</v>
      </c>
      <c r="G103" s="153">
        <f>_xlfn.XLOOKUP(E103,'All Products'!D:D,'All Products'!F:F,FALSE)</f>
        <v>50</v>
      </c>
      <c r="H103" s="153">
        <f>_xlfn.XLOOKUP(E103,'All Products'!D:D,'All Products'!G:G,FALSE)</f>
        <v>3750</v>
      </c>
      <c r="I103" s="372">
        <f>_xlfn.XLOOKUP(E103,'All Products'!D:D,'All Products'!H:H)</f>
        <v>19.12</v>
      </c>
      <c r="J103" s="256">
        <f>ROUNDUP(I103*Order_Quote!$L$12,2)</f>
        <v>19.12</v>
      </c>
      <c r="K103" s="75"/>
      <c r="L103" s="168"/>
      <c r="M103" s="171">
        <f>K103/G103</f>
        <v>0</v>
      </c>
      <c r="O103" s="247" t="str">
        <f>_xlfn.XLOOKUP(E103,'All Products'!D:D,'All Products'!I:I,FALSE)</f>
        <v>In Stock</v>
      </c>
      <c r="P103" s="247" t="str">
        <f>_xlfn.XLOOKUP(E103,'All Products'!D:D,'All Products'!J:J,FALSE)</f>
        <v>Manufactured</v>
      </c>
      <c r="Q103" s="508">
        <f>_xlfn.XLOOKUP(E103,'All Products'!D:D,'All Products'!K:K,FALSE)</f>
        <v>49081104481</v>
      </c>
      <c r="R103" s="508">
        <f>_xlfn.XLOOKUP(E103,'All Products'!D:D,'All Products'!L:L,FALSE)</f>
        <v>49081604486</v>
      </c>
      <c r="S103" s="508">
        <f>_xlfn.XLOOKUP(E103,'All Products'!D:D,'All Products'!M:M,FALSE)</f>
        <v>40049081104489</v>
      </c>
      <c r="T103" s="264">
        <f>_xlfn.XLOOKUP(E103,'All Products'!D:D,'All Products'!N:N,FALSE)</f>
        <v>0.16600000000000001</v>
      </c>
      <c r="U103" s="215">
        <f>_xlfn.XLOOKUP(E103,'All Products'!D:D,'All Products'!O:O,FALSE)</f>
        <v>5</v>
      </c>
      <c r="V103" s="265">
        <f>_xlfn.XLOOKUP(E103,'All Products'!D:D,'All Products'!P:P,FALSE)</f>
        <v>8.34</v>
      </c>
      <c r="W103" s="265">
        <f>_xlfn.XLOOKUP(E103,'All Products'!D:D,'All Products'!Q:Q,FALSE)</f>
        <v>0.65</v>
      </c>
      <c r="X103" s="331"/>
      <c r="Y103" s="331"/>
    </row>
    <row r="104" spans="1:25" ht="15" customHeight="1">
      <c r="A104" s="101" t="str">
        <f>IF(K104&gt;0,COUNT($A$8:A103)
+COUNT('DWV PVC'!$A$9:$A$316)
+COUNT('DWV ABS'!$A$8:$A$116)
+COUNT('PVC SCH40'!$A$8:$A$424)
+COUNT('PVC SCH40 LD'!$A$8:$A$21)
+COUNT('Pool &amp; SPA Sweep Elbows'!$A$8:$A$11)
+COUNT('Pool &amp; SPA Pipe Extender'!$A$8:$A$10)
+COUNT('PVC SCH80'!$A$8:$A$249)
+COUNT('PVC SCH80 Flange'!$A$8:$A$48)
+COUNT('PVC SCH80 LD Flange'!$A$8:$A$16)
+COUNT(CPVC!$A$9:$A$104)+1,"")</f>
        <v/>
      </c>
      <c r="B104" s="674"/>
      <c r="C104" s="675"/>
      <c r="D104" s="443" t="str">
        <f>_xlfn.XLOOKUP(E104,'All Products'!D:D,'All Products'!C:C,FALSE)</f>
        <v>1416-131</v>
      </c>
      <c r="E104" s="153">
        <v>100026320</v>
      </c>
      <c r="F104" s="236" t="str">
        <f>_xlfn.XLOOKUP(E104,'All Products'!D:D,'All Products'!E:E,FALSE)</f>
        <v>1X1X1X3/4 SIDE OUTLET TEE</v>
      </c>
      <c r="G104" s="153">
        <f>_xlfn.XLOOKUP(E104,'All Products'!D:D,'All Products'!F:F,FALSE)</f>
        <v>50</v>
      </c>
      <c r="H104" s="153">
        <f>_xlfn.XLOOKUP(E104,'All Products'!D:D,'All Products'!G:G,FALSE)</f>
        <v>3750</v>
      </c>
      <c r="I104" s="371">
        <f>_xlfn.XLOOKUP(E104,'All Products'!D:D,'All Products'!H:H)</f>
        <v>19.12</v>
      </c>
      <c r="J104" s="256">
        <f>ROUNDUP(I104*Order_Quote!$L$12,2)</f>
        <v>19.12</v>
      </c>
      <c r="K104" s="161"/>
      <c r="L104" s="239"/>
      <c r="M104" s="243">
        <f>K104/G104</f>
        <v>0</v>
      </c>
      <c r="O104" s="247" t="str">
        <f>_xlfn.XLOOKUP(E104,'All Products'!D:D,'All Products'!I:I,FALSE)</f>
        <v>In Stock</v>
      </c>
      <c r="P104" s="247" t="str">
        <f>_xlfn.XLOOKUP(E104,'All Products'!D:D,'All Products'!J:J,FALSE)</f>
        <v>Manufactured</v>
      </c>
      <c r="Q104" s="508">
        <f>_xlfn.XLOOKUP(E104,'All Products'!D:D,'All Products'!K:K,FALSE)</f>
        <v>49081104498</v>
      </c>
      <c r="R104" s="508">
        <f>_xlfn.XLOOKUP(E104,'All Products'!D:D,'All Products'!L:L,FALSE)</f>
        <v>49081604493</v>
      </c>
      <c r="S104" s="508">
        <f>_xlfn.XLOOKUP(E104,'All Products'!D:D,'All Products'!M:M,FALSE)</f>
        <v>40049081104496</v>
      </c>
      <c r="T104" s="264">
        <f>_xlfn.XLOOKUP(E104,'All Products'!D:D,'All Products'!N:N,FALSE)</f>
        <v>0.17299999999999999</v>
      </c>
      <c r="U104" s="215">
        <f>_xlfn.XLOOKUP(E104,'All Products'!D:D,'All Products'!O:O,FALSE)</f>
        <v>5</v>
      </c>
      <c r="V104" s="265">
        <f>_xlfn.XLOOKUP(E104,'All Products'!D:D,'All Products'!P:P,FALSE)</f>
        <v>8.69</v>
      </c>
      <c r="W104" s="265">
        <f>_xlfn.XLOOKUP(E104,'All Products'!D:D,'All Products'!Q:Q,FALSE)</f>
        <v>0.65</v>
      </c>
      <c r="X104" s="331"/>
      <c r="Y104" s="331"/>
    </row>
    <row r="105" spans="1:25" ht="15" customHeight="1">
      <c r="A105" s="101" t="str">
        <f>IF(K105&gt;0,COUNT($A$8:A104)
+COUNT('DWV PVC'!$A$9:$A$316)
+COUNT('DWV ABS'!$A$8:$A$116)
+COUNT('PVC SCH40'!$A$8:$A$424)
+COUNT('PVC SCH40 LD'!$A$8:$A$21)
+COUNT('Pool &amp; SPA Sweep Elbows'!$A$8:$A$11)
+COUNT('Pool &amp; SPA Pipe Extender'!$A$8:$A$10)
+COUNT('PVC SCH80'!$A$8:$A$249)
+COUNT('PVC SCH80 Flange'!$A$8:$A$48)
+COUNT('PVC SCH80 LD Flange'!$A$8:$A$16)
+COUNT(CPVC!$A$9:$A$104)+1,"")</f>
        <v/>
      </c>
      <c r="B105" s="431" t="s">
        <v>5759</v>
      </c>
      <c r="C105" s="332"/>
      <c r="D105" s="333"/>
      <c r="E105" s="253"/>
      <c r="F105" s="333"/>
      <c r="G105" s="253"/>
      <c r="H105" s="253"/>
      <c r="I105" s="373"/>
      <c r="J105" s="258"/>
      <c r="K105" s="336"/>
      <c r="L105" s="253"/>
      <c r="M105" s="254"/>
      <c r="O105" s="527"/>
      <c r="P105" s="342"/>
      <c r="Q105" s="512"/>
      <c r="R105" s="512"/>
      <c r="S105" s="512"/>
      <c r="T105" s="342"/>
      <c r="U105" s="342"/>
      <c r="V105" s="342"/>
      <c r="W105" s="530"/>
    </row>
    <row r="106" spans="1:25" ht="15" customHeight="1">
      <c r="A106" s="101" t="str">
        <f>IF(K106&gt;0,COUNT($A$8:A105)
+COUNT('DWV PVC'!$A$9:$A$316)
+COUNT('DWV ABS'!$A$8:$A$116)
+COUNT('PVC SCH40'!$A$8:$A$424)
+COUNT('PVC SCH40 LD'!$A$8:$A$21)
+COUNT('Pool &amp; SPA Sweep Elbows'!$A$8:$A$11)
+COUNT('Pool &amp; SPA Pipe Extender'!$A$8:$A$10)
+COUNT('PVC SCH80'!$A$8:$A$249)
+COUNT('PVC SCH80 Flange'!$A$8:$A$48)
+COUNT('PVC SCH80 LD Flange'!$A$8:$A$16)
+COUNT(CPVC!$A$9:$A$104)+1,"")</f>
        <v/>
      </c>
      <c r="B106" s="608"/>
      <c r="C106" s="609"/>
      <c r="D106" s="443" t="str">
        <f>_xlfn.XLOOKUP(E106,'All Products'!D:D,'All Products'!C:C,FALSE)</f>
        <v>1420-005</v>
      </c>
      <c r="E106" s="153">
        <v>100022020</v>
      </c>
      <c r="F106" s="236" t="str">
        <f>_xlfn.XLOOKUP(E106,'All Products'!D:D,'All Products'!E:E,FALSE)</f>
        <v>1/2 CROSS INSERT</v>
      </c>
      <c r="G106" s="153">
        <f>_xlfn.XLOOKUP(E106,'All Products'!D:D,'All Products'!F:F,FALSE)</f>
        <v>100</v>
      </c>
      <c r="H106" s="153">
        <f>_xlfn.XLOOKUP(E106,'All Products'!D:D,'All Products'!G:G,FALSE)</f>
        <v>9000</v>
      </c>
      <c r="I106" s="371">
        <f>_xlfn.XLOOKUP(E106,'All Products'!D:D,'All Products'!H:H)</f>
        <v>13.89</v>
      </c>
      <c r="J106" s="256">
        <f>ROUNDUP(I106*Order_Quote!$L$12,2)</f>
        <v>13.89</v>
      </c>
      <c r="K106" s="161"/>
      <c r="L106" s="166"/>
      <c r="M106" s="243">
        <f>K106/G106</f>
        <v>0</v>
      </c>
      <c r="O106" s="247" t="str">
        <f>_xlfn.XLOOKUP(E106,'All Products'!D:D,'All Products'!I:I,FALSE)</f>
        <v>In Stock</v>
      </c>
      <c r="P106" s="247" t="str">
        <f>_xlfn.XLOOKUP(E106,'All Products'!D:D,'All Products'!J:J,FALSE)</f>
        <v>Manufactured</v>
      </c>
      <c r="Q106" s="508">
        <f>_xlfn.XLOOKUP(E106,'All Products'!D:D,'All Products'!K:K,FALSE)</f>
        <v>49081105709</v>
      </c>
      <c r="R106" s="508">
        <f>_xlfn.XLOOKUP(E106,'All Products'!D:D,'All Products'!L:L,FALSE)</f>
        <v>49081605704</v>
      </c>
      <c r="S106" s="508">
        <f>_xlfn.XLOOKUP(E106,'All Products'!D:D,'All Products'!M:M,FALSE)</f>
        <v>40049081105707</v>
      </c>
      <c r="T106" s="264">
        <f>_xlfn.XLOOKUP(E106,'All Products'!D:D,'All Products'!N:N,FALSE)</f>
        <v>5.3999999999999999E-2</v>
      </c>
      <c r="U106" s="215">
        <f>_xlfn.XLOOKUP(E106,'All Products'!D:D,'All Products'!O:O,FALSE)</f>
        <v>10</v>
      </c>
      <c r="V106" s="265">
        <f>_xlfn.XLOOKUP(E106,'All Products'!D:D,'All Products'!P:P,FALSE)</f>
        <v>6.26</v>
      </c>
      <c r="W106" s="265">
        <f>_xlfn.XLOOKUP(E106,'All Products'!D:D,'All Products'!Q:Q,FALSE)</f>
        <v>0.5</v>
      </c>
      <c r="X106" s="331"/>
      <c r="Y106" s="331"/>
    </row>
    <row r="107" spans="1:25" ht="15" customHeight="1">
      <c r="A107" s="101" t="str">
        <f>IF(K107&gt;0,COUNT($A$8:A106)
+COUNT('DWV PVC'!$A$9:$A$316)
+COUNT('DWV ABS'!$A$8:$A$116)
+COUNT('PVC SCH40'!$A$8:$A$424)
+COUNT('PVC SCH40 LD'!$A$8:$A$21)
+COUNT('Pool &amp; SPA Sweep Elbows'!$A$8:$A$11)
+COUNT('Pool &amp; SPA Pipe Extender'!$A$8:$A$10)
+COUNT('PVC SCH80'!$A$8:$A$249)
+COUNT('PVC SCH80 Flange'!$A$8:$A$48)
+COUNT('PVC SCH80 LD Flange'!$A$8:$A$16)
+COUNT(CPVC!$A$9:$A$104)+1,"")</f>
        <v/>
      </c>
      <c r="B107" s="610"/>
      <c r="C107" s="611"/>
      <c r="D107" s="443" t="str">
        <f>_xlfn.XLOOKUP(E107,'All Products'!D:D,'All Products'!C:C,FALSE)</f>
        <v>1420-007</v>
      </c>
      <c r="E107" s="103">
        <v>100022022</v>
      </c>
      <c r="F107" s="236" t="str">
        <f>_xlfn.XLOOKUP(E107,'All Products'!D:D,'All Products'!E:E,FALSE)</f>
        <v>3/4 CROSS INSERT</v>
      </c>
      <c r="G107" s="153">
        <f>_xlfn.XLOOKUP(E107,'All Products'!D:D,'All Products'!F:F,FALSE)</f>
        <v>100</v>
      </c>
      <c r="H107" s="153">
        <f>_xlfn.XLOOKUP(E107,'All Products'!D:D,'All Products'!G:G,FALSE)</f>
        <v>6000</v>
      </c>
      <c r="I107" s="372">
        <f>_xlfn.XLOOKUP(E107,'All Products'!D:D,'All Products'!H:H)</f>
        <v>13.89</v>
      </c>
      <c r="J107" s="256">
        <f>ROUNDUP(I107*Order_Quote!$L$12,2)</f>
        <v>13.89</v>
      </c>
      <c r="K107" s="75"/>
      <c r="L107" s="166"/>
      <c r="M107" s="171">
        <f>K107/G107</f>
        <v>0</v>
      </c>
      <c r="O107" s="247" t="str">
        <f>_xlfn.XLOOKUP(E107,'All Products'!D:D,'All Products'!I:I,FALSE)</f>
        <v>In Stock</v>
      </c>
      <c r="P107" s="247" t="str">
        <f>_xlfn.XLOOKUP(E107,'All Products'!D:D,'All Products'!J:J,FALSE)</f>
        <v>Manufactured</v>
      </c>
      <c r="Q107" s="508">
        <f>_xlfn.XLOOKUP(E107,'All Products'!D:D,'All Products'!K:K,FALSE)</f>
        <v>49081105716</v>
      </c>
      <c r="R107" s="508">
        <f>_xlfn.XLOOKUP(E107,'All Products'!D:D,'All Products'!L:L,FALSE)</f>
        <v>49081605711</v>
      </c>
      <c r="S107" s="508">
        <f>_xlfn.XLOOKUP(E107,'All Products'!D:D,'All Products'!M:M,FALSE)</f>
        <v>40049081105714</v>
      </c>
      <c r="T107" s="264">
        <f>_xlfn.XLOOKUP(E107,'All Products'!D:D,'All Products'!N:N,FALSE)</f>
        <v>8.1000000000000003E-2</v>
      </c>
      <c r="U107" s="215">
        <f>_xlfn.XLOOKUP(E107,'All Products'!D:D,'All Products'!O:O,FALSE)</f>
        <v>10</v>
      </c>
      <c r="V107" s="265">
        <f>_xlfn.XLOOKUP(E107,'All Products'!D:D,'All Products'!P:P,FALSE)</f>
        <v>9.36</v>
      </c>
      <c r="W107" s="265">
        <f>_xlfn.XLOOKUP(E107,'All Products'!D:D,'All Products'!Q:Q,FALSE)</f>
        <v>0.8</v>
      </c>
      <c r="X107" s="331"/>
      <c r="Y107" s="331"/>
    </row>
    <row r="108" spans="1:25" ht="15" customHeight="1">
      <c r="A108" s="101" t="str">
        <f>IF(K108&gt;0,COUNT($A$8:A107)
+COUNT('DWV PVC'!$A$9:$A$316)
+COUNT('DWV ABS'!$A$8:$A$116)
+COUNT('PVC SCH40'!$A$8:$A$424)
+COUNT('PVC SCH40 LD'!$A$8:$A$21)
+COUNT('Pool &amp; SPA Sweep Elbows'!$A$8:$A$11)
+COUNT('Pool &amp; SPA Pipe Extender'!$A$8:$A$10)
+COUNT('PVC SCH80'!$A$8:$A$249)
+COUNT('PVC SCH80 Flange'!$A$8:$A$48)
+COUNT('PVC SCH80 LD Flange'!$A$8:$A$16)
+COUNT(CPVC!$A$9:$A$104)+1,"")</f>
        <v/>
      </c>
      <c r="B108" s="612"/>
      <c r="C108" s="613"/>
      <c r="D108" s="443" t="str">
        <f>_xlfn.XLOOKUP(E108,'All Products'!D:D,'All Products'!C:C,FALSE)</f>
        <v>1420-010</v>
      </c>
      <c r="E108" s="103">
        <v>100022024</v>
      </c>
      <c r="F108" s="236" t="str">
        <f>_xlfn.XLOOKUP(E108,'All Products'!D:D,'All Products'!E:E,FALSE)</f>
        <v>1 CROSS INSERT</v>
      </c>
      <c r="G108" s="153">
        <f>_xlfn.XLOOKUP(E108,'All Products'!D:D,'All Products'!F:F,FALSE)</f>
        <v>50</v>
      </c>
      <c r="H108" s="153">
        <f>_xlfn.XLOOKUP(E108,'All Products'!D:D,'All Products'!G:G,FALSE)</f>
        <v>3750</v>
      </c>
      <c r="I108" s="372">
        <f>_xlfn.XLOOKUP(E108,'All Products'!D:D,'All Products'!H:H)</f>
        <v>17.190000000000001</v>
      </c>
      <c r="J108" s="256">
        <f>ROUNDUP(I108*Order_Quote!$L$12,2)</f>
        <v>17.190000000000001</v>
      </c>
      <c r="K108" s="75"/>
      <c r="L108" s="166"/>
      <c r="M108" s="171">
        <f>K108/G108</f>
        <v>0</v>
      </c>
      <c r="O108" s="247" t="str">
        <f>_xlfn.XLOOKUP(E108,'All Products'!D:D,'All Products'!I:I,FALSE)</f>
        <v>In Stock</v>
      </c>
      <c r="P108" s="247" t="str">
        <f>_xlfn.XLOOKUP(E108,'All Products'!D:D,'All Products'!J:J,FALSE)</f>
        <v>Manufactured</v>
      </c>
      <c r="Q108" s="508">
        <f>_xlfn.XLOOKUP(E108,'All Products'!D:D,'All Products'!K:K,FALSE)</f>
        <v>49081105723</v>
      </c>
      <c r="R108" s="508" t="str">
        <f>_xlfn.XLOOKUP(E108,'All Products'!D:D,'All Products'!L:L,FALSE)</f>
        <v>-</v>
      </c>
      <c r="S108" s="508">
        <f>_xlfn.XLOOKUP(E108,'All Products'!D:D,'All Products'!M:M,FALSE)</f>
        <v>40049081105721</v>
      </c>
      <c r="T108" s="264">
        <f>_xlfn.XLOOKUP(E108,'All Products'!D:D,'All Products'!N:N,FALSE)</f>
        <v>0.14299999999999999</v>
      </c>
      <c r="U108" s="215" t="str">
        <f>_xlfn.XLOOKUP(E108,'All Products'!D:D,'All Products'!O:O,FALSE)</f>
        <v>-</v>
      </c>
      <c r="V108" s="265">
        <f>_xlfn.XLOOKUP(E108,'All Products'!D:D,'All Products'!P:P,FALSE)</f>
        <v>8.0299999999999994</v>
      </c>
      <c r="W108" s="265">
        <f>_xlfn.XLOOKUP(E108,'All Products'!D:D,'All Products'!Q:Q,FALSE)</f>
        <v>0.65</v>
      </c>
      <c r="X108" s="331"/>
      <c r="Y108" s="331"/>
    </row>
    <row r="109" spans="1:25" ht="15" customHeight="1">
      <c r="A109" s="101" t="str">
        <f>IF(K109&gt;0,COUNT($A$8:A108)
+COUNT('DWV PVC'!$A$9:$A$316)
+COUNT('DWV ABS'!$A$8:$A$116)
+COUNT('PVC SCH40'!$A$8:$A$424)
+COUNT('PVC SCH40 LD'!$A$8:$A$21)
+COUNT('Pool &amp; SPA Sweep Elbows'!$A$8:$A$11)
+COUNT('Pool &amp; SPA Pipe Extender'!$A$8:$A$10)
+COUNT('PVC SCH80'!$A$8:$A$249)
+COUNT('PVC SCH80 Flange'!$A$8:$A$48)
+COUNT('PVC SCH80 LD Flange'!$A$8:$A$16)
+COUNT(CPVC!$A$9:$A$104)+1,"")</f>
        <v/>
      </c>
      <c r="B109" s="436" t="s">
        <v>5760</v>
      </c>
      <c r="C109" s="333"/>
      <c r="D109" s="333"/>
      <c r="E109" s="333"/>
      <c r="F109" s="333"/>
      <c r="G109" s="333"/>
      <c r="H109" s="333"/>
      <c r="I109" s="333"/>
      <c r="J109" s="334"/>
      <c r="K109" s="333"/>
      <c r="L109" s="333"/>
      <c r="M109" s="335"/>
      <c r="O109" s="525"/>
      <c r="P109" s="333"/>
      <c r="Q109" s="509"/>
      <c r="R109" s="509"/>
      <c r="S109" s="509"/>
      <c r="T109" s="333"/>
      <c r="U109" s="333"/>
      <c r="V109" s="333"/>
      <c r="W109" s="335"/>
    </row>
    <row r="110" spans="1:25" ht="49.5" customHeight="1">
      <c r="A110" s="101" t="str">
        <f>IF(K110&gt;0,COUNT($A$8:A109)
+COUNT('DWV PVC'!$A$9:$A$316)
+COUNT('DWV ABS'!$A$8:$A$116)
+COUNT('PVC SCH40'!$A$8:$A$424)
+COUNT('PVC SCH40 LD'!$A$8:$A$21)
+COUNT('Pool &amp; SPA Sweep Elbows'!$A$8:$A$11)
+COUNT('Pool &amp; SPA Pipe Extender'!$A$8:$A$10)
+COUNT('PVC SCH80'!$A$8:$A$249)
+COUNT('PVC SCH80 Flange'!$A$8:$A$48)
+COUNT('PVC SCH80 LD Flange'!$A$8:$A$16)
+COUNT(CPVC!$A$9:$A$104)+1,"")</f>
        <v/>
      </c>
      <c r="B110" s="616"/>
      <c r="C110" s="617"/>
      <c r="D110" s="443" t="str">
        <f>_xlfn.XLOOKUP(E110,'All Products'!D:D,'All Products'!C:C,FALSE)</f>
        <v>1420-130</v>
      </c>
      <c r="E110" s="103">
        <v>100022031</v>
      </c>
      <c r="F110" s="236" t="str">
        <f>_xlfn.XLOOKUP(E110,'All Products'!D:D,'All Products'!E:E,FALSE)</f>
        <v>1X1X1/2X1/2 CROSS INSERT</v>
      </c>
      <c r="G110" s="153">
        <f>_xlfn.XLOOKUP(E110,'All Products'!D:D,'All Products'!F:F,FALSE)</f>
        <v>50</v>
      </c>
      <c r="H110" s="153">
        <f>_xlfn.XLOOKUP(E110,'All Products'!D:D,'All Products'!G:G,FALSE)</f>
        <v>4500</v>
      </c>
      <c r="I110" s="372">
        <f>_xlfn.XLOOKUP(E110,'All Products'!D:D,'All Products'!H:H)</f>
        <v>25.64</v>
      </c>
      <c r="J110" s="256">
        <f>ROUNDUP(I110*Order_Quote!$L$12,2)</f>
        <v>25.64</v>
      </c>
      <c r="K110" s="341"/>
      <c r="L110" s="113"/>
      <c r="M110" s="171">
        <f>K110/G110</f>
        <v>0</v>
      </c>
      <c r="O110" s="247" t="str">
        <f>_xlfn.XLOOKUP(E110,'All Products'!D:D,'All Products'!I:I,FALSE)</f>
        <v>Within 3 Weeks</v>
      </c>
      <c r="P110" s="247" t="str">
        <f>_xlfn.XLOOKUP(E110,'All Products'!D:D,'All Products'!J:J,FALSE)</f>
        <v>Manufactured</v>
      </c>
      <c r="Q110" s="508">
        <f>_xlfn.XLOOKUP(E110,'All Products'!D:D,'All Products'!K:K,FALSE)</f>
        <v>49081104535</v>
      </c>
      <c r="R110" s="508" t="str">
        <f>_xlfn.XLOOKUP(E110,'All Products'!D:D,'All Products'!L:L,FALSE)</f>
        <v>-</v>
      </c>
      <c r="S110" s="508">
        <f>_xlfn.XLOOKUP(E110,'All Products'!D:D,'All Products'!M:M,FALSE)</f>
        <v>40049081104533</v>
      </c>
      <c r="T110" s="264">
        <f>_xlfn.XLOOKUP(E110,'All Products'!D:D,'All Products'!N:N,FALSE)</f>
        <v>0.108</v>
      </c>
      <c r="U110" s="215" t="str">
        <f>_xlfn.XLOOKUP(E110,'All Products'!D:D,'All Products'!O:O,FALSE)</f>
        <v>-</v>
      </c>
      <c r="V110" s="265">
        <f>_xlfn.XLOOKUP(E110,'All Products'!D:D,'All Products'!P:P,FALSE)</f>
        <v>6.08</v>
      </c>
      <c r="W110" s="265">
        <f>_xlfn.XLOOKUP(E110,'All Products'!D:D,'All Products'!Q:Q,FALSE)</f>
        <v>0.5</v>
      </c>
      <c r="X110" s="331"/>
      <c r="Y110" s="331"/>
    </row>
    <row r="111" spans="1:25" ht="15" customHeight="1">
      <c r="A111" s="101" t="str">
        <f>IF(K111&gt;0,COUNT($A$8:A110)
+COUNT('DWV PVC'!$A$9:$A$316)
+COUNT('DWV ABS'!$A$8:$A$116)
+COUNT('PVC SCH40'!$A$8:$A$424)
+COUNT('PVC SCH40 LD'!$A$8:$A$21)
+COUNT('Pool &amp; SPA Sweep Elbows'!$A$8:$A$11)
+COUNT('Pool &amp; SPA Pipe Extender'!$A$8:$A$10)
+COUNT('PVC SCH80'!$A$8:$A$249)
+COUNT('PVC SCH80 Flange'!$A$8:$A$48)
+COUNT('PVC SCH80 LD Flange'!$A$8:$A$16)
+COUNT(CPVC!$A$9:$A$104)+1,"")</f>
        <v/>
      </c>
      <c r="B111" s="431" t="s">
        <v>5761</v>
      </c>
      <c r="C111" s="332"/>
      <c r="D111" s="333"/>
      <c r="E111" s="253"/>
      <c r="F111" s="333"/>
      <c r="G111" s="253"/>
      <c r="H111" s="253"/>
      <c r="I111" s="373"/>
      <c r="J111" s="258"/>
      <c r="K111" s="336"/>
      <c r="L111" s="253"/>
      <c r="M111" s="254"/>
      <c r="O111" s="527"/>
      <c r="P111" s="342"/>
      <c r="Q111" s="512"/>
      <c r="R111" s="512"/>
      <c r="S111" s="512"/>
      <c r="T111" s="342"/>
      <c r="U111" s="342"/>
      <c r="V111" s="342"/>
      <c r="W111" s="530"/>
    </row>
    <row r="112" spans="1:25" ht="15" customHeight="1">
      <c r="A112" s="101" t="str">
        <f>IF(K112&gt;0,COUNT($A$8:A111)
+COUNT('DWV PVC'!$A$9:$A$316)
+COUNT('DWV ABS'!$A$8:$A$116)
+COUNT('PVC SCH40'!$A$8:$A$424)
+COUNT('PVC SCH40 LD'!$A$8:$A$21)
+COUNT('Pool &amp; SPA Sweep Elbows'!$A$8:$A$11)
+COUNT('Pool &amp; SPA Pipe Extender'!$A$8:$A$10)
+COUNT('PVC SCH80'!$A$8:$A$249)
+COUNT('PVC SCH80 Flange'!$A$8:$A$48)
+COUNT('PVC SCH80 LD Flange'!$A$8:$A$16)
+COUNT(CPVC!$A$9:$A$104)+1,"")</f>
        <v/>
      </c>
      <c r="B112" s="608"/>
      <c r="C112" s="609"/>
      <c r="D112" s="443" t="str">
        <f>_xlfn.XLOOKUP(E112,'All Products'!D:D,'All Products'!C:C,FALSE)</f>
        <v>1429-005</v>
      </c>
      <c r="E112" s="153">
        <v>100022047</v>
      </c>
      <c r="F112" s="236" t="str">
        <f>_xlfn.XLOOKUP(E112,'All Products'!D:D,'All Products'!E:E,FALSE)</f>
        <v>1/2 COUPL INSERT</v>
      </c>
      <c r="G112" s="153">
        <f>_xlfn.XLOOKUP(E112,'All Products'!D:D,'All Products'!F:F,FALSE)</f>
        <v>250</v>
      </c>
      <c r="H112" s="153">
        <f>_xlfn.XLOOKUP(E112,'All Products'!D:D,'All Products'!G:G,FALSE)</f>
        <v>22500</v>
      </c>
      <c r="I112" s="371">
        <f>_xlfn.XLOOKUP(E112,'All Products'!D:D,'All Products'!H:H)</f>
        <v>2.4500000000000002</v>
      </c>
      <c r="J112" s="256">
        <f>ROUNDUP(I112*Order_Quote!$L$12,2)</f>
        <v>2.4500000000000002</v>
      </c>
      <c r="K112" s="161"/>
      <c r="L112" s="113"/>
      <c r="M112" s="243">
        <f t="shared" ref="M112:M117" si="7">K112/G112</f>
        <v>0</v>
      </c>
      <c r="O112" s="247" t="str">
        <f>_xlfn.XLOOKUP(E112,'All Products'!D:D,'All Products'!I:I,FALSE)</f>
        <v>In Stock</v>
      </c>
      <c r="P112" s="247" t="str">
        <f>_xlfn.XLOOKUP(E112,'All Products'!D:D,'All Products'!J:J,FALSE)</f>
        <v>Manufactured</v>
      </c>
      <c r="Q112" s="508">
        <f>_xlfn.XLOOKUP(E112,'All Products'!D:D,'All Products'!K:K,FALSE)</f>
        <v>49081105426</v>
      </c>
      <c r="R112" s="508">
        <f>_xlfn.XLOOKUP(E112,'All Products'!D:D,'All Products'!L:L,FALSE)</f>
        <v>49081605421</v>
      </c>
      <c r="S112" s="508">
        <f>_xlfn.XLOOKUP(E112,'All Products'!D:D,'All Products'!M:M,FALSE)</f>
        <v>40049081105424</v>
      </c>
      <c r="T112" s="264">
        <f>_xlfn.XLOOKUP(E112,'All Products'!D:D,'All Products'!N:N,FALSE)</f>
        <v>2.1999999999999999E-2</v>
      </c>
      <c r="U112" s="215">
        <f>_xlfn.XLOOKUP(E112,'All Products'!D:D,'All Products'!O:O,FALSE)</f>
        <v>10</v>
      </c>
      <c r="V112" s="265">
        <f>_xlfn.XLOOKUP(E112,'All Products'!D:D,'All Products'!P:P,FALSE)</f>
        <v>7.86</v>
      </c>
      <c r="W112" s="265">
        <f>_xlfn.XLOOKUP(E112,'All Products'!D:D,'All Products'!Q:Q,FALSE)</f>
        <v>0.5</v>
      </c>
      <c r="X112" s="331"/>
      <c r="Y112" s="331"/>
    </row>
    <row r="113" spans="1:25" ht="15" customHeight="1">
      <c r="A113" s="101" t="str">
        <f>IF(K113&gt;0,COUNT($A$8:A112)
+COUNT('DWV PVC'!$A$9:$A$316)
+COUNT('DWV ABS'!$A$8:$A$116)
+COUNT('PVC SCH40'!$A$8:$A$424)
+COUNT('PVC SCH40 LD'!$A$8:$A$21)
+COUNT('Pool &amp; SPA Sweep Elbows'!$A$8:$A$11)
+COUNT('Pool &amp; SPA Pipe Extender'!$A$8:$A$10)
+COUNT('PVC SCH80'!$A$8:$A$249)
+COUNT('PVC SCH80 Flange'!$A$8:$A$48)
+COUNT('PVC SCH80 LD Flange'!$A$8:$A$16)
+COUNT(CPVC!$A$9:$A$104)+1,"")</f>
        <v/>
      </c>
      <c r="B113" s="610"/>
      <c r="C113" s="611"/>
      <c r="D113" s="443" t="str">
        <f>_xlfn.XLOOKUP(E113,'All Products'!D:D,'All Products'!C:C,FALSE)</f>
        <v>1429-007</v>
      </c>
      <c r="E113" s="103">
        <v>100022049</v>
      </c>
      <c r="F113" s="236" t="str">
        <f>_xlfn.XLOOKUP(E113,'All Products'!D:D,'All Products'!E:E,FALSE)</f>
        <v>3/4 COUPL INSERT</v>
      </c>
      <c r="G113" s="153">
        <f>_xlfn.XLOOKUP(E113,'All Products'!D:D,'All Products'!F:F,FALSE)</f>
        <v>250</v>
      </c>
      <c r="H113" s="153">
        <f>_xlfn.XLOOKUP(E113,'All Products'!D:D,'All Products'!G:G,FALSE)</f>
        <v>18750</v>
      </c>
      <c r="I113" s="372">
        <f>_xlfn.XLOOKUP(E113,'All Products'!D:D,'All Products'!H:H)</f>
        <v>2.97</v>
      </c>
      <c r="J113" s="256">
        <f>ROUNDUP(I113*Order_Quote!$L$12,2)</f>
        <v>2.97</v>
      </c>
      <c r="K113" s="75"/>
      <c r="L113" s="113"/>
      <c r="M113" s="171">
        <f t="shared" si="7"/>
        <v>0</v>
      </c>
      <c r="O113" s="247" t="str">
        <f>_xlfn.XLOOKUP(E113,'All Products'!D:D,'All Products'!I:I,FALSE)</f>
        <v>In Stock</v>
      </c>
      <c r="P113" s="247" t="str">
        <f>_xlfn.XLOOKUP(E113,'All Products'!D:D,'All Products'!J:J,FALSE)</f>
        <v>Manufactured</v>
      </c>
      <c r="Q113" s="508">
        <f>_xlfn.XLOOKUP(E113,'All Products'!D:D,'All Products'!K:K,FALSE)</f>
        <v>49081105433</v>
      </c>
      <c r="R113" s="508">
        <f>_xlfn.XLOOKUP(E113,'All Products'!D:D,'All Products'!L:L,FALSE)</f>
        <v>49081605438</v>
      </c>
      <c r="S113" s="508">
        <f>_xlfn.XLOOKUP(E113,'All Products'!D:D,'All Products'!M:M,FALSE)</f>
        <v>40049081105431</v>
      </c>
      <c r="T113" s="264">
        <f>_xlfn.XLOOKUP(E113,'All Products'!D:D,'All Products'!N:N,FALSE)</f>
        <v>3.5000000000000003E-2</v>
      </c>
      <c r="U113" s="215">
        <f>_xlfn.XLOOKUP(E113,'All Products'!D:D,'All Products'!O:O,FALSE)</f>
        <v>10</v>
      </c>
      <c r="V113" s="265">
        <f>_xlfn.XLOOKUP(E113,'All Products'!D:D,'All Products'!P:P,FALSE)</f>
        <v>10.48</v>
      </c>
      <c r="W113" s="265">
        <f>_xlfn.XLOOKUP(E113,'All Products'!D:D,'All Products'!Q:Q,FALSE)</f>
        <v>0.65</v>
      </c>
      <c r="X113" s="331"/>
      <c r="Y113" s="331"/>
    </row>
    <row r="114" spans="1:25" ht="15" customHeight="1">
      <c r="A114" s="101" t="str">
        <f>IF(K114&gt;0,COUNT($A$8:A113)
+COUNT('DWV PVC'!$A$9:$A$316)
+COUNT('DWV ABS'!$A$8:$A$116)
+COUNT('PVC SCH40'!$A$8:$A$424)
+COUNT('PVC SCH40 LD'!$A$8:$A$21)
+COUNT('Pool &amp; SPA Sweep Elbows'!$A$8:$A$11)
+COUNT('Pool &amp; SPA Pipe Extender'!$A$8:$A$10)
+COUNT('PVC SCH80'!$A$8:$A$249)
+COUNT('PVC SCH80 Flange'!$A$8:$A$48)
+COUNT('PVC SCH80 LD Flange'!$A$8:$A$16)
+COUNT(CPVC!$A$9:$A$104)+1,"")</f>
        <v/>
      </c>
      <c r="B114" s="610"/>
      <c r="C114" s="611"/>
      <c r="D114" s="443" t="str">
        <f>_xlfn.XLOOKUP(E114,'All Products'!D:D,'All Products'!C:C,FALSE)</f>
        <v>1429-010</v>
      </c>
      <c r="E114" s="103">
        <v>100022051</v>
      </c>
      <c r="F114" s="236" t="str">
        <f>_xlfn.XLOOKUP(E114,'All Products'!D:D,'All Products'!E:E,FALSE)</f>
        <v>1 COUPL INSERT</v>
      </c>
      <c r="G114" s="153">
        <f>_xlfn.XLOOKUP(E114,'All Products'!D:D,'All Products'!F:F,FALSE)</f>
        <v>100</v>
      </c>
      <c r="H114" s="153">
        <f>_xlfn.XLOOKUP(E114,'All Products'!D:D,'All Products'!G:G,FALSE)</f>
        <v>9000</v>
      </c>
      <c r="I114" s="372">
        <f>_xlfn.XLOOKUP(E114,'All Products'!D:D,'All Products'!H:H)</f>
        <v>3.09</v>
      </c>
      <c r="J114" s="256">
        <f>ROUNDUP(I114*Order_Quote!$L$12,2)</f>
        <v>3.09</v>
      </c>
      <c r="K114" s="75"/>
      <c r="L114" s="113"/>
      <c r="M114" s="171">
        <f t="shared" si="7"/>
        <v>0</v>
      </c>
      <c r="O114" s="247" t="str">
        <f>_xlfn.XLOOKUP(E114,'All Products'!D:D,'All Products'!I:I,FALSE)</f>
        <v>In Stock</v>
      </c>
      <c r="P114" s="247" t="str">
        <f>_xlfn.XLOOKUP(E114,'All Products'!D:D,'All Products'!J:J,FALSE)</f>
        <v>Manufactured</v>
      </c>
      <c r="Q114" s="508">
        <f>_xlfn.XLOOKUP(E114,'All Products'!D:D,'All Products'!K:K,FALSE)</f>
        <v>49081105457</v>
      </c>
      <c r="R114" s="508">
        <f>_xlfn.XLOOKUP(E114,'All Products'!D:D,'All Products'!L:L,FALSE)</f>
        <v>49081605452</v>
      </c>
      <c r="S114" s="508">
        <f>_xlfn.XLOOKUP(E114,'All Products'!D:D,'All Products'!M:M,FALSE)</f>
        <v>40049081105455</v>
      </c>
      <c r="T114" s="264">
        <f>_xlfn.XLOOKUP(E114,'All Products'!D:D,'All Products'!N:N,FALSE)</f>
        <v>5.3999999999999999E-2</v>
      </c>
      <c r="U114" s="215">
        <f>_xlfn.XLOOKUP(E114,'All Products'!D:D,'All Products'!O:O,FALSE)</f>
        <v>10</v>
      </c>
      <c r="V114" s="265">
        <f>_xlfn.XLOOKUP(E114,'All Products'!D:D,'All Products'!P:P,FALSE)</f>
        <v>6.05</v>
      </c>
      <c r="W114" s="265">
        <f>_xlfn.XLOOKUP(E114,'All Products'!D:D,'All Products'!Q:Q,FALSE)</f>
        <v>0.5</v>
      </c>
      <c r="X114" s="331"/>
      <c r="Y114" s="331"/>
    </row>
    <row r="115" spans="1:25" ht="15" customHeight="1">
      <c r="A115" s="101" t="str">
        <f>IF(K115&gt;0,COUNT($A$8:A114)
+COUNT('DWV PVC'!$A$9:$A$316)
+COUNT('DWV ABS'!$A$8:$A$116)
+COUNT('PVC SCH40'!$A$8:$A$424)
+COUNT('PVC SCH40 LD'!$A$8:$A$21)
+COUNT('Pool &amp; SPA Sweep Elbows'!$A$8:$A$11)
+COUNT('Pool &amp; SPA Pipe Extender'!$A$8:$A$10)
+COUNT('PVC SCH80'!$A$8:$A$249)
+COUNT('PVC SCH80 Flange'!$A$8:$A$48)
+COUNT('PVC SCH80 LD Flange'!$A$8:$A$16)
+COUNT(CPVC!$A$9:$A$104)+1,"")</f>
        <v/>
      </c>
      <c r="B115" s="610"/>
      <c r="C115" s="611"/>
      <c r="D115" s="443" t="str">
        <f>_xlfn.XLOOKUP(E115,'All Products'!D:D,'All Products'!C:C,FALSE)</f>
        <v>1429-012</v>
      </c>
      <c r="E115" s="103">
        <v>100022053</v>
      </c>
      <c r="F115" s="236" t="str">
        <f>_xlfn.XLOOKUP(E115,'All Products'!D:D,'All Products'!E:E,FALSE)</f>
        <v>1-1/4 COUPL INSERT</v>
      </c>
      <c r="G115" s="153">
        <f>_xlfn.XLOOKUP(E115,'All Products'!D:D,'All Products'!F:F,FALSE)</f>
        <v>100</v>
      </c>
      <c r="H115" s="153">
        <f>_xlfn.XLOOKUP(E115,'All Products'!D:D,'All Products'!G:G,FALSE)</f>
        <v>6000</v>
      </c>
      <c r="I115" s="372">
        <f>_xlfn.XLOOKUP(E115,'All Products'!D:D,'All Products'!H:H)</f>
        <v>4.57</v>
      </c>
      <c r="J115" s="256">
        <f>ROUNDUP(I115*Order_Quote!$L$12,2)</f>
        <v>4.57</v>
      </c>
      <c r="K115" s="75"/>
      <c r="L115" s="113"/>
      <c r="M115" s="171">
        <f t="shared" si="7"/>
        <v>0</v>
      </c>
      <c r="O115" s="247" t="str">
        <f>_xlfn.XLOOKUP(E115,'All Products'!D:D,'All Products'!I:I,FALSE)</f>
        <v>In Stock</v>
      </c>
      <c r="P115" s="247" t="str">
        <f>_xlfn.XLOOKUP(E115,'All Products'!D:D,'All Products'!J:J,FALSE)</f>
        <v>Manufactured</v>
      </c>
      <c r="Q115" s="508">
        <f>_xlfn.XLOOKUP(E115,'All Products'!D:D,'All Products'!K:K,FALSE)</f>
        <v>49081105464</v>
      </c>
      <c r="R115" s="508">
        <f>_xlfn.XLOOKUP(E115,'All Products'!D:D,'All Products'!L:L,FALSE)</f>
        <v>49081605469</v>
      </c>
      <c r="S115" s="508">
        <f>_xlfn.XLOOKUP(E115,'All Products'!D:D,'All Products'!M:M,FALSE)</f>
        <v>40049081105462</v>
      </c>
      <c r="T115" s="264">
        <f>_xlfn.XLOOKUP(E115,'All Products'!D:D,'All Products'!N:N,FALSE)</f>
        <v>0.108</v>
      </c>
      <c r="U115" s="215">
        <f>_xlfn.XLOOKUP(E115,'All Products'!D:D,'All Products'!O:O,FALSE)</f>
        <v>10</v>
      </c>
      <c r="V115" s="265">
        <f>_xlfn.XLOOKUP(E115,'All Products'!D:D,'All Products'!P:P,FALSE)</f>
        <v>9.66</v>
      </c>
      <c r="W115" s="265">
        <f>_xlfn.XLOOKUP(E115,'All Products'!D:D,'All Products'!Q:Q,FALSE)</f>
        <v>0.8</v>
      </c>
      <c r="X115" s="331"/>
      <c r="Y115" s="331"/>
    </row>
    <row r="116" spans="1:25" ht="15" customHeight="1">
      <c r="A116" s="101" t="str">
        <f>IF(K116&gt;0,COUNT($A$8:A115)
+COUNT('DWV PVC'!$A$9:$A$316)
+COUNT('DWV ABS'!$A$8:$A$116)
+COUNT('PVC SCH40'!$A$8:$A$424)
+COUNT('PVC SCH40 LD'!$A$8:$A$21)
+COUNT('Pool &amp; SPA Sweep Elbows'!$A$8:$A$11)
+COUNT('Pool &amp; SPA Pipe Extender'!$A$8:$A$10)
+COUNT('PVC SCH80'!$A$8:$A$249)
+COUNT('PVC SCH80 Flange'!$A$8:$A$48)
+COUNT('PVC SCH80 LD Flange'!$A$8:$A$16)
+COUNT(CPVC!$A$9:$A$104)+1,"")</f>
        <v/>
      </c>
      <c r="B116" s="610"/>
      <c r="C116" s="611"/>
      <c r="D116" s="443" t="str">
        <f>_xlfn.XLOOKUP(E116,'All Products'!D:D,'All Products'!C:C,FALSE)</f>
        <v>1429-015</v>
      </c>
      <c r="E116" s="103">
        <v>100022055</v>
      </c>
      <c r="F116" s="236" t="str">
        <f>_xlfn.XLOOKUP(E116,'All Products'!D:D,'All Products'!E:E,FALSE)</f>
        <v>1-1/2 COUPL INSERT</v>
      </c>
      <c r="G116" s="153">
        <f>_xlfn.XLOOKUP(E116,'All Products'!D:D,'All Products'!F:F,FALSE)</f>
        <v>50</v>
      </c>
      <c r="H116" s="153">
        <f>_xlfn.XLOOKUP(E116,'All Products'!D:D,'All Products'!G:G,FALSE)</f>
        <v>3750</v>
      </c>
      <c r="I116" s="372">
        <f>_xlfn.XLOOKUP(E116,'All Products'!D:D,'All Products'!H:H)</f>
        <v>5.41</v>
      </c>
      <c r="J116" s="256">
        <f>ROUNDUP(I116*Order_Quote!$L$12,2)</f>
        <v>5.41</v>
      </c>
      <c r="K116" s="75"/>
      <c r="L116" s="113"/>
      <c r="M116" s="171">
        <f t="shared" si="7"/>
        <v>0</v>
      </c>
      <c r="O116" s="247" t="str">
        <f>_xlfn.XLOOKUP(E116,'All Products'!D:D,'All Products'!I:I,FALSE)</f>
        <v>In Stock</v>
      </c>
      <c r="P116" s="247" t="str">
        <f>_xlfn.XLOOKUP(E116,'All Products'!D:D,'All Products'!J:J,FALSE)</f>
        <v>Manufactured</v>
      </c>
      <c r="Q116" s="508">
        <f>_xlfn.XLOOKUP(E116,'All Products'!D:D,'All Products'!K:K,FALSE)</f>
        <v>49081105471</v>
      </c>
      <c r="R116" s="508">
        <f>_xlfn.XLOOKUP(E116,'All Products'!D:D,'All Products'!L:L,FALSE)</f>
        <v>49081605476</v>
      </c>
      <c r="S116" s="508">
        <f>_xlfn.XLOOKUP(E116,'All Products'!D:D,'All Products'!M:M,FALSE)</f>
        <v>40049081105479</v>
      </c>
      <c r="T116" s="264">
        <f>_xlfn.XLOOKUP(E116,'All Products'!D:D,'All Products'!N:N,FALSE)</f>
        <v>0.13200000000000001</v>
      </c>
      <c r="U116" s="215">
        <f>_xlfn.XLOOKUP(E116,'All Products'!D:D,'All Products'!O:O,FALSE)</f>
        <v>10</v>
      </c>
      <c r="V116" s="265">
        <f>_xlfn.XLOOKUP(E116,'All Products'!D:D,'All Products'!P:P,FALSE)</f>
        <v>7.59</v>
      </c>
      <c r="W116" s="265">
        <f>_xlfn.XLOOKUP(E116,'All Products'!D:D,'All Products'!Q:Q,FALSE)</f>
        <v>0.65</v>
      </c>
      <c r="X116" s="331"/>
      <c r="Y116" s="331"/>
    </row>
    <row r="117" spans="1:25" ht="15" customHeight="1">
      <c r="A117" s="101" t="str">
        <f>IF(K117&gt;0,COUNT($A$8:A116)
+COUNT('DWV PVC'!$A$9:$A$316)
+COUNT('DWV ABS'!$A$8:$A$116)
+COUNT('PVC SCH40'!$A$8:$A$424)
+COUNT('PVC SCH40 LD'!$A$8:$A$21)
+COUNT('Pool &amp; SPA Sweep Elbows'!$A$8:$A$11)
+COUNT('Pool &amp; SPA Pipe Extender'!$A$8:$A$10)
+COUNT('PVC SCH80'!$A$8:$A$249)
+COUNT('PVC SCH80 Flange'!$A$8:$A$48)
+COUNT('PVC SCH80 LD Flange'!$A$8:$A$16)
+COUNT(CPVC!$A$9:$A$104)+1,"")</f>
        <v/>
      </c>
      <c r="B117" s="612"/>
      <c r="C117" s="613"/>
      <c r="D117" s="443" t="str">
        <f>_xlfn.XLOOKUP(E117,'All Products'!D:D,'All Products'!C:C,FALSE)</f>
        <v>1429-020</v>
      </c>
      <c r="E117" s="103">
        <v>100022057</v>
      </c>
      <c r="F117" s="236" t="str">
        <f>_xlfn.XLOOKUP(E117,'All Products'!D:D,'All Products'!E:E,FALSE)</f>
        <v>2 COUPL INSERT</v>
      </c>
      <c r="G117" s="153">
        <f>_xlfn.XLOOKUP(E117,'All Products'!D:D,'All Products'!F:F,FALSE)</f>
        <v>25</v>
      </c>
      <c r="H117" s="153">
        <f>_xlfn.XLOOKUP(E117,'All Products'!D:D,'All Products'!G:G,FALSE)</f>
        <v>2250</v>
      </c>
      <c r="I117" s="372">
        <f>_xlfn.XLOOKUP(E117,'All Products'!D:D,'All Products'!H:H)</f>
        <v>10.23</v>
      </c>
      <c r="J117" s="256">
        <f>ROUNDUP(I117*Order_Quote!$L$12,2)</f>
        <v>10.23</v>
      </c>
      <c r="K117" s="75"/>
      <c r="L117" s="239"/>
      <c r="M117" s="171">
        <f t="shared" si="7"/>
        <v>0</v>
      </c>
      <c r="O117" s="247" t="str">
        <f>_xlfn.XLOOKUP(E117,'All Products'!D:D,'All Products'!I:I,FALSE)</f>
        <v>In Stock</v>
      </c>
      <c r="P117" s="247" t="str">
        <f>_xlfn.XLOOKUP(E117,'All Products'!D:D,'All Products'!J:J,FALSE)</f>
        <v>Manufactured</v>
      </c>
      <c r="Q117" s="508">
        <f>_xlfn.XLOOKUP(E117,'All Products'!D:D,'All Products'!K:K,FALSE)</f>
        <v>49081105488</v>
      </c>
      <c r="R117" s="508">
        <f>_xlfn.XLOOKUP(E117,'All Products'!D:D,'All Products'!L:L,FALSE)</f>
        <v>49081605483</v>
      </c>
      <c r="S117" s="508">
        <f>_xlfn.XLOOKUP(E117,'All Products'!D:D,'All Products'!M:M,FALSE)</f>
        <v>40049081105486</v>
      </c>
      <c r="T117" s="264">
        <f>_xlfn.XLOOKUP(E117,'All Products'!D:D,'All Products'!N:N,FALSE)</f>
        <v>0.156</v>
      </c>
      <c r="U117" s="215">
        <f>_xlfn.XLOOKUP(E117,'All Products'!D:D,'All Products'!O:O,FALSE)</f>
        <v>5</v>
      </c>
      <c r="V117" s="265">
        <f>_xlfn.XLOOKUP(E117,'All Products'!D:D,'All Products'!P:P,FALSE)</f>
        <v>4.6100000000000003</v>
      </c>
      <c r="W117" s="265">
        <f>_xlfn.XLOOKUP(E117,'All Products'!D:D,'All Products'!Q:Q,FALSE)</f>
        <v>0.5</v>
      </c>
      <c r="X117" s="331"/>
      <c r="Y117" s="331"/>
    </row>
    <row r="118" spans="1:25" ht="15" customHeight="1">
      <c r="A118" s="101" t="str">
        <f>IF(K118&gt;0,COUNT($A$8:A117)
+COUNT('DWV PVC'!$A$9:$A$316)
+COUNT('DWV ABS'!$A$8:$A$116)
+COUNT('PVC SCH40'!$A$8:$A$424)
+COUNT('PVC SCH40 LD'!$A$8:$A$21)
+COUNT('Pool &amp; SPA Sweep Elbows'!$A$8:$A$11)
+COUNT('Pool &amp; SPA Pipe Extender'!$A$8:$A$10)
+COUNT('PVC SCH80'!$A$8:$A$249)
+COUNT('PVC SCH80 Flange'!$A$8:$A$48)
+COUNT('PVC SCH80 LD Flange'!$A$8:$A$16)
+COUNT(CPVC!$A$9:$A$104)+1,"")</f>
        <v/>
      </c>
      <c r="B118" s="437" t="s">
        <v>5762</v>
      </c>
      <c r="C118" s="333"/>
      <c r="D118" s="333"/>
      <c r="E118" s="333"/>
      <c r="F118" s="333"/>
      <c r="G118" s="333"/>
      <c r="H118" s="333"/>
      <c r="I118" s="333"/>
      <c r="J118" s="334"/>
      <c r="K118" s="333"/>
      <c r="L118" s="333"/>
      <c r="M118" s="335"/>
      <c r="O118" s="525"/>
      <c r="P118" s="333"/>
      <c r="Q118" s="509"/>
      <c r="R118" s="509"/>
      <c r="S118" s="509"/>
      <c r="T118" s="333"/>
      <c r="U118" s="333"/>
      <c r="V118" s="333"/>
      <c r="W118" s="335"/>
    </row>
    <row r="119" spans="1:25" ht="15" customHeight="1">
      <c r="A119" s="101" t="str">
        <f>IF(K119&gt;0,COUNT($A$8:A118)
+COUNT('DWV PVC'!$A$9:$A$316)
+COUNT('DWV ABS'!$A$8:$A$116)
+COUNT('PVC SCH40'!$A$8:$A$424)
+COUNT('PVC SCH40 LD'!$A$8:$A$21)
+COUNT('Pool &amp; SPA Sweep Elbows'!$A$8:$A$11)
+COUNT('Pool &amp; SPA Pipe Extender'!$A$8:$A$10)
+COUNT('PVC SCH80'!$A$8:$A$249)
+COUNT('PVC SCH80 Flange'!$A$8:$A$48)
+COUNT('PVC SCH80 LD Flange'!$A$8:$A$16)
+COUNT(CPVC!$A$9:$A$104)+1,"")</f>
        <v/>
      </c>
      <c r="B119" s="670"/>
      <c r="C119" s="671"/>
      <c r="D119" s="443" t="str">
        <f>_xlfn.XLOOKUP(E119,'All Products'!D:D,'All Products'!C:C,FALSE)</f>
        <v>1429-101</v>
      </c>
      <c r="E119" s="153">
        <v>100022060</v>
      </c>
      <c r="F119" s="236" t="str">
        <f>_xlfn.XLOOKUP(E119,'All Products'!D:D,'All Products'!E:E,FALSE)</f>
        <v>3/4X1/2 COUPL INSERT</v>
      </c>
      <c r="G119" s="153">
        <f>_xlfn.XLOOKUP(E119,'All Products'!D:D,'All Products'!F:F,FALSE)</f>
        <v>250</v>
      </c>
      <c r="H119" s="153">
        <f>_xlfn.XLOOKUP(E119,'All Products'!D:D,'All Products'!G:G,FALSE)</f>
        <v>15000</v>
      </c>
      <c r="I119" s="371">
        <f>_xlfn.XLOOKUP(E119,'All Products'!D:D,'All Products'!H:H)</f>
        <v>3.98</v>
      </c>
      <c r="J119" s="256">
        <f>ROUNDUP(I119*Order_Quote!$L$12,2)</f>
        <v>3.98</v>
      </c>
      <c r="K119" s="161"/>
      <c r="M119" s="243">
        <f t="shared" ref="M119:M126" si="8">K119/G119</f>
        <v>0</v>
      </c>
      <c r="O119" s="247" t="str">
        <f>_xlfn.XLOOKUP(E119,'All Products'!D:D,'All Products'!I:I,FALSE)</f>
        <v>Within 3 Weeks</v>
      </c>
      <c r="P119" s="247" t="str">
        <f>_xlfn.XLOOKUP(E119,'All Products'!D:D,'All Products'!J:J,FALSE)</f>
        <v>Manufactured</v>
      </c>
      <c r="Q119" s="508">
        <f>_xlfn.XLOOKUP(E119,'All Products'!D:D,'All Products'!K:K,FALSE)</f>
        <v>49081105594</v>
      </c>
      <c r="R119" s="508">
        <f>_xlfn.XLOOKUP(E119,'All Products'!D:D,'All Products'!L:L,FALSE)</f>
        <v>49081605599</v>
      </c>
      <c r="S119" s="508">
        <f>_xlfn.XLOOKUP(E119,'All Products'!D:D,'All Products'!M:M,FALSE)</f>
        <v>40049081105592</v>
      </c>
      <c r="T119" s="264">
        <f>_xlfn.XLOOKUP(E119,'All Products'!D:D,'All Products'!N:N,FALSE)</f>
        <v>3.2000000000000001E-2</v>
      </c>
      <c r="U119" s="215">
        <f>_xlfn.XLOOKUP(E119,'All Products'!D:D,'All Products'!O:O,FALSE)</f>
        <v>10</v>
      </c>
      <c r="V119" s="265">
        <f>_xlfn.XLOOKUP(E119,'All Products'!D:D,'All Products'!P:P,FALSE)</f>
        <v>11.8</v>
      </c>
      <c r="W119" s="265">
        <f>_xlfn.XLOOKUP(E119,'All Products'!D:D,'All Products'!Q:Q,FALSE)</f>
        <v>0.8</v>
      </c>
      <c r="X119" s="331"/>
      <c r="Y119" s="331"/>
    </row>
    <row r="120" spans="1:25" ht="15" customHeight="1">
      <c r="A120" s="101" t="str">
        <f>IF(K120&gt;0,COUNT($A$8:A119)
+COUNT('DWV PVC'!$A$9:$A$316)
+COUNT('DWV ABS'!$A$8:$A$116)
+COUNT('PVC SCH40'!$A$8:$A$424)
+COUNT('PVC SCH40 LD'!$A$8:$A$21)
+COUNT('Pool &amp; SPA Sweep Elbows'!$A$8:$A$11)
+COUNT('Pool &amp; SPA Pipe Extender'!$A$8:$A$10)
+COUNT('PVC SCH80'!$A$8:$A$249)
+COUNT('PVC SCH80 Flange'!$A$8:$A$48)
+COUNT('PVC SCH80 LD Flange'!$A$8:$A$16)
+COUNT(CPVC!$A$9:$A$104)+1,"")</f>
        <v/>
      </c>
      <c r="B120" s="672"/>
      <c r="C120" s="673"/>
      <c r="D120" s="443" t="str">
        <f>_xlfn.XLOOKUP(E120,'All Products'!D:D,'All Products'!C:C,FALSE)</f>
        <v>1429-130</v>
      </c>
      <c r="E120" s="103">
        <v>100022064</v>
      </c>
      <c r="F120" s="236" t="str">
        <f>_xlfn.XLOOKUP(E120,'All Products'!D:D,'All Products'!E:E,FALSE)</f>
        <v>1X1/2 COUPL INSERT</v>
      </c>
      <c r="G120" s="153">
        <f>_xlfn.XLOOKUP(E120,'All Products'!D:D,'All Products'!F:F,FALSE)</f>
        <v>100</v>
      </c>
      <c r="H120" s="153">
        <f>_xlfn.XLOOKUP(E120,'All Products'!D:D,'All Products'!G:G,FALSE)</f>
        <v>9000</v>
      </c>
      <c r="I120" s="372">
        <f>_xlfn.XLOOKUP(E120,'All Products'!D:D,'All Products'!H:H)</f>
        <v>5.53</v>
      </c>
      <c r="J120" s="256">
        <f>ROUNDUP(I120*Order_Quote!$L$12,2)</f>
        <v>5.53</v>
      </c>
      <c r="K120" s="75"/>
      <c r="M120" s="171">
        <f t="shared" si="8"/>
        <v>0</v>
      </c>
      <c r="O120" s="247" t="str">
        <f>_xlfn.XLOOKUP(E120,'All Products'!D:D,'All Products'!I:I,FALSE)</f>
        <v>Within 3 Weeks</v>
      </c>
      <c r="P120" s="247" t="str">
        <f>_xlfn.XLOOKUP(E120,'All Products'!D:D,'All Products'!J:J,FALSE)</f>
        <v>Manufactured</v>
      </c>
      <c r="Q120" s="508">
        <f>_xlfn.XLOOKUP(E120,'All Products'!D:D,'All Products'!K:K,FALSE)</f>
        <v>49081105600</v>
      </c>
      <c r="R120" s="508">
        <f>_xlfn.XLOOKUP(E120,'All Products'!D:D,'All Products'!L:L,FALSE)</f>
        <v>49081605605</v>
      </c>
      <c r="S120" s="508">
        <f>_xlfn.XLOOKUP(E120,'All Products'!D:D,'All Products'!M:M,FALSE)</f>
        <v>40049081105608</v>
      </c>
      <c r="T120" s="264">
        <f>_xlfn.XLOOKUP(E120,'All Products'!D:D,'All Products'!N:N,FALSE)</f>
        <v>4.8000000000000001E-2</v>
      </c>
      <c r="U120" s="215">
        <f>_xlfn.XLOOKUP(E120,'All Products'!D:D,'All Products'!O:O,FALSE)</f>
        <v>10</v>
      </c>
      <c r="V120" s="265">
        <f>_xlfn.XLOOKUP(E120,'All Products'!D:D,'All Products'!P:P,FALSE)</f>
        <v>6.85</v>
      </c>
      <c r="W120" s="265">
        <f>_xlfn.XLOOKUP(E120,'All Products'!D:D,'All Products'!Q:Q,FALSE)</f>
        <v>0.5</v>
      </c>
      <c r="X120" s="331"/>
      <c r="Y120" s="331"/>
    </row>
    <row r="121" spans="1:25" ht="15" customHeight="1">
      <c r="A121" s="101" t="str">
        <f>IF(K121&gt;0,COUNT($A$8:A120)
+COUNT('DWV PVC'!$A$9:$A$316)
+COUNT('DWV ABS'!$A$8:$A$116)
+COUNT('PVC SCH40'!$A$8:$A$424)
+COUNT('PVC SCH40 LD'!$A$8:$A$21)
+COUNT('Pool &amp; SPA Sweep Elbows'!$A$8:$A$11)
+COUNT('Pool &amp; SPA Pipe Extender'!$A$8:$A$10)
+COUNT('PVC SCH80'!$A$8:$A$249)
+COUNT('PVC SCH80 Flange'!$A$8:$A$48)
+COUNT('PVC SCH80 LD Flange'!$A$8:$A$16)
+COUNT(CPVC!$A$9:$A$104)+1,"")</f>
        <v/>
      </c>
      <c r="B121" s="672"/>
      <c r="C121" s="673"/>
      <c r="D121" s="443" t="str">
        <f>_xlfn.XLOOKUP(E121,'All Products'!D:D,'All Products'!C:C,FALSE)</f>
        <v>1429-131</v>
      </c>
      <c r="E121" s="103">
        <v>100022066</v>
      </c>
      <c r="F121" s="236" t="str">
        <f>_xlfn.XLOOKUP(E121,'All Products'!D:D,'All Products'!E:E,FALSE)</f>
        <v>1X3/4 COUPL INSERT</v>
      </c>
      <c r="G121" s="153">
        <f>_xlfn.XLOOKUP(E121,'All Products'!D:D,'All Products'!F:F,FALSE)</f>
        <v>100</v>
      </c>
      <c r="H121" s="153">
        <f>_xlfn.XLOOKUP(E121,'All Products'!D:D,'All Products'!G:G,FALSE)</f>
        <v>9000</v>
      </c>
      <c r="I121" s="372">
        <f>_xlfn.XLOOKUP(E121,'All Products'!D:D,'All Products'!H:H)</f>
        <v>4.12</v>
      </c>
      <c r="J121" s="256">
        <f>ROUNDUP(I121*Order_Quote!$L$12,2)</f>
        <v>4.12</v>
      </c>
      <c r="K121" s="75"/>
      <c r="M121" s="171">
        <f t="shared" si="8"/>
        <v>0</v>
      </c>
      <c r="O121" s="247" t="str">
        <f>_xlfn.XLOOKUP(E121,'All Products'!D:D,'All Products'!I:I,FALSE)</f>
        <v>In Stock</v>
      </c>
      <c r="P121" s="247" t="str">
        <f>_xlfn.XLOOKUP(E121,'All Products'!D:D,'All Products'!J:J,FALSE)</f>
        <v>Manufactured</v>
      </c>
      <c r="Q121" s="508">
        <f>_xlfn.XLOOKUP(E121,'All Products'!D:D,'All Products'!K:K,FALSE)</f>
        <v>49081105617</v>
      </c>
      <c r="R121" s="508">
        <f>_xlfn.XLOOKUP(E121,'All Products'!D:D,'All Products'!L:L,FALSE)</f>
        <v>49081605612</v>
      </c>
      <c r="S121" s="508">
        <f>_xlfn.XLOOKUP(E121,'All Products'!D:D,'All Products'!M:M,FALSE)</f>
        <v>40049081105615</v>
      </c>
      <c r="T121" s="264">
        <f>_xlfn.XLOOKUP(E121,'All Products'!D:D,'All Products'!N:N,FALSE)</f>
        <v>4.3999999999999997E-2</v>
      </c>
      <c r="U121" s="215">
        <f>_xlfn.XLOOKUP(E121,'All Products'!D:D,'All Products'!O:O,FALSE)</f>
        <v>10</v>
      </c>
      <c r="V121" s="265">
        <f>_xlfn.XLOOKUP(E121,'All Products'!D:D,'All Products'!P:P,FALSE)</f>
        <v>7.46</v>
      </c>
      <c r="W121" s="265">
        <f>_xlfn.XLOOKUP(E121,'All Products'!D:D,'All Products'!Q:Q,FALSE)</f>
        <v>0.5</v>
      </c>
      <c r="X121" s="331"/>
      <c r="Y121" s="331"/>
    </row>
    <row r="122" spans="1:25" ht="15" customHeight="1">
      <c r="A122" s="101" t="str">
        <f>IF(K122&gt;0,COUNT($A$8:A121)
+COUNT('DWV PVC'!$A$9:$A$316)
+COUNT('DWV ABS'!$A$8:$A$116)
+COUNT('PVC SCH40'!$A$8:$A$424)
+COUNT('PVC SCH40 LD'!$A$8:$A$21)
+COUNT('Pool &amp; SPA Sweep Elbows'!$A$8:$A$11)
+COUNT('Pool &amp; SPA Pipe Extender'!$A$8:$A$10)
+COUNT('PVC SCH80'!$A$8:$A$249)
+COUNT('PVC SCH80 Flange'!$A$8:$A$48)
+COUNT('PVC SCH80 LD Flange'!$A$8:$A$16)
+COUNT(CPVC!$A$9:$A$104)+1,"")</f>
        <v/>
      </c>
      <c r="B122" s="672"/>
      <c r="C122" s="673"/>
      <c r="D122" s="443" t="str">
        <f>_xlfn.XLOOKUP(E122,'All Products'!D:D,'All Products'!C:C,FALSE)</f>
        <v>1429-168</v>
      </c>
      <c r="E122" s="103">
        <v>100022070</v>
      </c>
      <c r="F122" s="236" t="str">
        <f>_xlfn.XLOOKUP(E122,'All Products'!D:D,'All Products'!E:E,FALSE)</f>
        <v>1-1/4X1 COUPL INSERT</v>
      </c>
      <c r="G122" s="153">
        <f>_xlfn.XLOOKUP(E122,'All Products'!D:D,'All Products'!F:F,FALSE)</f>
        <v>100</v>
      </c>
      <c r="H122" s="153">
        <f>_xlfn.XLOOKUP(E122,'All Products'!D:D,'All Products'!G:G,FALSE)</f>
        <v>7500</v>
      </c>
      <c r="I122" s="372">
        <f>_xlfn.XLOOKUP(E122,'All Products'!D:D,'All Products'!H:H)</f>
        <v>6.55</v>
      </c>
      <c r="J122" s="256">
        <f>ROUNDUP(I122*Order_Quote!$L$12,2)</f>
        <v>6.55</v>
      </c>
      <c r="K122" s="75"/>
      <c r="M122" s="171">
        <f t="shared" si="8"/>
        <v>0</v>
      </c>
      <c r="O122" s="247" t="str">
        <f>_xlfn.XLOOKUP(E122,'All Products'!D:D,'All Products'!I:I,FALSE)</f>
        <v>In Stock</v>
      </c>
      <c r="P122" s="247" t="str">
        <f>_xlfn.XLOOKUP(E122,'All Products'!D:D,'All Products'!J:J,FALSE)</f>
        <v>Manufactured</v>
      </c>
      <c r="Q122" s="508">
        <f>_xlfn.XLOOKUP(E122,'All Products'!D:D,'All Products'!K:K,FALSE)</f>
        <v>49081105631</v>
      </c>
      <c r="R122" s="508">
        <f>_xlfn.XLOOKUP(E122,'All Products'!D:D,'All Products'!L:L,FALSE)</f>
        <v>49081605636</v>
      </c>
      <c r="S122" s="508">
        <f>_xlfn.XLOOKUP(E122,'All Products'!D:D,'All Products'!M:M,FALSE)</f>
        <v>40049081105639</v>
      </c>
      <c r="T122" s="264">
        <f>_xlfn.XLOOKUP(E122,'All Products'!D:D,'All Products'!N:N,FALSE)</f>
        <v>0.1</v>
      </c>
      <c r="U122" s="215">
        <f>_xlfn.XLOOKUP(E122,'All Products'!D:D,'All Products'!O:O,FALSE)</f>
        <v>10</v>
      </c>
      <c r="V122" s="265">
        <f>_xlfn.XLOOKUP(E122,'All Products'!D:D,'All Products'!P:P,FALSE)</f>
        <v>8.6</v>
      </c>
      <c r="W122" s="265">
        <f>_xlfn.XLOOKUP(E122,'All Products'!D:D,'All Products'!Q:Q,FALSE)</f>
        <v>0.65</v>
      </c>
      <c r="X122" s="331"/>
      <c r="Y122" s="331"/>
    </row>
    <row r="123" spans="1:25" ht="15" customHeight="1">
      <c r="A123" s="101" t="str">
        <f>IF(K123&gt;0,COUNT($A$8:A122)
+COUNT('DWV PVC'!$A$9:$A$316)
+COUNT('DWV ABS'!$A$8:$A$116)
+COUNT('PVC SCH40'!$A$8:$A$424)
+COUNT('PVC SCH40 LD'!$A$8:$A$21)
+COUNT('Pool &amp; SPA Sweep Elbows'!$A$8:$A$11)
+COUNT('Pool &amp; SPA Pipe Extender'!$A$8:$A$10)
+COUNT('PVC SCH80'!$A$8:$A$249)
+COUNT('PVC SCH80 Flange'!$A$8:$A$48)
+COUNT('PVC SCH80 LD Flange'!$A$8:$A$16)
+COUNT(CPVC!$A$9:$A$104)+1,"")</f>
        <v/>
      </c>
      <c r="B123" s="672"/>
      <c r="C123" s="673"/>
      <c r="D123" s="443" t="str">
        <f>_xlfn.XLOOKUP(E123,'All Products'!D:D,'All Products'!C:C,FALSE)</f>
        <v>1429-210</v>
      </c>
      <c r="E123" s="103">
        <v>100022071</v>
      </c>
      <c r="F123" s="236" t="str">
        <f>_xlfn.XLOOKUP(E123,'All Products'!D:D,'All Products'!E:E,FALSE)</f>
        <v>1-1/2X3/4 COUPL INSERT</v>
      </c>
      <c r="G123" s="153">
        <f>_xlfn.XLOOKUP(E123,'All Products'!D:D,'All Products'!F:F,FALSE)</f>
        <v>100</v>
      </c>
      <c r="H123" s="153">
        <f>_xlfn.XLOOKUP(E123,'All Products'!D:D,'All Products'!G:G,FALSE)</f>
        <v>7500</v>
      </c>
      <c r="I123" s="372">
        <f>_xlfn.XLOOKUP(E123,'All Products'!D:D,'All Products'!H:H)</f>
        <v>10.23</v>
      </c>
      <c r="J123" s="256">
        <f>ROUNDUP(I123*Order_Quote!$L$12,2)</f>
        <v>10.23</v>
      </c>
      <c r="K123" s="75"/>
      <c r="M123" s="171">
        <f t="shared" si="8"/>
        <v>0</v>
      </c>
      <c r="O123" s="247" t="str">
        <f>_xlfn.XLOOKUP(E123,'All Products'!D:D,'All Products'!I:I,FALSE)</f>
        <v>Within 3 Weeks</v>
      </c>
      <c r="P123" s="247" t="str">
        <f>_xlfn.XLOOKUP(E123,'All Products'!D:D,'All Products'!J:J,FALSE)</f>
        <v>Manufactured</v>
      </c>
      <c r="Q123" s="508">
        <f>_xlfn.XLOOKUP(E123,'All Products'!D:D,'All Products'!K:K,FALSE)</f>
        <v>49081105648</v>
      </c>
      <c r="R123" s="508">
        <f>_xlfn.XLOOKUP(E123,'All Products'!D:D,'All Products'!L:L,FALSE)</f>
        <v>49081605643</v>
      </c>
      <c r="S123" s="508">
        <f>_xlfn.XLOOKUP(E123,'All Products'!D:D,'All Products'!M:M,FALSE)</f>
        <v>40049081105646</v>
      </c>
      <c r="T123" s="264">
        <f>_xlfn.XLOOKUP(E123,'All Products'!D:D,'All Products'!N:N,FALSE)</f>
        <v>9.5000000000000001E-2</v>
      </c>
      <c r="U123" s="215">
        <f>_xlfn.XLOOKUP(E123,'All Products'!D:D,'All Products'!O:O,FALSE)</f>
        <v>10</v>
      </c>
      <c r="V123" s="265">
        <f>_xlfn.XLOOKUP(E123,'All Products'!D:D,'All Products'!P:P,FALSE)</f>
        <v>12.1</v>
      </c>
      <c r="W123" s="265">
        <f>_xlfn.XLOOKUP(E123,'All Products'!D:D,'All Products'!Q:Q,FALSE)</f>
        <v>0.65</v>
      </c>
      <c r="X123" s="331"/>
      <c r="Y123" s="331"/>
    </row>
    <row r="124" spans="1:25" ht="15" customHeight="1">
      <c r="A124" s="101" t="str">
        <f>IF(K124&gt;0,COUNT($A$8:A123)
+COUNT('DWV PVC'!$A$9:$A$316)
+COUNT('DWV ABS'!$A$8:$A$116)
+COUNT('PVC SCH40'!$A$8:$A$424)
+COUNT('PVC SCH40 LD'!$A$8:$A$21)
+COUNT('Pool &amp; SPA Sweep Elbows'!$A$8:$A$11)
+COUNT('Pool &amp; SPA Pipe Extender'!$A$8:$A$10)
+COUNT('PVC SCH80'!$A$8:$A$249)
+COUNT('PVC SCH80 Flange'!$A$8:$A$48)
+COUNT('PVC SCH80 LD Flange'!$A$8:$A$16)
+COUNT(CPVC!$A$9:$A$104)+1,"")</f>
        <v/>
      </c>
      <c r="B124" s="672"/>
      <c r="C124" s="673"/>
      <c r="D124" s="443" t="str">
        <f>_xlfn.XLOOKUP(E124,'All Products'!D:D,'All Products'!C:C,FALSE)</f>
        <v>1429-211</v>
      </c>
      <c r="E124" s="103">
        <v>100022072</v>
      </c>
      <c r="F124" s="236" t="str">
        <f>_xlfn.XLOOKUP(E124,'All Products'!D:D,'All Products'!E:E,FALSE)</f>
        <v>1-1/2X1 COUPL INSERT</v>
      </c>
      <c r="G124" s="153">
        <f>_xlfn.XLOOKUP(E124,'All Products'!D:D,'All Products'!F:F,FALSE)</f>
        <v>50</v>
      </c>
      <c r="H124" s="153">
        <f>_xlfn.XLOOKUP(E124,'All Products'!D:D,'All Products'!G:G,FALSE)</f>
        <v>4500</v>
      </c>
      <c r="I124" s="372">
        <f>_xlfn.XLOOKUP(E124,'All Products'!D:D,'All Products'!H:H)</f>
        <v>9.8699999999999992</v>
      </c>
      <c r="J124" s="256">
        <f>ROUNDUP(I124*Order_Quote!$L$12,2)</f>
        <v>9.8699999999999992</v>
      </c>
      <c r="K124" s="75"/>
      <c r="M124" s="171">
        <f t="shared" si="8"/>
        <v>0</v>
      </c>
      <c r="O124" s="247" t="str">
        <f>_xlfn.XLOOKUP(E124,'All Products'!D:D,'All Products'!I:I,FALSE)</f>
        <v>In Stock</v>
      </c>
      <c r="P124" s="247" t="str">
        <f>_xlfn.XLOOKUP(E124,'All Products'!D:D,'All Products'!J:J,FALSE)</f>
        <v>Manufactured</v>
      </c>
      <c r="Q124" s="508">
        <f>_xlfn.XLOOKUP(E124,'All Products'!D:D,'All Products'!K:K,FALSE)</f>
        <v>49081105655</v>
      </c>
      <c r="R124" s="508">
        <f>_xlfn.XLOOKUP(E124,'All Products'!D:D,'All Products'!L:L,FALSE)</f>
        <v>49081605650</v>
      </c>
      <c r="S124" s="508">
        <f>_xlfn.XLOOKUP(E124,'All Products'!D:D,'All Products'!M:M,FALSE)</f>
        <v>40049081105653</v>
      </c>
      <c r="T124" s="264">
        <f>_xlfn.XLOOKUP(E124,'All Products'!D:D,'All Products'!N:N,FALSE)</f>
        <v>0.13500000000000001</v>
      </c>
      <c r="U124" s="215">
        <f>_xlfn.XLOOKUP(E124,'All Products'!D:D,'All Products'!O:O,FALSE)</f>
        <v>5</v>
      </c>
      <c r="V124" s="265">
        <f>_xlfn.XLOOKUP(E124,'All Products'!D:D,'All Products'!P:P,FALSE)</f>
        <v>6.78</v>
      </c>
      <c r="W124" s="265">
        <f>_xlfn.XLOOKUP(E124,'All Products'!D:D,'All Products'!Q:Q,FALSE)</f>
        <v>0.5</v>
      </c>
      <c r="X124" s="331"/>
      <c r="Y124" s="331"/>
    </row>
    <row r="125" spans="1:25" ht="15" customHeight="1">
      <c r="A125" s="101" t="str">
        <f>IF(K125&gt;0,COUNT($A$8:A124)
+COUNT('DWV PVC'!$A$9:$A$316)
+COUNT('DWV ABS'!$A$8:$A$116)
+COUNT('PVC SCH40'!$A$8:$A$424)
+COUNT('PVC SCH40 LD'!$A$8:$A$21)
+COUNT('Pool &amp; SPA Sweep Elbows'!$A$8:$A$11)
+COUNT('Pool &amp; SPA Pipe Extender'!$A$8:$A$10)
+COUNT('PVC SCH80'!$A$8:$A$249)
+COUNT('PVC SCH80 Flange'!$A$8:$A$48)
+COUNT('PVC SCH80 LD Flange'!$A$8:$A$16)
+COUNT(CPVC!$A$9:$A$104)+1,"")</f>
        <v/>
      </c>
      <c r="B125" s="672"/>
      <c r="C125" s="673"/>
      <c r="D125" s="443" t="str">
        <f>_xlfn.XLOOKUP(E125,'All Products'!D:D,'All Products'!C:C,FALSE)</f>
        <v>1429-212</v>
      </c>
      <c r="E125" s="103">
        <v>100022074</v>
      </c>
      <c r="F125" s="236" t="str">
        <f>_xlfn.XLOOKUP(E125,'All Products'!D:D,'All Products'!E:E,FALSE)</f>
        <v>1-1/2X1-1/4 COUPL INSERT</v>
      </c>
      <c r="G125" s="153">
        <f>_xlfn.XLOOKUP(E125,'All Products'!D:D,'All Products'!F:F,FALSE)</f>
        <v>50</v>
      </c>
      <c r="H125" s="153">
        <f>_xlfn.XLOOKUP(E125,'All Products'!D:D,'All Products'!G:G,FALSE)</f>
        <v>4500</v>
      </c>
      <c r="I125" s="372">
        <f>_xlfn.XLOOKUP(E125,'All Products'!D:D,'All Products'!H:H)</f>
        <v>7.67</v>
      </c>
      <c r="J125" s="256">
        <f>ROUNDUP(I125*Order_Quote!$L$12,2)</f>
        <v>7.67</v>
      </c>
      <c r="K125" s="75"/>
      <c r="M125" s="171">
        <f t="shared" si="8"/>
        <v>0</v>
      </c>
      <c r="O125" s="247" t="str">
        <f>_xlfn.XLOOKUP(E125,'All Products'!D:D,'All Products'!I:I,FALSE)</f>
        <v>Within 3 Weeks</v>
      </c>
      <c r="P125" s="247" t="str">
        <f>_xlfn.XLOOKUP(E125,'All Products'!D:D,'All Products'!J:J,FALSE)</f>
        <v>Manufactured</v>
      </c>
      <c r="Q125" s="508">
        <f>_xlfn.XLOOKUP(E125,'All Products'!D:D,'All Products'!K:K,FALSE)</f>
        <v>49081105662</v>
      </c>
      <c r="R125" s="508">
        <f>_xlfn.XLOOKUP(E125,'All Products'!D:D,'All Products'!L:L,FALSE)</f>
        <v>49081605667</v>
      </c>
      <c r="S125" s="508">
        <f>_xlfn.XLOOKUP(E125,'All Products'!D:D,'All Products'!M:M,FALSE)</f>
        <v>40049081105660</v>
      </c>
      <c r="T125" s="264">
        <f>_xlfn.XLOOKUP(E125,'All Products'!D:D,'All Products'!N:N,FALSE)</f>
        <v>0.125</v>
      </c>
      <c r="U125" s="215">
        <f>_xlfn.XLOOKUP(E125,'All Products'!D:D,'All Products'!O:O,FALSE)</f>
        <v>5</v>
      </c>
      <c r="V125" s="265">
        <f>_xlfn.XLOOKUP(E125,'All Products'!D:D,'All Products'!P:P,FALSE)</f>
        <v>7.27</v>
      </c>
      <c r="W125" s="265">
        <f>_xlfn.XLOOKUP(E125,'All Products'!D:D,'All Products'!Q:Q,FALSE)</f>
        <v>0.5</v>
      </c>
      <c r="X125" s="331"/>
      <c r="Y125" s="331"/>
    </row>
    <row r="126" spans="1:25" ht="15" customHeight="1">
      <c r="A126" s="101" t="str">
        <f>IF(K126&gt;0,COUNT($A$8:A125)
+COUNT('DWV PVC'!$A$9:$A$316)
+COUNT('DWV ABS'!$A$8:$A$116)
+COUNT('PVC SCH40'!$A$8:$A$424)
+COUNT('PVC SCH40 LD'!$A$8:$A$21)
+COUNT('Pool &amp; SPA Sweep Elbows'!$A$8:$A$11)
+COUNT('Pool &amp; SPA Pipe Extender'!$A$8:$A$10)
+COUNT('PVC SCH80'!$A$8:$A$249)
+COUNT('PVC SCH80 Flange'!$A$8:$A$48)
+COUNT('PVC SCH80 LD Flange'!$A$8:$A$16)
+COUNT(CPVC!$A$9:$A$104)+1,"")</f>
        <v/>
      </c>
      <c r="B126" s="674"/>
      <c r="C126" s="675"/>
      <c r="D126" s="443" t="str">
        <f>_xlfn.XLOOKUP(E126,'All Products'!D:D,'All Products'!C:C,FALSE)</f>
        <v>1429-251</v>
      </c>
      <c r="E126" s="154">
        <v>100022078</v>
      </c>
      <c r="F126" s="236" t="str">
        <f>_xlfn.XLOOKUP(E126,'All Products'!D:D,'All Products'!E:E,FALSE)</f>
        <v>2X1-1/2 COUPL INSERT</v>
      </c>
      <c r="G126" s="153">
        <f>_xlfn.XLOOKUP(E126,'All Products'!D:D,'All Products'!F:F,FALSE)</f>
        <v>50</v>
      </c>
      <c r="H126" s="153">
        <f>_xlfn.XLOOKUP(E126,'All Products'!D:D,'All Products'!G:G,FALSE)</f>
        <v>3750</v>
      </c>
      <c r="I126" s="374">
        <f>_xlfn.XLOOKUP(E126,'All Products'!D:D,'All Products'!H:H)</f>
        <v>12.34</v>
      </c>
      <c r="J126" s="256">
        <f>ROUNDUP(I126*Order_Quote!$L$12,2)</f>
        <v>12.34</v>
      </c>
      <c r="K126" s="167"/>
      <c r="L126" s="166"/>
      <c r="M126" s="244">
        <f t="shared" si="8"/>
        <v>0</v>
      </c>
      <c r="O126" s="247" t="str">
        <f>_xlfn.XLOOKUP(E126,'All Products'!D:D,'All Products'!I:I,FALSE)</f>
        <v>Within 3 Weeks</v>
      </c>
      <c r="P126" s="247" t="str">
        <f>_xlfn.XLOOKUP(E126,'All Products'!D:D,'All Products'!J:J,FALSE)</f>
        <v>Manufactured</v>
      </c>
      <c r="Q126" s="508">
        <f>_xlfn.XLOOKUP(E126,'All Products'!D:D,'All Products'!K:K,FALSE)</f>
        <v>49081105693</v>
      </c>
      <c r="R126" s="508">
        <f>_xlfn.XLOOKUP(E126,'All Products'!D:D,'All Products'!L:L,FALSE)</f>
        <v>49081605698</v>
      </c>
      <c r="S126" s="508">
        <f>_xlfn.XLOOKUP(E126,'All Products'!D:D,'All Products'!M:M,FALSE)</f>
        <v>40049081105691</v>
      </c>
      <c r="T126" s="264">
        <f>_xlfn.XLOOKUP(E126,'All Products'!D:D,'All Products'!N:N,FALSE)</f>
        <v>0.14599999999999999</v>
      </c>
      <c r="U126" s="215">
        <f>_xlfn.XLOOKUP(E126,'All Products'!D:D,'All Products'!O:O,FALSE)</f>
        <v>5</v>
      </c>
      <c r="V126" s="265">
        <f>_xlfn.XLOOKUP(E126,'All Products'!D:D,'All Products'!P:P,FALSE)</f>
        <v>7.94</v>
      </c>
      <c r="W126" s="265">
        <f>_xlfn.XLOOKUP(E126,'All Products'!D:D,'All Products'!Q:Q,FALSE)</f>
        <v>0.65</v>
      </c>
      <c r="X126" s="331"/>
      <c r="Y126" s="331"/>
    </row>
    <row r="127" spans="1:25" ht="15" customHeight="1">
      <c r="A127" s="101" t="str">
        <f>IF(K127&gt;0,COUNT($A$8:A126)
+COUNT('DWV PVC'!$A$9:$A$316)
+COUNT('DWV ABS'!$A$8:$A$116)
+COUNT('PVC SCH40'!$A$8:$A$424)
+COUNT('PVC SCH40 LD'!$A$8:$A$21)
+COUNT('Pool &amp; SPA Sweep Elbows'!$A$8:$A$11)
+COUNT('Pool &amp; SPA Pipe Extender'!$A$8:$A$10)
+COUNT('PVC SCH80'!$A$8:$A$249)
+COUNT('PVC SCH80 Flange'!$A$8:$A$48)
+COUNT('PVC SCH80 LD Flange'!$A$8:$A$16)
+COUNT(CPVC!$A$9:$A$104)+1,"")</f>
        <v/>
      </c>
      <c r="B127" s="437" t="s">
        <v>5762</v>
      </c>
      <c r="C127" s="333"/>
      <c r="D127" s="333"/>
      <c r="E127" s="333"/>
      <c r="F127" s="333"/>
      <c r="G127" s="333"/>
      <c r="H127" s="333"/>
      <c r="I127" s="333"/>
      <c r="J127" s="334"/>
      <c r="K127" s="333"/>
      <c r="L127" s="333"/>
      <c r="M127" s="335"/>
      <c r="O127" s="525"/>
      <c r="P127" s="333"/>
      <c r="Q127" s="509"/>
      <c r="R127" s="509"/>
      <c r="S127" s="509"/>
      <c r="T127" s="333"/>
      <c r="U127" s="333"/>
      <c r="V127" s="333"/>
      <c r="W127" s="335"/>
    </row>
    <row r="128" spans="1:25" ht="24.75" customHeight="1">
      <c r="A128" s="101" t="str">
        <f>IF(K128&gt;0,COUNT($A$8:A127)
+COUNT('DWV PVC'!$A$9:$A$316)
+COUNT('DWV ABS'!$A$8:$A$116)
+COUNT('PVC SCH40'!$A$8:$A$424)
+COUNT('PVC SCH40 LD'!$A$8:$A$21)
+COUNT('Pool &amp; SPA Sweep Elbows'!$A$8:$A$11)
+COUNT('Pool &amp; SPA Pipe Extender'!$A$8:$A$10)
+COUNT('PVC SCH80'!$A$8:$A$249)
+COUNT('PVC SCH80 Flange'!$A$8:$A$48)
+COUNT('PVC SCH80 LD Flange'!$A$8:$A$16)
+COUNT(CPVC!$A$9:$A$104)+1,"")</f>
        <v/>
      </c>
      <c r="B128" s="676"/>
      <c r="C128" s="677"/>
      <c r="D128" s="443" t="str">
        <f>_xlfn.XLOOKUP(E128,'All Products'!D:D,'All Products'!C:C,FALSE)</f>
        <v>1429-137</v>
      </c>
      <c r="E128" s="103">
        <v>100022067</v>
      </c>
      <c r="F128" s="236" t="str">
        <f>_xlfn.XLOOKUP(E128,'All Products'!D:D,'All Products'!E:E,FALSE)</f>
        <v>1 X 7/8 COUPL INSERT</v>
      </c>
      <c r="G128" s="153">
        <f>_xlfn.XLOOKUP(E128,'All Products'!D:D,'All Products'!F:F,FALSE)</f>
        <v>100</v>
      </c>
      <c r="H128" s="153">
        <f>_xlfn.XLOOKUP(E128,'All Products'!D:D,'All Products'!G:G,FALSE)</f>
        <v>9000</v>
      </c>
      <c r="I128" s="372">
        <f>_xlfn.XLOOKUP(E128,'All Products'!D:D,'All Products'!H:H)</f>
        <v>40.83</v>
      </c>
      <c r="J128" s="256">
        <f>ROUNDUP(I128*Order_Quote!$L$12,2)</f>
        <v>40.83</v>
      </c>
      <c r="K128" s="75"/>
      <c r="L128" s="239"/>
      <c r="M128" s="171">
        <f>K128/G128</f>
        <v>0</v>
      </c>
      <c r="O128" s="247" t="str">
        <f>_xlfn.XLOOKUP(E128,'All Products'!D:D,'All Products'!I:I,FALSE)</f>
        <v>In Stock</v>
      </c>
      <c r="P128" s="247" t="str">
        <f>_xlfn.XLOOKUP(E128,'All Products'!D:D,'All Products'!J:J,FALSE)</f>
        <v>Manufactured</v>
      </c>
      <c r="Q128" s="508">
        <f>_xlfn.XLOOKUP(E128,'All Products'!D:D,'All Products'!K:K,FALSE)</f>
        <v>49081402532</v>
      </c>
      <c r="R128" s="508">
        <f>_xlfn.XLOOKUP(E128,'All Products'!D:D,'All Products'!L:L,FALSE)</f>
        <v>49081602536</v>
      </c>
      <c r="S128" s="508">
        <f>_xlfn.XLOOKUP(E128,'All Products'!D:D,'All Products'!M:M,FALSE)</f>
        <v>40049081402530</v>
      </c>
      <c r="T128" s="264">
        <f>_xlfn.XLOOKUP(E128,'All Products'!D:D,'All Products'!N:N,FALSE)</f>
        <v>7.5999999999999998E-2</v>
      </c>
      <c r="U128" s="215">
        <f>_xlfn.XLOOKUP(E128,'All Products'!D:D,'All Products'!O:O,FALSE)</f>
        <v>10</v>
      </c>
      <c r="V128" s="265" t="str">
        <f>_xlfn.XLOOKUP(E128,'All Products'!D:D,'All Products'!P:P,FALSE)</f>
        <v>-</v>
      </c>
      <c r="W128" s="265">
        <f>_xlfn.XLOOKUP(E128,'All Products'!D:D,'All Products'!Q:Q,FALSE)</f>
        <v>0.5</v>
      </c>
      <c r="X128" s="331"/>
      <c r="Y128" s="331"/>
    </row>
    <row r="129" spans="1:25" ht="15" customHeight="1">
      <c r="A129" s="101" t="str">
        <f>IF(K129&gt;0,COUNT($A$8:A128)
+COUNT('DWV PVC'!$A$9:$A$316)
+COUNT('DWV ABS'!$A$8:$A$116)
+COUNT('PVC SCH40'!$A$8:$A$424)
+COUNT('PVC SCH40 LD'!$A$8:$A$21)
+COUNT('Pool &amp; SPA Sweep Elbows'!$A$8:$A$11)
+COUNT('Pool &amp; SPA Pipe Extender'!$A$8:$A$10)
+COUNT('PVC SCH80'!$A$8:$A$249)
+COUNT('PVC SCH80 Flange'!$A$8:$A$48)
+COUNT('PVC SCH80 LD Flange'!$A$8:$A$16)
+COUNT(CPVC!$A$9:$A$104)+1,"")</f>
        <v/>
      </c>
      <c r="B129" s="431" t="s">
        <v>5763</v>
      </c>
      <c r="C129" s="333"/>
      <c r="D129" s="333"/>
      <c r="E129" s="333"/>
      <c r="F129" s="333"/>
      <c r="G129" s="333"/>
      <c r="H129" s="333"/>
      <c r="I129" s="333"/>
      <c r="J129" s="334"/>
      <c r="K129" s="333"/>
      <c r="L129" s="333"/>
      <c r="M129" s="335"/>
      <c r="O129" s="525"/>
      <c r="P129" s="333"/>
      <c r="Q129" s="509"/>
      <c r="R129" s="509"/>
      <c r="S129" s="509"/>
      <c r="T129" s="333"/>
      <c r="U129" s="333"/>
      <c r="V129" s="333"/>
      <c r="W129" s="335"/>
    </row>
    <row r="130" spans="1:25" ht="31.5" customHeight="1">
      <c r="A130" s="101" t="str">
        <f>IF(K130&gt;0,COUNT($A$8:A129)
+COUNT('DWV PVC'!$A$9:$A$316)
+COUNT('DWV ABS'!$A$8:$A$116)
+COUNT('PVC SCH40'!$A$8:$A$424)
+COUNT('PVC SCH40 LD'!$A$8:$A$21)
+COUNT('Pool &amp; SPA Sweep Elbows'!$A$8:$A$11)
+COUNT('Pool &amp; SPA Pipe Extender'!$A$8:$A$10)
+COUNT('PVC SCH80'!$A$8:$A$249)
+COUNT('PVC SCH80 Flange'!$A$8:$A$48)
+COUNT('PVC SCH80 LD Flange'!$A$8:$A$16)
+COUNT(CPVC!$A$9:$A$104)+1,"")</f>
        <v/>
      </c>
      <c r="B130" s="678"/>
      <c r="C130" s="679"/>
      <c r="D130" s="443" t="str">
        <f>_xlfn.XLOOKUP(E130,'All Products'!D:D,'All Products'!C:C,FALSE)</f>
        <v>1429-099</v>
      </c>
      <c r="E130" s="153">
        <v>100022058</v>
      </c>
      <c r="F130" s="236" t="str">
        <f>_xlfn.XLOOKUP(E130,'All Products'!D:D,'All Products'!E:E,FALSE)</f>
        <v>3/4 X 3/8 INSERT X FUNNY PIPE</v>
      </c>
      <c r="G130" s="153">
        <f>_xlfn.XLOOKUP(E130,'All Products'!D:D,'All Products'!F:F,FALSE)</f>
        <v>250</v>
      </c>
      <c r="H130" s="153">
        <f>_xlfn.XLOOKUP(E130,'All Products'!D:D,'All Products'!G:G,FALSE)</f>
        <v>22500</v>
      </c>
      <c r="I130" s="371">
        <f>_xlfn.XLOOKUP(E130,'All Products'!D:D,'All Products'!H:H)</f>
        <v>5.35</v>
      </c>
      <c r="J130" s="256">
        <f>ROUNDUP(I130*Order_Quote!$L$12,2)</f>
        <v>5.35</v>
      </c>
      <c r="K130" s="257"/>
      <c r="L130" s="166"/>
      <c r="M130" s="243">
        <f>K130/G130</f>
        <v>0</v>
      </c>
      <c r="O130" s="247" t="str">
        <f>_xlfn.XLOOKUP(E130,'All Products'!D:D,'All Products'!I:I,FALSE)</f>
        <v>In Stock</v>
      </c>
      <c r="P130" s="247" t="str">
        <f>_xlfn.XLOOKUP(E130,'All Products'!D:D,'All Products'!J:J,FALSE)</f>
        <v>Manufactured</v>
      </c>
      <c r="Q130" s="508">
        <f>_xlfn.XLOOKUP(E130,'All Products'!D:D,'All Products'!K:K,FALSE)</f>
        <v>49081402501</v>
      </c>
      <c r="R130" s="508">
        <f>_xlfn.XLOOKUP(E130,'All Products'!D:D,'All Products'!L:L,FALSE)</f>
        <v>49081602505</v>
      </c>
      <c r="S130" s="508">
        <f>_xlfn.XLOOKUP(E130,'All Products'!D:D,'All Products'!M:M,FALSE)</f>
        <v>40049081402509</v>
      </c>
      <c r="T130" s="264">
        <f>_xlfn.XLOOKUP(E130,'All Products'!D:D,'All Products'!N:N,FALSE)</f>
        <v>2.5999999999999999E-2</v>
      </c>
      <c r="U130" s="215">
        <f>_xlfn.XLOOKUP(E130,'All Products'!D:D,'All Products'!O:O,FALSE)</f>
        <v>10</v>
      </c>
      <c r="V130" s="265">
        <f>_xlfn.XLOOKUP(E130,'All Products'!D:D,'All Products'!P:P,FALSE)</f>
        <v>7.43</v>
      </c>
      <c r="W130" s="265">
        <f>_xlfn.XLOOKUP(E130,'All Products'!D:D,'All Products'!Q:Q,FALSE)</f>
        <v>0.5</v>
      </c>
      <c r="X130" s="331"/>
      <c r="Y130" s="331"/>
    </row>
    <row r="131" spans="1:25" ht="31.5" customHeight="1">
      <c r="A131" s="101" t="str">
        <f>IF(K131&gt;0,COUNT($A$8:A130)
+COUNT('DWV PVC'!$A$9:$A$316)
+COUNT('DWV ABS'!$A$8:$A$116)
+COUNT('PVC SCH40'!$A$8:$A$424)
+COUNT('PVC SCH40 LD'!$A$8:$A$21)
+COUNT('Pool &amp; SPA Sweep Elbows'!$A$8:$A$11)
+COUNT('Pool &amp; SPA Pipe Extender'!$A$8:$A$10)
+COUNT('PVC SCH80'!$A$8:$A$249)
+COUNT('PVC SCH80 Flange'!$A$8:$A$48)
+COUNT('PVC SCH80 LD Flange'!$A$8:$A$16)
+COUNT(CPVC!$A$9:$A$104)+1,"")</f>
        <v/>
      </c>
      <c r="B131" s="680"/>
      <c r="C131" s="681"/>
      <c r="D131" s="443" t="str">
        <f>_xlfn.XLOOKUP(E131,'All Products'!D:D,'All Products'!C:C,FALSE)</f>
        <v>1429-129</v>
      </c>
      <c r="E131" s="103">
        <v>100022062</v>
      </c>
      <c r="F131" s="236" t="str">
        <f>_xlfn.XLOOKUP(E131,'All Products'!D:D,'All Products'!E:E,FALSE)</f>
        <v>1X3/8 INSERT X FUNNY PIPE CPLG</v>
      </c>
      <c r="G131" s="153">
        <f>_xlfn.XLOOKUP(E131,'All Products'!D:D,'All Products'!F:F,FALSE)</f>
        <v>100</v>
      </c>
      <c r="H131" s="153">
        <f>_xlfn.XLOOKUP(E131,'All Products'!D:D,'All Products'!G:G,FALSE)</f>
        <v>15000</v>
      </c>
      <c r="I131" s="372">
        <f>_xlfn.XLOOKUP(E131,'All Products'!D:D,'All Products'!H:H)</f>
        <v>5.7</v>
      </c>
      <c r="J131" s="256">
        <f>ROUNDUP(I131*Order_Quote!$L$12,2)</f>
        <v>5.7</v>
      </c>
      <c r="K131" s="246"/>
      <c r="L131" s="245"/>
      <c r="M131" s="243">
        <f>K131/G131</f>
        <v>0</v>
      </c>
      <c r="O131" s="247" t="str">
        <f>_xlfn.XLOOKUP(E131,'All Products'!D:D,'All Products'!I:I,FALSE)</f>
        <v>In Stock</v>
      </c>
      <c r="P131" s="247" t="str">
        <f>_xlfn.XLOOKUP(E131,'All Products'!D:D,'All Products'!J:J,FALSE)</f>
        <v>Manufactured</v>
      </c>
      <c r="Q131" s="508">
        <f>_xlfn.XLOOKUP(E131,'All Products'!D:D,'All Products'!K:K,FALSE)</f>
        <v>49081402518</v>
      </c>
      <c r="R131" s="508">
        <f>_xlfn.XLOOKUP(E131,'All Products'!D:D,'All Products'!L:L,FALSE)</f>
        <v>49081602512</v>
      </c>
      <c r="S131" s="508">
        <f>_xlfn.XLOOKUP(E131,'All Products'!D:D,'All Products'!M:M,FALSE)</f>
        <v>40049081402516</v>
      </c>
      <c r="T131" s="264">
        <f>_xlfn.XLOOKUP(E131,'All Products'!D:D,'All Products'!N:N,FALSE)</f>
        <v>3.6999999999999998E-2</v>
      </c>
      <c r="U131" s="215">
        <f>_xlfn.XLOOKUP(E131,'All Products'!D:D,'All Products'!O:O,FALSE)</f>
        <v>10</v>
      </c>
      <c r="V131" s="265">
        <f>_xlfn.XLOOKUP(E131,'All Products'!D:D,'All Products'!P:P,FALSE)</f>
        <v>4.4000000000000004</v>
      </c>
      <c r="W131" s="265">
        <f>_xlfn.XLOOKUP(E131,'All Products'!D:D,'All Products'!Q:Q,FALSE)</f>
        <v>0.31</v>
      </c>
      <c r="X131" s="331"/>
      <c r="Y131" s="331"/>
    </row>
    <row r="132" spans="1:25" ht="15" customHeight="1">
      <c r="A132" s="101" t="str">
        <f>IF(K132&gt;0,COUNT($A$8:A131)
+COUNT('DWV PVC'!$A$9:$A$316)
+COUNT('DWV ABS'!$A$8:$A$116)
+COUNT('PVC SCH40'!$A$8:$A$424)
+COUNT('PVC SCH40 LD'!$A$8:$A$21)
+COUNT('Pool &amp; SPA Sweep Elbows'!$A$8:$A$11)
+COUNT('Pool &amp; SPA Pipe Extender'!$A$8:$A$10)
+COUNT('PVC SCH80'!$A$8:$A$249)
+COUNT('PVC SCH80 Flange'!$A$8:$A$48)
+COUNT('PVC SCH80 LD Flange'!$A$8:$A$16)
+COUNT(CPVC!$A$9:$A$104)+1,"")</f>
        <v/>
      </c>
      <c r="B132" s="431" t="s">
        <v>5764</v>
      </c>
      <c r="C132" s="332"/>
      <c r="D132" s="333"/>
      <c r="E132" s="253"/>
      <c r="F132" s="333"/>
      <c r="G132" s="253"/>
      <c r="H132" s="253"/>
      <c r="I132" s="373"/>
      <c r="J132" s="258"/>
      <c r="K132" s="336"/>
      <c r="L132" s="253"/>
      <c r="M132" s="254"/>
      <c r="O132" s="337"/>
      <c r="P132" s="253"/>
      <c r="Q132" s="510"/>
      <c r="R132" s="510"/>
      <c r="S132" s="510"/>
      <c r="T132" s="253"/>
      <c r="U132" s="253"/>
      <c r="V132" s="253"/>
      <c r="W132" s="529"/>
    </row>
    <row r="133" spans="1:25" ht="15" customHeight="1">
      <c r="A133" s="101" t="str">
        <f>IF(K133&gt;0,COUNT($A$8:A132)
+COUNT('DWV PVC'!$A$9:$A$316)
+COUNT('DWV ABS'!$A$8:$A$116)
+COUNT('PVC SCH40'!$A$8:$A$424)
+COUNT('PVC SCH40 LD'!$A$8:$A$21)
+COUNT('Pool &amp; SPA Sweep Elbows'!$A$8:$A$11)
+COUNT('Pool &amp; SPA Pipe Extender'!$A$8:$A$10)
+COUNT('PVC SCH80'!$A$8:$A$249)
+COUNT('PVC SCH80 Flange'!$A$8:$A$48)
+COUNT('PVC SCH80 LD Flange'!$A$8:$A$16)
+COUNT(CPVC!$A$9:$A$104)+1,"")</f>
        <v/>
      </c>
      <c r="B133" s="608"/>
      <c r="C133" s="609"/>
      <c r="D133" s="443" t="str">
        <f>_xlfn.XLOOKUP(E133,'All Products'!D:D,'All Products'!C:C,FALSE)</f>
        <v>1432-005</v>
      </c>
      <c r="E133" s="103">
        <v>100022080</v>
      </c>
      <c r="F133" s="236" t="str">
        <f>_xlfn.XLOOKUP(E133,'All Products'!D:D,'All Products'!E:E,FALSE)</f>
        <v>1/2 FTG ADAP SPG/INS</v>
      </c>
      <c r="G133" s="153">
        <f>_xlfn.XLOOKUP(E133,'All Products'!D:D,'All Products'!F:F,FALSE)</f>
        <v>250</v>
      </c>
      <c r="H133" s="153">
        <f>_xlfn.XLOOKUP(E133,'All Products'!D:D,'All Products'!G:G,FALSE)</f>
        <v>22500</v>
      </c>
      <c r="I133" s="372">
        <f>_xlfn.XLOOKUP(E133,'All Products'!D:D,'All Products'!H:H)</f>
        <v>5.67</v>
      </c>
      <c r="J133" s="256">
        <f>ROUNDUP(I133*Order_Quote!$L$12,2)</f>
        <v>5.67</v>
      </c>
      <c r="K133" s="75"/>
      <c r="L133" s="238"/>
      <c r="M133" s="171">
        <f t="shared" ref="M133:M147" si="9">K133/G133</f>
        <v>0</v>
      </c>
      <c r="O133" s="247" t="str">
        <f>_xlfn.XLOOKUP(E133,'All Products'!D:D,'All Products'!I:I,FALSE)</f>
        <v>In Stock</v>
      </c>
      <c r="P133" s="247" t="str">
        <f>_xlfn.XLOOKUP(E133,'All Products'!D:D,'All Products'!J:J,FALSE)</f>
        <v>Manufactured</v>
      </c>
      <c r="Q133" s="508">
        <f>_xlfn.XLOOKUP(E133,'All Products'!D:D,'All Products'!K:K,FALSE)</f>
        <v>49081104504</v>
      </c>
      <c r="R133" s="508">
        <f>_xlfn.XLOOKUP(E133,'All Products'!D:D,'All Products'!L:L,FALSE)</f>
        <v>49081604509</v>
      </c>
      <c r="S133" s="508">
        <f>_xlfn.XLOOKUP(E133,'All Products'!D:D,'All Products'!M:M,FALSE)</f>
        <v>40049081104502</v>
      </c>
      <c r="T133" s="264">
        <f>_xlfn.XLOOKUP(E133,'All Products'!D:D,'All Products'!N:N,FALSE)</f>
        <v>2.4E-2</v>
      </c>
      <c r="U133" s="215">
        <f>_xlfn.XLOOKUP(E133,'All Products'!D:D,'All Products'!O:O,FALSE)</f>
        <v>10</v>
      </c>
      <c r="V133" s="265">
        <f>_xlfn.XLOOKUP(E133,'All Products'!D:D,'All Products'!P:P,FALSE)</f>
        <v>7.5</v>
      </c>
      <c r="W133" s="265">
        <f>_xlfn.XLOOKUP(E133,'All Products'!D:D,'All Products'!Q:Q,FALSE)</f>
        <v>0.5</v>
      </c>
      <c r="X133" s="331"/>
      <c r="Y133" s="331"/>
    </row>
    <row r="134" spans="1:25" ht="15" customHeight="1">
      <c r="A134" s="101" t="str">
        <f>IF(K134&gt;0,COUNT($A$8:A133)
+COUNT('DWV PVC'!$A$9:$A$316)
+COUNT('DWV ABS'!$A$8:$A$116)
+COUNT('PVC SCH40'!$A$8:$A$424)
+COUNT('PVC SCH40 LD'!$A$8:$A$21)
+COUNT('Pool &amp; SPA Sweep Elbows'!$A$8:$A$11)
+COUNT('Pool &amp; SPA Pipe Extender'!$A$8:$A$10)
+COUNT('PVC SCH80'!$A$8:$A$249)
+COUNT('PVC SCH80 Flange'!$A$8:$A$48)
+COUNT('PVC SCH80 LD Flange'!$A$8:$A$16)
+COUNT(CPVC!$A$9:$A$104)+1,"")</f>
        <v/>
      </c>
      <c r="B134" s="610"/>
      <c r="C134" s="611"/>
      <c r="D134" s="443" t="str">
        <f>_xlfn.XLOOKUP(E134,'All Products'!D:D,'All Products'!C:C,FALSE)</f>
        <v>1432-007</v>
      </c>
      <c r="E134" s="103">
        <v>100022082</v>
      </c>
      <c r="F134" s="236" t="str">
        <f>_xlfn.XLOOKUP(E134,'All Products'!D:D,'All Products'!E:E,FALSE)</f>
        <v>3/4 FTG ADAP SPG/INS</v>
      </c>
      <c r="G134" s="153">
        <f>_xlfn.XLOOKUP(E134,'All Products'!D:D,'All Products'!F:F,FALSE)</f>
        <v>250</v>
      </c>
      <c r="H134" s="153">
        <f>_xlfn.XLOOKUP(E134,'All Products'!D:D,'All Products'!G:G,FALSE)</f>
        <v>18750</v>
      </c>
      <c r="I134" s="372">
        <f>_xlfn.XLOOKUP(E134,'All Products'!D:D,'All Products'!H:H)</f>
        <v>7.43</v>
      </c>
      <c r="J134" s="256">
        <f>ROUNDUP(I134*Order_Quote!$L$12,2)</f>
        <v>7.43</v>
      </c>
      <c r="K134" s="75"/>
      <c r="L134" s="113"/>
      <c r="M134" s="171">
        <f t="shared" si="9"/>
        <v>0</v>
      </c>
      <c r="O134" s="247" t="str">
        <f>_xlfn.XLOOKUP(E134,'All Products'!D:D,'All Products'!I:I,FALSE)</f>
        <v>In Stock</v>
      </c>
      <c r="P134" s="247" t="str">
        <f>_xlfn.XLOOKUP(E134,'All Products'!D:D,'All Products'!J:J,FALSE)</f>
        <v>Manufactured</v>
      </c>
      <c r="Q134" s="508">
        <f>_xlfn.XLOOKUP(E134,'All Products'!D:D,'All Products'!K:K,FALSE)</f>
        <v>49081104528</v>
      </c>
      <c r="R134" s="508">
        <f>_xlfn.XLOOKUP(E134,'All Products'!D:D,'All Products'!L:L,FALSE)</f>
        <v>49081604523</v>
      </c>
      <c r="S134" s="508">
        <f>_xlfn.XLOOKUP(E134,'All Products'!D:D,'All Products'!M:M,FALSE)</f>
        <v>40049081104526</v>
      </c>
      <c r="T134" s="264">
        <f>_xlfn.XLOOKUP(E134,'All Products'!D:D,'All Products'!N:N,FALSE)</f>
        <v>3.7999999999999999E-2</v>
      </c>
      <c r="U134" s="215">
        <f>_xlfn.XLOOKUP(E134,'All Products'!D:D,'All Products'!O:O,FALSE)</f>
        <v>10</v>
      </c>
      <c r="V134" s="265">
        <f>_xlfn.XLOOKUP(E134,'All Products'!D:D,'All Products'!P:P,FALSE)</f>
        <v>11.16</v>
      </c>
      <c r="W134" s="265">
        <f>_xlfn.XLOOKUP(E134,'All Products'!D:D,'All Products'!Q:Q,FALSE)</f>
        <v>0.65</v>
      </c>
      <c r="X134" s="331"/>
      <c r="Y134" s="331"/>
    </row>
    <row r="135" spans="1:25" ht="15" customHeight="1">
      <c r="A135" s="101" t="str">
        <f>IF(K135&gt;0,COUNT($A$8:A134)
+COUNT('DWV PVC'!$A$9:$A$316)
+COUNT('DWV ABS'!$A$8:$A$116)
+COUNT('PVC SCH40'!$A$8:$A$424)
+COUNT('PVC SCH40 LD'!$A$8:$A$21)
+COUNT('Pool &amp; SPA Sweep Elbows'!$A$8:$A$11)
+COUNT('Pool &amp; SPA Pipe Extender'!$A$8:$A$10)
+COUNT('PVC SCH80'!$A$8:$A$249)
+COUNT('PVC SCH80 Flange'!$A$8:$A$48)
+COUNT('PVC SCH80 LD Flange'!$A$8:$A$16)
+COUNT(CPVC!$A$9:$A$104)+1,"")</f>
        <v/>
      </c>
      <c r="B135" s="610"/>
      <c r="C135" s="611"/>
      <c r="D135" s="443" t="str">
        <f>_xlfn.XLOOKUP(E135,'All Products'!D:D,'All Products'!C:C,FALSE)</f>
        <v>1432-010</v>
      </c>
      <c r="E135" s="103">
        <v>100022084</v>
      </c>
      <c r="F135" s="236" t="str">
        <f>_xlfn.XLOOKUP(E135,'All Products'!D:D,'All Products'!E:E,FALSE)</f>
        <v>1 FTG ADAP SPG/INS</v>
      </c>
      <c r="G135" s="153">
        <f>_xlfn.XLOOKUP(E135,'All Products'!D:D,'All Products'!F:F,FALSE)</f>
        <v>100</v>
      </c>
      <c r="H135" s="153">
        <f>_xlfn.XLOOKUP(E135,'All Products'!D:D,'All Products'!G:G,FALSE)</f>
        <v>9000</v>
      </c>
      <c r="I135" s="372">
        <f>_xlfn.XLOOKUP(E135,'All Products'!D:D,'All Products'!H:H)</f>
        <v>7.77</v>
      </c>
      <c r="J135" s="256">
        <f>ROUNDUP(I135*Order_Quote!$L$12,2)</f>
        <v>7.77</v>
      </c>
      <c r="K135" s="75"/>
      <c r="L135" s="113"/>
      <c r="M135" s="171">
        <f t="shared" si="9"/>
        <v>0</v>
      </c>
      <c r="O135" s="247" t="str">
        <f>_xlfn.XLOOKUP(E135,'All Products'!D:D,'All Products'!I:I,FALSE)</f>
        <v>In Stock</v>
      </c>
      <c r="P135" s="247" t="str">
        <f>_xlfn.XLOOKUP(E135,'All Products'!D:D,'All Products'!J:J,FALSE)</f>
        <v>Manufactured</v>
      </c>
      <c r="Q135" s="508">
        <f>_xlfn.XLOOKUP(E135,'All Products'!D:D,'All Products'!K:K,FALSE)</f>
        <v>49081104542</v>
      </c>
      <c r="R135" s="508">
        <f>_xlfn.XLOOKUP(E135,'All Products'!D:D,'All Products'!L:L,FALSE)</f>
        <v>49081604547</v>
      </c>
      <c r="S135" s="508">
        <f>_xlfn.XLOOKUP(E135,'All Products'!D:D,'All Products'!M:M,FALSE)</f>
        <v>40049081104540</v>
      </c>
      <c r="T135" s="264">
        <f>_xlfn.XLOOKUP(E135,'All Products'!D:D,'All Products'!N:N,FALSE)</f>
        <v>0.06</v>
      </c>
      <c r="U135" s="215">
        <f>_xlfn.XLOOKUP(E135,'All Products'!D:D,'All Products'!O:O,FALSE)</f>
        <v>10</v>
      </c>
      <c r="V135" s="265">
        <f>_xlfn.XLOOKUP(E135,'All Products'!D:D,'All Products'!P:P,FALSE)</f>
        <v>7.52</v>
      </c>
      <c r="W135" s="265">
        <f>_xlfn.XLOOKUP(E135,'All Products'!D:D,'All Products'!Q:Q,FALSE)</f>
        <v>0.5</v>
      </c>
      <c r="X135" s="331"/>
      <c r="Y135" s="331"/>
    </row>
    <row r="136" spans="1:25" ht="15" customHeight="1">
      <c r="A136" s="101" t="str">
        <f>IF(K136&gt;0,COUNT($A$8:A135)
+COUNT('DWV PVC'!$A$9:$A$316)
+COUNT('DWV ABS'!$A$8:$A$116)
+COUNT('PVC SCH40'!$A$8:$A$424)
+COUNT('PVC SCH40 LD'!$A$8:$A$21)
+COUNT('Pool &amp; SPA Sweep Elbows'!$A$8:$A$11)
+COUNT('Pool &amp; SPA Pipe Extender'!$A$8:$A$10)
+COUNT('PVC SCH80'!$A$8:$A$249)
+COUNT('PVC SCH80 Flange'!$A$8:$A$48)
+COUNT('PVC SCH80 LD Flange'!$A$8:$A$16)
+COUNT(CPVC!$A$9:$A$104)+1,"")</f>
        <v/>
      </c>
      <c r="B136" s="610"/>
      <c r="C136" s="611"/>
      <c r="D136" s="443" t="str">
        <f>_xlfn.XLOOKUP(E136,'All Products'!D:D,'All Products'!C:C,FALSE)</f>
        <v>1432-012</v>
      </c>
      <c r="E136" s="103">
        <v>100022085</v>
      </c>
      <c r="F136" s="236" t="str">
        <f>_xlfn.XLOOKUP(E136,'All Products'!D:D,'All Products'!E:E,FALSE)</f>
        <v>1-1/4 ADAP SPG/INS</v>
      </c>
      <c r="G136" s="153">
        <f>_xlfn.XLOOKUP(E136,'All Products'!D:D,'All Products'!F:F,FALSE)</f>
        <v>50</v>
      </c>
      <c r="H136" s="153">
        <f>_xlfn.XLOOKUP(E136,'All Products'!D:D,'All Products'!G:G,FALSE)</f>
        <v>4500</v>
      </c>
      <c r="I136" s="372">
        <f>_xlfn.XLOOKUP(E136,'All Products'!D:D,'All Products'!H:H)</f>
        <v>8.0500000000000007</v>
      </c>
      <c r="J136" s="256">
        <f>ROUNDUP(I136*Order_Quote!$L$12,2)</f>
        <v>8.0500000000000007</v>
      </c>
      <c r="K136" s="75"/>
      <c r="L136" s="113"/>
      <c r="M136" s="171">
        <f t="shared" si="9"/>
        <v>0</v>
      </c>
      <c r="O136" s="247" t="str">
        <f>_xlfn.XLOOKUP(E136,'All Products'!D:D,'All Products'!I:I,FALSE)</f>
        <v>In Stock</v>
      </c>
      <c r="P136" s="247" t="str">
        <f>_xlfn.XLOOKUP(E136,'All Products'!D:D,'All Products'!J:J,FALSE)</f>
        <v>Manufactured</v>
      </c>
      <c r="Q136" s="508">
        <f>_xlfn.XLOOKUP(E136,'All Products'!D:D,'All Products'!K:K,FALSE)</f>
        <v>49081104566</v>
      </c>
      <c r="R136" s="508">
        <f>_xlfn.XLOOKUP(E136,'All Products'!D:D,'All Products'!L:L,FALSE)</f>
        <v>49081604561</v>
      </c>
      <c r="S136" s="508">
        <f>_xlfn.XLOOKUP(E136,'All Products'!D:D,'All Products'!M:M,FALSE)</f>
        <v>40049081104564</v>
      </c>
      <c r="T136" s="264">
        <f>_xlfn.XLOOKUP(E136,'All Products'!D:D,'All Products'!N:N,FALSE)</f>
        <v>0.12</v>
      </c>
      <c r="U136" s="215">
        <f>_xlfn.XLOOKUP(E136,'All Products'!D:D,'All Products'!O:O,FALSE)</f>
        <v>5</v>
      </c>
      <c r="V136" s="265">
        <f>_xlfn.XLOOKUP(E136,'All Products'!D:D,'All Products'!P:P,FALSE)</f>
        <v>6.13</v>
      </c>
      <c r="W136" s="265">
        <f>_xlfn.XLOOKUP(E136,'All Products'!D:D,'All Products'!Q:Q,FALSE)</f>
        <v>0.5</v>
      </c>
      <c r="X136" s="331"/>
      <c r="Y136" s="331"/>
    </row>
    <row r="137" spans="1:25" ht="15" customHeight="1">
      <c r="A137" s="101" t="str">
        <f>IF(K137&gt;0,COUNT($A$8:A136)
+COUNT('DWV PVC'!$A$9:$A$316)
+COUNT('DWV ABS'!$A$8:$A$116)
+COUNT('PVC SCH40'!$A$8:$A$424)
+COUNT('PVC SCH40 LD'!$A$8:$A$21)
+COUNT('Pool &amp; SPA Sweep Elbows'!$A$8:$A$11)
+COUNT('Pool &amp; SPA Pipe Extender'!$A$8:$A$10)
+COUNT('PVC SCH80'!$A$8:$A$249)
+COUNT('PVC SCH80 Flange'!$A$8:$A$48)
+COUNT('PVC SCH80 LD Flange'!$A$8:$A$16)
+COUNT(CPVC!$A$9:$A$104)+1,"")</f>
        <v/>
      </c>
      <c r="B137" s="610"/>
      <c r="C137" s="611"/>
      <c r="D137" s="443" t="str">
        <f>_xlfn.XLOOKUP(E137,'All Products'!D:D,'All Products'!C:C,FALSE)</f>
        <v>1432-015</v>
      </c>
      <c r="E137" s="103">
        <v>100022086</v>
      </c>
      <c r="F137" s="236" t="str">
        <f>_xlfn.XLOOKUP(E137,'All Products'!D:D,'All Products'!E:E,FALSE)</f>
        <v>1-1/2 FTG ADAP SPG/INS</v>
      </c>
      <c r="G137" s="153">
        <f>_xlfn.XLOOKUP(E137,'All Products'!D:D,'All Products'!F:F,FALSE)</f>
        <v>50</v>
      </c>
      <c r="H137" s="153">
        <f>_xlfn.XLOOKUP(E137,'All Products'!D:D,'All Products'!G:G,FALSE)</f>
        <v>3750</v>
      </c>
      <c r="I137" s="372">
        <f>_xlfn.XLOOKUP(E137,'All Products'!D:D,'All Products'!H:H)</f>
        <v>8.61</v>
      </c>
      <c r="J137" s="256">
        <f>ROUNDUP(I137*Order_Quote!$L$12,2)</f>
        <v>8.61</v>
      </c>
      <c r="K137" s="75"/>
      <c r="L137" s="113"/>
      <c r="M137" s="171">
        <f t="shared" si="9"/>
        <v>0</v>
      </c>
      <c r="O137" s="247" t="str">
        <f>_xlfn.XLOOKUP(E137,'All Products'!D:D,'All Products'!I:I,FALSE)</f>
        <v>In Stock</v>
      </c>
      <c r="P137" s="247" t="str">
        <f>_xlfn.XLOOKUP(E137,'All Products'!D:D,'All Products'!J:J,FALSE)</f>
        <v>Manufactured</v>
      </c>
      <c r="Q137" s="508">
        <f>_xlfn.XLOOKUP(E137,'All Products'!D:D,'All Products'!K:K,FALSE)</f>
        <v>49081104580</v>
      </c>
      <c r="R137" s="508">
        <f>_xlfn.XLOOKUP(E137,'All Products'!D:D,'All Products'!L:L,FALSE)</f>
        <v>49081604585</v>
      </c>
      <c r="S137" s="508">
        <f>_xlfn.XLOOKUP(E137,'All Products'!D:D,'All Products'!M:M,FALSE)</f>
        <v>40049081104588</v>
      </c>
      <c r="T137" s="264">
        <f>_xlfn.XLOOKUP(E137,'All Products'!D:D,'All Products'!N:N,FALSE)</f>
        <v>0.11799999999999999</v>
      </c>
      <c r="U137" s="215">
        <f>_xlfn.XLOOKUP(E137,'All Products'!D:D,'All Products'!O:O,FALSE)</f>
        <v>5</v>
      </c>
      <c r="V137" s="265">
        <f>_xlfn.XLOOKUP(E137,'All Products'!D:D,'All Products'!P:P,FALSE)</f>
        <v>6.85</v>
      </c>
      <c r="W137" s="265">
        <f>_xlfn.XLOOKUP(E137,'All Products'!D:D,'All Products'!Q:Q,FALSE)</f>
        <v>0.65</v>
      </c>
      <c r="X137" s="331"/>
      <c r="Y137" s="331"/>
    </row>
    <row r="138" spans="1:25" ht="15" customHeight="1">
      <c r="A138" s="101" t="str">
        <f>IF(K138&gt;0,COUNT($A$8:A137)
+COUNT('DWV PVC'!$A$9:$A$316)
+COUNT('DWV ABS'!$A$8:$A$116)
+COUNT('PVC SCH40'!$A$8:$A$424)
+COUNT('PVC SCH40 LD'!$A$8:$A$21)
+COUNT('Pool &amp; SPA Sweep Elbows'!$A$8:$A$11)
+COUNT('Pool &amp; SPA Pipe Extender'!$A$8:$A$10)
+COUNT('PVC SCH80'!$A$8:$A$249)
+COUNT('PVC SCH80 Flange'!$A$8:$A$48)
+COUNT('PVC SCH80 LD Flange'!$A$8:$A$16)
+COUNT(CPVC!$A$9:$A$104)+1,"")</f>
        <v/>
      </c>
      <c r="B138" s="610"/>
      <c r="C138" s="611"/>
      <c r="D138" s="443" t="str">
        <f>_xlfn.XLOOKUP(E138,'All Products'!D:D,'All Products'!C:C,FALSE)</f>
        <v>1432-020</v>
      </c>
      <c r="E138" s="103">
        <v>100022088</v>
      </c>
      <c r="F138" s="236" t="str">
        <f>_xlfn.XLOOKUP(E138,'All Products'!D:D,'All Products'!E:E,FALSE)</f>
        <v>2 FTG ADAP SPG/INS</v>
      </c>
      <c r="G138" s="153">
        <f>_xlfn.XLOOKUP(E138,'All Products'!D:D,'All Products'!F:F,FALSE)</f>
        <v>25</v>
      </c>
      <c r="H138" s="153">
        <f>_xlfn.XLOOKUP(E138,'All Products'!D:D,'All Products'!G:G,FALSE)</f>
        <v>2250</v>
      </c>
      <c r="I138" s="372">
        <f>_xlfn.XLOOKUP(E138,'All Products'!D:D,'All Products'!H:H)</f>
        <v>14.33</v>
      </c>
      <c r="J138" s="256">
        <f>ROUNDUP(I138*Order_Quote!$L$12,2)</f>
        <v>14.33</v>
      </c>
      <c r="K138" s="75"/>
      <c r="L138" s="113"/>
      <c r="M138" s="171">
        <f t="shared" si="9"/>
        <v>0</v>
      </c>
      <c r="O138" s="247" t="str">
        <f>_xlfn.XLOOKUP(E138,'All Products'!D:D,'All Products'!I:I,FALSE)</f>
        <v>In Stock</v>
      </c>
      <c r="P138" s="247" t="str">
        <f>_xlfn.XLOOKUP(E138,'All Products'!D:D,'All Products'!J:J,FALSE)</f>
        <v>Manufactured</v>
      </c>
      <c r="Q138" s="508">
        <f>_xlfn.XLOOKUP(E138,'All Products'!D:D,'All Products'!K:K,FALSE)</f>
        <v>49081104603</v>
      </c>
      <c r="R138" s="508">
        <f>_xlfn.XLOOKUP(E138,'All Products'!D:D,'All Products'!L:L,FALSE)</f>
        <v>49081604608</v>
      </c>
      <c r="S138" s="508">
        <f>_xlfn.XLOOKUP(E138,'All Products'!D:D,'All Products'!M:M,FALSE)</f>
        <v>40049081104601</v>
      </c>
      <c r="T138" s="264">
        <f>_xlfn.XLOOKUP(E138,'All Products'!D:D,'All Products'!N:N,FALSE)</f>
        <v>0.19600000000000001</v>
      </c>
      <c r="U138" s="215">
        <f>_xlfn.XLOOKUP(E138,'All Products'!D:D,'All Products'!O:O,FALSE)</f>
        <v>5</v>
      </c>
      <c r="V138" s="265">
        <f>_xlfn.XLOOKUP(E138,'All Products'!D:D,'All Products'!P:P,FALSE)</f>
        <v>5.0999999999999996</v>
      </c>
      <c r="W138" s="265">
        <f>_xlfn.XLOOKUP(E138,'All Products'!D:D,'All Products'!Q:Q,FALSE)</f>
        <v>0.5</v>
      </c>
      <c r="X138" s="331"/>
      <c r="Y138" s="331"/>
    </row>
    <row r="139" spans="1:25" ht="15" customHeight="1">
      <c r="A139" s="101" t="str">
        <f>IF(K139&gt;0,COUNT($A$8:A138)
+COUNT('DWV PVC'!$A$9:$A$316)
+COUNT('DWV ABS'!$A$8:$A$116)
+COUNT('PVC SCH40'!$A$8:$A$424)
+COUNT('PVC SCH40 LD'!$A$8:$A$21)
+COUNT('Pool &amp; SPA Sweep Elbows'!$A$8:$A$11)
+COUNT('Pool &amp; SPA Pipe Extender'!$A$8:$A$10)
+COUNT('PVC SCH80'!$A$8:$A$249)
+COUNT('PVC SCH80 Flange'!$A$8:$A$48)
+COUNT('PVC SCH80 LD Flange'!$A$8:$A$16)
+COUNT(CPVC!$A$9:$A$104)+1,"")</f>
        <v/>
      </c>
      <c r="B139" s="610"/>
      <c r="C139" s="611"/>
      <c r="D139" s="443" t="str">
        <f>_xlfn.XLOOKUP(E139,'All Products'!D:D,'All Products'!C:C,FALSE)</f>
        <v>1432-030</v>
      </c>
      <c r="E139" s="103">
        <v>100022090</v>
      </c>
      <c r="F139" s="236" t="str">
        <f>_xlfn.XLOOKUP(E139,'All Products'!D:D,'All Products'!E:E,FALSE)</f>
        <v>3 FTG ADAP SPG/INS</v>
      </c>
      <c r="G139" s="153">
        <f>_xlfn.XLOOKUP(E139,'All Products'!D:D,'All Products'!F:F,FALSE)</f>
        <v>10</v>
      </c>
      <c r="H139" s="153">
        <f>_xlfn.XLOOKUP(E139,'All Products'!D:D,'All Products'!G:G,FALSE)</f>
        <v>750</v>
      </c>
      <c r="I139" s="372">
        <f>_xlfn.XLOOKUP(E139,'All Products'!D:D,'All Products'!H:H)</f>
        <v>48.46</v>
      </c>
      <c r="J139" s="256">
        <f>ROUNDUP(I139*Order_Quote!$L$12,2)</f>
        <v>48.46</v>
      </c>
      <c r="K139" s="75"/>
      <c r="L139" s="113"/>
      <c r="M139" s="171">
        <f t="shared" si="9"/>
        <v>0</v>
      </c>
      <c r="O139" s="247" t="str">
        <f>_xlfn.XLOOKUP(E139,'All Products'!D:D,'All Products'!I:I,FALSE)</f>
        <v>In Stock</v>
      </c>
      <c r="P139" s="247" t="str">
        <f>_xlfn.XLOOKUP(E139,'All Products'!D:D,'All Products'!J:J,FALSE)</f>
        <v>Manufactured</v>
      </c>
      <c r="Q139" s="508">
        <f>_xlfn.XLOOKUP(E139,'All Products'!D:D,'All Products'!K:K,FALSE)</f>
        <v>49081104641</v>
      </c>
      <c r="R139" s="508" t="str">
        <f>_xlfn.XLOOKUP(E139,'All Products'!D:D,'All Products'!L:L,FALSE)</f>
        <v>-</v>
      </c>
      <c r="S139" s="508">
        <f>_xlfn.XLOOKUP(E139,'All Products'!D:D,'All Products'!M:M,FALSE)</f>
        <v>40049081104649</v>
      </c>
      <c r="T139" s="264">
        <f>_xlfn.XLOOKUP(E139,'All Products'!D:D,'All Products'!N:N,FALSE)</f>
        <v>0.55200000000000005</v>
      </c>
      <c r="U139" s="215" t="str">
        <f>_xlfn.XLOOKUP(E139,'All Products'!D:D,'All Products'!O:O,FALSE)</f>
        <v>-</v>
      </c>
      <c r="V139" s="265">
        <f>_xlfn.XLOOKUP(E139,'All Products'!D:D,'All Products'!P:P,FALSE)</f>
        <v>5.54</v>
      </c>
      <c r="W139" s="265">
        <f>_xlfn.XLOOKUP(E139,'All Products'!D:D,'All Products'!Q:Q,FALSE)</f>
        <v>0.65</v>
      </c>
      <c r="X139" s="331"/>
      <c r="Y139" s="331"/>
    </row>
    <row r="140" spans="1:25" ht="15" customHeight="1">
      <c r="A140" s="101" t="str">
        <f>IF(K140&gt;0,COUNT($A$8:A139)
+COUNT('DWV PVC'!$A$9:$A$316)
+COUNT('DWV ABS'!$A$8:$A$116)
+COUNT('PVC SCH40'!$A$8:$A$424)
+COUNT('PVC SCH40 LD'!$A$8:$A$21)
+COUNT('Pool &amp; SPA Sweep Elbows'!$A$8:$A$11)
+COUNT('Pool &amp; SPA Pipe Extender'!$A$8:$A$10)
+COUNT('PVC SCH80'!$A$8:$A$249)
+COUNT('PVC SCH80 Flange'!$A$8:$A$48)
+COUNT('PVC SCH80 LD Flange'!$A$8:$A$16)
+COUNT(CPVC!$A$9:$A$104)+1,"")</f>
        <v/>
      </c>
      <c r="B140" s="610"/>
      <c r="C140" s="611"/>
      <c r="D140" s="443" t="str">
        <f>_xlfn.XLOOKUP(E140,'All Products'!D:D,'All Products'!C:C,FALSE)</f>
        <v>1432-101</v>
      </c>
      <c r="E140" s="103">
        <v>100022092</v>
      </c>
      <c r="F140" s="236" t="str">
        <f>_xlfn.XLOOKUP(E140,'All Products'!D:D,'All Products'!E:E,FALSE)</f>
        <v>3/4X1/2 FTG ADAP SPG/INS</v>
      </c>
      <c r="G140" s="153">
        <f>_xlfn.XLOOKUP(E140,'All Products'!D:D,'All Products'!F:F,FALSE)</f>
        <v>100</v>
      </c>
      <c r="H140" s="153">
        <f>_xlfn.XLOOKUP(E140,'All Products'!D:D,'All Products'!G:G,FALSE)</f>
        <v>15000</v>
      </c>
      <c r="I140" s="372">
        <f>_xlfn.XLOOKUP(E140,'All Products'!D:D,'All Products'!H:H)</f>
        <v>7.43</v>
      </c>
      <c r="J140" s="256">
        <f>ROUNDUP(I140*Order_Quote!$L$12,2)</f>
        <v>7.43</v>
      </c>
      <c r="K140" s="75"/>
      <c r="L140" s="113"/>
      <c r="M140" s="171">
        <f t="shared" si="9"/>
        <v>0</v>
      </c>
      <c r="O140" s="247" t="str">
        <f>_xlfn.XLOOKUP(E140,'All Products'!D:D,'All Products'!I:I,FALSE)</f>
        <v>In Stock</v>
      </c>
      <c r="P140" s="247" t="str">
        <f>_xlfn.XLOOKUP(E140,'All Products'!D:D,'All Products'!J:J,FALSE)</f>
        <v>Manufactured</v>
      </c>
      <c r="Q140" s="508">
        <f>_xlfn.XLOOKUP(E140,'All Products'!D:D,'All Products'!K:K,FALSE)</f>
        <v>49081104702</v>
      </c>
      <c r="R140" s="508">
        <f>_xlfn.XLOOKUP(E140,'All Products'!D:D,'All Products'!L:L,FALSE)</f>
        <v>49081604707</v>
      </c>
      <c r="S140" s="508">
        <f>_xlfn.XLOOKUP(E140,'All Products'!D:D,'All Products'!M:M,FALSE)</f>
        <v>40049081104700</v>
      </c>
      <c r="T140" s="264">
        <f>_xlfn.XLOOKUP(E140,'All Products'!D:D,'All Products'!N:N,FALSE)</f>
        <v>3.2000000000000001E-2</v>
      </c>
      <c r="U140" s="215">
        <f>_xlfn.XLOOKUP(E140,'All Products'!D:D,'All Products'!O:O,FALSE)</f>
        <v>10</v>
      </c>
      <c r="V140" s="265">
        <f>_xlfn.XLOOKUP(E140,'All Products'!D:D,'All Products'!P:P,FALSE)</f>
        <v>4.24</v>
      </c>
      <c r="W140" s="265">
        <f>_xlfn.XLOOKUP(E140,'All Products'!D:D,'All Products'!Q:Q,FALSE)</f>
        <v>0.31</v>
      </c>
      <c r="X140" s="331"/>
      <c r="Y140" s="331"/>
    </row>
    <row r="141" spans="1:25" ht="15" customHeight="1">
      <c r="A141" s="101" t="str">
        <f>IF(K141&gt;0,COUNT($A$8:A140)
+COUNT('DWV PVC'!$A$9:$A$316)
+COUNT('DWV ABS'!$A$8:$A$116)
+COUNT('PVC SCH40'!$A$8:$A$424)
+COUNT('PVC SCH40 LD'!$A$8:$A$21)
+COUNT('Pool &amp; SPA Sweep Elbows'!$A$8:$A$11)
+COUNT('Pool &amp; SPA Pipe Extender'!$A$8:$A$10)
+COUNT('PVC SCH80'!$A$8:$A$249)
+COUNT('PVC SCH80 Flange'!$A$8:$A$48)
+COUNT('PVC SCH80 LD Flange'!$A$8:$A$16)
+COUNT(CPVC!$A$9:$A$104)+1,"")</f>
        <v/>
      </c>
      <c r="B141" s="610"/>
      <c r="C141" s="611"/>
      <c r="D141" s="443" t="str">
        <f>_xlfn.XLOOKUP(E141,'All Products'!D:D,'All Products'!C:C,FALSE)</f>
        <v>1432-130</v>
      </c>
      <c r="E141" s="103">
        <v>100022094</v>
      </c>
      <c r="F141" s="236" t="str">
        <f>_xlfn.XLOOKUP(E141,'All Products'!D:D,'All Products'!E:E,FALSE)</f>
        <v>1X1/2 FTG ADAP SPG/INS</v>
      </c>
      <c r="G141" s="153">
        <f>_xlfn.XLOOKUP(E141,'All Products'!D:D,'All Products'!F:F,FALSE)</f>
        <v>100</v>
      </c>
      <c r="H141" s="153">
        <f>_xlfn.XLOOKUP(E141,'All Products'!D:D,'All Products'!G:G,FALSE)</f>
        <v>9000</v>
      </c>
      <c r="I141" s="372">
        <f>_xlfn.XLOOKUP(E141,'All Products'!D:D,'All Products'!H:H)</f>
        <v>8.66</v>
      </c>
      <c r="J141" s="256">
        <f>ROUNDUP(I141*Order_Quote!$L$12,2)</f>
        <v>8.66</v>
      </c>
      <c r="K141" s="75"/>
      <c r="L141" s="113"/>
      <c r="M141" s="171">
        <f t="shared" si="9"/>
        <v>0</v>
      </c>
      <c r="O141" s="247" t="str">
        <f>_xlfn.XLOOKUP(E141,'All Products'!D:D,'All Products'!I:I,FALSE)</f>
        <v>In Stock</v>
      </c>
      <c r="P141" s="247" t="str">
        <f>_xlfn.XLOOKUP(E141,'All Products'!D:D,'All Products'!J:J,FALSE)</f>
        <v>Manufactured</v>
      </c>
      <c r="Q141" s="508">
        <f>_xlfn.XLOOKUP(E141,'All Products'!D:D,'All Products'!K:K,FALSE)</f>
        <v>49081104726</v>
      </c>
      <c r="R141" s="508">
        <f>_xlfn.XLOOKUP(E141,'All Products'!D:D,'All Products'!L:L,FALSE)</f>
        <v>49081604721</v>
      </c>
      <c r="S141" s="508">
        <f>_xlfn.XLOOKUP(E141,'All Products'!D:D,'All Products'!M:M,FALSE)</f>
        <v>40049081104724</v>
      </c>
      <c r="T141" s="264">
        <f>_xlfn.XLOOKUP(E141,'All Products'!D:D,'All Products'!N:N,FALSE)</f>
        <v>5.1999999999999998E-2</v>
      </c>
      <c r="U141" s="215">
        <f>_xlfn.XLOOKUP(E141,'All Products'!D:D,'All Products'!O:O,FALSE)</f>
        <v>10</v>
      </c>
      <c r="V141" s="265">
        <f>_xlfn.XLOOKUP(E141,'All Products'!D:D,'All Products'!P:P,FALSE)</f>
        <v>5.85</v>
      </c>
      <c r="W141" s="265">
        <f>_xlfn.XLOOKUP(E141,'All Products'!D:D,'All Products'!Q:Q,FALSE)</f>
        <v>0.5</v>
      </c>
      <c r="X141" s="331"/>
      <c r="Y141" s="331"/>
    </row>
    <row r="142" spans="1:25" ht="15" customHeight="1">
      <c r="A142" s="101" t="str">
        <f>IF(K142&gt;0,COUNT($A$8:A141)
+COUNT('DWV PVC'!$A$9:$A$316)
+COUNT('DWV ABS'!$A$8:$A$116)
+COUNT('PVC SCH40'!$A$8:$A$424)
+COUNT('PVC SCH40 LD'!$A$8:$A$21)
+COUNT('Pool &amp; SPA Sweep Elbows'!$A$8:$A$11)
+COUNT('Pool &amp; SPA Pipe Extender'!$A$8:$A$10)
+COUNT('PVC SCH80'!$A$8:$A$249)
+COUNT('PVC SCH80 Flange'!$A$8:$A$48)
+COUNT('PVC SCH80 LD Flange'!$A$8:$A$16)
+COUNT(CPVC!$A$9:$A$104)+1,"")</f>
        <v/>
      </c>
      <c r="B142" s="610"/>
      <c r="C142" s="611"/>
      <c r="D142" s="443" t="str">
        <f>_xlfn.XLOOKUP(E142,'All Products'!D:D,'All Products'!C:C,FALSE)</f>
        <v>1432-131</v>
      </c>
      <c r="E142" s="103">
        <v>100022095</v>
      </c>
      <c r="F142" s="236" t="str">
        <f>_xlfn.XLOOKUP(E142,'All Products'!D:D,'All Products'!E:E,FALSE)</f>
        <v>1X3/4 SPG/INSERT FITT ADPT</v>
      </c>
      <c r="G142" s="153">
        <f>_xlfn.XLOOKUP(E142,'All Products'!D:D,'All Products'!F:F,FALSE)</f>
        <v>100</v>
      </c>
      <c r="H142" s="153">
        <f>_xlfn.XLOOKUP(E142,'All Products'!D:D,'All Products'!G:G,FALSE)</f>
        <v>9000</v>
      </c>
      <c r="I142" s="372">
        <f>_xlfn.XLOOKUP(E142,'All Products'!D:D,'All Products'!H:H)</f>
        <v>8.66</v>
      </c>
      <c r="J142" s="256">
        <f>ROUNDUP(I142*Order_Quote!$L$12,2)</f>
        <v>8.66</v>
      </c>
      <c r="K142" s="75"/>
      <c r="L142" s="113"/>
      <c r="M142" s="171">
        <f t="shared" si="9"/>
        <v>0</v>
      </c>
      <c r="O142" s="247" t="str">
        <f>_xlfn.XLOOKUP(E142,'All Products'!D:D,'All Products'!I:I,FALSE)</f>
        <v>In Stock</v>
      </c>
      <c r="P142" s="247" t="str">
        <f>_xlfn.XLOOKUP(E142,'All Products'!D:D,'All Products'!J:J,FALSE)</f>
        <v>Manufactured</v>
      </c>
      <c r="Q142" s="508">
        <f>_xlfn.XLOOKUP(E142,'All Products'!D:D,'All Products'!K:K,FALSE)</f>
        <v>49081104740</v>
      </c>
      <c r="R142" s="508">
        <f>_xlfn.XLOOKUP(E142,'All Products'!D:D,'All Products'!L:L,FALSE)</f>
        <v>49081604745</v>
      </c>
      <c r="S142" s="508">
        <f>_xlfn.XLOOKUP(E142,'All Products'!D:D,'All Products'!M:M,FALSE)</f>
        <v>40049081104748</v>
      </c>
      <c r="T142" s="264">
        <f>_xlfn.XLOOKUP(E142,'All Products'!D:D,'All Products'!N:N,FALSE)</f>
        <v>0.05</v>
      </c>
      <c r="U142" s="215">
        <f>_xlfn.XLOOKUP(E142,'All Products'!D:D,'All Products'!O:O,FALSE)</f>
        <v>10</v>
      </c>
      <c r="V142" s="265">
        <f>_xlfn.XLOOKUP(E142,'All Products'!D:D,'All Products'!P:P,FALSE)</f>
        <v>5.93</v>
      </c>
      <c r="W142" s="265">
        <f>_xlfn.XLOOKUP(E142,'All Products'!D:D,'All Products'!Q:Q,FALSE)</f>
        <v>0.5</v>
      </c>
      <c r="X142" s="331"/>
      <c r="Y142" s="331"/>
    </row>
    <row r="143" spans="1:25" ht="15" customHeight="1">
      <c r="A143" s="101" t="str">
        <f>IF(K143&gt;0,COUNT($A$8:A142)
+COUNT('DWV PVC'!$A$9:$A$316)
+COUNT('DWV ABS'!$A$8:$A$116)
+COUNT('PVC SCH40'!$A$8:$A$424)
+COUNT('PVC SCH40 LD'!$A$8:$A$21)
+COUNT('Pool &amp; SPA Sweep Elbows'!$A$8:$A$11)
+COUNT('Pool &amp; SPA Pipe Extender'!$A$8:$A$10)
+COUNT('PVC SCH80'!$A$8:$A$249)
+COUNT('PVC SCH80 Flange'!$A$8:$A$48)
+COUNT('PVC SCH80 LD Flange'!$A$8:$A$16)
+COUNT(CPVC!$A$9:$A$104)+1,"")</f>
        <v/>
      </c>
      <c r="B143" s="610"/>
      <c r="C143" s="611"/>
      <c r="D143" s="443" t="str">
        <f>_xlfn.XLOOKUP(E143,'All Products'!D:D,'All Products'!C:C,FALSE)</f>
        <v>1432-166</v>
      </c>
      <c r="E143" s="103">
        <v>100022096</v>
      </c>
      <c r="F143" s="236" t="str">
        <f>_xlfn.XLOOKUP(E143,'All Products'!D:D,'All Products'!E:E,FALSE)</f>
        <v>1-1/4X1/2 FTG ADAP SPG/INS</v>
      </c>
      <c r="G143" s="153">
        <f>_xlfn.XLOOKUP(E143,'All Products'!D:D,'All Products'!F:F,FALSE)</f>
        <v>100</v>
      </c>
      <c r="H143" s="153">
        <f>_xlfn.XLOOKUP(E143,'All Products'!D:D,'All Products'!G:G,FALSE)</f>
        <v>7500</v>
      </c>
      <c r="I143" s="372">
        <f>_xlfn.XLOOKUP(E143,'All Products'!D:D,'All Products'!H:H)</f>
        <v>10.38</v>
      </c>
      <c r="J143" s="256">
        <f>ROUNDUP(I143*Order_Quote!$L$12,2)</f>
        <v>10.38</v>
      </c>
      <c r="K143" s="75"/>
      <c r="L143" s="113"/>
      <c r="M143" s="171">
        <f t="shared" si="9"/>
        <v>0</v>
      </c>
      <c r="O143" s="247" t="str">
        <f>_xlfn.XLOOKUP(E143,'All Products'!D:D,'All Products'!I:I,FALSE)</f>
        <v>Within 3 Weeks</v>
      </c>
      <c r="P143" s="247" t="str">
        <f>_xlfn.XLOOKUP(E143,'All Products'!D:D,'All Products'!J:J,FALSE)</f>
        <v>Manufactured</v>
      </c>
      <c r="Q143" s="508">
        <f>_xlfn.XLOOKUP(E143,'All Products'!D:D,'All Products'!K:K,FALSE)</f>
        <v>49081104764</v>
      </c>
      <c r="R143" s="508">
        <f>_xlfn.XLOOKUP(E143,'All Products'!D:D,'All Products'!L:L,FALSE)</f>
        <v>49081604769</v>
      </c>
      <c r="S143" s="508">
        <f>_xlfn.XLOOKUP(E143,'All Products'!D:D,'All Products'!M:M,FALSE)</f>
        <v>40049081104762</v>
      </c>
      <c r="T143" s="264">
        <f>_xlfn.XLOOKUP(E143,'All Products'!D:D,'All Products'!N:N,FALSE)</f>
        <v>8.8999999999999996E-2</v>
      </c>
      <c r="U143" s="215">
        <f>_xlfn.XLOOKUP(E143,'All Products'!D:D,'All Products'!O:O,FALSE)</f>
        <v>10</v>
      </c>
      <c r="V143" s="265">
        <f>_xlfn.XLOOKUP(E143,'All Products'!D:D,'All Products'!P:P,FALSE)</f>
        <v>8.9</v>
      </c>
      <c r="W143" s="265">
        <f>_xlfn.XLOOKUP(E143,'All Products'!D:D,'All Products'!Q:Q,FALSE)</f>
        <v>0.65</v>
      </c>
      <c r="X143" s="331"/>
      <c r="Y143" s="331"/>
    </row>
    <row r="144" spans="1:25" ht="15" customHeight="1">
      <c r="A144" s="101" t="str">
        <f>IF(K144&gt;0,COUNT($A$8:A143)
+COUNT('DWV PVC'!$A$9:$A$316)
+COUNT('DWV ABS'!$A$8:$A$116)
+COUNT('PVC SCH40'!$A$8:$A$424)
+COUNT('PVC SCH40 LD'!$A$8:$A$21)
+COUNT('Pool &amp; SPA Sweep Elbows'!$A$8:$A$11)
+COUNT('Pool &amp; SPA Pipe Extender'!$A$8:$A$10)
+COUNT('PVC SCH80'!$A$8:$A$249)
+COUNT('PVC SCH80 Flange'!$A$8:$A$48)
+COUNT('PVC SCH80 LD Flange'!$A$8:$A$16)
+COUNT(CPVC!$A$9:$A$104)+1,"")</f>
        <v/>
      </c>
      <c r="B144" s="610"/>
      <c r="C144" s="611"/>
      <c r="D144" s="443" t="str">
        <f>_xlfn.XLOOKUP(E144,'All Products'!D:D,'All Products'!C:C,FALSE)</f>
        <v>1432-167</v>
      </c>
      <c r="E144" s="103">
        <v>100022097</v>
      </c>
      <c r="F144" s="236" t="str">
        <f>_xlfn.XLOOKUP(E144,'All Products'!D:D,'All Products'!E:E,FALSE)</f>
        <v>1-1/4X3/4 FTG ADAP SPG/INS</v>
      </c>
      <c r="G144" s="153">
        <f>_xlfn.XLOOKUP(E144,'All Products'!D:D,'All Products'!F:F,FALSE)</f>
        <v>100</v>
      </c>
      <c r="H144" s="153">
        <f>_xlfn.XLOOKUP(E144,'All Products'!D:D,'All Products'!G:G,FALSE)</f>
        <v>7500</v>
      </c>
      <c r="I144" s="372">
        <f>_xlfn.XLOOKUP(E144,'All Products'!D:D,'All Products'!H:H)</f>
        <v>10.38</v>
      </c>
      <c r="J144" s="256">
        <f>ROUNDUP(I144*Order_Quote!$L$12,2)</f>
        <v>10.38</v>
      </c>
      <c r="K144" s="75"/>
      <c r="L144" s="239"/>
      <c r="M144" s="171">
        <f t="shared" si="9"/>
        <v>0</v>
      </c>
      <c r="O144" s="247" t="str">
        <f>_xlfn.XLOOKUP(E144,'All Products'!D:D,'All Products'!I:I,FALSE)</f>
        <v>In Stock</v>
      </c>
      <c r="P144" s="247" t="str">
        <f>_xlfn.XLOOKUP(E144,'All Products'!D:D,'All Products'!J:J,FALSE)</f>
        <v>Manufactured</v>
      </c>
      <c r="Q144" s="508">
        <f>_xlfn.XLOOKUP(E144,'All Products'!D:D,'All Products'!K:K,FALSE)</f>
        <v>49081104788</v>
      </c>
      <c r="R144" s="508">
        <f>_xlfn.XLOOKUP(E144,'All Products'!D:D,'All Products'!L:L,FALSE)</f>
        <v>49081604783</v>
      </c>
      <c r="S144" s="508">
        <f>_xlfn.XLOOKUP(E144,'All Products'!D:D,'All Products'!M:M,FALSE)</f>
        <v>40049081104786</v>
      </c>
      <c r="T144" s="264">
        <f>_xlfn.XLOOKUP(E144,'All Products'!D:D,'All Products'!N:N,FALSE)</f>
        <v>9.4E-2</v>
      </c>
      <c r="U144" s="215">
        <f>_xlfn.XLOOKUP(E144,'All Products'!D:D,'All Products'!O:O,FALSE)</f>
        <v>10</v>
      </c>
      <c r="V144" s="265">
        <f>_xlfn.XLOOKUP(E144,'All Products'!D:D,'All Products'!P:P,FALSE)</f>
        <v>9.25</v>
      </c>
      <c r="W144" s="265">
        <f>_xlfn.XLOOKUP(E144,'All Products'!D:D,'All Products'!Q:Q,FALSE)</f>
        <v>0.65</v>
      </c>
      <c r="X144" s="331"/>
      <c r="Y144" s="331"/>
    </row>
    <row r="145" spans="1:25" ht="15" customHeight="1">
      <c r="A145" s="101" t="str">
        <f>IF(K145&gt;0,COUNT($A$8:A144)
+COUNT('DWV PVC'!$A$9:$A$316)
+COUNT('DWV ABS'!$A$8:$A$116)
+COUNT('PVC SCH40'!$A$8:$A$424)
+COUNT('PVC SCH40 LD'!$A$8:$A$21)
+COUNT('Pool &amp; SPA Sweep Elbows'!$A$8:$A$11)
+COUNT('Pool &amp; SPA Pipe Extender'!$A$8:$A$10)
+COUNT('PVC SCH80'!$A$8:$A$249)
+COUNT('PVC SCH80 Flange'!$A$8:$A$48)
+COUNT('PVC SCH80 LD Flange'!$A$8:$A$16)
+COUNT(CPVC!$A$9:$A$104)+1,"")</f>
        <v/>
      </c>
      <c r="B145" s="610"/>
      <c r="C145" s="611"/>
      <c r="D145" s="443" t="str">
        <f>_xlfn.XLOOKUP(E145,'All Products'!D:D,'All Products'!C:C,FALSE)</f>
        <v>1432-168</v>
      </c>
      <c r="E145" s="103">
        <v>100022098</v>
      </c>
      <c r="F145" s="236" t="str">
        <f>_xlfn.XLOOKUP(E145,'All Products'!D:D,'All Products'!E:E,FALSE)</f>
        <v>1-1/4X1 FTG ADAP SPG/INS</v>
      </c>
      <c r="G145" s="153">
        <f>_xlfn.XLOOKUP(E145,'All Products'!D:D,'All Products'!F:F,FALSE)</f>
        <v>100</v>
      </c>
      <c r="H145" s="153">
        <f>_xlfn.XLOOKUP(E145,'All Products'!D:D,'All Products'!G:G,FALSE)</f>
        <v>7500</v>
      </c>
      <c r="I145" s="372">
        <f>_xlfn.XLOOKUP(E145,'All Products'!D:D,'All Products'!H:H)</f>
        <v>10.38</v>
      </c>
      <c r="J145" s="256">
        <f>ROUNDUP(I145*Order_Quote!$L$12,2)</f>
        <v>10.38</v>
      </c>
      <c r="K145" s="75"/>
      <c r="L145" s="168"/>
      <c r="M145" s="171">
        <f t="shared" si="9"/>
        <v>0</v>
      </c>
      <c r="O145" s="247" t="str">
        <f>_xlfn.XLOOKUP(E145,'All Products'!D:D,'All Products'!I:I,FALSE)</f>
        <v>Within 3 Weeks</v>
      </c>
      <c r="P145" s="247" t="str">
        <f>_xlfn.XLOOKUP(E145,'All Products'!D:D,'All Products'!J:J,FALSE)</f>
        <v>Manufactured</v>
      </c>
      <c r="Q145" s="508">
        <f>_xlfn.XLOOKUP(E145,'All Products'!D:D,'All Products'!K:K,FALSE)</f>
        <v>49081104801</v>
      </c>
      <c r="R145" s="508">
        <f>_xlfn.XLOOKUP(E145,'All Products'!D:D,'All Products'!L:L,FALSE)</f>
        <v>49081604806</v>
      </c>
      <c r="S145" s="508">
        <f>_xlfn.XLOOKUP(E145,'All Products'!D:D,'All Products'!M:M,FALSE)</f>
        <v>40049081104809</v>
      </c>
      <c r="T145" s="264">
        <f>_xlfn.XLOOKUP(E145,'All Products'!D:D,'All Products'!N:N,FALSE)</f>
        <v>9.9000000000000005E-2</v>
      </c>
      <c r="U145" s="215">
        <f>_xlfn.XLOOKUP(E145,'All Products'!D:D,'All Products'!O:O,FALSE)</f>
        <v>10</v>
      </c>
      <c r="V145" s="265">
        <f>_xlfn.XLOOKUP(E145,'All Products'!D:D,'All Products'!P:P,FALSE)</f>
        <v>10.31</v>
      </c>
      <c r="W145" s="265">
        <f>_xlfn.XLOOKUP(E145,'All Products'!D:D,'All Products'!Q:Q,FALSE)</f>
        <v>0.65</v>
      </c>
      <c r="X145" s="331"/>
      <c r="Y145" s="331"/>
    </row>
    <row r="146" spans="1:25" ht="15" customHeight="1">
      <c r="A146" s="101" t="str">
        <f>IF(K146&gt;0,COUNT($A$8:A145)
+COUNT('DWV PVC'!$A$9:$A$316)
+COUNT('DWV ABS'!$A$8:$A$116)
+COUNT('PVC SCH40'!$A$8:$A$424)
+COUNT('PVC SCH40 LD'!$A$8:$A$21)
+COUNT('Pool &amp; SPA Sweep Elbows'!$A$8:$A$11)
+COUNT('Pool &amp; SPA Pipe Extender'!$A$8:$A$10)
+COUNT('PVC SCH80'!$A$8:$A$249)
+COUNT('PVC SCH80 Flange'!$A$8:$A$48)
+COUNT('PVC SCH80 LD Flange'!$A$8:$A$16)
+COUNT(CPVC!$A$9:$A$104)+1,"")</f>
        <v/>
      </c>
      <c r="B146" s="610"/>
      <c r="C146" s="611"/>
      <c r="D146" s="443" t="str">
        <f>_xlfn.XLOOKUP(E146,'All Products'!D:D,'All Products'!C:C,FALSE)</f>
        <v>1432-211</v>
      </c>
      <c r="E146" s="103">
        <v>100022101</v>
      </c>
      <c r="F146" s="236" t="str">
        <f>_xlfn.XLOOKUP(E146,'All Products'!D:D,'All Products'!E:E,FALSE)</f>
        <v>1-1/2X1 FTG ADAP SPG/INS</v>
      </c>
      <c r="G146" s="153">
        <f>_xlfn.XLOOKUP(E146,'All Products'!D:D,'All Products'!F:F,FALSE)</f>
        <v>50</v>
      </c>
      <c r="H146" s="153">
        <f>_xlfn.XLOOKUP(E146,'All Products'!D:D,'All Products'!G:G,FALSE)</f>
        <v>4500</v>
      </c>
      <c r="I146" s="372">
        <f>_xlfn.XLOOKUP(E146,'All Products'!D:D,'All Products'!H:H)</f>
        <v>11.88</v>
      </c>
      <c r="J146" s="256">
        <f>ROUNDUP(I146*Order_Quote!$L$12,2)</f>
        <v>11.88</v>
      </c>
      <c r="K146" s="75"/>
      <c r="L146" s="168"/>
      <c r="M146" s="171">
        <f t="shared" si="9"/>
        <v>0</v>
      </c>
      <c r="O146" s="247" t="str">
        <f>_xlfn.XLOOKUP(E146,'All Products'!D:D,'All Products'!I:I,FALSE)</f>
        <v>In Stock</v>
      </c>
      <c r="P146" s="247" t="str">
        <f>_xlfn.XLOOKUP(E146,'All Products'!D:D,'All Products'!J:J,FALSE)</f>
        <v>Manufactured</v>
      </c>
      <c r="Q146" s="508">
        <f>_xlfn.XLOOKUP(E146,'All Products'!D:D,'All Products'!K:K,FALSE)</f>
        <v>49081104863</v>
      </c>
      <c r="R146" s="508">
        <f>_xlfn.XLOOKUP(E146,'All Products'!D:D,'All Products'!L:L,FALSE)</f>
        <v>49081604868</v>
      </c>
      <c r="S146" s="508">
        <f>_xlfn.XLOOKUP(E146,'All Products'!D:D,'All Products'!M:M,FALSE)</f>
        <v>40049081104861</v>
      </c>
      <c r="T146" s="264">
        <f>_xlfn.XLOOKUP(E146,'All Products'!D:D,'All Products'!N:N,FALSE)</f>
        <v>0.114</v>
      </c>
      <c r="U146" s="215">
        <f>_xlfn.XLOOKUP(E146,'All Products'!D:D,'All Products'!O:O,FALSE)</f>
        <v>5</v>
      </c>
      <c r="V146" s="265">
        <f>_xlfn.XLOOKUP(E146,'All Products'!D:D,'All Products'!P:P,FALSE)</f>
        <v>5.61</v>
      </c>
      <c r="W146" s="265">
        <f>_xlfn.XLOOKUP(E146,'All Products'!D:D,'All Products'!Q:Q,FALSE)</f>
        <v>0.5</v>
      </c>
      <c r="X146" s="331"/>
      <c r="Y146" s="331"/>
    </row>
    <row r="147" spans="1:25" ht="15" customHeight="1">
      <c r="A147" s="101" t="str">
        <f>IF(K147&gt;0,COUNT($A$8:A146)
+COUNT('DWV PVC'!$A$9:$A$316)
+COUNT('DWV ABS'!$A$8:$A$116)
+COUNT('PVC SCH40'!$A$8:$A$424)
+COUNT('PVC SCH40 LD'!$A$8:$A$21)
+COUNT('Pool &amp; SPA Sweep Elbows'!$A$8:$A$11)
+COUNT('Pool &amp; SPA Pipe Extender'!$A$8:$A$10)
+COUNT('PVC SCH80'!$A$8:$A$249)
+COUNT('PVC SCH80 Flange'!$A$8:$A$48)
+COUNT('PVC SCH80 LD Flange'!$A$8:$A$16)
+COUNT(CPVC!$A$9:$A$104)+1,"")</f>
        <v/>
      </c>
      <c r="B147" s="612"/>
      <c r="C147" s="613"/>
      <c r="D147" s="443" t="str">
        <f>_xlfn.XLOOKUP(E147,'All Products'!D:D,'All Products'!C:C,FALSE)</f>
        <v>1432-212</v>
      </c>
      <c r="E147" s="103">
        <v>100022102</v>
      </c>
      <c r="F147" s="236" t="str">
        <f>_xlfn.XLOOKUP(E147,'All Products'!D:D,'All Products'!E:E,FALSE)</f>
        <v>1-1/2X1-1/4 FTG ADAP SPG/INS</v>
      </c>
      <c r="G147" s="153">
        <f>_xlfn.XLOOKUP(E147,'All Products'!D:D,'All Products'!F:F,FALSE)</f>
        <v>50</v>
      </c>
      <c r="H147" s="153">
        <f>_xlfn.XLOOKUP(E147,'All Products'!D:D,'All Products'!G:G,FALSE)</f>
        <v>4500</v>
      </c>
      <c r="I147" s="372">
        <f>_xlfn.XLOOKUP(E147,'All Products'!D:D,'All Products'!H:H)</f>
        <v>11.88</v>
      </c>
      <c r="J147" s="256">
        <f>ROUNDUP(I147*Order_Quote!$L$12,2)</f>
        <v>11.88</v>
      </c>
      <c r="K147" s="75"/>
      <c r="L147" s="168"/>
      <c r="M147" s="171">
        <f t="shared" si="9"/>
        <v>0</v>
      </c>
      <c r="O147" s="247" t="str">
        <f>_xlfn.XLOOKUP(E147,'All Products'!D:D,'All Products'!I:I,FALSE)</f>
        <v>In Stock</v>
      </c>
      <c r="P147" s="247" t="str">
        <f>_xlfn.XLOOKUP(E147,'All Products'!D:D,'All Products'!J:J,FALSE)</f>
        <v>Manufactured</v>
      </c>
      <c r="Q147" s="508">
        <f>_xlfn.XLOOKUP(E147,'All Products'!D:D,'All Products'!K:K,FALSE)</f>
        <v>49081104887</v>
      </c>
      <c r="R147" s="508">
        <f>_xlfn.XLOOKUP(E147,'All Products'!D:D,'All Products'!L:L,FALSE)</f>
        <v>49081604882</v>
      </c>
      <c r="S147" s="508">
        <f>_xlfn.XLOOKUP(E147,'All Products'!D:D,'All Products'!M:M,FALSE)</f>
        <v>40049081104885</v>
      </c>
      <c r="T147" s="264">
        <f>_xlfn.XLOOKUP(E147,'All Products'!D:D,'All Products'!N:N,FALSE)</f>
        <v>0.11</v>
      </c>
      <c r="U147" s="215">
        <f>_xlfn.XLOOKUP(E147,'All Products'!D:D,'All Products'!O:O,FALSE)</f>
        <v>5</v>
      </c>
      <c r="V147" s="265">
        <f>_xlfn.XLOOKUP(E147,'All Products'!D:D,'All Products'!P:P,FALSE)</f>
        <v>6.3</v>
      </c>
      <c r="W147" s="265">
        <f>_xlfn.XLOOKUP(E147,'All Products'!D:D,'All Products'!Q:Q,FALSE)</f>
        <v>0.5</v>
      </c>
      <c r="X147" s="331"/>
      <c r="Y147" s="331"/>
    </row>
    <row r="148" spans="1:25" ht="15" customHeight="1">
      <c r="A148" s="101" t="str">
        <f>IF(K148&gt;0,COUNT($A$8:A147)
+COUNT('DWV PVC'!$A$9:$A$316)
+COUNT('DWV ABS'!$A$8:$A$116)
+COUNT('PVC SCH40'!$A$8:$A$424)
+COUNT('PVC SCH40 LD'!$A$8:$A$21)
+COUNT('Pool &amp; SPA Sweep Elbows'!$A$8:$A$11)
+COUNT('Pool &amp; SPA Pipe Extender'!$A$8:$A$10)
+COUNT('PVC SCH80'!$A$8:$A$249)
+COUNT('PVC SCH80 Flange'!$A$8:$A$48)
+COUNT('PVC SCH80 LD Flange'!$A$8:$A$16)
+COUNT(CPVC!$A$9:$A$104)+1,"")</f>
        <v/>
      </c>
      <c r="B148" s="437" t="s">
        <v>5765</v>
      </c>
      <c r="C148" s="333"/>
      <c r="D148" s="333"/>
      <c r="E148" s="253"/>
      <c r="F148" s="333"/>
      <c r="G148" s="253"/>
      <c r="H148" s="253"/>
      <c r="I148" s="373"/>
      <c r="J148" s="258"/>
      <c r="K148" s="336"/>
      <c r="L148" s="253"/>
      <c r="M148" s="254"/>
      <c r="O148" s="337"/>
      <c r="P148" s="253"/>
      <c r="Q148" s="510"/>
      <c r="R148" s="510"/>
      <c r="S148" s="510"/>
      <c r="T148" s="253"/>
      <c r="U148" s="253"/>
      <c r="V148" s="253"/>
      <c r="W148" s="529"/>
    </row>
    <row r="149" spans="1:25" ht="15" customHeight="1">
      <c r="A149" s="101" t="str">
        <f>IF(K149&gt;0,COUNT($A$8:A148)
+COUNT('DWV PVC'!$A$9:$A$316)
+COUNT('DWV ABS'!$A$8:$A$116)
+COUNT('PVC SCH40'!$A$8:$A$424)
+COUNT('PVC SCH40 LD'!$A$8:$A$21)
+COUNT('Pool &amp; SPA Sweep Elbows'!$A$8:$A$11)
+COUNT('Pool &amp; SPA Pipe Extender'!$A$8:$A$10)
+COUNT('PVC SCH80'!$A$8:$A$249)
+COUNT('PVC SCH80 Flange'!$A$8:$A$48)
+COUNT('PVC SCH80 LD Flange'!$A$8:$A$16)
+COUNT(CPVC!$A$9:$A$104)+1,"")</f>
        <v/>
      </c>
      <c r="B149" s="670"/>
      <c r="C149" s="671"/>
      <c r="D149" s="443" t="str">
        <f>_xlfn.XLOOKUP(E149,'All Products'!D:D,'All Products'!C:C,FALSE)</f>
        <v>1435-005</v>
      </c>
      <c r="E149" s="153">
        <v>100022104</v>
      </c>
      <c r="F149" s="236" t="str">
        <f>_xlfn.XLOOKUP(E149,'All Products'!D:D,'All Products'!E:E,FALSE)</f>
        <v>1/2 FA INSERT</v>
      </c>
      <c r="G149" s="153">
        <f>_xlfn.XLOOKUP(E149,'All Products'!D:D,'All Products'!F:F,FALSE)</f>
        <v>250</v>
      </c>
      <c r="H149" s="153">
        <f>_xlfn.XLOOKUP(E149,'All Products'!D:D,'All Products'!G:G,FALSE)</f>
        <v>33000</v>
      </c>
      <c r="I149" s="371">
        <f>_xlfn.XLOOKUP(E149,'All Products'!D:D,'All Products'!H:H)</f>
        <v>10.74</v>
      </c>
      <c r="J149" s="256">
        <f>ROUNDUP(I149*Order_Quote!$L$12,2)</f>
        <v>10.74</v>
      </c>
      <c r="K149" s="161"/>
      <c r="L149" s="166"/>
      <c r="M149" s="243">
        <f t="shared" ref="M149:M154" si="10">K149/G149</f>
        <v>0</v>
      </c>
      <c r="O149" s="247" t="str">
        <f>_xlfn.XLOOKUP(E149,'All Products'!D:D,'All Products'!I:I,FALSE)</f>
        <v>In Stock</v>
      </c>
      <c r="P149" s="247" t="str">
        <f>_xlfn.XLOOKUP(E149,'All Products'!D:D,'All Products'!J:J,FALSE)</f>
        <v>Manufactured</v>
      </c>
      <c r="Q149" s="508">
        <f>_xlfn.XLOOKUP(E149,'All Products'!D:D,'All Products'!K:K,FALSE)</f>
        <v>49081105006</v>
      </c>
      <c r="R149" s="508">
        <f>_xlfn.XLOOKUP(E149,'All Products'!D:D,'All Products'!L:L,FALSE)</f>
        <v>49081605001</v>
      </c>
      <c r="S149" s="508">
        <f>_xlfn.XLOOKUP(E149,'All Products'!D:D,'All Products'!M:M,FALSE)</f>
        <v>40049081105004</v>
      </c>
      <c r="T149" s="264">
        <f>_xlfn.XLOOKUP(E149,'All Products'!D:D,'All Products'!N:N,FALSE)</f>
        <v>3.5000000000000003E-2</v>
      </c>
      <c r="U149" s="215">
        <f>_xlfn.XLOOKUP(E149,'All Products'!D:D,'All Products'!O:O,FALSE)</f>
        <v>10</v>
      </c>
      <c r="V149" s="265">
        <f>_xlfn.XLOOKUP(E149,'All Products'!D:D,'All Products'!P:P,FALSE)</f>
        <v>9.43</v>
      </c>
      <c r="W149" s="265">
        <f>_xlfn.XLOOKUP(E149,'All Products'!D:D,'All Products'!Q:Q,FALSE)</f>
        <v>0.5</v>
      </c>
      <c r="X149" s="331"/>
      <c r="Y149" s="331"/>
    </row>
    <row r="150" spans="1:25" ht="15" customHeight="1">
      <c r="A150" s="101" t="str">
        <f>IF(K150&gt;0,COUNT($A$8:A149)
+COUNT('DWV PVC'!$A$9:$A$316)
+COUNT('DWV ABS'!$A$8:$A$116)
+COUNT('PVC SCH40'!$A$8:$A$424)
+COUNT('PVC SCH40 LD'!$A$8:$A$21)
+COUNT('Pool &amp; SPA Sweep Elbows'!$A$8:$A$11)
+COUNT('Pool &amp; SPA Pipe Extender'!$A$8:$A$10)
+COUNT('PVC SCH80'!$A$8:$A$249)
+COUNT('PVC SCH80 Flange'!$A$8:$A$48)
+COUNT('PVC SCH80 LD Flange'!$A$8:$A$16)
+COUNT(CPVC!$A$9:$A$104)+1,"")</f>
        <v/>
      </c>
      <c r="B150" s="672"/>
      <c r="C150" s="673"/>
      <c r="D150" s="443" t="str">
        <f>_xlfn.XLOOKUP(E150,'All Products'!D:D,'All Products'!C:C,FALSE)</f>
        <v>1435-007</v>
      </c>
      <c r="E150" s="103">
        <v>100022106</v>
      </c>
      <c r="F150" s="236" t="str">
        <f>_xlfn.XLOOKUP(E150,'All Products'!D:D,'All Products'!E:E,FALSE)</f>
        <v>3/4 FA INSERT</v>
      </c>
      <c r="G150" s="153">
        <f>_xlfn.XLOOKUP(E150,'All Products'!D:D,'All Products'!F:F,FALSE)</f>
        <v>250</v>
      </c>
      <c r="H150" s="153">
        <f>_xlfn.XLOOKUP(E150,'All Products'!D:D,'All Products'!G:G,FALSE)</f>
        <v>21000</v>
      </c>
      <c r="I150" s="372">
        <f>_xlfn.XLOOKUP(E150,'All Products'!D:D,'All Products'!H:H)</f>
        <v>11.67</v>
      </c>
      <c r="J150" s="256">
        <f>ROUNDUP(I150*Order_Quote!$L$12,2)</f>
        <v>11.67</v>
      </c>
      <c r="K150" s="75"/>
      <c r="L150" s="166"/>
      <c r="M150" s="171">
        <f t="shared" si="10"/>
        <v>0</v>
      </c>
      <c r="O150" s="247" t="str">
        <f>_xlfn.XLOOKUP(E150,'All Products'!D:D,'All Products'!I:I,FALSE)</f>
        <v>In Stock</v>
      </c>
      <c r="P150" s="247" t="str">
        <f>_xlfn.XLOOKUP(E150,'All Products'!D:D,'All Products'!J:J,FALSE)</f>
        <v>Manufactured</v>
      </c>
      <c r="Q150" s="508">
        <f>_xlfn.XLOOKUP(E150,'All Products'!D:D,'All Products'!K:K,FALSE)</f>
        <v>49081105013</v>
      </c>
      <c r="R150" s="508">
        <f>_xlfn.XLOOKUP(E150,'All Products'!D:D,'All Products'!L:L,FALSE)</f>
        <v>49081605018</v>
      </c>
      <c r="S150" s="508">
        <f>_xlfn.XLOOKUP(E150,'All Products'!D:D,'All Products'!M:M,FALSE)</f>
        <v>40049081105011</v>
      </c>
      <c r="T150" s="264">
        <f>_xlfn.XLOOKUP(E150,'All Products'!D:D,'All Products'!N:N,FALSE)</f>
        <v>4.9000000000000002E-2</v>
      </c>
      <c r="U150" s="215">
        <f>_xlfn.XLOOKUP(E150,'All Products'!D:D,'All Products'!O:O,FALSE)</f>
        <v>10</v>
      </c>
      <c r="V150" s="265">
        <f>_xlfn.XLOOKUP(E150,'All Products'!D:D,'All Products'!P:P,FALSE)</f>
        <v>12.32</v>
      </c>
      <c r="W150" s="265">
        <f>_xlfn.XLOOKUP(E150,'All Products'!D:D,'All Products'!Q:Q,FALSE)</f>
        <v>0.8</v>
      </c>
      <c r="X150" s="331"/>
      <c r="Y150" s="331"/>
    </row>
    <row r="151" spans="1:25" ht="15" customHeight="1">
      <c r="A151" s="101" t="str">
        <f>IF(K151&gt;0,COUNT($A$8:A150)
+COUNT('DWV PVC'!$A$9:$A$316)
+COUNT('DWV ABS'!$A$8:$A$116)
+COUNT('PVC SCH40'!$A$8:$A$424)
+COUNT('PVC SCH40 LD'!$A$8:$A$21)
+COUNT('Pool &amp; SPA Sweep Elbows'!$A$8:$A$11)
+COUNT('Pool &amp; SPA Pipe Extender'!$A$8:$A$10)
+COUNT('PVC SCH80'!$A$8:$A$249)
+COUNT('PVC SCH80 Flange'!$A$8:$A$48)
+COUNT('PVC SCH80 LD Flange'!$A$8:$A$16)
+COUNT(CPVC!$A$9:$A$104)+1,"")</f>
        <v/>
      </c>
      <c r="B151" s="672"/>
      <c r="C151" s="673"/>
      <c r="D151" s="443" t="str">
        <f>_xlfn.XLOOKUP(E151,'All Products'!D:D,'All Products'!C:C,FALSE)</f>
        <v>1435-010</v>
      </c>
      <c r="E151" s="103">
        <v>100022108</v>
      </c>
      <c r="F151" s="236" t="str">
        <f>_xlfn.XLOOKUP(E151,'All Products'!D:D,'All Products'!E:E,FALSE)</f>
        <v>1 FA INSERT</v>
      </c>
      <c r="G151" s="153">
        <f>_xlfn.XLOOKUP(E151,'All Products'!D:D,'All Products'!F:F,FALSE)</f>
        <v>100</v>
      </c>
      <c r="H151" s="153">
        <f>_xlfn.XLOOKUP(E151,'All Products'!D:D,'All Products'!G:G,FALSE)</f>
        <v>7500</v>
      </c>
      <c r="I151" s="372">
        <f>_xlfn.XLOOKUP(E151,'All Products'!D:D,'All Products'!H:H)</f>
        <v>12.98</v>
      </c>
      <c r="J151" s="256">
        <f>ROUNDUP(I151*Order_Quote!$L$12,2)</f>
        <v>12.98</v>
      </c>
      <c r="K151" s="75"/>
      <c r="L151" s="166"/>
      <c r="M151" s="171">
        <f t="shared" si="10"/>
        <v>0</v>
      </c>
      <c r="O151" s="247" t="str">
        <f>_xlfn.XLOOKUP(E151,'All Products'!D:D,'All Products'!I:I,FALSE)</f>
        <v>In Stock</v>
      </c>
      <c r="P151" s="247" t="str">
        <f>_xlfn.XLOOKUP(E151,'All Products'!D:D,'All Products'!J:J,FALSE)</f>
        <v>Manufactured</v>
      </c>
      <c r="Q151" s="508">
        <f>_xlfn.XLOOKUP(E151,'All Products'!D:D,'All Products'!K:K,FALSE)</f>
        <v>49081105020</v>
      </c>
      <c r="R151" s="508">
        <f>_xlfn.XLOOKUP(E151,'All Products'!D:D,'All Products'!L:L,FALSE)</f>
        <v>49081605025</v>
      </c>
      <c r="S151" s="508">
        <f>_xlfn.XLOOKUP(E151,'All Products'!D:D,'All Products'!M:M,FALSE)</f>
        <v>40049081105028</v>
      </c>
      <c r="T151" s="264">
        <f>_xlfn.XLOOKUP(E151,'All Products'!D:D,'All Products'!N:N,FALSE)</f>
        <v>8.6999999999999994E-2</v>
      </c>
      <c r="U151" s="215">
        <f>_xlfn.XLOOKUP(E151,'All Products'!D:D,'All Products'!O:O,FALSE)</f>
        <v>10</v>
      </c>
      <c r="V151" s="265">
        <f>_xlfn.XLOOKUP(E151,'All Products'!D:D,'All Products'!P:P,FALSE)</f>
        <v>9.15</v>
      </c>
      <c r="W151" s="265">
        <f>_xlfn.XLOOKUP(E151,'All Products'!D:D,'All Products'!Q:Q,FALSE)</f>
        <v>0.65</v>
      </c>
      <c r="X151" s="331"/>
      <c r="Y151" s="331"/>
    </row>
    <row r="152" spans="1:25" ht="15" customHeight="1">
      <c r="A152" s="101" t="str">
        <f>IF(K152&gt;0,COUNT($A$8:A151)
+COUNT('DWV PVC'!$A$9:$A$316)
+COUNT('DWV ABS'!$A$8:$A$116)
+COUNT('PVC SCH40'!$A$8:$A$424)
+COUNT('PVC SCH40 LD'!$A$8:$A$21)
+COUNT('Pool &amp; SPA Sweep Elbows'!$A$8:$A$11)
+COUNT('Pool &amp; SPA Pipe Extender'!$A$8:$A$10)
+COUNT('PVC SCH80'!$A$8:$A$249)
+COUNT('PVC SCH80 Flange'!$A$8:$A$48)
+COUNT('PVC SCH80 LD Flange'!$A$8:$A$16)
+COUNT(CPVC!$A$9:$A$104)+1,"")</f>
        <v/>
      </c>
      <c r="B152" s="672"/>
      <c r="C152" s="673"/>
      <c r="D152" s="443" t="str">
        <f>_xlfn.XLOOKUP(E152,'All Products'!D:D,'All Products'!C:C,FALSE)</f>
        <v>1435-012</v>
      </c>
      <c r="E152" s="103">
        <v>100022109</v>
      </c>
      <c r="F152" s="236" t="str">
        <f>_xlfn.XLOOKUP(E152,'All Products'!D:D,'All Products'!E:E,FALSE)</f>
        <v>1-1/4 FA INSERT</v>
      </c>
      <c r="G152" s="153">
        <f>_xlfn.XLOOKUP(E152,'All Products'!D:D,'All Products'!F:F,FALSE)</f>
        <v>50</v>
      </c>
      <c r="H152" s="153">
        <f>_xlfn.XLOOKUP(E152,'All Products'!D:D,'All Products'!G:G,FALSE)</f>
        <v>4500</v>
      </c>
      <c r="I152" s="372">
        <f>_xlfn.XLOOKUP(E152,'All Products'!D:D,'All Products'!H:H)</f>
        <v>15.9</v>
      </c>
      <c r="J152" s="256">
        <f>ROUNDUP(I152*Order_Quote!$L$12,2)</f>
        <v>15.9</v>
      </c>
      <c r="K152" s="75"/>
      <c r="L152" s="166"/>
      <c r="M152" s="171">
        <f t="shared" si="10"/>
        <v>0</v>
      </c>
      <c r="O152" s="247" t="str">
        <f>_xlfn.XLOOKUP(E152,'All Products'!D:D,'All Products'!I:I,FALSE)</f>
        <v>Within 3 Weeks</v>
      </c>
      <c r="P152" s="247" t="str">
        <f>_xlfn.XLOOKUP(E152,'All Products'!D:D,'All Products'!J:J,FALSE)</f>
        <v>Manufactured</v>
      </c>
      <c r="Q152" s="508">
        <f>_xlfn.XLOOKUP(E152,'All Products'!D:D,'All Products'!K:K,FALSE)</f>
        <v>49081105037</v>
      </c>
      <c r="R152" s="508">
        <f>_xlfn.XLOOKUP(E152,'All Products'!D:D,'All Products'!L:L,FALSE)</f>
        <v>49081605032</v>
      </c>
      <c r="S152" s="508">
        <f>_xlfn.XLOOKUP(E152,'All Products'!D:D,'All Products'!M:M,FALSE)</f>
        <v>40049081105035</v>
      </c>
      <c r="T152" s="264">
        <f>_xlfn.XLOOKUP(E152,'All Products'!D:D,'All Products'!N:N,FALSE)</f>
        <v>0.11600000000000001</v>
      </c>
      <c r="U152" s="215">
        <f>_xlfn.XLOOKUP(E152,'All Products'!D:D,'All Products'!O:O,FALSE)</f>
        <v>5</v>
      </c>
      <c r="V152" s="265">
        <f>_xlfn.XLOOKUP(E152,'All Products'!D:D,'All Products'!P:P,FALSE)</f>
        <v>6.66</v>
      </c>
      <c r="W152" s="265">
        <f>_xlfn.XLOOKUP(E152,'All Products'!D:D,'All Products'!Q:Q,FALSE)</f>
        <v>0.5</v>
      </c>
      <c r="X152" s="331"/>
      <c r="Y152" s="331"/>
    </row>
    <row r="153" spans="1:25" ht="15" customHeight="1">
      <c r="A153" s="101" t="str">
        <f>IF(K153&gt;0,COUNT($A$8:A152)
+COUNT('DWV PVC'!$A$9:$A$316)
+COUNT('DWV ABS'!$A$8:$A$116)
+COUNT('PVC SCH40'!$A$8:$A$424)
+COUNT('PVC SCH40 LD'!$A$8:$A$21)
+COUNT('Pool &amp; SPA Sweep Elbows'!$A$8:$A$11)
+COUNT('Pool &amp; SPA Pipe Extender'!$A$8:$A$10)
+COUNT('PVC SCH80'!$A$8:$A$249)
+COUNT('PVC SCH80 Flange'!$A$8:$A$48)
+COUNT('PVC SCH80 LD Flange'!$A$8:$A$16)
+COUNT(CPVC!$A$9:$A$104)+1,"")</f>
        <v/>
      </c>
      <c r="B153" s="672"/>
      <c r="C153" s="673"/>
      <c r="D153" s="443" t="str">
        <f>_xlfn.XLOOKUP(E153,'All Products'!D:D,'All Products'!C:C,FALSE)</f>
        <v>1435-015</v>
      </c>
      <c r="E153" s="103">
        <v>100022110</v>
      </c>
      <c r="F153" s="236" t="str">
        <f>_xlfn.XLOOKUP(E153,'All Products'!D:D,'All Products'!E:E,FALSE)</f>
        <v>1-1/2 FA INSERT</v>
      </c>
      <c r="G153" s="153">
        <f>_xlfn.XLOOKUP(E153,'All Products'!D:D,'All Products'!F:F,FALSE)</f>
        <v>50</v>
      </c>
      <c r="H153" s="153">
        <f>_xlfn.XLOOKUP(E153,'All Products'!D:D,'All Products'!G:G,FALSE)</f>
        <v>3750</v>
      </c>
      <c r="I153" s="372">
        <f>_xlfn.XLOOKUP(E153,'All Products'!D:D,'All Products'!H:H)</f>
        <v>20.21</v>
      </c>
      <c r="J153" s="256">
        <f>ROUNDUP(I153*Order_Quote!$L$12,2)</f>
        <v>20.21</v>
      </c>
      <c r="K153" s="75"/>
      <c r="L153" s="166"/>
      <c r="M153" s="171">
        <f t="shared" si="10"/>
        <v>0</v>
      </c>
      <c r="O153" s="247" t="str">
        <f>_xlfn.XLOOKUP(E153,'All Products'!D:D,'All Products'!I:I,FALSE)</f>
        <v>In Stock</v>
      </c>
      <c r="P153" s="247" t="str">
        <f>_xlfn.XLOOKUP(E153,'All Products'!D:D,'All Products'!J:J,FALSE)</f>
        <v>Manufactured</v>
      </c>
      <c r="Q153" s="508">
        <f>_xlfn.XLOOKUP(E153,'All Products'!D:D,'All Products'!K:K,FALSE)</f>
        <v>49081105044</v>
      </c>
      <c r="R153" s="508">
        <f>_xlfn.XLOOKUP(E153,'All Products'!D:D,'All Products'!L:L,FALSE)</f>
        <v>49081605049</v>
      </c>
      <c r="S153" s="508">
        <f>_xlfn.XLOOKUP(E153,'All Products'!D:D,'All Products'!M:M,FALSE)</f>
        <v>40049081105042</v>
      </c>
      <c r="T153" s="264">
        <f>_xlfn.XLOOKUP(E153,'All Products'!D:D,'All Products'!N:N,FALSE)</f>
        <v>0.14199999999999999</v>
      </c>
      <c r="U153" s="215">
        <f>_xlfn.XLOOKUP(E153,'All Products'!D:D,'All Products'!O:O,FALSE)</f>
        <v>5</v>
      </c>
      <c r="V153" s="265">
        <f>_xlfn.XLOOKUP(E153,'All Products'!D:D,'All Products'!P:P,FALSE)</f>
        <v>7.92</v>
      </c>
      <c r="W153" s="265">
        <f>_xlfn.XLOOKUP(E153,'All Products'!D:D,'All Products'!Q:Q,FALSE)</f>
        <v>0.65</v>
      </c>
      <c r="X153" s="331"/>
      <c r="Y153" s="331"/>
    </row>
    <row r="154" spans="1:25" ht="15" customHeight="1">
      <c r="A154" s="101" t="str">
        <f>IF(K154&gt;0,COUNT($A$8:A153)
+COUNT('DWV PVC'!$A$9:$A$316)
+COUNT('DWV ABS'!$A$8:$A$116)
+COUNT('PVC SCH40'!$A$8:$A$424)
+COUNT('PVC SCH40 LD'!$A$8:$A$21)
+COUNT('Pool &amp; SPA Sweep Elbows'!$A$8:$A$11)
+COUNT('Pool &amp; SPA Pipe Extender'!$A$8:$A$10)
+COUNT('PVC SCH80'!$A$8:$A$249)
+COUNT('PVC SCH80 Flange'!$A$8:$A$48)
+COUNT('PVC SCH80 LD Flange'!$A$8:$A$16)
+COUNT(CPVC!$A$9:$A$104)+1,"")</f>
        <v/>
      </c>
      <c r="B154" s="674"/>
      <c r="C154" s="675"/>
      <c r="D154" s="443" t="str">
        <f>_xlfn.XLOOKUP(E154,'All Products'!D:D,'All Products'!C:C,FALSE)</f>
        <v>1435-020</v>
      </c>
      <c r="E154" s="103">
        <v>100022111</v>
      </c>
      <c r="F154" s="236" t="str">
        <f>_xlfn.XLOOKUP(E154,'All Products'!D:D,'All Products'!E:E,FALSE)</f>
        <v>2 FA INSERT</v>
      </c>
      <c r="G154" s="153">
        <f>_xlfn.XLOOKUP(E154,'All Products'!D:D,'All Products'!F:F,FALSE)</f>
        <v>25</v>
      </c>
      <c r="H154" s="153">
        <f>_xlfn.XLOOKUP(E154,'All Products'!D:D,'All Products'!G:G,FALSE)</f>
        <v>2250</v>
      </c>
      <c r="I154" s="372">
        <f>_xlfn.XLOOKUP(E154,'All Products'!D:D,'All Products'!H:H)</f>
        <v>34.130000000000003</v>
      </c>
      <c r="J154" s="256">
        <f>ROUNDUP(I154*Order_Quote!$L$12,2)</f>
        <v>34.130000000000003</v>
      </c>
      <c r="K154" s="75"/>
      <c r="L154" s="245"/>
      <c r="M154" s="171">
        <f t="shared" si="10"/>
        <v>0</v>
      </c>
      <c r="O154" s="247" t="str">
        <f>_xlfn.XLOOKUP(E154,'All Products'!D:D,'All Products'!I:I,FALSE)</f>
        <v>In Stock</v>
      </c>
      <c r="P154" s="247" t="str">
        <f>_xlfn.XLOOKUP(E154,'All Products'!D:D,'All Products'!J:J,FALSE)</f>
        <v>Manufactured</v>
      </c>
      <c r="Q154" s="508">
        <f>_xlfn.XLOOKUP(E154,'All Products'!D:D,'All Products'!K:K,FALSE)</f>
        <v>49081105051</v>
      </c>
      <c r="R154" s="508">
        <f>_xlfn.XLOOKUP(E154,'All Products'!D:D,'All Products'!L:L,FALSE)</f>
        <v>49081605056</v>
      </c>
      <c r="S154" s="508">
        <f>_xlfn.XLOOKUP(E154,'All Products'!D:D,'All Products'!M:M,FALSE)</f>
        <v>40049081105059</v>
      </c>
      <c r="T154" s="264">
        <f>_xlfn.XLOOKUP(E154,'All Products'!D:D,'All Products'!N:N,FALSE)</f>
        <v>0.189</v>
      </c>
      <c r="U154" s="215">
        <f>_xlfn.XLOOKUP(E154,'All Products'!D:D,'All Products'!O:O,FALSE)</f>
        <v>5</v>
      </c>
      <c r="V154" s="265">
        <f>_xlfn.XLOOKUP(E154,'All Products'!D:D,'All Products'!P:P,FALSE)</f>
        <v>5.39</v>
      </c>
      <c r="W154" s="265">
        <f>_xlfn.XLOOKUP(E154,'All Products'!D:D,'All Products'!Q:Q,FALSE)</f>
        <v>0.5</v>
      </c>
      <c r="X154" s="331"/>
      <c r="Y154" s="331"/>
    </row>
    <row r="155" spans="1:25" s="309" customFormat="1" ht="15" customHeight="1">
      <c r="A155" s="101" t="str">
        <f>IF(K155&gt;0,COUNT($A$8:A154)
+COUNT('DWV PVC'!$A$9:$A$316)
+COUNT('DWV ABS'!$A$8:$A$116)
+COUNT('PVC SCH40'!$A$8:$A$424)
+COUNT('PVC SCH40 LD'!$A$8:$A$21)
+COUNT('Pool &amp; SPA Sweep Elbows'!$A$8:$A$11)
+COUNT('Pool &amp; SPA Pipe Extender'!$A$8:$A$10)
+COUNT('PVC SCH80'!$A$8:$A$249)
+COUNT('PVC SCH80 Flange'!$A$8:$A$48)
+COUNT('PVC SCH80 LD Flange'!$A$8:$A$16)
+COUNT(CPVC!$A$9:$A$104)+1,"")</f>
        <v/>
      </c>
      <c r="B155" s="437" t="s">
        <v>5766</v>
      </c>
      <c r="C155" s="438"/>
      <c r="D155" s="333"/>
      <c r="E155" s="438"/>
      <c r="F155" s="333"/>
      <c r="G155" s="438"/>
      <c r="H155" s="438"/>
      <c r="I155" s="438"/>
      <c r="J155" s="439"/>
      <c r="K155" s="438"/>
      <c r="L155" s="438"/>
      <c r="M155" s="440"/>
      <c r="O155" s="437"/>
      <c r="P155" s="438"/>
      <c r="Q155" s="513"/>
      <c r="R155" s="513"/>
      <c r="S155" s="513"/>
      <c r="T155" s="438"/>
      <c r="U155" s="438"/>
      <c r="V155" s="438"/>
      <c r="W155" s="440"/>
    </row>
    <row r="156" spans="1:25" ht="15" customHeight="1">
      <c r="A156" s="101" t="str">
        <f>IF(K156&gt;0,COUNT($A$8:A155)
+COUNT('DWV PVC'!$A$9:$A$316)
+COUNT('DWV ABS'!$A$8:$A$116)
+COUNT('PVC SCH40'!$A$8:$A$424)
+COUNT('PVC SCH40 LD'!$A$8:$A$21)
+COUNT('Pool &amp; SPA Sweep Elbows'!$A$8:$A$11)
+COUNT('Pool &amp; SPA Pipe Extender'!$A$8:$A$10)
+COUNT('PVC SCH80'!$A$8:$A$249)
+COUNT('PVC SCH80 Flange'!$A$8:$A$48)
+COUNT('PVC SCH80 LD Flange'!$A$8:$A$16)
+COUNT(CPVC!$A$9:$A$104)+1,"")</f>
        <v/>
      </c>
      <c r="B156" s="608"/>
      <c r="C156" s="609"/>
      <c r="D156" s="443" t="str">
        <f>_xlfn.XLOOKUP(E156,'All Products'!D:D,'All Products'!C:C,FALSE)</f>
        <v>1436-005</v>
      </c>
      <c r="E156" s="153">
        <v>100022113</v>
      </c>
      <c r="F156" s="236" t="str">
        <f>_xlfn.XLOOKUP(E156,'All Products'!D:D,'All Products'!E:E,FALSE)</f>
        <v>1/2 MA INSERT</v>
      </c>
      <c r="G156" s="153">
        <f>_xlfn.XLOOKUP(E156,'All Products'!D:D,'All Products'!F:F,FALSE)</f>
        <v>250</v>
      </c>
      <c r="H156" s="153">
        <f>_xlfn.XLOOKUP(E156,'All Products'!D:D,'All Products'!G:G,FALSE)</f>
        <v>22500</v>
      </c>
      <c r="I156" s="371">
        <f>_xlfn.XLOOKUP(E156,'All Products'!D:D,'All Products'!H:H)</f>
        <v>2.42</v>
      </c>
      <c r="J156" s="256">
        <f>ROUNDUP(I156*Order_Quote!$L$12,2)</f>
        <v>2.42</v>
      </c>
      <c r="K156" s="161"/>
      <c r="L156" s="113"/>
      <c r="M156" s="243">
        <f t="shared" ref="M156:M161" si="11">K156/G156</f>
        <v>0</v>
      </c>
      <c r="O156" s="247" t="str">
        <f>_xlfn.XLOOKUP(E156,'All Products'!D:D,'All Products'!I:I,FALSE)</f>
        <v>In Stock</v>
      </c>
      <c r="P156" s="247" t="str">
        <f>_xlfn.XLOOKUP(E156,'All Products'!D:D,'All Products'!J:J,FALSE)</f>
        <v>Manufactured</v>
      </c>
      <c r="Q156" s="508">
        <f>_xlfn.XLOOKUP(E156,'All Products'!D:D,'All Products'!K:K,FALSE)</f>
        <v>49081105075</v>
      </c>
      <c r="R156" s="508">
        <f>_xlfn.XLOOKUP(E156,'All Products'!D:D,'All Products'!L:L,FALSE)</f>
        <v>49081605070</v>
      </c>
      <c r="S156" s="508">
        <f>_xlfn.XLOOKUP(E156,'All Products'!D:D,'All Products'!M:M,FALSE)</f>
        <v>40049081105073</v>
      </c>
      <c r="T156" s="264">
        <f>_xlfn.XLOOKUP(E156,'All Products'!D:D,'All Products'!N:N,FALSE)</f>
        <v>2.4E-2</v>
      </c>
      <c r="U156" s="215">
        <f>_xlfn.XLOOKUP(E156,'All Products'!D:D,'All Products'!O:O,FALSE)</f>
        <v>10</v>
      </c>
      <c r="V156" s="265">
        <f>_xlfn.XLOOKUP(E156,'All Products'!D:D,'All Products'!P:P,FALSE)</f>
        <v>8.6300000000000008</v>
      </c>
      <c r="W156" s="265">
        <f>_xlfn.XLOOKUP(E156,'All Products'!D:D,'All Products'!Q:Q,FALSE)</f>
        <v>0.5</v>
      </c>
      <c r="X156" s="331"/>
      <c r="Y156" s="331"/>
    </row>
    <row r="157" spans="1:25" ht="15" customHeight="1">
      <c r="A157" s="101" t="str">
        <f>IF(K157&gt;0,COUNT($A$8:A156)
+COUNT('DWV PVC'!$A$9:$A$316)
+COUNT('DWV ABS'!$A$8:$A$116)
+COUNT('PVC SCH40'!$A$8:$A$424)
+COUNT('PVC SCH40 LD'!$A$8:$A$21)
+COUNT('Pool &amp; SPA Sweep Elbows'!$A$8:$A$11)
+COUNT('Pool &amp; SPA Pipe Extender'!$A$8:$A$10)
+COUNT('PVC SCH80'!$A$8:$A$249)
+COUNT('PVC SCH80 Flange'!$A$8:$A$48)
+COUNT('PVC SCH80 LD Flange'!$A$8:$A$16)
+COUNT(CPVC!$A$9:$A$104)+1,"")</f>
        <v/>
      </c>
      <c r="B157" s="610"/>
      <c r="C157" s="611"/>
      <c r="D157" s="443" t="str">
        <f>_xlfn.XLOOKUP(E157,'All Products'!D:D,'All Products'!C:C,FALSE)</f>
        <v>1436-007</v>
      </c>
      <c r="E157" s="103">
        <v>100022115</v>
      </c>
      <c r="F157" s="236" t="str">
        <f>_xlfn.XLOOKUP(E157,'All Products'!D:D,'All Products'!E:E,FALSE)</f>
        <v>3/4 MA INSERT</v>
      </c>
      <c r="G157" s="153">
        <f>_xlfn.XLOOKUP(E157,'All Products'!D:D,'All Products'!F:F,FALSE)</f>
        <v>200</v>
      </c>
      <c r="H157" s="153">
        <f>_xlfn.XLOOKUP(E157,'All Products'!D:D,'All Products'!G:G,FALSE)</f>
        <v>15000</v>
      </c>
      <c r="I157" s="372">
        <f>_xlfn.XLOOKUP(E157,'All Products'!D:D,'All Products'!H:H)</f>
        <v>2.97</v>
      </c>
      <c r="J157" s="256">
        <f>ROUNDUP(I157*Order_Quote!$L$12,2)</f>
        <v>2.97</v>
      </c>
      <c r="K157" s="75"/>
      <c r="L157" s="113"/>
      <c r="M157" s="171">
        <f t="shared" si="11"/>
        <v>0</v>
      </c>
      <c r="O157" s="247" t="str">
        <f>_xlfn.XLOOKUP(E157,'All Products'!D:D,'All Products'!I:I,FALSE)</f>
        <v>In Stock</v>
      </c>
      <c r="P157" s="247" t="str">
        <f>_xlfn.XLOOKUP(E157,'All Products'!D:D,'All Products'!J:J,FALSE)</f>
        <v>Manufactured</v>
      </c>
      <c r="Q157" s="508">
        <f>_xlfn.XLOOKUP(E157,'All Products'!D:D,'All Products'!K:K,FALSE)</f>
        <v>49081105082</v>
      </c>
      <c r="R157" s="508">
        <f>_xlfn.XLOOKUP(E157,'All Products'!D:D,'All Products'!L:L,FALSE)</f>
        <v>49081605087</v>
      </c>
      <c r="S157" s="508">
        <f>_xlfn.XLOOKUP(E157,'All Products'!D:D,'All Products'!M:M,FALSE)</f>
        <v>40049081105080</v>
      </c>
      <c r="T157" s="264">
        <f>_xlfn.XLOOKUP(E157,'All Products'!D:D,'All Products'!N:N,FALSE)</f>
        <v>3.3000000000000002E-2</v>
      </c>
      <c r="U157" s="215">
        <f>_xlfn.XLOOKUP(E157,'All Products'!D:D,'All Products'!O:O,FALSE)</f>
        <v>10</v>
      </c>
      <c r="V157" s="265">
        <f>_xlfn.XLOOKUP(E157,'All Products'!D:D,'All Products'!P:P,FALSE)</f>
        <v>7.74</v>
      </c>
      <c r="W157" s="265">
        <f>_xlfn.XLOOKUP(E157,'All Products'!D:D,'All Products'!Q:Q,FALSE)</f>
        <v>0.65</v>
      </c>
      <c r="X157" s="331"/>
      <c r="Y157" s="331"/>
    </row>
    <row r="158" spans="1:25" ht="15" customHeight="1">
      <c r="A158" s="101" t="str">
        <f>IF(K158&gt;0,COUNT($A$8:A157)
+COUNT('DWV PVC'!$A$9:$A$316)
+COUNT('DWV ABS'!$A$8:$A$116)
+COUNT('PVC SCH40'!$A$8:$A$424)
+COUNT('PVC SCH40 LD'!$A$8:$A$21)
+COUNT('Pool &amp; SPA Sweep Elbows'!$A$8:$A$11)
+COUNT('Pool &amp; SPA Pipe Extender'!$A$8:$A$10)
+COUNT('PVC SCH80'!$A$8:$A$249)
+COUNT('PVC SCH80 Flange'!$A$8:$A$48)
+COUNT('PVC SCH80 LD Flange'!$A$8:$A$16)
+COUNT(CPVC!$A$9:$A$104)+1,"")</f>
        <v/>
      </c>
      <c r="B158" s="610"/>
      <c r="C158" s="611"/>
      <c r="D158" s="443" t="str">
        <f>_xlfn.XLOOKUP(E158,'All Products'!D:D,'All Products'!C:C,FALSE)</f>
        <v>1436-010</v>
      </c>
      <c r="E158" s="103">
        <v>100022117</v>
      </c>
      <c r="F158" s="236" t="str">
        <f>_xlfn.XLOOKUP(E158,'All Products'!D:D,'All Products'!E:E,FALSE)</f>
        <v>1 MA INSERT</v>
      </c>
      <c r="G158" s="153">
        <f>_xlfn.XLOOKUP(E158,'All Products'!D:D,'All Products'!F:F,FALSE)</f>
        <v>100</v>
      </c>
      <c r="H158" s="153">
        <f>_xlfn.XLOOKUP(E158,'All Products'!D:D,'All Products'!G:G,FALSE)</f>
        <v>9000</v>
      </c>
      <c r="I158" s="372">
        <f>_xlfn.XLOOKUP(E158,'All Products'!D:D,'All Products'!H:H)</f>
        <v>3.06</v>
      </c>
      <c r="J158" s="256">
        <f>ROUNDUP(I158*Order_Quote!$L$12,2)</f>
        <v>3.06</v>
      </c>
      <c r="K158" s="75"/>
      <c r="L158" s="113"/>
      <c r="M158" s="171">
        <f t="shared" si="11"/>
        <v>0</v>
      </c>
      <c r="O158" s="247" t="str">
        <f>_xlfn.XLOOKUP(E158,'All Products'!D:D,'All Products'!I:I,FALSE)</f>
        <v>In Stock</v>
      </c>
      <c r="P158" s="247" t="str">
        <f>_xlfn.XLOOKUP(E158,'All Products'!D:D,'All Products'!J:J,FALSE)</f>
        <v>Manufactured</v>
      </c>
      <c r="Q158" s="508">
        <f>_xlfn.XLOOKUP(E158,'All Products'!D:D,'All Products'!K:K,FALSE)</f>
        <v>49081105099</v>
      </c>
      <c r="R158" s="508">
        <f>_xlfn.XLOOKUP(E158,'All Products'!D:D,'All Products'!L:L,FALSE)</f>
        <v>49081605094</v>
      </c>
      <c r="S158" s="508">
        <f>_xlfn.XLOOKUP(E158,'All Products'!D:D,'All Products'!M:M,FALSE)</f>
        <v>40049081105097</v>
      </c>
      <c r="T158" s="264">
        <f>_xlfn.XLOOKUP(E158,'All Products'!D:D,'All Products'!N:N,FALSE)</f>
        <v>0.05</v>
      </c>
      <c r="U158" s="215">
        <f>_xlfn.XLOOKUP(E158,'All Products'!D:D,'All Products'!O:O,FALSE)</f>
        <v>10</v>
      </c>
      <c r="V158" s="265">
        <f>_xlfn.XLOOKUP(E158,'All Products'!D:D,'All Products'!P:P,FALSE)</f>
        <v>7.36</v>
      </c>
      <c r="W158" s="265">
        <f>_xlfn.XLOOKUP(E158,'All Products'!D:D,'All Products'!Q:Q,FALSE)</f>
        <v>0.5</v>
      </c>
      <c r="X158" s="331"/>
      <c r="Y158" s="331"/>
    </row>
    <row r="159" spans="1:25" ht="15" customHeight="1">
      <c r="A159" s="101" t="str">
        <f>IF(K159&gt;0,COUNT($A$8:A158)
+COUNT('DWV PVC'!$A$9:$A$316)
+COUNT('DWV ABS'!$A$8:$A$116)
+COUNT('PVC SCH40'!$A$8:$A$424)
+COUNT('PVC SCH40 LD'!$A$8:$A$21)
+COUNT('Pool &amp; SPA Sweep Elbows'!$A$8:$A$11)
+COUNT('Pool &amp; SPA Pipe Extender'!$A$8:$A$10)
+COUNT('PVC SCH80'!$A$8:$A$249)
+COUNT('PVC SCH80 Flange'!$A$8:$A$48)
+COUNT('PVC SCH80 LD Flange'!$A$8:$A$16)
+COUNT(CPVC!$A$9:$A$104)+1,"")</f>
        <v/>
      </c>
      <c r="B159" s="610"/>
      <c r="C159" s="611"/>
      <c r="D159" s="443" t="str">
        <f>_xlfn.XLOOKUP(E159,'All Products'!D:D,'All Products'!C:C,FALSE)</f>
        <v>1436-012</v>
      </c>
      <c r="E159" s="103">
        <v>100022119</v>
      </c>
      <c r="F159" s="236" t="str">
        <f>_xlfn.XLOOKUP(E159,'All Products'!D:D,'All Products'!E:E,FALSE)</f>
        <v>1-1/4 MA INSERT</v>
      </c>
      <c r="G159" s="153">
        <f>_xlfn.XLOOKUP(E159,'All Products'!D:D,'All Products'!F:F,FALSE)</f>
        <v>50</v>
      </c>
      <c r="H159" s="153">
        <f>_xlfn.XLOOKUP(E159,'All Products'!D:D,'All Products'!G:G,FALSE)</f>
        <v>4500</v>
      </c>
      <c r="I159" s="372">
        <f>_xlfn.XLOOKUP(E159,'All Products'!D:D,'All Products'!H:H)</f>
        <v>4.8499999999999996</v>
      </c>
      <c r="J159" s="256">
        <f>ROUNDUP(I159*Order_Quote!$L$12,2)</f>
        <v>4.8499999999999996</v>
      </c>
      <c r="K159" s="75"/>
      <c r="L159" s="113"/>
      <c r="M159" s="171">
        <f t="shared" si="11"/>
        <v>0</v>
      </c>
      <c r="O159" s="247" t="str">
        <f>_xlfn.XLOOKUP(E159,'All Products'!D:D,'All Products'!I:I,FALSE)</f>
        <v>In Stock</v>
      </c>
      <c r="P159" s="247" t="str">
        <f>_xlfn.XLOOKUP(E159,'All Products'!D:D,'All Products'!J:J,FALSE)</f>
        <v>Manufactured</v>
      </c>
      <c r="Q159" s="508">
        <f>_xlfn.XLOOKUP(E159,'All Products'!D:D,'All Products'!K:K,FALSE)</f>
        <v>49081105105</v>
      </c>
      <c r="R159" s="508">
        <f>_xlfn.XLOOKUP(E159,'All Products'!D:D,'All Products'!L:L,FALSE)</f>
        <v>49081605100</v>
      </c>
      <c r="S159" s="508">
        <f>_xlfn.XLOOKUP(E159,'All Products'!D:D,'All Products'!M:M,FALSE)</f>
        <v>40049081105103</v>
      </c>
      <c r="T159" s="264">
        <f>_xlfn.XLOOKUP(E159,'All Products'!D:D,'All Products'!N:N,FALSE)</f>
        <v>0.09</v>
      </c>
      <c r="U159" s="215">
        <f>_xlfn.XLOOKUP(E159,'All Products'!D:D,'All Products'!O:O,FALSE)</f>
        <v>5</v>
      </c>
      <c r="V159" s="265">
        <f>_xlfn.XLOOKUP(E159,'All Products'!D:D,'All Products'!P:P,FALSE)</f>
        <v>5.3</v>
      </c>
      <c r="W159" s="265">
        <f>_xlfn.XLOOKUP(E159,'All Products'!D:D,'All Products'!Q:Q,FALSE)</f>
        <v>0.5</v>
      </c>
      <c r="X159" s="331"/>
      <c r="Y159" s="331"/>
    </row>
    <row r="160" spans="1:25" ht="15" customHeight="1">
      <c r="A160" s="101" t="str">
        <f>IF(K160&gt;0,COUNT($A$8:A159)
+COUNT('DWV PVC'!$A$9:$A$316)
+COUNT('DWV ABS'!$A$8:$A$116)
+COUNT('PVC SCH40'!$A$8:$A$424)
+COUNT('PVC SCH40 LD'!$A$8:$A$21)
+COUNT('Pool &amp; SPA Sweep Elbows'!$A$8:$A$11)
+COUNT('Pool &amp; SPA Pipe Extender'!$A$8:$A$10)
+COUNT('PVC SCH80'!$A$8:$A$249)
+COUNT('PVC SCH80 Flange'!$A$8:$A$48)
+COUNT('PVC SCH80 LD Flange'!$A$8:$A$16)
+COUNT(CPVC!$A$9:$A$104)+1,"")</f>
        <v/>
      </c>
      <c r="B160" s="610"/>
      <c r="C160" s="611"/>
      <c r="D160" s="443" t="str">
        <f>_xlfn.XLOOKUP(E160,'All Products'!D:D,'All Products'!C:C,FALSE)</f>
        <v>1436-015</v>
      </c>
      <c r="E160" s="154">
        <v>100022121</v>
      </c>
      <c r="F160" s="236" t="str">
        <f>_xlfn.XLOOKUP(E160,'All Products'!D:D,'All Products'!E:E,FALSE)</f>
        <v>1-1/2 MA INSERT</v>
      </c>
      <c r="G160" s="153">
        <f>_xlfn.XLOOKUP(E160,'All Products'!D:D,'All Products'!F:F,FALSE)</f>
        <v>50</v>
      </c>
      <c r="H160" s="153">
        <f>_xlfn.XLOOKUP(E160,'All Products'!D:D,'All Products'!G:G,FALSE)</f>
        <v>4500</v>
      </c>
      <c r="I160" s="372">
        <f>_xlfn.XLOOKUP(E160,'All Products'!D:D,'All Products'!H:H)</f>
        <v>5.41</v>
      </c>
      <c r="J160" s="256">
        <f>ROUNDUP(I160*Order_Quote!$L$12,2)</f>
        <v>5.41</v>
      </c>
      <c r="K160" s="167"/>
      <c r="L160" s="113"/>
      <c r="M160" s="244">
        <f t="shared" si="11"/>
        <v>0</v>
      </c>
      <c r="O160" s="247" t="str">
        <f>_xlfn.XLOOKUP(E160,'All Products'!D:D,'All Products'!I:I,FALSE)</f>
        <v>In Stock</v>
      </c>
      <c r="P160" s="247" t="str">
        <f>_xlfn.XLOOKUP(E160,'All Products'!D:D,'All Products'!J:J,FALSE)</f>
        <v>Manufactured</v>
      </c>
      <c r="Q160" s="508">
        <f>_xlfn.XLOOKUP(E160,'All Products'!D:D,'All Products'!K:K,FALSE)</f>
        <v>49081105112</v>
      </c>
      <c r="R160" s="508">
        <f>_xlfn.XLOOKUP(E160,'All Products'!D:D,'All Products'!L:L,FALSE)</f>
        <v>49081605117</v>
      </c>
      <c r="S160" s="508">
        <f>_xlfn.XLOOKUP(E160,'All Products'!D:D,'All Products'!M:M,FALSE)</f>
        <v>40049081105110</v>
      </c>
      <c r="T160" s="264">
        <f>_xlfn.XLOOKUP(E160,'All Products'!D:D,'All Products'!N:N,FALSE)</f>
        <v>0.111</v>
      </c>
      <c r="U160" s="215">
        <f>_xlfn.XLOOKUP(E160,'All Products'!D:D,'All Products'!O:O,FALSE)</f>
        <v>5</v>
      </c>
      <c r="V160" s="265">
        <f>_xlfn.XLOOKUP(E160,'All Products'!D:D,'All Products'!P:P,FALSE)</f>
        <v>6.47</v>
      </c>
      <c r="W160" s="265">
        <f>_xlfn.XLOOKUP(E160,'All Products'!D:D,'All Products'!Q:Q,FALSE)</f>
        <v>0.5</v>
      </c>
      <c r="X160" s="331"/>
      <c r="Y160" s="331"/>
    </row>
    <row r="161" spans="1:25" ht="15" customHeight="1">
      <c r="A161" s="101" t="str">
        <f>IF(K161&gt;0,COUNT($A$8:A160)
+COUNT('DWV PVC'!$A$9:$A$316)
+COUNT('DWV ABS'!$A$8:$A$116)
+COUNT('PVC SCH40'!$A$8:$A$424)
+COUNT('PVC SCH40 LD'!$A$8:$A$21)
+COUNT('Pool &amp; SPA Sweep Elbows'!$A$8:$A$11)
+COUNT('Pool &amp; SPA Pipe Extender'!$A$8:$A$10)
+COUNT('PVC SCH80'!$A$8:$A$249)
+COUNT('PVC SCH80 Flange'!$A$8:$A$48)
+COUNT('PVC SCH80 LD Flange'!$A$8:$A$16)
+COUNT(CPVC!$A$9:$A$104)+1,"")</f>
        <v/>
      </c>
      <c r="B161" s="612"/>
      <c r="C161" s="613"/>
      <c r="D161" s="443" t="str">
        <f>_xlfn.XLOOKUP(E161,'All Products'!D:D,'All Products'!C:C,FALSE)</f>
        <v>1436-020</v>
      </c>
      <c r="E161" s="103">
        <v>100022123</v>
      </c>
      <c r="F161" s="236" t="str">
        <f>_xlfn.XLOOKUP(E161,'All Products'!D:D,'All Products'!E:E,FALSE)</f>
        <v>2 MA INSERT</v>
      </c>
      <c r="G161" s="153">
        <f>_xlfn.XLOOKUP(E161,'All Products'!D:D,'All Products'!F:F,FALSE)</f>
        <v>25</v>
      </c>
      <c r="H161" s="153">
        <f>_xlfn.XLOOKUP(E161,'All Products'!D:D,'All Products'!G:G,FALSE)</f>
        <v>2250</v>
      </c>
      <c r="I161" s="372">
        <f>_xlfn.XLOOKUP(E161,'All Products'!D:D,'All Products'!H:H)</f>
        <v>10.38</v>
      </c>
      <c r="J161" s="256">
        <f>ROUNDUP(I161*Order_Quote!$L$12,2)</f>
        <v>10.38</v>
      </c>
      <c r="K161" s="75"/>
      <c r="L161" s="168"/>
      <c r="M161" s="171">
        <f t="shared" si="11"/>
        <v>0</v>
      </c>
      <c r="O161" s="247" t="str">
        <f>_xlfn.XLOOKUP(E161,'All Products'!D:D,'All Products'!I:I,FALSE)</f>
        <v>In Stock</v>
      </c>
      <c r="P161" s="247" t="str">
        <f>_xlfn.XLOOKUP(E161,'All Products'!D:D,'All Products'!J:J,FALSE)</f>
        <v>Manufactured</v>
      </c>
      <c r="Q161" s="508">
        <f>_xlfn.XLOOKUP(E161,'All Products'!D:D,'All Products'!K:K,FALSE)</f>
        <v>49081105129</v>
      </c>
      <c r="R161" s="508">
        <f>_xlfn.XLOOKUP(E161,'All Products'!D:D,'All Products'!L:L,FALSE)</f>
        <v>49081605124</v>
      </c>
      <c r="S161" s="508">
        <f>_xlfn.XLOOKUP(E161,'All Products'!D:D,'All Products'!M:M,FALSE)</f>
        <v>40049081105127</v>
      </c>
      <c r="T161" s="264">
        <f>_xlfn.XLOOKUP(E161,'All Products'!D:D,'All Products'!N:N,FALSE)</f>
        <v>0.17599999999999999</v>
      </c>
      <c r="U161" s="215">
        <f>_xlfn.XLOOKUP(E161,'All Products'!D:D,'All Products'!O:O,FALSE)</f>
        <v>5</v>
      </c>
      <c r="V161" s="265">
        <f>_xlfn.XLOOKUP(E161,'All Products'!D:D,'All Products'!P:P,FALSE)</f>
        <v>5.26</v>
      </c>
      <c r="W161" s="265">
        <f>_xlfn.XLOOKUP(E161,'All Products'!D:D,'All Products'!Q:Q,FALSE)</f>
        <v>0.5</v>
      </c>
      <c r="X161" s="331"/>
      <c r="Y161" s="331"/>
    </row>
    <row r="162" spans="1:25" ht="15" customHeight="1">
      <c r="A162" s="101" t="str">
        <f>IF(K162&gt;0,COUNT($A$8:A161)
+COUNT('DWV PVC'!$A$9:$A$316)
+COUNT('DWV ABS'!$A$8:$A$116)
+COUNT('PVC SCH40'!$A$8:$A$424)
+COUNT('PVC SCH40 LD'!$A$8:$A$21)
+COUNT('Pool &amp; SPA Sweep Elbows'!$A$8:$A$11)
+COUNT('Pool &amp; SPA Pipe Extender'!$A$8:$A$10)
+COUNT('PVC SCH80'!$A$8:$A$249)
+COUNT('PVC SCH80 Flange'!$A$8:$A$48)
+COUNT('PVC SCH80 LD Flange'!$A$8:$A$16)
+COUNT(CPVC!$A$9:$A$104)+1,"")</f>
        <v/>
      </c>
      <c r="B162" s="433" t="s">
        <v>5767</v>
      </c>
      <c r="C162" s="333"/>
      <c r="D162" s="333"/>
      <c r="E162" s="333"/>
      <c r="F162" s="333"/>
      <c r="G162" s="333"/>
      <c r="H162" s="333"/>
      <c r="I162" s="333"/>
      <c r="J162" s="334"/>
      <c r="K162" s="333"/>
      <c r="L162" s="333"/>
      <c r="M162" s="335"/>
      <c r="O162" s="525"/>
      <c r="P162" s="333"/>
      <c r="Q162" s="509"/>
      <c r="R162" s="509"/>
      <c r="S162" s="509"/>
      <c r="T162" s="333"/>
      <c r="U162" s="333"/>
      <c r="V162" s="333"/>
      <c r="W162" s="335"/>
    </row>
    <row r="163" spans="1:25" ht="15" customHeight="1">
      <c r="A163" s="101" t="str">
        <f>IF(K163&gt;0,COUNT($A$8:A162)
+COUNT('DWV PVC'!$A$9:$A$316)
+COUNT('DWV ABS'!$A$8:$A$116)
+COUNT('PVC SCH40'!$A$8:$A$424)
+COUNT('PVC SCH40 LD'!$A$8:$A$21)
+COUNT('Pool &amp; SPA Sweep Elbows'!$A$8:$A$11)
+COUNT('Pool &amp; SPA Pipe Extender'!$A$8:$A$10)
+COUNT('PVC SCH80'!$A$8:$A$249)
+COUNT('PVC SCH80 Flange'!$A$8:$A$48)
+COUNT('PVC SCH80 LD Flange'!$A$8:$A$16)
+COUNT(CPVC!$A$9:$A$104)+1,"")</f>
        <v/>
      </c>
      <c r="B163" s="608"/>
      <c r="C163" s="609"/>
      <c r="D163" s="443" t="str">
        <f>_xlfn.XLOOKUP(E163,'All Products'!D:D,'All Products'!C:C,FALSE)</f>
        <v>1436-074</v>
      </c>
      <c r="E163" s="153">
        <v>100022127</v>
      </c>
      <c r="F163" s="236" t="str">
        <f>_xlfn.XLOOKUP(E163,'All Products'!D:D,'All Products'!E:E,FALSE)</f>
        <v>1/2X3/4 MA INSERT</v>
      </c>
      <c r="G163" s="153">
        <f>_xlfn.XLOOKUP(E163,'All Products'!D:D,'All Products'!F:F,FALSE)</f>
        <v>100</v>
      </c>
      <c r="H163" s="153">
        <f>_xlfn.XLOOKUP(E163,'All Products'!D:D,'All Products'!G:G,FALSE)</f>
        <v>15000</v>
      </c>
      <c r="I163" s="371">
        <f>_xlfn.XLOOKUP(E163,'All Products'!D:D,'All Products'!H:H)</f>
        <v>7.67</v>
      </c>
      <c r="J163" s="256">
        <f>ROUNDUP(I163*Order_Quote!$L$12,2)</f>
        <v>7.67</v>
      </c>
      <c r="K163" s="161"/>
      <c r="L163" s="113"/>
      <c r="M163" s="243">
        <f t="shared" ref="M163:M168" si="12">K163/G163</f>
        <v>0</v>
      </c>
      <c r="O163" s="247" t="str">
        <f>_xlfn.XLOOKUP(E163,'All Products'!D:D,'All Products'!I:I,FALSE)</f>
        <v>In Stock</v>
      </c>
      <c r="P163" s="247" t="str">
        <f>_xlfn.XLOOKUP(E163,'All Products'!D:D,'All Products'!J:J,FALSE)</f>
        <v>Manufactured</v>
      </c>
      <c r="Q163" s="508">
        <f>_xlfn.XLOOKUP(E163,'All Products'!D:D,'All Products'!K:K,FALSE)</f>
        <v>49081105266</v>
      </c>
      <c r="R163" s="508">
        <f>_xlfn.XLOOKUP(E163,'All Products'!D:D,'All Products'!L:L,FALSE)</f>
        <v>49081605261</v>
      </c>
      <c r="S163" s="508">
        <f>_xlfn.XLOOKUP(E163,'All Products'!D:D,'All Products'!M:M,FALSE)</f>
        <v>40049081105264</v>
      </c>
      <c r="T163" s="264">
        <f>_xlfn.XLOOKUP(E163,'All Products'!D:D,'All Products'!N:N,FALSE)</f>
        <v>4.9000000000000002E-2</v>
      </c>
      <c r="U163" s="215">
        <f>_xlfn.XLOOKUP(E163,'All Products'!D:D,'All Products'!O:O,FALSE)</f>
        <v>10</v>
      </c>
      <c r="V163" s="265">
        <f>_xlfn.XLOOKUP(E163,'All Products'!D:D,'All Products'!P:P,FALSE)</f>
        <v>5.04</v>
      </c>
      <c r="W163" s="265">
        <f>_xlfn.XLOOKUP(E163,'All Products'!D:D,'All Products'!Q:Q,FALSE)</f>
        <v>0.31</v>
      </c>
      <c r="X163" s="331"/>
      <c r="Y163" s="331"/>
    </row>
    <row r="164" spans="1:25" ht="15" customHeight="1">
      <c r="A164" s="101" t="str">
        <f>IF(K164&gt;0,COUNT($A$8:A163)
+COUNT('DWV PVC'!$A$9:$A$316)
+COUNT('DWV ABS'!$A$8:$A$116)
+COUNT('PVC SCH40'!$A$8:$A$424)
+COUNT('PVC SCH40 LD'!$A$8:$A$21)
+COUNT('Pool &amp; SPA Sweep Elbows'!$A$8:$A$11)
+COUNT('Pool &amp; SPA Pipe Extender'!$A$8:$A$10)
+COUNT('PVC SCH80'!$A$8:$A$249)
+COUNT('PVC SCH80 Flange'!$A$8:$A$48)
+COUNT('PVC SCH80 LD Flange'!$A$8:$A$16)
+COUNT(CPVC!$A$9:$A$104)+1,"")</f>
        <v/>
      </c>
      <c r="B164" s="610"/>
      <c r="C164" s="611"/>
      <c r="D164" s="443" t="str">
        <f>_xlfn.XLOOKUP(E164,'All Products'!D:D,'All Products'!C:C,FALSE)</f>
        <v>1436-075</v>
      </c>
      <c r="E164" s="103">
        <v>100022129</v>
      </c>
      <c r="F164" s="236" t="str">
        <f>_xlfn.XLOOKUP(E164,'All Products'!D:D,'All Products'!E:E,FALSE)</f>
        <v>1/2X1 MA INSERT</v>
      </c>
      <c r="G164" s="153">
        <f>_xlfn.XLOOKUP(E164,'All Products'!D:D,'All Products'!F:F,FALSE)</f>
        <v>100</v>
      </c>
      <c r="H164" s="153">
        <f>_xlfn.XLOOKUP(E164,'All Products'!D:D,'All Products'!G:G,FALSE)</f>
        <v>9000</v>
      </c>
      <c r="I164" s="372">
        <f>_xlfn.XLOOKUP(E164,'All Products'!D:D,'All Products'!H:H)</f>
        <v>8</v>
      </c>
      <c r="J164" s="256">
        <f>ROUNDUP(I164*Order_Quote!$L$12,2)</f>
        <v>8</v>
      </c>
      <c r="K164" s="75"/>
      <c r="L164" s="113"/>
      <c r="M164" s="171">
        <f t="shared" si="12"/>
        <v>0</v>
      </c>
      <c r="O164" s="247" t="str">
        <f>_xlfn.XLOOKUP(E164,'All Products'!D:D,'All Products'!I:I,FALSE)</f>
        <v>In Stock</v>
      </c>
      <c r="P164" s="247" t="str">
        <f>_xlfn.XLOOKUP(E164,'All Products'!D:D,'All Products'!J:J,FALSE)</f>
        <v>Manufactured</v>
      </c>
      <c r="Q164" s="508">
        <f>_xlfn.XLOOKUP(E164,'All Products'!D:D,'All Products'!K:K,FALSE)</f>
        <v>49081105273</v>
      </c>
      <c r="R164" s="508">
        <f>_xlfn.XLOOKUP(E164,'All Products'!D:D,'All Products'!L:L,FALSE)</f>
        <v>49081605278</v>
      </c>
      <c r="S164" s="508">
        <f>_xlfn.XLOOKUP(E164,'All Products'!D:D,'All Products'!M:M,FALSE)</f>
        <v>40049081105271</v>
      </c>
      <c r="T164" s="264">
        <f>_xlfn.XLOOKUP(E164,'All Products'!D:D,'All Products'!N:N,FALSE)</f>
        <v>6.7000000000000004E-2</v>
      </c>
      <c r="U164" s="215">
        <f>_xlfn.XLOOKUP(E164,'All Products'!D:D,'All Products'!O:O,FALSE)</f>
        <v>10</v>
      </c>
      <c r="V164" s="265">
        <f>_xlfn.XLOOKUP(E164,'All Products'!D:D,'All Products'!P:P,FALSE)</f>
        <v>6.62</v>
      </c>
      <c r="W164" s="265">
        <f>_xlfn.XLOOKUP(E164,'All Products'!D:D,'All Products'!Q:Q,FALSE)</f>
        <v>0.5</v>
      </c>
      <c r="X164" s="331"/>
      <c r="Y164" s="331"/>
    </row>
    <row r="165" spans="1:25" ht="15" customHeight="1">
      <c r="A165" s="101" t="str">
        <f>IF(K165&gt;0,COUNT($A$8:A164)
+COUNT('DWV PVC'!$A$9:$A$316)
+COUNT('DWV ABS'!$A$8:$A$116)
+COUNT('PVC SCH40'!$A$8:$A$424)
+COUNT('PVC SCH40 LD'!$A$8:$A$21)
+COUNT('Pool &amp; SPA Sweep Elbows'!$A$8:$A$11)
+COUNT('Pool &amp; SPA Pipe Extender'!$A$8:$A$10)
+COUNT('PVC SCH80'!$A$8:$A$249)
+COUNT('PVC SCH80 Flange'!$A$8:$A$48)
+COUNT('PVC SCH80 LD Flange'!$A$8:$A$16)
+COUNT(CPVC!$A$9:$A$104)+1,"")</f>
        <v/>
      </c>
      <c r="B165" s="610"/>
      <c r="C165" s="611"/>
      <c r="D165" s="443" t="str">
        <f>_xlfn.XLOOKUP(E165,'All Products'!D:D,'All Products'!C:C,FALSE)</f>
        <v>1436-102</v>
      </c>
      <c r="E165" s="103">
        <v>100022133</v>
      </c>
      <c r="F165" s="236" t="str">
        <f>_xlfn.XLOOKUP(E165,'All Products'!D:D,'All Products'!E:E,FALSE)</f>
        <v>3/4X1 MA INSERT</v>
      </c>
      <c r="G165" s="153">
        <f>_xlfn.XLOOKUP(E165,'All Products'!D:D,'All Products'!F:F,FALSE)</f>
        <v>100</v>
      </c>
      <c r="H165" s="153">
        <f>_xlfn.XLOOKUP(E165,'All Products'!D:D,'All Products'!G:G,FALSE)</f>
        <v>9000</v>
      </c>
      <c r="I165" s="372">
        <f>_xlfn.XLOOKUP(E165,'All Products'!D:D,'All Products'!H:H)</f>
        <v>8</v>
      </c>
      <c r="J165" s="256">
        <f>ROUNDUP(I165*Order_Quote!$L$12,2)</f>
        <v>8</v>
      </c>
      <c r="K165" s="75"/>
      <c r="L165" s="113"/>
      <c r="M165" s="171">
        <f t="shared" si="12"/>
        <v>0</v>
      </c>
      <c r="O165" s="247" t="str">
        <f>_xlfn.XLOOKUP(E165,'All Products'!D:D,'All Products'!I:I,FALSE)</f>
        <v>In Stock</v>
      </c>
      <c r="P165" s="247" t="str">
        <f>_xlfn.XLOOKUP(E165,'All Products'!D:D,'All Products'!J:J,FALSE)</f>
        <v>Manufactured</v>
      </c>
      <c r="Q165" s="508">
        <f>_xlfn.XLOOKUP(E165,'All Products'!D:D,'All Products'!K:K,FALSE)</f>
        <v>49081105280</v>
      </c>
      <c r="R165" s="508">
        <f>_xlfn.XLOOKUP(E165,'All Products'!D:D,'All Products'!L:L,FALSE)</f>
        <v>49081605285</v>
      </c>
      <c r="S165" s="508">
        <f>_xlfn.XLOOKUP(E165,'All Products'!D:D,'All Products'!M:M,FALSE)</f>
        <v>40049081105288</v>
      </c>
      <c r="T165" s="264">
        <f>_xlfn.XLOOKUP(E165,'All Products'!D:D,'All Products'!N:N,FALSE)</f>
        <v>4.2000000000000003E-2</v>
      </c>
      <c r="U165" s="215">
        <f>_xlfn.XLOOKUP(E165,'All Products'!D:D,'All Products'!O:O,FALSE)</f>
        <v>10</v>
      </c>
      <c r="V165" s="265">
        <f>_xlfn.XLOOKUP(E165,'All Products'!D:D,'All Products'!P:P,FALSE)</f>
        <v>4.79</v>
      </c>
      <c r="W165" s="265">
        <f>_xlfn.XLOOKUP(E165,'All Products'!D:D,'All Products'!Q:Q,FALSE)</f>
        <v>0.5</v>
      </c>
      <c r="X165" s="331"/>
      <c r="Y165" s="331"/>
    </row>
    <row r="166" spans="1:25" ht="15" customHeight="1">
      <c r="A166" s="101" t="str">
        <f>IF(K166&gt;0,COUNT($A$8:A165)
+COUNT('DWV PVC'!$A$9:$A$316)
+COUNT('DWV ABS'!$A$8:$A$116)
+COUNT('PVC SCH40'!$A$8:$A$424)
+COUNT('PVC SCH40 LD'!$A$8:$A$21)
+COUNT('Pool &amp; SPA Sweep Elbows'!$A$8:$A$11)
+COUNT('Pool &amp; SPA Pipe Extender'!$A$8:$A$10)
+COUNT('PVC SCH80'!$A$8:$A$249)
+COUNT('PVC SCH80 Flange'!$A$8:$A$48)
+COUNT('PVC SCH80 LD Flange'!$A$8:$A$16)
+COUNT(CPVC!$A$9:$A$104)+1,"")</f>
        <v/>
      </c>
      <c r="B166" s="610"/>
      <c r="C166" s="611"/>
      <c r="D166" s="443" t="str">
        <f>_xlfn.XLOOKUP(E166,'All Products'!D:D,'All Products'!C:C,FALSE)</f>
        <v>1436-132</v>
      </c>
      <c r="E166" s="103">
        <v>100022139</v>
      </c>
      <c r="F166" s="236" t="str">
        <f>_xlfn.XLOOKUP(E166,'All Products'!D:D,'All Products'!E:E,FALSE)</f>
        <v>1X1-1/4 MA INSERT</v>
      </c>
      <c r="G166" s="153">
        <f>_xlfn.XLOOKUP(E166,'All Products'!D:D,'All Products'!F:F,FALSE)</f>
        <v>100</v>
      </c>
      <c r="H166" s="153">
        <f>_xlfn.XLOOKUP(E166,'All Products'!D:D,'All Products'!G:G,FALSE)</f>
        <v>7500</v>
      </c>
      <c r="I166" s="372">
        <f>_xlfn.XLOOKUP(E166,'All Products'!D:D,'All Products'!H:H)</f>
        <v>9.65</v>
      </c>
      <c r="J166" s="256">
        <f>ROUNDUP(I166*Order_Quote!$L$12,2)</f>
        <v>9.65</v>
      </c>
      <c r="K166" s="75"/>
      <c r="L166" s="113"/>
      <c r="M166" s="171">
        <f t="shared" si="12"/>
        <v>0</v>
      </c>
      <c r="O166" s="247" t="str">
        <f>_xlfn.XLOOKUP(E166,'All Products'!D:D,'All Products'!I:I,FALSE)</f>
        <v>In Stock</v>
      </c>
      <c r="P166" s="247" t="str">
        <f>_xlfn.XLOOKUP(E166,'All Products'!D:D,'All Products'!J:J,FALSE)</f>
        <v>Manufactured</v>
      </c>
      <c r="Q166" s="508">
        <f>_xlfn.XLOOKUP(E166,'All Products'!D:D,'All Products'!K:K,FALSE)</f>
        <v>49081105297</v>
      </c>
      <c r="R166" s="508">
        <f>_xlfn.XLOOKUP(E166,'All Products'!D:D,'All Products'!L:L,FALSE)</f>
        <v>49081605292</v>
      </c>
      <c r="S166" s="508">
        <f>_xlfn.XLOOKUP(E166,'All Products'!D:D,'All Products'!M:M,FALSE)</f>
        <v>40049081105295</v>
      </c>
      <c r="T166" s="264">
        <f>_xlfn.XLOOKUP(E166,'All Products'!D:D,'All Products'!N:N,FALSE)</f>
        <v>8.7999999999999995E-2</v>
      </c>
      <c r="U166" s="215">
        <f>_xlfn.XLOOKUP(E166,'All Products'!D:D,'All Products'!O:O,FALSE)</f>
        <v>5</v>
      </c>
      <c r="V166" s="265">
        <f>_xlfn.XLOOKUP(E166,'All Products'!D:D,'All Products'!P:P,FALSE)</f>
        <v>9.8800000000000008</v>
      </c>
      <c r="W166" s="265">
        <f>_xlfn.XLOOKUP(E166,'All Products'!D:D,'All Products'!Q:Q,FALSE)</f>
        <v>0.65</v>
      </c>
      <c r="X166" s="331"/>
      <c r="Y166" s="331"/>
    </row>
    <row r="167" spans="1:25" ht="15" customHeight="1">
      <c r="A167" s="101" t="str">
        <f>IF(K167&gt;0,COUNT($A$8:A166)
+COUNT('DWV PVC'!$A$9:$A$316)
+COUNT('DWV ABS'!$A$8:$A$116)
+COUNT('PVC SCH40'!$A$8:$A$424)
+COUNT('PVC SCH40 LD'!$A$8:$A$21)
+COUNT('Pool &amp; SPA Sweep Elbows'!$A$8:$A$11)
+COUNT('Pool &amp; SPA Pipe Extender'!$A$8:$A$10)
+COUNT('PVC SCH80'!$A$8:$A$249)
+COUNT('PVC SCH80 Flange'!$A$8:$A$48)
+COUNT('PVC SCH80 LD Flange'!$A$8:$A$16)
+COUNT(CPVC!$A$9:$A$104)+1,"")</f>
        <v/>
      </c>
      <c r="B167" s="610"/>
      <c r="C167" s="611"/>
      <c r="D167" s="443" t="str">
        <f>_xlfn.XLOOKUP(E167,'All Products'!D:D,'All Products'!C:C,FALSE)</f>
        <v>1436-133</v>
      </c>
      <c r="E167" s="103">
        <v>100022140</v>
      </c>
      <c r="F167" s="236" t="str">
        <f>_xlfn.XLOOKUP(E167,'All Products'!D:D,'All Products'!E:E,FALSE)</f>
        <v>1X1-1/2 MA INSERT</v>
      </c>
      <c r="G167" s="153">
        <f>_xlfn.XLOOKUP(E167,'All Products'!D:D,'All Products'!F:F,FALSE)</f>
        <v>50</v>
      </c>
      <c r="H167" s="153">
        <f>_xlfn.XLOOKUP(E167,'All Products'!D:D,'All Products'!G:G,FALSE)</f>
        <v>4500</v>
      </c>
      <c r="I167" s="372">
        <f>_xlfn.XLOOKUP(E167,'All Products'!D:D,'All Products'!H:H)</f>
        <v>14.58</v>
      </c>
      <c r="J167" s="256">
        <f>ROUNDUP(I167*Order_Quote!$L$12,2)</f>
        <v>14.58</v>
      </c>
      <c r="K167" s="75"/>
      <c r="L167" s="113"/>
      <c r="M167" s="171">
        <f t="shared" si="12"/>
        <v>0</v>
      </c>
      <c r="O167" s="247" t="str">
        <f>_xlfn.XLOOKUP(E167,'All Products'!D:D,'All Products'!I:I,FALSE)</f>
        <v>In Stock</v>
      </c>
      <c r="P167" s="247" t="str">
        <f>_xlfn.XLOOKUP(E167,'All Products'!D:D,'All Products'!J:J,FALSE)</f>
        <v>Manufactured</v>
      </c>
      <c r="Q167" s="508">
        <f>_xlfn.XLOOKUP(E167,'All Products'!D:D,'All Products'!K:K,FALSE)</f>
        <v>49081105303</v>
      </c>
      <c r="R167" s="508">
        <f>_xlfn.XLOOKUP(E167,'All Products'!D:D,'All Products'!L:L,FALSE)</f>
        <v>49081605308</v>
      </c>
      <c r="S167" s="508">
        <f>_xlfn.XLOOKUP(E167,'All Products'!D:D,'All Products'!M:M,FALSE)</f>
        <v>40049081105301</v>
      </c>
      <c r="T167" s="264">
        <f>_xlfn.XLOOKUP(E167,'All Products'!D:D,'All Products'!N:N,FALSE)</f>
        <v>0.11700000000000001</v>
      </c>
      <c r="U167" s="215">
        <f>_xlfn.XLOOKUP(E167,'All Products'!D:D,'All Products'!O:O,FALSE)</f>
        <v>5</v>
      </c>
      <c r="V167" s="265">
        <f>_xlfn.XLOOKUP(E167,'All Products'!D:D,'All Products'!P:P,FALSE)</f>
        <v>5.98</v>
      </c>
      <c r="W167" s="265">
        <f>_xlfn.XLOOKUP(E167,'All Products'!D:D,'All Products'!Q:Q,FALSE)</f>
        <v>0.5</v>
      </c>
      <c r="X167" s="331"/>
      <c r="Y167" s="331"/>
    </row>
    <row r="168" spans="1:25" ht="15" customHeight="1">
      <c r="A168" s="101" t="str">
        <f>IF(K168&gt;0,COUNT($A$8:A167)
+COUNT('DWV PVC'!$A$9:$A$316)
+COUNT('DWV ABS'!$A$8:$A$116)
+COUNT('PVC SCH40'!$A$8:$A$424)
+COUNT('PVC SCH40 LD'!$A$8:$A$21)
+COUNT('Pool &amp; SPA Sweep Elbows'!$A$8:$A$11)
+COUNT('Pool &amp; SPA Pipe Extender'!$A$8:$A$10)
+COUNT('PVC SCH80'!$A$8:$A$249)
+COUNT('PVC SCH80 Flange'!$A$8:$A$48)
+COUNT('PVC SCH80 LD Flange'!$A$8:$A$16)
+COUNT(CPVC!$A$9:$A$104)+1,"")</f>
        <v/>
      </c>
      <c r="B168" s="612"/>
      <c r="C168" s="613"/>
      <c r="D168" s="443" t="str">
        <f>_xlfn.XLOOKUP(E168,'All Products'!D:D,'All Products'!C:C,FALSE)</f>
        <v>1436-213</v>
      </c>
      <c r="E168" s="154">
        <v>100022150</v>
      </c>
      <c r="F168" s="236" t="str">
        <f>_xlfn.XLOOKUP(E168,'All Products'!D:D,'All Products'!E:E,FALSE)</f>
        <v>1-1/2X2 MA INSERT</v>
      </c>
      <c r="G168" s="153">
        <f>_xlfn.XLOOKUP(E168,'All Products'!D:D,'All Products'!F:F,FALSE)</f>
        <v>50</v>
      </c>
      <c r="H168" s="153">
        <f>_xlfn.XLOOKUP(E168,'All Products'!D:D,'All Products'!G:G,FALSE)</f>
        <v>3750</v>
      </c>
      <c r="I168" s="374">
        <f>_xlfn.XLOOKUP(E168,'All Products'!D:D,'All Products'!H:H)</f>
        <v>18.690000000000001</v>
      </c>
      <c r="J168" s="256">
        <f>ROUNDUP(I168*Order_Quote!$L$12,2)</f>
        <v>18.690000000000001</v>
      </c>
      <c r="K168" s="167"/>
      <c r="L168" s="113"/>
      <c r="M168" s="244">
        <f t="shared" si="12"/>
        <v>0</v>
      </c>
      <c r="O168" s="247" t="str">
        <f>_xlfn.XLOOKUP(E168,'All Products'!D:D,'All Products'!I:I,FALSE)</f>
        <v>Within 3 Weeks</v>
      </c>
      <c r="P168" s="247" t="str">
        <f>_xlfn.XLOOKUP(E168,'All Products'!D:D,'All Products'!J:J,FALSE)</f>
        <v>Manufactured</v>
      </c>
      <c r="Q168" s="508">
        <f>_xlfn.XLOOKUP(E168,'All Products'!D:D,'All Products'!K:K,FALSE)</f>
        <v>49081105327</v>
      </c>
      <c r="R168" s="508">
        <f>_xlfn.XLOOKUP(E168,'All Products'!D:D,'All Products'!L:L,FALSE)</f>
        <v>49081605322</v>
      </c>
      <c r="S168" s="508">
        <f>_xlfn.XLOOKUP(E168,'All Products'!D:D,'All Products'!M:M,FALSE)</f>
        <v>40049081105325</v>
      </c>
      <c r="T168" s="264">
        <f>_xlfn.XLOOKUP(E168,'All Products'!D:D,'All Products'!N:N,FALSE)</f>
        <v>0.158</v>
      </c>
      <c r="U168" s="215">
        <f>_xlfn.XLOOKUP(E168,'All Products'!D:D,'All Products'!O:O,FALSE)</f>
        <v>5</v>
      </c>
      <c r="V168" s="265">
        <f>_xlfn.XLOOKUP(E168,'All Products'!D:D,'All Products'!P:P,FALSE)</f>
        <v>8.57</v>
      </c>
      <c r="W168" s="265">
        <f>_xlfn.XLOOKUP(E168,'All Products'!D:D,'All Products'!Q:Q,FALSE)</f>
        <v>0.65</v>
      </c>
      <c r="X168" s="331"/>
      <c r="Y168" s="331"/>
    </row>
    <row r="169" spans="1:25" ht="15" customHeight="1">
      <c r="A169" s="101" t="str">
        <f>IF(K169&gt;0,COUNT($A$8:A168)
+COUNT('DWV PVC'!$A$9:$A$316)
+COUNT('DWV ABS'!$A$8:$A$116)
+COUNT('PVC SCH40'!$A$8:$A$424)
+COUNT('PVC SCH40 LD'!$A$8:$A$21)
+COUNT('Pool &amp; SPA Sweep Elbows'!$A$8:$A$11)
+COUNT('Pool &amp; SPA Pipe Extender'!$A$8:$A$10)
+COUNT('PVC SCH80'!$A$8:$A$249)
+COUNT('PVC SCH80 Flange'!$A$8:$A$48)
+COUNT('PVC SCH80 LD Flange'!$A$8:$A$16)
+COUNT(CPVC!$A$9:$A$104)+1,"")</f>
        <v/>
      </c>
      <c r="B169" s="431" t="s">
        <v>5768</v>
      </c>
      <c r="C169" s="343"/>
      <c r="D169" s="333"/>
      <c r="E169" s="343"/>
      <c r="F169" s="333"/>
      <c r="G169" s="343"/>
      <c r="H169" s="343"/>
      <c r="I169" s="343"/>
      <c r="J169" s="344"/>
      <c r="K169" s="343"/>
      <c r="L169" s="343"/>
      <c r="M169" s="345"/>
      <c r="O169" s="528"/>
      <c r="P169" s="343"/>
      <c r="Q169" s="514"/>
      <c r="R169" s="514"/>
      <c r="S169" s="514"/>
      <c r="T169" s="343"/>
      <c r="U169" s="343"/>
      <c r="V169" s="343"/>
      <c r="W169" s="345"/>
    </row>
    <row r="170" spans="1:25" ht="15" customHeight="1">
      <c r="A170" s="101" t="str">
        <f>IF(K170&gt;0,COUNT($A$8:A169)
+COUNT('DWV PVC'!$A$9:$A$316)
+COUNT('DWV ABS'!$A$8:$A$116)
+COUNT('PVC SCH40'!$A$8:$A$424)
+COUNT('PVC SCH40 LD'!$A$8:$A$21)
+COUNT('Pool &amp; SPA Sweep Elbows'!$A$8:$A$11)
+COUNT('Pool &amp; SPA Pipe Extender'!$A$8:$A$10)
+COUNT('PVC SCH80'!$A$8:$A$249)
+COUNT('PVC SCH80 Flange'!$A$8:$A$48)
+COUNT('PVC SCH80 LD Flange'!$A$8:$A$16)
+COUNT(CPVC!$A$9:$A$104)+1,"")</f>
        <v/>
      </c>
      <c r="B170" s="608"/>
      <c r="C170" s="609"/>
      <c r="D170" s="443" t="str">
        <f>_xlfn.XLOOKUP(E170,'All Products'!D:D,'All Products'!C:C,FALSE)</f>
        <v>1436-072</v>
      </c>
      <c r="E170" s="153">
        <v>100022125</v>
      </c>
      <c r="F170" s="236" t="str">
        <f>_xlfn.XLOOKUP(E170,'All Products'!D:D,'All Products'!E:E,FALSE)</f>
        <v>1/2X1/4 MA INSERT</v>
      </c>
      <c r="G170" s="153">
        <f>_xlfn.XLOOKUP(E170,'All Products'!D:D,'All Products'!F:F,FALSE)</f>
        <v>250</v>
      </c>
      <c r="H170" s="153">
        <f>_xlfn.XLOOKUP(E170,'All Products'!D:D,'All Products'!G:G,FALSE)</f>
        <v>22500</v>
      </c>
      <c r="I170" s="371">
        <f>_xlfn.XLOOKUP(E170,'All Products'!D:D,'All Products'!H:H)</f>
        <v>6.09</v>
      </c>
      <c r="J170" s="256">
        <f>ROUNDUP(I170*Order_Quote!$L$12,2)</f>
        <v>6.09</v>
      </c>
      <c r="K170" s="340"/>
      <c r="L170" s="113"/>
      <c r="M170" s="243">
        <f t="shared" ref="M170:M177" si="13">K170/G170</f>
        <v>0</v>
      </c>
      <c r="O170" s="247" t="str">
        <f>_xlfn.XLOOKUP(E170,'All Products'!D:D,'All Products'!I:I,FALSE)</f>
        <v>In Stock</v>
      </c>
      <c r="P170" s="247" t="str">
        <f>_xlfn.XLOOKUP(E170,'All Products'!D:D,'All Products'!J:J,FALSE)</f>
        <v>Manufactured</v>
      </c>
      <c r="Q170" s="508">
        <f>_xlfn.XLOOKUP(E170,'All Products'!D:D,'All Products'!K:K,FALSE)</f>
        <v>49081105334</v>
      </c>
      <c r="R170" s="508">
        <f>_xlfn.XLOOKUP(E170,'All Products'!D:D,'All Products'!L:L,FALSE)</f>
        <v>49081605339</v>
      </c>
      <c r="S170" s="508">
        <f>_xlfn.XLOOKUP(E170,'All Products'!D:D,'All Products'!M:M,FALSE)</f>
        <v>40049081105332</v>
      </c>
      <c r="T170" s="264">
        <f>_xlfn.XLOOKUP(E170,'All Products'!D:D,'All Products'!N:N,FALSE)</f>
        <v>1.9E-2</v>
      </c>
      <c r="U170" s="215">
        <f>_xlfn.XLOOKUP(E170,'All Products'!D:D,'All Products'!O:O,FALSE)</f>
        <v>10</v>
      </c>
      <c r="V170" s="265">
        <f>_xlfn.XLOOKUP(E170,'All Products'!D:D,'All Products'!P:P,FALSE)</f>
        <v>5.44</v>
      </c>
      <c r="W170" s="265">
        <f>_xlfn.XLOOKUP(E170,'All Products'!D:D,'All Products'!Q:Q,FALSE)</f>
        <v>0.5</v>
      </c>
      <c r="X170" s="331"/>
      <c r="Y170" s="331"/>
    </row>
    <row r="171" spans="1:25" ht="15" customHeight="1">
      <c r="A171" s="101" t="str">
        <f>IF(K171&gt;0,COUNT($A$8:A170)
+COUNT('DWV PVC'!$A$9:$A$316)
+COUNT('DWV ABS'!$A$8:$A$116)
+COUNT('PVC SCH40'!$A$8:$A$424)
+COUNT('PVC SCH40 LD'!$A$8:$A$21)
+COUNT('Pool &amp; SPA Sweep Elbows'!$A$8:$A$11)
+COUNT('Pool &amp; SPA Pipe Extender'!$A$8:$A$10)
+COUNT('PVC SCH80'!$A$8:$A$249)
+COUNT('PVC SCH80 Flange'!$A$8:$A$48)
+COUNT('PVC SCH80 LD Flange'!$A$8:$A$16)
+COUNT(CPVC!$A$9:$A$104)+1,"")</f>
        <v/>
      </c>
      <c r="B171" s="610"/>
      <c r="C171" s="611"/>
      <c r="D171" s="443" t="str">
        <f>_xlfn.XLOOKUP(E171,'All Products'!D:D,'All Products'!C:C,FALSE)</f>
        <v>1436-101</v>
      </c>
      <c r="E171" s="103">
        <v>100022131</v>
      </c>
      <c r="F171" s="236" t="str">
        <f>_xlfn.XLOOKUP(E171,'All Products'!D:D,'All Products'!E:E,FALSE)</f>
        <v>3/4X1/2 MA INSERT</v>
      </c>
      <c r="G171" s="153">
        <f>_xlfn.XLOOKUP(E171,'All Products'!D:D,'All Products'!F:F,FALSE)</f>
        <v>250</v>
      </c>
      <c r="H171" s="153">
        <f>_xlfn.XLOOKUP(E171,'All Products'!D:D,'All Products'!G:G,FALSE)</f>
        <v>18750</v>
      </c>
      <c r="I171" s="372">
        <f>_xlfn.XLOOKUP(E171,'All Products'!D:D,'All Products'!H:H)</f>
        <v>6.93</v>
      </c>
      <c r="J171" s="256">
        <f>ROUNDUP(I171*Order_Quote!$L$12,2)</f>
        <v>6.93</v>
      </c>
      <c r="K171" s="341"/>
      <c r="L171" s="113"/>
      <c r="M171" s="171">
        <f t="shared" si="13"/>
        <v>0</v>
      </c>
      <c r="O171" s="247" t="str">
        <f>_xlfn.XLOOKUP(E171,'All Products'!D:D,'All Products'!I:I,FALSE)</f>
        <v>In Stock</v>
      </c>
      <c r="P171" s="247" t="str">
        <f>_xlfn.XLOOKUP(E171,'All Products'!D:D,'All Products'!J:J,FALSE)</f>
        <v>Manufactured</v>
      </c>
      <c r="Q171" s="508">
        <f>_xlfn.XLOOKUP(E171,'All Products'!D:D,'All Products'!K:K,FALSE)</f>
        <v>49081105341</v>
      </c>
      <c r="R171" s="508">
        <f>_xlfn.XLOOKUP(E171,'All Products'!D:D,'All Products'!L:L,FALSE)</f>
        <v>49081605346</v>
      </c>
      <c r="S171" s="508">
        <f>_xlfn.XLOOKUP(E171,'All Products'!D:D,'All Products'!M:M,FALSE)</f>
        <v>40049081105349</v>
      </c>
      <c r="T171" s="264">
        <f>_xlfn.XLOOKUP(E171,'All Products'!D:D,'All Products'!N:N,FALSE)</f>
        <v>3.7999999999999999E-2</v>
      </c>
      <c r="U171" s="215">
        <f>_xlfn.XLOOKUP(E171,'All Products'!D:D,'All Products'!O:O,FALSE)</f>
        <v>10</v>
      </c>
      <c r="V171" s="265">
        <f>_xlfn.XLOOKUP(E171,'All Products'!D:D,'All Products'!P:P,FALSE)</f>
        <v>10.4</v>
      </c>
      <c r="W171" s="265">
        <f>_xlfn.XLOOKUP(E171,'All Products'!D:D,'All Products'!Q:Q,FALSE)</f>
        <v>0.65</v>
      </c>
      <c r="X171" s="331"/>
      <c r="Y171" s="331"/>
    </row>
    <row r="172" spans="1:25" ht="15" customHeight="1">
      <c r="A172" s="101" t="str">
        <f>IF(K172&gt;0,COUNT($A$8:A171)
+COUNT('DWV PVC'!$A$9:$A$316)
+COUNT('DWV ABS'!$A$8:$A$116)
+COUNT('PVC SCH40'!$A$8:$A$424)
+COUNT('PVC SCH40 LD'!$A$8:$A$21)
+COUNT('Pool &amp; SPA Sweep Elbows'!$A$8:$A$11)
+COUNT('Pool &amp; SPA Pipe Extender'!$A$8:$A$10)
+COUNT('PVC SCH80'!$A$8:$A$249)
+COUNT('PVC SCH80 Flange'!$A$8:$A$48)
+COUNT('PVC SCH80 LD Flange'!$A$8:$A$16)
+COUNT(CPVC!$A$9:$A$104)+1,"")</f>
        <v/>
      </c>
      <c r="B172" s="610"/>
      <c r="C172" s="611"/>
      <c r="D172" s="443" t="str">
        <f>_xlfn.XLOOKUP(E172,'All Products'!D:D,'All Products'!C:C,FALSE)</f>
        <v>1436-130</v>
      </c>
      <c r="E172" s="103">
        <v>100022135</v>
      </c>
      <c r="F172" s="236" t="str">
        <f>_xlfn.XLOOKUP(E172,'All Products'!D:D,'All Products'!E:E,FALSE)</f>
        <v>1X1/2 MA INSERT</v>
      </c>
      <c r="G172" s="153">
        <f>_xlfn.XLOOKUP(E172,'All Products'!D:D,'All Products'!F:F,FALSE)</f>
        <v>100</v>
      </c>
      <c r="H172" s="153">
        <f>_xlfn.XLOOKUP(E172,'All Products'!D:D,'All Products'!G:G,FALSE)</f>
        <v>9000</v>
      </c>
      <c r="I172" s="372">
        <f>_xlfn.XLOOKUP(E172,'All Products'!D:D,'All Products'!H:H)</f>
        <v>9.65</v>
      </c>
      <c r="J172" s="256">
        <f>ROUNDUP(I172*Order_Quote!$L$12,2)</f>
        <v>9.65</v>
      </c>
      <c r="K172" s="341"/>
      <c r="L172" s="113"/>
      <c r="M172" s="171">
        <f t="shared" si="13"/>
        <v>0</v>
      </c>
      <c r="O172" s="247" t="str">
        <f>_xlfn.XLOOKUP(E172,'All Products'!D:D,'All Products'!I:I,FALSE)</f>
        <v>In Stock</v>
      </c>
      <c r="P172" s="247" t="str">
        <f>_xlfn.XLOOKUP(E172,'All Products'!D:D,'All Products'!J:J,FALSE)</f>
        <v>Manufactured</v>
      </c>
      <c r="Q172" s="508">
        <f>_xlfn.XLOOKUP(E172,'All Products'!D:D,'All Products'!K:K,FALSE)</f>
        <v>49081105419</v>
      </c>
      <c r="R172" s="508">
        <f>_xlfn.XLOOKUP(E172,'All Products'!D:D,'All Products'!L:L,FALSE)</f>
        <v>49081605414</v>
      </c>
      <c r="S172" s="508">
        <f>_xlfn.XLOOKUP(E172,'All Products'!D:D,'All Products'!M:M,FALSE)</f>
        <v>40049081105417</v>
      </c>
      <c r="T172" s="264">
        <f>_xlfn.XLOOKUP(E172,'All Products'!D:D,'All Products'!N:N,FALSE)</f>
        <v>6.0999999999999999E-2</v>
      </c>
      <c r="U172" s="215">
        <f>_xlfn.XLOOKUP(E172,'All Products'!D:D,'All Products'!O:O,FALSE)</f>
        <v>10</v>
      </c>
      <c r="V172" s="265">
        <f>_xlfn.XLOOKUP(E172,'All Products'!D:D,'All Products'!P:P,FALSE)</f>
        <v>6.16</v>
      </c>
      <c r="W172" s="265">
        <f>_xlfn.XLOOKUP(E172,'All Products'!D:D,'All Products'!Q:Q,FALSE)</f>
        <v>0.5</v>
      </c>
      <c r="X172" s="331"/>
      <c r="Y172" s="331"/>
    </row>
    <row r="173" spans="1:25" ht="15" customHeight="1">
      <c r="A173" s="101" t="str">
        <f>IF(K173&gt;0,COUNT($A$8:A172)
+COUNT('DWV PVC'!$A$9:$A$316)
+COUNT('DWV ABS'!$A$8:$A$116)
+COUNT('PVC SCH40'!$A$8:$A$424)
+COUNT('PVC SCH40 LD'!$A$8:$A$21)
+COUNT('Pool &amp; SPA Sweep Elbows'!$A$8:$A$11)
+COUNT('Pool &amp; SPA Pipe Extender'!$A$8:$A$10)
+COUNT('PVC SCH80'!$A$8:$A$249)
+COUNT('PVC SCH80 Flange'!$A$8:$A$48)
+COUNT('PVC SCH80 LD Flange'!$A$8:$A$16)
+COUNT(CPVC!$A$9:$A$104)+1,"")</f>
        <v/>
      </c>
      <c r="B173" s="610"/>
      <c r="C173" s="611"/>
      <c r="D173" s="443" t="str">
        <f>_xlfn.XLOOKUP(E173,'All Products'!D:D,'All Products'!C:C,FALSE)</f>
        <v>1436-131</v>
      </c>
      <c r="E173" s="103">
        <v>100022137</v>
      </c>
      <c r="F173" s="236" t="str">
        <f>_xlfn.XLOOKUP(E173,'All Products'!D:D,'All Products'!E:E,FALSE)</f>
        <v>1X3/4 MA INSERT</v>
      </c>
      <c r="G173" s="153">
        <f>_xlfn.XLOOKUP(E173,'All Products'!D:D,'All Products'!F:F,FALSE)</f>
        <v>100</v>
      </c>
      <c r="H173" s="153">
        <f>_xlfn.XLOOKUP(E173,'All Products'!D:D,'All Products'!G:G,FALSE)</f>
        <v>9000</v>
      </c>
      <c r="I173" s="372">
        <f>_xlfn.XLOOKUP(E173,'All Products'!D:D,'All Products'!H:H)</f>
        <v>7.2</v>
      </c>
      <c r="J173" s="256">
        <f>ROUNDUP(I173*Order_Quote!$L$12,2)</f>
        <v>7.2</v>
      </c>
      <c r="K173" s="341"/>
      <c r="L173" s="113"/>
      <c r="M173" s="171">
        <f t="shared" si="13"/>
        <v>0</v>
      </c>
      <c r="O173" s="247" t="str">
        <f>_xlfn.XLOOKUP(E173,'All Products'!D:D,'All Products'!I:I,FALSE)</f>
        <v>In Stock</v>
      </c>
      <c r="P173" s="247" t="str">
        <f>_xlfn.XLOOKUP(E173,'All Products'!D:D,'All Products'!J:J,FALSE)</f>
        <v>Manufactured</v>
      </c>
      <c r="Q173" s="508">
        <f>_xlfn.XLOOKUP(E173,'All Products'!D:D,'All Products'!K:K,FALSE)</f>
        <v>49081105358</v>
      </c>
      <c r="R173" s="508">
        <f>_xlfn.XLOOKUP(E173,'All Products'!D:D,'All Products'!L:L,FALSE)</f>
        <v>49081605353</v>
      </c>
      <c r="S173" s="508">
        <f>_xlfn.XLOOKUP(E173,'All Products'!D:D,'All Products'!M:M,FALSE)</f>
        <v>40049081105356</v>
      </c>
      <c r="T173" s="264">
        <f>_xlfn.XLOOKUP(E173,'All Products'!D:D,'All Products'!N:N,FALSE)</f>
        <v>5.1999999999999998E-2</v>
      </c>
      <c r="U173" s="215">
        <f>_xlfn.XLOOKUP(E173,'All Products'!D:D,'All Products'!O:O,FALSE)</f>
        <v>10</v>
      </c>
      <c r="V173" s="265">
        <f>_xlfn.XLOOKUP(E173,'All Products'!D:D,'All Products'!P:P,FALSE)</f>
        <v>6.34</v>
      </c>
      <c r="W173" s="265">
        <f>_xlfn.XLOOKUP(E173,'All Products'!D:D,'All Products'!Q:Q,FALSE)</f>
        <v>0.5</v>
      </c>
      <c r="X173" s="331"/>
      <c r="Y173" s="331"/>
    </row>
    <row r="174" spans="1:25" ht="15" customHeight="1">
      <c r="A174" s="101" t="str">
        <f>IF(K174&gt;0,COUNT($A$8:A173)
+COUNT('DWV PVC'!$A$9:$A$316)
+COUNT('DWV ABS'!$A$8:$A$116)
+COUNT('PVC SCH40'!$A$8:$A$424)
+COUNT('PVC SCH40 LD'!$A$8:$A$21)
+COUNT('Pool &amp; SPA Sweep Elbows'!$A$8:$A$11)
+COUNT('Pool &amp; SPA Pipe Extender'!$A$8:$A$10)
+COUNT('PVC SCH80'!$A$8:$A$249)
+COUNT('PVC SCH80 Flange'!$A$8:$A$48)
+COUNT('PVC SCH80 LD Flange'!$A$8:$A$16)
+COUNT(CPVC!$A$9:$A$104)+1,"")</f>
        <v/>
      </c>
      <c r="B174" s="610"/>
      <c r="C174" s="611"/>
      <c r="D174" s="443" t="str">
        <f>_xlfn.XLOOKUP(E174,'All Products'!D:D,'All Products'!C:C,FALSE)</f>
        <v>1436-168</v>
      </c>
      <c r="E174" s="103">
        <v>100022143</v>
      </c>
      <c r="F174" s="236" t="str">
        <f>_xlfn.XLOOKUP(E174,'All Products'!D:D,'All Products'!E:E,FALSE)</f>
        <v>1-1/4X1 MA INSERT</v>
      </c>
      <c r="G174" s="153">
        <f>_xlfn.XLOOKUP(E174,'All Products'!D:D,'All Products'!F:F,FALSE)</f>
        <v>100</v>
      </c>
      <c r="H174" s="153">
        <f>_xlfn.XLOOKUP(E174,'All Products'!D:D,'All Products'!G:G,FALSE)</f>
        <v>7500</v>
      </c>
      <c r="I174" s="372">
        <f>_xlfn.XLOOKUP(E174,'All Products'!D:D,'All Products'!H:H)</f>
        <v>9.0500000000000007</v>
      </c>
      <c r="J174" s="256">
        <f>ROUNDUP(I174*Order_Quote!$L$12,2)</f>
        <v>9.0500000000000007</v>
      </c>
      <c r="K174" s="341"/>
      <c r="L174" s="113"/>
      <c r="M174" s="171">
        <f t="shared" si="13"/>
        <v>0</v>
      </c>
      <c r="O174" s="247" t="str">
        <f>_xlfn.XLOOKUP(E174,'All Products'!D:D,'All Products'!I:I,FALSE)</f>
        <v>Within 3 Weeks</v>
      </c>
      <c r="P174" s="247" t="str">
        <f>_xlfn.XLOOKUP(E174,'All Products'!D:D,'All Products'!J:J,FALSE)</f>
        <v>Manufactured</v>
      </c>
      <c r="Q174" s="508">
        <f>_xlfn.XLOOKUP(E174,'All Products'!D:D,'All Products'!K:K,FALSE)</f>
        <v>49081105372</v>
      </c>
      <c r="R174" s="508">
        <f>_xlfn.XLOOKUP(E174,'All Products'!D:D,'All Products'!L:L,FALSE)</f>
        <v>49081605377</v>
      </c>
      <c r="S174" s="508">
        <f>_xlfn.XLOOKUP(E174,'All Products'!D:D,'All Products'!M:M,FALSE)</f>
        <v>40049081105370</v>
      </c>
      <c r="T174" s="264">
        <f>_xlfn.XLOOKUP(E174,'All Products'!D:D,'All Products'!N:N,FALSE)</f>
        <v>9.0999999999999998E-2</v>
      </c>
      <c r="U174" s="215">
        <f>_xlfn.XLOOKUP(E174,'All Products'!D:D,'All Products'!O:O,FALSE)</f>
        <v>10</v>
      </c>
      <c r="V174" s="265">
        <f>_xlfn.XLOOKUP(E174,'All Products'!D:D,'All Products'!P:P,FALSE)</f>
        <v>9.4</v>
      </c>
      <c r="W174" s="265">
        <f>_xlfn.XLOOKUP(E174,'All Products'!D:D,'All Products'!Q:Q,FALSE)</f>
        <v>0.65</v>
      </c>
      <c r="X174" s="331"/>
      <c r="Y174" s="331"/>
    </row>
    <row r="175" spans="1:25" ht="15" customHeight="1">
      <c r="A175" s="101" t="str">
        <f>IF(K175&gt;0,COUNT($A$8:A174)
+COUNT('DWV PVC'!$A$9:$A$316)
+COUNT('DWV ABS'!$A$8:$A$116)
+COUNT('PVC SCH40'!$A$8:$A$424)
+COUNT('PVC SCH40 LD'!$A$8:$A$21)
+COUNT('Pool &amp; SPA Sweep Elbows'!$A$8:$A$11)
+COUNT('Pool &amp; SPA Pipe Extender'!$A$8:$A$10)
+COUNT('PVC SCH80'!$A$8:$A$249)
+COUNT('PVC SCH80 Flange'!$A$8:$A$48)
+COUNT('PVC SCH80 LD Flange'!$A$8:$A$16)
+COUNT(CPVC!$A$9:$A$104)+1,"")</f>
        <v/>
      </c>
      <c r="B175" s="610"/>
      <c r="C175" s="611"/>
      <c r="D175" s="443" t="str">
        <f>_xlfn.XLOOKUP(E175,'All Products'!D:D,'All Products'!C:C,FALSE)</f>
        <v>1436-211</v>
      </c>
      <c r="E175" s="103">
        <v>100022147</v>
      </c>
      <c r="F175" s="236" t="str">
        <f>_xlfn.XLOOKUP(E175,'All Products'!D:D,'All Products'!E:E,FALSE)</f>
        <v>1-1/2X1 MA INSERT</v>
      </c>
      <c r="G175" s="153">
        <f>_xlfn.XLOOKUP(E175,'All Products'!D:D,'All Products'!F:F,FALSE)</f>
        <v>50</v>
      </c>
      <c r="H175" s="153">
        <f>_xlfn.XLOOKUP(E175,'All Products'!D:D,'All Products'!G:G,FALSE)</f>
        <v>4500</v>
      </c>
      <c r="I175" s="372">
        <f>_xlfn.XLOOKUP(E175,'All Products'!D:D,'All Products'!H:H)</f>
        <v>11.03</v>
      </c>
      <c r="J175" s="256">
        <f>ROUNDUP(I175*Order_Quote!$L$12,2)</f>
        <v>11.03</v>
      </c>
      <c r="K175" s="341"/>
      <c r="L175" s="113"/>
      <c r="M175" s="171">
        <f t="shared" si="13"/>
        <v>0</v>
      </c>
      <c r="O175" s="247" t="str">
        <f>_xlfn.XLOOKUP(E175,'All Products'!D:D,'All Products'!I:I,FALSE)</f>
        <v>In Stock</v>
      </c>
      <c r="P175" s="247" t="str">
        <f>_xlfn.XLOOKUP(E175,'All Products'!D:D,'All Products'!J:J,FALSE)</f>
        <v>Manufactured</v>
      </c>
      <c r="Q175" s="508">
        <f>_xlfn.XLOOKUP(E175,'All Products'!D:D,'All Products'!K:K,FALSE)</f>
        <v>49081105389</v>
      </c>
      <c r="R175" s="508">
        <f>_xlfn.XLOOKUP(E175,'All Products'!D:D,'All Products'!L:L,FALSE)</f>
        <v>49081605384</v>
      </c>
      <c r="S175" s="508">
        <f>_xlfn.XLOOKUP(E175,'All Products'!D:D,'All Products'!M:M,FALSE)</f>
        <v>40049081105387</v>
      </c>
      <c r="T175" s="264">
        <f>_xlfn.XLOOKUP(E175,'All Products'!D:D,'All Products'!N:N,FALSE)</f>
        <v>0.10199999999999999</v>
      </c>
      <c r="U175" s="215">
        <f>_xlfn.XLOOKUP(E175,'All Products'!D:D,'All Products'!O:O,FALSE)</f>
        <v>10</v>
      </c>
      <c r="V175" s="265">
        <f>_xlfn.XLOOKUP(E175,'All Products'!D:D,'All Products'!P:P,FALSE)</f>
        <v>5.79</v>
      </c>
      <c r="W175" s="265">
        <f>_xlfn.XLOOKUP(E175,'All Products'!D:D,'All Products'!Q:Q,FALSE)</f>
        <v>0.5</v>
      </c>
      <c r="X175" s="331"/>
      <c r="Y175" s="331"/>
    </row>
    <row r="176" spans="1:25" ht="15" customHeight="1">
      <c r="A176" s="101" t="str">
        <f>IF(K176&gt;0,COUNT($A$8:A175)
+COUNT('DWV PVC'!$A$9:$A$316)
+COUNT('DWV ABS'!$A$8:$A$116)
+COUNT('PVC SCH40'!$A$8:$A$424)
+COUNT('PVC SCH40 LD'!$A$8:$A$21)
+COUNT('Pool &amp; SPA Sweep Elbows'!$A$8:$A$11)
+COUNT('Pool &amp; SPA Pipe Extender'!$A$8:$A$10)
+COUNT('PVC SCH80'!$A$8:$A$249)
+COUNT('PVC SCH80 Flange'!$A$8:$A$48)
+COUNT('PVC SCH80 LD Flange'!$A$8:$A$16)
+COUNT(CPVC!$A$9:$A$104)+1,"")</f>
        <v/>
      </c>
      <c r="B176" s="610"/>
      <c r="C176" s="611"/>
      <c r="D176" s="443" t="str">
        <f>_xlfn.XLOOKUP(E176,'All Products'!D:D,'All Products'!C:C,FALSE)</f>
        <v>1436-212</v>
      </c>
      <c r="E176" s="154">
        <v>100022148</v>
      </c>
      <c r="F176" s="236" t="str">
        <f>_xlfn.XLOOKUP(E176,'All Products'!D:D,'All Products'!E:E,FALSE)</f>
        <v>1-1/2X1-1/4 MA INSERT</v>
      </c>
      <c r="G176" s="153">
        <f>_xlfn.XLOOKUP(E176,'All Products'!D:D,'All Products'!F:F,FALSE)</f>
        <v>50</v>
      </c>
      <c r="H176" s="153">
        <f>_xlfn.XLOOKUP(E176,'All Products'!D:D,'All Products'!G:G,FALSE)</f>
        <v>4500</v>
      </c>
      <c r="I176" s="372">
        <f>_xlfn.XLOOKUP(E176,'All Products'!D:D,'All Products'!H:H)</f>
        <v>11.03</v>
      </c>
      <c r="J176" s="256">
        <f>ROUNDUP(I176*Order_Quote!$L$12,2)</f>
        <v>11.03</v>
      </c>
      <c r="K176" s="346"/>
      <c r="L176" s="113"/>
      <c r="M176" s="244">
        <f t="shared" si="13"/>
        <v>0</v>
      </c>
      <c r="O176" s="247" t="str">
        <f>_xlfn.XLOOKUP(E176,'All Products'!D:D,'All Products'!I:I,FALSE)</f>
        <v>In Stock</v>
      </c>
      <c r="P176" s="247" t="str">
        <f>_xlfn.XLOOKUP(E176,'All Products'!D:D,'All Products'!J:J,FALSE)</f>
        <v>Manufactured</v>
      </c>
      <c r="Q176" s="508">
        <f>_xlfn.XLOOKUP(E176,'All Products'!D:D,'All Products'!K:K,FALSE)</f>
        <v>49081105396</v>
      </c>
      <c r="R176" s="508">
        <f>_xlfn.XLOOKUP(E176,'All Products'!D:D,'All Products'!L:L,FALSE)</f>
        <v>49081605391</v>
      </c>
      <c r="S176" s="508">
        <f>_xlfn.XLOOKUP(E176,'All Products'!D:D,'All Products'!M:M,FALSE)</f>
        <v>40049081105394</v>
      </c>
      <c r="T176" s="264">
        <f>_xlfn.XLOOKUP(E176,'All Products'!D:D,'All Products'!N:N,FALSE)</f>
        <v>0.11</v>
      </c>
      <c r="U176" s="215">
        <f>_xlfn.XLOOKUP(E176,'All Products'!D:D,'All Products'!O:O,FALSE)</f>
        <v>10</v>
      </c>
      <c r="V176" s="265">
        <f>_xlfn.XLOOKUP(E176,'All Products'!D:D,'All Products'!P:P,FALSE)</f>
        <v>6.12</v>
      </c>
      <c r="W176" s="265">
        <f>_xlfn.XLOOKUP(E176,'All Products'!D:D,'All Products'!Q:Q,FALSE)</f>
        <v>0.5</v>
      </c>
      <c r="X176" s="331"/>
      <c r="Y176" s="331"/>
    </row>
    <row r="177" spans="1:25" ht="15" customHeight="1">
      <c r="A177" s="101" t="str">
        <f>IF(K177&gt;0,COUNT($A$8:A176)
+COUNT('DWV PVC'!$A$9:$A$316)
+COUNT('DWV ABS'!$A$8:$A$116)
+COUNT('PVC SCH40'!$A$8:$A$424)
+COUNT('PVC SCH40 LD'!$A$8:$A$21)
+COUNT('Pool &amp; SPA Sweep Elbows'!$A$8:$A$11)
+COUNT('Pool &amp; SPA Pipe Extender'!$A$8:$A$10)
+COUNT('PVC SCH80'!$A$8:$A$249)
+COUNT('PVC SCH80 Flange'!$A$8:$A$48)
+COUNT('PVC SCH80 LD Flange'!$A$8:$A$16)
+COUNT(CPVC!$A$9:$A$104)+1,"")</f>
        <v/>
      </c>
      <c r="B177" s="612"/>
      <c r="C177" s="613"/>
      <c r="D177" s="443" t="str">
        <f>_xlfn.XLOOKUP(E177,'All Products'!D:D,'All Products'!C:C,FALSE)</f>
        <v>1436-251</v>
      </c>
      <c r="E177" s="103">
        <v>100022152</v>
      </c>
      <c r="F177" s="236" t="str">
        <f>_xlfn.XLOOKUP(E177,'All Products'!D:D,'All Products'!E:E,FALSE)</f>
        <v>2X1-1/2 MA INSERT</v>
      </c>
      <c r="G177" s="153">
        <f>_xlfn.XLOOKUP(E177,'All Products'!D:D,'All Products'!F:F,FALSE)</f>
        <v>25</v>
      </c>
      <c r="H177" s="153">
        <f>_xlfn.XLOOKUP(E177,'All Products'!D:D,'All Products'!G:G,FALSE)</f>
        <v>2250</v>
      </c>
      <c r="I177" s="372">
        <f>_xlfn.XLOOKUP(E177,'All Products'!D:D,'All Products'!H:H)</f>
        <v>18.54</v>
      </c>
      <c r="J177" s="256">
        <f>ROUNDUP(I177*Order_Quote!$L$12,2)</f>
        <v>18.54</v>
      </c>
      <c r="K177" s="341"/>
      <c r="L177" s="168"/>
      <c r="M177" s="171">
        <f t="shared" si="13"/>
        <v>0</v>
      </c>
      <c r="O177" s="247" t="str">
        <f>_xlfn.XLOOKUP(E177,'All Products'!D:D,'All Products'!I:I,FALSE)</f>
        <v>In Stock</v>
      </c>
      <c r="P177" s="247" t="str">
        <f>_xlfn.XLOOKUP(E177,'All Products'!D:D,'All Products'!J:J,FALSE)</f>
        <v>Manufactured</v>
      </c>
      <c r="Q177" s="508">
        <f>_xlfn.XLOOKUP(E177,'All Products'!D:D,'All Products'!K:K,FALSE)</f>
        <v>49081105402</v>
      </c>
      <c r="R177" s="508">
        <f>_xlfn.XLOOKUP(E177,'All Products'!D:D,'All Products'!L:L,FALSE)</f>
        <v>49081605407</v>
      </c>
      <c r="S177" s="508">
        <f>_xlfn.XLOOKUP(E177,'All Products'!D:D,'All Products'!M:M,FALSE)</f>
        <v>40049081105400</v>
      </c>
      <c r="T177" s="264">
        <f>_xlfn.XLOOKUP(E177,'All Products'!D:D,'All Products'!N:N,FALSE)</f>
        <v>0.20200000000000001</v>
      </c>
      <c r="U177" s="215">
        <f>_xlfn.XLOOKUP(E177,'All Products'!D:D,'All Products'!O:O,FALSE)</f>
        <v>5</v>
      </c>
      <c r="V177" s="265">
        <f>_xlfn.XLOOKUP(E177,'All Products'!D:D,'All Products'!P:P,FALSE)</f>
        <v>4.95</v>
      </c>
      <c r="W177" s="265">
        <f>_xlfn.XLOOKUP(E177,'All Products'!D:D,'All Products'!Q:Q,FALSE)</f>
        <v>0.5</v>
      </c>
      <c r="X177" s="331"/>
      <c r="Y177" s="331"/>
    </row>
    <row r="178" spans="1:25" ht="15" customHeight="1">
      <c r="A178" s="101" t="str">
        <f>IF(K178&gt;0,COUNT($A$8:A177)
+COUNT('DWV PVC'!$A$9:$A$316)
+COUNT('DWV ABS'!$A$8:$A$116)
+COUNT('PVC SCH40'!$A$8:$A$424)
+COUNT('PVC SCH40 LD'!$A$8:$A$21)
+COUNT('Pool &amp; SPA Sweep Elbows'!$A$8:$A$11)
+COUNT('Pool &amp; SPA Pipe Extender'!$A$8:$A$10)
+COUNT('PVC SCH80'!$A$8:$A$249)
+COUNT('PVC SCH80 Flange'!$A$8:$A$48)
+COUNT('PVC SCH80 LD Flange'!$A$8:$A$16)
+COUNT(CPVC!$A$9:$A$104)+1,"")</f>
        <v/>
      </c>
      <c r="B178" s="437" t="s">
        <v>5769</v>
      </c>
      <c r="C178" s="333"/>
      <c r="D178" s="333"/>
      <c r="E178" s="333"/>
      <c r="F178" s="333"/>
      <c r="G178" s="333"/>
      <c r="H178" s="333"/>
      <c r="I178" s="333"/>
      <c r="J178" s="334"/>
      <c r="K178" s="333"/>
      <c r="L178" s="333"/>
      <c r="M178" s="335"/>
      <c r="O178" s="525"/>
      <c r="P178" s="333"/>
      <c r="Q178" s="509"/>
      <c r="R178" s="509"/>
      <c r="S178" s="509"/>
      <c r="T178" s="333"/>
      <c r="U178" s="333"/>
      <c r="V178" s="333"/>
      <c r="W178" s="335"/>
    </row>
    <row r="179" spans="1:25" ht="15" customHeight="1">
      <c r="A179" s="101" t="str">
        <f>IF(K179&gt;0,COUNT($A$8:A178)
+COUNT('DWV PVC'!$A$9:$A$316)
+COUNT('DWV ABS'!$A$8:$A$116)
+COUNT('PVC SCH40'!$A$8:$A$424)
+COUNT('PVC SCH40 LD'!$A$8:$A$21)
+COUNT('Pool &amp; SPA Sweep Elbows'!$A$8:$A$11)
+COUNT('Pool &amp; SPA Pipe Extender'!$A$8:$A$10)
+COUNT('PVC SCH80'!$A$8:$A$249)
+COUNT('PVC SCH80 Flange'!$A$8:$A$48)
+COUNT('PVC SCH80 LD Flange'!$A$8:$A$16)
+COUNT(CPVC!$A$9:$A$104)+1,"")</f>
        <v/>
      </c>
      <c r="B179" s="608"/>
      <c r="C179" s="609"/>
      <c r="D179" s="443" t="str">
        <f>_xlfn.XLOOKUP(E179,'All Products'!D:D,'All Products'!C:C,FALSE)</f>
        <v>1449-005</v>
      </c>
      <c r="E179" s="153">
        <v>100022154</v>
      </c>
      <c r="F179" s="236" t="str">
        <f>_xlfn.XLOOKUP(E179,'All Products'!D:D,'All Products'!E:E,FALSE)</f>
        <v>1/2 PLUG INSERT</v>
      </c>
      <c r="G179" s="153">
        <f>_xlfn.XLOOKUP(E179,'All Products'!D:D,'All Products'!F:F,FALSE)</f>
        <v>500</v>
      </c>
      <c r="H179" s="153">
        <f>_xlfn.XLOOKUP(E179,'All Products'!D:D,'All Products'!G:G,FALSE)</f>
        <v>37500</v>
      </c>
      <c r="I179" s="371">
        <f>_xlfn.XLOOKUP(E179,'All Products'!D:D,'All Products'!H:H)</f>
        <v>4.3899999999999997</v>
      </c>
      <c r="J179" s="256">
        <f>ROUNDUP(I179*Order_Quote!$L$12,2)</f>
        <v>4.3899999999999997</v>
      </c>
      <c r="K179" s="161"/>
      <c r="L179" s="113"/>
      <c r="M179" s="243">
        <f t="shared" ref="M179:M184" si="14">K179/G179</f>
        <v>0</v>
      </c>
      <c r="O179" s="247" t="str">
        <f>_xlfn.XLOOKUP(E179,'All Products'!D:D,'All Products'!I:I,FALSE)</f>
        <v>In Stock</v>
      </c>
      <c r="P179" s="247" t="str">
        <f>_xlfn.XLOOKUP(E179,'All Products'!D:D,'All Products'!J:J,FALSE)</f>
        <v>Manufactured</v>
      </c>
      <c r="Q179" s="508">
        <f>_xlfn.XLOOKUP(E179,'All Products'!D:D,'All Products'!K:K,FALSE)</f>
        <v>49081106263</v>
      </c>
      <c r="R179" s="508">
        <f>_xlfn.XLOOKUP(E179,'All Products'!D:D,'All Products'!L:L,FALSE)</f>
        <v>49081606268</v>
      </c>
      <c r="S179" s="508">
        <f>_xlfn.XLOOKUP(E179,'All Products'!D:D,'All Products'!M:M,FALSE)</f>
        <v>40049081106261</v>
      </c>
      <c r="T179" s="264">
        <f>_xlfn.XLOOKUP(E179,'All Products'!D:D,'All Products'!N:N,FALSE)</f>
        <v>1.4E-2</v>
      </c>
      <c r="U179" s="215">
        <f>_xlfn.XLOOKUP(E179,'All Products'!D:D,'All Products'!O:O,FALSE)</f>
        <v>10</v>
      </c>
      <c r="V179" s="265">
        <f>_xlfn.XLOOKUP(E179,'All Products'!D:D,'All Products'!P:P,FALSE)</f>
        <v>7.82</v>
      </c>
      <c r="W179" s="265">
        <f>_xlfn.XLOOKUP(E179,'All Products'!D:D,'All Products'!Q:Q,FALSE)</f>
        <v>0.65</v>
      </c>
      <c r="X179" s="331"/>
      <c r="Y179" s="331"/>
    </row>
    <row r="180" spans="1:25" ht="15" customHeight="1">
      <c r="A180" s="101" t="str">
        <f>IF(K180&gt;0,COUNT($A$8:A179)
+COUNT('DWV PVC'!$A$9:$A$316)
+COUNT('DWV ABS'!$A$8:$A$116)
+COUNT('PVC SCH40'!$A$8:$A$424)
+COUNT('PVC SCH40 LD'!$A$8:$A$21)
+COUNT('Pool &amp; SPA Sweep Elbows'!$A$8:$A$11)
+COUNT('Pool &amp; SPA Pipe Extender'!$A$8:$A$10)
+COUNT('PVC SCH80'!$A$8:$A$249)
+COUNT('PVC SCH80 Flange'!$A$8:$A$48)
+COUNT('PVC SCH80 LD Flange'!$A$8:$A$16)
+COUNT(CPVC!$A$9:$A$104)+1,"")</f>
        <v/>
      </c>
      <c r="B180" s="610"/>
      <c r="C180" s="611"/>
      <c r="D180" s="443" t="str">
        <f>_xlfn.XLOOKUP(E180,'All Products'!D:D,'All Products'!C:C,FALSE)</f>
        <v>1449-007</v>
      </c>
      <c r="E180" s="103">
        <v>100022156</v>
      </c>
      <c r="F180" s="236" t="str">
        <f>_xlfn.XLOOKUP(E180,'All Products'!D:D,'All Products'!E:E,FALSE)</f>
        <v>3/4 PLUG INSERT</v>
      </c>
      <c r="G180" s="153">
        <f>_xlfn.XLOOKUP(E180,'All Products'!D:D,'All Products'!F:F,FALSE)</f>
        <v>500</v>
      </c>
      <c r="H180" s="153">
        <f>_xlfn.XLOOKUP(E180,'All Products'!D:D,'All Products'!G:G,FALSE)</f>
        <v>22500</v>
      </c>
      <c r="I180" s="372">
        <f>_xlfn.XLOOKUP(E180,'All Products'!D:D,'All Products'!H:H)</f>
        <v>4.57</v>
      </c>
      <c r="J180" s="256">
        <f>ROUNDUP(I180*Order_Quote!$L$12,2)</f>
        <v>4.57</v>
      </c>
      <c r="K180" s="75"/>
      <c r="L180" s="113"/>
      <c r="M180" s="171">
        <f t="shared" si="14"/>
        <v>0</v>
      </c>
      <c r="O180" s="247" t="str">
        <f>_xlfn.XLOOKUP(E180,'All Products'!D:D,'All Products'!I:I,FALSE)</f>
        <v>In Stock</v>
      </c>
      <c r="P180" s="247" t="str">
        <f>_xlfn.XLOOKUP(E180,'All Products'!D:D,'All Products'!J:J,FALSE)</f>
        <v>Manufactured</v>
      </c>
      <c r="Q180" s="508">
        <f>_xlfn.XLOOKUP(E180,'All Products'!D:D,'All Products'!K:K,FALSE)</f>
        <v>49081106270</v>
      </c>
      <c r="R180" s="508">
        <f>_xlfn.XLOOKUP(E180,'All Products'!D:D,'All Products'!L:L,FALSE)</f>
        <v>49081606275</v>
      </c>
      <c r="S180" s="508">
        <f>_xlfn.XLOOKUP(E180,'All Products'!D:D,'All Products'!M:M,FALSE)</f>
        <v>40049081106278</v>
      </c>
      <c r="T180" s="264">
        <f>_xlfn.XLOOKUP(E180,'All Products'!D:D,'All Products'!N:N,FALSE)</f>
        <v>0.02</v>
      </c>
      <c r="U180" s="215">
        <f>_xlfn.XLOOKUP(E180,'All Products'!D:D,'All Products'!O:O,FALSE)</f>
        <v>10</v>
      </c>
      <c r="V180" s="265">
        <f>_xlfn.XLOOKUP(E180,'All Products'!D:D,'All Products'!P:P,FALSE)</f>
        <v>11.76</v>
      </c>
      <c r="W180" s="265">
        <f>_xlfn.XLOOKUP(E180,'All Products'!D:D,'All Products'!Q:Q,FALSE)</f>
        <v>0.95</v>
      </c>
      <c r="X180" s="331"/>
      <c r="Y180" s="331"/>
    </row>
    <row r="181" spans="1:25" ht="15" customHeight="1">
      <c r="A181" s="101" t="str">
        <f>IF(K181&gt;0,COUNT($A$8:A180)
+COUNT('DWV PVC'!$A$9:$A$316)
+COUNT('DWV ABS'!$A$8:$A$116)
+COUNT('PVC SCH40'!$A$8:$A$424)
+COUNT('PVC SCH40 LD'!$A$8:$A$21)
+COUNT('Pool &amp; SPA Sweep Elbows'!$A$8:$A$11)
+COUNT('Pool &amp; SPA Pipe Extender'!$A$8:$A$10)
+COUNT('PVC SCH80'!$A$8:$A$249)
+COUNT('PVC SCH80 Flange'!$A$8:$A$48)
+COUNT('PVC SCH80 LD Flange'!$A$8:$A$16)
+COUNT(CPVC!$A$9:$A$104)+1,"")</f>
        <v/>
      </c>
      <c r="B181" s="610"/>
      <c r="C181" s="611"/>
      <c r="D181" s="443" t="str">
        <f>_xlfn.XLOOKUP(E181,'All Products'!D:D,'All Products'!C:C,FALSE)</f>
        <v>1449-010</v>
      </c>
      <c r="E181" s="103">
        <v>100022158</v>
      </c>
      <c r="F181" s="236" t="str">
        <f>_xlfn.XLOOKUP(E181,'All Products'!D:D,'All Products'!E:E,FALSE)</f>
        <v>1 PLUG INSERT</v>
      </c>
      <c r="G181" s="153">
        <f>_xlfn.XLOOKUP(E181,'All Products'!D:D,'All Products'!F:F,FALSE)</f>
        <v>250</v>
      </c>
      <c r="H181" s="153">
        <f>_xlfn.XLOOKUP(E181,'All Products'!D:D,'All Products'!G:G,FALSE)</f>
        <v>22500</v>
      </c>
      <c r="I181" s="372">
        <f>_xlfn.XLOOKUP(E181,'All Products'!D:D,'All Products'!H:H)</f>
        <v>6.18</v>
      </c>
      <c r="J181" s="256">
        <f>ROUNDUP(I181*Order_Quote!$L$12,2)</f>
        <v>6.18</v>
      </c>
      <c r="K181" s="75"/>
      <c r="L181" s="113"/>
      <c r="M181" s="171">
        <f t="shared" si="14"/>
        <v>0</v>
      </c>
      <c r="O181" s="247" t="str">
        <f>_xlfn.XLOOKUP(E181,'All Products'!D:D,'All Products'!I:I,FALSE)</f>
        <v>In Stock</v>
      </c>
      <c r="P181" s="247" t="str">
        <f>_xlfn.XLOOKUP(E181,'All Products'!D:D,'All Products'!J:J,FALSE)</f>
        <v>Manufactured</v>
      </c>
      <c r="Q181" s="508">
        <f>_xlfn.XLOOKUP(E181,'All Products'!D:D,'All Products'!K:K,FALSE)</f>
        <v>49081106287</v>
      </c>
      <c r="R181" s="508">
        <f>_xlfn.XLOOKUP(E181,'All Products'!D:D,'All Products'!L:L,FALSE)</f>
        <v>49081606282</v>
      </c>
      <c r="S181" s="508">
        <f>_xlfn.XLOOKUP(E181,'All Products'!D:D,'All Products'!M:M,FALSE)</f>
        <v>40049081106285</v>
      </c>
      <c r="T181" s="264">
        <f>_xlfn.XLOOKUP(E181,'All Products'!D:D,'All Products'!N:N,FALSE)</f>
        <v>3.3000000000000002E-2</v>
      </c>
      <c r="U181" s="215">
        <f>_xlfn.XLOOKUP(E181,'All Products'!D:D,'All Products'!O:O,FALSE)</f>
        <v>10</v>
      </c>
      <c r="V181" s="265">
        <f>_xlfn.XLOOKUP(E181,'All Products'!D:D,'All Products'!P:P,FALSE)</f>
        <v>14.33</v>
      </c>
      <c r="W181" s="265">
        <f>_xlfn.XLOOKUP(E181,'All Products'!D:D,'All Products'!Q:Q,FALSE)</f>
        <v>0.5</v>
      </c>
      <c r="X181" s="331"/>
      <c r="Y181" s="331"/>
    </row>
    <row r="182" spans="1:25" ht="15" customHeight="1">
      <c r="A182" s="101" t="str">
        <f>IF(K182&gt;0,COUNT($A$8:A181)
+COUNT('DWV PVC'!$A$9:$A$316)
+COUNT('DWV ABS'!$A$8:$A$116)
+COUNT('PVC SCH40'!$A$8:$A$424)
+COUNT('PVC SCH40 LD'!$A$8:$A$21)
+COUNT('Pool &amp; SPA Sweep Elbows'!$A$8:$A$11)
+COUNT('Pool &amp; SPA Pipe Extender'!$A$8:$A$10)
+COUNT('PVC SCH80'!$A$8:$A$249)
+COUNT('PVC SCH80 Flange'!$A$8:$A$48)
+COUNT('PVC SCH80 LD Flange'!$A$8:$A$16)
+COUNT(CPVC!$A$9:$A$104)+1,"")</f>
        <v/>
      </c>
      <c r="B182" s="610"/>
      <c r="C182" s="611"/>
      <c r="D182" s="443" t="str">
        <f>_xlfn.XLOOKUP(E182,'All Products'!D:D,'All Products'!C:C,FALSE)</f>
        <v>1449-012</v>
      </c>
      <c r="E182" s="103">
        <v>100022159</v>
      </c>
      <c r="F182" s="236" t="str">
        <f>_xlfn.XLOOKUP(E182,'All Products'!D:D,'All Products'!E:E,FALSE)</f>
        <v>1-1/4 PLUG INSERT</v>
      </c>
      <c r="G182" s="153">
        <f>_xlfn.XLOOKUP(E182,'All Products'!D:D,'All Products'!F:F,FALSE)</f>
        <v>125</v>
      </c>
      <c r="H182" s="153">
        <f>_xlfn.XLOOKUP(E182,'All Products'!D:D,'All Products'!G:G,FALSE)</f>
        <v>15000</v>
      </c>
      <c r="I182" s="372">
        <f>_xlfn.XLOOKUP(E182,'All Products'!D:D,'All Products'!H:H)</f>
        <v>7.82</v>
      </c>
      <c r="J182" s="256">
        <f>ROUNDUP(I182*Order_Quote!$L$12,2)</f>
        <v>7.82</v>
      </c>
      <c r="K182" s="75"/>
      <c r="L182" s="113"/>
      <c r="M182" s="171">
        <f t="shared" si="14"/>
        <v>0</v>
      </c>
      <c r="O182" s="247" t="str">
        <f>_xlfn.XLOOKUP(E182,'All Products'!D:D,'All Products'!I:I,FALSE)</f>
        <v>In Stock</v>
      </c>
      <c r="P182" s="247" t="str">
        <f>_xlfn.XLOOKUP(E182,'All Products'!D:D,'All Products'!J:J,FALSE)</f>
        <v>Manufactured</v>
      </c>
      <c r="Q182" s="508">
        <f>_xlfn.XLOOKUP(E182,'All Products'!D:D,'All Products'!K:K,FALSE)</f>
        <v>49081106294</v>
      </c>
      <c r="R182" s="508">
        <f>_xlfn.XLOOKUP(E182,'All Products'!D:D,'All Products'!L:L,FALSE)</f>
        <v>49081606299</v>
      </c>
      <c r="S182" s="508">
        <f>_xlfn.XLOOKUP(E182,'All Products'!D:D,'All Products'!M:M,FALSE)</f>
        <v>40049081106292</v>
      </c>
      <c r="T182" s="264">
        <f>_xlfn.XLOOKUP(E182,'All Products'!D:D,'All Products'!N:N,FALSE)</f>
        <v>0.05</v>
      </c>
      <c r="U182" s="215">
        <f>_xlfn.XLOOKUP(E182,'All Products'!D:D,'All Products'!O:O,FALSE)</f>
        <v>5</v>
      </c>
      <c r="V182" s="265">
        <f>_xlfn.XLOOKUP(E182,'All Products'!D:D,'All Products'!P:P,FALSE)</f>
        <v>7.56</v>
      </c>
      <c r="W182" s="265">
        <f>_xlfn.XLOOKUP(E182,'All Products'!D:D,'All Products'!Q:Q,FALSE)</f>
        <v>0.65</v>
      </c>
      <c r="X182" s="331"/>
      <c r="Y182" s="331"/>
    </row>
    <row r="183" spans="1:25" ht="15" customHeight="1">
      <c r="A183" s="101" t="str">
        <f>IF(K183&gt;0,COUNT($A$8:A182)
+COUNT('DWV PVC'!$A$9:$A$316)
+COUNT('DWV ABS'!$A$8:$A$116)
+COUNT('PVC SCH40'!$A$8:$A$424)
+COUNT('PVC SCH40 LD'!$A$8:$A$21)
+COUNT('Pool &amp; SPA Sweep Elbows'!$A$8:$A$11)
+COUNT('Pool &amp; SPA Pipe Extender'!$A$8:$A$10)
+COUNT('PVC SCH80'!$A$8:$A$249)
+COUNT('PVC SCH80 Flange'!$A$8:$A$48)
+COUNT('PVC SCH80 LD Flange'!$A$8:$A$16)
+COUNT(CPVC!$A$9:$A$104)+1,"")</f>
        <v/>
      </c>
      <c r="B183" s="610"/>
      <c r="C183" s="611"/>
      <c r="D183" s="443" t="str">
        <f>_xlfn.XLOOKUP(E183,'All Products'!D:D,'All Products'!C:C,FALSE)</f>
        <v>1449-015</v>
      </c>
      <c r="E183" s="103">
        <v>100022161</v>
      </c>
      <c r="F183" s="236" t="str">
        <f>_xlfn.XLOOKUP(E183,'All Products'!D:D,'All Products'!E:E,FALSE)</f>
        <v>1-1/2 PLUG INSERT</v>
      </c>
      <c r="G183" s="153">
        <f>_xlfn.XLOOKUP(E183,'All Products'!D:D,'All Products'!F:F,FALSE)</f>
        <v>125</v>
      </c>
      <c r="H183" s="153">
        <f>_xlfn.XLOOKUP(E183,'All Products'!D:D,'All Products'!G:G,FALSE)</f>
        <v>11250</v>
      </c>
      <c r="I183" s="372">
        <f>_xlfn.XLOOKUP(E183,'All Products'!D:D,'All Products'!H:H)</f>
        <v>8.5299999999999994</v>
      </c>
      <c r="J183" s="256">
        <f>ROUNDUP(I183*Order_Quote!$L$12,2)</f>
        <v>8.5299999999999994</v>
      </c>
      <c r="K183" s="75"/>
      <c r="L183" s="113"/>
      <c r="M183" s="171">
        <f t="shared" si="14"/>
        <v>0</v>
      </c>
      <c r="O183" s="247" t="str">
        <f>_xlfn.XLOOKUP(E183,'All Products'!D:D,'All Products'!I:I,FALSE)</f>
        <v>In Stock</v>
      </c>
      <c r="P183" s="247" t="str">
        <f>_xlfn.XLOOKUP(E183,'All Products'!D:D,'All Products'!J:J,FALSE)</f>
        <v>Manufactured</v>
      </c>
      <c r="Q183" s="508">
        <f>_xlfn.XLOOKUP(E183,'All Products'!D:D,'All Products'!K:K,FALSE)</f>
        <v>49081106300</v>
      </c>
      <c r="R183" s="508">
        <f>_xlfn.XLOOKUP(E183,'All Products'!D:D,'All Products'!L:L,FALSE)</f>
        <v>49081606305</v>
      </c>
      <c r="S183" s="508">
        <f>_xlfn.XLOOKUP(E183,'All Products'!D:D,'All Products'!M:M,FALSE)</f>
        <v>40049081106308</v>
      </c>
      <c r="T183" s="264">
        <f>_xlfn.XLOOKUP(E183,'All Products'!D:D,'All Products'!N:N,FALSE)</f>
        <v>6.2E-2</v>
      </c>
      <c r="U183" s="215">
        <f>_xlfn.XLOOKUP(E183,'All Products'!D:D,'All Products'!O:O,FALSE)</f>
        <v>5</v>
      </c>
      <c r="V183" s="265">
        <f>_xlfn.XLOOKUP(E183,'All Products'!D:D,'All Products'!P:P,FALSE)</f>
        <v>9.08</v>
      </c>
      <c r="W183" s="265">
        <f>_xlfn.XLOOKUP(E183,'All Products'!D:D,'All Products'!Q:Q,FALSE)</f>
        <v>0.8</v>
      </c>
      <c r="X183" s="331"/>
      <c r="Y183" s="331"/>
    </row>
    <row r="184" spans="1:25" ht="15" customHeight="1">
      <c r="A184" s="101" t="str">
        <f>IF(K184&gt;0,COUNT($A$8:A183)
+COUNT('DWV PVC'!$A$9:$A$316)
+COUNT('DWV ABS'!$A$8:$A$116)
+COUNT('PVC SCH40'!$A$8:$A$424)
+COUNT('PVC SCH40 LD'!$A$8:$A$21)
+COUNT('Pool &amp; SPA Sweep Elbows'!$A$8:$A$11)
+COUNT('Pool &amp; SPA Pipe Extender'!$A$8:$A$10)
+COUNT('PVC SCH80'!$A$8:$A$249)
+COUNT('PVC SCH80 Flange'!$A$8:$A$48)
+COUNT('PVC SCH80 LD Flange'!$A$8:$A$16)
+COUNT(CPVC!$A$9:$A$104)+1,"")</f>
        <v/>
      </c>
      <c r="B184" s="612"/>
      <c r="C184" s="613"/>
      <c r="D184" s="443" t="str">
        <f>_xlfn.XLOOKUP(E184,'All Products'!D:D,'All Products'!C:C,FALSE)</f>
        <v>1449-020</v>
      </c>
      <c r="E184" s="103">
        <v>100022162</v>
      </c>
      <c r="F184" s="236" t="str">
        <f>_xlfn.XLOOKUP(E184,'All Products'!D:D,'All Products'!E:E,FALSE)</f>
        <v>2 PLUG INSERT</v>
      </c>
      <c r="G184" s="153">
        <f>_xlfn.XLOOKUP(E184,'All Products'!D:D,'All Products'!F:F,FALSE)</f>
        <v>50</v>
      </c>
      <c r="H184" s="153">
        <f>_xlfn.XLOOKUP(E184,'All Products'!D:D,'All Products'!G:G,FALSE)</f>
        <v>7500</v>
      </c>
      <c r="I184" s="372">
        <f>_xlfn.XLOOKUP(E184,'All Products'!D:D,'All Products'!H:H)</f>
        <v>15.03</v>
      </c>
      <c r="J184" s="256">
        <f>ROUNDUP(I184*Order_Quote!$L$12,2)</f>
        <v>15.03</v>
      </c>
      <c r="K184" s="75"/>
      <c r="L184" s="239"/>
      <c r="M184" s="171">
        <f t="shared" si="14"/>
        <v>0</v>
      </c>
      <c r="O184" s="247" t="str">
        <f>_xlfn.XLOOKUP(E184,'All Products'!D:D,'All Products'!I:I,FALSE)</f>
        <v>In Stock</v>
      </c>
      <c r="P184" s="247" t="str">
        <f>_xlfn.XLOOKUP(E184,'All Products'!D:D,'All Products'!J:J,FALSE)</f>
        <v>Manufactured</v>
      </c>
      <c r="Q184" s="508">
        <f>_xlfn.XLOOKUP(E184,'All Products'!D:D,'All Products'!K:K,FALSE)</f>
        <v>49081106317</v>
      </c>
      <c r="R184" s="508">
        <f>_xlfn.XLOOKUP(E184,'All Products'!D:D,'All Products'!L:L,FALSE)</f>
        <v>49081606312</v>
      </c>
      <c r="S184" s="508">
        <f>_xlfn.XLOOKUP(E184,'All Products'!D:D,'All Products'!M:M,FALSE)</f>
        <v>40049081106315</v>
      </c>
      <c r="T184" s="264">
        <f>_xlfn.XLOOKUP(E184,'All Products'!D:D,'All Products'!N:N,FALSE)</f>
        <v>0.121</v>
      </c>
      <c r="U184" s="215">
        <f>_xlfn.XLOOKUP(E184,'All Products'!D:D,'All Products'!O:O,FALSE)</f>
        <v>5</v>
      </c>
      <c r="V184" s="265">
        <f>_xlfn.XLOOKUP(E184,'All Products'!D:D,'All Products'!P:P,FALSE)</f>
        <v>5.99</v>
      </c>
      <c r="W184" s="265">
        <f>_xlfn.XLOOKUP(E184,'All Products'!D:D,'All Products'!Q:Q,FALSE)</f>
        <v>0.5</v>
      </c>
      <c r="X184" s="331"/>
      <c r="Y184" s="331"/>
    </row>
    <row r="185" spans="1:25" ht="15" customHeight="1">
      <c r="A185" s="101">
        <f>MAX(A9:A184)+1</f>
        <v>1</v>
      </c>
      <c r="B185" s="17"/>
    </row>
    <row r="186" spans="1:25" s="139" customFormat="1" ht="15" hidden="1" customHeight="1">
      <c r="A186" s="261"/>
      <c r="J186" s="347"/>
      <c r="Q186" s="463"/>
      <c r="R186" s="463"/>
      <c r="S186" s="463"/>
    </row>
    <row r="187" spans="1:25" s="139" customFormat="1" ht="15" hidden="1" customHeight="1">
      <c r="A187" s="261"/>
      <c r="J187" s="347"/>
      <c r="Q187" s="463"/>
      <c r="R187" s="463"/>
      <c r="S187" s="463"/>
    </row>
    <row r="188" spans="1:25" s="139" customFormat="1" ht="15" hidden="1" customHeight="1">
      <c r="A188" s="261"/>
      <c r="J188" s="347"/>
      <c r="Q188" s="463"/>
      <c r="R188" s="463"/>
      <c r="S188" s="463"/>
    </row>
    <row r="189" spans="1:25" ht="15" hidden="1" customHeight="1"/>
    <row r="190" spans="1:25" ht="15" hidden="1" customHeight="1"/>
    <row r="191" spans="1:25" ht="15" hidden="1" customHeight="1"/>
    <row r="192" spans="1:25" ht="15" hidden="1" customHeight="1"/>
    <row r="193" ht="15" hidden="1" customHeight="1"/>
    <row r="194" ht="15" hidden="1" customHeight="1"/>
    <row r="195" ht="15" hidden="1" customHeight="1"/>
    <row r="196" ht="15" hidden="1" customHeight="1"/>
    <row r="197" ht="15" hidden="1" customHeight="1"/>
    <row r="198" ht="15" hidden="1" customHeight="1"/>
    <row r="199" ht="15" hidden="1" customHeight="1"/>
    <row r="200" ht="15" hidden="1" customHeight="1"/>
    <row r="201" ht="15" hidden="1" customHeight="1"/>
    <row r="202" ht="15" hidden="1" customHeight="1"/>
    <row r="203" ht="15" hidden="1" customHeight="1"/>
    <row r="204" ht="15" hidden="1" customHeight="1"/>
    <row r="205" ht="15" hidden="1" customHeight="1"/>
    <row r="206" ht="15" hidden="1" customHeight="1"/>
    <row r="207" ht="15" hidden="1" customHeight="1"/>
    <row r="208" ht="15" hidden="1" customHeight="1"/>
    <row r="209" ht="15" hidden="1" customHeight="1"/>
    <row r="210" ht="15" hidden="1" customHeight="1"/>
    <row r="211" ht="15" hidden="1" customHeight="1"/>
    <row r="212" ht="15" hidden="1" customHeight="1"/>
    <row r="213" ht="15" hidden="1" customHeight="1"/>
    <row r="214" ht="15" hidden="1" customHeight="1"/>
    <row r="215" ht="15" hidden="1" customHeight="1"/>
    <row r="216" ht="15" hidden="1" customHeight="1"/>
    <row r="217" ht="15" hidden="1" customHeight="1"/>
    <row r="218" ht="15" hidden="1" customHeight="1"/>
    <row r="219" ht="15" hidden="1" customHeight="1"/>
    <row r="220" ht="15" hidden="1" customHeight="1"/>
    <row r="221" ht="15" hidden="1" customHeight="1"/>
    <row r="222" ht="15" hidden="1" customHeight="1"/>
    <row r="223" ht="15" hidden="1" customHeight="1"/>
    <row r="224" ht="15" hidden="1" customHeight="1"/>
    <row r="225" ht="15" hidden="1" customHeight="1"/>
    <row r="226" ht="15" hidden="1" customHeight="1"/>
    <row r="227" ht="15" hidden="1" customHeight="1"/>
    <row r="228" ht="15" hidden="1" customHeight="1"/>
    <row r="229" ht="15" hidden="1" customHeight="1"/>
    <row r="230" ht="15" hidden="1" customHeight="1"/>
    <row r="231" ht="15" hidden="1" customHeight="1"/>
    <row r="232" ht="15" hidden="1" customHeight="1"/>
    <row r="233" ht="15" hidden="1" customHeight="1"/>
    <row r="234" ht="15" hidden="1" customHeight="1"/>
    <row r="235" ht="15" hidden="1" customHeight="1"/>
    <row r="236" ht="15" hidden="1" customHeight="1"/>
    <row r="237" ht="15" hidden="1" customHeight="1"/>
    <row r="238" ht="15" hidden="1" customHeight="1"/>
    <row r="239" ht="15" hidden="1" customHeight="1"/>
    <row r="240" ht="15" hidden="1" customHeight="1"/>
    <row r="241" ht="15" hidden="1" customHeight="1"/>
    <row r="242" ht="15" hidden="1" customHeight="1"/>
    <row r="243" ht="15" hidden="1" customHeight="1"/>
    <row r="244" ht="15" hidden="1" customHeight="1"/>
    <row r="245" ht="15" hidden="1" customHeight="1"/>
    <row r="246" ht="15" hidden="1" customHeight="1"/>
    <row r="247" ht="15" hidden="1" customHeight="1"/>
    <row r="248" ht="15" hidden="1" customHeight="1"/>
    <row r="249" ht="15" hidden="1" customHeight="1"/>
    <row r="250" ht="15" hidden="1" customHeight="1"/>
    <row r="251" ht="15" hidden="1" customHeight="1"/>
    <row r="252" ht="15" hidden="1" customHeight="1"/>
    <row r="253" ht="15" hidden="1" customHeight="1"/>
    <row r="254" ht="15" hidden="1" customHeight="1"/>
    <row r="255" ht="15" hidden="1" customHeight="1"/>
    <row r="256" ht="15" hidden="1" customHeight="1"/>
    <row r="257" ht="15" hidden="1" customHeight="1"/>
    <row r="258" ht="15" hidden="1" customHeight="1"/>
    <row r="259" ht="15" hidden="1" customHeight="1"/>
    <row r="260" ht="15" hidden="1" customHeight="1"/>
    <row r="261" ht="15" hidden="1" customHeight="1"/>
    <row r="262" ht="15" hidden="1" customHeight="1"/>
    <row r="263" ht="15" hidden="1" customHeight="1"/>
    <row r="264" ht="15" hidden="1" customHeight="1"/>
    <row r="265" ht="15" hidden="1" customHeight="1"/>
    <row r="266" ht="15" hidden="1" customHeight="1"/>
    <row r="267" ht="15" hidden="1" customHeight="1"/>
    <row r="268" ht="15" hidden="1" customHeight="1"/>
    <row r="269" ht="15" hidden="1" customHeight="1"/>
    <row r="270" ht="15" hidden="1" customHeight="1"/>
    <row r="271" ht="15" hidden="1" customHeight="1"/>
    <row r="272"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row r="280" ht="15" hidden="1" customHeight="1"/>
    <row r="281" ht="15" hidden="1" customHeight="1"/>
    <row r="282" ht="15" hidden="1" customHeight="1"/>
    <row r="283" ht="15" hidden="1" customHeight="1"/>
    <row r="284" ht="15" hidden="1" customHeight="1"/>
    <row r="285" ht="15" hidden="1" customHeight="1"/>
    <row r="286" ht="15" hidden="1" customHeight="1"/>
    <row r="287" ht="15" hidden="1" customHeight="1"/>
    <row r="288" ht="15" hidden="1" customHeight="1"/>
    <row r="289" spans="1:23" ht="15" hidden="1" customHeight="1"/>
    <row r="290" spans="1:23" ht="15" hidden="1" customHeight="1"/>
    <row r="291" spans="1:23" ht="15" hidden="1" customHeight="1"/>
    <row r="292" spans="1:23" ht="15" hidden="1" customHeight="1"/>
    <row r="293" spans="1:23" ht="15" hidden="1" customHeight="1"/>
    <row r="294" spans="1:23" ht="15" hidden="1" customHeight="1"/>
    <row r="295" spans="1:23" ht="15" hidden="1" customHeight="1"/>
    <row r="296" spans="1:23" ht="15" hidden="1" customHeight="1"/>
    <row r="297" spans="1:23" ht="15" hidden="1" customHeight="1"/>
    <row r="298" spans="1:23" ht="15" hidden="1" customHeight="1"/>
    <row r="299" spans="1:23" ht="15" hidden="1" customHeight="1"/>
    <row r="300" spans="1:23" ht="15" hidden="1" customHeight="1"/>
    <row r="301" spans="1:23" ht="15" hidden="1" customHeight="1"/>
    <row r="302" spans="1:23" ht="15" hidden="1" customHeight="1"/>
    <row r="303" spans="1:23" s="20" customFormat="1" ht="15" hidden="1" customHeight="1">
      <c r="A303" s="261"/>
      <c r="B303" s="139"/>
      <c r="C303" s="139"/>
      <c r="D303" s="139"/>
      <c r="E303" s="139"/>
      <c r="F303" s="139"/>
      <c r="G303" s="139"/>
      <c r="H303" s="139"/>
      <c r="I303" s="139"/>
      <c r="J303" s="347"/>
      <c r="K303" s="139"/>
      <c r="L303" s="139"/>
      <c r="M303" s="139"/>
      <c r="N303" s="17"/>
      <c r="O303" s="139"/>
      <c r="P303" s="139"/>
      <c r="Q303" s="463"/>
      <c r="R303" s="463"/>
      <c r="S303" s="463"/>
      <c r="T303" s="139"/>
      <c r="U303" s="139"/>
      <c r="V303" s="139"/>
      <c r="W303" s="139"/>
    </row>
    <row r="304" spans="1:23" s="20" customFormat="1" ht="15" hidden="1" customHeight="1">
      <c r="A304" s="261"/>
      <c r="B304" s="139"/>
      <c r="C304" s="139"/>
      <c r="D304" s="139"/>
      <c r="E304" s="139"/>
      <c r="F304" s="139"/>
      <c r="G304" s="139"/>
      <c r="H304" s="139"/>
      <c r="I304" s="139"/>
      <c r="J304" s="347"/>
      <c r="K304" s="139"/>
      <c r="L304" s="139"/>
      <c r="M304" s="139"/>
      <c r="N304" s="17"/>
      <c r="O304" s="139"/>
      <c r="P304" s="139"/>
      <c r="Q304" s="463"/>
      <c r="R304" s="463"/>
      <c r="S304" s="463"/>
      <c r="T304" s="139"/>
      <c r="U304" s="139"/>
      <c r="V304" s="139"/>
      <c r="W304" s="139"/>
    </row>
    <row r="305" spans="1:23" s="20" customFormat="1" ht="15" hidden="1" customHeight="1">
      <c r="A305" s="261"/>
      <c r="B305" s="139"/>
      <c r="C305" s="139"/>
      <c r="D305" s="139"/>
      <c r="E305" s="139"/>
      <c r="F305" s="139"/>
      <c r="G305" s="139"/>
      <c r="H305" s="139"/>
      <c r="I305" s="139"/>
      <c r="J305" s="347"/>
      <c r="K305" s="139"/>
      <c r="L305" s="139"/>
      <c r="M305" s="139"/>
      <c r="N305" s="17"/>
      <c r="O305" s="139"/>
      <c r="P305" s="139"/>
      <c r="Q305" s="463"/>
      <c r="R305" s="463"/>
      <c r="S305" s="463"/>
      <c r="T305" s="139"/>
      <c r="U305" s="139"/>
      <c r="V305" s="139"/>
      <c r="W305" s="139"/>
    </row>
    <row r="306" spans="1:23" s="20" customFormat="1" ht="15" hidden="1" customHeight="1">
      <c r="A306" s="261"/>
      <c r="B306" s="139"/>
      <c r="C306" s="139"/>
      <c r="D306" s="139"/>
      <c r="E306" s="139"/>
      <c r="F306" s="139"/>
      <c r="G306" s="139"/>
      <c r="H306" s="139"/>
      <c r="I306" s="139"/>
      <c r="J306" s="347"/>
      <c r="K306" s="139"/>
      <c r="L306" s="139"/>
      <c r="M306" s="139"/>
      <c r="N306" s="17"/>
      <c r="O306" s="139"/>
      <c r="P306" s="139"/>
      <c r="Q306" s="463"/>
      <c r="R306" s="463"/>
      <c r="S306" s="463"/>
      <c r="T306" s="139"/>
      <c r="U306" s="139"/>
      <c r="V306" s="139"/>
      <c r="W306" s="139"/>
    </row>
    <row r="307" spans="1:23" s="20" customFormat="1" ht="15" hidden="1" customHeight="1">
      <c r="A307" s="261"/>
      <c r="B307" s="139"/>
      <c r="C307" s="139"/>
      <c r="D307" s="139"/>
      <c r="E307" s="139"/>
      <c r="F307" s="139"/>
      <c r="G307" s="139"/>
      <c r="H307" s="139"/>
      <c r="I307" s="139"/>
      <c r="J307" s="347"/>
      <c r="K307" s="139"/>
      <c r="L307" s="139"/>
      <c r="M307" s="139"/>
      <c r="N307" s="17"/>
      <c r="O307" s="139"/>
      <c r="P307" s="139"/>
      <c r="Q307" s="463"/>
      <c r="R307" s="463"/>
      <c r="S307" s="463"/>
      <c r="T307" s="139"/>
      <c r="U307" s="139"/>
      <c r="V307" s="139"/>
      <c r="W307" s="139"/>
    </row>
    <row r="308" spans="1:23" s="20" customFormat="1" ht="15" hidden="1" customHeight="1">
      <c r="A308" s="261"/>
      <c r="B308" s="139"/>
      <c r="C308" s="139"/>
      <c r="D308" s="139"/>
      <c r="E308" s="139"/>
      <c r="F308" s="139"/>
      <c r="G308" s="139"/>
      <c r="H308" s="139"/>
      <c r="I308" s="139"/>
      <c r="J308" s="347"/>
      <c r="K308" s="139"/>
      <c r="L308" s="139"/>
      <c r="M308" s="139"/>
      <c r="N308" s="17"/>
      <c r="O308" s="139"/>
      <c r="P308" s="139"/>
      <c r="Q308" s="463"/>
      <c r="R308" s="463"/>
      <c r="S308" s="463"/>
      <c r="T308" s="139"/>
      <c r="U308" s="139"/>
      <c r="V308" s="139"/>
      <c r="W308" s="139"/>
    </row>
  </sheetData>
  <sheetProtection algorithmName="SHA-512" hashValue="ji3mISKW52e8VMV1MExCgNUPlNJtQYkwQ6XPOOTsg5dwHzEpp3vfATTc+8kUnDlFh7kUXYpEfjU9h9Nf2Qm8CA==" saltValue="tkzAJaV9uybLHRuf5YoTmQ==" spinCount="100000" sheet="1" formatCells="0" formatColumns="0" formatRows="0" insertColumns="0" insertRows="0" insertHyperlinks="0" deleteColumns="0" deleteRows="0" sort="0" autoFilter="0" pivotTables="0"/>
  <mergeCells count="31">
    <mergeCell ref="B149:C154"/>
    <mergeCell ref="B156:C161"/>
    <mergeCell ref="B163:C168"/>
    <mergeCell ref="B170:C177"/>
    <mergeCell ref="B179:C184"/>
    <mergeCell ref="B112:C117"/>
    <mergeCell ref="B119:C126"/>
    <mergeCell ref="B128:C128"/>
    <mergeCell ref="B130:C131"/>
    <mergeCell ref="B133:C147"/>
    <mergeCell ref="B86:C95"/>
    <mergeCell ref="B97:C100"/>
    <mergeCell ref="B102:C104"/>
    <mergeCell ref="B106:C108"/>
    <mergeCell ref="B110:C110"/>
    <mergeCell ref="B60:C65"/>
    <mergeCell ref="B67:C67"/>
    <mergeCell ref="B69:C70"/>
    <mergeCell ref="B72:C77"/>
    <mergeCell ref="B79:C84"/>
    <mergeCell ref="J2:K3"/>
    <mergeCell ref="Q6:S6"/>
    <mergeCell ref="B9:C14"/>
    <mergeCell ref="B16:C23"/>
    <mergeCell ref="B25:C25"/>
    <mergeCell ref="B55:C58"/>
    <mergeCell ref="B27:C29"/>
    <mergeCell ref="B31:C32"/>
    <mergeCell ref="B34:C38"/>
    <mergeCell ref="B40:C51"/>
    <mergeCell ref="B53:C53"/>
  </mergeCells>
  <dataValidations xWindow="776" yWindow="685" count="5">
    <dataValidation type="whole" operator="greaterThanOrEqual" allowBlank="1" showInputMessage="1" showErrorMessage="1" errorTitle="Invalid entry!" error="An invalid quantity has been entered. Please enter only whole numbers. Click Retry to change entry or Cancel to clear entry." sqref="L7:L8" xr:uid="{D6A14330-A965-4DA0-9419-70ADB076CCAC}">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L9:L14 L16:L23 L110 L97:L108 L26:L67 L69:L84 L86:L95" xr:uid="{4FAC8CCB-F0C2-4F13-9EBD-D4B77D2FED59}">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7AF494F5-493C-4ABB-8629-D98DC178DDBF}">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163:L168 L1:L6 L170:L185 L111:L118 L126:L161" xr:uid="{8CCA0AB5-C361-4262-A3CE-0D1DF37EC3F3}">
      <formula1>1</formula1>
    </dataValidation>
    <dataValidation allowBlank="1" showErrorMessage="1" sqref="K1:K1048576" xr:uid="{C004B1AB-3158-4CB1-9074-DB0F973B10FB}"/>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pageSetUpPr fitToPage="1"/>
  </sheetPr>
  <dimension ref="A1:AA339"/>
  <sheetViews>
    <sheetView topLeftCell="A41" workbookViewId="0">
      <selection activeCell="O48" sqref="O48"/>
    </sheetView>
  </sheetViews>
  <sheetFormatPr defaultColWidth="9.109375" defaultRowHeight="14.4" zeroHeight="1"/>
  <cols>
    <col min="1" max="1" width="2.33203125" style="5" customWidth="1"/>
    <col min="2" max="3" width="8.6640625" style="2" customWidth="1"/>
    <col min="4" max="5" width="12.6640625" style="4" customWidth="1"/>
    <col min="6" max="6" width="50.6640625" style="2" customWidth="1"/>
    <col min="7" max="8" width="8.33203125" style="4" bestFit="1" customWidth="1"/>
    <col min="9" max="9" width="12.109375" style="4" customWidth="1"/>
    <col min="10" max="10" width="8.44140625" style="4" bestFit="1" customWidth="1"/>
    <col min="11" max="12" width="10.6640625" style="4" customWidth="1"/>
    <col min="13" max="13" width="10.6640625" style="10" customWidth="1"/>
    <col min="14" max="14" width="10.5546875" style="10" customWidth="1"/>
    <col min="15" max="15" width="9.5546875" style="2" customWidth="1"/>
    <col min="16" max="16" width="1.44140625" style="2" customWidth="1"/>
    <col min="17" max="17" width="11.5546875" style="4" bestFit="1" customWidth="1"/>
    <col min="18" max="18" width="2.109375" style="2" customWidth="1"/>
    <col min="19" max="19" width="12.6640625" style="4" customWidth="1"/>
    <col min="20" max="20" width="10.6640625" style="4" customWidth="1"/>
    <col min="21" max="21" width="12.109375" style="9" bestFit="1" customWidth="1"/>
    <col min="22" max="22" width="12.44140625" style="9" customWidth="1"/>
    <col min="23" max="23" width="14.109375" style="9" bestFit="1" customWidth="1"/>
    <col min="24" max="24" width="12.44140625" style="382" customWidth="1"/>
    <col min="25" max="29" width="12.44140625" style="2" customWidth="1"/>
    <col min="30" max="16384" width="9.109375" style="2"/>
  </cols>
  <sheetData>
    <row r="1" spans="1:27" ht="18">
      <c r="F1" s="211" t="s">
        <v>30</v>
      </c>
      <c r="G1" s="211"/>
      <c r="H1" s="211"/>
      <c r="I1" s="211"/>
      <c r="J1" s="211"/>
      <c r="K1" s="152"/>
      <c r="L1" s="152"/>
      <c r="S1" s="152"/>
      <c r="T1" s="152"/>
    </row>
    <row r="2" spans="1:27" ht="15.6">
      <c r="D2" s="12"/>
      <c r="E2" s="13"/>
      <c r="N2" s="661" t="s">
        <v>59</v>
      </c>
      <c r="O2" s="661"/>
    </row>
    <row r="3" spans="1:27">
      <c r="F3" s="323" t="s">
        <v>645</v>
      </c>
      <c r="G3" s="20"/>
      <c r="H3" s="20"/>
      <c r="I3" s="20"/>
      <c r="J3" s="20"/>
      <c r="N3" s="661"/>
      <c r="O3" s="661"/>
    </row>
    <row r="4" spans="1:27" ht="15.6">
      <c r="D4" s="12"/>
      <c r="E4" s="14" t="s">
        <v>5727</v>
      </c>
      <c r="F4" s="327" t="s">
        <v>5984</v>
      </c>
      <c r="G4" s="20"/>
      <c r="H4" s="20"/>
      <c r="I4" s="20"/>
      <c r="J4" s="20"/>
    </row>
    <row r="5" spans="1:27">
      <c r="E5" s="14" t="s">
        <v>646</v>
      </c>
      <c r="F5" s="325" t="s">
        <v>5973</v>
      </c>
      <c r="G5" s="20"/>
      <c r="H5" s="20"/>
      <c r="I5" s="20"/>
      <c r="J5" s="20"/>
    </row>
    <row r="6" spans="1:27">
      <c r="S6" s="353" t="s">
        <v>63</v>
      </c>
      <c r="U6" s="662" t="s">
        <v>64</v>
      </c>
      <c r="V6" s="662"/>
      <c r="W6" s="662"/>
    </row>
    <row r="7" spans="1:27" s="219" customFormat="1" ht="36" customHeight="1" thickBot="1">
      <c r="A7" s="43"/>
      <c r="B7" s="136"/>
      <c r="C7" s="136"/>
      <c r="D7" s="136" t="s">
        <v>48</v>
      </c>
      <c r="E7" s="136" t="s">
        <v>49</v>
      </c>
      <c r="F7" s="136" t="s">
        <v>50</v>
      </c>
      <c r="G7" s="136" t="s">
        <v>5820</v>
      </c>
      <c r="H7" s="136" t="s">
        <v>5823</v>
      </c>
      <c r="I7" s="136" t="s">
        <v>5824</v>
      </c>
      <c r="J7" s="136" t="s">
        <v>5828</v>
      </c>
      <c r="K7" s="136" t="s">
        <v>65</v>
      </c>
      <c r="L7" s="136" t="s">
        <v>66</v>
      </c>
      <c r="M7" s="157" t="s">
        <v>51</v>
      </c>
      <c r="N7" s="157" t="s">
        <v>55</v>
      </c>
      <c r="O7" s="158" t="s">
        <v>52</v>
      </c>
      <c r="Q7" s="143" t="s">
        <v>67</v>
      </c>
      <c r="S7" s="213" t="s">
        <v>68</v>
      </c>
      <c r="T7" s="213" t="s">
        <v>69</v>
      </c>
      <c r="U7" s="396" t="s">
        <v>70</v>
      </c>
      <c r="V7" s="396" t="s">
        <v>71</v>
      </c>
      <c r="W7" s="396" t="s">
        <v>72</v>
      </c>
      <c r="X7" s="383" t="s">
        <v>73</v>
      </c>
      <c r="Y7" s="213" t="s">
        <v>333</v>
      </c>
      <c r="Z7" s="213" t="s">
        <v>328</v>
      </c>
      <c r="AA7" s="213" t="s">
        <v>329</v>
      </c>
    </row>
    <row r="8" spans="1:27" s="17" customFormat="1" ht="16.2" thickBot="1">
      <c r="A8" s="101"/>
      <c r="B8" s="501" t="s">
        <v>5839</v>
      </c>
      <c r="C8" s="151"/>
      <c r="D8" s="151"/>
      <c r="E8" s="459"/>
      <c r="F8" s="151"/>
      <c r="G8" s="468"/>
      <c r="H8" s="151"/>
      <c r="I8" s="472"/>
      <c r="J8" s="468"/>
      <c r="K8" s="477"/>
      <c r="L8" s="476"/>
      <c r="M8" s="476"/>
      <c r="N8" s="476"/>
      <c r="O8" s="476"/>
      <c r="P8" s="523"/>
      <c r="Q8" s="492"/>
      <c r="R8" s="523"/>
      <c r="S8" s="492"/>
      <c r="T8" s="495"/>
      <c r="U8" s="496"/>
      <c r="V8" s="497"/>
      <c r="W8" s="497"/>
      <c r="X8" s="497"/>
      <c r="Y8" s="497"/>
      <c r="Z8" s="497"/>
      <c r="AA8" s="497"/>
    </row>
    <row r="9" spans="1:27" s="17" customFormat="1">
      <c r="A9" s="101" t="str">
        <f>IF(O9&gt;0,COUNT($A$8:A8)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9" s="608"/>
      <c r="C9" s="609"/>
      <c r="D9" s="103" t="str">
        <f>_xlfn.XLOOKUP(E9,'All Products'!D:D,'All Products'!C:C,FALSE)</f>
        <v>S1-005W</v>
      </c>
      <c r="E9" s="103">
        <v>100027228</v>
      </c>
      <c r="F9" s="53" t="str">
        <f>_xlfn.XLOOKUP(E9,'All Products'!D:D,'All Products'!E:E,FALSE)</f>
        <v>1/2 PVC BALL VALVE(SXS)</v>
      </c>
      <c r="G9" s="52" t="s">
        <v>5821</v>
      </c>
      <c r="H9" s="52" t="s">
        <v>5822</v>
      </c>
      <c r="I9" s="52" t="s">
        <v>5822</v>
      </c>
      <c r="J9" s="52" t="s">
        <v>5829</v>
      </c>
      <c r="K9" s="103">
        <f>_xlfn.XLOOKUP(E9,'All Products'!D:D,'All Products'!F:F,FALSE)</f>
        <v>100</v>
      </c>
      <c r="L9" s="103" t="str">
        <f>_xlfn.XLOOKUP(E9,'All Products'!D:D,'All Products'!G:G,FALSE)</f>
        <v>-</v>
      </c>
      <c r="M9" s="123">
        <f>_xlfn.XLOOKUP(E9,'All Products'!D:D,'All Products'!H:H)</f>
        <v>12.16</v>
      </c>
      <c r="N9" s="128">
        <f>ROUNDUP(M9*Order_Quote!$L$13,2)</f>
        <v>12.16</v>
      </c>
      <c r="O9" s="73"/>
      <c r="P9" s="76"/>
      <c r="Q9" s="104">
        <f t="shared" ref="Q9:Q40" si="0">O9/K9</f>
        <v>0</v>
      </c>
      <c r="S9" s="215" t="str">
        <f>_xlfn.XLOOKUP(E9,'All Products'!D:D,'All Products'!I:I,FALSE)</f>
        <v>In stock</v>
      </c>
      <c r="T9" s="215" t="str">
        <f>_xlfn.XLOOKUP(E9,'All Products'!D:D,'All Products'!J:J,FALSE)</f>
        <v>Sourced</v>
      </c>
      <c r="U9" s="266">
        <f>_xlfn.XLOOKUP(E9,'All Products'!D:D,'All Products'!K:K,FALSE)</f>
        <v>49081350024</v>
      </c>
      <c r="V9" s="266" t="str">
        <f>_xlfn.XLOOKUP(E9,'All Products'!D:D,'All Products'!L:L,FALSE)</f>
        <v>-</v>
      </c>
      <c r="W9" s="266">
        <f>_xlfn.XLOOKUP(E9,'All Products'!D:D,'All Products'!M:M,FALSE)</f>
        <v>40049081350022</v>
      </c>
      <c r="X9" s="265">
        <f>_xlfn.XLOOKUP(E9,'All Products'!D:D,'All Products'!N:N,FALSE)</f>
        <v>0.20799999999999999</v>
      </c>
      <c r="Y9" s="215" t="str">
        <f>_xlfn.XLOOKUP(E9,'All Products'!D:D,'All Products'!O:O,FALSE)</f>
        <v>-</v>
      </c>
      <c r="Z9" s="265">
        <f>_xlfn.XLOOKUP(E9,'All Products'!D:D,'All Products'!P:P,FALSE)</f>
        <v>21.59</v>
      </c>
      <c r="AA9" s="265">
        <f>_xlfn.XLOOKUP(E9,'All Products'!D:D,'All Products'!Q:Q,FALSE)</f>
        <v>1</v>
      </c>
    </row>
    <row r="10" spans="1:27" s="17" customFormat="1">
      <c r="A10" s="101" t="str">
        <f>IF(O10&gt;0,COUNT($A$8:A9)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10" s="610"/>
      <c r="C10" s="611"/>
      <c r="D10" s="103" t="str">
        <f>_xlfn.XLOOKUP(E10,'All Products'!D:D,'All Products'!C:C,FALSE)</f>
        <v>S1-007W</v>
      </c>
      <c r="E10" s="103">
        <v>100027230</v>
      </c>
      <c r="F10" s="53" t="str">
        <f>_xlfn.XLOOKUP(E10,'All Products'!D:D,'All Products'!E:E,FALSE)</f>
        <v>3/4 PVC BALL VALVE(SXS)</v>
      </c>
      <c r="G10" s="52" t="s">
        <v>5821</v>
      </c>
      <c r="H10" s="52" t="s">
        <v>5822</v>
      </c>
      <c r="I10" s="52" t="s">
        <v>5822</v>
      </c>
      <c r="J10" s="52" t="s">
        <v>5829</v>
      </c>
      <c r="K10" s="103">
        <f>_xlfn.XLOOKUP(E10,'All Products'!D:D,'All Products'!F:F,FALSE)</f>
        <v>100</v>
      </c>
      <c r="L10" s="103" t="str">
        <f>_xlfn.XLOOKUP(E10,'All Products'!D:D,'All Products'!G:G,FALSE)</f>
        <v>-</v>
      </c>
      <c r="M10" s="123">
        <f>_xlfn.XLOOKUP(E10,'All Products'!D:D,'All Products'!H:H)</f>
        <v>14.15</v>
      </c>
      <c r="N10" s="128">
        <f>ROUNDUP(M10*Order_Quote!$L$13,2)</f>
        <v>14.15</v>
      </c>
      <c r="O10" s="73"/>
      <c r="P10" s="76"/>
      <c r="Q10" s="104">
        <f t="shared" si="0"/>
        <v>0</v>
      </c>
      <c r="S10" s="215" t="str">
        <f>_xlfn.XLOOKUP(E10,'All Products'!D:D,'All Products'!I:I,FALSE)</f>
        <v>Within 4 Months</v>
      </c>
      <c r="T10" s="215" t="str">
        <f>_xlfn.XLOOKUP(E10,'All Products'!D:D,'All Products'!J:J,FALSE)</f>
        <v>Sourced</v>
      </c>
      <c r="U10" s="266">
        <f>_xlfn.XLOOKUP(E10,'All Products'!D:D,'All Products'!K:K,FALSE)</f>
        <v>49081350062</v>
      </c>
      <c r="V10" s="266" t="str">
        <f>_xlfn.XLOOKUP(E10,'All Products'!D:D,'All Products'!L:L,FALSE)</f>
        <v>-</v>
      </c>
      <c r="W10" s="266">
        <f>_xlfn.XLOOKUP(E10,'All Products'!D:D,'All Products'!M:M,FALSE)</f>
        <v>40049081350060</v>
      </c>
      <c r="X10" s="265">
        <f>_xlfn.XLOOKUP(E10,'All Products'!D:D,'All Products'!N:N,FALSE)</f>
        <v>36.909999999999997</v>
      </c>
      <c r="Y10" s="215" t="str">
        <f>_xlfn.XLOOKUP(E10,'All Products'!D:D,'All Products'!O:O,FALSE)</f>
        <v>-</v>
      </c>
      <c r="Z10" s="265">
        <f>_xlfn.XLOOKUP(E10,'All Products'!D:D,'All Products'!P:P,FALSE)</f>
        <v>36.909999999999997</v>
      </c>
      <c r="AA10" s="265">
        <f>_xlfn.XLOOKUP(E10,'All Products'!D:D,'All Products'!Q:Q,FALSE)</f>
        <v>1.7</v>
      </c>
    </row>
    <row r="11" spans="1:27" s="17" customFormat="1">
      <c r="A11" s="101" t="str">
        <f>IF(O11&gt;0,COUNT($A$8:A10)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11" s="610"/>
      <c r="C11" s="611"/>
      <c r="D11" s="103" t="str">
        <f>_xlfn.XLOOKUP(E11,'All Products'!D:D,'All Products'!C:C,FALSE)</f>
        <v>S1-010W</v>
      </c>
      <c r="E11" s="103">
        <v>100027232</v>
      </c>
      <c r="F11" s="53" t="str">
        <f>_xlfn.XLOOKUP(E11,'All Products'!D:D,'All Products'!E:E,FALSE)</f>
        <v>1 PVC BALL VALVE(SXS)</v>
      </c>
      <c r="G11" s="52" t="s">
        <v>5821</v>
      </c>
      <c r="H11" s="52" t="s">
        <v>5822</v>
      </c>
      <c r="I11" s="52" t="s">
        <v>5822</v>
      </c>
      <c r="J11" s="52" t="s">
        <v>5829</v>
      </c>
      <c r="K11" s="103">
        <f>_xlfn.XLOOKUP(E11,'All Products'!D:D,'All Products'!F:F,FALSE)</f>
        <v>100</v>
      </c>
      <c r="L11" s="103" t="str">
        <f>_xlfn.XLOOKUP(E11,'All Products'!D:D,'All Products'!G:G,FALSE)</f>
        <v>-</v>
      </c>
      <c r="M11" s="123">
        <f>_xlfn.XLOOKUP(E11,'All Products'!D:D,'All Products'!H:H)</f>
        <v>20.420000000000002</v>
      </c>
      <c r="N11" s="128">
        <f>ROUNDUP(M11*Order_Quote!$L$13,2)</f>
        <v>20.420000000000002</v>
      </c>
      <c r="O11" s="73"/>
      <c r="P11" s="76"/>
      <c r="Q11" s="104">
        <f t="shared" si="0"/>
        <v>0</v>
      </c>
      <c r="S11" s="215" t="str">
        <f>_xlfn.XLOOKUP(E11,'All Products'!D:D,'All Products'!I:I,FALSE)</f>
        <v>In stock</v>
      </c>
      <c r="T11" s="215" t="str">
        <f>_xlfn.XLOOKUP(E11,'All Products'!D:D,'All Products'!J:J,FALSE)</f>
        <v>Sourced</v>
      </c>
      <c r="U11" s="266">
        <f>_xlfn.XLOOKUP(E11,'All Products'!D:D,'All Products'!K:K,FALSE)</f>
        <v>49081350109</v>
      </c>
      <c r="V11" s="266" t="str">
        <f>_xlfn.XLOOKUP(E11,'All Products'!D:D,'All Products'!L:L,FALSE)</f>
        <v>-</v>
      </c>
      <c r="W11" s="266">
        <f>_xlfn.XLOOKUP(E11,'All Products'!D:D,'All Products'!M:M,FALSE)</f>
        <v>40049081350107</v>
      </c>
      <c r="X11" s="265">
        <f>_xlfn.XLOOKUP(E11,'All Products'!D:D,'All Products'!N:N,FALSE)</f>
        <v>56.7</v>
      </c>
      <c r="Y11" s="215" t="str">
        <f>_xlfn.XLOOKUP(E11,'All Products'!D:D,'All Products'!O:O,FALSE)</f>
        <v>-</v>
      </c>
      <c r="Z11" s="265">
        <f>_xlfn.XLOOKUP(E11,'All Products'!D:D,'All Products'!P:P,FALSE)</f>
        <v>56.7</v>
      </c>
      <c r="AA11" s="265">
        <f>_xlfn.XLOOKUP(E11,'All Products'!D:D,'All Products'!Q:Q,FALSE)</f>
        <v>2.6</v>
      </c>
    </row>
    <row r="12" spans="1:27" s="17" customFormat="1">
      <c r="A12" s="101" t="str">
        <f>IF(O12&gt;0,COUNT($A$8:A11)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12" s="610"/>
      <c r="C12" s="611"/>
      <c r="D12" s="103" t="str">
        <f>_xlfn.XLOOKUP(E12,'All Products'!D:D,'All Products'!C:C,FALSE)</f>
        <v>S1-012W</v>
      </c>
      <c r="E12" s="103">
        <v>100027234</v>
      </c>
      <c r="F12" s="53" t="str">
        <f>_xlfn.XLOOKUP(E12,'All Products'!D:D,'All Products'!E:E,FALSE)</f>
        <v>11/4PVC BALL VALVE(SXS)</v>
      </c>
      <c r="G12" s="52" t="s">
        <v>5821</v>
      </c>
      <c r="H12" s="52" t="s">
        <v>5822</v>
      </c>
      <c r="I12" s="52" t="s">
        <v>5822</v>
      </c>
      <c r="J12" s="52" t="s">
        <v>5829</v>
      </c>
      <c r="K12" s="103">
        <f>_xlfn.XLOOKUP(E12,'All Products'!D:D,'All Products'!F:F,FALSE)</f>
        <v>100</v>
      </c>
      <c r="L12" s="103" t="str">
        <f>_xlfn.XLOOKUP(E12,'All Products'!D:D,'All Products'!G:G,FALSE)</f>
        <v>-</v>
      </c>
      <c r="M12" s="123">
        <f>_xlfn.XLOOKUP(E12,'All Products'!D:D,'All Products'!H:H)</f>
        <v>24.79</v>
      </c>
      <c r="N12" s="128">
        <f>ROUNDUP(M12*Order_Quote!$L$13,2)</f>
        <v>24.79</v>
      </c>
      <c r="O12" s="73"/>
      <c r="P12" s="76"/>
      <c r="Q12" s="104">
        <f t="shared" si="0"/>
        <v>0</v>
      </c>
      <c r="S12" s="215" t="str">
        <f>_xlfn.XLOOKUP(E12,'All Products'!D:D,'All Products'!I:I,FALSE)</f>
        <v>Within 4 Months</v>
      </c>
      <c r="T12" s="215" t="str">
        <f>_xlfn.XLOOKUP(E12,'All Products'!D:D,'All Products'!J:J,FALSE)</f>
        <v>Sourced</v>
      </c>
      <c r="U12" s="266">
        <f>_xlfn.XLOOKUP(E12,'All Products'!D:D,'All Products'!K:K,FALSE)</f>
        <v>49081350147</v>
      </c>
      <c r="V12" s="266" t="str">
        <f>_xlfn.XLOOKUP(E12,'All Products'!D:D,'All Products'!L:L,FALSE)</f>
        <v>-</v>
      </c>
      <c r="W12" s="266">
        <f>_xlfn.XLOOKUP(E12,'All Products'!D:D,'All Products'!M:M,FALSE)</f>
        <v>40049081350145</v>
      </c>
      <c r="X12" s="265">
        <f>_xlfn.XLOOKUP(E12,'All Products'!D:D,'All Products'!N:N,FALSE)</f>
        <v>73.41</v>
      </c>
      <c r="Y12" s="215" t="str">
        <f>_xlfn.XLOOKUP(E12,'All Products'!D:D,'All Products'!O:O,FALSE)</f>
        <v>-</v>
      </c>
      <c r="Z12" s="265">
        <f>_xlfn.XLOOKUP(E12,'All Products'!D:D,'All Products'!P:P,FALSE)</f>
        <v>73.41</v>
      </c>
      <c r="AA12" s="265">
        <f>_xlfn.XLOOKUP(E12,'All Products'!D:D,'All Products'!Q:Q,FALSE)</f>
        <v>3.3</v>
      </c>
    </row>
    <row r="13" spans="1:27" s="17" customFormat="1">
      <c r="A13" s="101" t="str">
        <f>IF(O13&gt;0,COUNT($A$8:A12)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13" s="610"/>
      <c r="C13" s="611"/>
      <c r="D13" s="103" t="str">
        <f>_xlfn.XLOOKUP(E13,'All Products'!D:D,'All Products'!C:C,FALSE)</f>
        <v>S1-015W</v>
      </c>
      <c r="E13" s="103">
        <v>100027237</v>
      </c>
      <c r="F13" s="53" t="str">
        <f>_xlfn.XLOOKUP(E13,'All Products'!D:D,'All Products'!E:E,FALSE)</f>
        <v>11/2PVC BALL VALVE(SXS)</v>
      </c>
      <c r="G13" s="52" t="s">
        <v>5821</v>
      </c>
      <c r="H13" s="52" t="s">
        <v>5822</v>
      </c>
      <c r="I13" s="52" t="s">
        <v>5822</v>
      </c>
      <c r="J13" s="52" t="s">
        <v>5829</v>
      </c>
      <c r="K13" s="103">
        <f>_xlfn.XLOOKUP(E13,'All Products'!D:D,'All Products'!F:F,FALSE)</f>
        <v>48</v>
      </c>
      <c r="L13" s="103" t="str">
        <f>_xlfn.XLOOKUP(E13,'All Products'!D:D,'All Products'!G:G,FALSE)</f>
        <v>-</v>
      </c>
      <c r="M13" s="123">
        <f>_xlfn.XLOOKUP(E13,'All Products'!D:D,'All Products'!H:H)</f>
        <v>43.94</v>
      </c>
      <c r="N13" s="128">
        <f>ROUNDUP(M13*Order_Quote!$L$13,2)</f>
        <v>43.94</v>
      </c>
      <c r="O13" s="73"/>
      <c r="P13" s="76"/>
      <c r="Q13" s="104">
        <f t="shared" si="0"/>
        <v>0</v>
      </c>
      <c r="S13" s="215" t="str">
        <f>_xlfn.XLOOKUP(E13,'All Products'!D:D,'All Products'!I:I,FALSE)</f>
        <v>In stock</v>
      </c>
      <c r="T13" s="215" t="str">
        <f>_xlfn.XLOOKUP(E13,'All Products'!D:D,'All Products'!J:J,FALSE)</f>
        <v>Sourced</v>
      </c>
      <c r="U13" s="266">
        <f>_xlfn.XLOOKUP(E13,'All Products'!D:D,'All Products'!K:K,FALSE)</f>
        <v>49081350185</v>
      </c>
      <c r="V13" s="266" t="str">
        <f>_xlfn.XLOOKUP(E13,'All Products'!D:D,'All Products'!L:L,FALSE)</f>
        <v>-</v>
      </c>
      <c r="W13" s="266">
        <f>_xlfn.XLOOKUP(E13,'All Products'!D:D,'All Products'!M:M,FALSE)</f>
        <v>40049081350183</v>
      </c>
      <c r="X13" s="265">
        <f>_xlfn.XLOOKUP(E13,'All Products'!D:D,'All Products'!N:N,FALSE)</f>
        <v>50.42</v>
      </c>
      <c r="Y13" s="215" t="str">
        <f>_xlfn.XLOOKUP(E13,'All Products'!D:D,'All Products'!O:O,FALSE)</f>
        <v>-</v>
      </c>
      <c r="Z13" s="265">
        <f>_xlfn.XLOOKUP(E13,'All Products'!D:D,'All Products'!P:P,FALSE)</f>
        <v>50.42</v>
      </c>
      <c r="AA13" s="265">
        <f>_xlfn.XLOOKUP(E13,'All Products'!D:D,'All Products'!Q:Q,FALSE)</f>
        <v>2.4</v>
      </c>
    </row>
    <row r="14" spans="1:27" s="17" customFormat="1">
      <c r="A14" s="101" t="str">
        <f>IF(O14&gt;0,COUNT($A$8:A13)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14" s="610"/>
      <c r="C14" s="611"/>
      <c r="D14" s="103" t="str">
        <f>_xlfn.XLOOKUP(E14,'All Products'!D:D,'All Products'!C:C,FALSE)</f>
        <v>S1-020W</v>
      </c>
      <c r="E14" s="103">
        <v>100027240</v>
      </c>
      <c r="F14" s="53" t="str">
        <f>_xlfn.XLOOKUP(E14,'All Products'!D:D,'All Products'!E:E,FALSE)</f>
        <v>2 PVC BALL VALVE(SXS)</v>
      </c>
      <c r="G14" s="52" t="s">
        <v>5821</v>
      </c>
      <c r="H14" s="52" t="s">
        <v>5822</v>
      </c>
      <c r="I14" s="52" t="s">
        <v>5822</v>
      </c>
      <c r="J14" s="52" t="s">
        <v>5829</v>
      </c>
      <c r="K14" s="103">
        <f>_xlfn.XLOOKUP(E14,'All Products'!D:D,'All Products'!F:F,FALSE)</f>
        <v>24</v>
      </c>
      <c r="L14" s="103" t="str">
        <f>_xlfn.XLOOKUP(E14,'All Products'!D:D,'All Products'!G:G,FALSE)</f>
        <v>-</v>
      </c>
      <c r="M14" s="123">
        <f>_xlfn.XLOOKUP(E14,'All Products'!D:D,'All Products'!H:H)</f>
        <v>56.51</v>
      </c>
      <c r="N14" s="128">
        <f>ROUNDUP(M14*Order_Quote!$L$13,2)</f>
        <v>56.51</v>
      </c>
      <c r="O14" s="73"/>
      <c r="P14" s="76"/>
      <c r="Q14" s="104">
        <f t="shared" si="0"/>
        <v>0</v>
      </c>
      <c r="S14" s="215" t="str">
        <f>_xlfn.XLOOKUP(E14,'All Products'!D:D,'All Products'!I:I,FALSE)</f>
        <v>In stock</v>
      </c>
      <c r="T14" s="215" t="str">
        <f>_xlfn.XLOOKUP(E14,'All Products'!D:D,'All Products'!J:J,FALSE)</f>
        <v>Sourced</v>
      </c>
      <c r="U14" s="266">
        <f>_xlfn.XLOOKUP(E14,'All Products'!D:D,'All Products'!K:K,FALSE)</f>
        <v>49081350222</v>
      </c>
      <c r="V14" s="266" t="str">
        <f>_xlfn.XLOOKUP(E14,'All Products'!D:D,'All Products'!L:L,FALSE)</f>
        <v>-</v>
      </c>
      <c r="W14" s="266">
        <f>_xlfn.XLOOKUP(E14,'All Products'!D:D,'All Products'!M:M,FALSE)</f>
        <v>40049081350220</v>
      </c>
      <c r="X14" s="265">
        <f>_xlfn.XLOOKUP(E14,'All Products'!D:D,'All Products'!N:N,FALSE)</f>
        <v>40.51</v>
      </c>
      <c r="Y14" s="215" t="str">
        <f>_xlfn.XLOOKUP(E14,'All Products'!D:D,'All Products'!O:O,FALSE)</f>
        <v>-</v>
      </c>
      <c r="Z14" s="265">
        <f>_xlfn.XLOOKUP(E14,'All Products'!D:D,'All Products'!P:P,FALSE)</f>
        <v>40.51</v>
      </c>
      <c r="AA14" s="265">
        <f>_xlfn.XLOOKUP(E14,'All Products'!D:D,'All Products'!Q:Q,FALSE)</f>
        <v>1.9</v>
      </c>
    </row>
    <row r="15" spans="1:27" s="17" customFormat="1">
      <c r="A15" s="101" t="str">
        <f>IF(O15&gt;0,COUNT($A$8:A14)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15" s="610"/>
      <c r="C15" s="611"/>
      <c r="D15" s="103" t="str">
        <f>_xlfn.XLOOKUP(E15,'All Products'!D:D,'All Products'!C:C,FALSE)</f>
        <v>S1-025W</v>
      </c>
      <c r="E15" s="103">
        <v>100027242</v>
      </c>
      <c r="F15" s="53" t="str">
        <f>_xlfn.XLOOKUP(E15,'All Products'!D:D,'All Products'!E:E,FALSE)</f>
        <v>2-1/2 SS WHITE COMP BALL VLV 37059002</v>
      </c>
      <c r="G15" s="52" t="s">
        <v>5821</v>
      </c>
      <c r="H15" s="52" t="s">
        <v>5822</v>
      </c>
      <c r="I15" s="52" t="s">
        <v>5822</v>
      </c>
      <c r="J15" s="52" t="s">
        <v>5829</v>
      </c>
      <c r="K15" s="103">
        <f>_xlfn.XLOOKUP(E15,'All Products'!D:D,'All Products'!F:F,FALSE)</f>
        <v>12</v>
      </c>
      <c r="L15" s="103">
        <f>_xlfn.XLOOKUP(E15,'All Products'!D:D,'All Products'!G:G,FALSE)</f>
        <v>346</v>
      </c>
      <c r="M15" s="123">
        <f>_xlfn.XLOOKUP(E15,'All Products'!D:D,'All Products'!H:H)</f>
        <v>238.93</v>
      </c>
      <c r="N15" s="128">
        <f>ROUNDUP(M15*Order_Quote!$L$13,2)</f>
        <v>238.93</v>
      </c>
      <c r="O15" s="73"/>
      <c r="P15" s="76"/>
      <c r="Q15" s="104">
        <f t="shared" si="0"/>
        <v>0</v>
      </c>
      <c r="S15" s="215" t="str">
        <f>_xlfn.XLOOKUP(E15,'All Products'!D:D,'All Products'!I:I,FALSE)</f>
        <v>In stock</v>
      </c>
      <c r="T15" s="215" t="str">
        <f>_xlfn.XLOOKUP(E15,'All Products'!D:D,'All Products'!J:J,FALSE)</f>
        <v>Sourced</v>
      </c>
      <c r="U15" s="266">
        <f>_xlfn.XLOOKUP(E15,'All Products'!D:D,'All Products'!K:K,FALSE)</f>
        <v>49081350260</v>
      </c>
      <c r="V15" s="266" t="str">
        <f>_xlfn.XLOOKUP(E15,'All Products'!D:D,'All Products'!L:L,FALSE)</f>
        <v>-</v>
      </c>
      <c r="W15" s="266">
        <f>_xlfn.XLOOKUP(E15,'All Products'!D:D,'All Products'!M:M,FALSE)</f>
        <v>40049081350268</v>
      </c>
      <c r="X15" s="265">
        <f>_xlfn.XLOOKUP(E15,'All Products'!D:D,'All Products'!N:N,FALSE)</f>
        <v>38.94</v>
      </c>
      <c r="Y15" s="215" t="str">
        <f>_xlfn.XLOOKUP(E15,'All Products'!D:D,'All Products'!O:O,FALSE)</f>
        <v>-</v>
      </c>
      <c r="Z15" s="265">
        <f>_xlfn.XLOOKUP(E15,'All Products'!D:D,'All Products'!P:P,FALSE)</f>
        <v>38.94</v>
      </c>
      <c r="AA15" s="265">
        <f>_xlfn.XLOOKUP(E15,'All Products'!D:D,'All Products'!Q:Q,FALSE)</f>
        <v>2.08</v>
      </c>
    </row>
    <row r="16" spans="1:27" s="17" customFormat="1">
      <c r="A16" s="101" t="str">
        <f>IF(O16&gt;0,COUNT($A$8:A15)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16" s="610"/>
      <c r="C16" s="611"/>
      <c r="D16" s="103" t="str">
        <f>_xlfn.XLOOKUP(E16,'All Products'!D:D,'All Products'!C:C,FALSE)</f>
        <v>S1-030W</v>
      </c>
      <c r="E16" s="103">
        <v>100027244</v>
      </c>
      <c r="F16" s="53" t="str">
        <f>_xlfn.XLOOKUP(E16,'All Products'!D:D,'All Products'!E:E,FALSE)</f>
        <v>3 SS WHITE COMP BALL VLV 37059003</v>
      </c>
      <c r="G16" s="52" t="s">
        <v>5821</v>
      </c>
      <c r="H16" s="52" t="s">
        <v>5822</v>
      </c>
      <c r="I16" s="52" t="s">
        <v>5822</v>
      </c>
      <c r="J16" s="52" t="s">
        <v>5829</v>
      </c>
      <c r="K16" s="103">
        <f>_xlfn.XLOOKUP(E16,'All Products'!D:D,'All Products'!F:F,FALSE)</f>
        <v>12</v>
      </c>
      <c r="L16" s="103">
        <f>_xlfn.XLOOKUP(E16,'All Products'!D:D,'All Products'!G:G,FALSE)</f>
        <v>232</v>
      </c>
      <c r="M16" s="123">
        <f>_xlfn.XLOOKUP(E16,'All Products'!D:D,'All Products'!H:H)</f>
        <v>314.14</v>
      </c>
      <c r="N16" s="128">
        <f>ROUNDUP(M16*Order_Quote!$L$13,2)</f>
        <v>314.14</v>
      </c>
      <c r="O16" s="73"/>
      <c r="P16" s="76"/>
      <c r="Q16" s="104">
        <f t="shared" si="0"/>
        <v>0</v>
      </c>
      <c r="S16" s="215" t="str">
        <f>_xlfn.XLOOKUP(E16,'All Products'!D:D,'All Products'!I:I,FALSE)</f>
        <v>In stock</v>
      </c>
      <c r="T16" s="215" t="str">
        <f>_xlfn.XLOOKUP(E16,'All Products'!D:D,'All Products'!J:J,FALSE)</f>
        <v>Sourced</v>
      </c>
      <c r="U16" s="266">
        <f>_xlfn.XLOOKUP(E16,'All Products'!D:D,'All Products'!K:K,FALSE)</f>
        <v>49081350307</v>
      </c>
      <c r="V16" s="266" t="str">
        <f>_xlfn.XLOOKUP(E16,'All Products'!D:D,'All Products'!L:L,FALSE)</f>
        <v>-</v>
      </c>
      <c r="W16" s="266">
        <f>_xlfn.XLOOKUP(E16,'All Products'!D:D,'All Products'!M:M,FALSE)</f>
        <v>40049081350305</v>
      </c>
      <c r="X16" s="265">
        <f>_xlfn.XLOOKUP(E16,'All Products'!D:D,'All Products'!N:N,FALSE)</f>
        <v>50.91</v>
      </c>
      <c r="Y16" s="215" t="str">
        <f>_xlfn.XLOOKUP(E16,'All Products'!D:D,'All Products'!O:O,FALSE)</f>
        <v>-</v>
      </c>
      <c r="Z16" s="265">
        <f>_xlfn.XLOOKUP(E16,'All Products'!D:D,'All Products'!P:P,FALSE)</f>
        <v>50.91</v>
      </c>
      <c r="AA16" s="265">
        <f>_xlfn.XLOOKUP(E16,'All Products'!D:D,'All Products'!Q:Q,FALSE)</f>
        <v>3.1</v>
      </c>
    </row>
    <row r="17" spans="1:27" s="17" customFormat="1">
      <c r="A17" s="101" t="str">
        <f>IF(O17&gt;0,COUNT($A$8:A16)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17" s="612"/>
      <c r="C17" s="613"/>
      <c r="D17" s="103" t="str">
        <f>_xlfn.XLOOKUP(E17,'All Products'!D:D,'All Products'!C:C,FALSE)</f>
        <v>S1-040W</v>
      </c>
      <c r="E17" s="103">
        <v>100027246</v>
      </c>
      <c r="F17" s="53" t="str">
        <f>_xlfn.XLOOKUP(E17,'All Products'!D:D,'All Products'!E:E,FALSE)</f>
        <v>4 SS WHITE COMP BALL VLV 37059004</v>
      </c>
      <c r="G17" s="52" t="s">
        <v>5821</v>
      </c>
      <c r="H17" s="52" t="s">
        <v>5822</v>
      </c>
      <c r="I17" s="52" t="s">
        <v>5822</v>
      </c>
      <c r="J17" s="52" t="s">
        <v>5829</v>
      </c>
      <c r="K17" s="103">
        <f>_xlfn.XLOOKUP(E17,'All Products'!D:D,'All Products'!F:F,FALSE)</f>
        <v>6</v>
      </c>
      <c r="L17" s="103">
        <f>_xlfn.XLOOKUP(E17,'All Products'!D:D,'All Products'!G:G,FALSE)</f>
        <v>103</v>
      </c>
      <c r="M17" s="123">
        <f>_xlfn.XLOOKUP(E17,'All Products'!D:D,'All Products'!H:H)</f>
        <v>598.1</v>
      </c>
      <c r="N17" s="128">
        <f>ROUNDUP(M17*Order_Quote!$L$13,2)</f>
        <v>598.1</v>
      </c>
      <c r="O17" s="73"/>
      <c r="P17" s="76"/>
      <c r="Q17" s="104">
        <f t="shared" si="0"/>
        <v>0</v>
      </c>
      <c r="S17" s="215" t="str">
        <f>_xlfn.XLOOKUP(E17,'All Products'!D:D,'All Products'!I:I,FALSE)</f>
        <v>In stock</v>
      </c>
      <c r="T17" s="215" t="str">
        <f>_xlfn.XLOOKUP(E17,'All Products'!D:D,'All Products'!J:J,FALSE)</f>
        <v>Sourced</v>
      </c>
      <c r="U17" s="266">
        <f>_xlfn.XLOOKUP(E17,'All Products'!D:D,'All Products'!K:K,FALSE)</f>
        <v>49081350345</v>
      </c>
      <c r="V17" s="266" t="str">
        <f>_xlfn.XLOOKUP(E17,'All Products'!D:D,'All Products'!L:L,FALSE)</f>
        <v>-</v>
      </c>
      <c r="W17" s="266">
        <f>_xlfn.XLOOKUP(E17,'All Products'!D:D,'All Products'!M:M,FALSE)</f>
        <v>40049081350343</v>
      </c>
      <c r="X17" s="265">
        <f>_xlfn.XLOOKUP(E17,'All Products'!D:D,'All Products'!N:N,FALSE)</f>
        <v>52.3</v>
      </c>
      <c r="Y17" s="215" t="str">
        <f>_xlfn.XLOOKUP(E17,'All Products'!D:D,'All Products'!O:O,FALSE)</f>
        <v>-</v>
      </c>
      <c r="Z17" s="265">
        <f>_xlfn.XLOOKUP(E17,'All Products'!D:D,'All Products'!P:P,FALSE)</f>
        <v>52.3</v>
      </c>
      <c r="AA17" s="265">
        <f>_xlfn.XLOOKUP(E17,'All Products'!D:D,'All Products'!Q:Q,FALSE)</f>
        <v>3.51</v>
      </c>
    </row>
    <row r="18" spans="1:27" s="17" customFormat="1">
      <c r="A18" s="101" t="str">
        <f>IF(O18&gt;0,COUNT($A$8:A17)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18" s="608"/>
      <c r="C18" s="609"/>
      <c r="D18" s="103" t="str">
        <f>_xlfn.XLOOKUP(E18,'All Products'!D:D,'All Products'!C:C,FALSE)</f>
        <v>S1-005G</v>
      </c>
      <c r="E18" s="103">
        <v>100027227</v>
      </c>
      <c r="F18" s="53" t="str">
        <f>_xlfn.XLOOKUP(E18,'All Products'!D:D,'All Products'!E:E,FALSE)</f>
        <v>1/2 SS GRAY COMP BALL VLV 37059005</v>
      </c>
      <c r="G18" s="52" t="s">
        <v>5821</v>
      </c>
      <c r="H18" s="52" t="s">
        <v>5822</v>
      </c>
      <c r="I18" s="52" t="s">
        <v>5822</v>
      </c>
      <c r="J18" s="52" t="s">
        <v>5829</v>
      </c>
      <c r="K18" s="103">
        <f>_xlfn.XLOOKUP(E18,'All Products'!D:D,'All Products'!F:F,FALSE)</f>
        <v>100</v>
      </c>
      <c r="L18" s="103">
        <f>_xlfn.XLOOKUP(E18,'All Products'!D:D,'All Products'!G:G,FALSE)</f>
        <v>6000</v>
      </c>
      <c r="M18" s="123">
        <f>_xlfn.XLOOKUP(E18,'All Products'!D:D,'All Products'!H:H)</f>
        <v>12.16</v>
      </c>
      <c r="N18" s="128">
        <f>ROUNDUP(M18*Order_Quote!$L$13,2)</f>
        <v>12.16</v>
      </c>
      <c r="O18" s="73"/>
      <c r="P18" s="76"/>
      <c r="Q18" s="104">
        <f t="shared" si="0"/>
        <v>0</v>
      </c>
      <c r="S18" s="215" t="str">
        <f>_xlfn.XLOOKUP(E18,'All Products'!D:D,'All Products'!I:I,FALSE)</f>
        <v>In stock</v>
      </c>
      <c r="T18" s="215" t="str">
        <f>_xlfn.XLOOKUP(E18,'All Products'!D:D,'All Products'!J:J,FALSE)</f>
        <v>Sourced</v>
      </c>
      <c r="U18" s="266">
        <f>_xlfn.XLOOKUP(E18,'All Products'!D:D,'All Products'!K:K,FALSE)</f>
        <v>49081350000</v>
      </c>
      <c r="V18" s="266" t="str">
        <f>_xlfn.XLOOKUP(E18,'All Products'!D:D,'All Products'!L:L,FALSE)</f>
        <v>-</v>
      </c>
      <c r="W18" s="266">
        <f>_xlfn.XLOOKUP(E18,'All Products'!D:D,'All Products'!M:M,FALSE)</f>
        <v>40049081350008</v>
      </c>
      <c r="X18" s="265">
        <f>_xlfn.XLOOKUP(E18,'All Products'!D:D,'All Products'!N:N,FALSE)</f>
        <v>21.53</v>
      </c>
      <c r="Y18" s="215" t="str">
        <f>_xlfn.XLOOKUP(E18,'All Products'!D:D,'All Products'!O:O,FALSE)</f>
        <v>-</v>
      </c>
      <c r="Z18" s="265">
        <f>_xlfn.XLOOKUP(E18,'All Products'!D:D,'All Products'!P:P,FALSE)</f>
        <v>21.53</v>
      </c>
      <c r="AA18" s="265">
        <f>_xlfn.XLOOKUP(E18,'All Products'!D:D,'All Products'!Q:Q,FALSE)</f>
        <v>1</v>
      </c>
    </row>
    <row r="19" spans="1:27" s="17" customFormat="1">
      <c r="A19" s="101" t="str">
        <f>IF(O19&gt;0,COUNT($A$8:A18)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19" s="610"/>
      <c r="C19" s="611"/>
      <c r="D19" s="103" t="str">
        <f>_xlfn.XLOOKUP(E19,'All Products'!D:D,'All Products'!C:C,FALSE)</f>
        <v>S1-007G</v>
      </c>
      <c r="E19" s="103">
        <v>100027229</v>
      </c>
      <c r="F19" s="53" t="str">
        <f>_xlfn.XLOOKUP(E19,'All Products'!D:D,'All Products'!E:E,FALSE)</f>
        <v>3/4 SS GREY COMP BALL VLV 37059006</v>
      </c>
      <c r="G19" s="52" t="s">
        <v>5821</v>
      </c>
      <c r="H19" s="52" t="s">
        <v>5822</v>
      </c>
      <c r="I19" s="52" t="s">
        <v>5822</v>
      </c>
      <c r="J19" s="52" t="s">
        <v>5829</v>
      </c>
      <c r="K19" s="103">
        <f>_xlfn.XLOOKUP(E19,'All Products'!D:D,'All Products'!F:F,FALSE)</f>
        <v>100</v>
      </c>
      <c r="L19" s="103">
        <f>_xlfn.XLOOKUP(E19,'All Products'!D:D,'All Products'!G:G,FALSE)</f>
        <v>3529</v>
      </c>
      <c r="M19" s="123">
        <f>_xlfn.XLOOKUP(E19,'All Products'!D:D,'All Products'!H:H)</f>
        <v>14.15</v>
      </c>
      <c r="N19" s="128">
        <f>ROUNDUP(M19*Order_Quote!$L$13,2)</f>
        <v>14.15</v>
      </c>
      <c r="O19" s="73"/>
      <c r="P19" s="76"/>
      <c r="Q19" s="104">
        <f t="shared" si="0"/>
        <v>0</v>
      </c>
      <c r="S19" s="215" t="str">
        <f>_xlfn.XLOOKUP(E19,'All Products'!D:D,'All Products'!I:I,FALSE)</f>
        <v>In stock</v>
      </c>
      <c r="T19" s="215" t="str">
        <f>_xlfn.XLOOKUP(E19,'All Products'!D:D,'All Products'!J:J,FALSE)</f>
        <v>Sourced</v>
      </c>
      <c r="U19" s="266">
        <f>_xlfn.XLOOKUP(E19,'All Products'!D:D,'All Products'!K:K,FALSE)</f>
        <v>49081350048</v>
      </c>
      <c r="V19" s="266" t="str">
        <f>_xlfn.XLOOKUP(E19,'All Products'!D:D,'All Products'!L:L,FALSE)</f>
        <v>-</v>
      </c>
      <c r="W19" s="266">
        <f>_xlfn.XLOOKUP(E19,'All Products'!D:D,'All Products'!M:M,FALSE)</f>
        <v>40049081350046</v>
      </c>
      <c r="X19" s="265">
        <f>_xlfn.XLOOKUP(E19,'All Products'!D:D,'All Products'!N:N,FALSE)</f>
        <v>36.369999999999997</v>
      </c>
      <c r="Y19" s="215" t="str">
        <f>_xlfn.XLOOKUP(E19,'All Products'!D:D,'All Products'!O:O,FALSE)</f>
        <v>-</v>
      </c>
      <c r="Z19" s="265">
        <f>_xlfn.XLOOKUP(E19,'All Products'!D:D,'All Products'!P:P,FALSE)</f>
        <v>36.369999999999997</v>
      </c>
      <c r="AA19" s="265">
        <f>_xlfn.XLOOKUP(E19,'All Products'!D:D,'All Products'!Q:Q,FALSE)</f>
        <v>1.7</v>
      </c>
    </row>
    <row r="20" spans="1:27" s="17" customFormat="1">
      <c r="A20" s="101" t="str">
        <f>IF(O20&gt;0,COUNT($A$8:A19)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20" s="610"/>
      <c r="C20" s="611"/>
      <c r="D20" s="103" t="str">
        <f>_xlfn.XLOOKUP(E20,'All Products'!D:D,'All Products'!C:C,FALSE)</f>
        <v>S1-010G</v>
      </c>
      <c r="E20" s="103">
        <v>100027231</v>
      </c>
      <c r="F20" s="53" t="str">
        <f>_xlfn.XLOOKUP(E20,'All Products'!D:D,'All Products'!E:E,FALSE)</f>
        <v>1 SS GRAY COMP BALL VLV 37059007</v>
      </c>
      <c r="G20" s="52" t="s">
        <v>5821</v>
      </c>
      <c r="H20" s="52" t="s">
        <v>5822</v>
      </c>
      <c r="I20" s="52" t="s">
        <v>5822</v>
      </c>
      <c r="J20" s="52" t="s">
        <v>5829</v>
      </c>
      <c r="K20" s="103">
        <f>_xlfn.XLOOKUP(E20,'All Products'!D:D,'All Products'!F:F,FALSE)</f>
        <v>100</v>
      </c>
      <c r="L20" s="103">
        <f>_xlfn.XLOOKUP(E20,'All Products'!D:D,'All Products'!G:G,FALSE)</f>
        <v>2308</v>
      </c>
      <c r="M20" s="123">
        <f>_xlfn.XLOOKUP(E20,'All Products'!D:D,'All Products'!H:H)</f>
        <v>20.420000000000002</v>
      </c>
      <c r="N20" s="128">
        <f>ROUNDUP(M20*Order_Quote!$L$13,2)</f>
        <v>20.420000000000002</v>
      </c>
      <c r="O20" s="73"/>
      <c r="P20" s="76"/>
      <c r="Q20" s="104">
        <f t="shared" si="0"/>
        <v>0</v>
      </c>
      <c r="S20" s="215" t="str">
        <f>_xlfn.XLOOKUP(E20,'All Products'!D:D,'All Products'!I:I,FALSE)</f>
        <v>In stock</v>
      </c>
      <c r="T20" s="215" t="str">
        <f>_xlfn.XLOOKUP(E20,'All Products'!D:D,'All Products'!J:J,FALSE)</f>
        <v>Sourced</v>
      </c>
      <c r="U20" s="266">
        <f>_xlfn.XLOOKUP(E20,'All Products'!D:D,'All Products'!K:K,FALSE)</f>
        <v>49081350086</v>
      </c>
      <c r="V20" s="266" t="str">
        <f>_xlfn.XLOOKUP(E20,'All Products'!D:D,'All Products'!L:L,FALSE)</f>
        <v>-</v>
      </c>
      <c r="W20" s="266">
        <f>_xlfn.XLOOKUP(E20,'All Products'!D:D,'All Products'!M:M,FALSE)</f>
        <v>40049081350084</v>
      </c>
      <c r="X20" s="265">
        <f>_xlfn.XLOOKUP(E20,'All Products'!D:D,'All Products'!N:N,FALSE)</f>
        <v>56</v>
      </c>
      <c r="Y20" s="215" t="str">
        <f>_xlfn.XLOOKUP(E20,'All Products'!D:D,'All Products'!O:O,FALSE)</f>
        <v>-</v>
      </c>
      <c r="Z20" s="265">
        <f>_xlfn.XLOOKUP(E20,'All Products'!D:D,'All Products'!P:P,FALSE)</f>
        <v>56</v>
      </c>
      <c r="AA20" s="265">
        <f>_xlfn.XLOOKUP(E20,'All Products'!D:D,'All Products'!Q:Q,FALSE)</f>
        <v>2.6</v>
      </c>
    </row>
    <row r="21" spans="1:27" s="17" customFormat="1" ht="14.25" customHeight="1">
      <c r="A21" s="101" t="str">
        <f>IF(O21&gt;0,COUNT($A$8:A20)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21" s="610"/>
      <c r="C21" s="611"/>
      <c r="D21" s="103" t="str">
        <f>_xlfn.XLOOKUP(E21,'All Products'!D:D,'All Products'!C:C,FALSE)</f>
        <v>S1-012G</v>
      </c>
      <c r="E21" s="103">
        <v>100027233</v>
      </c>
      <c r="F21" s="53" t="str">
        <f>_xlfn.XLOOKUP(E21,'All Products'!D:D,'All Products'!E:E,FALSE)</f>
        <v>1-1/4 SS GRAY COMP BALL VLV 37059008</v>
      </c>
      <c r="G21" s="52" t="s">
        <v>5821</v>
      </c>
      <c r="H21" s="52" t="s">
        <v>5822</v>
      </c>
      <c r="I21" s="52" t="s">
        <v>5822</v>
      </c>
      <c r="J21" s="52" t="s">
        <v>5829</v>
      </c>
      <c r="K21" s="103">
        <f>_xlfn.XLOOKUP(E21,'All Products'!D:D,'All Products'!F:F,FALSE)</f>
        <v>100</v>
      </c>
      <c r="L21" s="103">
        <f>_xlfn.XLOOKUP(E21,'All Products'!D:D,'All Products'!G:G,FALSE)</f>
        <v>1818</v>
      </c>
      <c r="M21" s="123">
        <f>_xlfn.XLOOKUP(E21,'All Products'!D:D,'All Products'!H:H)</f>
        <v>24.79</v>
      </c>
      <c r="N21" s="128">
        <f>ROUNDUP(M21*Order_Quote!$L$13,2)</f>
        <v>24.79</v>
      </c>
      <c r="O21" s="73"/>
      <c r="P21" s="76"/>
      <c r="Q21" s="104">
        <f t="shared" si="0"/>
        <v>0</v>
      </c>
      <c r="S21" s="215" t="str">
        <f>_xlfn.XLOOKUP(E21,'All Products'!D:D,'All Products'!I:I,FALSE)</f>
        <v>In stock</v>
      </c>
      <c r="T21" s="215" t="str">
        <f>_xlfn.XLOOKUP(E21,'All Products'!D:D,'All Products'!J:J,FALSE)</f>
        <v>Sourced</v>
      </c>
      <c r="U21" s="266">
        <f>_xlfn.XLOOKUP(E21,'All Products'!D:D,'All Products'!K:K,FALSE)</f>
        <v>49081350123</v>
      </c>
      <c r="V21" s="266" t="str">
        <f>_xlfn.XLOOKUP(E21,'All Products'!D:D,'All Products'!L:L,FALSE)</f>
        <v>-</v>
      </c>
      <c r="W21" s="266">
        <f>_xlfn.XLOOKUP(E21,'All Products'!D:D,'All Products'!M:M,FALSE)</f>
        <v>40049081350121</v>
      </c>
      <c r="X21" s="265">
        <f>_xlfn.XLOOKUP(E21,'All Products'!D:D,'All Products'!N:N,FALSE)</f>
        <v>73.41</v>
      </c>
      <c r="Y21" s="215" t="str">
        <f>_xlfn.XLOOKUP(E21,'All Products'!D:D,'All Products'!O:O,FALSE)</f>
        <v>-</v>
      </c>
      <c r="Z21" s="265">
        <f>_xlfn.XLOOKUP(E21,'All Products'!D:D,'All Products'!P:P,FALSE)</f>
        <v>73.41</v>
      </c>
      <c r="AA21" s="265">
        <f>_xlfn.XLOOKUP(E21,'All Products'!D:D,'All Products'!Q:Q,FALSE)</f>
        <v>3.3</v>
      </c>
    </row>
    <row r="22" spans="1:27" s="17" customFormat="1">
      <c r="A22" s="101" t="str">
        <f>IF(O22&gt;0,COUNT($A$8:A21)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22" s="610"/>
      <c r="C22" s="611"/>
      <c r="D22" s="103" t="str">
        <f>_xlfn.XLOOKUP(E22,'All Products'!D:D,'All Products'!C:C,FALSE)</f>
        <v>S1-015G</v>
      </c>
      <c r="E22" s="103">
        <v>100027236</v>
      </c>
      <c r="F22" s="53" t="str">
        <f>_xlfn.XLOOKUP(E22,'All Products'!D:D,'All Products'!E:E,FALSE)</f>
        <v>1-1/2 GRAY COMP BALL VLV 37059009</v>
      </c>
      <c r="G22" s="52" t="s">
        <v>5821</v>
      </c>
      <c r="H22" s="52" t="s">
        <v>5822</v>
      </c>
      <c r="I22" s="52" t="s">
        <v>5822</v>
      </c>
      <c r="J22" s="52" t="s">
        <v>5829</v>
      </c>
      <c r="K22" s="103">
        <f>_xlfn.XLOOKUP(E22,'All Products'!D:D,'All Products'!F:F,FALSE)</f>
        <v>48</v>
      </c>
      <c r="L22" s="103">
        <f>_xlfn.XLOOKUP(E22,'All Products'!D:D,'All Products'!G:G,FALSE)</f>
        <v>1200</v>
      </c>
      <c r="M22" s="123">
        <f>_xlfn.XLOOKUP(E22,'All Products'!D:D,'All Products'!H:H)</f>
        <v>43.94</v>
      </c>
      <c r="N22" s="128">
        <f>ROUNDUP(M22*Order_Quote!$L$13,2)</f>
        <v>43.94</v>
      </c>
      <c r="O22" s="73"/>
      <c r="P22" s="76"/>
      <c r="Q22" s="104">
        <f t="shared" si="0"/>
        <v>0</v>
      </c>
      <c r="S22" s="215" t="str">
        <f>_xlfn.XLOOKUP(E22,'All Products'!D:D,'All Products'!I:I,FALSE)</f>
        <v>In stock</v>
      </c>
      <c r="T22" s="215" t="str">
        <f>_xlfn.XLOOKUP(E22,'All Products'!D:D,'All Products'!J:J,FALSE)</f>
        <v>Sourced</v>
      </c>
      <c r="U22" s="266">
        <f>_xlfn.XLOOKUP(E22,'All Products'!D:D,'All Products'!K:K,FALSE)</f>
        <v>49081350161</v>
      </c>
      <c r="V22" s="266" t="str">
        <f>_xlfn.XLOOKUP(E22,'All Products'!D:D,'All Products'!L:L,FALSE)</f>
        <v>-</v>
      </c>
      <c r="W22" s="266">
        <f>_xlfn.XLOOKUP(E22,'All Products'!D:D,'All Products'!M:M,FALSE)</f>
        <v>40049081350169</v>
      </c>
      <c r="X22" s="265">
        <f>_xlfn.XLOOKUP(E22,'All Products'!D:D,'All Products'!N:N,FALSE)</f>
        <v>50.57</v>
      </c>
      <c r="Y22" s="215" t="str">
        <f>_xlfn.XLOOKUP(E22,'All Products'!D:D,'All Products'!O:O,FALSE)</f>
        <v>-</v>
      </c>
      <c r="Z22" s="265">
        <f>_xlfn.XLOOKUP(E22,'All Products'!D:D,'All Products'!P:P,FALSE)</f>
        <v>50.57</v>
      </c>
      <c r="AA22" s="265">
        <f>_xlfn.XLOOKUP(E22,'All Products'!D:D,'All Products'!Q:Q,FALSE)</f>
        <v>2.4</v>
      </c>
    </row>
    <row r="23" spans="1:27" s="17" customFormat="1">
      <c r="A23" s="101" t="str">
        <f>IF(O23&gt;0,COUNT($A$8:A22)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23" s="610"/>
      <c r="C23" s="611"/>
      <c r="D23" s="103" t="str">
        <f>_xlfn.XLOOKUP(E23,'All Products'!D:D,'All Products'!C:C,FALSE)</f>
        <v>S1-020G</v>
      </c>
      <c r="E23" s="103">
        <v>100027239</v>
      </c>
      <c r="F23" s="53" t="str">
        <f>_xlfn.XLOOKUP(E23,'All Products'!D:D,'All Products'!E:E,FALSE)</f>
        <v>2 SS GRAY COMP BALL VLV 37059010</v>
      </c>
      <c r="G23" s="52" t="s">
        <v>5821</v>
      </c>
      <c r="H23" s="52" t="s">
        <v>5822</v>
      </c>
      <c r="I23" s="52" t="s">
        <v>5822</v>
      </c>
      <c r="J23" s="52" t="s">
        <v>5829</v>
      </c>
      <c r="K23" s="103">
        <f>_xlfn.XLOOKUP(E23,'All Products'!D:D,'All Products'!F:F,FALSE)</f>
        <v>24</v>
      </c>
      <c r="L23" s="103">
        <f>_xlfn.XLOOKUP(E23,'All Products'!D:D,'All Products'!G:G,FALSE)</f>
        <v>758</v>
      </c>
      <c r="M23" s="123">
        <f>_xlfn.XLOOKUP(E23,'All Products'!D:D,'All Products'!H:H)</f>
        <v>56.51</v>
      </c>
      <c r="N23" s="128">
        <f>ROUNDUP(M23*Order_Quote!$L$13,2)</f>
        <v>56.51</v>
      </c>
      <c r="O23" s="73"/>
      <c r="P23" s="76"/>
      <c r="Q23" s="104">
        <f t="shared" si="0"/>
        <v>0</v>
      </c>
      <c r="S23" s="215" t="str">
        <f>_xlfn.XLOOKUP(E23,'All Products'!D:D,'All Products'!I:I,FALSE)</f>
        <v>In stock</v>
      </c>
      <c r="T23" s="215" t="str">
        <f>_xlfn.XLOOKUP(E23,'All Products'!D:D,'All Products'!J:J,FALSE)</f>
        <v>Sourced</v>
      </c>
      <c r="U23" s="266">
        <f>_xlfn.XLOOKUP(E23,'All Products'!D:D,'All Products'!K:K,FALSE)</f>
        <v>49081350208</v>
      </c>
      <c r="V23" s="266" t="str">
        <f>_xlfn.XLOOKUP(E23,'All Products'!D:D,'All Products'!L:L,FALSE)</f>
        <v>-</v>
      </c>
      <c r="W23" s="266">
        <f>_xlfn.XLOOKUP(E23,'All Products'!D:D,'All Products'!M:M,FALSE)</f>
        <v>40049081350206</v>
      </c>
      <c r="X23" s="265">
        <f>_xlfn.XLOOKUP(E23,'All Products'!D:D,'All Products'!N:N,FALSE)</f>
        <v>40.130000000000003</v>
      </c>
      <c r="Y23" s="215" t="str">
        <f>_xlfn.XLOOKUP(E23,'All Products'!D:D,'All Products'!O:O,FALSE)</f>
        <v>-</v>
      </c>
      <c r="Z23" s="265">
        <f>_xlfn.XLOOKUP(E23,'All Products'!D:D,'All Products'!P:P,FALSE)</f>
        <v>40.130000000000003</v>
      </c>
      <c r="AA23" s="265">
        <f>_xlfn.XLOOKUP(E23,'All Products'!D:D,'All Products'!Q:Q,FALSE)</f>
        <v>1.9</v>
      </c>
    </row>
    <row r="24" spans="1:27" s="17" customFormat="1">
      <c r="A24" s="101" t="str">
        <f>IF(O24&gt;0,COUNT($A$8:A23)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24" s="610"/>
      <c r="C24" s="611"/>
      <c r="D24" s="103" t="str">
        <f>_xlfn.XLOOKUP(E24,'All Products'!D:D,'All Products'!C:C,FALSE)</f>
        <v>S1-025G</v>
      </c>
      <c r="E24" s="103">
        <v>100027241</v>
      </c>
      <c r="F24" s="53" t="str">
        <f>_xlfn.XLOOKUP(E24,'All Products'!D:D,'All Products'!E:E,FALSE)</f>
        <v>2-1/2 SS GRAY COMP BALL VLV 37059011</v>
      </c>
      <c r="G24" s="52" t="s">
        <v>5821</v>
      </c>
      <c r="H24" s="52" t="s">
        <v>5822</v>
      </c>
      <c r="I24" s="52" t="s">
        <v>5822</v>
      </c>
      <c r="J24" s="52" t="s">
        <v>5829</v>
      </c>
      <c r="K24" s="103">
        <f>_xlfn.XLOOKUP(E24,'All Products'!D:D,'All Products'!F:F,FALSE)</f>
        <v>12</v>
      </c>
      <c r="L24" s="103">
        <f>_xlfn.XLOOKUP(E24,'All Products'!D:D,'All Products'!G:G,FALSE)</f>
        <v>379</v>
      </c>
      <c r="M24" s="123">
        <f>_xlfn.XLOOKUP(E24,'All Products'!D:D,'All Products'!H:H)</f>
        <v>238.93</v>
      </c>
      <c r="N24" s="128">
        <f>ROUNDUP(M24*Order_Quote!$L$13,2)</f>
        <v>238.93</v>
      </c>
      <c r="O24" s="73"/>
      <c r="P24" s="76"/>
      <c r="Q24" s="104">
        <f t="shared" si="0"/>
        <v>0</v>
      </c>
      <c r="S24" s="215" t="str">
        <f>_xlfn.XLOOKUP(E24,'All Products'!D:D,'All Products'!I:I,FALSE)</f>
        <v>In stock</v>
      </c>
      <c r="T24" s="215" t="str">
        <f>_xlfn.XLOOKUP(E24,'All Products'!D:D,'All Products'!J:J,FALSE)</f>
        <v>Sourced</v>
      </c>
      <c r="U24" s="266">
        <f>_xlfn.XLOOKUP(E24,'All Products'!D:D,'All Products'!K:K,FALSE)</f>
        <v>49081350246</v>
      </c>
      <c r="V24" s="266" t="str">
        <f>_xlfn.XLOOKUP(E24,'All Products'!D:D,'All Products'!L:L,FALSE)</f>
        <v>-</v>
      </c>
      <c r="W24" s="266">
        <f>_xlfn.XLOOKUP(E24,'All Products'!D:D,'All Products'!M:M,FALSE)</f>
        <v>40049081350244</v>
      </c>
      <c r="X24" s="265">
        <f>_xlfn.XLOOKUP(E24,'All Products'!D:D,'All Products'!N:N,FALSE)</f>
        <v>37.31</v>
      </c>
      <c r="Y24" s="215" t="str">
        <f>_xlfn.XLOOKUP(E24,'All Products'!D:D,'All Products'!O:O,FALSE)</f>
        <v>-</v>
      </c>
      <c r="Z24" s="265">
        <f>_xlfn.XLOOKUP(E24,'All Products'!D:D,'All Products'!P:P,FALSE)</f>
        <v>37.31</v>
      </c>
      <c r="AA24" s="265">
        <f>_xlfn.XLOOKUP(E24,'All Products'!D:D,'All Products'!Q:Q,FALSE)</f>
        <v>1.9</v>
      </c>
    </row>
    <row r="25" spans="1:27" s="17" customFormat="1">
      <c r="A25" s="101" t="str">
        <f>IF(O25&gt;0,COUNT($A$8:A24)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25" s="610"/>
      <c r="C25" s="611"/>
      <c r="D25" s="103" t="str">
        <f>_xlfn.XLOOKUP(E25,'All Products'!D:D,'All Products'!C:C,FALSE)</f>
        <v>S1-030G</v>
      </c>
      <c r="E25" s="103">
        <v>100027243</v>
      </c>
      <c r="F25" s="53" t="str">
        <f>_xlfn.XLOOKUP(E25,'All Products'!D:D,'All Products'!E:E,FALSE)</f>
        <v>3 SS GRAY COMP BALL VLV 37059012</v>
      </c>
      <c r="G25" s="52" t="s">
        <v>5821</v>
      </c>
      <c r="H25" s="52" t="s">
        <v>5822</v>
      </c>
      <c r="I25" s="52" t="s">
        <v>5822</v>
      </c>
      <c r="J25" s="52" t="s">
        <v>5829</v>
      </c>
      <c r="K25" s="103">
        <f>_xlfn.XLOOKUP(E25,'All Products'!D:D,'All Products'!F:F,FALSE)</f>
        <v>12</v>
      </c>
      <c r="L25" s="103">
        <f>_xlfn.XLOOKUP(E25,'All Products'!D:D,'All Products'!G:G,FALSE)</f>
        <v>232</v>
      </c>
      <c r="M25" s="123">
        <f>_xlfn.XLOOKUP(E25,'All Products'!D:D,'All Products'!H:H)</f>
        <v>314.14</v>
      </c>
      <c r="N25" s="128">
        <f>ROUNDUP(M25*Order_Quote!$L$13,2)</f>
        <v>314.14</v>
      </c>
      <c r="O25" s="73"/>
      <c r="P25" s="76"/>
      <c r="Q25" s="104">
        <f t="shared" si="0"/>
        <v>0</v>
      </c>
      <c r="S25" s="215" t="str">
        <f>_xlfn.XLOOKUP(E25,'All Products'!D:D,'All Products'!I:I,FALSE)</f>
        <v>In stock</v>
      </c>
      <c r="T25" s="215" t="str">
        <f>_xlfn.XLOOKUP(E25,'All Products'!D:D,'All Products'!J:J,FALSE)</f>
        <v>Sourced</v>
      </c>
      <c r="U25" s="266">
        <f>_xlfn.XLOOKUP(E25,'All Products'!D:D,'All Products'!K:K,FALSE)</f>
        <v>49081350284</v>
      </c>
      <c r="V25" s="266" t="str">
        <f>_xlfn.XLOOKUP(E25,'All Products'!D:D,'All Products'!L:L,FALSE)</f>
        <v>-</v>
      </c>
      <c r="W25" s="266">
        <f>_xlfn.XLOOKUP(E25,'All Products'!D:D,'All Products'!M:M,FALSE)</f>
        <v>40049081350282</v>
      </c>
      <c r="X25" s="265">
        <f>_xlfn.XLOOKUP(E25,'All Products'!D:D,'All Products'!N:N,FALSE)</f>
        <v>54.13</v>
      </c>
      <c r="Y25" s="215" t="str">
        <f>_xlfn.XLOOKUP(E25,'All Products'!D:D,'All Products'!O:O,FALSE)</f>
        <v>-</v>
      </c>
      <c r="Z25" s="265">
        <f>_xlfn.XLOOKUP(E25,'All Products'!D:D,'All Products'!P:P,FALSE)</f>
        <v>54.13</v>
      </c>
      <c r="AA25" s="265">
        <f>_xlfn.XLOOKUP(E25,'All Products'!D:D,'All Products'!Q:Q,FALSE)</f>
        <v>3.1</v>
      </c>
    </row>
    <row r="26" spans="1:27" s="17" customFormat="1" ht="15" thickBot="1">
      <c r="A26" s="101" t="str">
        <f>IF(O26&gt;0,COUNT($A$8:A25)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26" s="612"/>
      <c r="C26" s="613"/>
      <c r="D26" s="103" t="str">
        <f>_xlfn.XLOOKUP(E26,'All Products'!D:D,'All Products'!C:C,FALSE)</f>
        <v>S1-040G</v>
      </c>
      <c r="E26" s="103">
        <v>100027245</v>
      </c>
      <c r="F26" s="53" t="str">
        <f>_xlfn.XLOOKUP(E26,'All Products'!D:D,'All Products'!E:E,FALSE)</f>
        <v>4 SS GRAY COMP BALL VLV 37059013</v>
      </c>
      <c r="G26" s="52" t="s">
        <v>5821</v>
      </c>
      <c r="H26" s="52" t="s">
        <v>5822</v>
      </c>
      <c r="I26" s="52" t="s">
        <v>5822</v>
      </c>
      <c r="J26" s="52" t="s">
        <v>5829</v>
      </c>
      <c r="K26" s="103">
        <f>_xlfn.XLOOKUP(E26,'All Products'!D:D,'All Products'!F:F,FALSE)</f>
        <v>6</v>
      </c>
      <c r="L26" s="103">
        <f>_xlfn.XLOOKUP(E26,'All Products'!D:D,'All Products'!G:G,FALSE)</f>
        <v>103</v>
      </c>
      <c r="M26" s="123">
        <f>_xlfn.XLOOKUP(E26,'All Products'!D:D,'All Products'!H:H)</f>
        <v>598.1</v>
      </c>
      <c r="N26" s="128">
        <f>ROUNDUP(M26*Order_Quote!$L$13,2)</f>
        <v>598.1</v>
      </c>
      <c r="O26" s="73"/>
      <c r="P26" s="76"/>
      <c r="Q26" s="104">
        <f t="shared" si="0"/>
        <v>0</v>
      </c>
      <c r="S26" s="215" t="str">
        <f>_xlfn.XLOOKUP(E26,'All Products'!D:D,'All Products'!I:I,FALSE)</f>
        <v>In stock</v>
      </c>
      <c r="T26" s="215" t="str">
        <f>_xlfn.XLOOKUP(E26,'All Products'!D:D,'All Products'!J:J,FALSE)</f>
        <v>Sourced</v>
      </c>
      <c r="U26" s="266">
        <f>_xlfn.XLOOKUP(E26,'All Products'!D:D,'All Products'!K:K,FALSE)</f>
        <v>49081350321</v>
      </c>
      <c r="V26" s="266" t="str">
        <f>_xlfn.XLOOKUP(E26,'All Products'!D:D,'All Products'!L:L,FALSE)</f>
        <v>-</v>
      </c>
      <c r="W26" s="266">
        <f>_xlfn.XLOOKUP(E26,'All Products'!D:D,'All Products'!M:M,FALSE)</f>
        <v>40049081350329</v>
      </c>
      <c r="X26" s="265">
        <f>_xlfn.XLOOKUP(E26,'All Products'!D:D,'All Products'!N:N,FALSE)</f>
        <v>51.24</v>
      </c>
      <c r="Y26" s="215" t="str">
        <f>_xlfn.XLOOKUP(E26,'All Products'!D:D,'All Products'!O:O,FALSE)</f>
        <v>-</v>
      </c>
      <c r="Z26" s="265">
        <f>_xlfn.XLOOKUP(E26,'All Products'!D:D,'All Products'!P:P,FALSE)</f>
        <v>51.24</v>
      </c>
      <c r="AA26" s="265">
        <f>_xlfn.XLOOKUP(E26,'All Products'!D:D,'All Products'!Q:Q,FALSE)</f>
        <v>3.51</v>
      </c>
    </row>
    <row r="27" spans="1:27" s="17" customFormat="1" ht="16.2" thickBot="1">
      <c r="A27" s="101" t="str">
        <f>IF(O27&gt;0,COUNT($A$8:A26)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27" s="501" t="s">
        <v>5840</v>
      </c>
      <c r="C27" s="151"/>
      <c r="D27" s="151"/>
      <c r="E27" s="459"/>
      <c r="F27" s="151"/>
      <c r="G27" s="468"/>
      <c r="H27" s="151"/>
      <c r="I27" s="472"/>
      <c r="J27" s="468"/>
      <c r="K27" s="477"/>
      <c r="L27" s="476"/>
      <c r="M27" s="476"/>
      <c r="N27" s="476"/>
      <c r="O27" s="476"/>
      <c r="P27" s="523"/>
      <c r="Q27" s="476"/>
      <c r="R27" s="523"/>
      <c r="S27" s="476"/>
      <c r="T27" s="476"/>
      <c r="U27" s="476"/>
      <c r="V27" s="476"/>
      <c r="W27" s="476"/>
      <c r="X27" s="476"/>
      <c r="Y27" s="476"/>
      <c r="Z27" s="476"/>
      <c r="AA27" s="476"/>
    </row>
    <row r="28" spans="1:27" s="17" customFormat="1">
      <c r="A28" s="101" t="str">
        <f>IF(O28&gt;0,COUNT($A$8:A27)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28" s="608"/>
      <c r="C28" s="609"/>
      <c r="D28" s="103" t="str">
        <f>_xlfn.XLOOKUP(E28,'All Products'!D:D,'All Products'!C:C,FALSE)</f>
        <v>T1-005W</v>
      </c>
      <c r="E28" s="103">
        <v>100027276</v>
      </c>
      <c r="F28" s="53" t="str">
        <f>_xlfn.XLOOKUP(E28,'All Products'!D:D,'All Products'!E:E,FALSE)</f>
        <v>1/2 PVC BALL VALVE(FIPXFIP)</v>
      </c>
      <c r="G28" s="52" t="s">
        <v>5821</v>
      </c>
      <c r="H28" s="52" t="s">
        <v>5822</v>
      </c>
      <c r="I28" s="52" t="s">
        <v>5822</v>
      </c>
      <c r="J28" s="52" t="s">
        <v>5829</v>
      </c>
      <c r="K28" s="103">
        <f>_xlfn.XLOOKUP(E28,'All Products'!D:D,'All Products'!F:F,FALSE)</f>
        <v>100</v>
      </c>
      <c r="L28" s="103" t="str">
        <f>_xlfn.XLOOKUP(E28,'All Products'!D:D,'All Products'!G:G,FALSE)</f>
        <v>-</v>
      </c>
      <c r="M28" s="217">
        <f>_xlfn.XLOOKUP(E28,'All Products'!D:D,'All Products'!H:H)</f>
        <v>12.16</v>
      </c>
      <c r="N28" s="128">
        <f>ROUNDUP(M28*Order_Quote!$L$13,2)</f>
        <v>12.16</v>
      </c>
      <c r="O28" s="73"/>
      <c r="P28" s="76"/>
      <c r="Q28" s="104">
        <f t="shared" si="0"/>
        <v>0</v>
      </c>
      <c r="S28" s="215" t="str">
        <f>_xlfn.XLOOKUP(E28,'All Products'!D:D,'All Products'!I:I,FALSE)</f>
        <v>In stock</v>
      </c>
      <c r="T28" s="215" t="str">
        <f>_xlfn.XLOOKUP(E28,'All Products'!D:D,'All Products'!J:J,FALSE)</f>
        <v>Sourced</v>
      </c>
      <c r="U28" s="266">
        <f>_xlfn.XLOOKUP(E28,'All Products'!D:D,'All Products'!K:K,FALSE)</f>
        <v>49081355029</v>
      </c>
      <c r="V28" s="266" t="str">
        <f>_xlfn.XLOOKUP(E28,'All Products'!D:D,'All Products'!L:L,FALSE)</f>
        <v>-</v>
      </c>
      <c r="W28" s="266">
        <f>_xlfn.XLOOKUP(E28,'All Products'!D:D,'All Products'!M:M,FALSE)</f>
        <v>40049081355027</v>
      </c>
      <c r="X28" s="265">
        <f>_xlfn.XLOOKUP(E28,'All Products'!D:D,'All Products'!N:N,FALSE)</f>
        <v>22.47</v>
      </c>
      <c r="Y28" s="215" t="str">
        <f>_xlfn.XLOOKUP(E28,'All Products'!D:D,'All Products'!O:O,FALSE)</f>
        <v>-</v>
      </c>
      <c r="Z28" s="265">
        <f>_xlfn.XLOOKUP(E28,'All Products'!D:D,'All Products'!P:P,FALSE)</f>
        <v>22.47</v>
      </c>
      <c r="AA28" s="265">
        <f>_xlfn.XLOOKUP(E28,'All Products'!D:D,'All Products'!Q:Q,FALSE)</f>
        <v>1</v>
      </c>
    </row>
    <row r="29" spans="1:27" s="17" customFormat="1">
      <c r="A29" s="101" t="str">
        <f>IF(O29&gt;0,COUNT($A$8:A28)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29" s="610"/>
      <c r="C29" s="611"/>
      <c r="D29" s="103" t="str">
        <f>_xlfn.XLOOKUP(E29,'All Products'!D:D,'All Products'!C:C,FALSE)</f>
        <v>T1-007W</v>
      </c>
      <c r="E29" s="103">
        <v>100027278</v>
      </c>
      <c r="F29" s="53" t="str">
        <f>_xlfn.XLOOKUP(E29,'All Products'!D:D,'All Products'!E:E,FALSE)</f>
        <v>3/4 PVC BALL VALVE(FIPXFIP)</v>
      </c>
      <c r="G29" s="52" t="s">
        <v>5821</v>
      </c>
      <c r="H29" s="52" t="s">
        <v>5822</v>
      </c>
      <c r="I29" s="52" t="s">
        <v>5822</v>
      </c>
      <c r="J29" s="52" t="s">
        <v>5829</v>
      </c>
      <c r="K29" s="103">
        <f>_xlfn.XLOOKUP(E29,'All Products'!D:D,'All Products'!F:F,FALSE)</f>
        <v>100</v>
      </c>
      <c r="L29" s="103" t="str">
        <f>_xlfn.XLOOKUP(E29,'All Products'!D:D,'All Products'!G:G,FALSE)</f>
        <v>-</v>
      </c>
      <c r="M29" s="217">
        <f>_xlfn.XLOOKUP(E29,'All Products'!D:D,'All Products'!H:H)</f>
        <v>14.15</v>
      </c>
      <c r="N29" s="128">
        <f>ROUNDUP(M29*Order_Quote!$L$13,2)</f>
        <v>14.15</v>
      </c>
      <c r="O29" s="73"/>
      <c r="P29" s="76"/>
      <c r="Q29" s="104">
        <f t="shared" si="0"/>
        <v>0</v>
      </c>
      <c r="S29" s="215" t="str">
        <f>_xlfn.XLOOKUP(E29,'All Products'!D:D,'All Products'!I:I,FALSE)</f>
        <v>In stock</v>
      </c>
      <c r="T29" s="215" t="str">
        <f>_xlfn.XLOOKUP(E29,'All Products'!D:D,'All Products'!J:J,FALSE)</f>
        <v>Sourced</v>
      </c>
      <c r="U29" s="266">
        <f>_xlfn.XLOOKUP(E29,'All Products'!D:D,'All Products'!K:K,FALSE)</f>
        <v>49081355067</v>
      </c>
      <c r="V29" s="266" t="str">
        <f>_xlfn.XLOOKUP(E29,'All Products'!D:D,'All Products'!L:L,FALSE)</f>
        <v>-</v>
      </c>
      <c r="W29" s="266">
        <f>_xlfn.XLOOKUP(E29,'All Products'!D:D,'All Products'!M:M,FALSE)</f>
        <v>40049081355065</v>
      </c>
      <c r="X29" s="265">
        <f>_xlfn.XLOOKUP(E29,'All Products'!D:D,'All Products'!N:N,FALSE)</f>
        <v>37.83</v>
      </c>
      <c r="Y29" s="215" t="str">
        <f>_xlfn.XLOOKUP(E29,'All Products'!D:D,'All Products'!O:O,FALSE)</f>
        <v>-</v>
      </c>
      <c r="Z29" s="265">
        <f>_xlfn.XLOOKUP(E29,'All Products'!D:D,'All Products'!P:P,FALSE)</f>
        <v>37.83</v>
      </c>
      <c r="AA29" s="265">
        <f>_xlfn.XLOOKUP(E29,'All Products'!D:D,'All Products'!Q:Q,FALSE)</f>
        <v>1.7</v>
      </c>
    </row>
    <row r="30" spans="1:27" s="17" customFormat="1">
      <c r="A30" s="101" t="str">
        <f>IF(O30&gt;0,COUNT($A$8:A29)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30" s="610"/>
      <c r="C30" s="611"/>
      <c r="D30" s="103" t="str">
        <f>_xlfn.XLOOKUP(E30,'All Products'!D:D,'All Products'!C:C,FALSE)</f>
        <v>T1-010W</v>
      </c>
      <c r="E30" s="103">
        <v>100027280</v>
      </c>
      <c r="F30" s="53" t="str">
        <f>_xlfn.XLOOKUP(E30,'All Products'!D:D,'All Products'!E:E,FALSE)</f>
        <v>1 PVC BALL VALVE(FIPXFIP)</v>
      </c>
      <c r="G30" s="52" t="s">
        <v>5821</v>
      </c>
      <c r="H30" s="52" t="s">
        <v>5822</v>
      </c>
      <c r="I30" s="52" t="s">
        <v>5822</v>
      </c>
      <c r="J30" s="52" t="s">
        <v>5829</v>
      </c>
      <c r="K30" s="103">
        <f>_xlfn.XLOOKUP(E30,'All Products'!D:D,'All Products'!F:F,FALSE)</f>
        <v>100</v>
      </c>
      <c r="L30" s="103" t="str">
        <f>_xlfn.XLOOKUP(E30,'All Products'!D:D,'All Products'!G:G,FALSE)</f>
        <v>-</v>
      </c>
      <c r="M30" s="123">
        <f>_xlfn.XLOOKUP(E30,'All Products'!D:D,'All Products'!H:H)</f>
        <v>20.420000000000002</v>
      </c>
      <c r="N30" s="128">
        <f>ROUNDUP(M30*Order_Quote!$L$13,2)</f>
        <v>20.420000000000002</v>
      </c>
      <c r="O30" s="73"/>
      <c r="P30" s="76"/>
      <c r="Q30" s="104">
        <f t="shared" si="0"/>
        <v>0</v>
      </c>
      <c r="S30" s="215" t="str">
        <f>_xlfn.XLOOKUP(E30,'All Products'!D:D,'All Products'!I:I,FALSE)</f>
        <v>In stock</v>
      </c>
      <c r="T30" s="215" t="str">
        <f>_xlfn.XLOOKUP(E30,'All Products'!D:D,'All Products'!J:J,FALSE)</f>
        <v>Sourced</v>
      </c>
      <c r="U30" s="266">
        <f>_xlfn.XLOOKUP(E30,'All Products'!D:D,'All Products'!K:K,FALSE)</f>
        <v>49081355104</v>
      </c>
      <c r="V30" s="266" t="str">
        <f>_xlfn.XLOOKUP(E30,'All Products'!D:D,'All Products'!L:L,FALSE)</f>
        <v>-</v>
      </c>
      <c r="W30" s="266">
        <f>_xlfn.XLOOKUP(E30,'All Products'!D:D,'All Products'!M:M,FALSE)</f>
        <v>40049081355102</v>
      </c>
      <c r="X30" s="265">
        <f>_xlfn.XLOOKUP(E30,'All Products'!D:D,'All Products'!N:N,FALSE)</f>
        <v>57.84</v>
      </c>
      <c r="Y30" s="215" t="str">
        <f>_xlfn.XLOOKUP(E30,'All Products'!D:D,'All Products'!O:O,FALSE)</f>
        <v>-</v>
      </c>
      <c r="Z30" s="265">
        <f>_xlfn.XLOOKUP(E30,'All Products'!D:D,'All Products'!P:P,FALSE)</f>
        <v>57.84</v>
      </c>
      <c r="AA30" s="265">
        <f>_xlfn.XLOOKUP(E30,'All Products'!D:D,'All Products'!Q:Q,FALSE)</f>
        <v>2.6</v>
      </c>
    </row>
    <row r="31" spans="1:27" s="17" customFormat="1">
      <c r="A31" s="101" t="str">
        <f>IF(O31&gt;0,COUNT($A$8:A30)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31" s="610"/>
      <c r="C31" s="611"/>
      <c r="D31" s="103" t="str">
        <f>_xlfn.XLOOKUP(E31,'All Products'!D:D,'All Products'!C:C,FALSE)</f>
        <v>T1-012W</v>
      </c>
      <c r="E31" s="103">
        <v>100027282</v>
      </c>
      <c r="F31" s="53" t="str">
        <f>_xlfn.XLOOKUP(E31,'All Products'!D:D,'All Products'!E:E,FALSE)</f>
        <v>11/4 PVC BALL VALVE(FXF)</v>
      </c>
      <c r="G31" s="52" t="s">
        <v>5821</v>
      </c>
      <c r="H31" s="52" t="s">
        <v>5822</v>
      </c>
      <c r="I31" s="52" t="s">
        <v>5822</v>
      </c>
      <c r="J31" s="52" t="s">
        <v>5829</v>
      </c>
      <c r="K31" s="103">
        <f>_xlfn.XLOOKUP(E31,'All Products'!D:D,'All Products'!F:F,FALSE)</f>
        <v>100</v>
      </c>
      <c r="L31" s="103" t="str">
        <f>_xlfn.XLOOKUP(E31,'All Products'!D:D,'All Products'!G:G,FALSE)</f>
        <v>-</v>
      </c>
      <c r="M31" s="123">
        <f>_xlfn.XLOOKUP(E31,'All Products'!D:D,'All Products'!H:H)</f>
        <v>24.79</v>
      </c>
      <c r="N31" s="128">
        <f>ROUNDUP(M31*Order_Quote!$L$13,2)</f>
        <v>24.79</v>
      </c>
      <c r="O31" s="73"/>
      <c r="P31" s="76"/>
      <c r="Q31" s="104">
        <f t="shared" si="0"/>
        <v>0</v>
      </c>
      <c r="S31" s="215" t="str">
        <f>_xlfn.XLOOKUP(E31,'All Products'!D:D,'All Products'!I:I,FALSE)</f>
        <v>In stock</v>
      </c>
      <c r="T31" s="215" t="str">
        <f>_xlfn.XLOOKUP(E31,'All Products'!D:D,'All Products'!J:J,FALSE)</f>
        <v>Sourced</v>
      </c>
      <c r="U31" s="266">
        <f>_xlfn.XLOOKUP(E31,'All Products'!D:D,'All Products'!K:K,FALSE)</f>
        <v>49081355142</v>
      </c>
      <c r="V31" s="266" t="str">
        <f>_xlfn.XLOOKUP(E31,'All Products'!D:D,'All Products'!L:L,FALSE)</f>
        <v>-</v>
      </c>
      <c r="W31" s="266">
        <f>_xlfn.XLOOKUP(E31,'All Products'!D:D,'All Products'!M:M,FALSE)</f>
        <v>40049081355140</v>
      </c>
      <c r="X31" s="265">
        <f>_xlfn.XLOOKUP(E31,'All Products'!D:D,'All Products'!N:N,FALSE)</f>
        <v>72.150000000000006</v>
      </c>
      <c r="Y31" s="215" t="str">
        <f>_xlfn.XLOOKUP(E31,'All Products'!D:D,'All Products'!O:O,FALSE)</f>
        <v>-</v>
      </c>
      <c r="Z31" s="265">
        <f>_xlfn.XLOOKUP(E31,'All Products'!D:D,'All Products'!P:P,FALSE)</f>
        <v>72.150000000000006</v>
      </c>
      <c r="AA31" s="265">
        <f>_xlfn.XLOOKUP(E31,'All Products'!D:D,'All Products'!Q:Q,FALSE)</f>
        <v>3.3</v>
      </c>
    </row>
    <row r="32" spans="1:27" s="17" customFormat="1">
      <c r="A32" s="101" t="str">
        <f>IF(O32&gt;0,COUNT($A$8:A31)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32" s="610"/>
      <c r="C32" s="611"/>
      <c r="D32" s="103" t="str">
        <f>_xlfn.XLOOKUP(E32,'All Products'!D:D,'All Products'!C:C,FALSE)</f>
        <v>T1-015W</v>
      </c>
      <c r="E32" s="103">
        <v>100027284</v>
      </c>
      <c r="F32" s="53" t="str">
        <f>_xlfn.XLOOKUP(E32,'All Products'!D:D,'All Products'!E:E,FALSE)</f>
        <v>11/2 PVC BALL VALVE(FXF)</v>
      </c>
      <c r="G32" s="52" t="s">
        <v>5821</v>
      </c>
      <c r="H32" s="52" t="s">
        <v>5822</v>
      </c>
      <c r="I32" s="52" t="s">
        <v>5822</v>
      </c>
      <c r="J32" s="52" t="s">
        <v>5829</v>
      </c>
      <c r="K32" s="103">
        <f>_xlfn.XLOOKUP(E32,'All Products'!D:D,'All Products'!F:F,FALSE)</f>
        <v>48</v>
      </c>
      <c r="L32" s="103" t="str">
        <f>_xlfn.XLOOKUP(E32,'All Products'!D:D,'All Products'!G:G,FALSE)</f>
        <v>-</v>
      </c>
      <c r="M32" s="123">
        <f>_xlfn.XLOOKUP(E32,'All Products'!D:D,'All Products'!H:H)</f>
        <v>43.94</v>
      </c>
      <c r="N32" s="128">
        <f>ROUNDUP(M32*Order_Quote!$L$13,2)</f>
        <v>43.94</v>
      </c>
      <c r="O32" s="73"/>
      <c r="P32" s="76"/>
      <c r="Q32" s="104">
        <f t="shared" si="0"/>
        <v>0</v>
      </c>
      <c r="S32" s="215" t="str">
        <f>_xlfn.XLOOKUP(E32,'All Products'!D:D,'All Products'!I:I,FALSE)</f>
        <v>In stock</v>
      </c>
      <c r="T32" s="215" t="str">
        <f>_xlfn.XLOOKUP(E32,'All Products'!D:D,'All Products'!J:J,FALSE)</f>
        <v>Sourced</v>
      </c>
      <c r="U32" s="266">
        <f>_xlfn.XLOOKUP(E32,'All Products'!D:D,'All Products'!K:K,FALSE)</f>
        <v>49081355180</v>
      </c>
      <c r="V32" s="266" t="str">
        <f>_xlfn.XLOOKUP(E32,'All Products'!D:D,'All Products'!L:L,FALSE)</f>
        <v>-</v>
      </c>
      <c r="W32" s="266">
        <f>_xlfn.XLOOKUP(E32,'All Products'!D:D,'All Products'!M:M,FALSE)</f>
        <v>40049081355188</v>
      </c>
      <c r="X32" s="265">
        <f>_xlfn.XLOOKUP(E32,'All Products'!D:D,'All Products'!N:N,FALSE)</f>
        <v>52.21</v>
      </c>
      <c r="Y32" s="215" t="str">
        <f>_xlfn.XLOOKUP(E32,'All Products'!D:D,'All Products'!O:O,FALSE)</f>
        <v>-</v>
      </c>
      <c r="Z32" s="265">
        <f>_xlfn.XLOOKUP(E32,'All Products'!D:D,'All Products'!P:P,FALSE)</f>
        <v>52.21</v>
      </c>
      <c r="AA32" s="265">
        <f>_xlfn.XLOOKUP(E32,'All Products'!D:D,'All Products'!Q:Q,FALSE)</f>
        <v>2.4</v>
      </c>
    </row>
    <row r="33" spans="1:27" s="17" customFormat="1">
      <c r="A33" s="101" t="str">
        <f>IF(O33&gt;0,COUNT($A$8:A32)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33" s="610"/>
      <c r="C33" s="611"/>
      <c r="D33" s="103" t="str">
        <f>_xlfn.XLOOKUP(E33,'All Products'!D:D,'All Products'!C:C,FALSE)</f>
        <v>T1-020W</v>
      </c>
      <c r="E33" s="103">
        <v>100027286</v>
      </c>
      <c r="F33" s="53" t="str">
        <f>_xlfn.XLOOKUP(E33,'All Products'!D:D,'All Products'!E:E,FALSE)</f>
        <v>2 PVC BALL VALVE(FIPXFIP)</v>
      </c>
      <c r="G33" s="52" t="s">
        <v>5821</v>
      </c>
      <c r="H33" s="52" t="s">
        <v>5822</v>
      </c>
      <c r="I33" s="52" t="s">
        <v>5822</v>
      </c>
      <c r="J33" s="52" t="s">
        <v>5829</v>
      </c>
      <c r="K33" s="103">
        <f>_xlfn.XLOOKUP(E33,'All Products'!D:D,'All Products'!F:F,FALSE)</f>
        <v>24</v>
      </c>
      <c r="L33" s="103" t="str">
        <f>_xlfn.XLOOKUP(E33,'All Products'!D:D,'All Products'!G:G,FALSE)</f>
        <v>-</v>
      </c>
      <c r="M33" s="123">
        <f>_xlfn.XLOOKUP(E33,'All Products'!D:D,'All Products'!H:H)</f>
        <v>56.51</v>
      </c>
      <c r="N33" s="128">
        <f>ROUNDUP(M33*Order_Quote!$L$13,2)</f>
        <v>56.51</v>
      </c>
      <c r="O33" s="73"/>
      <c r="P33" s="76"/>
      <c r="Q33" s="104">
        <f t="shared" si="0"/>
        <v>0</v>
      </c>
      <c r="S33" s="215" t="str">
        <f>_xlfn.XLOOKUP(E33,'All Products'!D:D,'All Products'!I:I,FALSE)</f>
        <v>In stock</v>
      </c>
      <c r="T33" s="215" t="str">
        <f>_xlfn.XLOOKUP(E33,'All Products'!D:D,'All Products'!J:J,FALSE)</f>
        <v>Sourced</v>
      </c>
      <c r="U33" s="266">
        <f>_xlfn.XLOOKUP(E33,'All Products'!D:D,'All Products'!K:K,FALSE)</f>
        <v>49081355227</v>
      </c>
      <c r="V33" s="266" t="str">
        <f>_xlfn.XLOOKUP(E33,'All Products'!D:D,'All Products'!L:L,FALSE)</f>
        <v>-</v>
      </c>
      <c r="W33" s="266">
        <f>_xlfn.XLOOKUP(E33,'All Products'!D:D,'All Products'!M:M,FALSE)</f>
        <v>40049081355225</v>
      </c>
      <c r="X33" s="265">
        <f>_xlfn.XLOOKUP(E33,'All Products'!D:D,'All Products'!N:N,FALSE)</f>
        <v>42.67</v>
      </c>
      <c r="Y33" s="215" t="str">
        <f>_xlfn.XLOOKUP(E33,'All Products'!D:D,'All Products'!O:O,FALSE)</f>
        <v>-</v>
      </c>
      <c r="Z33" s="265">
        <f>_xlfn.XLOOKUP(E33,'All Products'!D:D,'All Products'!P:P,FALSE)</f>
        <v>42.67</v>
      </c>
      <c r="AA33" s="265">
        <f>_xlfn.XLOOKUP(E33,'All Products'!D:D,'All Products'!Q:Q,FALSE)</f>
        <v>1.9</v>
      </c>
    </row>
    <row r="34" spans="1:27" s="17" customFormat="1">
      <c r="A34" s="101" t="str">
        <f>IF(O34&gt;0,COUNT($A$8:A33)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34" s="610"/>
      <c r="C34" s="611"/>
      <c r="D34" s="103" t="str">
        <f>_xlfn.XLOOKUP(E34,'All Products'!D:D,'All Products'!C:C,FALSE)</f>
        <v>T1-025W</v>
      </c>
      <c r="E34" s="103">
        <v>100027288</v>
      </c>
      <c r="F34" s="53" t="str">
        <f>_xlfn.XLOOKUP(E34,'All Products'!D:D,'All Products'!E:E,FALSE)</f>
        <v>2-1/2 TT WHITE COMP BALL VLV 37059022</v>
      </c>
      <c r="G34" s="52" t="s">
        <v>5821</v>
      </c>
      <c r="H34" s="52" t="s">
        <v>5822</v>
      </c>
      <c r="I34" s="52" t="s">
        <v>5822</v>
      </c>
      <c r="J34" s="52" t="s">
        <v>5829</v>
      </c>
      <c r="K34" s="103">
        <f>_xlfn.XLOOKUP(E34,'All Products'!D:D,'All Products'!F:F,FALSE)</f>
        <v>12</v>
      </c>
      <c r="L34" s="103">
        <f>_xlfn.XLOOKUP(E34,'All Products'!D:D,'All Products'!G:G,FALSE)</f>
        <v>346</v>
      </c>
      <c r="M34" s="123">
        <f>_xlfn.XLOOKUP(E34,'All Products'!D:D,'All Products'!H:H)</f>
        <v>238.93</v>
      </c>
      <c r="N34" s="128">
        <f>ROUNDUP(M34*Order_Quote!$L$13,2)</f>
        <v>238.93</v>
      </c>
      <c r="O34" s="73"/>
      <c r="P34" s="76"/>
      <c r="Q34" s="104">
        <f t="shared" si="0"/>
        <v>0</v>
      </c>
      <c r="S34" s="215" t="str">
        <f>_xlfn.XLOOKUP(E34,'All Products'!D:D,'All Products'!I:I,FALSE)</f>
        <v>In stock</v>
      </c>
      <c r="T34" s="215" t="str">
        <f>_xlfn.XLOOKUP(E34,'All Products'!D:D,'All Products'!J:J,FALSE)</f>
        <v>Sourced</v>
      </c>
      <c r="U34" s="266">
        <f>_xlfn.XLOOKUP(E34,'All Products'!D:D,'All Products'!K:K,FALSE)</f>
        <v>49081355265</v>
      </c>
      <c r="V34" s="266" t="str">
        <f>_xlfn.XLOOKUP(E34,'All Products'!D:D,'All Products'!L:L,FALSE)</f>
        <v>-</v>
      </c>
      <c r="W34" s="266">
        <f>_xlfn.XLOOKUP(E34,'All Products'!D:D,'All Products'!M:M,FALSE)</f>
        <v>40049081355263</v>
      </c>
      <c r="X34" s="265">
        <f>_xlfn.XLOOKUP(E34,'All Products'!D:D,'All Products'!N:N,FALSE)</f>
        <v>36.799999999999997</v>
      </c>
      <c r="Y34" s="215" t="str">
        <f>_xlfn.XLOOKUP(E34,'All Products'!D:D,'All Products'!O:O,FALSE)</f>
        <v>-</v>
      </c>
      <c r="Z34" s="265">
        <f>_xlfn.XLOOKUP(E34,'All Products'!D:D,'All Products'!P:P,FALSE)</f>
        <v>36.799999999999997</v>
      </c>
      <c r="AA34" s="265">
        <f>_xlfn.XLOOKUP(E34,'All Products'!D:D,'All Products'!Q:Q,FALSE)</f>
        <v>2.08</v>
      </c>
    </row>
    <row r="35" spans="1:27" s="17" customFormat="1">
      <c r="A35" s="101" t="str">
        <f>IF(O35&gt;0,COUNT($A$8:A34)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35" s="610"/>
      <c r="C35" s="611"/>
      <c r="D35" s="103" t="str">
        <f>_xlfn.XLOOKUP(E35,'All Products'!D:D,'All Products'!C:C,FALSE)</f>
        <v>T1-030W</v>
      </c>
      <c r="E35" s="103">
        <v>100027290</v>
      </c>
      <c r="F35" s="53" t="str">
        <f>_xlfn.XLOOKUP(E35,'All Products'!D:D,'All Products'!E:E,FALSE)</f>
        <v>3 TT WHITE COMP BALL VLV 37059023</v>
      </c>
      <c r="G35" s="52" t="s">
        <v>5821</v>
      </c>
      <c r="H35" s="52" t="s">
        <v>5822</v>
      </c>
      <c r="I35" s="52" t="s">
        <v>5822</v>
      </c>
      <c r="J35" s="52" t="s">
        <v>5829</v>
      </c>
      <c r="K35" s="103">
        <f>_xlfn.XLOOKUP(E35,'All Products'!D:D,'All Products'!F:F,FALSE)</f>
        <v>12</v>
      </c>
      <c r="L35" s="103">
        <f>_xlfn.XLOOKUP(E35,'All Products'!D:D,'All Products'!G:G,FALSE)</f>
        <v>232</v>
      </c>
      <c r="M35" s="123">
        <f>_xlfn.XLOOKUP(E35,'All Products'!D:D,'All Products'!H:H)</f>
        <v>314.14</v>
      </c>
      <c r="N35" s="128">
        <f>ROUNDUP(M35*Order_Quote!$L$13,2)</f>
        <v>314.14</v>
      </c>
      <c r="O35" s="73"/>
      <c r="P35" s="76"/>
      <c r="Q35" s="104">
        <f t="shared" si="0"/>
        <v>0</v>
      </c>
      <c r="S35" s="215" t="str">
        <f>_xlfn.XLOOKUP(E35,'All Products'!D:D,'All Products'!I:I,FALSE)</f>
        <v>Within 4 Months</v>
      </c>
      <c r="T35" s="215" t="str">
        <f>_xlfn.XLOOKUP(E35,'All Products'!D:D,'All Products'!J:J,FALSE)</f>
        <v>Sourced</v>
      </c>
      <c r="U35" s="266">
        <f>_xlfn.XLOOKUP(E35,'All Products'!D:D,'All Products'!K:K,FALSE)</f>
        <v>49081355302</v>
      </c>
      <c r="V35" s="266" t="str">
        <f>_xlfn.XLOOKUP(E35,'All Products'!D:D,'All Products'!L:L,FALSE)</f>
        <v>-</v>
      </c>
      <c r="W35" s="266">
        <f>_xlfn.XLOOKUP(E35,'All Products'!D:D,'All Products'!M:M,FALSE)</f>
        <v>40049081355300</v>
      </c>
      <c r="X35" s="265">
        <f>_xlfn.XLOOKUP(E35,'All Products'!D:D,'All Products'!N:N,FALSE)</f>
        <v>55.6</v>
      </c>
      <c r="Y35" s="215" t="str">
        <f>_xlfn.XLOOKUP(E35,'All Products'!D:D,'All Products'!O:O,FALSE)</f>
        <v>-</v>
      </c>
      <c r="Z35" s="265">
        <f>_xlfn.XLOOKUP(E35,'All Products'!D:D,'All Products'!P:P,FALSE)</f>
        <v>55.6</v>
      </c>
      <c r="AA35" s="265">
        <f>_xlfn.XLOOKUP(E35,'All Products'!D:D,'All Products'!Q:Q,FALSE)</f>
        <v>3.1</v>
      </c>
    </row>
    <row r="36" spans="1:27" s="17" customFormat="1">
      <c r="A36" s="101" t="str">
        <f>IF(O36&gt;0,COUNT($A$8:A35)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36" s="612"/>
      <c r="C36" s="613"/>
      <c r="D36" s="103" t="str">
        <f>_xlfn.XLOOKUP(E36,'All Products'!D:D,'All Products'!C:C,FALSE)</f>
        <v>T1-040W</v>
      </c>
      <c r="E36" s="103">
        <v>100027292</v>
      </c>
      <c r="F36" s="53" t="str">
        <f>_xlfn.XLOOKUP(E36,'All Products'!D:D,'All Products'!E:E,FALSE)</f>
        <v>4 TT WHITE COMP BALL VLV 37059024</v>
      </c>
      <c r="G36" s="52" t="s">
        <v>5821</v>
      </c>
      <c r="H36" s="52" t="s">
        <v>5822</v>
      </c>
      <c r="I36" s="52" t="s">
        <v>5822</v>
      </c>
      <c r="J36" s="52" t="s">
        <v>5829</v>
      </c>
      <c r="K36" s="103">
        <f>_xlfn.XLOOKUP(E36,'All Products'!D:D,'All Products'!F:F,FALSE)</f>
        <v>6</v>
      </c>
      <c r="L36" s="103">
        <f>_xlfn.XLOOKUP(E36,'All Products'!D:D,'All Products'!G:G,FALSE)</f>
        <v>113</v>
      </c>
      <c r="M36" s="123">
        <f>_xlfn.XLOOKUP(E36,'All Products'!D:D,'All Products'!H:H)</f>
        <v>598.1</v>
      </c>
      <c r="N36" s="128">
        <f>ROUNDUP(M36*Order_Quote!$L$13,2)</f>
        <v>598.1</v>
      </c>
      <c r="O36" s="73"/>
      <c r="P36" s="76"/>
      <c r="Q36" s="104">
        <f t="shared" si="0"/>
        <v>0</v>
      </c>
      <c r="S36" s="215" t="str">
        <f>_xlfn.XLOOKUP(E36,'All Products'!D:D,'All Products'!I:I,FALSE)</f>
        <v>In stock</v>
      </c>
      <c r="T36" s="215" t="str">
        <f>_xlfn.XLOOKUP(E36,'All Products'!D:D,'All Products'!J:J,FALSE)</f>
        <v>Sourced</v>
      </c>
      <c r="U36" s="266">
        <f>_xlfn.XLOOKUP(E36,'All Products'!D:D,'All Products'!K:K,FALSE)</f>
        <v>49081355340</v>
      </c>
      <c r="V36" s="266" t="str">
        <f>_xlfn.XLOOKUP(E36,'All Products'!D:D,'All Products'!L:L,FALSE)</f>
        <v>-</v>
      </c>
      <c r="W36" s="266">
        <f>_xlfn.XLOOKUP(E36,'All Products'!D:D,'All Products'!M:M,FALSE)</f>
        <v>40049081355348</v>
      </c>
      <c r="X36" s="265">
        <f>_xlfn.XLOOKUP(E36,'All Products'!D:D,'All Products'!N:N,FALSE)</f>
        <v>32.08</v>
      </c>
      <c r="Y36" s="215" t="str">
        <f>_xlfn.XLOOKUP(E36,'All Products'!D:D,'All Products'!O:O,FALSE)</f>
        <v>-</v>
      </c>
      <c r="Z36" s="265">
        <f>_xlfn.XLOOKUP(E36,'All Products'!D:D,'All Products'!P:P,FALSE)</f>
        <v>32.08</v>
      </c>
      <c r="AA36" s="265">
        <f>_xlfn.XLOOKUP(E36,'All Products'!D:D,'All Products'!Q:Q,FALSE)</f>
        <v>3.2</v>
      </c>
    </row>
    <row r="37" spans="1:27" s="17" customFormat="1">
      <c r="A37" s="101" t="str">
        <f>IF(O37&gt;0,COUNT($A$8:A36)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37" s="608"/>
      <c r="C37" s="609"/>
      <c r="D37" s="103" t="str">
        <f>_xlfn.XLOOKUP(E37,'All Products'!D:D,'All Products'!C:C,FALSE)</f>
        <v>T1-005G</v>
      </c>
      <c r="E37" s="103">
        <v>100027275</v>
      </c>
      <c r="F37" s="53" t="str">
        <f>_xlfn.XLOOKUP(E37,'All Products'!D:D,'All Products'!E:E,FALSE)</f>
        <v>1/2 TT GRAY COMP BALL VLV 37059025</v>
      </c>
      <c r="G37" s="52" t="s">
        <v>5821</v>
      </c>
      <c r="H37" s="52" t="s">
        <v>5822</v>
      </c>
      <c r="I37" s="52" t="s">
        <v>5822</v>
      </c>
      <c r="J37" s="52" t="s">
        <v>5829</v>
      </c>
      <c r="K37" s="103">
        <f>_xlfn.XLOOKUP(E37,'All Products'!D:D,'All Products'!F:F,FALSE)</f>
        <v>100</v>
      </c>
      <c r="L37" s="103">
        <f>_xlfn.XLOOKUP(E37,'All Products'!D:D,'All Products'!G:G,FALSE)</f>
        <v>6000</v>
      </c>
      <c r="M37" s="123">
        <f>_xlfn.XLOOKUP(E37,'All Products'!D:D,'All Products'!H:H)</f>
        <v>12.15</v>
      </c>
      <c r="N37" s="128">
        <f>ROUNDUP(M37*Order_Quote!$L$13,2)</f>
        <v>12.15</v>
      </c>
      <c r="O37" s="73"/>
      <c r="P37" s="76"/>
      <c r="Q37" s="104">
        <f t="shared" si="0"/>
        <v>0</v>
      </c>
      <c r="S37" s="215" t="str">
        <f>_xlfn.XLOOKUP(E37,'All Products'!D:D,'All Products'!I:I,FALSE)</f>
        <v>In stock</v>
      </c>
      <c r="T37" s="215" t="str">
        <f>_xlfn.XLOOKUP(E37,'All Products'!D:D,'All Products'!J:J,FALSE)</f>
        <v>Sourced</v>
      </c>
      <c r="U37" s="266">
        <f>_xlfn.XLOOKUP(E37,'All Products'!D:D,'All Products'!K:K,FALSE)</f>
        <v>49081355005</v>
      </c>
      <c r="V37" s="266" t="str">
        <f>_xlfn.XLOOKUP(E37,'All Products'!D:D,'All Products'!L:L,FALSE)</f>
        <v>-</v>
      </c>
      <c r="W37" s="266">
        <f>_xlfn.XLOOKUP(E37,'All Products'!D:D,'All Products'!M:M,FALSE)</f>
        <v>40049081355003</v>
      </c>
      <c r="X37" s="265">
        <f>_xlfn.XLOOKUP(E37,'All Products'!D:D,'All Products'!N:N,FALSE)</f>
        <v>22.26</v>
      </c>
      <c r="Y37" s="215" t="str">
        <f>_xlfn.XLOOKUP(E37,'All Products'!D:D,'All Products'!O:O,FALSE)</f>
        <v>-</v>
      </c>
      <c r="Z37" s="265">
        <f>_xlfn.XLOOKUP(E37,'All Products'!D:D,'All Products'!P:P,FALSE)</f>
        <v>22.26</v>
      </c>
      <c r="AA37" s="265">
        <f>_xlfn.XLOOKUP(E37,'All Products'!D:D,'All Products'!Q:Q,FALSE)</f>
        <v>1</v>
      </c>
    </row>
    <row r="38" spans="1:27" s="17" customFormat="1">
      <c r="A38" s="101" t="str">
        <f>IF(O38&gt;0,COUNT($A$8:A37)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38" s="610"/>
      <c r="C38" s="611"/>
      <c r="D38" s="103" t="str">
        <f>_xlfn.XLOOKUP(E38,'All Products'!D:D,'All Products'!C:C,FALSE)</f>
        <v>T1-007G</v>
      </c>
      <c r="E38" s="103">
        <v>100027277</v>
      </c>
      <c r="F38" s="53" t="str">
        <f>_xlfn.XLOOKUP(E38,'All Products'!D:D,'All Products'!E:E,FALSE)</f>
        <v>3/4 GRAY COMP BALL VLV 37059026</v>
      </c>
      <c r="G38" s="52" t="s">
        <v>5821</v>
      </c>
      <c r="H38" s="52" t="s">
        <v>5822</v>
      </c>
      <c r="I38" s="52" t="s">
        <v>5822</v>
      </c>
      <c r="J38" s="52" t="s">
        <v>5829</v>
      </c>
      <c r="K38" s="103">
        <f>_xlfn.XLOOKUP(E38,'All Products'!D:D,'All Products'!F:F,FALSE)</f>
        <v>100</v>
      </c>
      <c r="L38" s="103">
        <f>_xlfn.XLOOKUP(E38,'All Products'!D:D,'All Products'!G:G,FALSE)</f>
        <v>3529</v>
      </c>
      <c r="M38" s="123">
        <f>_xlfn.XLOOKUP(E38,'All Products'!D:D,'All Products'!H:H)</f>
        <v>14.15</v>
      </c>
      <c r="N38" s="128">
        <f>ROUNDUP(M38*Order_Quote!$L$13,2)</f>
        <v>14.15</v>
      </c>
      <c r="O38" s="73"/>
      <c r="P38" s="76"/>
      <c r="Q38" s="104">
        <f t="shared" si="0"/>
        <v>0</v>
      </c>
      <c r="S38" s="215" t="str">
        <f>_xlfn.XLOOKUP(E38,'All Products'!D:D,'All Products'!I:I,FALSE)</f>
        <v>In stock</v>
      </c>
      <c r="T38" s="215" t="str">
        <f>_xlfn.XLOOKUP(E38,'All Products'!D:D,'All Products'!J:J,FALSE)</f>
        <v>Sourced</v>
      </c>
      <c r="U38" s="266">
        <f>_xlfn.XLOOKUP(E38,'All Products'!D:D,'All Products'!K:K,FALSE)</f>
        <v>49081355043</v>
      </c>
      <c r="V38" s="266" t="str">
        <f>_xlfn.XLOOKUP(E38,'All Products'!D:D,'All Products'!L:L,FALSE)</f>
        <v>-</v>
      </c>
      <c r="W38" s="266">
        <f>_xlfn.XLOOKUP(E38,'All Products'!D:D,'All Products'!M:M,FALSE)</f>
        <v>40049081355041</v>
      </c>
      <c r="X38" s="265">
        <f>_xlfn.XLOOKUP(E38,'All Products'!D:D,'All Products'!N:N,FALSE)</f>
        <v>37.869999999999997</v>
      </c>
      <c r="Y38" s="215" t="str">
        <f>_xlfn.XLOOKUP(E38,'All Products'!D:D,'All Products'!O:O,FALSE)</f>
        <v>-</v>
      </c>
      <c r="Z38" s="265">
        <f>_xlfn.XLOOKUP(E38,'All Products'!D:D,'All Products'!P:P,FALSE)</f>
        <v>37.869999999999997</v>
      </c>
      <c r="AA38" s="265">
        <f>_xlfn.XLOOKUP(E38,'All Products'!D:D,'All Products'!Q:Q,FALSE)</f>
        <v>1.7</v>
      </c>
    </row>
    <row r="39" spans="1:27" s="17" customFormat="1">
      <c r="A39" s="101" t="str">
        <f>IF(O39&gt;0,COUNT($A$8:A38)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39" s="610"/>
      <c r="C39" s="611"/>
      <c r="D39" s="103" t="str">
        <f>_xlfn.XLOOKUP(E39,'All Products'!D:D,'All Products'!C:C,FALSE)</f>
        <v>T1-010G</v>
      </c>
      <c r="E39" s="103">
        <v>100027279</v>
      </c>
      <c r="F39" s="53" t="str">
        <f>_xlfn.XLOOKUP(E39,'All Products'!D:D,'All Products'!E:E,FALSE)</f>
        <v>1 TT GRAY COMP BALL VLV 37059027</v>
      </c>
      <c r="G39" s="52" t="s">
        <v>5821</v>
      </c>
      <c r="H39" s="52" t="s">
        <v>5822</v>
      </c>
      <c r="I39" s="52" t="s">
        <v>5822</v>
      </c>
      <c r="J39" s="52" t="s">
        <v>5829</v>
      </c>
      <c r="K39" s="103">
        <f>_xlfn.XLOOKUP(E39,'All Products'!D:D,'All Products'!F:F,FALSE)</f>
        <v>100</v>
      </c>
      <c r="L39" s="103">
        <f>_xlfn.XLOOKUP(E39,'All Products'!D:D,'All Products'!G:G,FALSE)</f>
        <v>2308</v>
      </c>
      <c r="M39" s="123">
        <f>_xlfn.XLOOKUP(E39,'All Products'!D:D,'All Products'!H:H)</f>
        <v>20.420000000000002</v>
      </c>
      <c r="N39" s="128">
        <f>ROUNDUP(M39*Order_Quote!$L$13,2)</f>
        <v>20.420000000000002</v>
      </c>
      <c r="O39" s="73"/>
      <c r="P39" s="76"/>
      <c r="Q39" s="104">
        <f t="shared" si="0"/>
        <v>0</v>
      </c>
      <c r="S39" s="215" t="str">
        <f>_xlfn.XLOOKUP(E39,'All Products'!D:D,'All Products'!I:I,FALSE)</f>
        <v>In stock</v>
      </c>
      <c r="T39" s="215" t="str">
        <f>_xlfn.XLOOKUP(E39,'All Products'!D:D,'All Products'!J:J,FALSE)</f>
        <v>Sourced</v>
      </c>
      <c r="U39" s="266">
        <f>_xlfn.XLOOKUP(E39,'All Products'!D:D,'All Products'!K:K,FALSE)</f>
        <v>49081355081</v>
      </c>
      <c r="V39" s="266" t="str">
        <f>_xlfn.XLOOKUP(E39,'All Products'!D:D,'All Products'!L:L,FALSE)</f>
        <v>-</v>
      </c>
      <c r="W39" s="266">
        <f>_xlfn.XLOOKUP(E39,'All Products'!D:D,'All Products'!M:M,FALSE)</f>
        <v>40049081355089</v>
      </c>
      <c r="X39" s="265">
        <f>_xlfn.XLOOKUP(E39,'All Products'!D:D,'All Products'!N:N,FALSE)</f>
        <v>58.3</v>
      </c>
      <c r="Y39" s="215" t="str">
        <f>_xlfn.XLOOKUP(E39,'All Products'!D:D,'All Products'!O:O,FALSE)</f>
        <v>-</v>
      </c>
      <c r="Z39" s="265">
        <f>_xlfn.XLOOKUP(E39,'All Products'!D:D,'All Products'!P:P,FALSE)</f>
        <v>58.3</v>
      </c>
      <c r="AA39" s="265">
        <f>_xlfn.XLOOKUP(E39,'All Products'!D:D,'All Products'!Q:Q,FALSE)</f>
        <v>2.6</v>
      </c>
    </row>
    <row r="40" spans="1:27" s="17" customFormat="1">
      <c r="A40" s="101" t="str">
        <f>IF(O40&gt;0,COUNT($A$8:A39)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40" s="610"/>
      <c r="C40" s="611"/>
      <c r="D40" s="103" t="str">
        <f>_xlfn.XLOOKUP(E40,'All Products'!D:D,'All Products'!C:C,FALSE)</f>
        <v>T1-012G</v>
      </c>
      <c r="E40" s="103">
        <v>100027281</v>
      </c>
      <c r="F40" s="53" t="str">
        <f>_xlfn.XLOOKUP(E40,'All Products'!D:D,'All Products'!E:E,FALSE)</f>
        <v>1-1/4 TT GRAY COMP BALL VLV 37059028</v>
      </c>
      <c r="G40" s="52" t="s">
        <v>5821</v>
      </c>
      <c r="H40" s="52" t="s">
        <v>5822</v>
      </c>
      <c r="I40" s="52" t="s">
        <v>5822</v>
      </c>
      <c r="J40" s="52" t="s">
        <v>5829</v>
      </c>
      <c r="K40" s="103">
        <f>_xlfn.XLOOKUP(E40,'All Products'!D:D,'All Products'!F:F,FALSE)</f>
        <v>100</v>
      </c>
      <c r="L40" s="103">
        <f>_xlfn.XLOOKUP(E40,'All Products'!D:D,'All Products'!G:G,FALSE)</f>
        <v>1818</v>
      </c>
      <c r="M40" s="123">
        <f>_xlfn.XLOOKUP(E40,'All Products'!D:D,'All Products'!H:H)</f>
        <v>24.79</v>
      </c>
      <c r="N40" s="128">
        <f>ROUNDUP(M40*Order_Quote!$L$13,2)</f>
        <v>24.79</v>
      </c>
      <c r="O40" s="73"/>
      <c r="P40" s="76"/>
      <c r="Q40" s="104">
        <f t="shared" si="0"/>
        <v>0</v>
      </c>
      <c r="S40" s="215" t="str">
        <f>_xlfn.XLOOKUP(E40,'All Products'!D:D,'All Products'!I:I,FALSE)</f>
        <v>In stock</v>
      </c>
      <c r="T40" s="215" t="str">
        <f>_xlfn.XLOOKUP(E40,'All Products'!D:D,'All Products'!J:J,FALSE)</f>
        <v>Sourced</v>
      </c>
      <c r="U40" s="266">
        <f>_xlfn.XLOOKUP(E40,'All Products'!D:D,'All Products'!K:K,FALSE)</f>
        <v>49081355128</v>
      </c>
      <c r="V40" s="266" t="str">
        <f>_xlfn.XLOOKUP(E40,'All Products'!D:D,'All Products'!L:L,FALSE)</f>
        <v>-</v>
      </c>
      <c r="W40" s="266">
        <f>_xlfn.XLOOKUP(E40,'All Products'!D:D,'All Products'!M:M,FALSE)</f>
        <v>40049081355126</v>
      </c>
      <c r="X40" s="265">
        <f>_xlfn.XLOOKUP(E40,'All Products'!D:D,'All Products'!N:N,FALSE)</f>
        <v>72.150000000000006</v>
      </c>
      <c r="Y40" s="215" t="str">
        <f>_xlfn.XLOOKUP(E40,'All Products'!D:D,'All Products'!O:O,FALSE)</f>
        <v>-</v>
      </c>
      <c r="Z40" s="265">
        <f>_xlfn.XLOOKUP(E40,'All Products'!D:D,'All Products'!P:P,FALSE)</f>
        <v>72.150000000000006</v>
      </c>
      <c r="AA40" s="265">
        <f>_xlfn.XLOOKUP(E40,'All Products'!D:D,'All Products'!Q:Q,FALSE)</f>
        <v>3.3</v>
      </c>
    </row>
    <row r="41" spans="1:27" s="17" customFormat="1">
      <c r="A41" s="101" t="str">
        <f>IF(O41&gt;0,COUNT($A$8:A40)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41" s="610"/>
      <c r="C41" s="611"/>
      <c r="D41" s="103" t="str">
        <f>_xlfn.XLOOKUP(E41,'All Products'!D:D,'All Products'!C:C,FALSE)</f>
        <v>T1-015G</v>
      </c>
      <c r="E41" s="103">
        <v>100027283</v>
      </c>
      <c r="F41" s="53" t="str">
        <f>_xlfn.XLOOKUP(E41,'All Products'!D:D,'All Products'!E:E,FALSE)</f>
        <v>1-1/2" GRAY COMP BALL VLV 37059029</v>
      </c>
      <c r="G41" s="52" t="s">
        <v>5821</v>
      </c>
      <c r="H41" s="52" t="s">
        <v>5822</v>
      </c>
      <c r="I41" s="52" t="s">
        <v>5822</v>
      </c>
      <c r="J41" s="52" t="s">
        <v>5829</v>
      </c>
      <c r="K41" s="103">
        <f>_xlfn.XLOOKUP(E41,'All Products'!D:D,'All Products'!F:F,FALSE)</f>
        <v>48</v>
      </c>
      <c r="L41" s="103">
        <f>_xlfn.XLOOKUP(E41,'All Products'!D:D,'All Products'!G:G,FALSE)</f>
        <v>1200</v>
      </c>
      <c r="M41" s="123">
        <f>_xlfn.XLOOKUP(E41,'All Products'!D:D,'All Products'!H:H)</f>
        <v>43.94</v>
      </c>
      <c r="N41" s="128">
        <f>ROUNDUP(M41*Order_Quote!$L$13,2)</f>
        <v>43.94</v>
      </c>
      <c r="O41" s="73"/>
      <c r="P41" s="76"/>
      <c r="Q41" s="104">
        <f t="shared" ref="Q41:Q66" si="1">O41/K41</f>
        <v>0</v>
      </c>
      <c r="S41" s="215" t="str">
        <f>_xlfn.XLOOKUP(E41,'All Products'!D:D,'All Products'!I:I,FALSE)</f>
        <v>In stock</v>
      </c>
      <c r="T41" s="215" t="str">
        <f>_xlfn.XLOOKUP(E41,'All Products'!D:D,'All Products'!J:J,FALSE)</f>
        <v>Sourced</v>
      </c>
      <c r="U41" s="266">
        <f>_xlfn.XLOOKUP(E41,'All Products'!D:D,'All Products'!K:K,FALSE)</f>
        <v>49081355166</v>
      </c>
      <c r="V41" s="266" t="str">
        <f>_xlfn.XLOOKUP(E41,'All Products'!D:D,'All Products'!L:L,FALSE)</f>
        <v>-</v>
      </c>
      <c r="W41" s="266">
        <f>_xlfn.XLOOKUP(E41,'All Products'!D:D,'All Products'!M:M,FALSE)</f>
        <v>40049081355164</v>
      </c>
      <c r="X41" s="265">
        <f>_xlfn.XLOOKUP(E41,'All Products'!D:D,'All Products'!N:N,FALSE)</f>
        <v>52.55</v>
      </c>
      <c r="Y41" s="215" t="str">
        <f>_xlfn.XLOOKUP(E41,'All Products'!D:D,'All Products'!O:O,FALSE)</f>
        <v>-</v>
      </c>
      <c r="Z41" s="265">
        <f>_xlfn.XLOOKUP(E41,'All Products'!D:D,'All Products'!P:P,FALSE)</f>
        <v>52.55</v>
      </c>
      <c r="AA41" s="265">
        <f>_xlfn.XLOOKUP(E41,'All Products'!D:D,'All Products'!Q:Q,FALSE)</f>
        <v>2.4</v>
      </c>
    </row>
    <row r="42" spans="1:27" s="17" customFormat="1">
      <c r="A42" s="101" t="str">
        <f>IF(O42&gt;0,COUNT($A$8:A41)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42" s="610"/>
      <c r="C42" s="611"/>
      <c r="D42" s="103" t="str">
        <f>_xlfn.XLOOKUP(E42,'All Products'!D:D,'All Products'!C:C,FALSE)</f>
        <v>T1-020G</v>
      </c>
      <c r="E42" s="103">
        <v>100027285</v>
      </c>
      <c r="F42" s="53" t="str">
        <f>_xlfn.XLOOKUP(E42,'All Products'!D:D,'All Products'!E:E,FALSE)</f>
        <v>2 TT GRAY COMP BALL VLV 37059030</v>
      </c>
      <c r="G42" s="52" t="s">
        <v>5821</v>
      </c>
      <c r="H42" s="52" t="s">
        <v>5822</v>
      </c>
      <c r="I42" s="52" t="s">
        <v>5822</v>
      </c>
      <c r="J42" s="52" t="s">
        <v>5829</v>
      </c>
      <c r="K42" s="103">
        <f>_xlfn.XLOOKUP(E42,'All Products'!D:D,'All Products'!F:F,FALSE)</f>
        <v>24</v>
      </c>
      <c r="L42" s="103">
        <f>_xlfn.XLOOKUP(E42,'All Products'!D:D,'All Products'!G:G,FALSE)</f>
        <v>758</v>
      </c>
      <c r="M42" s="123">
        <f>_xlfn.XLOOKUP(E42,'All Products'!D:D,'All Products'!H:H)</f>
        <v>56.51</v>
      </c>
      <c r="N42" s="128">
        <f>ROUNDUP(M42*Order_Quote!$L$13,2)</f>
        <v>56.51</v>
      </c>
      <c r="O42" s="73"/>
      <c r="P42" s="76"/>
      <c r="Q42" s="104">
        <f t="shared" si="1"/>
        <v>0</v>
      </c>
      <c r="S42" s="215" t="str">
        <f>_xlfn.XLOOKUP(E42,'All Products'!D:D,'All Products'!I:I,FALSE)</f>
        <v>In stock</v>
      </c>
      <c r="T42" s="215" t="str">
        <f>_xlfn.XLOOKUP(E42,'All Products'!D:D,'All Products'!J:J,FALSE)</f>
        <v>Sourced</v>
      </c>
      <c r="U42" s="266">
        <f>_xlfn.XLOOKUP(E42,'All Products'!D:D,'All Products'!K:K,FALSE)</f>
        <v>49081355203</v>
      </c>
      <c r="V42" s="266" t="str">
        <f>_xlfn.XLOOKUP(E42,'All Products'!D:D,'All Products'!L:L,FALSE)</f>
        <v>-</v>
      </c>
      <c r="W42" s="266">
        <f>_xlfn.XLOOKUP(E42,'All Products'!D:D,'All Products'!M:M,FALSE)</f>
        <v>40049081355201</v>
      </c>
      <c r="X42" s="265">
        <f>_xlfn.XLOOKUP(E42,'All Products'!D:D,'All Products'!N:N,FALSE)</f>
        <v>42.04</v>
      </c>
      <c r="Y42" s="215" t="str">
        <f>_xlfn.XLOOKUP(E42,'All Products'!D:D,'All Products'!O:O,FALSE)</f>
        <v>-</v>
      </c>
      <c r="Z42" s="265">
        <f>_xlfn.XLOOKUP(E42,'All Products'!D:D,'All Products'!P:P,FALSE)</f>
        <v>42.04</v>
      </c>
      <c r="AA42" s="265">
        <f>_xlfn.XLOOKUP(E42,'All Products'!D:D,'All Products'!Q:Q,FALSE)</f>
        <v>1.9</v>
      </c>
    </row>
    <row r="43" spans="1:27" s="17" customFormat="1">
      <c r="A43" s="101" t="str">
        <f>IF(O43&gt;0,COUNT($A$8:A42)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43" s="610"/>
      <c r="C43" s="611"/>
      <c r="D43" s="103" t="str">
        <f>_xlfn.XLOOKUP(E43,'All Products'!D:D,'All Products'!C:C,FALSE)</f>
        <v>T1-025G</v>
      </c>
      <c r="E43" s="103">
        <v>100027287</v>
      </c>
      <c r="F43" s="53" t="str">
        <f>_xlfn.XLOOKUP(E43,'All Products'!D:D,'All Products'!E:E,FALSE)</f>
        <v>2-1/2 TT GRAY COMP BALL VLV 37059031</v>
      </c>
      <c r="G43" s="52" t="s">
        <v>5821</v>
      </c>
      <c r="H43" s="52" t="s">
        <v>5822</v>
      </c>
      <c r="I43" s="52" t="s">
        <v>5822</v>
      </c>
      <c r="J43" s="52" t="s">
        <v>5829</v>
      </c>
      <c r="K43" s="103">
        <f>_xlfn.XLOOKUP(E43,'All Products'!D:D,'All Products'!F:F,FALSE)</f>
        <v>12</v>
      </c>
      <c r="L43" s="103">
        <f>_xlfn.XLOOKUP(E43,'All Products'!D:D,'All Products'!G:G,FALSE)</f>
        <v>346</v>
      </c>
      <c r="M43" s="123">
        <f>_xlfn.XLOOKUP(E43,'All Products'!D:D,'All Products'!H:H)</f>
        <v>238.93</v>
      </c>
      <c r="N43" s="128">
        <f>ROUNDUP(M43*Order_Quote!$L$13,2)</f>
        <v>238.93</v>
      </c>
      <c r="O43" s="73"/>
      <c r="P43" s="76"/>
      <c r="Q43" s="104">
        <f t="shared" si="1"/>
        <v>0</v>
      </c>
      <c r="S43" s="215" t="str">
        <f>_xlfn.XLOOKUP(E43,'All Products'!D:D,'All Products'!I:I,FALSE)</f>
        <v>Within 4 Months</v>
      </c>
      <c r="T43" s="215" t="str">
        <f>_xlfn.XLOOKUP(E43,'All Products'!D:D,'All Products'!J:J,FALSE)</f>
        <v>Sourced</v>
      </c>
      <c r="U43" s="266">
        <f>_xlfn.XLOOKUP(E43,'All Products'!D:D,'All Products'!K:K,FALSE)</f>
        <v>49081355241</v>
      </c>
      <c r="V43" s="266" t="str">
        <f>_xlfn.XLOOKUP(E43,'All Products'!D:D,'All Products'!L:L,FALSE)</f>
        <v>-</v>
      </c>
      <c r="W43" s="266">
        <f>_xlfn.XLOOKUP(E43,'All Products'!D:D,'All Products'!M:M,FALSE)</f>
        <v>40049081355249</v>
      </c>
      <c r="X43" s="265">
        <f>_xlfn.XLOOKUP(E43,'All Products'!D:D,'All Products'!N:N,FALSE)</f>
        <v>36.51</v>
      </c>
      <c r="Y43" s="215" t="str">
        <f>_xlfn.XLOOKUP(E43,'All Products'!D:D,'All Products'!O:O,FALSE)</f>
        <v>-</v>
      </c>
      <c r="Z43" s="265">
        <f>_xlfn.XLOOKUP(E43,'All Products'!D:D,'All Products'!P:P,FALSE)</f>
        <v>36.51</v>
      </c>
      <c r="AA43" s="265">
        <f>_xlfn.XLOOKUP(E43,'All Products'!D:D,'All Products'!Q:Q,FALSE)</f>
        <v>2.08</v>
      </c>
    </row>
    <row r="44" spans="1:27" s="17" customFormat="1">
      <c r="A44" s="101" t="str">
        <f>IF(O44&gt;0,COUNT($A$8:A43)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44" s="610"/>
      <c r="C44" s="611"/>
      <c r="D44" s="103" t="str">
        <f>_xlfn.XLOOKUP(E44,'All Products'!D:D,'All Products'!C:C,FALSE)</f>
        <v>T1-030G</v>
      </c>
      <c r="E44" s="103">
        <v>100027289</v>
      </c>
      <c r="F44" s="53" t="str">
        <f>_xlfn.XLOOKUP(E44,'All Products'!D:D,'All Products'!E:E,FALSE)</f>
        <v>3 TT GRAY COMP BALL VLV 37059032</v>
      </c>
      <c r="G44" s="52" t="s">
        <v>5821</v>
      </c>
      <c r="H44" s="52" t="s">
        <v>5822</v>
      </c>
      <c r="I44" s="52" t="s">
        <v>5822</v>
      </c>
      <c r="J44" s="52" t="s">
        <v>5829</v>
      </c>
      <c r="K44" s="103">
        <f>_xlfn.XLOOKUP(E44,'All Products'!D:D,'All Products'!F:F,FALSE)</f>
        <v>12</v>
      </c>
      <c r="L44" s="103">
        <f>_xlfn.XLOOKUP(E44,'All Products'!D:D,'All Products'!G:G,FALSE)</f>
        <v>232</v>
      </c>
      <c r="M44" s="123">
        <f>_xlfn.XLOOKUP(E44,'All Products'!D:D,'All Products'!H:H)</f>
        <v>314.14</v>
      </c>
      <c r="N44" s="128">
        <f>ROUNDUP(M44*Order_Quote!$L$13,2)</f>
        <v>314.14</v>
      </c>
      <c r="O44" s="73"/>
      <c r="P44" s="76"/>
      <c r="Q44" s="104">
        <f t="shared" si="1"/>
        <v>0</v>
      </c>
      <c r="S44" s="215" t="str">
        <f>_xlfn.XLOOKUP(E44,'All Products'!D:D,'All Products'!I:I,FALSE)</f>
        <v>In stock</v>
      </c>
      <c r="T44" s="215" t="str">
        <f>_xlfn.XLOOKUP(E44,'All Products'!D:D,'All Products'!J:J,FALSE)</f>
        <v>Sourced</v>
      </c>
      <c r="U44" s="266">
        <f>_xlfn.XLOOKUP(E44,'All Products'!D:D,'All Products'!K:K,FALSE)</f>
        <v>49081355289</v>
      </c>
      <c r="V44" s="266" t="str">
        <f>_xlfn.XLOOKUP(E44,'All Products'!D:D,'All Products'!L:L,FALSE)</f>
        <v>-</v>
      </c>
      <c r="W44" s="266">
        <f>_xlfn.XLOOKUP(E44,'All Products'!D:D,'All Products'!M:M,FALSE)</f>
        <v>40049081355287</v>
      </c>
      <c r="X44" s="265">
        <f>_xlfn.XLOOKUP(E44,'All Products'!D:D,'All Products'!N:N,FALSE)</f>
        <v>56.75</v>
      </c>
      <c r="Y44" s="215" t="str">
        <f>_xlfn.XLOOKUP(E44,'All Products'!D:D,'All Products'!O:O,FALSE)</f>
        <v>-</v>
      </c>
      <c r="Z44" s="265">
        <f>_xlfn.XLOOKUP(E44,'All Products'!D:D,'All Products'!P:P,FALSE)</f>
        <v>56.75</v>
      </c>
      <c r="AA44" s="265">
        <f>_xlfn.XLOOKUP(E44,'All Products'!D:D,'All Products'!Q:Q,FALSE)</f>
        <v>3.1</v>
      </c>
    </row>
    <row r="45" spans="1:27" s="17" customFormat="1" ht="15" thickBot="1">
      <c r="A45" s="101" t="str">
        <f>IF(O45&gt;0,COUNT($A$8:A44)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45" s="612"/>
      <c r="C45" s="613"/>
      <c r="D45" s="103" t="str">
        <f>_xlfn.XLOOKUP(E45,'All Products'!D:D,'All Products'!C:C,FALSE)</f>
        <v>T1-040G</v>
      </c>
      <c r="E45" s="103">
        <v>100027291</v>
      </c>
      <c r="F45" s="53" t="str">
        <f>_xlfn.XLOOKUP(E45,'All Products'!D:D,'All Products'!E:E,FALSE)</f>
        <v>4 TT GRAY COMP BALL VLV 37059033</v>
      </c>
      <c r="G45" s="52" t="s">
        <v>5821</v>
      </c>
      <c r="H45" s="52" t="s">
        <v>5822</v>
      </c>
      <c r="I45" s="52" t="s">
        <v>5822</v>
      </c>
      <c r="J45" s="52" t="s">
        <v>5829</v>
      </c>
      <c r="K45" s="103">
        <f>_xlfn.XLOOKUP(E45,'All Products'!D:D,'All Products'!F:F,FALSE)</f>
        <v>6</v>
      </c>
      <c r="L45" s="103">
        <f>_xlfn.XLOOKUP(E45,'All Products'!D:D,'All Products'!G:G,FALSE)</f>
        <v>113</v>
      </c>
      <c r="M45" s="123">
        <f>_xlfn.XLOOKUP(E45,'All Products'!D:D,'All Products'!H:H)</f>
        <v>598.1</v>
      </c>
      <c r="N45" s="128">
        <f>ROUNDUP(M45*Order_Quote!$L$13,2)</f>
        <v>598.1</v>
      </c>
      <c r="O45" s="73"/>
      <c r="P45" s="76"/>
      <c r="Q45" s="104">
        <f t="shared" si="1"/>
        <v>0</v>
      </c>
      <c r="S45" s="215" t="str">
        <f>_xlfn.XLOOKUP(E45,'All Products'!D:D,'All Products'!I:I,FALSE)</f>
        <v>In stock</v>
      </c>
      <c r="T45" s="215" t="str">
        <f>_xlfn.XLOOKUP(E45,'All Products'!D:D,'All Products'!J:J,FALSE)</f>
        <v>Sourced</v>
      </c>
      <c r="U45" s="266">
        <f>_xlfn.XLOOKUP(E45,'All Products'!D:D,'All Products'!K:K,FALSE)</f>
        <v>49081355326</v>
      </c>
      <c r="V45" s="266" t="str">
        <f>_xlfn.XLOOKUP(E45,'All Products'!D:D,'All Products'!L:L,FALSE)</f>
        <v>-</v>
      </c>
      <c r="W45" s="266">
        <f>_xlfn.XLOOKUP(E45,'All Products'!D:D,'All Products'!M:M,FALSE)</f>
        <v>40049081355324</v>
      </c>
      <c r="X45" s="265">
        <f>_xlfn.XLOOKUP(E45,'All Products'!D:D,'All Products'!N:N,FALSE)</f>
        <v>55.2</v>
      </c>
      <c r="Y45" s="215" t="str">
        <f>_xlfn.XLOOKUP(E45,'All Products'!D:D,'All Products'!O:O,FALSE)</f>
        <v>-</v>
      </c>
      <c r="Z45" s="265">
        <f>_xlfn.XLOOKUP(E45,'All Products'!D:D,'All Products'!P:P,FALSE)</f>
        <v>55.2</v>
      </c>
      <c r="AA45" s="265">
        <f>_xlfn.XLOOKUP(E45,'All Products'!D:D,'All Products'!Q:Q,FALSE)</f>
        <v>3.2</v>
      </c>
    </row>
    <row r="46" spans="1:27" s="17" customFormat="1" ht="16.2" thickBot="1">
      <c r="A46" s="101" t="str">
        <f>IF(O46&gt;0,COUNT($A$8:A45)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46" s="501" t="s">
        <v>5841</v>
      </c>
      <c r="C46" s="151"/>
      <c r="D46" s="151"/>
      <c r="E46" s="459"/>
      <c r="F46" s="151"/>
      <c r="G46" s="468"/>
      <c r="H46" s="151"/>
      <c r="I46" s="472"/>
      <c r="J46" s="468"/>
      <c r="K46" s="477"/>
      <c r="L46" s="476"/>
      <c r="M46" s="476"/>
      <c r="N46" s="476"/>
      <c r="O46" s="476"/>
      <c r="P46" s="523"/>
      <c r="Q46" s="476"/>
      <c r="R46" s="523"/>
      <c r="S46" s="476"/>
      <c r="T46" s="476"/>
      <c r="U46" s="476"/>
      <c r="V46" s="476"/>
      <c r="W46" s="476"/>
      <c r="X46" s="476"/>
      <c r="Y46" s="476"/>
      <c r="Z46" s="476"/>
      <c r="AA46" s="476"/>
    </row>
    <row r="47" spans="1:27" s="17" customFormat="1" ht="24.75" customHeight="1">
      <c r="A47" s="101" t="str">
        <f>IF(O47&gt;0,COUNT($A$8:A46)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47" s="608"/>
      <c r="C47" s="609"/>
      <c r="D47" s="103" t="str">
        <f>_xlfn.XLOOKUP(E47,'All Products'!D:D,'All Products'!C:C,FALSE)</f>
        <v>CTS-005</v>
      </c>
      <c r="E47" s="103">
        <v>100027207</v>
      </c>
      <c r="F47" s="53" t="str">
        <f>_xlfn.XLOOKUP(E47,'All Products'!D:D,'All Products'!E:E,FALSE)</f>
        <v>1/2 CPVC BALL VALVE (SXS)</v>
      </c>
      <c r="G47" s="52" t="s">
        <v>28</v>
      </c>
      <c r="H47" s="52" t="s">
        <v>5822</v>
      </c>
      <c r="I47" s="52" t="s">
        <v>5825</v>
      </c>
      <c r="J47" s="52" t="s">
        <v>5829</v>
      </c>
      <c r="K47" s="103">
        <f>_xlfn.XLOOKUP(E47,'All Products'!D:D,'All Products'!F:F,FALSE)</f>
        <v>100</v>
      </c>
      <c r="L47" s="103" t="str">
        <f>_xlfn.XLOOKUP(E47,'All Products'!D:D,'All Products'!G:G,FALSE)</f>
        <v>-</v>
      </c>
      <c r="M47" s="123">
        <f>_xlfn.XLOOKUP(E47,'All Products'!D:D,'All Products'!H:H)</f>
        <v>32.200000000000003</v>
      </c>
      <c r="N47" s="128">
        <f>ROUNDUP(M47*Order_Quote!$L$13,2)</f>
        <v>32.200000000000003</v>
      </c>
      <c r="O47" s="106"/>
      <c r="P47" s="76"/>
      <c r="Q47" s="104">
        <f t="shared" si="1"/>
        <v>0</v>
      </c>
      <c r="S47" s="215" t="str">
        <f>_xlfn.XLOOKUP(E47,'All Products'!D:D,'All Products'!I:I,FALSE)</f>
        <v>Limited Stock</v>
      </c>
      <c r="T47" s="215" t="str">
        <f>_xlfn.XLOOKUP(E47,'All Products'!D:D,'All Products'!J:J,FALSE)</f>
        <v>Sourced</v>
      </c>
      <c r="U47" s="266">
        <f>_xlfn.XLOOKUP(E47,'All Products'!D:D,'All Products'!K:K,FALSE)</f>
        <v>49081400002</v>
      </c>
      <c r="V47" s="266" t="str">
        <f>_xlfn.XLOOKUP(E47,'All Products'!D:D,'All Products'!L:L,FALSE)</f>
        <v>-</v>
      </c>
      <c r="W47" s="266">
        <f>_xlfn.XLOOKUP(E47,'All Products'!D:D,'All Products'!M:M,FALSE)</f>
        <v>40049081400000</v>
      </c>
      <c r="X47" s="265">
        <f>_xlfn.XLOOKUP(E47,'All Products'!D:D,'All Products'!N:N,FALSE)</f>
        <v>12.54</v>
      </c>
      <c r="Y47" s="215" t="str">
        <f>_xlfn.XLOOKUP(E47,'All Products'!D:D,'All Products'!O:O,FALSE)</f>
        <v>-</v>
      </c>
      <c r="Z47" s="265">
        <f>_xlfn.XLOOKUP(E47,'All Products'!D:D,'All Products'!P:P,FALSE)</f>
        <v>12.54</v>
      </c>
      <c r="AA47" s="265">
        <f>_xlfn.XLOOKUP(E47,'All Products'!D:D,'All Products'!Q:Q,FALSE)</f>
        <v>0.65</v>
      </c>
    </row>
    <row r="48" spans="1:27" s="17" customFormat="1" ht="24.75" customHeight="1" thickBot="1">
      <c r="A48" s="101" t="str">
        <f>IF(O48&gt;0,COUNT($A$8:A47)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48" s="610"/>
      <c r="C48" s="611"/>
      <c r="D48" s="103" t="str">
        <f>_xlfn.XLOOKUP(E48,'All Products'!D:D,'All Products'!C:C,FALSE)</f>
        <v>CTS-007</v>
      </c>
      <c r="E48" s="103">
        <v>100027208</v>
      </c>
      <c r="F48" s="53" t="str">
        <f>_xlfn.XLOOKUP(E48,'All Products'!D:D,'All Products'!E:E,FALSE)</f>
        <v>3/4 CPVC BALL VALVE(SXS)</v>
      </c>
      <c r="G48" s="52" t="s">
        <v>28</v>
      </c>
      <c r="H48" s="52" t="s">
        <v>5822</v>
      </c>
      <c r="I48" s="52" t="s">
        <v>5825</v>
      </c>
      <c r="J48" s="52" t="s">
        <v>5829</v>
      </c>
      <c r="K48" s="103">
        <f>_xlfn.XLOOKUP(E48,'All Products'!D:D,'All Products'!F:F,FALSE)</f>
        <v>100</v>
      </c>
      <c r="L48" s="103" t="str">
        <f>_xlfn.XLOOKUP(E48,'All Products'!D:D,'All Products'!G:G,FALSE)</f>
        <v>-</v>
      </c>
      <c r="M48" s="123">
        <f>_xlfn.XLOOKUP(E48,'All Products'!D:D,'All Products'!H:H)</f>
        <v>39.520000000000003</v>
      </c>
      <c r="N48" s="128">
        <f>ROUNDUP(M48*Order_Quote!$L$13,2)</f>
        <v>39.520000000000003</v>
      </c>
      <c r="O48" s="73"/>
      <c r="P48" s="76"/>
      <c r="Q48" s="104">
        <f t="shared" si="1"/>
        <v>0</v>
      </c>
      <c r="S48" s="215" t="str">
        <f>_xlfn.XLOOKUP(E48,'All Products'!D:D,'All Products'!I:I,FALSE)</f>
        <v>In stock</v>
      </c>
      <c r="T48" s="215" t="str">
        <f>_xlfn.XLOOKUP(E48,'All Products'!D:D,'All Products'!J:J,FALSE)</f>
        <v>Sourced</v>
      </c>
      <c r="U48" s="266">
        <f>_xlfn.XLOOKUP(E48,'All Products'!D:D,'All Products'!K:K,FALSE)</f>
        <v>49081400040</v>
      </c>
      <c r="V48" s="266" t="str">
        <f>_xlfn.XLOOKUP(E48,'All Products'!D:D,'All Products'!L:L,FALSE)</f>
        <v>-</v>
      </c>
      <c r="W48" s="266">
        <f>_xlfn.XLOOKUP(E48,'All Products'!D:D,'All Products'!M:M,FALSE)</f>
        <v>40049081400048</v>
      </c>
      <c r="X48" s="265">
        <f>_xlfn.XLOOKUP(E48,'All Products'!D:D,'All Products'!N:N,FALSE)</f>
        <v>21.27</v>
      </c>
      <c r="Y48" s="215" t="str">
        <f>_xlfn.XLOOKUP(E48,'All Products'!D:D,'All Products'!O:O,FALSE)</f>
        <v>-</v>
      </c>
      <c r="Z48" s="265">
        <f>_xlfn.XLOOKUP(E48,'All Products'!D:D,'All Products'!P:P,FALSE)</f>
        <v>21.27</v>
      </c>
      <c r="AA48" s="265">
        <f>_xlfn.XLOOKUP(E48,'All Products'!D:D,'All Products'!Q:Q,FALSE)</f>
        <v>0.97</v>
      </c>
    </row>
    <row r="49" spans="1:27" s="17" customFormat="1" ht="16.2" thickBot="1">
      <c r="A49" s="101" t="str">
        <f>IF(O49&gt;0,COUNT($A$8:A48)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49" s="501" t="s">
        <v>5845</v>
      </c>
      <c r="C49" s="151"/>
      <c r="D49" s="151"/>
      <c r="E49" s="459"/>
      <c r="F49" s="151"/>
      <c r="G49" s="468"/>
      <c r="H49" s="151"/>
      <c r="I49" s="472"/>
      <c r="J49" s="468"/>
      <c r="K49" s="477"/>
      <c r="L49" s="476"/>
      <c r="M49" s="476"/>
      <c r="N49" s="476"/>
      <c r="O49" s="476"/>
      <c r="P49" s="523"/>
      <c r="Q49" s="476"/>
      <c r="R49" s="523"/>
      <c r="S49" s="476"/>
      <c r="T49" s="476"/>
      <c r="U49" s="476"/>
      <c r="V49" s="476"/>
      <c r="W49" s="476"/>
      <c r="X49" s="476"/>
      <c r="Y49" s="476"/>
      <c r="Z49" s="476"/>
      <c r="AA49" s="476"/>
    </row>
    <row r="50" spans="1:27" s="17" customFormat="1">
      <c r="A50" s="101" t="str">
        <f>IF(O50&gt;0,COUNT($A$8:A49)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50" s="682"/>
      <c r="C50" s="683"/>
      <c r="D50" s="103" t="str">
        <f>_xlfn.XLOOKUP(E50,'All Products'!D:D,'All Products'!C:C,FALSE)</f>
        <v>ST8-007</v>
      </c>
      <c r="E50" s="103">
        <v>100027267</v>
      </c>
      <c r="F50" s="53" t="str">
        <f>_xlfn.XLOOKUP(E50,'All Products'!D:D,'All Products'!E:E,FALSE)</f>
        <v>3/4 SL OR TH SB-TUBV EPDM 37059056</v>
      </c>
      <c r="G50" s="52" t="s">
        <v>5821</v>
      </c>
      <c r="H50" s="52" t="s">
        <v>5822</v>
      </c>
      <c r="I50" s="52" t="s">
        <v>649</v>
      </c>
      <c r="J50" s="52" t="s">
        <v>5829</v>
      </c>
      <c r="K50" s="103">
        <f>_xlfn.XLOOKUP(E50,'All Products'!D:D,'All Products'!F:F,FALSE)</f>
        <v>36</v>
      </c>
      <c r="L50" s="103">
        <f>_xlfn.XLOOKUP(E50,'All Products'!D:D,'All Products'!G:G,FALSE)</f>
        <v>1577</v>
      </c>
      <c r="M50" s="123">
        <f>_xlfn.XLOOKUP(E50,'All Products'!D:D,'All Products'!H:H)</f>
        <v>63.05</v>
      </c>
      <c r="N50" s="128">
        <f>ROUNDUP(M50*Order_Quote!$L$13,2)</f>
        <v>63.05</v>
      </c>
      <c r="O50" s="73"/>
      <c r="P50" s="76"/>
      <c r="Q50" s="104">
        <f t="shared" si="1"/>
        <v>0</v>
      </c>
      <c r="S50" s="215" t="str">
        <f>_xlfn.XLOOKUP(E50,'All Products'!D:D,'All Products'!I:I,FALSE)</f>
        <v>In stock</v>
      </c>
      <c r="T50" s="215" t="str">
        <f>_xlfn.XLOOKUP(E50,'All Products'!D:D,'All Products'!J:J,FALSE)</f>
        <v>Sourced</v>
      </c>
      <c r="U50" s="266">
        <f>_xlfn.XLOOKUP(E50,'All Products'!D:D,'All Products'!K:K,FALSE)</f>
        <v>49081358044</v>
      </c>
      <c r="V50" s="266" t="str">
        <f>_xlfn.XLOOKUP(E50,'All Products'!D:D,'All Products'!L:L,FALSE)</f>
        <v>-</v>
      </c>
      <c r="W50" s="266">
        <f>_xlfn.XLOOKUP(E50,'All Products'!D:D,'All Products'!M:M,FALSE)</f>
        <v>40049081358042</v>
      </c>
      <c r="X50" s="265">
        <f>_xlfn.XLOOKUP(E50,'All Products'!D:D,'All Products'!N:N,FALSE)</f>
        <v>27.93</v>
      </c>
      <c r="Y50" s="215" t="str">
        <f>_xlfn.XLOOKUP(E50,'All Products'!D:D,'All Products'!O:O,FALSE)</f>
        <v>-</v>
      </c>
      <c r="Z50" s="265">
        <f>_xlfn.XLOOKUP(E50,'All Products'!D:D,'All Products'!P:P,FALSE)</f>
        <v>27.93</v>
      </c>
      <c r="AA50" s="265">
        <f>_xlfn.XLOOKUP(E50,'All Products'!D:D,'All Products'!Q:Q,FALSE)</f>
        <v>1.37</v>
      </c>
    </row>
    <row r="51" spans="1:27" s="17" customFormat="1">
      <c r="A51" s="101" t="str">
        <f>IF(O51&gt;0,COUNT($A$8:A50)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51" s="610"/>
      <c r="C51" s="611"/>
      <c r="D51" s="103" t="str">
        <f>_xlfn.XLOOKUP(E51,'All Products'!D:D,'All Products'!C:C,FALSE)</f>
        <v>ST8-010</v>
      </c>
      <c r="E51" s="103">
        <v>100027268</v>
      </c>
      <c r="F51" s="53" t="str">
        <f>_xlfn.XLOOKUP(E51,'All Products'!D:D,'All Products'!E:E,FALSE)</f>
        <v>1 SL OR TH-TUBV EPDM 37059057</v>
      </c>
      <c r="G51" s="52" t="s">
        <v>5821</v>
      </c>
      <c r="H51" s="52" t="s">
        <v>5822</v>
      </c>
      <c r="I51" s="52" t="s">
        <v>649</v>
      </c>
      <c r="J51" s="52" t="s">
        <v>5829</v>
      </c>
      <c r="K51" s="103">
        <f>_xlfn.XLOOKUP(E51,'All Products'!D:D,'All Products'!F:F,FALSE)</f>
        <v>24</v>
      </c>
      <c r="L51" s="103">
        <f>_xlfn.XLOOKUP(E51,'All Products'!D:D,'All Products'!G:G,FALSE)</f>
        <v>1161</v>
      </c>
      <c r="M51" s="123">
        <f>_xlfn.XLOOKUP(E51,'All Products'!D:D,'All Products'!H:H)</f>
        <v>87.95</v>
      </c>
      <c r="N51" s="128">
        <f>ROUNDUP(M51*Order_Quote!$L$13,2)</f>
        <v>87.95</v>
      </c>
      <c r="O51" s="73"/>
      <c r="P51" s="76"/>
      <c r="Q51" s="104">
        <f t="shared" si="1"/>
        <v>0</v>
      </c>
      <c r="S51" s="215" t="str">
        <f>_xlfn.XLOOKUP(E51,'All Products'!D:D,'All Products'!I:I,FALSE)</f>
        <v>In stock</v>
      </c>
      <c r="T51" s="215" t="str">
        <f>_xlfn.XLOOKUP(E51,'All Products'!D:D,'All Products'!J:J,FALSE)</f>
        <v>Sourced</v>
      </c>
      <c r="U51" s="266">
        <f>_xlfn.XLOOKUP(E51,'All Products'!D:D,'All Products'!K:K,FALSE)</f>
        <v>49081358082</v>
      </c>
      <c r="V51" s="266" t="str">
        <f>_xlfn.XLOOKUP(E51,'All Products'!D:D,'All Products'!L:L,FALSE)</f>
        <v>-</v>
      </c>
      <c r="W51" s="266">
        <f>_xlfn.XLOOKUP(E51,'All Products'!D:D,'All Products'!M:M,FALSE)</f>
        <v>40049081358080</v>
      </c>
      <c r="X51" s="265">
        <f>_xlfn.XLOOKUP(E51,'All Products'!D:D,'All Products'!N:N,FALSE)</f>
        <v>24.7</v>
      </c>
      <c r="Y51" s="215" t="str">
        <f>_xlfn.XLOOKUP(E51,'All Products'!D:D,'All Products'!O:O,FALSE)</f>
        <v>-</v>
      </c>
      <c r="Z51" s="265">
        <f>_xlfn.XLOOKUP(E51,'All Products'!D:D,'All Products'!P:P,FALSE)</f>
        <v>24.7</v>
      </c>
      <c r="AA51" s="265">
        <f>_xlfn.XLOOKUP(E51,'All Products'!D:D,'All Products'!Q:Q,FALSE)</f>
        <v>1.24</v>
      </c>
    </row>
    <row r="52" spans="1:27" s="17" customFormat="1">
      <c r="A52" s="101" t="str">
        <f>IF(O52&gt;0,COUNT($A$8:A51)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52" s="610"/>
      <c r="C52" s="611"/>
      <c r="D52" s="103" t="str">
        <f>_xlfn.XLOOKUP(E52,'All Products'!D:D,'All Products'!C:C,FALSE)</f>
        <v>ST8-012</v>
      </c>
      <c r="E52" s="103">
        <v>100027269</v>
      </c>
      <c r="F52" s="53" t="str">
        <f>_xlfn.XLOOKUP(E52,'All Products'!D:D,'All Products'!E:E,FALSE)</f>
        <v>1-1/4 SL OR TH SB-TUBV EPDM 37059058</v>
      </c>
      <c r="G52" s="52" t="s">
        <v>5821</v>
      </c>
      <c r="H52" s="52" t="s">
        <v>5822</v>
      </c>
      <c r="I52" s="52" t="s">
        <v>649</v>
      </c>
      <c r="J52" s="52" t="s">
        <v>5829</v>
      </c>
      <c r="K52" s="103">
        <f>_xlfn.XLOOKUP(E52,'All Products'!D:D,'All Products'!F:F,FALSE)</f>
        <v>24</v>
      </c>
      <c r="L52" s="103">
        <f>_xlfn.XLOOKUP(E52,'All Products'!D:D,'All Products'!G:G,FALSE)</f>
        <v>692</v>
      </c>
      <c r="M52" s="123">
        <f>_xlfn.XLOOKUP(E52,'All Products'!D:D,'All Products'!H:H)</f>
        <v>118.28</v>
      </c>
      <c r="N52" s="128">
        <f>ROUNDUP(M52*Order_Quote!$L$13,2)</f>
        <v>118.28</v>
      </c>
      <c r="O52" s="73"/>
      <c r="P52" s="76"/>
      <c r="Q52" s="104">
        <f t="shared" si="1"/>
        <v>0</v>
      </c>
      <c r="S52" s="215" t="str">
        <f>_xlfn.XLOOKUP(E52,'All Products'!D:D,'All Products'!I:I,FALSE)</f>
        <v>In stock</v>
      </c>
      <c r="T52" s="215" t="str">
        <f>_xlfn.XLOOKUP(E52,'All Products'!D:D,'All Products'!J:J,FALSE)</f>
        <v>Sourced</v>
      </c>
      <c r="U52" s="266">
        <f>_xlfn.XLOOKUP(E52,'All Products'!D:D,'All Products'!K:K,FALSE)</f>
        <v>49081358129</v>
      </c>
      <c r="V52" s="266" t="str">
        <f>_xlfn.XLOOKUP(E52,'All Products'!D:D,'All Products'!L:L,FALSE)</f>
        <v>-</v>
      </c>
      <c r="W52" s="266">
        <f>_xlfn.XLOOKUP(E52,'All Products'!D:D,'All Products'!M:M,FALSE)</f>
        <v>40049081358127</v>
      </c>
      <c r="X52" s="265">
        <f>_xlfn.XLOOKUP(E52,'All Products'!D:D,'All Products'!N:N,FALSE)</f>
        <v>39.93</v>
      </c>
      <c r="Y52" s="215" t="str">
        <f>_xlfn.XLOOKUP(E52,'All Products'!D:D,'All Products'!O:O,FALSE)</f>
        <v>-</v>
      </c>
      <c r="Z52" s="265">
        <f>_xlfn.XLOOKUP(E52,'All Products'!D:D,'All Products'!P:P,FALSE)</f>
        <v>39.93</v>
      </c>
      <c r="AA52" s="265">
        <f>_xlfn.XLOOKUP(E52,'All Products'!D:D,'All Products'!Q:Q,FALSE)</f>
        <v>2.08</v>
      </c>
    </row>
    <row r="53" spans="1:27" s="17" customFormat="1">
      <c r="A53" s="101" t="str">
        <f>IF(O53&gt;0,COUNT($A$8:A52)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53" s="610"/>
      <c r="C53" s="611"/>
      <c r="D53" s="103" t="str">
        <f>_xlfn.XLOOKUP(E53,'All Products'!D:D,'All Products'!C:C,FALSE)</f>
        <v>ST8-015</v>
      </c>
      <c r="E53" s="103">
        <v>100027270</v>
      </c>
      <c r="F53" s="53" t="str">
        <f>_xlfn.XLOOKUP(E53,'All Products'!D:D,'All Products'!E:E,FALSE)</f>
        <v>1-1/2 SL OR TH SB-TUBV 37059059</v>
      </c>
      <c r="G53" s="52" t="s">
        <v>5821</v>
      </c>
      <c r="H53" s="52" t="s">
        <v>5822</v>
      </c>
      <c r="I53" s="52" t="s">
        <v>649</v>
      </c>
      <c r="J53" s="52" t="s">
        <v>5829</v>
      </c>
      <c r="K53" s="103">
        <f>_xlfn.XLOOKUP(E53,'All Products'!D:D,'All Products'!F:F,FALSE)</f>
        <v>24</v>
      </c>
      <c r="L53" s="103">
        <f>_xlfn.XLOOKUP(E53,'All Products'!D:D,'All Products'!G:G,FALSE)</f>
        <v>588</v>
      </c>
      <c r="M53" s="123">
        <f>_xlfn.XLOOKUP(E53,'All Products'!D:D,'All Products'!H:H)</f>
        <v>162.24</v>
      </c>
      <c r="N53" s="128">
        <f>ROUNDUP(M53*Order_Quote!$L$13,2)</f>
        <v>162.24</v>
      </c>
      <c r="O53" s="73"/>
      <c r="P53" s="76"/>
      <c r="Q53" s="104">
        <f t="shared" si="1"/>
        <v>0</v>
      </c>
      <c r="S53" s="215" t="str">
        <f>_xlfn.XLOOKUP(E53,'All Products'!D:D,'All Products'!I:I,FALSE)</f>
        <v>In stock</v>
      </c>
      <c r="T53" s="215" t="str">
        <f>_xlfn.XLOOKUP(E53,'All Products'!D:D,'All Products'!J:J,FALSE)</f>
        <v>Sourced</v>
      </c>
      <c r="U53" s="266">
        <f>_xlfn.XLOOKUP(E53,'All Products'!D:D,'All Products'!K:K,FALSE)</f>
        <v>49081358167</v>
      </c>
      <c r="V53" s="266" t="str">
        <f>_xlfn.XLOOKUP(E53,'All Products'!D:D,'All Products'!L:L,FALSE)</f>
        <v>-</v>
      </c>
      <c r="W53" s="266">
        <f>_xlfn.XLOOKUP(E53,'All Products'!D:D,'All Products'!M:M,FALSE)</f>
        <v>40049081358165</v>
      </c>
      <c r="X53" s="265">
        <f>_xlfn.XLOOKUP(E53,'All Products'!D:D,'All Products'!N:N,FALSE)</f>
        <v>56.24</v>
      </c>
      <c r="Y53" s="215" t="str">
        <f>_xlfn.XLOOKUP(E53,'All Products'!D:D,'All Products'!O:O,FALSE)</f>
        <v>-</v>
      </c>
      <c r="Z53" s="265">
        <f>_xlfn.XLOOKUP(E53,'All Products'!D:D,'All Products'!P:P,FALSE)</f>
        <v>56.24</v>
      </c>
      <c r="AA53" s="265">
        <f>_xlfn.XLOOKUP(E53,'All Products'!D:D,'All Products'!Q:Q,FALSE)</f>
        <v>2.4500000000000002</v>
      </c>
    </row>
    <row r="54" spans="1:27" s="17" customFormat="1">
      <c r="A54" s="101" t="str">
        <f>IF(O54&gt;0,COUNT($A$8:A53)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54" s="610"/>
      <c r="C54" s="611"/>
      <c r="D54" s="103" t="str">
        <f>_xlfn.XLOOKUP(E54,'All Products'!D:D,'All Products'!C:C,FALSE)</f>
        <v>ST8-020</v>
      </c>
      <c r="E54" s="103">
        <v>100027271</v>
      </c>
      <c r="F54" s="53" t="str">
        <f>_xlfn.XLOOKUP(E54,'All Products'!D:D,'All Products'!E:E,FALSE)</f>
        <v>2 SL OR TH SB-TUBV EPDM 37059060</v>
      </c>
      <c r="G54" s="52" t="s">
        <v>5821</v>
      </c>
      <c r="H54" s="52" t="s">
        <v>5822</v>
      </c>
      <c r="I54" s="52" t="s">
        <v>649</v>
      </c>
      <c r="J54" s="52" t="s">
        <v>5829</v>
      </c>
      <c r="K54" s="103">
        <f>_xlfn.XLOOKUP(E54,'All Products'!D:D,'All Products'!F:F,FALSE)</f>
        <v>12</v>
      </c>
      <c r="L54" s="103">
        <f>_xlfn.XLOOKUP(E54,'All Products'!D:D,'All Products'!G:G,FALSE)</f>
        <v>294</v>
      </c>
      <c r="M54" s="123">
        <f>_xlfn.XLOOKUP(E54,'All Products'!D:D,'All Products'!H:H)</f>
        <v>212.22</v>
      </c>
      <c r="N54" s="128">
        <f>ROUNDUP(M54*Order_Quote!$L$13,2)</f>
        <v>212.22</v>
      </c>
      <c r="O54" s="73"/>
      <c r="P54" s="76"/>
      <c r="Q54" s="104">
        <f t="shared" si="1"/>
        <v>0</v>
      </c>
      <c r="S54" s="215" t="str">
        <f>_xlfn.XLOOKUP(E54,'All Products'!D:D,'All Products'!I:I,FALSE)</f>
        <v>In stock</v>
      </c>
      <c r="T54" s="215" t="str">
        <f>_xlfn.XLOOKUP(E54,'All Products'!D:D,'All Products'!J:J,FALSE)</f>
        <v>Sourced</v>
      </c>
      <c r="U54" s="266">
        <f>_xlfn.XLOOKUP(E54,'All Products'!D:D,'All Products'!K:K,FALSE)</f>
        <v>49081358204</v>
      </c>
      <c r="V54" s="266" t="str">
        <f>_xlfn.XLOOKUP(E54,'All Products'!D:D,'All Products'!L:L,FALSE)</f>
        <v>-</v>
      </c>
      <c r="W54" s="266">
        <f>_xlfn.XLOOKUP(E54,'All Products'!D:D,'All Products'!M:M,FALSE)</f>
        <v>40049081358202</v>
      </c>
      <c r="X54" s="265">
        <f>_xlfn.XLOOKUP(E54,'All Products'!D:D,'All Products'!N:N,FALSE)</f>
        <v>50.71</v>
      </c>
      <c r="Y54" s="215" t="str">
        <f>_xlfn.XLOOKUP(E54,'All Products'!D:D,'All Products'!O:O,FALSE)</f>
        <v>-</v>
      </c>
      <c r="Z54" s="265">
        <f>_xlfn.XLOOKUP(E54,'All Products'!D:D,'All Products'!P:P,FALSE)</f>
        <v>50.71</v>
      </c>
      <c r="AA54" s="265">
        <f>_xlfn.XLOOKUP(E54,'All Products'!D:D,'All Products'!Q:Q,FALSE)</f>
        <v>2.4500000000000002</v>
      </c>
    </row>
    <row r="55" spans="1:27" s="17" customFormat="1">
      <c r="A55" s="101" t="str">
        <f>IF(O55&gt;0,COUNT($A$8:A54)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55" s="610"/>
      <c r="C55" s="611"/>
      <c r="D55" s="103" t="str">
        <f>_xlfn.XLOOKUP(E55,'All Products'!D:D,'All Products'!C:C,FALSE)</f>
        <v>ST8-030</v>
      </c>
      <c r="E55" s="103">
        <v>100027273</v>
      </c>
      <c r="F55" s="53" t="str">
        <f>_xlfn.XLOOKUP(E55,'All Products'!D:D,'All Products'!E:E,FALSE)</f>
        <v>3 SL OR TH SB-TUBV EPDM 37059062</v>
      </c>
      <c r="G55" s="52" t="s">
        <v>5821</v>
      </c>
      <c r="H55" s="52" t="s">
        <v>5822</v>
      </c>
      <c r="I55" s="52" t="s">
        <v>649</v>
      </c>
      <c r="J55" s="52" t="s">
        <v>5829</v>
      </c>
      <c r="K55" s="103">
        <f>_xlfn.XLOOKUP(E55,'All Products'!D:D,'All Products'!F:F,FALSE)</f>
        <v>6</v>
      </c>
      <c r="L55" s="103">
        <f>_xlfn.XLOOKUP(E55,'All Products'!D:D,'All Products'!G:G,FALSE)</f>
        <v>96</v>
      </c>
      <c r="M55" s="123">
        <f>_xlfn.XLOOKUP(E55,'All Products'!D:D,'All Products'!H:H)</f>
        <v>622.55999999999995</v>
      </c>
      <c r="N55" s="128">
        <f>ROUNDUP(M55*Order_Quote!$L$13,2)</f>
        <v>622.55999999999995</v>
      </c>
      <c r="O55" s="73"/>
      <c r="P55" s="76"/>
      <c r="Q55" s="104">
        <f t="shared" si="1"/>
        <v>0</v>
      </c>
      <c r="S55" s="215" t="str">
        <f>_xlfn.XLOOKUP(E55,'All Products'!D:D,'All Products'!I:I,FALSE)</f>
        <v>In stock</v>
      </c>
      <c r="T55" s="215" t="str">
        <f>_xlfn.XLOOKUP(E55,'All Products'!D:D,'All Products'!J:J,FALSE)</f>
        <v>Sourced</v>
      </c>
      <c r="U55" s="266">
        <f>_xlfn.XLOOKUP(E55,'All Products'!D:D,'All Products'!K:K,FALSE)</f>
        <v>49081358280</v>
      </c>
      <c r="V55" s="266" t="str">
        <f>_xlfn.XLOOKUP(E55,'All Products'!D:D,'All Products'!L:L,FALSE)</f>
        <v>-</v>
      </c>
      <c r="W55" s="266">
        <f>_xlfn.XLOOKUP(E55,'All Products'!D:D,'All Products'!M:M,FALSE)</f>
        <v>40049081358288</v>
      </c>
      <c r="X55" s="265">
        <f>_xlfn.XLOOKUP(E55,'All Products'!D:D,'All Products'!N:N,FALSE)</f>
        <v>73.77</v>
      </c>
      <c r="Y55" s="215" t="str">
        <f>_xlfn.XLOOKUP(E55,'All Products'!D:D,'All Products'!O:O,FALSE)</f>
        <v>-</v>
      </c>
      <c r="Z55" s="265">
        <f>_xlfn.XLOOKUP(E55,'All Products'!D:D,'All Products'!P:P,FALSE)</f>
        <v>73.77</v>
      </c>
      <c r="AA55" s="265">
        <f>_xlfn.XLOOKUP(E55,'All Products'!D:D,'All Products'!Q:Q,FALSE)</f>
        <v>3.75</v>
      </c>
    </row>
    <row r="56" spans="1:27" s="17" customFormat="1">
      <c r="A56" s="101" t="str">
        <f>IF(O56&gt;0,COUNT($A$8:A55)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56" s="610"/>
      <c r="C56" s="611"/>
      <c r="D56" s="103" t="str">
        <f>_xlfn.XLOOKUP(E56,'All Products'!D:D,'All Products'!C:C,FALSE)</f>
        <v>ST8-040</v>
      </c>
      <c r="E56" s="103">
        <v>100027274</v>
      </c>
      <c r="F56" s="53" t="str">
        <f>_xlfn.XLOOKUP(E56,'All Products'!D:D,'All Products'!E:E,FALSE)</f>
        <v>4 SL OR TH SB-TUBV EPDM 37059063</v>
      </c>
      <c r="G56" s="52" t="s">
        <v>5821</v>
      </c>
      <c r="H56" s="52" t="s">
        <v>5822</v>
      </c>
      <c r="I56" s="52" t="s">
        <v>649</v>
      </c>
      <c r="J56" s="52" t="s">
        <v>5829</v>
      </c>
      <c r="K56" s="103">
        <f>_xlfn.XLOOKUP(E56,'All Products'!D:D,'All Products'!F:F,FALSE)</f>
        <v>1</v>
      </c>
      <c r="L56" s="103">
        <f>_xlfn.XLOOKUP(E56,'All Products'!D:D,'All Products'!G:G,FALSE)</f>
        <v>56</v>
      </c>
      <c r="M56" s="123">
        <f>_xlfn.XLOOKUP(E56,'All Products'!D:D,'All Products'!H:H)</f>
        <v>1247.24</v>
      </c>
      <c r="N56" s="128">
        <f>ROUNDUP(M56*Order_Quote!$L$13,2)</f>
        <v>1247.24</v>
      </c>
      <c r="O56" s="73"/>
      <c r="P56" s="76"/>
      <c r="Q56" s="104">
        <f t="shared" si="1"/>
        <v>0</v>
      </c>
      <c r="S56" s="215" t="str">
        <f>_xlfn.XLOOKUP(E56,'All Products'!D:D,'All Products'!I:I,FALSE)</f>
        <v>In stock</v>
      </c>
      <c r="T56" s="215" t="str">
        <f>_xlfn.XLOOKUP(E56,'All Products'!D:D,'All Products'!J:J,FALSE)</f>
        <v>Sourced</v>
      </c>
      <c r="U56" s="266">
        <f>_xlfn.XLOOKUP(E56,'All Products'!D:D,'All Products'!K:K,FALSE)</f>
        <v>49081358327</v>
      </c>
      <c r="V56" s="266" t="str">
        <f>_xlfn.XLOOKUP(E56,'All Products'!D:D,'All Products'!L:L,FALSE)</f>
        <v>-</v>
      </c>
      <c r="W56" s="266">
        <f>_xlfn.XLOOKUP(E56,'All Products'!D:D,'All Products'!M:M,FALSE)</f>
        <v>40049081358325</v>
      </c>
      <c r="X56" s="265">
        <f>_xlfn.XLOOKUP(E56,'All Products'!D:D,'All Products'!N:N,FALSE)</f>
        <v>23.37</v>
      </c>
      <c r="Y56" s="215" t="str">
        <f>_xlfn.XLOOKUP(E56,'All Products'!D:D,'All Products'!O:O,FALSE)</f>
        <v>-</v>
      </c>
      <c r="Z56" s="265">
        <f>_xlfn.XLOOKUP(E56,'All Products'!D:D,'All Products'!P:P,FALSE)</f>
        <v>23.37</v>
      </c>
      <c r="AA56" s="265">
        <f>_xlfn.XLOOKUP(E56,'All Products'!D:D,'All Products'!Q:Q,FALSE)</f>
        <v>1.07</v>
      </c>
    </row>
    <row r="57" spans="1:27" s="17" customFormat="1">
      <c r="A57" s="101" t="str">
        <f>IF(O57&gt;0,COUNT($A$8:A56)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57" s="672"/>
      <c r="C57" s="673"/>
      <c r="D57" s="103" t="str">
        <f>_xlfn.XLOOKUP(E57,'All Products'!D:D,'All Products'!C:C,FALSE)</f>
        <v>VST8-010</v>
      </c>
      <c r="E57" s="103">
        <v>100027306</v>
      </c>
      <c r="F57" s="53" t="str">
        <f>_xlfn.XLOOKUP(E57,'All Products'!D:D,'All Products'!E:E,FALSE)</f>
        <v>1 SL OR TH SB-TUBV VITON 37059064</v>
      </c>
      <c r="G57" s="52" t="s">
        <v>5821</v>
      </c>
      <c r="H57" s="52" t="s">
        <v>5826</v>
      </c>
      <c r="I57" s="52" t="s">
        <v>649</v>
      </c>
      <c r="J57" s="52" t="s">
        <v>5829</v>
      </c>
      <c r="K57" s="103">
        <f>_xlfn.XLOOKUP(E57,'All Products'!D:D,'All Products'!F:F,FALSE)</f>
        <v>24</v>
      </c>
      <c r="L57" s="103">
        <f>_xlfn.XLOOKUP(E57,'All Products'!D:D,'All Products'!G:G,FALSE)</f>
        <v>1161</v>
      </c>
      <c r="M57" s="123">
        <f>_xlfn.XLOOKUP(E57,'All Products'!D:D,'All Products'!H:H)</f>
        <v>150.21</v>
      </c>
      <c r="N57" s="128">
        <f>ROUNDUP(M57*Order_Quote!$L$13,2)</f>
        <v>150.21</v>
      </c>
      <c r="O57" s="73"/>
      <c r="P57" s="76"/>
      <c r="Q57" s="104">
        <f t="shared" si="1"/>
        <v>0</v>
      </c>
      <c r="S57" s="215" t="str">
        <f>_xlfn.XLOOKUP(E57,'All Products'!D:D,'All Products'!I:I,FALSE)</f>
        <v>Within 4 Months</v>
      </c>
      <c r="T57" s="215" t="str">
        <f>_xlfn.XLOOKUP(E57,'All Products'!D:D,'All Products'!J:J,FALSE)</f>
        <v>Sourced</v>
      </c>
      <c r="U57" s="266">
        <f>_xlfn.XLOOKUP(E57,'All Products'!D:D,'All Products'!K:K,FALSE)</f>
        <v>49081358105</v>
      </c>
      <c r="V57" s="266" t="str">
        <f>_xlfn.XLOOKUP(E57,'All Products'!D:D,'All Products'!L:L,FALSE)</f>
        <v>-</v>
      </c>
      <c r="W57" s="266">
        <f>_xlfn.XLOOKUP(E57,'All Products'!D:D,'All Products'!M:M,FALSE)</f>
        <v>40049081358103</v>
      </c>
      <c r="X57" s="265">
        <f>_xlfn.XLOOKUP(E57,'All Products'!D:D,'All Products'!N:N,FALSE)</f>
        <v>24.7</v>
      </c>
      <c r="Y57" s="215" t="str">
        <f>_xlfn.XLOOKUP(E57,'All Products'!D:D,'All Products'!O:O,FALSE)</f>
        <v>-</v>
      </c>
      <c r="Z57" s="265">
        <f>_xlfn.XLOOKUP(E57,'All Products'!D:D,'All Products'!P:P,FALSE)</f>
        <v>24.7</v>
      </c>
      <c r="AA57" s="265">
        <f>_xlfn.XLOOKUP(E57,'All Products'!D:D,'All Products'!Q:Q,FALSE)</f>
        <v>1.24</v>
      </c>
    </row>
    <row r="58" spans="1:27" s="17" customFormat="1" ht="15" thickBot="1">
      <c r="A58" s="101" t="str">
        <f>IF(O58&gt;0,COUNT($A$8:A57)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58" s="684"/>
      <c r="C58" s="685"/>
      <c r="D58" s="103" t="str">
        <f>_xlfn.XLOOKUP(E58,'All Products'!D:D,'All Products'!C:C,FALSE)</f>
        <v>VST8-015</v>
      </c>
      <c r="E58" s="103">
        <v>100027308</v>
      </c>
      <c r="F58" s="53" t="str">
        <f>_xlfn.XLOOKUP(E58,'All Products'!D:D,'All Products'!E:E,FALSE)</f>
        <v>1-1/2 SL OR TH SB-TUBV VITON 37059066</v>
      </c>
      <c r="G58" s="52" t="s">
        <v>5821</v>
      </c>
      <c r="H58" s="52" t="s">
        <v>5826</v>
      </c>
      <c r="I58" s="52" t="s">
        <v>649</v>
      </c>
      <c r="J58" s="52" t="s">
        <v>5829</v>
      </c>
      <c r="K58" s="103">
        <f>_xlfn.XLOOKUP(E58,'All Products'!D:D,'All Products'!F:F,FALSE)</f>
        <v>24</v>
      </c>
      <c r="L58" s="103">
        <f>_xlfn.XLOOKUP(E58,'All Products'!D:D,'All Products'!G:G,FALSE)</f>
        <v>548</v>
      </c>
      <c r="M58" s="123">
        <f>_xlfn.XLOOKUP(E58,'All Products'!D:D,'All Products'!H:H)</f>
        <v>273.47000000000003</v>
      </c>
      <c r="N58" s="128">
        <f>ROUNDUP(M58*Order_Quote!$L$13,2)</f>
        <v>273.47000000000003</v>
      </c>
      <c r="O58" s="73"/>
      <c r="P58" s="76"/>
      <c r="Q58" s="104">
        <f t="shared" si="1"/>
        <v>0</v>
      </c>
      <c r="S58" s="215" t="str">
        <f>_xlfn.XLOOKUP(E58,'All Products'!D:D,'All Products'!I:I,FALSE)</f>
        <v>Limited Stock</v>
      </c>
      <c r="T58" s="215" t="str">
        <f>_xlfn.XLOOKUP(E58,'All Products'!D:D,'All Products'!J:J,FALSE)</f>
        <v>Sourced</v>
      </c>
      <c r="U58" s="266">
        <f>_xlfn.XLOOKUP(E58,'All Products'!D:D,'All Products'!K:K,FALSE)</f>
        <v>49081358181</v>
      </c>
      <c r="V58" s="266" t="str">
        <f>_xlfn.XLOOKUP(E58,'All Products'!D:D,'All Products'!L:L,FALSE)</f>
        <v>-</v>
      </c>
      <c r="W58" s="266">
        <f>_xlfn.XLOOKUP(E58,'All Products'!D:D,'All Products'!M:M,FALSE)</f>
        <v>40049081358189</v>
      </c>
      <c r="X58" s="265">
        <f>_xlfn.XLOOKUP(E58,'All Products'!D:D,'All Products'!N:N,FALSE)</f>
        <v>54.43</v>
      </c>
      <c r="Y58" s="215" t="str">
        <f>_xlfn.XLOOKUP(E58,'All Products'!D:D,'All Products'!O:O,FALSE)</f>
        <v>-</v>
      </c>
      <c r="Z58" s="265">
        <f>_xlfn.XLOOKUP(E58,'All Products'!D:D,'All Products'!P:P,FALSE)</f>
        <v>54.43</v>
      </c>
      <c r="AA58" s="265">
        <f>_xlfn.XLOOKUP(E58,'All Products'!D:D,'All Products'!Q:Q,FALSE)</f>
        <v>2.63</v>
      </c>
    </row>
    <row r="59" spans="1:27" s="17" customFormat="1" ht="16.2" thickBot="1">
      <c r="A59" s="101" t="str">
        <f>IF(O59&gt;0,COUNT($A$8:A58)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59" s="501" t="s">
        <v>5838</v>
      </c>
      <c r="C59" s="151"/>
      <c r="D59" s="151"/>
      <c r="E59" s="459"/>
      <c r="F59" s="151"/>
      <c r="G59" s="468"/>
      <c r="H59" s="151"/>
      <c r="I59" s="472"/>
      <c r="J59" s="468"/>
      <c r="K59" s="477"/>
      <c r="L59" s="476"/>
      <c r="M59" s="476"/>
      <c r="N59" s="476"/>
      <c r="O59" s="476"/>
      <c r="P59" s="523"/>
      <c r="Q59" s="476"/>
      <c r="R59" s="523"/>
      <c r="S59" s="476"/>
      <c r="T59" s="476"/>
      <c r="U59" s="476"/>
      <c r="V59" s="476"/>
      <c r="W59" s="476"/>
      <c r="X59" s="476"/>
      <c r="Y59" s="476"/>
      <c r="Z59" s="476"/>
      <c r="AA59" s="476"/>
    </row>
    <row r="60" spans="1:27" s="17" customFormat="1" ht="15.75" customHeight="1">
      <c r="A60" s="101" t="str">
        <f>IF(O60&gt;0,COUNT($A$8:A59)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60" s="608"/>
      <c r="C60" s="609"/>
      <c r="D60" s="103" t="str">
        <f>_xlfn.XLOOKUP(E60,'All Products'!D:D,'All Products'!C:C,FALSE)</f>
        <v>S12-007</v>
      </c>
      <c r="E60" s="103">
        <v>100027249</v>
      </c>
      <c r="F60" s="53" t="str">
        <f>_xlfn.XLOOKUP(E60,'All Products'!D:D,'All Products'!E:E,FALSE)</f>
        <v>3/4 IN LINE SPNG CHK VLV PVC 37059089</v>
      </c>
      <c r="G60" s="52" t="s">
        <v>5821</v>
      </c>
      <c r="H60" s="52" t="s">
        <v>5822</v>
      </c>
      <c r="I60" s="52" t="s">
        <v>649</v>
      </c>
      <c r="J60" s="52" t="s">
        <v>5829</v>
      </c>
      <c r="K60" s="103">
        <f>_xlfn.XLOOKUP(E60,'All Products'!D:D,'All Products'!F:F,FALSE)</f>
        <v>120</v>
      </c>
      <c r="L60" s="103">
        <f>_xlfn.XLOOKUP(E60,'All Products'!D:D,'All Products'!G:G,FALSE)</f>
        <v>4022</v>
      </c>
      <c r="M60" s="123">
        <f>_xlfn.XLOOKUP(E60,'All Products'!D:D,'All Products'!H:H)</f>
        <v>24.51</v>
      </c>
      <c r="N60" s="128">
        <f>ROUNDUP(M60*Order_Quote!$L$13,2)</f>
        <v>24.51</v>
      </c>
      <c r="O60" s="73"/>
      <c r="P60" s="76"/>
      <c r="Q60" s="104">
        <f t="shared" si="1"/>
        <v>0</v>
      </c>
      <c r="S60" s="215" t="str">
        <f>_xlfn.XLOOKUP(E60,'All Products'!D:D,'All Products'!I:I,FALSE)</f>
        <v>In stock</v>
      </c>
      <c r="T60" s="215" t="str">
        <f>_xlfn.XLOOKUP(E60,'All Products'!D:D,'All Products'!J:J,FALSE)</f>
        <v>Sourced</v>
      </c>
      <c r="U60" s="266">
        <f>_xlfn.XLOOKUP(E60,'All Products'!D:D,'All Products'!K:K,FALSE)</f>
        <v>49081402020</v>
      </c>
      <c r="V60" s="266" t="str">
        <f>_xlfn.XLOOKUP(E60,'All Products'!D:D,'All Products'!L:L,FALSE)</f>
        <v>-</v>
      </c>
      <c r="W60" s="266">
        <f>_xlfn.XLOOKUP(E60,'All Products'!D:D,'All Products'!M:M,FALSE)</f>
        <v>40049081402028</v>
      </c>
      <c r="X60" s="265">
        <f>_xlfn.XLOOKUP(E60,'All Products'!D:D,'All Products'!N:N,FALSE)</f>
        <v>37.25</v>
      </c>
      <c r="Y60" s="215" t="str">
        <f>_xlfn.XLOOKUP(E60,'All Products'!D:D,'All Products'!O:O,FALSE)</f>
        <v>-</v>
      </c>
      <c r="Z60" s="265">
        <f>_xlfn.XLOOKUP(E60,'All Products'!D:D,'All Products'!P:P,FALSE)</f>
        <v>37.25</v>
      </c>
      <c r="AA60" s="265">
        <f>_xlfn.XLOOKUP(E60,'All Products'!D:D,'All Products'!Q:Q,FALSE)</f>
        <v>1.79</v>
      </c>
    </row>
    <row r="61" spans="1:27" s="17" customFormat="1" ht="15.75" customHeight="1">
      <c r="A61" s="101" t="str">
        <f>IF(O61&gt;0,COUNT($A$8:A60)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61" s="610"/>
      <c r="C61" s="611"/>
      <c r="D61" s="103" t="str">
        <f>_xlfn.XLOOKUP(E61,'All Products'!D:D,'All Products'!C:C,FALSE)</f>
        <v>S12-010</v>
      </c>
      <c r="E61" s="103">
        <v>100027250</v>
      </c>
      <c r="F61" s="53" t="str">
        <f>_xlfn.XLOOKUP(E61,'All Products'!D:D,'All Products'!E:E,FALSE)</f>
        <v>1 IN LINE SPNG CHK VLV PVC 37059090</v>
      </c>
      <c r="G61" s="52" t="s">
        <v>5821</v>
      </c>
      <c r="H61" s="52" t="s">
        <v>5822</v>
      </c>
      <c r="I61" s="52" t="s">
        <v>649</v>
      </c>
      <c r="J61" s="52" t="s">
        <v>5829</v>
      </c>
      <c r="K61" s="103">
        <f>_xlfn.XLOOKUP(E61,'All Products'!D:D,'All Products'!F:F,FALSE)</f>
        <v>80</v>
      </c>
      <c r="L61" s="103">
        <f>_xlfn.XLOOKUP(E61,'All Products'!D:D,'All Products'!G:G,FALSE)</f>
        <v>1912</v>
      </c>
      <c r="M61" s="123">
        <f>_xlfn.XLOOKUP(E61,'All Products'!D:D,'All Products'!H:H)</f>
        <v>35.700000000000003</v>
      </c>
      <c r="N61" s="128">
        <f>ROUNDUP(M61*Order_Quote!$L$13,2)</f>
        <v>35.700000000000003</v>
      </c>
      <c r="O61" s="73"/>
      <c r="P61" s="76"/>
      <c r="Q61" s="104">
        <f t="shared" si="1"/>
        <v>0</v>
      </c>
      <c r="S61" s="215" t="str">
        <f>_xlfn.XLOOKUP(E61,'All Products'!D:D,'All Products'!I:I,FALSE)</f>
        <v>In stock</v>
      </c>
      <c r="T61" s="215" t="str">
        <f>_xlfn.XLOOKUP(E61,'All Products'!D:D,'All Products'!J:J,FALSE)</f>
        <v>Sourced</v>
      </c>
      <c r="U61" s="266">
        <f>_xlfn.XLOOKUP(E61,'All Products'!D:D,'All Products'!K:K,FALSE)</f>
        <v>49081402044</v>
      </c>
      <c r="V61" s="266" t="str">
        <f>_xlfn.XLOOKUP(E61,'All Products'!D:D,'All Products'!L:L,FALSE)</f>
        <v>-</v>
      </c>
      <c r="W61" s="266">
        <f>_xlfn.XLOOKUP(E61,'All Products'!D:D,'All Products'!M:M,FALSE)</f>
        <v>40049081402042</v>
      </c>
      <c r="X61" s="265">
        <f>_xlfn.XLOOKUP(E61,'All Products'!D:D,'All Products'!N:N,FALSE)</f>
        <v>39.909999999999997</v>
      </c>
      <c r="Y61" s="215" t="str">
        <f>_xlfn.XLOOKUP(E61,'All Products'!D:D,'All Products'!O:O,FALSE)</f>
        <v>-</v>
      </c>
      <c r="Z61" s="265">
        <f>_xlfn.XLOOKUP(E61,'All Products'!D:D,'All Products'!P:P,FALSE)</f>
        <v>39.909999999999997</v>
      </c>
      <c r="AA61" s="265">
        <f>_xlfn.XLOOKUP(E61,'All Products'!D:D,'All Products'!Q:Q,FALSE)</f>
        <v>2.5099999999999998</v>
      </c>
    </row>
    <row r="62" spans="1:27" s="17" customFormat="1" ht="15.75" customHeight="1">
      <c r="A62" s="101" t="str">
        <f>IF(O62&gt;0,COUNT($A$8:A61)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62" s="610"/>
      <c r="C62" s="611"/>
      <c r="D62" s="103" t="str">
        <f>_xlfn.XLOOKUP(E62,'All Products'!D:D,'All Products'!C:C,FALSE)</f>
        <v>S12-012</v>
      </c>
      <c r="E62" s="103">
        <v>100027251</v>
      </c>
      <c r="F62" s="53" t="str">
        <f>_xlfn.XLOOKUP(E62,'All Products'!D:D,'All Products'!E:E,FALSE)</f>
        <v>1-1/4 IN LINE SPNG CHK VLV PVC 37059091</v>
      </c>
      <c r="G62" s="52" t="s">
        <v>5821</v>
      </c>
      <c r="H62" s="52" t="s">
        <v>5822</v>
      </c>
      <c r="I62" s="52" t="s">
        <v>649</v>
      </c>
      <c r="J62" s="52" t="s">
        <v>5829</v>
      </c>
      <c r="K62" s="103">
        <f>_xlfn.XLOOKUP(E62,'All Products'!D:D,'All Products'!F:F,FALSE)</f>
        <v>60</v>
      </c>
      <c r="L62" s="103">
        <f>_xlfn.XLOOKUP(E62,'All Products'!D:D,'All Products'!G:G,FALSE)</f>
        <v>1071</v>
      </c>
      <c r="M62" s="123">
        <f>_xlfn.XLOOKUP(E62,'All Products'!D:D,'All Products'!H:H)</f>
        <v>46.3</v>
      </c>
      <c r="N62" s="128">
        <f>ROUNDUP(M62*Order_Quote!$L$13,2)</f>
        <v>46.3</v>
      </c>
      <c r="O62" s="73"/>
      <c r="P62" s="76"/>
      <c r="Q62" s="104">
        <f t="shared" si="1"/>
        <v>0</v>
      </c>
      <c r="S62" s="215" t="str">
        <f>_xlfn.XLOOKUP(E62,'All Products'!D:D,'All Products'!I:I,FALSE)</f>
        <v>Within 4 Months</v>
      </c>
      <c r="T62" s="215" t="str">
        <f>_xlfn.XLOOKUP(E62,'All Products'!D:D,'All Products'!J:J,FALSE)</f>
        <v>Sourced</v>
      </c>
      <c r="U62" s="266">
        <f>_xlfn.XLOOKUP(E62,'All Products'!D:D,'All Products'!K:K,FALSE)</f>
        <v>49081402068</v>
      </c>
      <c r="V62" s="266" t="str">
        <f>_xlfn.XLOOKUP(E62,'All Products'!D:D,'All Products'!L:L,FALSE)</f>
        <v>-</v>
      </c>
      <c r="W62" s="266">
        <f>_xlfn.XLOOKUP(E62,'All Products'!D:D,'All Products'!M:M,FALSE)</f>
        <v>40049081402066</v>
      </c>
      <c r="X62" s="265">
        <f>_xlfn.XLOOKUP(E62,'All Products'!D:D,'All Products'!N:N,FALSE)</f>
        <v>57.54</v>
      </c>
      <c r="Y62" s="215" t="str">
        <f>_xlfn.XLOOKUP(E62,'All Products'!D:D,'All Products'!O:O,FALSE)</f>
        <v>-</v>
      </c>
      <c r="Z62" s="265">
        <f>_xlfn.XLOOKUP(E62,'All Products'!D:D,'All Products'!P:P,FALSE)</f>
        <v>57.54</v>
      </c>
      <c r="AA62" s="265">
        <f>_xlfn.XLOOKUP(E62,'All Products'!D:D,'All Products'!Q:Q,FALSE)</f>
        <v>3.36</v>
      </c>
    </row>
    <row r="63" spans="1:27" s="17" customFormat="1" ht="15.75" customHeight="1">
      <c r="A63" s="101" t="str">
        <f>IF(O63&gt;0,COUNT($A$8:A62)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63" s="610"/>
      <c r="C63" s="611"/>
      <c r="D63" s="103" t="str">
        <f>_xlfn.XLOOKUP(E63,'All Products'!D:D,'All Products'!C:C,FALSE)</f>
        <v>S12-015</v>
      </c>
      <c r="E63" s="103">
        <v>100027252</v>
      </c>
      <c r="F63" s="53" t="str">
        <f>_xlfn.XLOOKUP(E63,'All Products'!D:D,'All Products'!E:E,FALSE)</f>
        <v>1-1/2 IN LINE SPNG CHK VLV PVC 37059092</v>
      </c>
      <c r="G63" s="52" t="s">
        <v>5821</v>
      </c>
      <c r="H63" s="52" t="s">
        <v>5822</v>
      </c>
      <c r="I63" s="52" t="s">
        <v>649</v>
      </c>
      <c r="J63" s="52" t="s">
        <v>5829</v>
      </c>
      <c r="K63" s="103">
        <f>_xlfn.XLOOKUP(E63,'All Products'!D:D,'All Products'!F:F,FALSE)</f>
        <v>60</v>
      </c>
      <c r="L63" s="103">
        <f>_xlfn.XLOOKUP(E63,'All Products'!D:D,'All Products'!G:G,FALSE)</f>
        <v>1071</v>
      </c>
      <c r="M63" s="123">
        <f>_xlfn.XLOOKUP(E63,'All Products'!D:D,'All Products'!H:H)</f>
        <v>46.3</v>
      </c>
      <c r="N63" s="128">
        <f>ROUNDUP(M63*Order_Quote!$L$13,2)</f>
        <v>46.3</v>
      </c>
      <c r="O63" s="73"/>
      <c r="P63" s="76"/>
      <c r="Q63" s="104">
        <f t="shared" si="1"/>
        <v>0</v>
      </c>
      <c r="S63" s="215" t="str">
        <f>_xlfn.XLOOKUP(E63,'All Products'!D:D,'All Products'!I:I,FALSE)</f>
        <v>Within 4 Months</v>
      </c>
      <c r="T63" s="215" t="str">
        <f>_xlfn.XLOOKUP(E63,'All Products'!D:D,'All Products'!J:J,FALSE)</f>
        <v>Sourced</v>
      </c>
      <c r="U63" s="266">
        <f>_xlfn.XLOOKUP(E63,'All Products'!D:D,'All Products'!K:K,FALSE)</f>
        <v>49081402082</v>
      </c>
      <c r="V63" s="266" t="str">
        <f>_xlfn.XLOOKUP(E63,'All Products'!D:D,'All Products'!L:L,FALSE)</f>
        <v>-</v>
      </c>
      <c r="W63" s="266">
        <f>_xlfn.XLOOKUP(E63,'All Products'!D:D,'All Products'!M:M,FALSE)</f>
        <v>40049081402080</v>
      </c>
      <c r="X63" s="265">
        <f>_xlfn.XLOOKUP(E63,'All Products'!D:D,'All Products'!N:N,FALSE)</f>
        <v>63.05</v>
      </c>
      <c r="Y63" s="215" t="str">
        <f>_xlfn.XLOOKUP(E63,'All Products'!D:D,'All Products'!O:O,FALSE)</f>
        <v>-</v>
      </c>
      <c r="Z63" s="265">
        <f>_xlfn.XLOOKUP(E63,'All Products'!D:D,'All Products'!P:P,FALSE)</f>
        <v>63.05</v>
      </c>
      <c r="AA63" s="265">
        <f>_xlfn.XLOOKUP(E63,'All Products'!D:D,'All Products'!Q:Q,FALSE)</f>
        <v>3.36</v>
      </c>
    </row>
    <row r="64" spans="1:27" s="17" customFormat="1" ht="15.75" customHeight="1">
      <c r="A64" s="101" t="str">
        <f>IF(O64&gt;0,COUNT($A$8:A63)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64" s="612"/>
      <c r="C64" s="613"/>
      <c r="D64" s="103" t="str">
        <f>_xlfn.XLOOKUP(E64,'All Products'!D:D,'All Products'!C:C,FALSE)</f>
        <v>S12-020</v>
      </c>
      <c r="E64" s="103">
        <v>100027253</v>
      </c>
      <c r="F64" s="53" t="str">
        <f>_xlfn.XLOOKUP(E64,'All Products'!D:D,'All Products'!E:E,FALSE)</f>
        <v>2 IN LINE SPNG CHK VLV PVC 37059093</v>
      </c>
      <c r="G64" s="52" t="s">
        <v>5821</v>
      </c>
      <c r="H64" s="52" t="s">
        <v>5822</v>
      </c>
      <c r="I64" s="52" t="s">
        <v>649</v>
      </c>
      <c r="J64" s="52" t="s">
        <v>5829</v>
      </c>
      <c r="K64" s="103">
        <f>_xlfn.XLOOKUP(E64,'All Products'!D:D,'All Products'!F:F,FALSE)</f>
        <v>40</v>
      </c>
      <c r="L64" s="103">
        <f>_xlfn.XLOOKUP(E64,'All Products'!D:D,'All Products'!G:G,FALSE)</f>
        <v>670</v>
      </c>
      <c r="M64" s="123">
        <f>_xlfn.XLOOKUP(E64,'All Products'!D:D,'All Products'!H:H)</f>
        <v>57.07</v>
      </c>
      <c r="N64" s="128">
        <f>ROUNDUP(M64*Order_Quote!$L$13,2)</f>
        <v>57.07</v>
      </c>
      <c r="O64" s="73"/>
      <c r="P64" s="76"/>
      <c r="Q64" s="104">
        <f t="shared" si="1"/>
        <v>0</v>
      </c>
      <c r="S64" s="215" t="str">
        <f>_xlfn.XLOOKUP(E64,'All Products'!D:D,'All Products'!I:I,FALSE)</f>
        <v>In stock</v>
      </c>
      <c r="T64" s="215" t="str">
        <f>_xlfn.XLOOKUP(E64,'All Products'!D:D,'All Products'!J:J,FALSE)</f>
        <v>Sourced</v>
      </c>
      <c r="U64" s="266">
        <f>_xlfn.XLOOKUP(E64,'All Products'!D:D,'All Products'!K:K,FALSE)</f>
        <v>49081402105</v>
      </c>
      <c r="V64" s="266" t="str">
        <f>_xlfn.XLOOKUP(E64,'All Products'!D:D,'All Products'!L:L,FALSE)</f>
        <v>-</v>
      </c>
      <c r="W64" s="266">
        <f>_xlfn.XLOOKUP(E64,'All Products'!D:D,'All Products'!M:M,FALSE)</f>
        <v>40049081402103</v>
      </c>
      <c r="X64" s="265">
        <f>_xlfn.XLOOKUP(E64,'All Products'!D:D,'All Products'!N:N,FALSE)</f>
        <v>64.73</v>
      </c>
      <c r="Y64" s="215" t="str">
        <f>_xlfn.XLOOKUP(E64,'All Products'!D:D,'All Products'!O:O,FALSE)</f>
        <v>-</v>
      </c>
      <c r="Z64" s="265">
        <f>_xlfn.XLOOKUP(E64,'All Products'!D:D,'All Products'!P:P,FALSE)</f>
        <v>64.73</v>
      </c>
      <c r="AA64" s="265">
        <f>_xlfn.XLOOKUP(E64,'All Products'!D:D,'All Products'!Q:Q,FALSE)</f>
        <v>3.58</v>
      </c>
    </row>
    <row r="65" spans="1:27" s="17" customFormat="1" ht="22.5" customHeight="1">
      <c r="A65" s="101" t="str">
        <f>IF(O65&gt;0,COUNT($A$8:A64)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65" s="610"/>
      <c r="C65" s="611"/>
      <c r="D65" s="103" t="str">
        <f>_xlfn.XLOOKUP(E65,'All Products'!D:D,'All Products'!C:C,FALSE)</f>
        <v>S13-012</v>
      </c>
      <c r="E65" s="103">
        <v>100027255</v>
      </c>
      <c r="F65" s="53" t="str">
        <f>_xlfn.XLOOKUP(E65,'All Products'!D:D,'All Products'!E:E,FALSE)</f>
        <v>1-1/4 IN LINE SPNG CHK FOOT VLV 37059095</v>
      </c>
      <c r="G65" s="52" t="s">
        <v>5821</v>
      </c>
      <c r="H65" s="52" t="s">
        <v>5822</v>
      </c>
      <c r="I65" s="52" t="s">
        <v>649</v>
      </c>
      <c r="J65" s="52" t="s">
        <v>5829</v>
      </c>
      <c r="K65" s="103">
        <f>_xlfn.XLOOKUP(E65,'All Products'!D:D,'All Products'!F:F,FALSE)</f>
        <v>30</v>
      </c>
      <c r="L65" s="103">
        <f>_xlfn.XLOOKUP(E65,'All Products'!D:D,'All Products'!G:G,FALSE)</f>
        <v>625</v>
      </c>
      <c r="M65" s="123">
        <f>_xlfn.XLOOKUP(E65,'All Products'!D:D,'All Products'!H:H)</f>
        <v>74.03</v>
      </c>
      <c r="N65" s="128">
        <f>ROUNDUP(M65*Order_Quote!$L$13,2)</f>
        <v>74.03</v>
      </c>
      <c r="O65" s="73"/>
      <c r="P65" s="76"/>
      <c r="Q65" s="104">
        <f t="shared" si="1"/>
        <v>0</v>
      </c>
      <c r="S65" s="215" t="str">
        <f>_xlfn.XLOOKUP(E65,'All Products'!D:D,'All Products'!I:I,FALSE)</f>
        <v>Within 4 Months</v>
      </c>
      <c r="T65" s="215" t="str">
        <f>_xlfn.XLOOKUP(E65,'All Products'!D:D,'All Products'!J:J,FALSE)</f>
        <v>Sourced</v>
      </c>
      <c r="U65" s="266">
        <f>_xlfn.XLOOKUP(E65,'All Products'!D:D,'All Products'!K:K,FALSE)</f>
        <v>49081403065</v>
      </c>
      <c r="V65" s="266" t="str">
        <f>_xlfn.XLOOKUP(E65,'All Products'!D:D,'All Products'!L:L,FALSE)</f>
        <v>-</v>
      </c>
      <c r="W65" s="266">
        <f>_xlfn.XLOOKUP(E65,'All Products'!D:D,'All Products'!M:M,FALSE)</f>
        <v>40049081403063</v>
      </c>
      <c r="X65" s="265">
        <f>_xlfn.XLOOKUP(E65,'All Products'!D:D,'All Products'!N:N,FALSE)</f>
        <v>33.1</v>
      </c>
      <c r="Y65" s="215" t="str">
        <f>_xlfn.XLOOKUP(E65,'All Products'!D:D,'All Products'!O:O,FALSE)</f>
        <v>-</v>
      </c>
      <c r="Z65" s="265">
        <f>_xlfn.XLOOKUP(E65,'All Products'!D:D,'All Products'!P:P,FALSE)</f>
        <v>33.1</v>
      </c>
      <c r="AA65" s="265">
        <f>_xlfn.XLOOKUP(E65,'All Products'!D:D,'All Products'!Q:Q,FALSE)</f>
        <v>2.88</v>
      </c>
    </row>
    <row r="66" spans="1:27" s="17" customFormat="1" ht="22.5" customHeight="1">
      <c r="A66" s="101" t="str">
        <f>IF(O66&gt;0,COUNT($A$8:A65)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66" s="610"/>
      <c r="C66" s="611"/>
      <c r="D66" s="103" t="str">
        <f>_xlfn.XLOOKUP(E66,'All Products'!D:D,'All Products'!C:C,FALSE)</f>
        <v>S13-015</v>
      </c>
      <c r="E66" s="103">
        <v>100027256</v>
      </c>
      <c r="F66" s="53" t="str">
        <f>_xlfn.XLOOKUP(E66,'All Products'!D:D,'All Products'!E:E,FALSE)</f>
        <v>1-1/2 IN LINE SPNG CHK FOOT VLV 37059096</v>
      </c>
      <c r="G66" s="52" t="s">
        <v>5821</v>
      </c>
      <c r="H66" s="52" t="s">
        <v>5822</v>
      </c>
      <c r="I66" s="52" t="s">
        <v>649</v>
      </c>
      <c r="J66" s="52" t="s">
        <v>5829</v>
      </c>
      <c r="K66" s="103">
        <f>_xlfn.XLOOKUP(E66,'All Products'!D:D,'All Products'!F:F,FALSE)</f>
        <v>30</v>
      </c>
      <c r="L66" s="103">
        <f>_xlfn.XLOOKUP(E66,'All Products'!D:D,'All Products'!G:G,FALSE)</f>
        <v>625</v>
      </c>
      <c r="M66" s="123">
        <f>_xlfn.XLOOKUP(E66,'All Products'!D:D,'All Products'!H:H)</f>
        <v>91.76</v>
      </c>
      <c r="N66" s="128">
        <f>ROUNDUP(M66*Order_Quote!$L$13,2)</f>
        <v>91.76</v>
      </c>
      <c r="O66" s="73"/>
      <c r="P66" s="76"/>
      <c r="Q66" s="104">
        <f t="shared" si="1"/>
        <v>0</v>
      </c>
      <c r="S66" s="215" t="str">
        <f>_xlfn.XLOOKUP(E66,'All Products'!D:D,'All Products'!I:I,FALSE)</f>
        <v>Within 4 Months</v>
      </c>
      <c r="T66" s="215" t="str">
        <f>_xlfn.XLOOKUP(E66,'All Products'!D:D,'All Products'!J:J,FALSE)</f>
        <v>Sourced</v>
      </c>
      <c r="U66" s="266">
        <f>_xlfn.XLOOKUP(E66,'All Products'!D:D,'All Products'!K:K,FALSE)</f>
        <v>49081403089</v>
      </c>
      <c r="V66" s="266" t="str">
        <f>_xlfn.XLOOKUP(E66,'All Products'!D:D,'All Products'!L:L,FALSE)</f>
        <v>-</v>
      </c>
      <c r="W66" s="266">
        <f>_xlfn.XLOOKUP(E66,'All Products'!D:D,'All Products'!M:M,FALSE)</f>
        <v>40049081403087</v>
      </c>
      <c r="X66" s="265">
        <f>_xlfn.XLOOKUP(E66,'All Products'!D:D,'All Products'!N:N,FALSE)</f>
        <v>30.89</v>
      </c>
      <c r="Y66" s="215" t="str">
        <f>_xlfn.XLOOKUP(E66,'All Products'!D:D,'All Products'!O:O,FALSE)</f>
        <v>-</v>
      </c>
      <c r="Z66" s="265">
        <f>_xlfn.XLOOKUP(E66,'All Products'!D:D,'All Products'!P:P,FALSE)</f>
        <v>30.89</v>
      </c>
      <c r="AA66" s="265">
        <f>_xlfn.XLOOKUP(E66,'All Products'!D:D,'All Products'!Q:Q,FALSE)</f>
        <v>2.88</v>
      </c>
    </row>
    <row r="67" spans="1:27" s="17" customFormat="1" ht="22.5" customHeight="1" thickBot="1">
      <c r="A67" s="101" t="str">
        <f>IF(O67&gt;0,COUNT($A$8:A66)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67" s="612"/>
      <c r="C67" s="613"/>
      <c r="D67" s="103" t="str">
        <f>_xlfn.XLOOKUP(E67,'All Products'!D:D,'All Products'!C:C,FALSE)</f>
        <v>S13-020</v>
      </c>
      <c r="E67" s="103">
        <v>100027257</v>
      </c>
      <c r="F67" s="53" t="str">
        <f>_xlfn.XLOOKUP(E67,'All Products'!D:D,'All Products'!E:E,FALSE)</f>
        <v>2 IN LINE SPNG CHK FOOT VLV 37059097</v>
      </c>
      <c r="G67" s="52" t="s">
        <v>5821</v>
      </c>
      <c r="H67" s="52" t="s">
        <v>5822</v>
      </c>
      <c r="I67" s="52" t="s">
        <v>649</v>
      </c>
      <c r="J67" s="52" t="s">
        <v>5829</v>
      </c>
      <c r="K67" s="103">
        <f>_xlfn.XLOOKUP(E67,'All Products'!D:D,'All Products'!F:F,FALSE)</f>
        <v>24</v>
      </c>
      <c r="L67" s="103">
        <f>_xlfn.XLOOKUP(E67,'All Products'!D:D,'All Products'!G:G,FALSE)</f>
        <v>429</v>
      </c>
      <c r="M67" s="123">
        <f>_xlfn.XLOOKUP(E67,'All Products'!D:D,'All Products'!H:H)</f>
        <v>92.37</v>
      </c>
      <c r="N67" s="128">
        <f>ROUNDUP(M67*Order_Quote!$L$13,2)</f>
        <v>92.37</v>
      </c>
      <c r="O67" s="73"/>
      <c r="P67" s="76"/>
      <c r="Q67" s="104">
        <f t="shared" ref="Q67:Q87" si="2">O67/K67</f>
        <v>0</v>
      </c>
      <c r="S67" s="215" t="str">
        <f>_xlfn.XLOOKUP(E67,'All Products'!D:D,'All Products'!I:I,FALSE)</f>
        <v>Within 4 Months</v>
      </c>
      <c r="T67" s="215" t="str">
        <f>_xlfn.XLOOKUP(E67,'All Products'!D:D,'All Products'!J:J,FALSE)</f>
        <v>Sourced</v>
      </c>
      <c r="U67" s="266">
        <f>_xlfn.XLOOKUP(E67,'All Products'!D:D,'All Products'!K:K,FALSE)</f>
        <v>49081403102</v>
      </c>
      <c r="V67" s="266" t="str">
        <f>_xlfn.XLOOKUP(E67,'All Products'!D:D,'All Products'!L:L,FALSE)</f>
        <v>-</v>
      </c>
      <c r="W67" s="266">
        <f>_xlfn.XLOOKUP(E67,'All Products'!D:D,'All Products'!M:M,FALSE)</f>
        <v>40049081403100</v>
      </c>
      <c r="X67" s="265">
        <f>_xlfn.XLOOKUP(E67,'All Products'!D:D,'All Products'!N:N,FALSE)</f>
        <v>39.25</v>
      </c>
      <c r="Y67" s="215" t="str">
        <f>_xlfn.XLOOKUP(E67,'All Products'!D:D,'All Products'!O:O,FALSE)</f>
        <v>-</v>
      </c>
      <c r="Z67" s="265">
        <f>_xlfn.XLOOKUP(E67,'All Products'!D:D,'All Products'!P:P,FALSE)</f>
        <v>39.25</v>
      </c>
      <c r="AA67" s="265">
        <f>_xlfn.XLOOKUP(E67,'All Products'!D:D,'All Products'!Q:Q,FALSE)</f>
        <v>3.36</v>
      </c>
    </row>
    <row r="68" spans="1:27" s="17" customFormat="1" ht="16.2" thickBot="1">
      <c r="A68" s="101" t="str">
        <f>IF(O68&gt;0,COUNT($A$8:A67)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68" s="501" t="s">
        <v>5847</v>
      </c>
      <c r="C68" s="151"/>
      <c r="D68" s="151"/>
      <c r="E68" s="459"/>
      <c r="F68" s="151"/>
      <c r="G68" s="468"/>
      <c r="H68" s="151"/>
      <c r="I68" s="472"/>
      <c r="J68" s="468"/>
      <c r="K68" s="477"/>
      <c r="L68" s="476"/>
      <c r="M68" s="476"/>
      <c r="N68" s="476"/>
      <c r="O68" s="476"/>
      <c r="P68" s="523"/>
      <c r="Q68" s="476"/>
      <c r="R68" s="523"/>
      <c r="S68" s="476"/>
      <c r="T68" s="476"/>
      <c r="U68" s="476"/>
      <c r="V68" s="476"/>
      <c r="W68" s="476"/>
      <c r="X68" s="476"/>
      <c r="Y68" s="476"/>
      <c r="Z68" s="476"/>
      <c r="AA68" s="476"/>
    </row>
    <row r="69" spans="1:27" s="17" customFormat="1" ht="45" customHeight="1">
      <c r="A69" s="101" t="str">
        <f>IF(O69&gt;0,COUNT($A$8:A68)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69" s="608"/>
      <c r="C69" s="609"/>
      <c r="D69" s="103" t="str">
        <f>_xlfn.XLOOKUP(E69,'All Products'!D:D,'All Products'!C:C,FALSE)</f>
        <v>S11-030</v>
      </c>
      <c r="E69" s="103">
        <v>100027247</v>
      </c>
      <c r="F69" s="53" t="str">
        <f>_xlfn.XLOOKUP(E69,'All Products'!D:D,'All Products'!E:E,FALSE)</f>
        <v>3 ECON SWING CHK VLV PVC 37059087</v>
      </c>
      <c r="G69" s="52" t="s">
        <v>5821</v>
      </c>
      <c r="H69" s="52" t="s">
        <v>5822</v>
      </c>
      <c r="I69" s="52" t="s">
        <v>649</v>
      </c>
      <c r="J69" s="52" t="s">
        <v>5829</v>
      </c>
      <c r="K69" s="103">
        <f>_xlfn.XLOOKUP(E69,'All Products'!D:D,'All Products'!F:F,FALSE)</f>
        <v>8</v>
      </c>
      <c r="L69" s="103">
        <f>_xlfn.XLOOKUP(E69,'All Products'!D:D,'All Products'!G:G,FALSE)</f>
        <v>150</v>
      </c>
      <c r="M69" s="123">
        <f>_xlfn.XLOOKUP(E69,'All Products'!D:D,'All Products'!H:H)</f>
        <v>237.85</v>
      </c>
      <c r="N69" s="128">
        <f>ROUNDUP(M69*Order_Quote!$L$13,2)</f>
        <v>237.85</v>
      </c>
      <c r="O69" s="73"/>
      <c r="P69" s="76"/>
      <c r="Q69" s="104">
        <f t="shared" si="2"/>
        <v>0</v>
      </c>
      <c r="S69" s="215" t="str">
        <f>_xlfn.XLOOKUP(E69,'All Products'!D:D,'All Products'!I:I,FALSE)</f>
        <v>In stock</v>
      </c>
      <c r="T69" s="215" t="str">
        <f>_xlfn.XLOOKUP(E69,'All Products'!D:D,'All Products'!J:J,FALSE)</f>
        <v>Sourced</v>
      </c>
      <c r="U69" s="266">
        <f>_xlfn.XLOOKUP(E69,'All Products'!D:D,'All Products'!K:K,FALSE)</f>
        <v>49081401146</v>
      </c>
      <c r="V69" s="266" t="str">
        <f>_xlfn.XLOOKUP(E69,'All Products'!D:D,'All Products'!L:L,FALSE)</f>
        <v>-</v>
      </c>
      <c r="W69" s="266">
        <f>_xlfn.XLOOKUP(E69,'All Products'!D:D,'All Products'!M:M,FALSE)</f>
        <v>40049081401144</v>
      </c>
      <c r="X69" s="265">
        <f>_xlfn.XLOOKUP(E69,'All Products'!D:D,'All Products'!N:N,FALSE)</f>
        <v>36.64</v>
      </c>
      <c r="Y69" s="215" t="str">
        <f>_xlfn.XLOOKUP(E69,'All Products'!D:D,'All Products'!O:O,FALSE)</f>
        <v>-</v>
      </c>
      <c r="Z69" s="265">
        <f>_xlfn.XLOOKUP(E69,'All Products'!D:D,'All Products'!P:P,FALSE)</f>
        <v>36.64</v>
      </c>
      <c r="AA69" s="265">
        <f>_xlfn.XLOOKUP(E69,'All Products'!D:D,'All Products'!Q:Q,FALSE)</f>
        <v>3.2</v>
      </c>
    </row>
    <row r="70" spans="1:27" s="17" customFormat="1" ht="45" customHeight="1" thickBot="1">
      <c r="A70" s="101" t="str">
        <f>IF(O70&gt;0,COUNT($A$8:A69)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70" s="612"/>
      <c r="C70" s="613"/>
      <c r="D70" s="103" t="str">
        <f>_xlfn.XLOOKUP(E70,'All Products'!D:D,'All Products'!C:C,FALSE)</f>
        <v>S11-040</v>
      </c>
      <c r="E70" s="103">
        <v>100027248</v>
      </c>
      <c r="F70" s="53" t="str">
        <f>_xlfn.XLOOKUP(E70,'All Products'!D:D,'All Products'!E:E,FALSE)</f>
        <v>4 ECON SWING CHK VLV PVC 37059088</v>
      </c>
      <c r="G70" s="52" t="s">
        <v>5821</v>
      </c>
      <c r="H70" s="52" t="s">
        <v>5822</v>
      </c>
      <c r="I70" s="52" t="s">
        <v>649</v>
      </c>
      <c r="J70" s="52" t="s">
        <v>5829</v>
      </c>
      <c r="K70" s="103">
        <f>_xlfn.XLOOKUP(E70,'All Products'!D:D,'All Products'!F:F,FALSE)</f>
        <v>6</v>
      </c>
      <c r="L70" s="103">
        <f>_xlfn.XLOOKUP(E70,'All Products'!D:D,'All Products'!G:G,FALSE)</f>
        <v>106</v>
      </c>
      <c r="M70" s="123">
        <f>_xlfn.XLOOKUP(E70,'All Products'!D:D,'All Products'!H:H)</f>
        <v>309.87</v>
      </c>
      <c r="N70" s="128">
        <f>ROUNDUP(M70*Order_Quote!$L$13,2)</f>
        <v>309.87</v>
      </c>
      <c r="O70" s="73"/>
      <c r="P70" s="76"/>
      <c r="Q70" s="104">
        <f t="shared" si="2"/>
        <v>0</v>
      </c>
      <c r="S70" s="215" t="str">
        <f>_xlfn.XLOOKUP(E70,'All Products'!D:D,'All Products'!I:I,FALSE)</f>
        <v>In stock</v>
      </c>
      <c r="T70" s="215" t="str">
        <f>_xlfn.XLOOKUP(E70,'All Products'!D:D,'All Products'!J:J,FALSE)</f>
        <v>Sourced</v>
      </c>
      <c r="U70" s="266">
        <f>_xlfn.XLOOKUP(E70,'All Products'!D:D,'All Products'!K:K,FALSE)</f>
        <v>49081401160</v>
      </c>
      <c r="V70" s="266" t="str">
        <f>_xlfn.XLOOKUP(E70,'All Products'!D:D,'All Products'!L:L,FALSE)</f>
        <v>-</v>
      </c>
      <c r="W70" s="266">
        <f>_xlfn.XLOOKUP(E70,'All Products'!D:D,'All Products'!M:M,FALSE)</f>
        <v>40049081401168</v>
      </c>
      <c r="X70" s="265">
        <f>_xlfn.XLOOKUP(E70,'All Products'!D:D,'All Products'!N:N,FALSE)</f>
        <v>36.380000000000003</v>
      </c>
      <c r="Y70" s="215" t="str">
        <f>_xlfn.XLOOKUP(E70,'All Products'!D:D,'All Products'!O:O,FALSE)</f>
        <v>-</v>
      </c>
      <c r="Z70" s="265">
        <f>_xlfn.XLOOKUP(E70,'All Products'!D:D,'All Products'!P:P,FALSE)</f>
        <v>36.380000000000003</v>
      </c>
      <c r="AA70" s="265">
        <f>_xlfn.XLOOKUP(E70,'All Products'!D:D,'All Products'!Q:Q,FALSE)</f>
        <v>3.4</v>
      </c>
    </row>
    <row r="71" spans="1:27" s="17" customFormat="1" ht="16.2" thickBot="1">
      <c r="A71" s="101" t="str">
        <f>IF(O71&gt;0,COUNT($A$8:A70)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71" s="501" t="s">
        <v>5843</v>
      </c>
      <c r="C71" s="151"/>
      <c r="D71" s="151"/>
      <c r="E71" s="459"/>
      <c r="F71" s="151"/>
      <c r="G71" s="468"/>
      <c r="H71" s="151"/>
      <c r="I71" s="472"/>
      <c r="J71" s="468"/>
      <c r="K71" s="477"/>
      <c r="L71" s="476"/>
      <c r="M71" s="476"/>
      <c r="N71" s="476"/>
      <c r="O71" s="476"/>
      <c r="P71" s="523"/>
      <c r="Q71" s="476"/>
      <c r="R71" s="523"/>
      <c r="S71" s="476"/>
      <c r="T71" s="476"/>
      <c r="U71" s="476"/>
      <c r="V71" s="476"/>
      <c r="W71" s="476"/>
      <c r="X71" s="476"/>
      <c r="Y71" s="476"/>
      <c r="Z71" s="476"/>
      <c r="AA71" s="476"/>
    </row>
    <row r="72" spans="1:27" s="17" customFormat="1">
      <c r="A72" s="101" t="str">
        <f>IF(O72&gt;0,COUNT($A$8:A71)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72" s="608"/>
      <c r="C72" s="609"/>
      <c r="D72" s="103" t="str">
        <f>_xlfn.XLOOKUP(E72,'All Products'!D:D,'All Products'!C:C,FALSE)</f>
        <v>T4-005</v>
      </c>
      <c r="E72" s="103">
        <v>100027293</v>
      </c>
      <c r="F72" s="53" t="str">
        <f>_xlfn.XLOOKUP(E72,'All Products'!D:D,'All Products'!E:E,FALSE)</f>
        <v>1/2 TT WHITE SFTY BLOCK SUBV 37059049</v>
      </c>
      <c r="G72" s="52" t="s">
        <v>5821</v>
      </c>
      <c r="H72" s="52" t="s">
        <v>5822</v>
      </c>
      <c r="I72" s="52" t="s">
        <v>649</v>
      </c>
      <c r="J72" s="52" t="s">
        <v>5829</v>
      </c>
      <c r="K72" s="103">
        <f>_xlfn.XLOOKUP(E72,'All Products'!D:D,'All Products'!F:F,FALSE)</f>
        <v>48</v>
      </c>
      <c r="L72" s="103">
        <f>_xlfn.XLOOKUP(E72,'All Products'!D:D,'All Products'!G:G,FALSE)</f>
        <v>3789</v>
      </c>
      <c r="M72" s="123">
        <f>_xlfn.XLOOKUP(E72,'All Products'!D:D,'All Products'!H:H)</f>
        <v>36.6</v>
      </c>
      <c r="N72" s="128">
        <f>ROUNDUP(M72*Order_Quote!$L$13,2)</f>
        <v>36.6</v>
      </c>
      <c r="O72" s="73"/>
      <c r="P72" s="76"/>
      <c r="Q72" s="104">
        <f t="shared" si="2"/>
        <v>0</v>
      </c>
      <c r="S72" s="215" t="str">
        <f>_xlfn.XLOOKUP(E72,'All Products'!D:D,'All Products'!I:I,FALSE)</f>
        <v>In stock</v>
      </c>
      <c r="T72" s="215" t="str">
        <f>_xlfn.XLOOKUP(E72,'All Products'!D:D,'All Products'!J:J,FALSE)</f>
        <v>Sourced</v>
      </c>
      <c r="U72" s="266">
        <f>_xlfn.XLOOKUP(E72,'All Products'!D:D,'All Products'!K:K,FALSE)</f>
        <v>49081357009</v>
      </c>
      <c r="V72" s="266" t="str">
        <f>_xlfn.XLOOKUP(E72,'All Products'!D:D,'All Products'!L:L,FALSE)</f>
        <v>-</v>
      </c>
      <c r="W72" s="266">
        <f>_xlfn.XLOOKUP(E72,'All Products'!D:D,'All Products'!M:M,FALSE)</f>
        <v>40049081357007</v>
      </c>
      <c r="X72" s="265">
        <f>_xlfn.XLOOKUP(E72,'All Products'!D:D,'All Products'!N:N,FALSE)</f>
        <v>15.99</v>
      </c>
      <c r="Y72" s="215" t="str">
        <f>_xlfn.XLOOKUP(E72,'All Products'!D:D,'All Products'!O:O,FALSE)</f>
        <v>-</v>
      </c>
      <c r="Z72" s="265">
        <f>_xlfn.XLOOKUP(E72,'All Products'!D:D,'All Products'!P:P,FALSE)</f>
        <v>15.99</v>
      </c>
      <c r="AA72" s="265">
        <f>_xlfn.XLOOKUP(E72,'All Products'!D:D,'All Products'!Q:Q,FALSE)</f>
        <v>0.76</v>
      </c>
    </row>
    <row r="73" spans="1:27" s="17" customFormat="1">
      <c r="A73" s="101" t="str">
        <f>IF(O73&gt;0,COUNT($A$8:A72)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73" s="610"/>
      <c r="C73" s="611"/>
      <c r="D73" s="103" t="str">
        <f>_xlfn.XLOOKUP(E73,'All Products'!D:D,'All Products'!C:C,FALSE)</f>
        <v>T4-007</v>
      </c>
      <c r="E73" s="103">
        <v>100027294</v>
      </c>
      <c r="F73" s="53" t="str">
        <f>_xlfn.XLOOKUP(E73,'All Products'!D:D,'All Products'!E:E,FALSE)</f>
        <v>3/4 TT WHITE SFTY BLOCK SUBV 37059050</v>
      </c>
      <c r="G73" s="52" t="s">
        <v>5821</v>
      </c>
      <c r="H73" s="52" t="s">
        <v>5822</v>
      </c>
      <c r="I73" s="52" t="s">
        <v>649</v>
      </c>
      <c r="J73" s="52" t="s">
        <v>5829</v>
      </c>
      <c r="K73" s="103">
        <f>_xlfn.XLOOKUP(E73,'All Products'!D:D,'All Products'!F:F,FALSE)</f>
        <v>36</v>
      </c>
      <c r="L73" s="103">
        <f>_xlfn.XLOOKUP(E73,'All Products'!D:D,'All Products'!G:G,FALSE)</f>
        <v>2182</v>
      </c>
      <c r="M73" s="123">
        <f>_xlfn.XLOOKUP(E73,'All Products'!D:D,'All Products'!H:H)</f>
        <v>43.77</v>
      </c>
      <c r="N73" s="128">
        <f>ROUNDUP(M73*Order_Quote!$L$13,2)</f>
        <v>43.77</v>
      </c>
      <c r="O73" s="73"/>
      <c r="P73" s="76"/>
      <c r="Q73" s="104">
        <f t="shared" si="2"/>
        <v>0</v>
      </c>
      <c r="S73" s="215" t="str">
        <f>_xlfn.XLOOKUP(E73,'All Products'!D:D,'All Products'!I:I,FALSE)</f>
        <v>Limited Stock</v>
      </c>
      <c r="T73" s="215" t="str">
        <f>_xlfn.XLOOKUP(E73,'All Products'!D:D,'All Products'!J:J,FALSE)</f>
        <v>Sourced</v>
      </c>
      <c r="U73" s="266">
        <f>_xlfn.XLOOKUP(E73,'All Products'!D:D,'All Products'!K:K,FALSE)</f>
        <v>49081357023</v>
      </c>
      <c r="V73" s="266" t="str">
        <f>_xlfn.XLOOKUP(E73,'All Products'!D:D,'All Products'!L:L,FALSE)</f>
        <v>-</v>
      </c>
      <c r="W73" s="266">
        <f>_xlfn.XLOOKUP(E73,'All Products'!D:D,'All Products'!M:M,FALSE)</f>
        <v>40049081357021</v>
      </c>
      <c r="X73" s="265">
        <f>_xlfn.XLOOKUP(E73,'All Products'!D:D,'All Products'!N:N,FALSE)</f>
        <v>19.61</v>
      </c>
      <c r="Y73" s="215" t="str">
        <f>_xlfn.XLOOKUP(E73,'All Products'!D:D,'All Products'!O:O,FALSE)</f>
        <v>-</v>
      </c>
      <c r="Z73" s="265">
        <f>_xlfn.XLOOKUP(E73,'All Products'!D:D,'All Products'!P:P,FALSE)</f>
        <v>19.61</v>
      </c>
      <c r="AA73" s="265">
        <f>_xlfn.XLOOKUP(E73,'All Products'!D:D,'All Products'!Q:Q,FALSE)</f>
        <v>0.99</v>
      </c>
    </row>
    <row r="74" spans="1:27" s="17" customFormat="1" ht="15" thickBot="1">
      <c r="A74" s="101" t="str">
        <f>IF(O74&gt;0,COUNT($A$8:A73)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74" s="610"/>
      <c r="C74" s="611"/>
      <c r="D74" s="103" t="str">
        <f>_xlfn.XLOOKUP(E74,'All Products'!D:D,'All Products'!C:C,FALSE)</f>
        <v>T4-012</v>
      </c>
      <c r="E74" s="103">
        <v>100027296</v>
      </c>
      <c r="F74" s="53" t="str">
        <f>_xlfn.XLOOKUP(E74,'All Products'!D:D,'All Products'!E:E,FALSE)</f>
        <v>1-1/4 TT WHITE SFTY BLOCK SUBV 37059052</v>
      </c>
      <c r="G74" s="52" t="s">
        <v>5821</v>
      </c>
      <c r="H74" s="52" t="s">
        <v>5822</v>
      </c>
      <c r="I74" s="52" t="s">
        <v>649</v>
      </c>
      <c r="J74" s="52" t="s">
        <v>5829</v>
      </c>
      <c r="K74" s="103">
        <f>_xlfn.XLOOKUP(E74,'All Products'!D:D,'All Products'!F:F,FALSE)</f>
        <v>24</v>
      </c>
      <c r="L74" s="103">
        <f>_xlfn.XLOOKUP(E74,'All Products'!D:D,'All Products'!G:G,FALSE)</f>
        <v>993</v>
      </c>
      <c r="M74" s="123">
        <f>_xlfn.XLOOKUP(E74,'All Products'!D:D,'All Products'!H:H)</f>
        <v>89.2</v>
      </c>
      <c r="N74" s="128">
        <f>ROUNDUP(M74*Order_Quote!$L$13,2)</f>
        <v>89.2</v>
      </c>
      <c r="O74" s="73"/>
      <c r="P74" s="76"/>
      <c r="Q74" s="104">
        <f t="shared" si="2"/>
        <v>0</v>
      </c>
      <c r="S74" s="215" t="str">
        <f>_xlfn.XLOOKUP(E74,'All Products'!D:D,'All Products'!I:I,FALSE)</f>
        <v>Within 4 Months</v>
      </c>
      <c r="T74" s="215" t="str">
        <f>_xlfn.XLOOKUP(E74,'All Products'!D:D,'All Products'!J:J,FALSE)</f>
        <v>Sourced</v>
      </c>
      <c r="U74" s="266">
        <f>_xlfn.XLOOKUP(E74,'All Products'!D:D,'All Products'!K:K,FALSE)</f>
        <v>49081357054</v>
      </c>
      <c r="V74" s="266" t="str">
        <f>_xlfn.XLOOKUP(E74,'All Products'!D:D,'All Products'!L:L,FALSE)</f>
        <v>-</v>
      </c>
      <c r="W74" s="266">
        <f>_xlfn.XLOOKUP(E74,'All Products'!D:D,'All Products'!M:M,FALSE)</f>
        <v>40049081357052</v>
      </c>
      <c r="X74" s="265">
        <f>_xlfn.XLOOKUP(E74,'All Products'!D:D,'All Products'!N:N,FALSE)</f>
        <v>29.98</v>
      </c>
      <c r="Y74" s="215" t="str">
        <f>_xlfn.XLOOKUP(E74,'All Products'!D:D,'All Products'!O:O,FALSE)</f>
        <v>-</v>
      </c>
      <c r="Z74" s="265">
        <f>_xlfn.XLOOKUP(E74,'All Products'!D:D,'All Products'!P:P,FALSE)</f>
        <v>29.98</v>
      </c>
      <c r="AA74" s="265">
        <f>_xlfn.XLOOKUP(E74,'All Products'!D:D,'All Products'!Q:Q,FALSE)</f>
        <v>1.45</v>
      </c>
    </row>
    <row r="75" spans="1:27" s="17" customFormat="1" ht="16.2" thickBot="1">
      <c r="A75" s="101" t="str">
        <f>IF(O75&gt;0,COUNT($A$8:A74)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75" s="501" t="s">
        <v>5844</v>
      </c>
      <c r="C75" s="151"/>
      <c r="D75" s="151"/>
      <c r="E75" s="459"/>
      <c r="F75" s="151"/>
      <c r="G75" s="468"/>
      <c r="H75" s="151"/>
      <c r="I75" s="472"/>
      <c r="J75" s="468"/>
      <c r="K75" s="477"/>
      <c r="L75" s="476"/>
      <c r="M75" s="476"/>
      <c r="N75" s="476"/>
      <c r="O75" s="476"/>
      <c r="P75" s="523"/>
      <c r="Q75" s="476"/>
      <c r="R75" s="523"/>
      <c r="S75" s="476"/>
      <c r="T75" s="476"/>
      <c r="U75" s="476"/>
      <c r="V75" s="476"/>
      <c r="W75" s="476"/>
      <c r="X75" s="476"/>
      <c r="Y75" s="476"/>
      <c r="Z75" s="476"/>
      <c r="AA75" s="476"/>
    </row>
    <row r="76" spans="1:27" s="17" customFormat="1" ht="20.399999999999999" customHeight="1">
      <c r="A76" s="101" t="str">
        <f>IF(O76&gt;0,COUNT($A$8:A75)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76" s="608"/>
      <c r="C76" s="609"/>
      <c r="D76" s="103" t="str">
        <f>_xlfn.XLOOKUP(E76,'All Products'!D:D,'All Products'!C:C,FALSE)</f>
        <v>S4-005</v>
      </c>
      <c r="E76" s="103">
        <v>100027258</v>
      </c>
      <c r="F76" s="53" t="str">
        <f>_xlfn.XLOOKUP(E76,'All Products'!D:D,'All Products'!E:E,FALSE)</f>
        <v>1/2 SS WHITE SFTY BLOCK SUBV 37059043</v>
      </c>
      <c r="G76" s="52" t="s">
        <v>5821</v>
      </c>
      <c r="H76" s="52" t="s">
        <v>5822</v>
      </c>
      <c r="I76" s="52" t="s">
        <v>649</v>
      </c>
      <c r="J76" s="52" t="s">
        <v>5829</v>
      </c>
      <c r="K76" s="103">
        <f>_xlfn.XLOOKUP(E76,'All Products'!D:D,'All Products'!F:F,FALSE)</f>
        <v>48</v>
      </c>
      <c r="L76" s="103">
        <f>_xlfn.XLOOKUP(E76,'All Products'!D:D,'All Products'!G:G,FALSE)</f>
        <v>3789</v>
      </c>
      <c r="M76" s="123">
        <f>_xlfn.XLOOKUP(E76,'All Products'!D:D,'All Products'!H:H)</f>
        <v>36.6</v>
      </c>
      <c r="N76" s="128">
        <f>ROUNDUP(M76*Order_Quote!$L$13,2)</f>
        <v>36.6</v>
      </c>
      <c r="O76" s="73"/>
      <c r="P76" s="76"/>
      <c r="Q76" s="104">
        <f t="shared" si="2"/>
        <v>0</v>
      </c>
      <c r="S76" s="215" t="str">
        <f>_xlfn.XLOOKUP(E76,'All Products'!D:D,'All Products'!I:I,FALSE)</f>
        <v>Within 4 Months</v>
      </c>
      <c r="T76" s="215" t="str">
        <f>_xlfn.XLOOKUP(E76,'All Products'!D:D,'All Products'!J:J,FALSE)</f>
        <v>Sourced</v>
      </c>
      <c r="U76" s="266">
        <f>_xlfn.XLOOKUP(E76,'All Products'!D:D,'All Products'!K:K,FALSE)</f>
        <v>49081356002</v>
      </c>
      <c r="V76" s="266" t="str">
        <f>_xlfn.XLOOKUP(E76,'All Products'!D:D,'All Products'!L:L,FALSE)</f>
        <v>-</v>
      </c>
      <c r="W76" s="266">
        <f>_xlfn.XLOOKUP(E76,'All Products'!D:D,'All Products'!M:M,FALSE)</f>
        <v>40049081356000</v>
      </c>
      <c r="X76" s="265">
        <f>_xlfn.XLOOKUP(E76,'All Products'!D:D,'All Products'!N:N,FALSE)</f>
        <v>15.99</v>
      </c>
      <c r="Y76" s="215" t="str">
        <f>_xlfn.XLOOKUP(E76,'All Products'!D:D,'All Products'!O:O,FALSE)</f>
        <v>-</v>
      </c>
      <c r="Z76" s="265">
        <f>_xlfn.XLOOKUP(E76,'All Products'!D:D,'All Products'!P:P,FALSE)</f>
        <v>15.99</v>
      </c>
      <c r="AA76" s="265">
        <f>_xlfn.XLOOKUP(E76,'All Products'!D:D,'All Products'!Q:Q,FALSE)</f>
        <v>0.76</v>
      </c>
    </row>
    <row r="77" spans="1:27" s="17" customFormat="1" ht="24" customHeight="1" thickBot="1">
      <c r="A77" s="101" t="str">
        <f>IF(O77&gt;0,COUNT($A$8:A76)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77" s="610"/>
      <c r="C77" s="611"/>
      <c r="D77" s="103" t="str">
        <f>_xlfn.XLOOKUP(E77,'All Products'!D:D,'All Products'!C:C,FALSE)</f>
        <v>S4-012</v>
      </c>
      <c r="E77" s="103">
        <v>100027261</v>
      </c>
      <c r="F77" s="53" t="str">
        <f>_xlfn.XLOOKUP(E77,'All Products'!D:D,'All Products'!E:E,FALSE)</f>
        <v>1-1/4 SS WHITE SFTY BLOCK SUBV 37059046</v>
      </c>
      <c r="G77" s="52" t="s">
        <v>5821</v>
      </c>
      <c r="H77" s="52" t="s">
        <v>5822</v>
      </c>
      <c r="I77" s="52" t="s">
        <v>649</v>
      </c>
      <c r="J77" s="52" t="s">
        <v>5829</v>
      </c>
      <c r="K77" s="103">
        <f>_xlfn.XLOOKUP(E77,'All Products'!D:D,'All Products'!F:F,FALSE)</f>
        <v>24</v>
      </c>
      <c r="L77" s="103">
        <f>_xlfn.XLOOKUP(E77,'All Products'!D:D,'All Products'!G:G,FALSE)</f>
        <v>993</v>
      </c>
      <c r="M77" s="123">
        <f>_xlfn.XLOOKUP(E77,'All Products'!D:D,'All Products'!H:H)</f>
        <v>89.2</v>
      </c>
      <c r="N77" s="128">
        <f>ROUNDUP(M77*Order_Quote!$L$13,2)</f>
        <v>89.2</v>
      </c>
      <c r="O77" s="73"/>
      <c r="P77" s="76"/>
      <c r="Q77" s="104">
        <f t="shared" si="2"/>
        <v>0</v>
      </c>
      <c r="S77" s="215" t="str">
        <f>_xlfn.XLOOKUP(E77,'All Products'!D:D,'All Products'!I:I,FALSE)</f>
        <v>Within 4 Months</v>
      </c>
      <c r="T77" s="215" t="str">
        <f>_xlfn.XLOOKUP(E77,'All Products'!D:D,'All Products'!J:J,FALSE)</f>
        <v>Sourced</v>
      </c>
      <c r="U77" s="266">
        <f>_xlfn.XLOOKUP(E77,'All Products'!D:D,'All Products'!K:K,FALSE)</f>
        <v>49081356057</v>
      </c>
      <c r="V77" s="266" t="str">
        <f>_xlfn.XLOOKUP(E77,'All Products'!D:D,'All Products'!L:L,FALSE)</f>
        <v>-</v>
      </c>
      <c r="W77" s="266">
        <f>_xlfn.XLOOKUP(E77,'All Products'!D:D,'All Products'!M:M,FALSE)</f>
        <v>40049081356055</v>
      </c>
      <c r="X77" s="265">
        <f>_xlfn.XLOOKUP(E77,'All Products'!D:D,'All Products'!N:N,FALSE)</f>
        <v>29.2</v>
      </c>
      <c r="Y77" s="215" t="str">
        <f>_xlfn.XLOOKUP(E77,'All Products'!D:D,'All Products'!O:O,FALSE)</f>
        <v>-</v>
      </c>
      <c r="Z77" s="265">
        <f>_xlfn.XLOOKUP(E77,'All Products'!D:D,'All Products'!P:P,FALSE)</f>
        <v>29.2</v>
      </c>
      <c r="AA77" s="265">
        <f>_xlfn.XLOOKUP(E77,'All Products'!D:D,'All Products'!Q:Q,FALSE)</f>
        <v>1.45</v>
      </c>
    </row>
    <row r="78" spans="1:27" s="17" customFormat="1" ht="16.2" thickBot="1">
      <c r="A78" s="101" t="str">
        <f>IF(O78&gt;0,COUNT($A$8:A77)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78" s="501" t="s">
        <v>5842</v>
      </c>
      <c r="C78" s="151"/>
      <c r="D78" s="151"/>
      <c r="E78" s="459"/>
      <c r="F78" s="151"/>
      <c r="G78" s="468"/>
      <c r="H78" s="151"/>
      <c r="I78" s="472"/>
      <c r="J78" s="468"/>
      <c r="K78" s="477"/>
      <c r="L78" s="476"/>
      <c r="M78" s="476"/>
      <c r="N78" s="476"/>
      <c r="O78" s="476"/>
      <c r="P78" s="523"/>
      <c r="Q78" s="476"/>
      <c r="R78" s="523"/>
      <c r="S78" s="476"/>
      <c r="T78" s="476"/>
      <c r="U78" s="476"/>
      <c r="V78" s="476"/>
      <c r="W78" s="476"/>
      <c r="X78" s="476"/>
      <c r="Y78" s="476"/>
      <c r="Z78" s="476"/>
      <c r="AA78" s="476"/>
    </row>
    <row r="79" spans="1:27" s="17" customFormat="1" ht="48" customHeight="1">
      <c r="A79" s="101" t="str">
        <f>IF(O79&gt;0,COUNT($A$8:A78)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79" s="608"/>
      <c r="C79" s="609"/>
      <c r="D79" s="103" t="str">
        <f>_xlfn.XLOOKUP(E79,'All Products'!D:D,'All Products'!C:C,FALSE)</f>
        <v>PS4-015</v>
      </c>
      <c r="E79" s="103">
        <v>100027223</v>
      </c>
      <c r="F79" s="53" t="str">
        <f>_xlfn.XLOOKUP(E79,'All Products'!D:D,'All Products'!E:E,FALSE)</f>
        <v>1-1/2 SS SGLE UN BALL VLV P&amp;S 37059037</v>
      </c>
      <c r="G79" s="52" t="s">
        <v>5821</v>
      </c>
      <c r="H79" s="52" t="s">
        <v>5825</v>
      </c>
      <c r="I79" s="52" t="s">
        <v>649</v>
      </c>
      <c r="J79" s="52" t="s">
        <v>5829</v>
      </c>
      <c r="K79" s="103">
        <f>_xlfn.XLOOKUP(E79,'All Products'!D:D,'All Products'!F:F,FALSE)</f>
        <v>48</v>
      </c>
      <c r="L79" s="103">
        <f>_xlfn.XLOOKUP(E79,'All Products'!D:D,'All Products'!G:G,FALSE)</f>
        <v>911</v>
      </c>
      <c r="M79" s="123">
        <f>_xlfn.XLOOKUP(E79,'All Products'!D:D,'All Products'!H:H)</f>
        <v>55.94</v>
      </c>
      <c r="N79" s="128">
        <f>ROUNDUP(M79*Order_Quote!$L$13,2)</f>
        <v>55.94</v>
      </c>
      <c r="O79" s="73"/>
      <c r="P79" s="76"/>
      <c r="Q79" s="104">
        <f t="shared" si="2"/>
        <v>0</v>
      </c>
      <c r="S79" s="215" t="str">
        <f>_xlfn.XLOOKUP(E79,'All Products'!D:D,'All Products'!I:I,FALSE)</f>
        <v>In stock</v>
      </c>
      <c r="T79" s="215" t="str">
        <f>_xlfn.XLOOKUP(E79,'All Products'!D:D,'All Products'!J:J,FALSE)</f>
        <v>Sourced</v>
      </c>
      <c r="U79" s="266">
        <f>_xlfn.XLOOKUP(E79,'All Products'!D:D,'All Products'!K:K,FALSE)</f>
        <v>49081356071</v>
      </c>
      <c r="V79" s="266" t="str">
        <f>_xlfn.XLOOKUP(E79,'All Products'!D:D,'All Products'!L:L,FALSE)</f>
        <v>-</v>
      </c>
      <c r="W79" s="266">
        <f>_xlfn.XLOOKUP(E79,'All Products'!D:D,'All Products'!M:M,FALSE)</f>
        <v>40049081356079</v>
      </c>
      <c r="X79" s="265">
        <f>_xlfn.XLOOKUP(E79,'All Products'!D:D,'All Products'!N:N,FALSE)</f>
        <v>53.79</v>
      </c>
      <c r="Y79" s="215" t="str">
        <f>_xlfn.XLOOKUP(E79,'All Products'!D:D,'All Products'!O:O,FALSE)</f>
        <v>-</v>
      </c>
      <c r="Z79" s="265">
        <f>_xlfn.XLOOKUP(E79,'All Products'!D:D,'All Products'!P:P,FALSE)</f>
        <v>53.79</v>
      </c>
      <c r="AA79" s="265">
        <f>_xlfn.XLOOKUP(E79,'All Products'!D:D,'All Products'!Q:Q,FALSE)</f>
        <v>3.16</v>
      </c>
    </row>
    <row r="80" spans="1:27" s="17" customFormat="1" ht="48" customHeight="1" thickBot="1">
      <c r="A80" s="101" t="str">
        <f>IF(O80&gt;0,COUNT($A$8:A79)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80" s="612"/>
      <c r="C80" s="613"/>
      <c r="D80" s="103" t="str">
        <f>_xlfn.XLOOKUP(E80,'All Products'!D:D,'All Products'!C:C,FALSE)</f>
        <v>PS4-020</v>
      </c>
      <c r="E80" s="103">
        <v>100027224</v>
      </c>
      <c r="F80" s="53" t="str">
        <f>_xlfn.XLOOKUP(E80,'All Products'!D:D,'All Products'!E:E,FALSE)</f>
        <v>2 SS SGLE UN BALL VLV P&amp;S 37059038</v>
      </c>
      <c r="G80" s="52" t="s">
        <v>5821</v>
      </c>
      <c r="H80" s="52" t="s">
        <v>5825</v>
      </c>
      <c r="I80" s="52" t="s">
        <v>649</v>
      </c>
      <c r="J80" s="52" t="s">
        <v>5829</v>
      </c>
      <c r="K80" s="103">
        <f>_xlfn.XLOOKUP(E80,'All Products'!D:D,'All Products'!F:F,FALSE)</f>
        <v>24</v>
      </c>
      <c r="L80" s="103">
        <f>_xlfn.XLOOKUP(E80,'All Products'!D:D,'All Products'!G:G,FALSE)</f>
        <v>503</v>
      </c>
      <c r="M80" s="123">
        <f>_xlfn.XLOOKUP(E80,'All Products'!D:D,'All Products'!H:H)</f>
        <v>76.39</v>
      </c>
      <c r="N80" s="128">
        <f>ROUNDUP(M80*Order_Quote!$L$13,2)</f>
        <v>76.39</v>
      </c>
      <c r="O80" s="73"/>
      <c r="P80" s="76"/>
      <c r="Q80" s="104">
        <f t="shared" si="2"/>
        <v>0</v>
      </c>
      <c r="S80" s="215" t="str">
        <f>_xlfn.XLOOKUP(E80,'All Products'!D:D,'All Products'!I:I,FALSE)</f>
        <v>In stock</v>
      </c>
      <c r="T80" s="215" t="str">
        <f>_xlfn.XLOOKUP(E80,'All Products'!D:D,'All Products'!J:J,FALSE)</f>
        <v>Sourced</v>
      </c>
      <c r="U80" s="266">
        <f>_xlfn.XLOOKUP(E80,'All Products'!D:D,'All Products'!K:K,FALSE)</f>
        <v>49081356095</v>
      </c>
      <c r="V80" s="266" t="str">
        <f>_xlfn.XLOOKUP(E80,'All Products'!D:D,'All Products'!L:L,FALSE)</f>
        <v>-</v>
      </c>
      <c r="W80" s="266">
        <f>_xlfn.XLOOKUP(E80,'All Products'!D:D,'All Products'!M:M,FALSE)</f>
        <v>40049081356093</v>
      </c>
      <c r="X80" s="265">
        <f>_xlfn.XLOOKUP(E80,'All Products'!D:D,'All Products'!N:N,FALSE)</f>
        <v>37.659999999999997</v>
      </c>
      <c r="Y80" s="215" t="str">
        <f>_xlfn.XLOOKUP(E80,'All Products'!D:D,'All Products'!O:O,FALSE)</f>
        <v>-</v>
      </c>
      <c r="Z80" s="265">
        <f>_xlfn.XLOOKUP(E80,'All Products'!D:D,'All Products'!P:P,FALSE)</f>
        <v>37.659999999999997</v>
      </c>
      <c r="AA80" s="265">
        <f>_xlfn.XLOOKUP(E80,'All Products'!D:D,'All Products'!Q:Q,FALSE)</f>
        <v>2.86</v>
      </c>
    </row>
    <row r="81" spans="1:27" s="17" customFormat="1" ht="16.2" thickBot="1">
      <c r="A81" s="101" t="str">
        <f>IF(O81&gt;0,COUNT($A$8:A80)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81" s="501" t="s">
        <v>5846</v>
      </c>
      <c r="C81" s="151"/>
      <c r="D81" s="151"/>
      <c r="E81" s="459"/>
      <c r="F81" s="151"/>
      <c r="G81" s="468"/>
      <c r="H81" s="151"/>
      <c r="I81" s="472"/>
      <c r="J81" s="468"/>
      <c r="K81" s="477"/>
      <c r="L81" s="476"/>
      <c r="M81" s="476"/>
      <c r="N81" s="476"/>
      <c r="O81" s="476"/>
      <c r="P81" s="523"/>
      <c r="Q81" s="476"/>
      <c r="R81" s="523"/>
      <c r="S81" s="476"/>
      <c r="T81" s="476"/>
      <c r="U81" s="476"/>
      <c r="V81" s="476"/>
      <c r="W81" s="476"/>
      <c r="X81" s="476"/>
      <c r="Y81" s="476"/>
      <c r="Z81" s="476"/>
      <c r="AA81" s="476"/>
    </row>
    <row r="82" spans="1:27" s="17" customFormat="1">
      <c r="A82" s="101" t="str">
        <f>IF(O82&gt;0,COUNT($A$8:A81)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82" s="682"/>
      <c r="C82" s="683"/>
      <c r="D82" s="103" t="str">
        <f>_xlfn.XLOOKUP(E82,'All Products'!D:D,'All Products'!C:C,FALSE)</f>
        <v>H10-020</v>
      </c>
      <c r="E82" s="103">
        <v>100027214</v>
      </c>
      <c r="F82" s="53" t="str">
        <f>_xlfn.XLOOKUP(E82,'All Products'!D:D,'All Products'!E:E,FALSE)</f>
        <v>2 BTRFLY VLV HNDL LVR PVC-EPDM 37059071</v>
      </c>
      <c r="G82" s="52" t="s">
        <v>5821</v>
      </c>
      <c r="H82" s="52" t="s">
        <v>5822</v>
      </c>
      <c r="I82" s="52" t="s">
        <v>649</v>
      </c>
      <c r="J82" s="52" t="s">
        <v>5829</v>
      </c>
      <c r="K82" s="103">
        <f>_xlfn.XLOOKUP(E82,'All Products'!D:D,'All Products'!F:F,FALSE)</f>
        <v>10</v>
      </c>
      <c r="L82" s="103">
        <f>_xlfn.XLOOKUP(E82,'All Products'!D:D,'All Products'!G:G,FALSE)</f>
        <v>113</v>
      </c>
      <c r="M82" s="123">
        <f>_xlfn.XLOOKUP(E82,'All Products'!D:D,'All Products'!H:H)</f>
        <v>481.71</v>
      </c>
      <c r="N82" s="128">
        <f>ROUNDUP(M82*Order_Quote!$L$13,2)</f>
        <v>481.71</v>
      </c>
      <c r="O82" s="73"/>
      <c r="P82" s="76"/>
      <c r="Q82" s="104">
        <f t="shared" si="2"/>
        <v>0</v>
      </c>
      <c r="S82" s="215" t="str">
        <f>_xlfn.XLOOKUP(E82,'All Products'!D:D,'All Products'!I:I,FALSE)</f>
        <v>In stock</v>
      </c>
      <c r="T82" s="215" t="str">
        <f>_xlfn.XLOOKUP(E82,'All Products'!D:D,'All Products'!J:J,FALSE)</f>
        <v>Sourced</v>
      </c>
      <c r="U82" s="266">
        <f>_xlfn.XLOOKUP(E82,'All Products'!D:D,'All Products'!K:K,FALSE)</f>
        <v>49081310004</v>
      </c>
      <c r="V82" s="266" t="str">
        <f>_xlfn.XLOOKUP(E82,'All Products'!D:D,'All Products'!L:L,FALSE)</f>
        <v>-</v>
      </c>
      <c r="W82" s="266">
        <f>_xlfn.XLOOKUP(E82,'All Products'!D:D,'All Products'!M:M,FALSE)</f>
        <v>40049081310002</v>
      </c>
      <c r="X82" s="265">
        <f>_xlfn.XLOOKUP(E82,'All Products'!D:D,'All Products'!N:N,FALSE)</f>
        <v>17.850000000000001</v>
      </c>
      <c r="Y82" s="215" t="str">
        <f>_xlfn.XLOOKUP(E82,'All Products'!D:D,'All Products'!O:O,FALSE)</f>
        <v>-</v>
      </c>
      <c r="Z82" s="265">
        <f>_xlfn.XLOOKUP(E82,'All Products'!D:D,'All Products'!P:P,FALSE)</f>
        <v>17.850000000000001</v>
      </c>
      <c r="AA82" s="265">
        <f>_xlfn.XLOOKUP(E82,'All Products'!D:D,'All Products'!Q:Q,FALSE)</f>
        <v>2.12</v>
      </c>
    </row>
    <row r="83" spans="1:27" s="17" customFormat="1">
      <c r="A83" s="101" t="str">
        <f>IF(O83&gt;0,COUNT($A$8:A82)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83" s="610"/>
      <c r="C83" s="611"/>
      <c r="D83" s="103" t="str">
        <f>_xlfn.XLOOKUP(E83,'All Products'!D:D,'All Products'!C:C,FALSE)</f>
        <v>H10-030</v>
      </c>
      <c r="E83" s="103">
        <v>100027216</v>
      </c>
      <c r="F83" s="53" t="str">
        <f>_xlfn.XLOOKUP(E83,'All Products'!D:D,'All Products'!E:E,FALSE)</f>
        <v>3 BTRFLY VLV HNDL LVR PVC-EPDM 37059073</v>
      </c>
      <c r="G83" s="52" t="s">
        <v>5821</v>
      </c>
      <c r="H83" s="52" t="s">
        <v>5822</v>
      </c>
      <c r="I83" s="52" t="s">
        <v>649</v>
      </c>
      <c r="J83" s="52" t="s">
        <v>5829</v>
      </c>
      <c r="K83" s="103">
        <f>_xlfn.XLOOKUP(E83,'All Products'!D:D,'All Products'!F:F,FALSE)</f>
        <v>4</v>
      </c>
      <c r="L83" s="103">
        <f>_xlfn.XLOOKUP(E83,'All Products'!D:D,'All Products'!G:G,FALSE)</f>
        <v>94</v>
      </c>
      <c r="M83" s="123">
        <f>_xlfn.XLOOKUP(E83,'All Products'!D:D,'All Products'!H:H)</f>
        <v>550.59</v>
      </c>
      <c r="N83" s="128">
        <f>ROUNDUP(M83*Order_Quote!$L$13,2)</f>
        <v>550.59</v>
      </c>
      <c r="O83" s="73"/>
      <c r="P83" s="76"/>
      <c r="Q83" s="104">
        <f t="shared" si="2"/>
        <v>0</v>
      </c>
      <c r="S83" s="215" t="str">
        <f>_xlfn.XLOOKUP(E83,'All Products'!D:D,'All Products'!I:I,FALSE)</f>
        <v>In stock</v>
      </c>
      <c r="T83" s="215" t="str">
        <f>_xlfn.XLOOKUP(E83,'All Products'!D:D,'All Products'!J:J,FALSE)</f>
        <v>Sourced</v>
      </c>
      <c r="U83" s="266">
        <f>_xlfn.XLOOKUP(E83,'All Products'!D:D,'All Products'!K:K,FALSE)</f>
        <v>49081310080</v>
      </c>
      <c r="V83" s="266" t="str">
        <f>_xlfn.XLOOKUP(E83,'All Products'!D:D,'All Products'!L:L,FALSE)</f>
        <v>-</v>
      </c>
      <c r="W83" s="266">
        <f>_xlfn.XLOOKUP(E83,'All Products'!D:D,'All Products'!M:M,FALSE)</f>
        <v>40049081310088</v>
      </c>
      <c r="X83" s="265">
        <f>_xlfn.XLOOKUP(E83,'All Products'!D:D,'All Products'!N:N,FALSE)</f>
        <v>22.16</v>
      </c>
      <c r="Y83" s="215" t="str">
        <f>_xlfn.XLOOKUP(E83,'All Products'!D:D,'All Products'!O:O,FALSE)</f>
        <v>-</v>
      </c>
      <c r="Z83" s="265">
        <f>_xlfn.XLOOKUP(E83,'All Products'!D:D,'All Products'!P:P,FALSE)</f>
        <v>22.16</v>
      </c>
      <c r="AA83" s="265">
        <f>_xlfn.XLOOKUP(E83,'All Products'!D:D,'All Products'!Q:Q,FALSE)</f>
        <v>2.5499999999999998</v>
      </c>
    </row>
    <row r="84" spans="1:27" s="17" customFormat="1">
      <c r="A84" s="101" t="str">
        <f>IF(O84&gt;0,COUNT($A$8:A83)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84" s="610"/>
      <c r="C84" s="611"/>
      <c r="D84" s="103" t="str">
        <f>_xlfn.XLOOKUP(E84,'All Products'!D:D,'All Products'!C:C,FALSE)</f>
        <v>H10-040</v>
      </c>
      <c r="E84" s="103">
        <v>100027217</v>
      </c>
      <c r="F84" s="53" t="str">
        <f>_xlfn.XLOOKUP(E84,'All Products'!D:D,'All Products'!E:E,FALSE)</f>
        <v>4 BTRFLY VLV HNDL LVR PVC-EPDM 37059074</v>
      </c>
      <c r="G84" s="52" t="s">
        <v>5821</v>
      </c>
      <c r="H84" s="52" t="s">
        <v>5822</v>
      </c>
      <c r="I84" s="52" t="s">
        <v>649</v>
      </c>
      <c r="J84" s="52" t="s">
        <v>5829</v>
      </c>
      <c r="K84" s="103">
        <f>_xlfn.XLOOKUP(E84,'All Products'!D:D,'All Products'!F:F,FALSE)</f>
        <v>4</v>
      </c>
      <c r="L84" s="103">
        <f>_xlfn.XLOOKUP(E84,'All Products'!D:D,'All Products'!G:G,FALSE)</f>
        <v>68</v>
      </c>
      <c r="M84" s="123">
        <f>_xlfn.XLOOKUP(E84,'All Products'!D:D,'All Products'!H:H)</f>
        <v>624.37</v>
      </c>
      <c r="N84" s="128">
        <f>ROUNDUP(M84*Order_Quote!$L$13,2)</f>
        <v>624.37</v>
      </c>
      <c r="O84" s="73"/>
      <c r="P84" s="76"/>
      <c r="Q84" s="104">
        <f t="shared" si="2"/>
        <v>0</v>
      </c>
      <c r="S84" s="215" t="str">
        <f>_xlfn.XLOOKUP(E84,'All Products'!D:D,'All Products'!I:I,FALSE)</f>
        <v>In stock</v>
      </c>
      <c r="T84" s="215" t="str">
        <f>_xlfn.XLOOKUP(E84,'All Products'!D:D,'All Products'!J:J,FALSE)</f>
        <v>Sourced</v>
      </c>
      <c r="U84" s="266">
        <f>_xlfn.XLOOKUP(E84,'All Products'!D:D,'All Products'!K:K,FALSE)</f>
        <v>49081310127</v>
      </c>
      <c r="V84" s="266" t="str">
        <f>_xlfn.XLOOKUP(E84,'All Products'!D:D,'All Products'!L:L,FALSE)</f>
        <v>-</v>
      </c>
      <c r="W84" s="266">
        <f>_xlfn.XLOOKUP(E84,'All Products'!D:D,'All Products'!M:M,FALSE)</f>
        <v>40049081310125</v>
      </c>
      <c r="X84" s="265">
        <f>_xlfn.XLOOKUP(E84,'All Products'!D:D,'All Products'!N:N,FALSE)</f>
        <v>31.89</v>
      </c>
      <c r="Y84" s="215" t="str">
        <f>_xlfn.XLOOKUP(E84,'All Products'!D:D,'All Products'!O:O,FALSE)</f>
        <v>-</v>
      </c>
      <c r="Z84" s="265">
        <f>_xlfn.XLOOKUP(E84,'All Products'!D:D,'All Products'!P:P,FALSE)</f>
        <v>31.89</v>
      </c>
      <c r="AA84" s="265">
        <f>_xlfn.XLOOKUP(E84,'All Products'!D:D,'All Products'!Q:Q,FALSE)</f>
        <v>3.52</v>
      </c>
    </row>
    <row r="85" spans="1:27" s="17" customFormat="1">
      <c r="A85" s="101" t="str">
        <f>IF(O85&gt;0,COUNT($A$8:A84)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85" s="610"/>
      <c r="C85" s="611"/>
      <c r="D85" s="103" t="str">
        <f>_xlfn.XLOOKUP(E85,'All Products'!D:D,'All Products'!C:C,FALSE)</f>
        <v>H10-060</v>
      </c>
      <c r="E85" s="103">
        <v>100027219</v>
      </c>
      <c r="F85" s="53" t="str">
        <f>_xlfn.XLOOKUP(E85,'All Products'!D:D,'All Products'!E:E,FALSE)</f>
        <v>6BTRFLY VLV HNDL LVR PVC-EPDM 37059075</v>
      </c>
      <c r="G85" s="52" t="s">
        <v>5821</v>
      </c>
      <c r="H85" s="52" t="s">
        <v>5822</v>
      </c>
      <c r="I85" s="52" t="s">
        <v>649</v>
      </c>
      <c r="J85" s="52" t="s">
        <v>5829</v>
      </c>
      <c r="K85" s="103">
        <f>_xlfn.XLOOKUP(E85,'All Products'!D:D,'All Products'!F:F,FALSE)</f>
        <v>4</v>
      </c>
      <c r="L85" s="103">
        <f>_xlfn.XLOOKUP(E85,'All Products'!D:D,'All Products'!G:G,FALSE)</f>
        <v>45</v>
      </c>
      <c r="M85" s="123">
        <f>_xlfn.XLOOKUP(E85,'All Products'!D:D,'All Products'!H:H)</f>
        <v>994.24</v>
      </c>
      <c r="N85" s="128">
        <f>ROUNDUP(M85*Order_Quote!$L$13,2)</f>
        <v>994.24</v>
      </c>
      <c r="O85" s="73"/>
      <c r="P85" s="76"/>
      <c r="Q85" s="104">
        <f t="shared" si="2"/>
        <v>0</v>
      </c>
      <c r="S85" s="215" t="str">
        <f>_xlfn.XLOOKUP(E85,'All Products'!D:D,'All Products'!I:I,FALSE)</f>
        <v>Limited Stock</v>
      </c>
      <c r="T85" s="215" t="str">
        <f>_xlfn.XLOOKUP(E85,'All Products'!D:D,'All Products'!J:J,FALSE)</f>
        <v>Sourced</v>
      </c>
      <c r="U85" s="266">
        <f>_xlfn.XLOOKUP(E85,'All Products'!D:D,'All Products'!K:K,FALSE)</f>
        <v>49081310202</v>
      </c>
      <c r="V85" s="266" t="str">
        <f>_xlfn.XLOOKUP(E85,'All Products'!D:D,'All Products'!L:L,FALSE)</f>
        <v>-</v>
      </c>
      <c r="W85" s="266">
        <f>_xlfn.XLOOKUP(E85,'All Products'!D:D,'All Products'!M:M,FALSE)</f>
        <v>40049081310200</v>
      </c>
      <c r="X85" s="265">
        <f>_xlfn.XLOOKUP(E85,'All Products'!D:D,'All Products'!N:N,FALSE)</f>
        <v>60.53</v>
      </c>
      <c r="Y85" s="215" t="str">
        <f>_xlfn.XLOOKUP(E85,'All Products'!D:D,'All Products'!O:O,FALSE)</f>
        <v>-</v>
      </c>
      <c r="Z85" s="265">
        <f>_xlfn.XLOOKUP(E85,'All Products'!D:D,'All Products'!P:P,FALSE)</f>
        <v>60.53</v>
      </c>
      <c r="AA85" s="265">
        <f>_xlfn.XLOOKUP(E85,'All Products'!D:D,'All Products'!Q:Q,FALSE)</f>
        <v>5.39</v>
      </c>
    </row>
    <row r="86" spans="1:27" s="17" customFormat="1">
      <c r="A86" s="101" t="str">
        <f>IF(O86&gt;0,COUNT($A$8:A85)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86" s="672"/>
      <c r="C86" s="673"/>
      <c r="D86" s="103" t="str">
        <f>_xlfn.XLOOKUP(E86,'All Products'!D:D,'All Products'!C:C,FALSE)</f>
        <v>VH10-020</v>
      </c>
      <c r="E86" s="103">
        <v>100027302</v>
      </c>
      <c r="F86" s="53" t="str">
        <f>_xlfn.XLOOKUP(E86,'All Products'!D:D,'All Products'!E:E,FALSE)</f>
        <v>2 BTRFLY VLV LVR HNDL VITON 37059077</v>
      </c>
      <c r="G86" s="52" t="s">
        <v>5821</v>
      </c>
      <c r="H86" s="52" t="s">
        <v>5826</v>
      </c>
      <c r="I86" s="52" t="s">
        <v>649</v>
      </c>
      <c r="J86" s="52" t="s">
        <v>5829</v>
      </c>
      <c r="K86" s="103">
        <f>_xlfn.XLOOKUP(E86,'All Products'!D:D,'All Products'!F:F,FALSE)</f>
        <v>4</v>
      </c>
      <c r="L86" s="103">
        <f>_xlfn.XLOOKUP(E86,'All Products'!D:D,'All Products'!G:G,FALSE)</f>
        <v>113</v>
      </c>
      <c r="M86" s="123">
        <f>_xlfn.XLOOKUP(E86,'All Products'!D:D,'All Products'!H:H)</f>
        <v>754.99</v>
      </c>
      <c r="N86" s="128">
        <f>ROUNDUP(M86*Order_Quote!$L$13,2)</f>
        <v>754.99</v>
      </c>
      <c r="O86" s="73"/>
      <c r="P86" s="76"/>
      <c r="Q86" s="104">
        <f t="shared" si="2"/>
        <v>0</v>
      </c>
      <c r="S86" s="215" t="str">
        <f>_xlfn.XLOOKUP(E86,'All Products'!D:D,'All Products'!I:I,FALSE)</f>
        <v>Limited Stock</v>
      </c>
      <c r="T86" s="215" t="str">
        <f>_xlfn.XLOOKUP(E86,'All Products'!D:D,'All Products'!J:J,FALSE)</f>
        <v>Sourced</v>
      </c>
      <c r="U86" s="266">
        <f>_xlfn.XLOOKUP(E86,'All Products'!D:D,'All Products'!K:K,FALSE)</f>
        <v>49081310028</v>
      </c>
      <c r="V86" s="266" t="str">
        <f>_xlfn.XLOOKUP(E86,'All Products'!D:D,'All Products'!L:L,FALSE)</f>
        <v>-</v>
      </c>
      <c r="W86" s="266">
        <f>_xlfn.XLOOKUP(E86,'All Products'!D:D,'All Products'!M:M,FALSE)</f>
        <v>40049081310026</v>
      </c>
      <c r="X86" s="265">
        <f>_xlfn.XLOOKUP(E86,'All Products'!D:D,'All Products'!N:N,FALSE)</f>
        <v>18.260000000000002</v>
      </c>
      <c r="Y86" s="215" t="str">
        <f>_xlfn.XLOOKUP(E86,'All Products'!D:D,'All Products'!O:O,FALSE)</f>
        <v>-</v>
      </c>
      <c r="Z86" s="265">
        <f>_xlfn.XLOOKUP(E86,'All Products'!D:D,'All Products'!P:P,FALSE)</f>
        <v>18.260000000000002</v>
      </c>
      <c r="AA86" s="265">
        <f>_xlfn.XLOOKUP(E86,'All Products'!D:D,'All Products'!Q:Q,FALSE)</f>
        <v>2.12</v>
      </c>
    </row>
    <row r="87" spans="1:27" s="17" customFormat="1" ht="15" thickBot="1">
      <c r="A87" s="101" t="str">
        <f>IF(O87&gt;0,COUNT($A$8:A86)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87" s="684"/>
      <c r="C87" s="685"/>
      <c r="D87" s="103" t="str">
        <f>_xlfn.XLOOKUP(E87,'All Products'!D:D,'All Products'!C:C,FALSE)</f>
        <v>VH10-060</v>
      </c>
      <c r="E87" s="103">
        <v>100027305</v>
      </c>
      <c r="F87" s="53" t="str">
        <f>_xlfn.XLOOKUP(E87,'All Products'!D:D,'All Products'!E:E,FALSE)</f>
        <v>6 BTRFLY VLV LVR HNDL VITON 37059080</v>
      </c>
      <c r="G87" s="52" t="s">
        <v>5821</v>
      </c>
      <c r="H87" s="52" t="s">
        <v>5826</v>
      </c>
      <c r="I87" s="52" t="s">
        <v>649</v>
      </c>
      <c r="J87" s="52" t="s">
        <v>5829</v>
      </c>
      <c r="K87" s="103">
        <f>_xlfn.XLOOKUP(E87,'All Products'!D:D,'All Products'!F:F,FALSE)</f>
        <v>4</v>
      </c>
      <c r="L87" s="103">
        <f>_xlfn.XLOOKUP(E87,'All Products'!D:D,'All Products'!G:G,FALSE)</f>
        <v>45</v>
      </c>
      <c r="M87" s="123">
        <f>_xlfn.XLOOKUP(E87,'All Products'!D:D,'All Products'!H:H)</f>
        <v>1746.87</v>
      </c>
      <c r="N87" s="128">
        <f>ROUNDUP(M87*Order_Quote!$L$13,2)</f>
        <v>1746.87</v>
      </c>
      <c r="O87" s="73"/>
      <c r="P87" s="76"/>
      <c r="Q87" s="104">
        <f t="shared" si="2"/>
        <v>0</v>
      </c>
      <c r="S87" s="215" t="str">
        <f>_xlfn.XLOOKUP(E87,'All Products'!D:D,'All Products'!I:I,FALSE)</f>
        <v>Limited Stock</v>
      </c>
      <c r="T87" s="215" t="str">
        <f>_xlfn.XLOOKUP(E87,'All Products'!D:D,'All Products'!J:J,FALSE)</f>
        <v>Sourced</v>
      </c>
      <c r="U87" s="266">
        <f>_xlfn.XLOOKUP(E87,'All Products'!D:D,'All Products'!K:K,FALSE)</f>
        <v>49081310226</v>
      </c>
      <c r="V87" s="266" t="str">
        <f>_xlfn.XLOOKUP(E87,'All Products'!D:D,'All Products'!L:L,FALSE)</f>
        <v>-</v>
      </c>
      <c r="W87" s="266">
        <f>_xlfn.XLOOKUP(E87,'All Products'!D:D,'All Products'!M:M,FALSE)</f>
        <v>40049081310224</v>
      </c>
      <c r="X87" s="265">
        <f>_xlfn.XLOOKUP(E87,'All Products'!D:D,'All Products'!N:N,FALSE)</f>
        <v>63.54</v>
      </c>
      <c r="Y87" s="215" t="str">
        <f>_xlfn.XLOOKUP(E87,'All Products'!D:D,'All Products'!O:O,FALSE)</f>
        <v>-</v>
      </c>
      <c r="Z87" s="265">
        <f>_xlfn.XLOOKUP(E87,'All Products'!D:D,'All Products'!P:P,FALSE)</f>
        <v>63.54</v>
      </c>
      <c r="AA87" s="265">
        <f>_xlfn.XLOOKUP(E87,'All Products'!D:D,'All Products'!Q:Q,FALSE)</f>
        <v>5.39</v>
      </c>
    </row>
    <row r="88" spans="1:27" s="17" customFormat="1" ht="16.2" thickBot="1">
      <c r="A88" s="101" t="str">
        <f>IF(O88&gt;0,COUNT($A$8:A87)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88" s="501" t="s">
        <v>5848</v>
      </c>
      <c r="C88" s="151"/>
      <c r="D88" s="151"/>
      <c r="E88" s="459"/>
      <c r="F88" s="151"/>
      <c r="G88" s="468"/>
      <c r="H88" s="151"/>
      <c r="I88" s="472"/>
      <c r="J88" s="468"/>
      <c r="K88" s="477"/>
      <c r="L88" s="476"/>
      <c r="M88" s="476"/>
      <c r="N88" s="476"/>
      <c r="O88" s="476"/>
      <c r="P88" s="523"/>
      <c r="Q88" s="476"/>
      <c r="R88" s="523"/>
      <c r="S88" s="476"/>
      <c r="T88" s="476"/>
      <c r="U88" s="476"/>
      <c r="V88" s="476"/>
      <c r="W88" s="476"/>
      <c r="X88" s="476"/>
      <c r="Y88" s="476"/>
      <c r="Z88" s="476"/>
      <c r="AA88" s="476"/>
    </row>
    <row r="89" spans="1:27" s="17" customFormat="1">
      <c r="A89" s="101" t="str">
        <f>IF(O89&gt;0,COUNT($A$8:A88)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89" s="610"/>
      <c r="C89" s="611"/>
      <c r="D89" s="103" t="str">
        <f>_xlfn.XLOOKUP(E89,'All Products'!D:D,'All Products'!C:C,FALSE)</f>
        <v>H1-10</v>
      </c>
      <c r="E89" s="103">
        <v>100028578</v>
      </c>
      <c r="F89" s="53" t="str">
        <f>_xlfn.XLOOKUP(E89,'All Products'!D:D,'All Products'!E:E,FALSE)</f>
        <v>1 S1-T1 REPL HANDLES 37059132</v>
      </c>
      <c r="G89" s="52" t="s">
        <v>5827</v>
      </c>
      <c r="H89" s="52" t="s">
        <v>649</v>
      </c>
      <c r="I89" s="52" t="s">
        <v>649</v>
      </c>
      <c r="J89" s="52" t="s">
        <v>5829</v>
      </c>
      <c r="K89" s="103">
        <f>_xlfn.XLOOKUP(E89,'All Products'!D:D,'All Products'!F:F,FALSE)</f>
        <v>1</v>
      </c>
      <c r="L89" s="103">
        <f>_xlfn.XLOOKUP(E89,'All Products'!D:D,'All Products'!G:G,FALSE)</f>
        <v>0</v>
      </c>
      <c r="M89" s="123">
        <f>_xlfn.XLOOKUP(E89,'All Products'!D:D,'All Products'!H:H)</f>
        <v>4.51</v>
      </c>
      <c r="N89" s="128">
        <f>ROUNDUP(M89*Order_Quote!$L$13,2)</f>
        <v>4.51</v>
      </c>
      <c r="O89" s="73"/>
      <c r="P89" s="76"/>
      <c r="Q89" s="104">
        <f t="shared" ref="Q89:Q91" si="3">O89/K89</f>
        <v>0</v>
      </c>
      <c r="S89" s="215" t="str">
        <f>_xlfn.XLOOKUP(E89,'All Products'!D:D,'All Products'!I:I,FALSE)</f>
        <v>Within 4 Months</v>
      </c>
      <c r="T89" s="215" t="str">
        <f>_xlfn.XLOOKUP(E89,'All Products'!D:D,'All Products'!J:J,FALSE)</f>
        <v>Sourced</v>
      </c>
      <c r="U89" s="266" t="str">
        <f>_xlfn.XLOOKUP(E89,'All Products'!D:D,'All Products'!K:K,FALSE)</f>
        <v>-</v>
      </c>
      <c r="V89" s="266" t="str">
        <f>_xlfn.XLOOKUP(E89,'All Products'!D:D,'All Products'!L:L,FALSE)</f>
        <v>-</v>
      </c>
      <c r="W89" s="266" t="str">
        <f>_xlfn.XLOOKUP(E89,'All Products'!D:D,'All Products'!M:M,FALSE)</f>
        <v>-</v>
      </c>
      <c r="X89" s="265">
        <f>_xlfn.XLOOKUP(E89,'All Products'!D:D,'All Products'!N:N,FALSE)</f>
        <v>0.06</v>
      </c>
      <c r="Y89" s="215" t="str">
        <f>_xlfn.XLOOKUP(E89,'All Products'!D:D,'All Products'!O:O,FALSE)</f>
        <v>-</v>
      </c>
      <c r="Z89" s="265">
        <f>_xlfn.XLOOKUP(E89,'All Products'!D:D,'All Products'!P:P,FALSE)</f>
        <v>0.06</v>
      </c>
      <c r="AA89" s="265" t="str">
        <f>_xlfn.XLOOKUP(E89,'All Products'!D:D,'All Products'!Q:Q,FALSE)</f>
        <v>-</v>
      </c>
    </row>
    <row r="90" spans="1:27" s="17" customFormat="1">
      <c r="A90" s="101" t="str">
        <f>IF(O90&gt;0,COUNT($A$8:A89)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90" s="610"/>
      <c r="C90" s="611"/>
      <c r="D90" s="103" t="str">
        <f>_xlfn.XLOOKUP(E90,'All Products'!D:D,'All Products'!C:C,FALSE)</f>
        <v>H1-20</v>
      </c>
      <c r="E90" s="103">
        <v>100028581</v>
      </c>
      <c r="F90" s="53" t="str">
        <f>_xlfn.XLOOKUP(E90,'All Products'!D:D,'All Products'!E:E,FALSE)</f>
        <v>2 S1-T1 REPL HANDLES 37059135</v>
      </c>
      <c r="G90" s="52" t="s">
        <v>5827</v>
      </c>
      <c r="H90" s="52" t="s">
        <v>649</v>
      </c>
      <c r="I90" s="52" t="s">
        <v>649</v>
      </c>
      <c r="J90" s="52" t="s">
        <v>5829</v>
      </c>
      <c r="K90" s="103">
        <f>_xlfn.XLOOKUP(E90,'All Products'!D:D,'All Products'!F:F,FALSE)</f>
        <v>10</v>
      </c>
      <c r="L90" s="103">
        <f>_xlfn.XLOOKUP(E90,'All Products'!D:D,'All Products'!G:G,FALSE)</f>
        <v>0</v>
      </c>
      <c r="M90" s="123">
        <f>_xlfn.XLOOKUP(E90,'All Products'!D:D,'All Products'!H:H)</f>
        <v>8.0500000000000007</v>
      </c>
      <c r="N90" s="128">
        <f>ROUNDUP(M90*Order_Quote!$L$13,2)</f>
        <v>8.0500000000000007</v>
      </c>
      <c r="O90" s="73"/>
      <c r="P90" s="76"/>
      <c r="Q90" s="104">
        <f t="shared" si="3"/>
        <v>0</v>
      </c>
      <c r="S90" s="215" t="str">
        <f>_xlfn.XLOOKUP(E90,'All Products'!D:D,'All Products'!I:I,FALSE)</f>
        <v>Within 4 Months</v>
      </c>
      <c r="T90" s="215" t="str">
        <f>_xlfn.XLOOKUP(E90,'All Products'!D:D,'All Products'!J:J,FALSE)</f>
        <v>Sourced</v>
      </c>
      <c r="U90" s="266" t="str">
        <f>_xlfn.XLOOKUP(E90,'All Products'!D:D,'All Products'!K:K,FALSE)</f>
        <v>-</v>
      </c>
      <c r="V90" s="266" t="str">
        <f>_xlfn.XLOOKUP(E90,'All Products'!D:D,'All Products'!L:L,FALSE)</f>
        <v>-</v>
      </c>
      <c r="W90" s="266" t="str">
        <f>_xlfn.XLOOKUP(E90,'All Products'!D:D,'All Products'!M:M,FALSE)</f>
        <v>-</v>
      </c>
      <c r="X90" s="265">
        <f>_xlfn.XLOOKUP(E90,'All Products'!D:D,'All Products'!N:N,FALSE)</f>
        <v>0.16</v>
      </c>
      <c r="Y90" s="215" t="str">
        <f>_xlfn.XLOOKUP(E90,'All Products'!D:D,'All Products'!O:O,FALSE)</f>
        <v>-</v>
      </c>
      <c r="Z90" s="265">
        <f>_xlfn.XLOOKUP(E90,'All Products'!D:D,'All Products'!P:P,FALSE)</f>
        <v>0.16</v>
      </c>
      <c r="AA90" s="265" t="str">
        <f>_xlfn.XLOOKUP(E90,'All Products'!D:D,'All Products'!Q:Q,FALSE)</f>
        <v>-</v>
      </c>
    </row>
    <row r="91" spans="1:27" s="17" customFormat="1" ht="31.95" customHeight="1">
      <c r="A91" s="101" t="str">
        <f>IF(O91&gt;0,COUNT($A$8:A90)
+COUNT('DWV PVC'!$A$9:$A$316)
+COUNT('DWV ABS'!$A$8:$A$116)
+COUNT('PVC SCH40'!$A$8:$A$424)
+COUNT('PVC SCH40 LD'!$A$8:$A$21)
+COUNT('Pool &amp; SPA Sweep Elbows'!$A$8:$A$11)
+COUNT('Pool &amp; SPA Pipe Extender'!$A$8:$A$10)
+COUNT('PVC SCH80'!$A$8:$A$249)
+COUNT('PVC SCH80 Flange'!$A$8:$A$48)
+COUNT('PVC SCH80 LD Flange'!$A$8:$A$16)
+COUNT(CPVC!$A$9:$A$104)
+COUNT(InsertFittings!$A$9:$A$184)+1,"")</f>
        <v/>
      </c>
      <c r="B91" s="612"/>
      <c r="C91" s="613"/>
      <c r="D91" s="103" t="str">
        <f>_xlfn.XLOOKUP(E91,'All Products'!D:D,'All Products'!C:C,FALSE)</f>
        <v>H10-25</v>
      </c>
      <c r="E91" s="103">
        <v>100028571</v>
      </c>
      <c r="F91" s="53" t="str">
        <f>_xlfn.XLOOKUP(E91,'All Products'!D:D,'All Products'!E:E,FALSE)</f>
        <v>2-1/2 BTRFLY VLV REPL HANDLES ONLY 37059140</v>
      </c>
      <c r="G91" s="52" t="s">
        <v>5827</v>
      </c>
      <c r="H91" s="52" t="s">
        <v>649</v>
      </c>
      <c r="I91" s="52" t="s">
        <v>649</v>
      </c>
      <c r="J91" s="52" t="s">
        <v>5829</v>
      </c>
      <c r="K91" s="103">
        <f>_xlfn.XLOOKUP(E91,'All Products'!D:D,'All Products'!F:F,FALSE)</f>
        <v>1</v>
      </c>
      <c r="L91" s="103">
        <f>_xlfn.XLOOKUP(E91,'All Products'!D:D,'All Products'!G:G,FALSE)</f>
        <v>0</v>
      </c>
      <c r="M91" s="123">
        <f>_xlfn.XLOOKUP(E91,'All Products'!D:D,'All Products'!H:H)</f>
        <v>76.56</v>
      </c>
      <c r="N91" s="128">
        <f>ROUNDUP(M91*Order_Quote!$L$13,2)</f>
        <v>76.56</v>
      </c>
      <c r="O91" s="73"/>
      <c r="P91" s="76"/>
      <c r="Q91" s="104">
        <f t="shared" si="3"/>
        <v>0</v>
      </c>
      <c r="S91" s="215" t="str">
        <f>_xlfn.XLOOKUP(E91,'All Products'!D:D,'All Products'!I:I,FALSE)</f>
        <v>Within 4 Months</v>
      </c>
      <c r="T91" s="215" t="str">
        <f>_xlfn.XLOOKUP(E91,'All Products'!D:D,'All Products'!J:J,FALSE)</f>
        <v>Sourced</v>
      </c>
      <c r="U91" s="266" t="str">
        <f>_xlfn.XLOOKUP(E91,'All Products'!D:D,'All Products'!K:K,FALSE)</f>
        <v>-</v>
      </c>
      <c r="V91" s="266" t="str">
        <f>_xlfn.XLOOKUP(E91,'All Products'!D:D,'All Products'!L:L,FALSE)</f>
        <v>-</v>
      </c>
      <c r="W91" s="266" t="str">
        <f>_xlfn.XLOOKUP(E91,'All Products'!D:D,'All Products'!M:M,FALSE)</f>
        <v>-</v>
      </c>
      <c r="X91" s="265">
        <f>_xlfn.XLOOKUP(E91,'All Products'!D:D,'All Products'!N:N,FALSE)</f>
        <v>0.46</v>
      </c>
      <c r="Y91" s="215" t="str">
        <f>_xlfn.XLOOKUP(E91,'All Products'!D:D,'All Products'!O:O,FALSE)</f>
        <v>-</v>
      </c>
      <c r="Z91" s="265">
        <f>_xlfn.XLOOKUP(E91,'All Products'!D:D,'All Products'!P:P,FALSE)</f>
        <v>0.46</v>
      </c>
      <c r="AA91" s="265" t="str">
        <f>_xlfn.XLOOKUP(E91,'All Products'!D:D,'All Products'!Q:Q,FALSE)</f>
        <v>-</v>
      </c>
    </row>
    <row r="92" spans="1:27" s="17" customFormat="1">
      <c r="A92" s="14">
        <f>MAX(A9:A91)+1</f>
        <v>1</v>
      </c>
      <c r="B92"/>
      <c r="C92"/>
      <c r="D92"/>
      <c r="E92"/>
      <c r="F92"/>
      <c r="G92" s="471"/>
      <c r="H92" s="471"/>
      <c r="I92" s="471"/>
      <c r="J92" s="471"/>
      <c r="K92"/>
      <c r="L92"/>
      <c r="M92"/>
      <c r="N92"/>
      <c r="O92"/>
      <c r="P92"/>
      <c r="Q92"/>
      <c r="S92"/>
      <c r="T92"/>
      <c r="U92" s="321"/>
      <c r="V92" s="321"/>
      <c r="W92" s="321"/>
      <c r="X92" s="352"/>
    </row>
    <row r="93" spans="1:27"/>
    <row r="94" spans="1:27"/>
    <row r="95" spans="1:27"/>
    <row r="96" spans="1:27"/>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sheetData>
  <sheetProtection algorithmName="SHA-512" hashValue="6K0jK8/ibW7Fq7UVpmLkAUP7EWi3GZr9FPxEu+Uqp0wtYyGjp71fJ+HVMVs9X1Cn2Ze2ovadt+H3Cpmlh44J8Q==" saltValue="gTNjgbkHiveoSAERSesWCQ==" spinCount="100000" sheet="1" formatCells="0" formatColumns="0" formatRows="0" insertColumns="0" insertRows="0" insertHyperlinks="0" deleteColumns="0" deleteRows="0" sort="0" pivotTables="0"/>
  <mergeCells count="17">
    <mergeCell ref="U6:W6"/>
    <mergeCell ref="B91:C91"/>
    <mergeCell ref="B89:C90"/>
    <mergeCell ref="B28:C36"/>
    <mergeCell ref="B18:C26"/>
    <mergeCell ref="B9:C17"/>
    <mergeCell ref="B50:C58"/>
    <mergeCell ref="B82:C87"/>
    <mergeCell ref="B76:C77"/>
    <mergeCell ref="B72:C74"/>
    <mergeCell ref="B79:C80"/>
    <mergeCell ref="N2:O3"/>
    <mergeCell ref="B47:C48"/>
    <mergeCell ref="B69:C70"/>
    <mergeCell ref="B60:C64"/>
    <mergeCell ref="B65:C67"/>
    <mergeCell ref="B37:C45"/>
  </mergeCells>
  <phoneticPr fontId="32" type="noConversion"/>
  <dataValidations count="3">
    <dataValidation type="decimal" operator="lessThanOrEqual" allowBlank="1" showInputMessage="1" showErrorMessage="1" errorTitle="Invalid Entry" error="An invalid quantity has been entered. Please enter only decimal numbers. Click Retry to change entry or Cancel to clear entry." sqref="E2" xr:uid="{00000000-0002-0000-0300-000000000000}">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O1 O96:P65353 O6:O7 K88 K49 O9:P26 K8 O28:P45 K27 K46 K75 K68 K71 K78 K81 K59 P1:P6" xr:uid="{00000000-0002-0000-0300-000001000000}">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 sqref="O9:P26 O28:P45 O47:P48 O69:P70 O79:P80 O50:P58 O60:P67 O72:P74 O82:P87 O89:P91 O76:P77" xr:uid="{00000000-0002-0000-0300-000002000000}">
      <formula1>1</formula1>
    </dataValidation>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rowBreaks count="1" manualBreakCount="1">
    <brk id="78" max="8"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0"/>
    <pageSetUpPr fitToPage="1"/>
  </sheetPr>
  <dimension ref="A1:V338"/>
  <sheetViews>
    <sheetView tabSelected="1" topLeftCell="F1" workbookViewId="0">
      <selection activeCell="V31" sqref="V31"/>
    </sheetView>
  </sheetViews>
  <sheetFormatPr defaultColWidth="9.109375" defaultRowHeight="14.4" zeroHeight="1"/>
  <cols>
    <col min="1" max="1" width="2.33203125" style="101" customWidth="1"/>
    <col min="2" max="3" width="8.6640625" style="17" customWidth="1"/>
    <col min="4" max="5" width="12.6640625" style="17" customWidth="1"/>
    <col min="6" max="6" width="50.6640625" style="184" customWidth="1"/>
    <col min="7" max="8" width="10.6640625" style="17" customWidth="1"/>
    <col min="9" max="9" width="14.6640625" style="25" bestFit="1" customWidth="1"/>
    <col min="10" max="10" width="10.6640625" style="25" customWidth="1"/>
    <col min="11" max="11" width="10.6640625" style="17" customWidth="1"/>
    <col min="12" max="12" width="1.44140625" style="17" customWidth="1"/>
    <col min="13" max="13" width="10.6640625" style="17" customWidth="1"/>
    <col min="14" max="14" width="2.33203125" style="17" customWidth="1"/>
    <col min="15" max="15" width="12.6640625" style="17" customWidth="1"/>
    <col min="16" max="16" width="10.6640625" style="17" customWidth="1"/>
    <col min="17" max="17" width="11.33203125" style="321" bestFit="1" customWidth="1"/>
    <col min="18" max="18" width="9.109375" style="321" customWidth="1"/>
    <col min="19" max="19" width="13.109375" style="321" bestFit="1" customWidth="1"/>
    <col min="20" max="21" width="9.109375" style="17" customWidth="1"/>
    <col min="22" max="16384" width="9.109375" style="17"/>
  </cols>
  <sheetData>
    <row r="1" spans="1:22" ht="18">
      <c r="F1" s="155" t="s">
        <v>796</v>
      </c>
      <c r="G1" s="198"/>
      <c r="H1" s="198"/>
      <c r="O1" s="198"/>
      <c r="P1" s="198"/>
    </row>
    <row r="2" spans="1:22" ht="15.6">
      <c r="D2" s="220"/>
      <c r="E2" s="218"/>
      <c r="J2" s="607" t="s">
        <v>59</v>
      </c>
      <c r="K2" s="607"/>
    </row>
    <row r="3" spans="1:22">
      <c r="D3" s="20"/>
      <c r="E3" s="20"/>
      <c r="F3" s="323" t="s">
        <v>797</v>
      </c>
      <c r="G3" s="4"/>
      <c r="H3" s="4"/>
      <c r="J3" s="607"/>
      <c r="K3" s="607"/>
    </row>
    <row r="4" spans="1:22">
      <c r="E4" s="101" t="s">
        <v>5728</v>
      </c>
      <c r="F4" s="327" t="s">
        <v>5985</v>
      </c>
      <c r="G4" s="4"/>
      <c r="H4" s="4"/>
      <c r="J4" s="21"/>
    </row>
    <row r="5" spans="1:22">
      <c r="F5" s="325" t="s">
        <v>5973</v>
      </c>
      <c r="G5" s="4"/>
      <c r="H5" s="4"/>
      <c r="J5" s="21"/>
    </row>
    <row r="6" spans="1:22">
      <c r="J6" s="21"/>
      <c r="O6" s="353" t="s">
        <v>63</v>
      </c>
      <c r="Q6" s="662" t="s">
        <v>64</v>
      </c>
      <c r="R6" s="662"/>
      <c r="S6" s="662"/>
    </row>
    <row r="7" spans="1:22" ht="36" customHeight="1" thickBot="1">
      <c r="A7" s="43"/>
      <c r="B7" s="136"/>
      <c r="C7" s="136"/>
      <c r="D7" s="136" t="s">
        <v>48</v>
      </c>
      <c r="E7" s="136" t="s">
        <v>49</v>
      </c>
      <c r="F7" s="136" t="s">
        <v>50</v>
      </c>
      <c r="G7" s="136" t="s">
        <v>65</v>
      </c>
      <c r="H7" s="136" t="s">
        <v>66</v>
      </c>
      <c r="I7" s="157" t="s">
        <v>51</v>
      </c>
      <c r="J7" s="190" t="s">
        <v>55</v>
      </c>
      <c r="K7" s="158" t="s">
        <v>52</v>
      </c>
      <c r="L7" s="159"/>
      <c r="M7" s="143" t="s">
        <v>67</v>
      </c>
      <c r="O7" s="213" t="s">
        <v>68</v>
      </c>
      <c r="P7" s="213" t="s">
        <v>69</v>
      </c>
      <c r="Q7" s="396" t="s">
        <v>70</v>
      </c>
      <c r="R7" s="396" t="s">
        <v>71</v>
      </c>
      <c r="S7" s="396" t="s">
        <v>72</v>
      </c>
      <c r="T7" s="213" t="s">
        <v>73</v>
      </c>
      <c r="U7" s="213" t="s">
        <v>328</v>
      </c>
      <c r="V7" s="213" t="s">
        <v>329</v>
      </c>
    </row>
    <row r="8" spans="1:22" ht="16.2" thickBot="1">
      <c r="B8" s="501" t="s">
        <v>5803</v>
      </c>
      <c r="C8" s="151"/>
      <c r="D8" s="151"/>
      <c r="E8" s="459"/>
      <c r="F8" s="151"/>
      <c r="G8" s="468"/>
      <c r="H8" s="151"/>
      <c r="I8" s="472"/>
      <c r="J8" s="468"/>
      <c r="K8" s="477"/>
      <c r="L8" s="238"/>
      <c r="M8" s="476"/>
      <c r="O8" s="494"/>
      <c r="P8" s="478"/>
      <c r="Q8" s="492"/>
      <c r="R8" s="492"/>
      <c r="S8" s="492"/>
      <c r="T8" s="495"/>
      <c r="U8" s="496"/>
      <c r="V8" s="497"/>
    </row>
    <row r="9" spans="1:22">
      <c r="A9" s="101" t="str">
        <f>IF(K9&gt;0,COUNT($A$8:A8)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9" s="608"/>
      <c r="C9" s="609"/>
      <c r="D9" s="51" t="str">
        <f>_xlfn.XLOOKUP(E9,'All Products'!D:D,'All Products'!C:C,FALSE)</f>
        <v>36-2011</v>
      </c>
      <c r="E9" s="52">
        <v>100029248</v>
      </c>
      <c r="F9" s="53" t="str">
        <f>_xlfn.XLOOKUP(E9,'All Products'!D:D,'All Products'!E:E,FALSE)</f>
        <v>3 CAP SDR35 SW</v>
      </c>
      <c r="G9" s="124">
        <f>_xlfn.XLOOKUP(E9,'All Products'!D:D,'All Products'!F:F,FALSE)</f>
        <v>30</v>
      </c>
      <c r="H9" s="124">
        <f>_xlfn.XLOOKUP(E9,'All Products'!D:D,'All Products'!G:G,FALSE)</f>
        <v>1890</v>
      </c>
      <c r="I9" s="123">
        <f>_xlfn.XLOOKUP(E9,'All Products'!D:D,'All Products'!H:H,FALSE)</f>
        <v>10.65</v>
      </c>
      <c r="J9" s="130">
        <f>IFERROR(ROUNDUP(I9*Order_Quote!$L$14,2),0)</f>
        <v>10.65</v>
      </c>
      <c r="K9" s="122"/>
      <c r="L9" s="76"/>
      <c r="M9" s="114">
        <f t="shared" ref="M9:M110" si="0">K9/G9</f>
        <v>0</v>
      </c>
      <c r="O9" s="215" t="str">
        <f>_xlfn.XLOOKUP(E9,'All Products'!D:D,'All Products'!I:I,FALSE)</f>
        <v>Limited Stock</v>
      </c>
      <c r="P9" s="215" t="str">
        <f>_xlfn.XLOOKUP(E9,'All Products'!D:D,'All Products'!J:J,FALSE)</f>
        <v>Manufactured</v>
      </c>
      <c r="Q9" s="266">
        <f>_xlfn.XLOOKUP(E9,'All Products'!D:D,'All Products'!K:K,FALSE)</f>
        <v>810673010851</v>
      </c>
      <c r="R9" s="266" t="str">
        <f>_xlfn.XLOOKUP(E9,'All Products'!D:D,'All Products'!L:L,FALSE)</f>
        <v>-</v>
      </c>
      <c r="S9" s="266">
        <f>_xlfn.XLOOKUP(E9,'All Products'!D:D,'All Products'!M:M,FALSE)</f>
        <v>10810673010858</v>
      </c>
      <c r="T9" s="264">
        <f>_xlfn.XLOOKUP(E9,'All Products'!D:D,'All Products'!N:N,FALSE)</f>
        <v>0.123</v>
      </c>
      <c r="U9" s="265">
        <f>_xlfn.XLOOKUP(E9,'All Products'!D:D,'All Products'!P:P,FALSE)</f>
        <v>4.95</v>
      </c>
      <c r="V9" s="265">
        <f>_xlfn.XLOOKUP(E9,'All Products'!D:D,'All Products'!Q:Q,FALSE)</f>
        <v>0.66940792428507967</v>
      </c>
    </row>
    <row r="10" spans="1:22">
      <c r="A10" s="101" t="str">
        <f>IF(K10&gt;0,COUNT($A$8:A9)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0" s="610"/>
      <c r="C10" s="611"/>
      <c r="D10" s="51" t="str">
        <f>_xlfn.XLOOKUP(E10,'All Products'!D:D,'All Products'!C:C,FALSE)</f>
        <v>36-6568</v>
      </c>
      <c r="E10" s="52">
        <v>100029137</v>
      </c>
      <c r="F10" s="53" t="str">
        <f>_xlfn.XLOOKUP(E10,'All Products'!D:D,'All Products'!E:E,FALSE)</f>
        <v>4 CAP SDR35 SW</v>
      </c>
      <c r="G10" s="124">
        <f>_xlfn.XLOOKUP(E10,'All Products'!D:D,'All Products'!F:F,FALSE)</f>
        <v>24</v>
      </c>
      <c r="H10" s="124">
        <f>_xlfn.XLOOKUP(E10,'All Products'!D:D,'All Products'!G:G,FALSE)</f>
        <v>1512</v>
      </c>
      <c r="I10" s="123">
        <f>_xlfn.XLOOKUP(E10,'All Products'!D:D,'All Products'!H:H,FALSE)</f>
        <v>13.77</v>
      </c>
      <c r="J10" s="130">
        <f>IFERROR(ROUNDUP(I10*Order_Quote!$L$14,2),0)</f>
        <v>13.77</v>
      </c>
      <c r="K10" s="122"/>
      <c r="L10" s="76"/>
      <c r="M10" s="114">
        <f t="shared" si="0"/>
        <v>0</v>
      </c>
      <c r="O10" s="215" t="str">
        <f>_xlfn.XLOOKUP(E10,'All Products'!D:D,'All Products'!I:I,FALSE)</f>
        <v>In Stock</v>
      </c>
      <c r="P10" s="215" t="str">
        <f>_xlfn.XLOOKUP(E10,'All Products'!D:D,'All Products'!J:J,FALSE)</f>
        <v>Manufactured</v>
      </c>
      <c r="Q10" s="266">
        <f>_xlfn.XLOOKUP(E10,'All Products'!D:D,'All Products'!K:K,FALSE)</f>
        <v>816842022595</v>
      </c>
      <c r="R10" s="266" t="str">
        <f>_xlfn.XLOOKUP(E10,'All Products'!D:D,'All Products'!L:L,FALSE)</f>
        <v>-</v>
      </c>
      <c r="S10" s="266">
        <f>_xlfn.XLOOKUP(E10,'All Products'!D:D,'All Products'!M:M,FALSE)</f>
        <v>816842022601</v>
      </c>
      <c r="T10" s="264">
        <f>_xlfn.XLOOKUP(E10,'All Products'!D:D,'All Products'!N:N,FALSE)</f>
        <v>0.26400000000000001</v>
      </c>
      <c r="U10" s="265">
        <f>_xlfn.XLOOKUP(E10,'All Products'!D:D,'All Products'!P:P,FALSE)</f>
        <v>7.6080000000000005</v>
      </c>
      <c r="V10" s="265">
        <f>_xlfn.XLOOKUP(E10,'All Products'!D:D,'All Products'!Q:Q,FALSE)</f>
        <v>0.66940792428507967</v>
      </c>
    </row>
    <row r="11" spans="1:22">
      <c r="A11" s="101" t="str">
        <f>IF(K11&gt;0,COUNT($A$8:A10)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1" s="610"/>
      <c r="C11" s="611"/>
      <c r="D11" s="51" t="str">
        <f>_xlfn.XLOOKUP(E11,'All Products'!D:D,'All Products'!C:C,FALSE)</f>
        <v>36-6565</v>
      </c>
      <c r="E11" s="52">
        <v>100029250</v>
      </c>
      <c r="F11" s="53" t="str">
        <f>_xlfn.XLOOKUP(E11,'All Products'!D:D,'All Products'!E:E,FALSE)</f>
        <v>6 CAP SDR35 SW</v>
      </c>
      <c r="G11" s="124">
        <f>_xlfn.XLOOKUP(E11,'All Products'!D:D,'All Products'!F:F,FALSE)</f>
        <v>24</v>
      </c>
      <c r="H11" s="124">
        <f>_xlfn.XLOOKUP(E11,'All Products'!D:D,'All Products'!G:G,FALSE)</f>
        <v>432</v>
      </c>
      <c r="I11" s="123">
        <f>_xlfn.XLOOKUP(E11,'All Products'!D:D,'All Products'!H:H,FALSE)</f>
        <v>50.42</v>
      </c>
      <c r="J11" s="130">
        <f>IFERROR(ROUNDUP(I11*Order_Quote!$L$14,2),0)</f>
        <v>50.42</v>
      </c>
      <c r="K11" s="118"/>
      <c r="L11" s="76"/>
      <c r="M11" s="114">
        <f t="shared" si="0"/>
        <v>0</v>
      </c>
      <c r="O11" s="215" t="str">
        <f>_xlfn.XLOOKUP(E11,'All Products'!D:D,'All Products'!I:I,FALSE)</f>
        <v>In Stock</v>
      </c>
      <c r="P11" s="215" t="str">
        <f>_xlfn.XLOOKUP(E11,'All Products'!D:D,'All Products'!J:J,FALSE)</f>
        <v>Manufactured</v>
      </c>
      <c r="Q11" s="266">
        <f>_xlfn.XLOOKUP(E11,'All Products'!D:D,'All Products'!K:K,FALSE)</f>
        <v>816842022533</v>
      </c>
      <c r="R11" s="266" t="str">
        <f>_xlfn.XLOOKUP(E11,'All Products'!D:D,'All Products'!L:L,FALSE)</f>
        <v>-</v>
      </c>
      <c r="S11" s="266">
        <f>_xlfn.XLOOKUP(E11,'All Products'!D:D,'All Products'!M:M,FALSE)</f>
        <v>816842022540</v>
      </c>
      <c r="T11" s="264">
        <f>_xlfn.XLOOKUP(E11,'All Products'!D:D,'All Products'!N:N,FALSE)</f>
        <v>0.91600000000000004</v>
      </c>
      <c r="U11" s="265">
        <f>_xlfn.XLOOKUP(E11,'All Products'!D:D,'All Products'!P:P,FALSE)</f>
        <v>23.856000000000002</v>
      </c>
      <c r="V11" s="265">
        <f>_xlfn.XLOOKUP(E11,'All Products'!D:D,'All Products'!Q:Q,FALSE)</f>
        <v>2.361325291407383</v>
      </c>
    </row>
    <row r="12" spans="1:22" ht="15" thickBot="1">
      <c r="A12" s="101" t="str">
        <f>IF(K12&gt;0,COUNT($A$8:A11)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2" s="612"/>
      <c r="C12" s="613"/>
      <c r="D12" s="51" t="str">
        <f>_xlfn.XLOOKUP(E12,'All Products'!D:D,'All Products'!C:C,FALSE)</f>
        <v>36-688</v>
      </c>
      <c r="E12" s="52">
        <v>100029249</v>
      </c>
      <c r="F12" s="53" t="str">
        <f>_xlfn.XLOOKUP(E12,'All Products'!D:D,'All Products'!E:E,FALSE)</f>
        <v>8 CAP SDR35 SW</v>
      </c>
      <c r="G12" s="124">
        <f>_xlfn.XLOOKUP(E12,'All Products'!D:D,'All Products'!F:F,FALSE)</f>
        <v>6</v>
      </c>
      <c r="H12" s="124">
        <f>_xlfn.XLOOKUP(E12,'All Products'!D:D,'All Products'!G:G,FALSE)</f>
        <v>144</v>
      </c>
      <c r="I12" s="123">
        <f>_xlfn.XLOOKUP(E12,'All Products'!D:D,'All Products'!H:H,FALSE)</f>
        <v>165.09</v>
      </c>
      <c r="J12" s="130">
        <f>IFERROR(ROUNDUP(I12*Order_Quote!$L$14,2),0)</f>
        <v>165.09</v>
      </c>
      <c r="K12" s="118"/>
      <c r="L12" s="76"/>
      <c r="M12" s="114">
        <f t="shared" si="0"/>
        <v>0</v>
      </c>
      <c r="O12" s="215" t="str">
        <f>_xlfn.XLOOKUP(E12,'All Products'!D:D,'All Products'!I:I,FALSE)</f>
        <v>In Stock</v>
      </c>
      <c r="P12" s="215" t="str">
        <f>_xlfn.XLOOKUP(E12,'All Products'!D:D,'All Products'!J:J,FALSE)</f>
        <v>Manufactured</v>
      </c>
      <c r="Q12" s="266">
        <f>_xlfn.XLOOKUP(E12,'All Products'!D:D,'All Products'!K:K,FALSE)</f>
        <v>812361010334</v>
      </c>
      <c r="R12" s="266" t="str">
        <f>_xlfn.XLOOKUP(E12,'All Products'!D:D,'All Products'!L:L,FALSE)</f>
        <v>-</v>
      </c>
      <c r="S12" s="266">
        <f>_xlfn.XLOOKUP(E12,'All Products'!D:D,'All Products'!M:M,FALSE)</f>
        <v>812361010341</v>
      </c>
      <c r="T12" s="264">
        <f>_xlfn.XLOOKUP(E12,'All Products'!D:D,'All Products'!N:N,FALSE)</f>
        <v>2.2679999999999998</v>
      </c>
      <c r="U12" s="265">
        <f>_xlfn.XLOOKUP(E12,'All Products'!D:D,'All Products'!P:P,FALSE)</f>
        <v>15.785999999999998</v>
      </c>
      <c r="V12" s="265">
        <f>_xlfn.XLOOKUP(E12,'All Products'!D:D,'All Products'!Q:Q,FALSE)</f>
        <v>1.8803145838984718</v>
      </c>
    </row>
    <row r="13" spans="1:22" ht="16.2" thickBot="1">
      <c r="A13" s="101" t="str">
        <f>IF(K13&gt;0,COUNT($A$8:A12)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3" s="501" t="s">
        <v>5797</v>
      </c>
      <c r="C13" s="151"/>
      <c r="D13" s="151"/>
      <c r="E13" s="459"/>
      <c r="F13" s="151"/>
      <c r="G13" s="468"/>
      <c r="H13" s="151"/>
      <c r="I13" s="472"/>
      <c r="J13" s="468"/>
      <c r="K13" s="477"/>
      <c r="L13" s="238"/>
      <c r="M13" s="476"/>
      <c r="O13" s="494"/>
      <c r="P13" s="478"/>
      <c r="Q13" s="492"/>
      <c r="R13" s="492"/>
      <c r="S13" s="492"/>
      <c r="T13" s="495"/>
      <c r="U13" s="496"/>
      <c r="V13" s="497"/>
    </row>
    <row r="14" spans="1:22" ht="45.75" customHeight="1">
      <c r="A14" s="101" t="str">
        <f>IF(K14&gt;0,COUNT($A$8:A13)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4" s="608"/>
      <c r="C14" s="609"/>
      <c r="D14" s="51" t="str">
        <f>_xlfn.XLOOKUP(E14,'All Products'!D:D,'All Products'!C:C,FALSE)</f>
        <v>36-2073</v>
      </c>
      <c r="E14" s="52">
        <v>300005488</v>
      </c>
      <c r="F14" s="53" t="str">
        <f>_xlfn.XLOOKUP(E14,'All Products'!D:D,'All Products'!E:E,FALSE)</f>
        <v>4 REPAIR COUPLING SDR35 SW</v>
      </c>
      <c r="G14" s="124">
        <f>_xlfn.XLOOKUP(E14,'All Products'!D:D,'All Products'!F:F,FALSE)</f>
        <v>30</v>
      </c>
      <c r="H14" s="124">
        <f>_xlfn.XLOOKUP(E14,'All Products'!D:D,'All Products'!G:G,FALSE)</f>
        <v>1200</v>
      </c>
      <c r="I14" s="123" t="str">
        <f>_xlfn.XLOOKUP(E14,'All Products'!D:D,'All Products'!H:H,FALSE)</f>
        <v>Quote Required</v>
      </c>
      <c r="J14" s="130">
        <f>IFERROR(ROUNDUP(I14*Order_Quote!$L$14,2),0)</f>
        <v>0</v>
      </c>
      <c r="K14" s="118"/>
      <c r="L14" s="76"/>
      <c r="M14" s="114">
        <f>K14/G14</f>
        <v>0</v>
      </c>
      <c r="O14" s="215" t="str">
        <f>_xlfn.XLOOKUP(E14,'All Products'!D:D,'All Products'!I:I,FALSE)</f>
        <v>Within 6 Weeks</v>
      </c>
      <c r="P14" s="215" t="str">
        <f>_xlfn.XLOOKUP(E14,'All Products'!D:D,'All Products'!J:J,FALSE)</f>
        <v>Sourced</v>
      </c>
      <c r="Q14" s="266">
        <f>_xlfn.XLOOKUP(E14,'All Products'!D:D,'All Products'!K:K,FALSE)</f>
        <v>812361018620</v>
      </c>
      <c r="R14" s="266" t="str">
        <f>_xlfn.XLOOKUP(E14,'All Products'!D:D,'All Products'!L:L,FALSE)</f>
        <v>-</v>
      </c>
      <c r="S14" s="266" t="str">
        <f>_xlfn.XLOOKUP(E14,'All Products'!D:D,'All Products'!M:M,FALSE)</f>
        <v>-</v>
      </c>
      <c r="T14" s="264">
        <f>_xlfn.XLOOKUP(E14,'All Products'!D:D,'All Products'!N:N,FALSE)</f>
        <v>0.74099999999999999</v>
      </c>
      <c r="U14" s="265">
        <f>_xlfn.XLOOKUP(E14,'All Products'!D:D,'All Products'!P:P,FALSE)</f>
        <v>22.23</v>
      </c>
      <c r="V14" s="265" t="str">
        <f>_xlfn.XLOOKUP(E14,'All Products'!D:D,'All Products'!Q:Q,FALSE)</f>
        <v>-</v>
      </c>
    </row>
    <row r="15" spans="1:22">
      <c r="A15" s="101" t="str">
        <f>IF(K15&gt;0,COUNT($A$8:A14)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5" s="672"/>
      <c r="C15" s="673"/>
      <c r="D15" s="51" t="str">
        <f>_xlfn.XLOOKUP(E15,'All Products'!D:D,'All Products'!C:C,FALSE)</f>
        <v>36-665</v>
      </c>
      <c r="E15" s="52">
        <v>100029140</v>
      </c>
      <c r="F15" s="53" t="str">
        <f>_xlfn.XLOOKUP(E15,'All Products'!D:D,'All Products'!E:E,FALSE)</f>
        <v>4 STOP COUPLING HXH SDR35 SW</v>
      </c>
      <c r="G15" s="124">
        <f>_xlfn.XLOOKUP(E15,'All Products'!D:D,'All Products'!F:F,FALSE)</f>
        <v>20</v>
      </c>
      <c r="H15" s="124">
        <f>_xlfn.XLOOKUP(E15,'All Products'!D:D,'All Products'!G:G,FALSE)</f>
        <v>900</v>
      </c>
      <c r="I15" s="123">
        <f>_xlfn.XLOOKUP(E15,'All Products'!D:D,'All Products'!H:H,FALSE)</f>
        <v>15.78</v>
      </c>
      <c r="J15" s="130">
        <f>IFERROR(ROUNDUP(I15*Order_Quote!$L$14,2),0)</f>
        <v>15.78</v>
      </c>
      <c r="K15" s="122"/>
      <c r="L15" s="76"/>
      <c r="M15" s="114">
        <f>K15/G15</f>
        <v>0</v>
      </c>
      <c r="O15" s="215" t="str">
        <f>_xlfn.XLOOKUP(E15,'All Products'!D:D,'All Products'!I:I,FALSE)</f>
        <v>In Stock</v>
      </c>
      <c r="P15" s="215" t="str">
        <f>_xlfn.XLOOKUP(E15,'All Products'!D:D,'All Products'!J:J,FALSE)</f>
        <v>Manufactured</v>
      </c>
      <c r="Q15" s="266">
        <f>_xlfn.XLOOKUP(E15,'All Products'!D:D,'All Products'!K:K,FALSE)</f>
        <v>812361010518</v>
      </c>
      <c r="R15" s="266" t="str">
        <f>_xlfn.XLOOKUP(E15,'All Products'!D:D,'All Products'!L:L,FALSE)</f>
        <v>-</v>
      </c>
      <c r="S15" s="266">
        <f>_xlfn.XLOOKUP(E15,'All Products'!D:D,'All Products'!M:M,FALSE)</f>
        <v>10812361010515</v>
      </c>
      <c r="T15" s="264">
        <f>_xlfn.XLOOKUP(E15,'All Products'!D:D,'All Products'!N:N,FALSE)</f>
        <v>0.36199999999999999</v>
      </c>
      <c r="U15" s="265">
        <f>_xlfn.XLOOKUP(E15,'All Products'!D:D,'All Products'!P:P,FALSE)</f>
        <v>8.44</v>
      </c>
      <c r="V15" s="265">
        <f>_xlfn.XLOOKUP(E15,'All Products'!D:D,'All Products'!Q:Q,FALSE)</f>
        <v>0.98955954024750914</v>
      </c>
    </row>
    <row r="16" spans="1:22">
      <c r="A16" s="101" t="str">
        <f>IF(K16&gt;0,COUNT($A$8:A15)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6" s="672"/>
      <c r="C16" s="673"/>
      <c r="D16" s="51" t="str">
        <f>_xlfn.XLOOKUP(E16,'All Products'!D:D,'All Products'!C:C,FALSE)</f>
        <v>36-6567</v>
      </c>
      <c r="E16" s="52">
        <v>100029406</v>
      </c>
      <c r="F16" s="53" t="str">
        <f>_xlfn.XLOOKUP(E16,'All Products'!D:D,'All Products'!E:E,FALSE)</f>
        <v>6 STOP COUPLING HXH SDR35 SW</v>
      </c>
      <c r="G16" s="124">
        <f>_xlfn.XLOOKUP(E16,'All Products'!D:D,'All Products'!F:F,FALSE)</f>
        <v>12</v>
      </c>
      <c r="H16" s="124">
        <f>_xlfn.XLOOKUP(E16,'All Products'!D:D,'All Products'!G:G,FALSE)</f>
        <v>216</v>
      </c>
      <c r="I16" s="123">
        <f>_xlfn.XLOOKUP(E16,'All Products'!D:D,'All Products'!H:H,FALSE)</f>
        <v>57.61</v>
      </c>
      <c r="J16" s="130">
        <f>IFERROR(ROUNDUP(I16*Order_Quote!$L$14,2),0)</f>
        <v>57.61</v>
      </c>
      <c r="K16" s="118"/>
      <c r="L16" s="76"/>
      <c r="M16" s="114">
        <f>K16/G16</f>
        <v>0</v>
      </c>
      <c r="O16" s="215" t="str">
        <f>_xlfn.XLOOKUP(E16,'All Products'!D:D,'All Products'!I:I,FALSE)</f>
        <v>In Stock</v>
      </c>
      <c r="P16" s="215" t="str">
        <f>_xlfn.XLOOKUP(E16,'All Products'!D:D,'All Products'!J:J,FALSE)</f>
        <v>Manufactured</v>
      </c>
      <c r="Q16" s="266">
        <f>_xlfn.XLOOKUP(E16,'All Products'!D:D,'All Products'!K:K,FALSE)</f>
        <v>816842022571</v>
      </c>
      <c r="R16" s="266" t="str">
        <f>_xlfn.XLOOKUP(E16,'All Products'!D:D,'All Products'!L:L,FALSE)</f>
        <v>-</v>
      </c>
      <c r="S16" s="266">
        <f>_xlfn.XLOOKUP(E16,'All Products'!D:D,'All Products'!M:M,FALSE)</f>
        <v>816842022588</v>
      </c>
      <c r="T16" s="264">
        <f>_xlfn.XLOOKUP(E16,'All Products'!D:D,'All Products'!N:N,FALSE)</f>
        <v>1.37</v>
      </c>
      <c r="U16" s="265">
        <f>_xlfn.XLOOKUP(E16,'All Products'!D:D,'All Products'!P:P,FALSE)</f>
        <v>18.288</v>
      </c>
      <c r="V16" s="265">
        <f>_xlfn.XLOOKUP(E16,'All Products'!D:D,'All Products'!Q:Q,FALSE)</f>
        <v>2.361325291407383</v>
      </c>
    </row>
    <row r="17" spans="1:22" ht="15" thickBot="1">
      <c r="A17" s="101" t="str">
        <f>IF(K17&gt;0,COUNT($A$8:A16)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7" s="674"/>
      <c r="C17" s="675"/>
      <c r="D17" s="51" t="str">
        <f>_xlfn.XLOOKUP(E17,'All Products'!D:D,'All Products'!C:C,FALSE)</f>
        <v>36-667</v>
      </c>
      <c r="E17" s="52">
        <v>100029405</v>
      </c>
      <c r="F17" s="53" t="str">
        <f>_xlfn.XLOOKUP(E17,'All Products'!D:D,'All Products'!E:E,FALSE)</f>
        <v>8 STOP COUPLING HXH SDR35 SW</v>
      </c>
      <c r="G17" s="124">
        <f>_xlfn.XLOOKUP(E17,'All Products'!D:D,'All Products'!F:F,FALSE)</f>
        <v>6</v>
      </c>
      <c r="H17" s="124">
        <f>_xlfn.XLOOKUP(E17,'All Products'!D:D,'All Products'!G:G,FALSE)</f>
        <v>72</v>
      </c>
      <c r="I17" s="123">
        <f>_xlfn.XLOOKUP(E17,'All Products'!D:D,'All Products'!H:H,FALSE)</f>
        <v>179.09</v>
      </c>
      <c r="J17" s="130">
        <f>IFERROR(ROUNDUP(I17*Order_Quote!$L$14,2),0)</f>
        <v>179.09</v>
      </c>
      <c r="K17" s="118"/>
      <c r="L17" s="76"/>
      <c r="M17" s="114">
        <f>K17/G17</f>
        <v>0</v>
      </c>
      <c r="O17" s="215" t="str">
        <f>_xlfn.XLOOKUP(E17,'All Products'!D:D,'All Products'!I:I,FALSE)</f>
        <v>Within 3 Weeks</v>
      </c>
      <c r="P17" s="215" t="str">
        <f>_xlfn.XLOOKUP(E17,'All Products'!D:D,'All Products'!J:J,FALSE)</f>
        <v>Manufactured</v>
      </c>
      <c r="Q17" s="266">
        <f>_xlfn.XLOOKUP(E17,'All Products'!D:D,'All Products'!K:K,FALSE)</f>
        <v>812361010556</v>
      </c>
      <c r="R17" s="266" t="str">
        <f>_xlfn.XLOOKUP(E17,'All Products'!D:D,'All Products'!L:L,FALSE)</f>
        <v>-</v>
      </c>
      <c r="S17" s="266">
        <f>_xlfn.XLOOKUP(E17,'All Products'!D:D,'All Products'!M:M,FALSE)</f>
        <v>812361010754</v>
      </c>
      <c r="T17" s="264">
        <f>_xlfn.XLOOKUP(E17,'All Products'!D:D,'All Products'!N:N,FALSE)</f>
        <v>3.13</v>
      </c>
      <c r="U17" s="265">
        <f>_xlfn.XLOOKUP(E17,'All Products'!D:D,'All Products'!P:P,FALSE)</f>
        <v>21.798000000000002</v>
      </c>
      <c r="V17" s="265">
        <f>_xlfn.XLOOKUP(E17,'All Products'!D:D,'All Products'!Q:Q,FALSE)</f>
        <v>3.6731726755225957</v>
      </c>
    </row>
    <row r="18" spans="1:22" ht="16.2" thickBot="1">
      <c r="A18" s="101" t="str">
        <f>IF(K18&gt;0,COUNT($A$8:A17)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8" s="501" t="s">
        <v>5861</v>
      </c>
      <c r="C18" s="151"/>
      <c r="D18" s="151"/>
      <c r="E18" s="459"/>
      <c r="F18" s="151"/>
      <c r="G18" s="468"/>
      <c r="H18" s="151"/>
      <c r="I18" s="472"/>
      <c r="J18" s="468"/>
      <c r="K18" s="477"/>
      <c r="L18" s="238"/>
      <c r="M18" s="476"/>
      <c r="O18" s="494"/>
      <c r="P18" s="478"/>
      <c r="Q18" s="492"/>
      <c r="R18" s="492"/>
      <c r="S18" s="492"/>
      <c r="T18" s="495"/>
      <c r="U18" s="496"/>
      <c r="V18" s="497"/>
    </row>
    <row r="19" spans="1:22">
      <c r="A19" s="101" t="str">
        <f>IF(K19&gt;0,COUNT($A$8:A18)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9" s="608"/>
      <c r="C19" s="609"/>
      <c r="D19" s="51" t="str">
        <f>_xlfn.XLOOKUP(E19,'All Products'!D:D,'All Products'!C:C,FALSE)</f>
        <v>36-6592</v>
      </c>
      <c r="E19" s="52">
        <v>100029430</v>
      </c>
      <c r="F19" s="53" t="str">
        <f>_xlfn.XLOOKUP(E19,'All Products'!D:D,'All Products'!E:E,FALSE)</f>
        <v>3X4 INC COUPLING CON HXH SDR35 SW</v>
      </c>
      <c r="G19" s="124">
        <f>_xlfn.XLOOKUP(E19,'All Products'!D:D,'All Products'!F:F,FALSE)</f>
        <v>40</v>
      </c>
      <c r="H19" s="124">
        <f>_xlfn.XLOOKUP(E19,'All Products'!D:D,'All Products'!G:G,FALSE)</f>
        <v>1600</v>
      </c>
      <c r="I19" s="123">
        <f>_xlfn.XLOOKUP(E19,'All Products'!D:D,'All Products'!H:H,FALSE)</f>
        <v>29.67</v>
      </c>
      <c r="J19" s="130">
        <f>IFERROR(ROUNDUP(I19*Order_Quote!$L$14,2),0)</f>
        <v>29.67</v>
      </c>
      <c r="K19" s="122"/>
      <c r="L19" s="76"/>
      <c r="M19" s="114">
        <f t="shared" ref="M19:M29" si="1">K19/G19</f>
        <v>0</v>
      </c>
      <c r="O19" s="215" t="str">
        <f>_xlfn.XLOOKUP(E19,'All Products'!D:D,'All Products'!I:I,FALSE)</f>
        <v>In Stock</v>
      </c>
      <c r="P19" s="215" t="str">
        <f>_xlfn.XLOOKUP(E19,'All Products'!D:D,'All Products'!J:J,FALSE)</f>
        <v>Manufactured</v>
      </c>
      <c r="Q19" s="266">
        <f>_xlfn.XLOOKUP(E19,'All Products'!D:D,'All Products'!K:K,FALSE)</f>
        <v>816842022977</v>
      </c>
      <c r="R19" s="266" t="str">
        <f>_xlfn.XLOOKUP(E19,'All Products'!D:D,'All Products'!L:L,FALSE)</f>
        <v>-</v>
      </c>
      <c r="S19" s="266">
        <f>_xlfn.XLOOKUP(E19,'All Products'!D:D,'All Products'!M:M,FALSE)</f>
        <v>816842022984</v>
      </c>
      <c r="T19" s="264">
        <f>_xlfn.XLOOKUP(E19,'All Products'!D:D,'All Products'!N:N,FALSE)</f>
        <v>0.315</v>
      </c>
      <c r="U19" s="265">
        <f>_xlfn.XLOOKUP(E19,'All Products'!D:D,'All Products'!P:P,FALSE)</f>
        <v>14.44</v>
      </c>
      <c r="V19" s="265">
        <f>_xlfn.XLOOKUP(E19,'All Products'!D:D,'All Products'!Q:Q,FALSE)</f>
        <v>2.361325291407383</v>
      </c>
    </row>
    <row r="20" spans="1:22">
      <c r="A20" s="101" t="str">
        <f>IF(K20&gt;0,COUNT($A$8:A19)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20" s="610"/>
      <c r="C20" s="611"/>
      <c r="D20" s="51" t="str">
        <f>_xlfn.XLOOKUP(E20,'All Products'!D:D,'All Products'!C:C,FALSE)</f>
        <v>36-6586</v>
      </c>
      <c r="E20" s="52">
        <v>100031312</v>
      </c>
      <c r="F20" s="53" t="str">
        <f>_xlfn.XLOOKUP(E20,'All Products'!D:D,'All Products'!E:E,FALSE)</f>
        <v>4X6 INC COUPLING CON HXH SDR35 SW</v>
      </c>
      <c r="G20" s="124">
        <f>_xlfn.XLOOKUP(E20,'All Products'!D:D,'All Products'!F:F,FALSE)</f>
        <v>24</v>
      </c>
      <c r="H20" s="124">
        <f>_xlfn.XLOOKUP(E20,'All Products'!D:D,'All Products'!G:G,FALSE)</f>
        <v>1080</v>
      </c>
      <c r="I20" s="123">
        <f>_xlfn.XLOOKUP(E20,'All Products'!D:D,'All Products'!H:H,FALSE)</f>
        <v>76.56</v>
      </c>
      <c r="J20" s="130">
        <f>IFERROR(ROUNDUP(I20*Order_Quote!$L$14,2),0)</f>
        <v>76.56</v>
      </c>
      <c r="K20" s="118"/>
      <c r="L20" s="76"/>
      <c r="M20" s="114">
        <f t="shared" si="1"/>
        <v>0</v>
      </c>
      <c r="O20" s="215" t="str">
        <f>_xlfn.XLOOKUP(E20,'All Products'!D:D,'All Products'!I:I,FALSE)</f>
        <v>In Stock</v>
      </c>
      <c r="P20" s="215" t="str">
        <f>_xlfn.XLOOKUP(E20,'All Products'!D:D,'All Products'!J:J,FALSE)</f>
        <v>Manufactured</v>
      </c>
      <c r="Q20" s="266">
        <f>_xlfn.XLOOKUP(E20,'All Products'!D:D,'All Products'!K:K,FALSE)</f>
        <v>816842022854</v>
      </c>
      <c r="R20" s="266" t="str">
        <f>_xlfn.XLOOKUP(E20,'All Products'!D:D,'All Products'!L:L,FALSE)</f>
        <v>-</v>
      </c>
      <c r="S20" s="266">
        <f>_xlfn.XLOOKUP(E20,'All Products'!D:D,'All Products'!M:M,FALSE)</f>
        <v>816842022861</v>
      </c>
      <c r="T20" s="264">
        <f>_xlfn.XLOOKUP(E20,'All Products'!D:D,'All Products'!N:N,FALSE)</f>
        <v>1.083</v>
      </c>
      <c r="U20" s="265">
        <f>_xlfn.XLOOKUP(E20,'All Products'!D:D,'All Products'!P:P,FALSE)</f>
        <v>29.04</v>
      </c>
      <c r="V20" s="265">
        <f>_xlfn.XLOOKUP(E20,'All Products'!D:D,'All Products'!Q:Q,FALSE)</f>
        <v>3.6731726755225957</v>
      </c>
    </row>
    <row r="21" spans="1:22">
      <c r="A21" s="101" t="str">
        <f>IF(K21&gt;0,COUNT($A$8:A20)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21" s="610"/>
      <c r="C21" s="611"/>
      <c r="D21" s="51" t="str">
        <f>_xlfn.XLOOKUP(E21,'All Products'!D:D,'All Products'!C:C,FALSE)</f>
        <v>36-701</v>
      </c>
      <c r="E21" s="52">
        <v>300005498</v>
      </c>
      <c r="F21" s="53" t="str">
        <f>_xlfn.XLOOKUP(E21,'All Products'!D:D,'All Products'!E:E,FALSE)</f>
        <v>4X8 INC COUPLING CON HXH SDR35 SW</v>
      </c>
      <c r="G21" s="124">
        <f>_xlfn.XLOOKUP(E21,'All Products'!D:D,'All Products'!F:F,FALSE)</f>
        <v>8</v>
      </c>
      <c r="H21" s="124">
        <f>_xlfn.XLOOKUP(E21,'All Products'!D:D,'All Products'!G:G,FALSE)</f>
        <v>84</v>
      </c>
      <c r="I21" s="123" t="str">
        <f>_xlfn.XLOOKUP(E21,'All Products'!D:D,'All Products'!H:H,FALSE)</f>
        <v>Quote Required</v>
      </c>
      <c r="J21" s="130">
        <f>IFERROR(ROUNDUP(I21*Order_Quote!$L$14,2),0)</f>
        <v>0</v>
      </c>
      <c r="K21" s="118"/>
      <c r="L21" s="76"/>
      <c r="M21" s="114">
        <f t="shared" si="1"/>
        <v>0</v>
      </c>
      <c r="O21" s="215" t="str">
        <f>_xlfn.XLOOKUP(E21,'All Products'!D:D,'All Products'!I:I,FALSE)</f>
        <v>Within 6 Weeks</v>
      </c>
      <c r="P21" s="215" t="str">
        <f>_xlfn.XLOOKUP(E21,'All Products'!D:D,'All Products'!J:J,FALSE)</f>
        <v>Sourced</v>
      </c>
      <c r="Q21" s="266">
        <f>_xlfn.XLOOKUP(E21,'All Products'!D:D,'All Products'!K:K,FALSE)</f>
        <v>812361014646</v>
      </c>
      <c r="R21" s="266" t="str">
        <f>_xlfn.XLOOKUP(E21,'All Products'!D:D,'All Products'!L:L,FALSE)</f>
        <v>-</v>
      </c>
      <c r="S21" s="266" t="str">
        <f>_xlfn.XLOOKUP(E21,'All Products'!D:D,'All Products'!M:M,FALSE)</f>
        <v>-</v>
      </c>
      <c r="T21" s="264">
        <f>_xlfn.XLOOKUP(E21,'All Products'!D:D,'All Products'!N:N,FALSE)</f>
        <v>2.8</v>
      </c>
      <c r="U21" s="265">
        <f>_xlfn.XLOOKUP(E21,'All Products'!D:D,'All Products'!P:P,FALSE)</f>
        <v>22.4</v>
      </c>
      <c r="V21" s="265" t="str">
        <f>_xlfn.XLOOKUP(E21,'All Products'!D:D,'All Products'!Q:Q,FALSE)</f>
        <v>-</v>
      </c>
    </row>
    <row r="22" spans="1:22">
      <c r="A22" s="101" t="str">
        <f>IF(K22&gt;0,COUNT($A$8:A21)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22" s="610"/>
      <c r="C22" s="611"/>
      <c r="D22" s="51" t="str">
        <f>_xlfn.XLOOKUP(E22,'All Products'!D:D,'All Products'!C:C,FALSE)</f>
        <v>36-702</v>
      </c>
      <c r="E22" s="52">
        <v>300005529</v>
      </c>
      <c r="F22" s="53" t="str">
        <f>_xlfn.XLOOKUP(E22,'All Products'!D:D,'All Products'!E:E,FALSE)</f>
        <v>6X8 INC COUPLING CON HXH SDR35 SW</v>
      </c>
      <c r="G22" s="124">
        <f>_xlfn.XLOOKUP(E22,'All Products'!D:D,'All Products'!F:F,FALSE)</f>
        <v>10</v>
      </c>
      <c r="H22" s="124" t="str">
        <f>_xlfn.XLOOKUP(E22,'All Products'!D:D,'All Products'!G:G,FALSE)</f>
        <v>-</v>
      </c>
      <c r="I22" s="123" t="str">
        <f>_xlfn.XLOOKUP(E22,'All Products'!D:D,'All Products'!H:H,FALSE)</f>
        <v>Quote Required</v>
      </c>
      <c r="J22" s="130">
        <f>IFERROR(ROUNDUP(I22*Order_Quote!$L$14,2),0)</f>
        <v>0</v>
      </c>
      <c r="K22" s="118"/>
      <c r="L22" s="76"/>
      <c r="M22" s="114">
        <f t="shared" si="1"/>
        <v>0</v>
      </c>
      <c r="O22" s="215" t="str">
        <f>_xlfn.XLOOKUP(E22,'All Products'!D:D,'All Products'!I:I,FALSE)</f>
        <v>Within 6 Weeks</v>
      </c>
      <c r="P22" s="215" t="str">
        <f>_xlfn.XLOOKUP(E22,'All Products'!D:D,'All Products'!J:J,FALSE)</f>
        <v>Sourced</v>
      </c>
      <c r="Q22" s="266">
        <f>_xlfn.XLOOKUP(E22,'All Products'!D:D,'All Products'!K:K,FALSE)</f>
        <v>812361014660</v>
      </c>
      <c r="R22" s="266" t="str">
        <f>_xlfn.XLOOKUP(E22,'All Products'!D:D,'All Products'!L:L,FALSE)</f>
        <v>-</v>
      </c>
      <c r="S22" s="266" t="str">
        <f>_xlfn.XLOOKUP(E22,'All Products'!D:D,'All Products'!M:M,FALSE)</f>
        <v>-</v>
      </c>
      <c r="T22" s="264">
        <f>_xlfn.XLOOKUP(E22,'All Products'!D:D,'All Products'!N:N,FALSE)</f>
        <v>2.48</v>
      </c>
      <c r="U22" s="265">
        <f>_xlfn.XLOOKUP(E22,'All Products'!D:D,'All Products'!P:P,FALSE)</f>
        <v>24.8</v>
      </c>
      <c r="V22" s="265" t="str">
        <f>_xlfn.XLOOKUP(E22,'All Products'!D:D,'All Products'!Q:Q,FALSE)</f>
        <v>-</v>
      </c>
    </row>
    <row r="23" spans="1:22" ht="15.75" customHeight="1">
      <c r="A23" s="101" t="str">
        <f>IF(K23&gt;0,COUNT($A$8:A22)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23" s="610"/>
      <c r="C23" s="611"/>
      <c r="D23" s="51" t="str">
        <f>_xlfn.XLOOKUP(E23,'All Products'!D:D,'All Products'!C:C,FALSE)</f>
        <v>36-6581</v>
      </c>
      <c r="E23" s="52">
        <v>300005754</v>
      </c>
      <c r="F23" s="53" t="str">
        <f>_xlfn.XLOOKUP(E23,'All Products'!D:D,'All Products'!E:E,FALSE)</f>
        <v>4X3 RED BUSHING CON SXH SDR35 SW</v>
      </c>
      <c r="G23" s="124">
        <f>_xlfn.XLOOKUP(E23,'All Products'!D:D,'All Products'!F:F,FALSE)</f>
        <v>25</v>
      </c>
      <c r="H23" s="124">
        <f>_xlfn.XLOOKUP(E23,'All Products'!D:D,'All Products'!G:G,FALSE)</f>
        <v>1800</v>
      </c>
      <c r="I23" s="123" t="str">
        <f>_xlfn.XLOOKUP(E23,'All Products'!D:D,'All Products'!H:H,FALSE)</f>
        <v>Quote Required</v>
      </c>
      <c r="J23" s="130">
        <f>IFERROR(ROUNDUP(I23*Order_Quote!$L$14,2),0)</f>
        <v>0</v>
      </c>
      <c r="K23" s="122"/>
      <c r="L23" s="76"/>
      <c r="M23" s="114">
        <f t="shared" si="1"/>
        <v>0</v>
      </c>
      <c r="O23" s="215" t="str">
        <f>_xlfn.XLOOKUP(E23,'All Products'!D:D,'All Products'!I:I,FALSE)</f>
        <v>Within 3 Weeks</v>
      </c>
      <c r="P23" s="215" t="str">
        <f>_xlfn.XLOOKUP(E23,'All Products'!D:D,'All Products'!J:J,FALSE)</f>
        <v>Sourced</v>
      </c>
      <c r="Q23" s="266">
        <f>_xlfn.XLOOKUP(E23,'All Products'!D:D,'All Products'!K:K,FALSE)</f>
        <v>816842022755</v>
      </c>
      <c r="R23" s="266" t="str">
        <f>_xlfn.XLOOKUP(E23,'All Products'!D:D,'All Products'!L:L,FALSE)</f>
        <v>-</v>
      </c>
      <c r="S23" s="266" t="str">
        <f>_xlfn.XLOOKUP(E23,'All Products'!D:D,'All Products'!M:M,FALSE)</f>
        <v>-</v>
      </c>
      <c r="T23" s="264">
        <f>_xlfn.XLOOKUP(E23,'All Products'!D:D,'All Products'!N:N,FALSE)</f>
        <v>1.2</v>
      </c>
      <c r="U23" s="265">
        <f>_xlfn.XLOOKUP(E23,'All Products'!D:D,'All Products'!P:P,FALSE)</f>
        <v>30</v>
      </c>
      <c r="V23" s="265" t="str">
        <f>_xlfn.XLOOKUP(E23,'All Products'!D:D,'All Products'!Q:Q,FALSE)</f>
        <v>-</v>
      </c>
    </row>
    <row r="24" spans="1:22">
      <c r="A24" s="101" t="str">
        <f>IF(K24&gt;0,COUNT($A$8:A23)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24" s="610"/>
      <c r="C24" s="611"/>
      <c r="D24" s="51" t="str">
        <f>_xlfn.XLOOKUP(E24,'All Products'!D:D,'All Products'!C:C,FALSE)</f>
        <v>36-706</v>
      </c>
      <c r="E24" s="52">
        <v>100031315</v>
      </c>
      <c r="F24" s="53" t="str">
        <f>_xlfn.XLOOKUP(E24,'All Products'!D:D,'All Products'!E:E,FALSE)</f>
        <v>6X4 RED BUSHING CON SXH SDR35 SW</v>
      </c>
      <c r="G24" s="124">
        <f>_xlfn.XLOOKUP(E24,'All Products'!D:D,'All Products'!F:F,FALSE)</f>
        <v>24</v>
      </c>
      <c r="H24" s="124">
        <f>_xlfn.XLOOKUP(E24,'All Products'!D:D,'All Products'!G:G,FALSE)</f>
        <v>288</v>
      </c>
      <c r="I24" s="123">
        <f>_xlfn.XLOOKUP(E24,'All Products'!D:D,'All Products'!H:H,FALSE)</f>
        <v>74.819999999999993</v>
      </c>
      <c r="J24" s="130">
        <f>IFERROR(ROUNDUP(I24*Order_Quote!$L$14,2),0)</f>
        <v>74.819999999999993</v>
      </c>
      <c r="K24" s="118"/>
      <c r="L24" s="76"/>
      <c r="M24" s="114">
        <f t="shared" si="1"/>
        <v>0</v>
      </c>
      <c r="O24" s="215" t="str">
        <f>_xlfn.XLOOKUP(E24,'All Products'!D:D,'All Products'!I:I,FALSE)</f>
        <v>In Stock</v>
      </c>
      <c r="P24" s="215" t="str">
        <f>_xlfn.XLOOKUP(E24,'All Products'!D:D,'All Products'!J:J,FALSE)</f>
        <v>Manufactured</v>
      </c>
      <c r="Q24" s="266">
        <f>_xlfn.XLOOKUP(E24,'All Products'!D:D,'All Products'!K:K,FALSE)</f>
        <v>812361014134</v>
      </c>
      <c r="R24" s="266" t="str">
        <f>_xlfn.XLOOKUP(E24,'All Products'!D:D,'All Products'!L:L,FALSE)</f>
        <v>-</v>
      </c>
      <c r="S24" s="266">
        <f>_xlfn.XLOOKUP(E24,'All Products'!D:D,'All Products'!M:M,FALSE)</f>
        <v>10812361014131</v>
      </c>
      <c r="T24" s="264">
        <f>_xlfn.XLOOKUP(E24,'All Products'!D:D,'All Products'!N:N,FALSE)</f>
        <v>1.044</v>
      </c>
      <c r="U24" s="265">
        <f>_xlfn.XLOOKUP(E24,'All Products'!D:D,'All Products'!P:P,FALSE)</f>
        <v>28.103999999999999</v>
      </c>
      <c r="V24" s="265">
        <f>_xlfn.XLOOKUP(E24,'All Products'!D:D,'All Products'!Q:Q,FALSE)</f>
        <v>3.6731726755225957</v>
      </c>
    </row>
    <row r="25" spans="1:22">
      <c r="A25" s="101" t="str">
        <f>IF(K25&gt;0,COUNT($A$8:A24)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25" s="610"/>
      <c r="C25" s="611"/>
      <c r="D25" s="51" t="str">
        <f>_xlfn.XLOOKUP(E25,'All Products'!D:D,'All Products'!C:C,FALSE)</f>
        <v>36-707</v>
      </c>
      <c r="E25" s="52">
        <v>300005560</v>
      </c>
      <c r="F25" s="53" t="str">
        <f>_xlfn.XLOOKUP(E25,'All Products'!D:D,'All Products'!E:E,FALSE)</f>
        <v>8X4 RED BUSHING CON SXH SDR35 SW</v>
      </c>
      <c r="G25" s="124">
        <f>_xlfn.XLOOKUP(E25,'All Products'!D:D,'All Products'!F:F,FALSE)</f>
        <v>8</v>
      </c>
      <c r="H25" s="124" t="str">
        <f>_xlfn.XLOOKUP(E25,'All Products'!D:D,'All Products'!G:G,FALSE)</f>
        <v>-</v>
      </c>
      <c r="I25" s="123" t="str">
        <f>_xlfn.XLOOKUP(E25,'All Products'!D:D,'All Products'!H:H,FALSE)</f>
        <v>Quote Required</v>
      </c>
      <c r="J25" s="130">
        <f>IFERROR(ROUNDUP(I25*Order_Quote!$L$14,2),0)</f>
        <v>0</v>
      </c>
      <c r="K25" s="118"/>
      <c r="L25" s="76"/>
      <c r="M25" s="114">
        <f t="shared" si="1"/>
        <v>0</v>
      </c>
      <c r="O25" s="215" t="str">
        <f>_xlfn.XLOOKUP(E25,'All Products'!D:D,'All Products'!I:I,FALSE)</f>
        <v>Within 6 Weeks</v>
      </c>
      <c r="P25" s="215" t="str">
        <f>_xlfn.XLOOKUP(E25,'All Products'!D:D,'All Products'!J:J,FALSE)</f>
        <v>Sourced</v>
      </c>
      <c r="Q25" s="266">
        <f>_xlfn.XLOOKUP(E25,'All Products'!D:D,'All Products'!K:K,FALSE)</f>
        <v>812361014585</v>
      </c>
      <c r="R25" s="266" t="str">
        <f>_xlfn.XLOOKUP(E25,'All Products'!D:D,'All Products'!L:L,FALSE)</f>
        <v>-</v>
      </c>
      <c r="S25" s="266" t="str">
        <f>_xlfn.XLOOKUP(E25,'All Products'!D:D,'All Products'!M:M,FALSE)</f>
        <v>-</v>
      </c>
      <c r="T25" s="264">
        <f>_xlfn.XLOOKUP(E25,'All Products'!D:D,'All Products'!N:N,FALSE)</f>
        <v>2.8</v>
      </c>
      <c r="U25" s="265">
        <f>_xlfn.XLOOKUP(E25,'All Products'!D:D,'All Products'!P:P,FALSE)</f>
        <v>22.4</v>
      </c>
      <c r="V25" s="265" t="str">
        <f>_xlfn.XLOOKUP(E25,'All Products'!D:D,'All Products'!Q:Q,FALSE)</f>
        <v>-</v>
      </c>
    </row>
    <row r="26" spans="1:22">
      <c r="A26" s="101" t="str">
        <f>IF(K26&gt;0,COUNT($A$8:A25)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26" s="612"/>
      <c r="C26" s="613"/>
      <c r="D26" s="51" t="str">
        <f>_xlfn.XLOOKUP(E26,'All Products'!D:D,'All Products'!C:C,FALSE)</f>
        <v>36-708</v>
      </c>
      <c r="E26" s="52">
        <v>300005570</v>
      </c>
      <c r="F26" s="53" t="str">
        <f>_xlfn.XLOOKUP(E26,'All Products'!D:D,'All Products'!E:E,FALSE)</f>
        <v>8X6 RED BUSHING CON SXH SDR35 SW</v>
      </c>
      <c r="G26" s="124">
        <f>_xlfn.XLOOKUP(E26,'All Products'!D:D,'All Products'!F:F,FALSE)</f>
        <v>9</v>
      </c>
      <c r="H26" s="124" t="str">
        <f>_xlfn.XLOOKUP(E26,'All Products'!D:D,'All Products'!G:G,FALSE)</f>
        <v>-</v>
      </c>
      <c r="I26" s="123" t="str">
        <f>_xlfn.XLOOKUP(E26,'All Products'!D:D,'All Products'!H:H,FALSE)</f>
        <v>Quote Required</v>
      </c>
      <c r="J26" s="130">
        <f>IFERROR(ROUNDUP(I26*Order_Quote!$L$14,2),0)</f>
        <v>0</v>
      </c>
      <c r="K26" s="118"/>
      <c r="L26" s="76"/>
      <c r="M26" s="114">
        <f t="shared" si="1"/>
        <v>0</v>
      </c>
      <c r="O26" s="215" t="str">
        <f>_xlfn.XLOOKUP(E26,'All Products'!D:D,'All Products'!I:I,FALSE)</f>
        <v>Within 6 Weeks</v>
      </c>
      <c r="P26" s="215" t="str">
        <f>_xlfn.XLOOKUP(E26,'All Products'!D:D,'All Products'!J:J,FALSE)</f>
        <v>Sourced</v>
      </c>
      <c r="Q26" s="266">
        <f>_xlfn.XLOOKUP(E26,'All Products'!D:D,'All Products'!K:K,FALSE)</f>
        <v>812361014608</v>
      </c>
      <c r="R26" s="266" t="str">
        <f>_xlfn.XLOOKUP(E26,'All Products'!D:D,'All Products'!L:L,FALSE)</f>
        <v>-</v>
      </c>
      <c r="S26" s="266" t="str">
        <f>_xlfn.XLOOKUP(E26,'All Products'!D:D,'All Products'!M:M,FALSE)</f>
        <v>-</v>
      </c>
      <c r="T26" s="264">
        <f>_xlfn.XLOOKUP(E26,'All Products'!D:D,'All Products'!N:N,FALSE)</f>
        <v>2.48</v>
      </c>
      <c r="U26" s="265">
        <f>_xlfn.XLOOKUP(E26,'All Products'!D:D,'All Products'!P:P,FALSE)</f>
        <v>22.32</v>
      </c>
      <c r="V26" s="265" t="str">
        <f>_xlfn.XLOOKUP(E26,'All Products'!D:D,'All Products'!Q:Q,FALSE)</f>
        <v>-</v>
      </c>
    </row>
    <row r="27" spans="1:22">
      <c r="A27" s="101" t="str">
        <f>IF(K27&gt;0,COUNT($A$8:A26)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27" s="615"/>
      <c r="C27" s="615"/>
      <c r="D27" s="51" t="str">
        <f>_xlfn.XLOOKUP(E27,'All Products'!D:D,'All Products'!C:C,FALSE)</f>
        <v>36-812</v>
      </c>
      <c r="E27" s="52">
        <v>300005835</v>
      </c>
      <c r="F27" s="53" t="str">
        <f>_xlfn.XLOOKUP(E27,'All Products'!D:D,'All Products'!E:E,FALSE)</f>
        <v>6X4 RED BUSHING ECC SXH SDR35 SW</v>
      </c>
      <c r="G27" s="124">
        <f>_xlfn.XLOOKUP(E27,'All Products'!D:D,'All Products'!F:F,FALSE)</f>
        <v>20</v>
      </c>
      <c r="H27" s="124">
        <f>_xlfn.XLOOKUP(E27,'All Products'!D:D,'All Products'!G:G,FALSE)</f>
        <v>360</v>
      </c>
      <c r="I27" s="123" t="str">
        <f>_xlfn.XLOOKUP(E27,'All Products'!D:D,'All Products'!H:H,FALSE)</f>
        <v>Quote Required</v>
      </c>
      <c r="J27" s="130">
        <f>IFERROR(ROUNDUP(I27*Order_Quote!$L$14,2),0)</f>
        <v>0</v>
      </c>
      <c r="K27" s="122"/>
      <c r="L27" s="76"/>
      <c r="M27" s="114">
        <f t="shared" si="1"/>
        <v>0</v>
      </c>
      <c r="O27" s="215" t="str">
        <f>_xlfn.XLOOKUP(E27,'All Products'!D:D,'All Products'!I:I,FALSE)</f>
        <v>Within 3 Weeks</v>
      </c>
      <c r="P27" s="215" t="str">
        <f>_xlfn.XLOOKUP(E27,'All Products'!D:D,'All Products'!J:J,FALSE)</f>
        <v>Sourced</v>
      </c>
      <c r="Q27" s="266">
        <f>_xlfn.XLOOKUP(E27,'All Products'!D:D,'All Products'!K:K,FALSE)</f>
        <v>812361010358</v>
      </c>
      <c r="R27" s="266" t="str">
        <f>_xlfn.XLOOKUP(E27,'All Products'!D:D,'All Products'!L:L,FALSE)</f>
        <v>-</v>
      </c>
      <c r="S27" s="266" t="str">
        <f>_xlfn.XLOOKUP(E27,'All Products'!D:D,'All Products'!M:M,FALSE)</f>
        <v>-</v>
      </c>
      <c r="T27" s="264">
        <f>_xlfn.XLOOKUP(E27,'All Products'!D:D,'All Products'!N:N,FALSE)</f>
        <v>1.19</v>
      </c>
      <c r="U27" s="265">
        <f>_xlfn.XLOOKUP(E27,'All Products'!D:D,'All Products'!P:P,FALSE)</f>
        <v>23.799999999999997</v>
      </c>
      <c r="V27" s="265" t="str">
        <f>_xlfn.XLOOKUP(E27,'All Products'!D:D,'All Products'!Q:Q,FALSE)</f>
        <v>-</v>
      </c>
    </row>
    <row r="28" spans="1:22">
      <c r="A28" s="101" t="str">
        <f>IF(K28&gt;0,COUNT($A$8:A27)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28" s="615"/>
      <c r="C28" s="615"/>
      <c r="D28" s="51" t="str">
        <f>_xlfn.XLOOKUP(E28,'All Products'!D:D,'All Products'!C:C,FALSE)</f>
        <v>36-813</v>
      </c>
      <c r="E28" s="52">
        <v>300005877</v>
      </c>
      <c r="F28" s="53" t="str">
        <f>_xlfn.XLOOKUP(E28,'All Products'!D:D,'All Products'!E:E,FALSE)</f>
        <v>8X4 RED BUSHING ECC SXH SDR35 SW</v>
      </c>
      <c r="G28" s="124">
        <f>_xlfn.XLOOKUP(E28,'All Products'!D:D,'All Products'!F:F,FALSE)</f>
        <v>8</v>
      </c>
      <c r="H28" s="124">
        <f>_xlfn.XLOOKUP(E28,'All Products'!D:D,'All Products'!G:G,FALSE)</f>
        <v>96</v>
      </c>
      <c r="I28" s="123" t="str">
        <f>_xlfn.XLOOKUP(E28,'All Products'!D:D,'All Products'!H:H,FALSE)</f>
        <v>Quote Required</v>
      </c>
      <c r="J28" s="130">
        <f>IFERROR(ROUNDUP(I28*Order_Quote!$L$14,2),0)</f>
        <v>0</v>
      </c>
      <c r="K28" s="118"/>
      <c r="L28" s="76"/>
      <c r="M28" s="114">
        <f t="shared" si="1"/>
        <v>0</v>
      </c>
      <c r="O28" s="215" t="str">
        <f>_xlfn.XLOOKUP(E28,'All Products'!D:D,'All Products'!I:I,FALSE)</f>
        <v>Within 6 Weeks</v>
      </c>
      <c r="P28" s="215" t="str">
        <f>_xlfn.XLOOKUP(E28,'All Products'!D:D,'All Products'!J:J,FALSE)</f>
        <v>Sourced</v>
      </c>
      <c r="Q28" s="266">
        <f>_xlfn.XLOOKUP(E28,'All Products'!D:D,'All Products'!K:K,FALSE)</f>
        <v>812361010372</v>
      </c>
      <c r="R28" s="266" t="str">
        <f>_xlfn.XLOOKUP(E28,'All Products'!D:D,'All Products'!L:L,FALSE)</f>
        <v>-</v>
      </c>
      <c r="S28" s="266" t="str">
        <f>_xlfn.XLOOKUP(E28,'All Products'!D:D,'All Products'!M:M,FALSE)</f>
        <v>-</v>
      </c>
      <c r="T28" s="264">
        <f>_xlfn.XLOOKUP(E28,'All Products'!D:D,'All Products'!N:N,FALSE)</f>
        <v>2.75</v>
      </c>
      <c r="U28" s="265">
        <f>_xlfn.XLOOKUP(E28,'All Products'!D:D,'All Products'!P:P,FALSE)</f>
        <v>22</v>
      </c>
      <c r="V28" s="265" t="str">
        <f>_xlfn.XLOOKUP(E28,'All Products'!D:D,'All Products'!Q:Q,FALSE)</f>
        <v>-</v>
      </c>
    </row>
    <row r="29" spans="1:22" ht="15" thickBot="1">
      <c r="A29" s="101" t="str">
        <f>IF(K29&gt;0,COUNT($A$8:A28)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29" s="615"/>
      <c r="C29" s="615"/>
      <c r="D29" s="51" t="str">
        <f>_xlfn.XLOOKUP(E29,'All Products'!D:D,'All Products'!C:C,FALSE)</f>
        <v>36-814</v>
      </c>
      <c r="E29" s="52">
        <v>300005880</v>
      </c>
      <c r="F29" s="53" t="str">
        <f>_xlfn.XLOOKUP(E29,'All Products'!D:D,'All Products'!E:E,FALSE)</f>
        <v>8X6 RED BUSHING ECC SXH SDR35 SW</v>
      </c>
      <c r="G29" s="124">
        <f>_xlfn.XLOOKUP(E29,'All Products'!D:D,'All Products'!F:F,FALSE)</f>
        <v>8</v>
      </c>
      <c r="H29" s="124">
        <f>_xlfn.XLOOKUP(E29,'All Products'!D:D,'All Products'!G:G,FALSE)</f>
        <v>96</v>
      </c>
      <c r="I29" s="123" t="str">
        <f>_xlfn.XLOOKUP(E29,'All Products'!D:D,'All Products'!H:H,FALSE)</f>
        <v>Quote Required</v>
      </c>
      <c r="J29" s="130">
        <f>IFERROR(ROUNDUP(I29*Order_Quote!$L$14,2),0)</f>
        <v>0</v>
      </c>
      <c r="K29" s="118"/>
      <c r="L29" s="76"/>
      <c r="M29" s="114">
        <f t="shared" si="1"/>
        <v>0</v>
      </c>
      <c r="O29" s="215" t="str">
        <f>_xlfn.XLOOKUP(E29,'All Products'!D:D,'All Products'!I:I,FALSE)</f>
        <v>Within 6 Weeks</v>
      </c>
      <c r="P29" s="215" t="str">
        <f>_xlfn.XLOOKUP(E29,'All Products'!D:D,'All Products'!J:J,FALSE)</f>
        <v>Sourced</v>
      </c>
      <c r="Q29" s="266">
        <f>_xlfn.XLOOKUP(E29,'All Products'!D:D,'All Products'!K:K,FALSE)</f>
        <v>812361010396</v>
      </c>
      <c r="R29" s="266" t="str">
        <f>_xlfn.XLOOKUP(E29,'All Products'!D:D,'All Products'!L:L,FALSE)</f>
        <v>-</v>
      </c>
      <c r="S29" s="266" t="str">
        <f>_xlfn.XLOOKUP(E29,'All Products'!D:D,'All Products'!M:M,FALSE)</f>
        <v>-</v>
      </c>
      <c r="T29" s="264">
        <f>_xlfn.XLOOKUP(E29,'All Products'!D:D,'All Products'!N:N,FALSE)</f>
        <v>2.93</v>
      </c>
      <c r="U29" s="265">
        <f>_xlfn.XLOOKUP(E29,'All Products'!D:D,'All Products'!P:P,FALSE)</f>
        <v>23.44</v>
      </c>
      <c r="V29" s="265" t="str">
        <f>_xlfn.XLOOKUP(E29,'All Products'!D:D,'All Products'!Q:Q,FALSE)</f>
        <v>-</v>
      </c>
    </row>
    <row r="30" spans="1:22" ht="16.2" thickBot="1">
      <c r="A30" s="101" t="str">
        <f>IF(K30&gt;0,COUNT($A$8:A29)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30" s="501" t="s">
        <v>5862</v>
      </c>
      <c r="C30" s="151"/>
      <c r="D30" s="151"/>
      <c r="E30" s="459"/>
      <c r="F30" s="151"/>
      <c r="G30" s="468"/>
      <c r="H30" s="151"/>
      <c r="I30" s="472"/>
      <c r="J30" s="468"/>
      <c r="K30" s="477"/>
      <c r="L30" s="238"/>
      <c r="M30" s="476"/>
      <c r="O30" s="494"/>
      <c r="P30" s="478"/>
      <c r="Q30" s="492"/>
      <c r="R30" s="492"/>
      <c r="S30" s="492"/>
      <c r="T30" s="495"/>
      <c r="U30" s="496"/>
      <c r="V30" s="497"/>
    </row>
    <row r="31" spans="1:22" ht="15.75" customHeight="1">
      <c r="A31" s="101" t="str">
        <f>IF(K31&gt;0,COUNT($A$8:A30)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31" s="608"/>
      <c r="C31" s="609"/>
      <c r="D31" s="51" t="str">
        <f>_xlfn.XLOOKUP(E31,'All Products'!D:D,'All Products'!C:C,FALSE)</f>
        <v>36-644</v>
      </c>
      <c r="E31" s="52">
        <v>100029139</v>
      </c>
      <c r="F31" s="53" t="str">
        <f>_xlfn.XLOOKUP(E31,'All Products'!D:D,'All Products'!E:E,FALSE)</f>
        <v>4 FEMALE ADAPTER HXFIPT SDR35 SW</v>
      </c>
      <c r="G31" s="124">
        <f>_xlfn.XLOOKUP(E31,'All Products'!D:D,'All Products'!F:F,FALSE)</f>
        <v>24</v>
      </c>
      <c r="H31" s="124">
        <f>_xlfn.XLOOKUP(E31,'All Products'!D:D,'All Products'!G:G,FALSE)</f>
        <v>768</v>
      </c>
      <c r="I31" s="123">
        <f>_xlfn.XLOOKUP(E31,'All Products'!D:D,'All Products'!H:H,FALSE)</f>
        <v>31.29</v>
      </c>
      <c r="J31" s="130">
        <f>IFERROR(ROUNDUP(I31*Order_Quote!$L$14,2),0)</f>
        <v>31.29</v>
      </c>
      <c r="K31" s="122"/>
      <c r="L31" s="76"/>
      <c r="M31" s="114">
        <f t="shared" ref="M31:M54" si="2">K31/G31</f>
        <v>0</v>
      </c>
      <c r="O31" s="215" t="str">
        <f>_xlfn.XLOOKUP(E31,'All Products'!D:D,'All Products'!I:I,FALSE)</f>
        <v>In Stock</v>
      </c>
      <c r="P31" s="215" t="str">
        <f>_xlfn.XLOOKUP(E31,'All Products'!D:D,'All Products'!J:J,FALSE)</f>
        <v>Manufactured</v>
      </c>
      <c r="Q31" s="266">
        <f>_xlfn.XLOOKUP(E31,'All Products'!D:D,'All Products'!K:K,FALSE)</f>
        <v>812361010419</v>
      </c>
      <c r="R31" s="266" t="str">
        <f>_xlfn.XLOOKUP(E31,'All Products'!D:D,'All Products'!L:L,FALSE)</f>
        <v>-</v>
      </c>
      <c r="S31" s="266">
        <f>_xlfn.XLOOKUP(E31,'All Products'!D:D,'All Products'!M:M,FALSE)</f>
        <v>10812361010416</v>
      </c>
      <c r="T31" s="264">
        <f>_xlfn.XLOOKUP(E31,'All Products'!D:D,'All Products'!N:N,FALSE)</f>
        <v>0.59299999999999997</v>
      </c>
      <c r="U31" s="265">
        <f>_xlfn.XLOOKUP(E31,'All Products'!D:D,'All Products'!P:P,FALSE)</f>
        <v>16.295999999999999</v>
      </c>
      <c r="V31" s="265">
        <f>_xlfn.XLOOKUP(E31,'All Products'!D:D,'All Products'!Q:Q,FALSE)</f>
        <v>1.3788503419060438</v>
      </c>
    </row>
    <row r="32" spans="1:22" ht="15.75" customHeight="1">
      <c r="A32" s="101" t="str">
        <f>IF(K32&gt;0,COUNT($A$8:A31)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32" s="610"/>
      <c r="C32" s="611"/>
      <c r="D32" s="51" t="str">
        <f>_xlfn.XLOOKUP(E32,'All Products'!D:D,'All Products'!C:C,FALSE)</f>
        <v>36-6571</v>
      </c>
      <c r="E32" s="52">
        <v>100029418</v>
      </c>
      <c r="F32" s="53" t="str">
        <f>_xlfn.XLOOKUP(E32,'All Products'!D:D,'All Products'!E:E,FALSE)</f>
        <v>6 FEMALE ADAPTER HXFIPT SDR35 SW</v>
      </c>
      <c r="G32" s="124">
        <f>_xlfn.XLOOKUP(E32,'All Products'!D:D,'All Products'!F:F,FALSE)</f>
        <v>16</v>
      </c>
      <c r="H32" s="124">
        <f>_xlfn.XLOOKUP(E32,'All Products'!D:D,'All Products'!G:G,FALSE)</f>
        <v>288</v>
      </c>
      <c r="I32" s="123">
        <f>_xlfn.XLOOKUP(E32,'All Products'!D:D,'All Products'!H:H,FALSE)</f>
        <v>147.84</v>
      </c>
      <c r="J32" s="130">
        <f>IFERROR(ROUNDUP(I32*Order_Quote!$L$14,2),0)</f>
        <v>147.84</v>
      </c>
      <c r="K32" s="118"/>
      <c r="L32" s="76"/>
      <c r="M32" s="114">
        <f t="shared" si="2"/>
        <v>0</v>
      </c>
      <c r="O32" s="215" t="str">
        <f>_xlfn.XLOOKUP(E32,'All Products'!D:D,'All Products'!I:I,FALSE)</f>
        <v>In Stock</v>
      </c>
      <c r="P32" s="215" t="str">
        <f>_xlfn.XLOOKUP(E32,'All Products'!D:D,'All Products'!J:J,FALSE)</f>
        <v>Manufactured</v>
      </c>
      <c r="Q32" s="266">
        <f>_xlfn.XLOOKUP(E32,'All Products'!D:D,'All Products'!K:K,FALSE)</f>
        <v>816842022656</v>
      </c>
      <c r="R32" s="266" t="str">
        <f>_xlfn.XLOOKUP(E32,'All Products'!D:D,'All Products'!L:L,FALSE)</f>
        <v>-</v>
      </c>
      <c r="S32" s="266">
        <f>_xlfn.XLOOKUP(E32,'All Products'!D:D,'All Products'!M:M,FALSE)</f>
        <v>816842022663</v>
      </c>
      <c r="T32" s="264">
        <f>_xlfn.XLOOKUP(E32,'All Products'!D:D,'All Products'!N:N,FALSE)</f>
        <v>1.2689999999999999</v>
      </c>
      <c r="U32" s="265">
        <f>_xlfn.XLOOKUP(E32,'All Products'!D:D,'All Products'!P:P,FALSE)</f>
        <v>21.968</v>
      </c>
      <c r="V32" s="265">
        <f>_xlfn.XLOOKUP(E32,'All Products'!D:D,'All Products'!Q:Q,FALSE)</f>
        <v>2.361325291407383</v>
      </c>
    </row>
    <row r="33" spans="1:22" ht="15.75" customHeight="1">
      <c r="A33" s="101" t="str">
        <f>IF(K33&gt;0,COUNT($A$8:A32)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33" s="612"/>
      <c r="C33" s="613"/>
      <c r="D33" s="51" t="str">
        <f>_xlfn.XLOOKUP(E33,'All Products'!D:D,'All Products'!C:C,FALSE)</f>
        <v>36-333</v>
      </c>
      <c r="E33" s="52">
        <v>300005546</v>
      </c>
      <c r="F33" s="53" t="str">
        <f>_xlfn.XLOOKUP(E33,'All Products'!D:D,'All Products'!E:E,FALSE)</f>
        <v>8 FEMALE ADAPTER HXFIPT SDR35 SW</v>
      </c>
      <c r="G33" s="124">
        <f>_xlfn.XLOOKUP(E33,'All Products'!D:D,'All Products'!F:F,FALSE)</f>
        <v>8</v>
      </c>
      <c r="H33" s="124" t="str">
        <f>_xlfn.XLOOKUP(E33,'All Products'!D:D,'All Products'!G:G,FALSE)</f>
        <v>-</v>
      </c>
      <c r="I33" s="123" t="str">
        <f>_xlfn.XLOOKUP(E33,'All Products'!D:D,'All Products'!H:H,FALSE)</f>
        <v>Quote Required</v>
      </c>
      <c r="J33" s="130">
        <f>IFERROR(ROUNDUP(I33*Order_Quote!$L$14,2),0)</f>
        <v>0</v>
      </c>
      <c r="K33" s="118"/>
      <c r="L33" s="76"/>
      <c r="M33" s="114">
        <f t="shared" si="2"/>
        <v>0</v>
      </c>
      <c r="O33" s="215" t="str">
        <f>_xlfn.XLOOKUP(E33,'All Products'!D:D,'All Products'!I:I,FALSE)</f>
        <v>Within 6 Weeks</v>
      </c>
      <c r="P33" s="215" t="str">
        <f>_xlfn.XLOOKUP(E33,'All Products'!D:D,'All Products'!J:J,FALSE)</f>
        <v>Sourced</v>
      </c>
      <c r="Q33" s="266">
        <f>_xlfn.XLOOKUP(E33,'All Products'!D:D,'All Products'!K:K,FALSE)</f>
        <v>812361010860</v>
      </c>
      <c r="R33" s="266" t="str">
        <f>_xlfn.XLOOKUP(E33,'All Products'!D:D,'All Products'!L:L,FALSE)</f>
        <v>-</v>
      </c>
      <c r="S33" s="266" t="str">
        <f>_xlfn.XLOOKUP(E33,'All Products'!D:D,'All Products'!M:M,FALSE)</f>
        <v>-</v>
      </c>
      <c r="T33" s="264">
        <f>_xlfn.XLOOKUP(E33,'All Products'!D:D,'All Products'!N:N,FALSE)</f>
        <v>2.2599999999999998</v>
      </c>
      <c r="U33" s="265">
        <f>_xlfn.XLOOKUP(E33,'All Products'!D:D,'All Products'!P:P,FALSE)</f>
        <v>18.079999999999998</v>
      </c>
      <c r="V33" s="265" t="str">
        <f>_xlfn.XLOOKUP(E33,'All Products'!D:D,'All Products'!Q:Q,FALSE)</f>
        <v>-</v>
      </c>
    </row>
    <row r="34" spans="1:22" ht="25.5" customHeight="1">
      <c r="A34" s="101" t="str">
        <f>IF(K34&gt;0,COUNT($A$8:A33)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34" s="615"/>
      <c r="C34" s="615"/>
      <c r="D34" s="51" t="str">
        <f>_xlfn.XLOOKUP(E34,'All Products'!D:D,'All Products'!C:C,FALSE)</f>
        <v>36-404</v>
      </c>
      <c r="E34" s="52">
        <v>100030934</v>
      </c>
      <c r="F34" s="53" t="str">
        <f>_xlfn.XLOOKUP(E34,'All Products'!D:D,'All Products'!E:E,FALSE)</f>
        <v>4 FEMALE ADAP HXFPT W/PLUG SDR35SW</v>
      </c>
      <c r="G34" s="124">
        <f>_xlfn.XLOOKUP(E34,'All Products'!D:D,'All Products'!F:F,FALSE)</f>
        <v>24</v>
      </c>
      <c r="H34" s="124">
        <f>_xlfn.XLOOKUP(E34,'All Products'!D:D,'All Products'!G:G,FALSE)</f>
        <v>576</v>
      </c>
      <c r="I34" s="123">
        <f>_xlfn.XLOOKUP(E34,'All Products'!D:D,'All Products'!H:H,FALSE)</f>
        <v>79</v>
      </c>
      <c r="J34" s="130">
        <f>IFERROR(ROUNDUP(I34*Order_Quote!$L$14,2),0)</f>
        <v>79</v>
      </c>
      <c r="K34" s="122"/>
      <c r="L34" s="76"/>
      <c r="M34" s="114">
        <f t="shared" si="2"/>
        <v>0</v>
      </c>
      <c r="O34" s="215" t="str">
        <f>_xlfn.XLOOKUP(E34,'All Products'!D:D,'All Products'!I:I,FALSE)</f>
        <v>In Stock</v>
      </c>
      <c r="P34" s="215" t="str">
        <f>_xlfn.XLOOKUP(E34,'All Products'!D:D,'All Products'!J:J,FALSE)</f>
        <v>Manufactured</v>
      </c>
      <c r="Q34" s="266">
        <f>_xlfn.XLOOKUP(E34,'All Products'!D:D,'All Products'!K:K,FALSE)</f>
        <v>816842021147</v>
      </c>
      <c r="R34" s="266" t="str">
        <f>_xlfn.XLOOKUP(E34,'All Products'!D:D,'All Products'!L:L,FALSE)</f>
        <v>-</v>
      </c>
      <c r="S34" s="266">
        <f>_xlfn.XLOOKUP(E34,'All Products'!D:D,'All Products'!M:M,FALSE)</f>
        <v>10816842021144</v>
      </c>
      <c r="T34" s="264">
        <f>_xlfn.XLOOKUP(E34,'All Products'!D:D,'All Products'!N:N,FALSE)</f>
        <v>1</v>
      </c>
      <c r="U34" s="265">
        <f>_xlfn.XLOOKUP(E34,'All Products'!D:D,'All Products'!P:P,FALSE)</f>
        <v>26.208000000000002</v>
      </c>
      <c r="V34" s="265">
        <f>_xlfn.XLOOKUP(E34,'All Products'!D:D,'All Products'!Q:Q,FALSE)</f>
        <v>1.8803145838984718</v>
      </c>
    </row>
    <row r="35" spans="1:22" ht="25.5" customHeight="1">
      <c r="A35" s="101" t="str">
        <f>IF(K35&gt;0,COUNT($A$8:A34)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35" s="615"/>
      <c r="C35" s="615"/>
      <c r="D35" s="51" t="str">
        <f>_xlfn.XLOOKUP(E35,'All Products'!D:D,'All Products'!C:C,FALSE)</f>
        <v>36-406</v>
      </c>
      <c r="E35" s="52">
        <v>100030936</v>
      </c>
      <c r="F35" s="53" t="str">
        <f>_xlfn.XLOOKUP(E35,'All Products'!D:D,'All Products'!E:E,FALSE)</f>
        <v>6 FEMALE ADAP HXFPT W/PLUG SDR35SW</v>
      </c>
      <c r="G35" s="124">
        <f>_xlfn.XLOOKUP(E35,'All Products'!D:D,'All Products'!F:F,FALSE)</f>
        <v>16</v>
      </c>
      <c r="H35" s="124">
        <f>_xlfn.XLOOKUP(E35,'All Products'!D:D,'All Products'!G:G,FALSE)</f>
        <v>192</v>
      </c>
      <c r="I35" s="123">
        <f>_xlfn.XLOOKUP(E35,'All Products'!D:D,'All Products'!H:H,FALSE)</f>
        <v>273.19</v>
      </c>
      <c r="J35" s="130">
        <f>IFERROR(ROUNDUP(I35*Order_Quote!$L$14,2),0)</f>
        <v>273.19</v>
      </c>
      <c r="K35" s="118"/>
      <c r="L35" s="76"/>
      <c r="M35" s="114">
        <f t="shared" si="2"/>
        <v>0</v>
      </c>
      <c r="O35" s="215" t="str">
        <f>_xlfn.XLOOKUP(E35,'All Products'!D:D,'All Products'!I:I,FALSE)</f>
        <v>In Stock</v>
      </c>
      <c r="P35" s="215" t="str">
        <f>_xlfn.XLOOKUP(E35,'All Products'!D:D,'All Products'!J:J,FALSE)</f>
        <v>Manufactured</v>
      </c>
      <c r="Q35" s="266">
        <f>_xlfn.XLOOKUP(E35,'All Products'!D:D,'All Products'!K:K,FALSE)</f>
        <v>816842021154</v>
      </c>
      <c r="R35" s="266" t="str">
        <f>_xlfn.XLOOKUP(E35,'All Products'!D:D,'All Products'!L:L,FALSE)</f>
        <v>-</v>
      </c>
      <c r="S35" s="266">
        <f>_xlfn.XLOOKUP(E35,'All Products'!D:D,'All Products'!M:M,FALSE)</f>
        <v>812361015957</v>
      </c>
      <c r="T35" s="264">
        <f>_xlfn.XLOOKUP(E35,'All Products'!D:D,'All Products'!N:N,FALSE)</f>
        <v>2.0539999999999998</v>
      </c>
      <c r="U35" s="265">
        <f>_xlfn.XLOOKUP(E35,'All Products'!D:D,'All Products'!P:P,FALSE)</f>
        <v>35.904000000000003</v>
      </c>
      <c r="V35" s="265">
        <f>_xlfn.XLOOKUP(E35,'All Products'!D:D,'All Products'!Q:Q,FALSE)</f>
        <v>3.6731726755225957</v>
      </c>
    </row>
    <row r="36" spans="1:22" ht="15.75" customHeight="1">
      <c r="A36" s="101" t="str">
        <f>IF(K36&gt;0,COUNT($A$8:A35)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36" s="615"/>
      <c r="C36" s="615"/>
      <c r="D36" s="51" t="str">
        <f>_xlfn.XLOOKUP(E36,'All Products'!D:D,'All Products'!C:C,FALSE)</f>
        <v>36-6570</v>
      </c>
      <c r="E36" s="52">
        <v>100029436</v>
      </c>
      <c r="F36" s="53" t="str">
        <f>_xlfn.XLOOKUP(E36,'All Products'!D:D,'All Products'!E:E,FALSE)</f>
        <v>4 FITTING CLEANOUT SXFIPT SDR35 SW</v>
      </c>
      <c r="G36" s="124">
        <f>_xlfn.XLOOKUP(E36,'All Products'!D:D,'All Products'!F:F,FALSE)</f>
        <v>24</v>
      </c>
      <c r="H36" s="124">
        <f>_xlfn.XLOOKUP(E36,'All Products'!D:D,'All Products'!G:G,FALSE)</f>
        <v>768</v>
      </c>
      <c r="I36" s="123">
        <f>_xlfn.XLOOKUP(E36,'All Products'!D:D,'All Products'!H:H,FALSE)</f>
        <v>24.54</v>
      </c>
      <c r="J36" s="130">
        <f>IFERROR(ROUNDUP(I36*Order_Quote!$L$14,2),0)</f>
        <v>24.54</v>
      </c>
      <c r="K36" s="122"/>
      <c r="L36" s="76"/>
      <c r="M36" s="114">
        <f t="shared" si="2"/>
        <v>0</v>
      </c>
      <c r="O36" s="215" t="str">
        <f>_xlfn.XLOOKUP(E36,'All Products'!D:D,'All Products'!I:I,FALSE)</f>
        <v>In Stock</v>
      </c>
      <c r="P36" s="215" t="str">
        <f>_xlfn.XLOOKUP(E36,'All Products'!D:D,'All Products'!J:J,FALSE)</f>
        <v>Manufactured</v>
      </c>
      <c r="Q36" s="266">
        <f>_xlfn.XLOOKUP(E36,'All Products'!D:D,'All Products'!K:K,FALSE)</f>
        <v>816842022632</v>
      </c>
      <c r="R36" s="266" t="str">
        <f>_xlfn.XLOOKUP(E36,'All Products'!D:D,'All Products'!L:L,FALSE)</f>
        <v>-</v>
      </c>
      <c r="S36" s="266">
        <f>_xlfn.XLOOKUP(E36,'All Products'!D:D,'All Products'!M:M,FALSE)</f>
        <v>816842022649</v>
      </c>
      <c r="T36" s="264">
        <f>_xlfn.XLOOKUP(E36,'All Products'!D:D,'All Products'!N:N,FALSE)</f>
        <v>0.59399999999999997</v>
      </c>
      <c r="U36" s="265">
        <f>_xlfn.XLOOKUP(E36,'All Products'!D:D,'All Products'!P:P,FALSE)</f>
        <v>16.344000000000001</v>
      </c>
      <c r="V36" s="265">
        <f>_xlfn.XLOOKUP(E36,'All Products'!D:D,'All Products'!Q:Q,FALSE)</f>
        <v>1.3788503419060438</v>
      </c>
    </row>
    <row r="37" spans="1:22" ht="15.75" customHeight="1">
      <c r="A37" s="101" t="str">
        <f>IF(K37&gt;0,COUNT($A$8:A36)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37" s="615"/>
      <c r="C37" s="615"/>
      <c r="D37" s="51" t="str">
        <f>_xlfn.XLOOKUP(E37,'All Products'!D:D,'All Products'!C:C,FALSE)</f>
        <v>36-642</v>
      </c>
      <c r="E37" s="52">
        <v>300005634</v>
      </c>
      <c r="F37" s="53" t="str">
        <f>_xlfn.XLOOKUP(E37,'All Products'!D:D,'All Products'!E:E,FALSE)</f>
        <v>6 FITTING CLEANOUT SXFIPT SDR35 SW</v>
      </c>
      <c r="G37" s="124">
        <f>_xlfn.XLOOKUP(E37,'All Products'!D:D,'All Products'!F:F,FALSE)</f>
        <v>20</v>
      </c>
      <c r="H37" s="124">
        <f>_xlfn.XLOOKUP(E37,'All Products'!D:D,'All Products'!G:G,FALSE)</f>
        <v>360</v>
      </c>
      <c r="I37" s="123" t="str">
        <f>_xlfn.XLOOKUP(E37,'All Products'!D:D,'All Products'!H:H,FALSE)</f>
        <v>Quote Required</v>
      </c>
      <c r="J37" s="130">
        <f>IFERROR(ROUNDUP(I37*Order_Quote!$L$14,2),0)</f>
        <v>0</v>
      </c>
      <c r="K37" s="118"/>
      <c r="L37" s="76"/>
      <c r="M37" s="114">
        <f t="shared" si="2"/>
        <v>0</v>
      </c>
      <c r="O37" s="215" t="str">
        <f>_xlfn.XLOOKUP(E37,'All Products'!D:D,'All Products'!I:I,FALSE)</f>
        <v>Within 6 Weeks</v>
      </c>
      <c r="P37" s="215" t="str">
        <f>_xlfn.XLOOKUP(E37,'All Products'!D:D,'All Products'!J:J,FALSE)</f>
        <v>Sourced</v>
      </c>
      <c r="Q37" s="266">
        <f>_xlfn.XLOOKUP(E37,'All Products'!D:D,'All Products'!K:K,FALSE)</f>
        <v>812361011119</v>
      </c>
      <c r="R37" s="266" t="str">
        <f>_xlfn.XLOOKUP(E37,'All Products'!D:D,'All Products'!L:L,FALSE)</f>
        <v>-</v>
      </c>
      <c r="S37" s="266">
        <f>_xlfn.XLOOKUP(E37,'All Products'!D:D,'All Products'!M:M,FALSE)</f>
        <v>10812361011116</v>
      </c>
      <c r="T37" s="264">
        <f>_xlfn.XLOOKUP(E37,'All Products'!D:D,'All Products'!N:N,FALSE)</f>
        <v>1.1850000000000001</v>
      </c>
      <c r="U37" s="265">
        <f>_xlfn.XLOOKUP(E37,'All Products'!D:D,'All Products'!P:P,FALSE)</f>
        <v>23.700000000000003</v>
      </c>
      <c r="V37" s="265" t="str">
        <f>_xlfn.XLOOKUP(E37,'All Products'!D:D,'All Products'!Q:Q,FALSE)</f>
        <v>-</v>
      </c>
    </row>
    <row r="38" spans="1:22" ht="15.75" customHeight="1">
      <c r="A38" s="101" t="str">
        <f>IF(K38&gt;0,COUNT($A$8:A37)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38" s="615"/>
      <c r="C38" s="615"/>
      <c r="D38" s="51" t="str">
        <f>_xlfn.XLOOKUP(E38,'All Products'!D:D,'All Products'!C:C,FALSE)</f>
        <v>36-643</v>
      </c>
      <c r="E38" s="52">
        <v>300005547</v>
      </c>
      <c r="F38" s="53" t="str">
        <f>_xlfn.XLOOKUP(E38,'All Products'!D:D,'All Products'!E:E,FALSE)</f>
        <v>8 FITTING CLEANOUT SXFIPT SDR35 SW</v>
      </c>
      <c r="G38" s="124">
        <f>_xlfn.XLOOKUP(E38,'All Products'!D:D,'All Products'!F:F,FALSE)</f>
        <v>8</v>
      </c>
      <c r="H38" s="124" t="str">
        <f>_xlfn.XLOOKUP(E38,'All Products'!D:D,'All Products'!G:G,FALSE)</f>
        <v>-</v>
      </c>
      <c r="I38" s="123" t="str">
        <f>_xlfn.XLOOKUP(E38,'All Products'!D:D,'All Products'!H:H,FALSE)</f>
        <v>Quote Required</v>
      </c>
      <c r="J38" s="130">
        <f>IFERROR(ROUNDUP(I38*Order_Quote!$L$14,2),0)</f>
        <v>0</v>
      </c>
      <c r="K38" s="118"/>
      <c r="L38" s="76"/>
      <c r="M38" s="114">
        <f t="shared" si="2"/>
        <v>0</v>
      </c>
      <c r="O38" s="215" t="str">
        <f>_xlfn.XLOOKUP(E38,'All Products'!D:D,'All Products'!I:I,FALSE)</f>
        <v>Within 6 Weeks</v>
      </c>
      <c r="P38" s="215" t="str">
        <f>_xlfn.XLOOKUP(E38,'All Products'!D:D,'All Products'!J:J,FALSE)</f>
        <v>Sourced</v>
      </c>
      <c r="Q38" s="266">
        <f>_xlfn.XLOOKUP(E38,'All Products'!D:D,'All Products'!K:K,FALSE)</f>
        <v>812361010884</v>
      </c>
      <c r="R38" s="266" t="str">
        <f>_xlfn.XLOOKUP(E38,'All Products'!D:D,'All Products'!L:L,FALSE)</f>
        <v>-</v>
      </c>
      <c r="S38" s="266" t="str">
        <f>_xlfn.XLOOKUP(E38,'All Products'!D:D,'All Products'!M:M,FALSE)</f>
        <v>-</v>
      </c>
      <c r="T38" s="264">
        <f>_xlfn.XLOOKUP(E38,'All Products'!D:D,'All Products'!N:N,FALSE)</f>
        <v>4.63</v>
      </c>
      <c r="U38" s="265">
        <f>_xlfn.XLOOKUP(E38,'All Products'!D:D,'All Products'!P:P,FALSE)</f>
        <v>37.04</v>
      </c>
      <c r="V38" s="265" t="str">
        <f>_xlfn.XLOOKUP(E38,'All Products'!D:D,'All Products'!Q:Q,FALSE)</f>
        <v>-</v>
      </c>
    </row>
    <row r="39" spans="1:22" ht="22.5" customHeight="1">
      <c r="A39" s="101" t="str">
        <f>IF(K39&gt;0,COUNT($A$8:A38)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39" s="615"/>
      <c r="C39" s="615"/>
      <c r="D39" s="51" t="str">
        <f>_xlfn.XLOOKUP(E39,'All Products'!D:D,'All Products'!C:C,FALSE)</f>
        <v>36-1062</v>
      </c>
      <c r="E39" s="52">
        <v>300005744</v>
      </c>
      <c r="F39" s="53" t="str">
        <f>_xlfn.XLOOKUP(E39,'All Products'!D:D,'All Products'!E:E,FALSE)</f>
        <v>4 MALE ADAPTER HXMIPT SDR35 SW</v>
      </c>
      <c r="G39" s="124">
        <f>_xlfn.XLOOKUP(E39,'All Products'!D:D,'All Products'!F:F,FALSE)</f>
        <v>30</v>
      </c>
      <c r="H39" s="124" t="str">
        <f>_xlfn.XLOOKUP(E39,'All Products'!D:D,'All Products'!G:G,FALSE)</f>
        <v>-</v>
      </c>
      <c r="I39" s="123" t="str">
        <f>_xlfn.XLOOKUP(E39,'All Products'!D:D,'All Products'!H:H,FALSE)</f>
        <v>Quote Required</v>
      </c>
      <c r="J39" s="130">
        <f>IFERROR(ROUNDUP(I39*Order_Quote!$L$14,2),0)</f>
        <v>0</v>
      </c>
      <c r="K39" s="122"/>
      <c r="L39" s="76"/>
      <c r="M39" s="114">
        <f t="shared" si="2"/>
        <v>0</v>
      </c>
      <c r="O39" s="215" t="str">
        <f>_xlfn.XLOOKUP(E39,'All Products'!D:D,'All Products'!I:I,FALSE)</f>
        <v>Within 6 Weeks</v>
      </c>
      <c r="P39" s="215" t="str">
        <f>_xlfn.XLOOKUP(E39,'All Products'!D:D,'All Products'!J:J,FALSE)</f>
        <v>Sourced</v>
      </c>
      <c r="Q39" s="266">
        <f>_xlfn.XLOOKUP(E39,'All Products'!D:D,'All Products'!K:K,FALSE)</f>
        <v>812361010952</v>
      </c>
      <c r="R39" s="266" t="str">
        <f>_xlfn.XLOOKUP(E39,'All Products'!D:D,'All Products'!L:L,FALSE)</f>
        <v>-</v>
      </c>
      <c r="S39" s="266" t="str">
        <f>_xlfn.XLOOKUP(E39,'All Products'!D:D,'All Products'!M:M,FALSE)</f>
        <v>-</v>
      </c>
      <c r="T39" s="264">
        <f>_xlfn.XLOOKUP(E39,'All Products'!D:D,'All Products'!N:N,FALSE)</f>
        <v>0.86</v>
      </c>
      <c r="U39" s="265">
        <f>_xlfn.XLOOKUP(E39,'All Products'!D:D,'All Products'!P:P,FALSE)</f>
        <v>25.8</v>
      </c>
      <c r="V39" s="265" t="str">
        <f>_xlfn.XLOOKUP(E39,'All Products'!D:D,'All Products'!Q:Q,FALSE)</f>
        <v>-</v>
      </c>
    </row>
    <row r="40" spans="1:22" ht="25.5" customHeight="1">
      <c r="A40" s="101" t="str">
        <f>IF(K40&gt;0,COUNT($A$8:A39)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40" s="615"/>
      <c r="C40" s="615"/>
      <c r="D40" s="51" t="str">
        <f>_xlfn.XLOOKUP(E40,'All Products'!D:D,'All Products'!C:C,FALSE)</f>
        <v>36-1063</v>
      </c>
      <c r="E40" s="52">
        <v>300005513</v>
      </c>
      <c r="F40" s="53" t="str">
        <f>_xlfn.XLOOKUP(E40,'All Products'!D:D,'All Products'!E:E,FALSE)</f>
        <v>6 MALE ADAPTER HXMIPT SDR35 SW</v>
      </c>
      <c r="G40" s="124">
        <f>_xlfn.XLOOKUP(E40,'All Products'!D:D,'All Products'!F:F,FALSE)</f>
        <v>3</v>
      </c>
      <c r="H40" s="124" t="str">
        <f>_xlfn.XLOOKUP(E40,'All Products'!D:D,'All Products'!G:G,FALSE)</f>
        <v>-</v>
      </c>
      <c r="I40" s="123" t="str">
        <f>_xlfn.XLOOKUP(E40,'All Products'!D:D,'All Products'!H:H,FALSE)</f>
        <v>Quote Required</v>
      </c>
      <c r="J40" s="130">
        <f>IFERROR(ROUNDUP(I40*Order_Quote!$L$14,2),0)</f>
        <v>0</v>
      </c>
      <c r="K40" s="118"/>
      <c r="L40" s="76"/>
      <c r="M40" s="114">
        <f t="shared" si="2"/>
        <v>0</v>
      </c>
      <c r="O40" s="215" t="str">
        <f>_xlfn.XLOOKUP(E40,'All Products'!D:D,'All Products'!I:I,FALSE)</f>
        <v>Within 6 Weeks</v>
      </c>
      <c r="P40" s="215" t="str">
        <f>_xlfn.XLOOKUP(E40,'All Products'!D:D,'All Products'!J:J,FALSE)</f>
        <v>Sourced</v>
      </c>
      <c r="Q40" s="266">
        <f>_xlfn.XLOOKUP(E40,'All Products'!D:D,'All Products'!K:K,FALSE)</f>
        <v>812361010976</v>
      </c>
      <c r="R40" s="266" t="str">
        <f>_xlfn.XLOOKUP(E40,'All Products'!D:D,'All Products'!L:L,FALSE)</f>
        <v>-</v>
      </c>
      <c r="S40" s="266" t="str">
        <f>_xlfn.XLOOKUP(E40,'All Products'!D:D,'All Products'!M:M,FALSE)</f>
        <v>-</v>
      </c>
      <c r="T40" s="264">
        <f>_xlfn.XLOOKUP(E40,'All Products'!D:D,'All Products'!N:N,FALSE)</f>
        <v>2.601</v>
      </c>
      <c r="U40" s="265">
        <f>_xlfn.XLOOKUP(E40,'All Products'!D:D,'All Products'!P:P,FALSE)</f>
        <v>7.8029999999999999</v>
      </c>
      <c r="V40" s="265" t="str">
        <f>_xlfn.XLOOKUP(E40,'All Products'!D:D,'All Products'!Q:Q,FALSE)</f>
        <v>-</v>
      </c>
    </row>
    <row r="41" spans="1:22" ht="40.5" customHeight="1">
      <c r="A41" s="101" t="str">
        <f>IF(K41&gt;0,COUNT($A$8:A40)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41" s="616"/>
      <c r="C41" s="617"/>
      <c r="D41" s="51" t="str">
        <f>_xlfn.XLOOKUP(E41,'All Products'!D:D,'All Products'!C:C,FALSE)</f>
        <v>36-805</v>
      </c>
      <c r="E41" s="52">
        <v>300005480</v>
      </c>
      <c r="F41" s="53" t="str">
        <f>_xlfn.XLOOKUP(E41,'All Products'!D:D,'All Products'!E:E,FALSE)</f>
        <v>4 ADAPTER CORR SPGXSWR HUB SDR35SW</v>
      </c>
      <c r="G41" s="124">
        <f>_xlfn.XLOOKUP(E41,'All Products'!D:D,'All Products'!F:F,FALSE)</f>
        <v>24</v>
      </c>
      <c r="H41" s="124" t="str">
        <f>_xlfn.XLOOKUP(E41,'All Products'!D:D,'All Products'!G:G,FALSE)</f>
        <v>-</v>
      </c>
      <c r="I41" s="123" t="str">
        <f>_xlfn.XLOOKUP(E41,'All Products'!D:D,'All Products'!H:H,FALSE)</f>
        <v>Quote Required</v>
      </c>
      <c r="J41" s="130">
        <f>IFERROR(ROUNDUP(I41*Order_Quote!$L$14,2),0)</f>
        <v>0</v>
      </c>
      <c r="K41" s="118"/>
      <c r="L41" s="76"/>
      <c r="M41" s="114">
        <f t="shared" si="2"/>
        <v>0</v>
      </c>
      <c r="O41" s="215" t="str">
        <f>_xlfn.XLOOKUP(E41,'All Products'!D:D,'All Products'!I:I,FALSE)</f>
        <v>Within 6 Weeks</v>
      </c>
      <c r="P41" s="215" t="str">
        <f>_xlfn.XLOOKUP(E41,'All Products'!D:D,'All Products'!J:J,FALSE)</f>
        <v>Sourced</v>
      </c>
      <c r="Q41" s="266">
        <f>_xlfn.XLOOKUP(E41,'All Products'!D:D,'All Products'!K:K,FALSE)</f>
        <v>816842022083</v>
      </c>
      <c r="R41" s="266" t="str">
        <f>_xlfn.XLOOKUP(E41,'All Products'!D:D,'All Products'!L:L,FALSE)</f>
        <v>-</v>
      </c>
      <c r="S41" s="266" t="str">
        <f>_xlfn.XLOOKUP(E41,'All Products'!D:D,'All Products'!M:M,FALSE)</f>
        <v>-</v>
      </c>
      <c r="T41" s="264">
        <f>_xlfn.XLOOKUP(E41,'All Products'!D:D,'All Products'!N:N,FALSE)</f>
        <v>0.34</v>
      </c>
      <c r="U41" s="265">
        <f>_xlfn.XLOOKUP(E41,'All Products'!D:D,'All Products'!P:P,FALSE)</f>
        <v>8.16</v>
      </c>
      <c r="V41" s="265" t="str">
        <f>_xlfn.XLOOKUP(E41,'All Products'!D:D,'All Products'!Q:Q,FALSE)</f>
        <v>-</v>
      </c>
    </row>
    <row r="42" spans="1:22">
      <c r="A42" s="101" t="str">
        <f>IF(K42&gt;0,COUNT($A$8:A41)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42" s="107"/>
      <c r="C42" s="108"/>
      <c r="D42" s="51" t="str">
        <f>_xlfn.XLOOKUP(E42,'All Products'!D:D,'All Products'!C:C,FALSE)</f>
        <v>36-2059</v>
      </c>
      <c r="E42" s="52">
        <v>300005752</v>
      </c>
      <c r="F42" s="53" t="str">
        <f>_xlfn.XLOOKUP(E42,'All Products'!D:D,'All Products'!E:E,FALSE)</f>
        <v>3 ADAPTER DWV SPGXSWR HUB SDR35SW</v>
      </c>
      <c r="G42" s="124">
        <f>_xlfn.XLOOKUP(E42,'All Products'!D:D,'All Products'!F:F,FALSE)</f>
        <v>25</v>
      </c>
      <c r="H42" s="124">
        <f>_xlfn.XLOOKUP(E42,'All Products'!D:D,'All Products'!G:G,FALSE)</f>
        <v>2400</v>
      </c>
      <c r="I42" s="123" t="str">
        <f>_xlfn.XLOOKUP(E42,'All Products'!D:D,'All Products'!H:H,FALSE)</f>
        <v>Quote Required</v>
      </c>
      <c r="J42" s="130">
        <f>IFERROR(ROUNDUP(I42*Order_Quote!$L$14,2),0)</f>
        <v>0</v>
      </c>
      <c r="K42" s="118"/>
      <c r="L42" s="76"/>
      <c r="M42" s="114">
        <f t="shared" si="2"/>
        <v>0</v>
      </c>
      <c r="O42" s="215" t="str">
        <f>_xlfn.XLOOKUP(E42,'All Products'!D:D,'All Products'!I:I,FALSE)</f>
        <v>Within 6 Weeks</v>
      </c>
      <c r="P42" s="215" t="str">
        <f>_xlfn.XLOOKUP(E42,'All Products'!D:D,'All Products'!J:J,FALSE)</f>
        <v>Sourced</v>
      </c>
      <c r="Q42" s="266">
        <f>_xlfn.XLOOKUP(E42,'All Products'!D:D,'All Products'!K:K,FALSE)</f>
        <v>810673012480</v>
      </c>
      <c r="R42" s="266" t="str">
        <f>_xlfn.XLOOKUP(E42,'All Products'!D:D,'All Products'!L:L,FALSE)</f>
        <v>-</v>
      </c>
      <c r="S42" s="266">
        <f>_xlfn.XLOOKUP(E42,'All Products'!D:D,'All Products'!M:M,FALSE)</f>
        <v>10810673012487</v>
      </c>
      <c r="T42" s="264">
        <f>_xlfn.XLOOKUP(E42,'All Products'!D:D,'All Products'!N:N,FALSE)</f>
        <v>0.33</v>
      </c>
      <c r="U42" s="265">
        <f>_xlfn.XLOOKUP(E42,'All Products'!D:D,'All Products'!P:P,FALSE)</f>
        <v>8.25</v>
      </c>
      <c r="V42" s="265" t="str">
        <f>_xlfn.XLOOKUP(E42,'All Products'!D:D,'All Products'!Q:Q,FALSE)</f>
        <v>-</v>
      </c>
    </row>
    <row r="43" spans="1:22">
      <c r="A43" s="101" t="str">
        <f>IF(K43&gt;0,COUNT($A$8:A42)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43" s="109"/>
      <c r="C43" s="76"/>
      <c r="D43" s="51" t="str">
        <f>_xlfn.XLOOKUP(E43,'All Products'!D:D,'All Products'!C:C,FALSE)</f>
        <v>36-566</v>
      </c>
      <c r="E43" s="52">
        <v>100030860</v>
      </c>
      <c r="F43" s="53" t="str">
        <f>_xlfn.XLOOKUP(E43,'All Products'!D:D,'All Products'!E:E,FALSE)</f>
        <v>4 ADAPTER DWV SPGXSWR HUB SDR35SW</v>
      </c>
      <c r="G43" s="124">
        <f>_xlfn.XLOOKUP(E43,'All Products'!D:D,'All Products'!F:F,FALSE)</f>
        <v>25</v>
      </c>
      <c r="H43" s="124">
        <f>_xlfn.XLOOKUP(E43,'All Products'!D:D,'All Products'!G:G,FALSE)</f>
        <v>1800</v>
      </c>
      <c r="I43" s="123">
        <f>_xlfn.XLOOKUP(E43,'All Products'!D:D,'All Products'!H:H,FALSE)</f>
        <v>29.94</v>
      </c>
      <c r="J43" s="130">
        <f>IFERROR(ROUNDUP(I43*Order_Quote!$L$14,2),0)</f>
        <v>29.94</v>
      </c>
      <c r="K43" s="122"/>
      <c r="L43" s="76"/>
      <c r="M43" s="114">
        <f t="shared" si="2"/>
        <v>0</v>
      </c>
      <c r="O43" s="215" t="str">
        <f>_xlfn.XLOOKUP(E43,'All Products'!D:D,'All Products'!I:I,FALSE)</f>
        <v>In Stock</v>
      </c>
      <c r="P43" s="215" t="str">
        <f>_xlfn.XLOOKUP(E43,'All Products'!D:D,'All Products'!J:J,FALSE)</f>
        <v>Manufactured</v>
      </c>
      <c r="Q43" s="266">
        <f>_xlfn.XLOOKUP(E43,'All Products'!D:D,'All Products'!K:K,FALSE)</f>
        <v>812361012079</v>
      </c>
      <c r="R43" s="266" t="str">
        <f>_xlfn.XLOOKUP(E43,'All Products'!D:D,'All Products'!L:L,FALSE)</f>
        <v>-</v>
      </c>
      <c r="S43" s="266">
        <f>_xlfn.XLOOKUP(E43,'All Products'!D:D,'All Products'!M:M,FALSE)</f>
        <v>816842020102</v>
      </c>
      <c r="T43" s="264">
        <f>_xlfn.XLOOKUP(E43,'All Products'!D:D,'All Products'!N:N,FALSE)</f>
        <v>0.216</v>
      </c>
      <c r="U43" s="265">
        <f>_xlfn.XLOOKUP(E43,'All Products'!D:D,'All Products'!P:P,FALSE)</f>
        <v>6.6000000000000005</v>
      </c>
      <c r="V43" s="265">
        <f>_xlfn.XLOOKUP(E43,'All Products'!D:D,'All Products'!Q:Q,FALSE)</f>
        <v>0.98955954024750914</v>
      </c>
    </row>
    <row r="44" spans="1:22">
      <c r="A44" s="101" t="str">
        <f>IF(K44&gt;0,COUNT($A$8:A43)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44" s="109"/>
      <c r="C44" s="76"/>
      <c r="D44" s="51" t="str">
        <f>_xlfn.XLOOKUP(E44,'All Products'!D:D,'All Products'!C:C,FALSE)</f>
        <v>36-567</v>
      </c>
      <c r="E44" s="52">
        <v>300005499</v>
      </c>
      <c r="F44" s="53" t="str">
        <f>_xlfn.XLOOKUP(E44,'All Products'!D:D,'All Products'!E:E,FALSE)</f>
        <v>6 ADAPTER DWV SPGXSWR HUB SDR35SW</v>
      </c>
      <c r="G44" s="124">
        <f>_xlfn.XLOOKUP(E44,'All Products'!D:D,'All Products'!F:F,FALSE)</f>
        <v>10</v>
      </c>
      <c r="H44" s="124">
        <f>_xlfn.XLOOKUP(E44,'All Products'!D:D,'All Products'!G:G,FALSE)</f>
        <v>400</v>
      </c>
      <c r="I44" s="123" t="str">
        <f>_xlfn.XLOOKUP(E44,'All Products'!D:D,'All Products'!H:H,FALSE)</f>
        <v>Quote Required</v>
      </c>
      <c r="J44" s="130">
        <f>IFERROR(ROUNDUP(I44*Order_Quote!$L$14,2),0)</f>
        <v>0</v>
      </c>
      <c r="K44" s="118"/>
      <c r="L44" s="76"/>
      <c r="M44" s="114">
        <f t="shared" si="2"/>
        <v>0</v>
      </c>
      <c r="O44" s="215" t="str">
        <f>_xlfn.XLOOKUP(E44,'All Products'!D:D,'All Products'!I:I,FALSE)</f>
        <v>Within 3 Weeks</v>
      </c>
      <c r="P44" s="215" t="str">
        <f>_xlfn.XLOOKUP(E44,'All Products'!D:D,'All Products'!J:J,FALSE)</f>
        <v>Sourced</v>
      </c>
      <c r="Q44" s="266">
        <f>_xlfn.XLOOKUP(E44,'All Products'!D:D,'All Products'!K:K,FALSE)</f>
        <v>810116843404</v>
      </c>
      <c r="R44" s="266" t="str">
        <f>_xlfn.XLOOKUP(E44,'All Products'!D:D,'All Products'!L:L,FALSE)</f>
        <v>-</v>
      </c>
      <c r="S44" s="266" t="str">
        <f>_xlfn.XLOOKUP(E44,'All Products'!D:D,'All Products'!M:M,FALSE)</f>
        <v>-</v>
      </c>
      <c r="T44" s="264">
        <f>_xlfn.XLOOKUP(E44,'All Products'!D:D,'All Products'!N:N,FALSE)</f>
        <v>1.5920000000000001</v>
      </c>
      <c r="U44" s="265">
        <f>_xlfn.XLOOKUP(E44,'All Products'!D:D,'All Products'!P:P,FALSE)</f>
        <v>15.920000000000002</v>
      </c>
      <c r="V44" s="265" t="str">
        <f>_xlfn.XLOOKUP(E44,'All Products'!D:D,'All Products'!Q:Q,FALSE)</f>
        <v>-</v>
      </c>
    </row>
    <row r="45" spans="1:22">
      <c r="A45" s="101" t="str">
        <f>IF(K45&gt;0,COUNT($A$8:A44)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45" s="107"/>
      <c r="C45" s="108"/>
      <c r="D45" s="51" t="str">
        <f>_xlfn.XLOOKUP(E45,'All Products'!D:D,'All Products'!C:C,FALSE)</f>
        <v>36-656</v>
      </c>
      <c r="E45" s="52">
        <v>100029407</v>
      </c>
      <c r="F45" s="53" t="str">
        <f>_xlfn.XLOOKUP(E45,'All Products'!D:D,'All Products'!E:E,FALSE)</f>
        <v>4 ADAPTER SPGXDWV H SDR35 SW</v>
      </c>
      <c r="G45" s="124">
        <f>_xlfn.XLOOKUP(E45,'All Products'!D:D,'All Products'!F:F,FALSE)</f>
        <v>36</v>
      </c>
      <c r="H45" s="124">
        <f>_xlfn.XLOOKUP(E45,'All Products'!D:D,'All Products'!G:G,FALSE)</f>
        <v>864</v>
      </c>
      <c r="I45" s="123">
        <f>_xlfn.XLOOKUP(E45,'All Products'!D:D,'All Products'!H:H,FALSE)</f>
        <v>76.3</v>
      </c>
      <c r="J45" s="130">
        <f>IFERROR(ROUNDUP(I45*Order_Quote!$L$14,2),0)</f>
        <v>76.3</v>
      </c>
      <c r="K45" s="122"/>
      <c r="L45" s="76"/>
      <c r="M45" s="114">
        <f t="shared" si="2"/>
        <v>0</v>
      </c>
      <c r="O45" s="215" t="str">
        <f>_xlfn.XLOOKUP(E45,'All Products'!D:D,'All Products'!I:I,FALSE)</f>
        <v>In Stock</v>
      </c>
      <c r="P45" s="215" t="str">
        <f>_xlfn.XLOOKUP(E45,'All Products'!D:D,'All Products'!J:J,FALSE)</f>
        <v>Manufactured</v>
      </c>
      <c r="Q45" s="266">
        <f>_xlfn.XLOOKUP(E45,'All Products'!D:D,'All Products'!K:K,FALSE)</f>
        <v>812361010624</v>
      </c>
      <c r="R45" s="266" t="str">
        <f>_xlfn.XLOOKUP(E45,'All Products'!D:D,'All Products'!L:L,FALSE)</f>
        <v>-</v>
      </c>
      <c r="S45" s="266">
        <f>_xlfn.XLOOKUP(E45,'All Products'!D:D,'All Products'!M:M,FALSE)</f>
        <v>10812361010621</v>
      </c>
      <c r="T45" s="264">
        <f>_xlfn.XLOOKUP(E45,'All Products'!D:D,'All Products'!N:N,FALSE)</f>
        <v>0.60899999999999999</v>
      </c>
      <c r="U45" s="265">
        <f>_xlfn.XLOOKUP(E45,'All Products'!D:D,'All Products'!P:P,FALSE)</f>
        <v>24.12</v>
      </c>
      <c r="V45" s="265">
        <f>_xlfn.XLOOKUP(E45,'All Products'!D:D,'All Products'!Q:Q,FALSE)</f>
        <v>1.8803145838984718</v>
      </c>
    </row>
    <row r="46" spans="1:22">
      <c r="A46" s="101" t="str">
        <f>IF(K46&gt;0,COUNT($A$8:A45)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46" s="109"/>
      <c r="C46" s="76"/>
      <c r="D46" s="51" t="str">
        <f>_xlfn.XLOOKUP(E46,'All Products'!D:D,'All Products'!C:C,FALSE)</f>
        <v>36-658</v>
      </c>
      <c r="E46" s="52">
        <v>100031010</v>
      </c>
      <c r="F46" s="53" t="str">
        <f>_xlfn.XLOOKUP(E46,'All Products'!D:D,'All Products'!E:E,FALSE)</f>
        <v>6 ADAPTER SPGXDWV H SDR35 SW</v>
      </c>
      <c r="G46" s="124">
        <f>_xlfn.XLOOKUP(E46,'All Products'!D:D,'All Products'!F:F,FALSE)</f>
        <v>25</v>
      </c>
      <c r="H46" s="124">
        <f>_xlfn.XLOOKUP(E46,'All Products'!D:D,'All Products'!G:G,FALSE)</f>
        <v>300</v>
      </c>
      <c r="I46" s="123">
        <f>_xlfn.XLOOKUP(E46,'All Products'!D:D,'All Products'!H:H,FALSE)</f>
        <v>174.26</v>
      </c>
      <c r="J46" s="130">
        <f>IFERROR(ROUNDUP(I46*Order_Quote!$L$14,2),0)</f>
        <v>174.26</v>
      </c>
      <c r="K46" s="118"/>
      <c r="L46" s="76"/>
      <c r="M46" s="114">
        <f t="shared" si="2"/>
        <v>0</v>
      </c>
      <c r="O46" s="215" t="str">
        <f>_xlfn.XLOOKUP(E46,'All Products'!D:D,'All Products'!I:I,FALSE)</f>
        <v>In Stock</v>
      </c>
      <c r="P46" s="215" t="str">
        <f>_xlfn.XLOOKUP(E46,'All Products'!D:D,'All Products'!J:J,FALSE)</f>
        <v>Manufactured</v>
      </c>
      <c r="Q46" s="266">
        <f>_xlfn.XLOOKUP(E46,'All Products'!D:D,'All Products'!K:K,FALSE)</f>
        <v>812361010648</v>
      </c>
      <c r="R46" s="266" t="str">
        <f>_xlfn.XLOOKUP(E46,'All Products'!D:D,'All Products'!L:L,FALSE)</f>
        <v>-</v>
      </c>
      <c r="S46" s="266">
        <f>_xlfn.XLOOKUP(E46,'All Products'!D:D,'All Products'!M:M,FALSE)</f>
        <v>812361015551</v>
      </c>
      <c r="T46" s="264">
        <f>_xlfn.XLOOKUP(E46,'All Products'!D:D,'All Products'!N:N,FALSE)</f>
        <v>1.78</v>
      </c>
      <c r="U46" s="265">
        <f>_xlfn.XLOOKUP(E46,'All Products'!D:D,'All Products'!P:P,FALSE)</f>
        <v>47.55</v>
      </c>
      <c r="V46" s="265">
        <f>_xlfn.XLOOKUP(E46,'All Products'!D:D,'All Products'!Q:Q,FALSE)</f>
        <v>3.6731726755225957</v>
      </c>
    </row>
    <row r="47" spans="1:22">
      <c r="A47" s="101" t="str">
        <f>IF(K47&gt;0,COUNT($A$8:A46)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47" s="109"/>
      <c r="C47" s="76"/>
      <c r="D47" s="51" t="str">
        <f>_xlfn.XLOOKUP(E47,'All Products'!D:D,'All Products'!C:C,FALSE)</f>
        <v>36-6551</v>
      </c>
      <c r="E47" s="52">
        <v>300005491</v>
      </c>
      <c r="F47" s="53" t="str">
        <f>_xlfn.XLOOKUP(E47,'All Products'!D:D,'All Products'!E:E,FALSE)</f>
        <v>4X1-1/2 ADAPTER SPGXDWV H SDR35 SW</v>
      </c>
      <c r="G47" s="124">
        <f>_xlfn.XLOOKUP(E47,'All Products'!D:D,'All Products'!F:F,FALSE)</f>
        <v>25</v>
      </c>
      <c r="H47" s="124">
        <f>_xlfn.XLOOKUP(E47,'All Products'!D:D,'All Products'!G:G,FALSE)</f>
        <v>1800</v>
      </c>
      <c r="I47" s="123" t="str">
        <f>_xlfn.XLOOKUP(E47,'All Products'!D:D,'All Products'!H:H,FALSE)</f>
        <v>Quote Required</v>
      </c>
      <c r="J47" s="130">
        <f>IFERROR(ROUNDUP(I47*Order_Quote!$L$14,2),0)</f>
        <v>0</v>
      </c>
      <c r="K47" s="118"/>
      <c r="L47" s="76"/>
      <c r="M47" s="114">
        <f t="shared" si="2"/>
        <v>0</v>
      </c>
      <c r="O47" s="215" t="str">
        <f>_xlfn.XLOOKUP(E47,'All Products'!D:D,'All Products'!I:I,FALSE)</f>
        <v>Within 6 Weeks</v>
      </c>
      <c r="P47" s="215" t="str">
        <f>_xlfn.XLOOKUP(E47,'All Products'!D:D,'All Products'!J:J,FALSE)</f>
        <v>Sourced</v>
      </c>
      <c r="Q47" s="266">
        <f>_xlfn.XLOOKUP(E47,'All Products'!D:D,'All Products'!K:K,FALSE)</f>
        <v>812361017456</v>
      </c>
      <c r="R47" s="266" t="str">
        <f>_xlfn.XLOOKUP(E47,'All Products'!D:D,'All Products'!L:L,FALSE)</f>
        <v>-</v>
      </c>
      <c r="S47" s="266">
        <f>_xlfn.XLOOKUP(E47,'All Products'!D:D,'All Products'!M:M,FALSE)</f>
        <v>10812361017453</v>
      </c>
      <c r="T47" s="264">
        <f>_xlfn.XLOOKUP(E47,'All Products'!D:D,'All Products'!N:N,FALSE)</f>
        <v>0.4</v>
      </c>
      <c r="U47" s="265">
        <f>_xlfn.XLOOKUP(E47,'All Products'!D:D,'All Products'!P:P,FALSE)</f>
        <v>10</v>
      </c>
      <c r="V47" s="265" t="str">
        <f>_xlfn.XLOOKUP(E47,'All Products'!D:D,'All Products'!Q:Q,FALSE)</f>
        <v>-</v>
      </c>
    </row>
    <row r="48" spans="1:22">
      <c r="A48" s="101" t="str">
        <f>IF(K48&gt;0,COUNT($A$8:A47)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48" s="109"/>
      <c r="C48" s="76"/>
      <c r="D48" s="51" t="str">
        <f>_xlfn.XLOOKUP(E48,'All Products'!D:D,'All Products'!C:C,FALSE)</f>
        <v>36-6552</v>
      </c>
      <c r="E48" s="52">
        <v>300005756</v>
      </c>
      <c r="F48" s="53" t="str">
        <f>_xlfn.XLOOKUP(E48,'All Products'!D:D,'All Products'!E:E,FALSE)</f>
        <v>4X2 ADAPTER SPGXDWV H SDR35 SW</v>
      </c>
      <c r="G48" s="124">
        <f>_xlfn.XLOOKUP(E48,'All Products'!D:D,'All Products'!F:F,FALSE)</f>
        <v>25</v>
      </c>
      <c r="H48" s="124">
        <f>_xlfn.XLOOKUP(E48,'All Products'!D:D,'All Products'!G:G,FALSE)</f>
        <v>1800</v>
      </c>
      <c r="I48" s="123" t="str">
        <f>_xlfn.XLOOKUP(E48,'All Products'!D:D,'All Products'!H:H,FALSE)</f>
        <v>Quote Required</v>
      </c>
      <c r="J48" s="130">
        <f>IFERROR(ROUNDUP(I48*Order_Quote!$L$14,2),0)</f>
        <v>0</v>
      </c>
      <c r="K48" s="118"/>
      <c r="L48" s="76"/>
      <c r="M48" s="114">
        <f t="shared" si="2"/>
        <v>0</v>
      </c>
      <c r="O48" s="215" t="str">
        <f>_xlfn.XLOOKUP(E48,'All Products'!D:D,'All Products'!I:I,FALSE)</f>
        <v>Within 3 Weeks</v>
      </c>
      <c r="P48" s="215" t="str">
        <f>_xlfn.XLOOKUP(E48,'All Products'!D:D,'All Products'!J:J,FALSE)</f>
        <v>Sourced</v>
      </c>
      <c r="Q48" s="266">
        <f>_xlfn.XLOOKUP(E48,'All Products'!D:D,'All Products'!K:K,FALSE)</f>
        <v>812361017470</v>
      </c>
      <c r="R48" s="266" t="str">
        <f>_xlfn.XLOOKUP(E48,'All Products'!D:D,'All Products'!L:L,FALSE)</f>
        <v>-</v>
      </c>
      <c r="S48" s="266" t="str">
        <f>_xlfn.XLOOKUP(E48,'All Products'!D:D,'All Products'!M:M,FALSE)</f>
        <v>-</v>
      </c>
      <c r="T48" s="264">
        <f>_xlfn.XLOOKUP(E48,'All Products'!D:D,'All Products'!N:N,FALSE)</f>
        <v>0.4</v>
      </c>
      <c r="U48" s="265">
        <f>_xlfn.XLOOKUP(E48,'All Products'!D:D,'All Products'!P:P,FALSE)</f>
        <v>10</v>
      </c>
      <c r="V48" s="265" t="str">
        <f>_xlfn.XLOOKUP(E48,'All Products'!D:D,'All Products'!Q:Q,FALSE)</f>
        <v>-</v>
      </c>
    </row>
    <row r="49" spans="1:22">
      <c r="A49" s="101" t="str">
        <f>IF(K49&gt;0,COUNT($A$8:A48)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49" s="109"/>
      <c r="C49" s="76"/>
      <c r="D49" s="51" t="str">
        <f>_xlfn.XLOOKUP(E49,'All Products'!D:D,'All Products'!C:C,FALSE)</f>
        <v>36-655</v>
      </c>
      <c r="E49" s="52">
        <v>300005495</v>
      </c>
      <c r="F49" s="53" t="str">
        <f>_xlfn.XLOOKUP(E49,'All Products'!D:D,'All Products'!E:E,FALSE)</f>
        <v>4X3 ADAPTER SPGXDWV H SDR35 SW</v>
      </c>
      <c r="G49" s="124">
        <f>_xlfn.XLOOKUP(E49,'All Products'!D:D,'All Products'!F:F,FALSE)</f>
        <v>15</v>
      </c>
      <c r="H49" s="124" t="str">
        <f>_xlfn.XLOOKUP(E49,'All Products'!D:D,'All Products'!G:G,FALSE)</f>
        <v>-</v>
      </c>
      <c r="I49" s="123" t="str">
        <f>_xlfn.XLOOKUP(E49,'All Products'!D:D,'All Products'!H:H,FALSE)</f>
        <v>Quote Required</v>
      </c>
      <c r="J49" s="130">
        <f>IFERROR(ROUNDUP(I49*Order_Quote!$L$14,2),0)</f>
        <v>0</v>
      </c>
      <c r="K49" s="122"/>
      <c r="L49" s="76"/>
      <c r="M49" s="114">
        <f t="shared" si="2"/>
        <v>0</v>
      </c>
      <c r="O49" s="215" t="str">
        <f>_xlfn.XLOOKUP(E49,'All Products'!D:D,'All Products'!I:I,FALSE)</f>
        <v>Within 6 Weeks</v>
      </c>
      <c r="P49" s="215" t="str">
        <f>_xlfn.XLOOKUP(E49,'All Products'!D:D,'All Products'!J:J,FALSE)</f>
        <v>Sourced</v>
      </c>
      <c r="Q49" s="266">
        <f>_xlfn.XLOOKUP(E49,'All Products'!D:D,'All Products'!K:K,FALSE)</f>
        <v>812361011720</v>
      </c>
      <c r="R49" s="266" t="str">
        <f>_xlfn.XLOOKUP(E49,'All Products'!D:D,'All Products'!L:L,FALSE)</f>
        <v>-</v>
      </c>
      <c r="S49" s="266" t="str">
        <f>_xlfn.XLOOKUP(E49,'All Products'!D:D,'All Products'!M:M,FALSE)</f>
        <v>-</v>
      </c>
      <c r="T49" s="264">
        <f>_xlfn.XLOOKUP(E49,'All Products'!D:D,'All Products'!N:N,FALSE)</f>
        <v>0.4</v>
      </c>
      <c r="U49" s="265">
        <f>_xlfn.XLOOKUP(E49,'All Products'!D:D,'All Products'!P:P,FALSE)</f>
        <v>6</v>
      </c>
      <c r="V49" s="265" t="str">
        <f>_xlfn.XLOOKUP(E49,'All Products'!D:D,'All Products'!Q:Q,FALSE)</f>
        <v>-</v>
      </c>
    </row>
    <row r="50" spans="1:22">
      <c r="A50" s="101" t="str">
        <f>IF(K50&gt;0,COUNT($A$8:A49)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50" s="109"/>
      <c r="C50" s="76"/>
      <c r="D50" s="51" t="str">
        <f>_xlfn.XLOOKUP(E50,'All Products'!D:D,'All Products'!C:C,FALSE)</f>
        <v>36-657</v>
      </c>
      <c r="E50" s="52">
        <v>100031313</v>
      </c>
      <c r="F50" s="53" t="str">
        <f>_xlfn.XLOOKUP(E50,'All Products'!D:D,'All Products'!E:E,FALSE)</f>
        <v>6X4 ADAPTER SPGXDWV H SDR35 SW</v>
      </c>
      <c r="G50" s="124">
        <f>_xlfn.XLOOKUP(E50,'All Products'!D:D,'All Products'!F:F,FALSE)</f>
        <v>12</v>
      </c>
      <c r="H50" s="124">
        <f>_xlfn.XLOOKUP(E50,'All Products'!D:D,'All Products'!G:G,FALSE)</f>
        <v>480</v>
      </c>
      <c r="I50" s="123">
        <f>_xlfn.XLOOKUP(E50,'All Products'!D:D,'All Products'!H:H,FALSE)</f>
        <v>131.69</v>
      </c>
      <c r="J50" s="130">
        <f>IFERROR(ROUNDUP(I50*Order_Quote!$L$14,2),0)</f>
        <v>131.69</v>
      </c>
      <c r="K50" s="118"/>
      <c r="L50" s="76"/>
      <c r="M50" s="114">
        <f t="shared" si="2"/>
        <v>0</v>
      </c>
      <c r="O50" s="215" t="str">
        <f>_xlfn.XLOOKUP(E50,'All Products'!D:D,'All Products'!I:I,FALSE)</f>
        <v>In Stock</v>
      </c>
      <c r="P50" s="215" t="str">
        <f>_xlfn.XLOOKUP(E50,'All Products'!D:D,'All Products'!J:J,FALSE)</f>
        <v>Manufactured</v>
      </c>
      <c r="Q50" s="266">
        <f>_xlfn.XLOOKUP(E50,'All Products'!D:D,'All Products'!K:K,FALSE)</f>
        <v>812361011751</v>
      </c>
      <c r="R50" s="266" t="str">
        <f>_xlfn.XLOOKUP(E50,'All Products'!D:D,'All Products'!L:L,FALSE)</f>
        <v>-</v>
      </c>
      <c r="S50" s="266">
        <f>_xlfn.XLOOKUP(E50,'All Products'!D:D,'All Products'!M:M,FALSE)</f>
        <v>10812361011758</v>
      </c>
      <c r="T50" s="264">
        <f>_xlfn.XLOOKUP(E50,'All Products'!D:D,'All Products'!N:N,FALSE)</f>
        <v>1.234</v>
      </c>
      <c r="U50" s="265">
        <f>_xlfn.XLOOKUP(E50,'All Products'!D:D,'All Products'!P:P,FALSE)</f>
        <v>16.968</v>
      </c>
      <c r="V50" s="265">
        <f>_xlfn.XLOOKUP(E50,'All Products'!D:D,'All Products'!Q:Q,FALSE)</f>
        <v>1.8803145838984718</v>
      </c>
    </row>
    <row r="51" spans="1:22">
      <c r="A51" s="101" t="str">
        <f>IF(K51&gt;0,COUNT($A$8:A50)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51" s="107"/>
      <c r="C51" s="108"/>
      <c r="D51" s="51" t="str">
        <f>_xlfn.XLOOKUP(E51,'All Products'!D:D,'All Products'!C:C,FALSE)</f>
        <v>36-6574</v>
      </c>
      <c r="E51" s="52">
        <v>100029414</v>
      </c>
      <c r="F51" s="53" t="str">
        <f>_xlfn.XLOOKUP(E51,'All Products'!D:D,'All Products'!E:E,FALSE)</f>
        <v>4 ADAPTER SWR HXDWV H SDR35 SW</v>
      </c>
      <c r="G51" s="124">
        <f>_xlfn.XLOOKUP(E51,'All Products'!D:D,'All Products'!F:F,FALSE)</f>
        <v>19</v>
      </c>
      <c r="H51" s="124">
        <f>_xlfn.XLOOKUP(E51,'All Products'!D:D,'All Products'!G:G,FALSE)</f>
        <v>855</v>
      </c>
      <c r="I51" s="123">
        <f>_xlfn.XLOOKUP(E51,'All Products'!D:D,'All Products'!H:H,FALSE)</f>
        <v>39.94</v>
      </c>
      <c r="J51" s="130">
        <f>IFERROR(ROUNDUP(I51*Order_Quote!$L$14,2),0)</f>
        <v>39.94</v>
      </c>
      <c r="K51" s="118"/>
      <c r="L51" s="76"/>
      <c r="M51" s="114">
        <f t="shared" si="2"/>
        <v>0</v>
      </c>
      <c r="O51" s="215" t="str">
        <f>_xlfn.XLOOKUP(E51,'All Products'!D:D,'All Products'!I:I,FALSE)</f>
        <v>In Stock</v>
      </c>
      <c r="P51" s="215" t="str">
        <f>_xlfn.XLOOKUP(E51,'All Products'!D:D,'All Products'!J:J,FALSE)</f>
        <v>Manufactured</v>
      </c>
      <c r="Q51" s="266">
        <f>_xlfn.XLOOKUP(E51,'All Products'!D:D,'All Products'!K:K,FALSE)</f>
        <v>810116843008</v>
      </c>
      <c r="R51" s="266" t="str">
        <f>_xlfn.XLOOKUP(E51,'All Products'!D:D,'All Products'!L:L,FALSE)</f>
        <v>-</v>
      </c>
      <c r="S51" s="266">
        <f>_xlfn.XLOOKUP(E51,'All Products'!D:D,'All Products'!M:M,FALSE)</f>
        <v>810116843015</v>
      </c>
      <c r="T51" s="264">
        <f>_xlfn.XLOOKUP(E51,'All Products'!D:D,'All Products'!N:N,FALSE)</f>
        <v>0.41199999999999998</v>
      </c>
      <c r="U51" s="265">
        <f>_xlfn.XLOOKUP(E51,'All Products'!D:D,'All Products'!P:P,FALSE)</f>
        <v>9.8990000000000009</v>
      </c>
      <c r="V51" s="265">
        <f>_xlfn.XLOOKUP(E51,'All Products'!D:D,'All Products'!Q:Q,FALSE)</f>
        <v>1.3788503419060438</v>
      </c>
    </row>
    <row r="52" spans="1:22">
      <c r="A52" s="101" t="str">
        <f>IF(K52&gt;0,COUNT($A$8:A51)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52" s="109"/>
      <c r="C52" s="76"/>
      <c r="D52" s="51" t="str">
        <f>_xlfn.XLOOKUP(E52,'All Products'!D:D,'All Products'!C:C,FALSE)</f>
        <v>36-662</v>
      </c>
      <c r="E52" s="52">
        <v>300005502</v>
      </c>
      <c r="F52" s="53" t="str">
        <f>_xlfn.XLOOKUP(E52,'All Products'!D:D,'All Products'!E:E,FALSE)</f>
        <v>6 ADAPTER SWR HXDWV H SDR35 SW</v>
      </c>
      <c r="G52" s="124">
        <f>_xlfn.XLOOKUP(E52,'All Products'!D:D,'All Products'!F:F,FALSE)</f>
        <v>12</v>
      </c>
      <c r="H52" s="124">
        <f>_xlfn.XLOOKUP(E52,'All Products'!D:D,'All Products'!G:G,FALSE)</f>
        <v>540</v>
      </c>
      <c r="I52" s="123" t="str">
        <f>_xlfn.XLOOKUP(E52,'All Products'!D:D,'All Products'!H:H,FALSE)</f>
        <v>Quote Required</v>
      </c>
      <c r="J52" s="130">
        <f>IFERROR(ROUNDUP(I52*Order_Quote!$L$14,2),0)</f>
        <v>0</v>
      </c>
      <c r="K52" s="118"/>
      <c r="L52" s="76"/>
      <c r="M52" s="114">
        <f t="shared" si="2"/>
        <v>0</v>
      </c>
      <c r="O52" s="215" t="str">
        <f>_xlfn.XLOOKUP(E52,'All Products'!D:D,'All Products'!I:I,FALSE)</f>
        <v>Within 3 Weeks</v>
      </c>
      <c r="P52" s="215" t="str">
        <f>_xlfn.XLOOKUP(E52,'All Products'!D:D,'All Products'!J:J,FALSE)</f>
        <v>Sourced</v>
      </c>
      <c r="Q52" s="266">
        <f>_xlfn.XLOOKUP(E52,'All Products'!D:D,'All Products'!K:K,FALSE)</f>
        <v>812361014172</v>
      </c>
      <c r="R52" s="266" t="str">
        <f>_xlfn.XLOOKUP(E52,'All Products'!D:D,'All Products'!L:L,FALSE)</f>
        <v>-</v>
      </c>
      <c r="S52" s="266">
        <f>_xlfn.XLOOKUP(E52,'All Products'!D:D,'All Products'!M:M,FALSE)</f>
        <v>10812361014179</v>
      </c>
      <c r="T52" s="264">
        <f>_xlfn.XLOOKUP(E52,'All Products'!D:D,'All Products'!N:N,FALSE)</f>
        <v>1.2789999999999999</v>
      </c>
      <c r="U52" s="265">
        <f>_xlfn.XLOOKUP(E52,'All Products'!D:D,'All Products'!P:P,FALSE)</f>
        <v>15.347999999999999</v>
      </c>
      <c r="V52" s="265" t="str">
        <f>_xlfn.XLOOKUP(E52,'All Products'!D:D,'All Products'!Q:Q,FALSE)</f>
        <v>-</v>
      </c>
    </row>
    <row r="53" spans="1:22">
      <c r="A53" s="101" t="str">
        <f>IF(K53&gt;0,COUNT($A$8:A52)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53" s="109"/>
      <c r="C53" s="76"/>
      <c r="D53" s="51" t="str">
        <f>_xlfn.XLOOKUP(E53,'All Products'!D:D,'All Products'!C:C,FALSE)</f>
        <v>36-659</v>
      </c>
      <c r="E53" s="52">
        <v>100029431</v>
      </c>
      <c r="F53" s="53" t="str">
        <f>_xlfn.XLOOKUP(E53,'All Products'!D:D,'All Products'!E:E,FALSE)</f>
        <v>4X3 ADAPTER SWR HXDWV H SDR35 SW</v>
      </c>
      <c r="G53" s="124">
        <f>_xlfn.XLOOKUP(E53,'All Products'!D:D,'All Products'!F:F,FALSE)</f>
        <v>48</v>
      </c>
      <c r="H53" s="124">
        <f>_xlfn.XLOOKUP(E53,'All Products'!D:D,'All Products'!G:G,FALSE)</f>
        <v>1152</v>
      </c>
      <c r="I53" s="123">
        <f>_xlfn.XLOOKUP(E53,'All Products'!D:D,'All Products'!H:H,FALSE)</f>
        <v>28.33</v>
      </c>
      <c r="J53" s="130">
        <f>IFERROR(ROUNDUP(I53*Order_Quote!$L$14,2),0)</f>
        <v>28.33</v>
      </c>
      <c r="K53" s="122"/>
      <c r="L53" s="76"/>
      <c r="M53" s="114">
        <f t="shared" si="2"/>
        <v>0</v>
      </c>
      <c r="O53" s="215" t="str">
        <f>_xlfn.XLOOKUP(E53,'All Products'!D:D,'All Products'!I:I,FALSE)</f>
        <v>In Stock</v>
      </c>
      <c r="P53" s="215" t="str">
        <f>_xlfn.XLOOKUP(E53,'All Products'!D:D,'All Products'!J:J,FALSE)</f>
        <v>Manufactured</v>
      </c>
      <c r="Q53" s="266">
        <f>_xlfn.XLOOKUP(E53,'All Products'!D:D,'All Products'!K:K,FALSE)</f>
        <v>812361010563</v>
      </c>
      <c r="R53" s="266" t="str">
        <f>_xlfn.XLOOKUP(E53,'All Products'!D:D,'All Products'!L:L,FALSE)</f>
        <v>-</v>
      </c>
      <c r="S53" s="266">
        <f>_xlfn.XLOOKUP(E53,'All Products'!D:D,'All Products'!M:M,FALSE)</f>
        <v>812361015384</v>
      </c>
      <c r="T53" s="264">
        <f>_xlfn.XLOOKUP(E53,'All Products'!D:D,'All Products'!N:N,FALSE)</f>
        <v>0.39</v>
      </c>
      <c r="U53" s="265">
        <f>_xlfn.XLOOKUP(E53,'All Products'!D:D,'All Products'!P:P,FALSE)</f>
        <v>20.928000000000001</v>
      </c>
      <c r="V53" s="265">
        <f>_xlfn.XLOOKUP(E53,'All Products'!D:D,'All Products'!Q:Q,FALSE)</f>
        <v>1.8803145838984718</v>
      </c>
    </row>
    <row r="54" spans="1:22" ht="15" thickBot="1">
      <c r="A54" s="101" t="str">
        <f>IF(K54&gt;0,COUNT($A$8:A53)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54" s="110"/>
      <c r="C54" s="111"/>
      <c r="D54" s="51" t="str">
        <f>_xlfn.XLOOKUP(E54,'All Products'!D:D,'All Products'!C:C,FALSE)</f>
        <v>36-661</v>
      </c>
      <c r="E54" s="52">
        <v>100031314</v>
      </c>
      <c r="F54" s="53" t="str">
        <f>_xlfn.XLOOKUP(E54,'All Products'!D:D,'All Products'!E:E,FALSE)</f>
        <v>6X4 ADAPTER SWR HXDWV H SDR35 SW</v>
      </c>
      <c r="G54" s="124">
        <f>_xlfn.XLOOKUP(E54,'All Products'!D:D,'All Products'!F:F,FALSE)</f>
        <v>24</v>
      </c>
      <c r="H54" s="124">
        <f>_xlfn.XLOOKUP(E54,'All Products'!D:D,'All Products'!G:G,FALSE)</f>
        <v>1080</v>
      </c>
      <c r="I54" s="123">
        <f>_xlfn.XLOOKUP(E54,'All Products'!D:D,'All Products'!H:H,FALSE)</f>
        <v>109.99</v>
      </c>
      <c r="J54" s="130">
        <f>IFERROR(ROUNDUP(I54*Order_Quote!$L$14,2),0)</f>
        <v>109.99</v>
      </c>
      <c r="K54" s="118"/>
      <c r="L54" s="76"/>
      <c r="M54" s="114">
        <f t="shared" si="2"/>
        <v>0</v>
      </c>
      <c r="O54" s="215" t="str">
        <f>_xlfn.XLOOKUP(E54,'All Products'!D:D,'All Products'!I:I,FALSE)</f>
        <v>In Stock</v>
      </c>
      <c r="P54" s="215" t="str">
        <f>_xlfn.XLOOKUP(E54,'All Products'!D:D,'All Products'!J:J,FALSE)</f>
        <v>Manufactured</v>
      </c>
      <c r="Q54" s="266">
        <f>_xlfn.XLOOKUP(E54,'All Products'!D:D,'All Products'!K:K,FALSE)</f>
        <v>812361019757</v>
      </c>
      <c r="R54" s="266" t="str">
        <f>_xlfn.XLOOKUP(E54,'All Products'!D:D,'All Products'!L:L,FALSE)</f>
        <v>-</v>
      </c>
      <c r="S54" s="266">
        <f>_xlfn.XLOOKUP(E54,'All Products'!D:D,'All Products'!M:M,FALSE)</f>
        <v>10812361019754</v>
      </c>
      <c r="T54" s="264">
        <f>_xlfn.XLOOKUP(E54,'All Products'!D:D,'All Products'!N:N,FALSE)</f>
        <v>1.234</v>
      </c>
      <c r="U54" s="265">
        <f>_xlfn.XLOOKUP(E54,'All Products'!D:D,'All Products'!P:P,FALSE)</f>
        <v>31.536000000000001</v>
      </c>
      <c r="V54" s="265">
        <f>_xlfn.XLOOKUP(E54,'All Products'!D:D,'All Products'!Q:Q,FALSE)</f>
        <v>2.7986077527791204</v>
      </c>
    </row>
    <row r="55" spans="1:22" ht="16.2" thickBot="1">
      <c r="A55" s="101" t="str">
        <f>IF(K55&gt;0,COUNT($A$8:A54)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55" s="501" t="s">
        <v>5850</v>
      </c>
      <c r="C55" s="151"/>
      <c r="D55" s="151"/>
      <c r="E55" s="459"/>
      <c r="F55" s="151"/>
      <c r="G55" s="468"/>
      <c r="H55" s="151"/>
      <c r="I55" s="472"/>
      <c r="J55" s="468"/>
      <c r="K55" s="477"/>
      <c r="L55" s="238"/>
      <c r="M55" s="476"/>
      <c r="O55" s="494"/>
      <c r="P55" s="478"/>
      <c r="Q55" s="492"/>
      <c r="R55" s="492"/>
      <c r="S55" s="492"/>
      <c r="T55" s="495"/>
      <c r="U55" s="496"/>
      <c r="V55" s="497"/>
    </row>
    <row r="56" spans="1:22">
      <c r="A56" s="101" t="str">
        <f>IF(K56&gt;0,COUNT($A$8:A55)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56" s="615"/>
      <c r="C56" s="615"/>
      <c r="D56" s="51" t="str">
        <f>_xlfn.XLOOKUP(E56,'All Products'!D:D,'All Products'!C:C,FALSE)</f>
        <v>36-6555</v>
      </c>
      <c r="E56" s="52">
        <v>100029530</v>
      </c>
      <c r="F56" s="53" t="str">
        <f>_xlfn.XLOOKUP(E56,'All Products'!D:D,'All Products'!E:E,FALSE)</f>
        <v>4 ELBOW 90 HXH SDR35 SW</v>
      </c>
      <c r="G56" s="124">
        <f>_xlfn.XLOOKUP(E56,'All Products'!D:D,'All Products'!F:F,FALSE)</f>
        <v>24</v>
      </c>
      <c r="H56" s="124">
        <f>_xlfn.XLOOKUP(E56,'All Products'!D:D,'All Products'!G:G,FALSE)</f>
        <v>288</v>
      </c>
      <c r="I56" s="123">
        <f>_xlfn.XLOOKUP(E56,'All Products'!D:D,'All Products'!H:H,FALSE)</f>
        <v>27.67</v>
      </c>
      <c r="J56" s="130">
        <f>IFERROR(ROUNDUP(I56*Order_Quote!$L$14,2),0)</f>
        <v>27.67</v>
      </c>
      <c r="K56" s="122"/>
      <c r="L56" s="76"/>
      <c r="M56" s="114">
        <f t="shared" ref="M56:M62" si="3">K56/G56</f>
        <v>0</v>
      </c>
      <c r="O56" s="215" t="str">
        <f>_xlfn.XLOOKUP(E56,'All Products'!D:D,'All Products'!I:I,FALSE)</f>
        <v>In Stock</v>
      </c>
      <c r="P56" s="215" t="str">
        <f>_xlfn.XLOOKUP(E56,'All Products'!D:D,'All Products'!J:J,FALSE)</f>
        <v>Manufactured</v>
      </c>
      <c r="Q56" s="266">
        <f>_xlfn.XLOOKUP(E56,'All Products'!D:D,'All Products'!K:K,FALSE)</f>
        <v>816842022335</v>
      </c>
      <c r="R56" s="266" t="str">
        <f>_xlfn.XLOOKUP(E56,'All Products'!D:D,'All Products'!L:L,FALSE)</f>
        <v>-</v>
      </c>
      <c r="S56" s="266">
        <f>_xlfn.XLOOKUP(E56,'All Products'!D:D,'All Products'!M:M,FALSE)</f>
        <v>816842022342</v>
      </c>
      <c r="T56" s="264">
        <f>_xlfn.XLOOKUP(E56,'All Products'!D:D,'All Products'!N:N,FALSE)</f>
        <v>0.70799999999999996</v>
      </c>
      <c r="U56" s="265">
        <f>_xlfn.XLOOKUP(E56,'All Products'!D:D,'All Products'!P:P,FALSE)</f>
        <v>18.911999999999999</v>
      </c>
      <c r="V56" s="265">
        <f>_xlfn.XLOOKUP(E56,'All Products'!D:D,'All Products'!Q:Q,FALSE)</f>
        <v>2.7986077527791204</v>
      </c>
    </row>
    <row r="57" spans="1:22">
      <c r="A57" s="101" t="str">
        <f>IF(K57&gt;0,COUNT($A$8:A56)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57" s="615"/>
      <c r="C57" s="615"/>
      <c r="D57" s="51" t="str">
        <f>_xlfn.XLOOKUP(E57,'All Products'!D:D,'All Products'!C:C,FALSE)</f>
        <v>36-6560</v>
      </c>
      <c r="E57" s="52">
        <v>100029369</v>
      </c>
      <c r="F57" s="53" t="str">
        <f>_xlfn.XLOOKUP(E57,'All Products'!D:D,'All Products'!E:E,FALSE)</f>
        <v>6 ELBOW 90 HXH SDR35 SW</v>
      </c>
      <c r="G57" s="124">
        <f>_xlfn.XLOOKUP(E57,'All Products'!D:D,'All Products'!F:F,FALSE)</f>
        <v>8</v>
      </c>
      <c r="H57" s="124">
        <f>_xlfn.XLOOKUP(E57,'All Products'!D:D,'All Products'!G:G,FALSE)</f>
        <v>96</v>
      </c>
      <c r="I57" s="123">
        <f>_xlfn.XLOOKUP(E57,'All Products'!D:D,'All Products'!H:H,FALSE)</f>
        <v>87.01</v>
      </c>
      <c r="J57" s="130">
        <f>IFERROR(ROUNDUP(I57*Order_Quote!$L$14,2),0)</f>
        <v>87.01</v>
      </c>
      <c r="K57" s="118"/>
      <c r="L57" s="76"/>
      <c r="M57" s="114">
        <f t="shared" si="3"/>
        <v>0</v>
      </c>
      <c r="O57" s="215" t="str">
        <f>_xlfn.XLOOKUP(E57,'All Products'!D:D,'All Products'!I:I,FALSE)</f>
        <v>In Stock</v>
      </c>
      <c r="P57" s="215" t="str">
        <f>_xlfn.XLOOKUP(E57,'All Products'!D:D,'All Products'!J:J,FALSE)</f>
        <v>Manufactured</v>
      </c>
      <c r="Q57" s="266">
        <f>_xlfn.XLOOKUP(E57,'All Products'!D:D,'All Products'!K:K,FALSE)</f>
        <v>816842022434</v>
      </c>
      <c r="R57" s="266" t="str">
        <f>_xlfn.XLOOKUP(E57,'All Products'!D:D,'All Products'!L:L,FALSE)</f>
        <v>-</v>
      </c>
      <c r="S57" s="266">
        <f>_xlfn.XLOOKUP(E57,'All Products'!D:D,'All Products'!M:M,FALSE)</f>
        <v>816842022441</v>
      </c>
      <c r="T57" s="264">
        <f>_xlfn.XLOOKUP(E57,'All Products'!D:D,'All Products'!N:N,FALSE)</f>
        <v>2.3359999999999999</v>
      </c>
      <c r="U57" s="265">
        <f>_xlfn.XLOOKUP(E57,'All Products'!D:D,'All Products'!P:P,FALSE)</f>
        <v>20.584</v>
      </c>
      <c r="V57" s="265">
        <f>_xlfn.XLOOKUP(E57,'All Products'!D:D,'All Products'!Q:Q,FALSE)</f>
        <v>2.7986077527791204</v>
      </c>
    </row>
    <row r="58" spans="1:22">
      <c r="A58" s="101" t="str">
        <f>IF(K58&gt;0,COUNT($A$8:A57)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58" s="615"/>
      <c r="C58" s="615"/>
      <c r="D58" s="51" t="str">
        <f>_xlfn.XLOOKUP(E58,'All Products'!D:D,'All Products'!C:C,FALSE)</f>
        <v>36-685</v>
      </c>
      <c r="E58" s="52">
        <v>100029368</v>
      </c>
      <c r="F58" s="53" t="str">
        <f>_xlfn.XLOOKUP(E58,'All Products'!D:D,'All Products'!E:E,FALSE)</f>
        <v>8 ELBOW 90 HXH SDR35 SW</v>
      </c>
      <c r="G58" s="124">
        <f>_xlfn.XLOOKUP(E58,'All Products'!D:D,'All Products'!F:F,FALSE)</f>
        <v>4</v>
      </c>
      <c r="H58" s="124">
        <f>_xlfn.XLOOKUP(E58,'All Products'!D:D,'All Products'!G:G,FALSE)</f>
        <v>48</v>
      </c>
      <c r="I58" s="123">
        <f>_xlfn.XLOOKUP(E58,'All Products'!D:D,'All Products'!H:H,FALSE)</f>
        <v>360.96</v>
      </c>
      <c r="J58" s="130">
        <f>IFERROR(ROUNDUP(I58*Order_Quote!$L$14,2),0)</f>
        <v>360.96</v>
      </c>
      <c r="K58" s="118"/>
      <c r="L58" s="76"/>
      <c r="M58" s="114">
        <f t="shared" si="3"/>
        <v>0</v>
      </c>
      <c r="O58" s="215" t="str">
        <f>_xlfn.XLOOKUP(E58,'All Products'!D:D,'All Products'!I:I,FALSE)</f>
        <v>In Stock</v>
      </c>
      <c r="P58" s="215" t="str">
        <f>_xlfn.XLOOKUP(E58,'All Products'!D:D,'All Products'!J:J,FALSE)</f>
        <v>Manufactured</v>
      </c>
      <c r="Q58" s="266">
        <f>_xlfn.XLOOKUP(E58,'All Products'!D:D,'All Products'!K:K,FALSE)</f>
        <v>810673019618</v>
      </c>
      <c r="R58" s="266" t="str">
        <f>_xlfn.XLOOKUP(E58,'All Products'!D:D,'All Products'!L:L,FALSE)</f>
        <v>-</v>
      </c>
      <c r="S58" s="266">
        <f>_xlfn.XLOOKUP(E58,'All Products'!D:D,'All Products'!M:M,FALSE)</f>
        <v>810673019625</v>
      </c>
      <c r="T58" s="264">
        <f>_xlfn.XLOOKUP(E58,'All Products'!D:D,'All Products'!N:N,FALSE)</f>
        <v>5.2359999999999998</v>
      </c>
      <c r="U58" s="265">
        <f>_xlfn.XLOOKUP(E58,'All Products'!D:D,'All Products'!P:P,FALSE)</f>
        <v>23.96</v>
      </c>
      <c r="V58" s="265">
        <f>_xlfn.XLOOKUP(E58,'All Products'!D:D,'All Products'!Q:Q,FALSE)</f>
        <v>3.6731726755225957</v>
      </c>
    </row>
    <row r="59" spans="1:22">
      <c r="A59" s="101" t="str">
        <f>IF(K59&gt;0,COUNT($A$8:A58)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59" s="608"/>
      <c r="C59" s="609"/>
      <c r="D59" s="51" t="str">
        <f>_xlfn.XLOOKUP(E59,'All Products'!D:D,'All Products'!C:C,FALSE)</f>
        <v>36-2060</v>
      </c>
      <c r="E59" s="52">
        <v>300005196</v>
      </c>
      <c r="F59" s="53" t="str">
        <f>_xlfn.XLOOKUP(E59,'All Products'!D:D,'All Products'!E:E,FALSE)</f>
        <v>3 ELBOW 90 HXS SDR35 SW</v>
      </c>
      <c r="G59" s="124">
        <f>_xlfn.XLOOKUP(E59,'All Products'!D:D,'All Products'!F:F,FALSE)</f>
        <v>25</v>
      </c>
      <c r="H59" s="124">
        <f>_xlfn.XLOOKUP(E59,'All Products'!D:D,'All Products'!G:G,FALSE)</f>
        <v>630</v>
      </c>
      <c r="I59" s="123" t="str">
        <f>_xlfn.XLOOKUP(E59,'All Products'!D:D,'All Products'!H:H,FALSE)</f>
        <v>Quote Required</v>
      </c>
      <c r="J59" s="130">
        <f>IFERROR(ROUNDUP(I59*Order_Quote!$L$14,2),0)</f>
        <v>0</v>
      </c>
      <c r="K59" s="118"/>
      <c r="L59" s="76"/>
      <c r="M59" s="114">
        <f t="shared" si="3"/>
        <v>0</v>
      </c>
      <c r="O59" s="215" t="str">
        <f>_xlfn.XLOOKUP(E59,'All Products'!D:D,'All Products'!I:I,FALSE)</f>
        <v>Within 6 Weeks</v>
      </c>
      <c r="P59" s="215" t="str">
        <f>_xlfn.XLOOKUP(E59,'All Products'!D:D,'All Products'!J:J,FALSE)</f>
        <v>Sourced</v>
      </c>
      <c r="Q59" s="266">
        <f>_xlfn.XLOOKUP(E59,'All Products'!D:D,'All Products'!K:K,FALSE)</f>
        <v>810673010455</v>
      </c>
      <c r="R59" s="266" t="str">
        <f>_xlfn.XLOOKUP(E59,'All Products'!D:D,'All Products'!L:L,FALSE)</f>
        <v>-</v>
      </c>
      <c r="S59" s="266">
        <f>_xlfn.XLOOKUP(E59,'All Products'!D:D,'All Products'!M:M,FALSE)</f>
        <v>20810673010459</v>
      </c>
      <c r="T59" s="264">
        <f>_xlfn.XLOOKUP(E59,'All Products'!D:D,'All Products'!N:N,FALSE)</f>
        <v>1.02</v>
      </c>
      <c r="U59" s="265">
        <f>_xlfn.XLOOKUP(E59,'All Products'!D:D,'All Products'!P:P,FALSE)</f>
        <v>25.5</v>
      </c>
      <c r="V59" s="265" t="str">
        <f>_xlfn.XLOOKUP(E59,'All Products'!D:D,'All Products'!Q:Q,FALSE)</f>
        <v>-</v>
      </c>
    </row>
    <row r="60" spans="1:22">
      <c r="A60" s="101" t="str">
        <f>IF(K60&gt;0,COUNT($A$8:A59)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60" s="610"/>
      <c r="C60" s="611"/>
      <c r="D60" s="51" t="str">
        <f>_xlfn.XLOOKUP(E60,'All Products'!D:D,'All Products'!C:C,FALSE)</f>
        <v>36-2062</v>
      </c>
      <c r="E60" s="52">
        <v>300005487</v>
      </c>
      <c r="F60" s="53" t="str">
        <f>_xlfn.XLOOKUP(E60,'All Products'!D:D,'All Products'!E:E,FALSE)</f>
        <v>4 ELBOW 90 HXS SDR35 SW</v>
      </c>
      <c r="G60" s="124">
        <f>_xlfn.XLOOKUP(E60,'All Products'!D:D,'All Products'!F:F,FALSE)</f>
        <v>25</v>
      </c>
      <c r="H60" s="124">
        <f>_xlfn.XLOOKUP(E60,'All Products'!D:D,'All Products'!G:G,FALSE)</f>
        <v>320</v>
      </c>
      <c r="I60" s="123" t="str">
        <f>_xlfn.XLOOKUP(E60,'All Products'!D:D,'All Products'!H:H,FALSE)</f>
        <v>Quote Required</v>
      </c>
      <c r="J60" s="130">
        <f>IFERROR(ROUNDUP(I60*Order_Quote!$L$14,2),0)</f>
        <v>0</v>
      </c>
      <c r="K60" s="122"/>
      <c r="L60" s="76"/>
      <c r="M60" s="114">
        <f t="shared" si="3"/>
        <v>0</v>
      </c>
      <c r="O60" s="215" t="str">
        <f>_xlfn.XLOOKUP(E60,'All Products'!D:D,'All Products'!I:I,FALSE)</f>
        <v>Within 6 Weeks</v>
      </c>
      <c r="P60" s="215" t="str">
        <f>_xlfn.XLOOKUP(E60,'All Products'!D:D,'All Products'!J:J,FALSE)</f>
        <v>Sourced</v>
      </c>
      <c r="Q60" s="266">
        <f>_xlfn.XLOOKUP(E60,'All Products'!D:D,'All Products'!K:K,FALSE)</f>
        <v>810673010752</v>
      </c>
      <c r="R60" s="266" t="str">
        <f>_xlfn.XLOOKUP(E60,'All Products'!D:D,'All Products'!L:L,FALSE)</f>
        <v>-</v>
      </c>
      <c r="S60" s="266">
        <f>_xlfn.XLOOKUP(E60,'All Products'!D:D,'All Products'!M:M,FALSE)</f>
        <v>10810673010759</v>
      </c>
      <c r="T60" s="264">
        <f>_xlfn.XLOOKUP(E60,'All Products'!D:D,'All Products'!N:N,FALSE)</f>
        <v>1.53</v>
      </c>
      <c r="U60" s="265">
        <f>_xlfn.XLOOKUP(E60,'All Products'!D:D,'All Products'!P:P,FALSE)</f>
        <v>38.25</v>
      </c>
      <c r="V60" s="265" t="str">
        <f>_xlfn.XLOOKUP(E60,'All Products'!D:D,'All Products'!Q:Q,FALSE)</f>
        <v>-</v>
      </c>
    </row>
    <row r="61" spans="1:22">
      <c r="A61" s="101" t="str">
        <f>IF(K61&gt;0,COUNT($A$8:A60)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61" s="610"/>
      <c r="C61" s="611"/>
      <c r="D61" s="51" t="str">
        <f>_xlfn.XLOOKUP(E61,'All Products'!D:D,'All Products'!C:C,FALSE)</f>
        <v>36-742</v>
      </c>
      <c r="E61" s="52">
        <v>300005778</v>
      </c>
      <c r="F61" s="53" t="str">
        <f>_xlfn.XLOOKUP(E61,'All Products'!D:D,'All Products'!E:E,FALSE)</f>
        <v>6 ELBOW 90 HXS SDR35 SW</v>
      </c>
      <c r="G61" s="124">
        <f>_xlfn.XLOOKUP(E61,'All Products'!D:D,'All Products'!F:F,FALSE)</f>
        <v>8</v>
      </c>
      <c r="H61" s="124">
        <f>_xlfn.XLOOKUP(E61,'All Products'!D:D,'All Products'!G:G,FALSE)</f>
        <v>96</v>
      </c>
      <c r="I61" s="123" t="str">
        <f>_xlfn.XLOOKUP(E61,'All Products'!D:D,'All Products'!H:H,FALSE)</f>
        <v>Quote Required</v>
      </c>
      <c r="J61" s="130">
        <f>IFERROR(ROUNDUP(I61*Order_Quote!$L$14,2),0)</f>
        <v>0</v>
      </c>
      <c r="K61" s="122"/>
      <c r="L61" s="76"/>
      <c r="M61" s="114">
        <f t="shared" si="3"/>
        <v>0</v>
      </c>
      <c r="O61" s="215" t="str">
        <f>_xlfn.XLOOKUP(E61,'All Products'!D:D,'All Products'!I:I,FALSE)</f>
        <v>Within 3 Weeks</v>
      </c>
      <c r="P61" s="215" t="str">
        <f>_xlfn.XLOOKUP(E61,'All Products'!D:D,'All Products'!J:J,FALSE)</f>
        <v>Sourced</v>
      </c>
      <c r="Q61" s="266">
        <f>_xlfn.XLOOKUP(E61,'All Products'!D:D,'All Products'!K:K,FALSE)</f>
        <v>810673019632</v>
      </c>
      <c r="R61" s="266" t="str">
        <f>_xlfn.XLOOKUP(E61,'All Products'!D:D,'All Products'!L:L,FALSE)</f>
        <v>-</v>
      </c>
      <c r="S61" s="266" t="str">
        <f>_xlfn.XLOOKUP(E61,'All Products'!D:D,'All Products'!M:M,FALSE)</f>
        <v>-</v>
      </c>
      <c r="T61" s="264">
        <f>_xlfn.XLOOKUP(E61,'All Products'!D:D,'All Products'!N:N,FALSE)</f>
        <v>2.282</v>
      </c>
      <c r="U61" s="265">
        <f>_xlfn.XLOOKUP(E61,'All Products'!D:D,'All Products'!P:P,FALSE)</f>
        <v>18.256</v>
      </c>
      <c r="V61" s="265" t="str">
        <f>_xlfn.XLOOKUP(E61,'All Products'!D:D,'All Products'!Q:Q,FALSE)</f>
        <v>-</v>
      </c>
    </row>
    <row r="62" spans="1:22">
      <c r="A62" s="101" t="str">
        <f>IF(K62&gt;0,COUNT($A$8:A61)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62" s="612"/>
      <c r="C62" s="613"/>
      <c r="D62" s="51" t="str">
        <f>_xlfn.XLOOKUP(E62,'All Products'!D:D,'All Products'!C:C,FALSE)</f>
        <v>36-743</v>
      </c>
      <c r="E62" s="52">
        <v>300005780</v>
      </c>
      <c r="F62" s="53" t="str">
        <f>_xlfn.XLOOKUP(E62,'All Products'!D:D,'All Products'!E:E,FALSE)</f>
        <v>8 ELBOW 90 HXS SDR35 SW</v>
      </c>
      <c r="G62" s="124">
        <f>_xlfn.XLOOKUP(E62,'All Products'!D:D,'All Products'!F:F,FALSE)</f>
        <v>4</v>
      </c>
      <c r="H62" s="124">
        <f>_xlfn.XLOOKUP(E62,'All Products'!D:D,'All Products'!G:G,FALSE)</f>
        <v>48</v>
      </c>
      <c r="I62" s="123" t="str">
        <f>_xlfn.XLOOKUP(E62,'All Products'!D:D,'All Products'!H:H,FALSE)</f>
        <v>Quote Required</v>
      </c>
      <c r="J62" s="130">
        <f>IFERROR(ROUNDUP(I62*Order_Quote!$L$14,2),0)</f>
        <v>0</v>
      </c>
      <c r="K62" s="118"/>
      <c r="L62" s="76"/>
      <c r="M62" s="114">
        <f t="shared" si="3"/>
        <v>0</v>
      </c>
      <c r="O62" s="215" t="str">
        <f>_xlfn.XLOOKUP(E62,'All Products'!D:D,'All Products'!I:I,FALSE)</f>
        <v>Within 6 Weeks</v>
      </c>
      <c r="P62" s="215" t="str">
        <f>_xlfn.XLOOKUP(E62,'All Products'!D:D,'All Products'!J:J,FALSE)</f>
        <v>Sourced</v>
      </c>
      <c r="Q62" s="266">
        <f>_xlfn.XLOOKUP(E62,'All Products'!D:D,'All Products'!K:K,FALSE)</f>
        <v>810673019656</v>
      </c>
      <c r="R62" s="266" t="str">
        <f>_xlfn.XLOOKUP(E62,'All Products'!D:D,'All Products'!L:L,FALSE)</f>
        <v>-</v>
      </c>
      <c r="S62" s="266" t="str">
        <f>_xlfn.XLOOKUP(E62,'All Products'!D:D,'All Products'!M:M,FALSE)</f>
        <v>-</v>
      </c>
      <c r="T62" s="264">
        <f>_xlfn.XLOOKUP(E62,'All Products'!D:D,'All Products'!N:N,FALSE)</f>
        <v>5.36</v>
      </c>
      <c r="U62" s="265">
        <f>_xlfn.XLOOKUP(E62,'All Products'!D:D,'All Products'!P:P,FALSE)</f>
        <v>21.44</v>
      </c>
      <c r="V62" s="265" t="str">
        <f>_xlfn.XLOOKUP(E62,'All Products'!D:D,'All Products'!Q:Q,FALSE)</f>
        <v>-</v>
      </c>
    </row>
    <row r="63" spans="1:22">
      <c r="A63" s="101" t="str">
        <f>IF(K63&gt;0,COUNT($A$8:A62)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63" s="615"/>
      <c r="C63" s="615"/>
      <c r="D63" s="51" t="str">
        <f>_xlfn.XLOOKUP(E63,'All Products'!D:D,'All Products'!C:C,FALSE)</f>
        <v>36-6590</v>
      </c>
      <c r="E63" s="52">
        <v>100030764</v>
      </c>
      <c r="F63" s="53" t="str">
        <f>_xlfn.XLOOKUP(E63,'All Products'!D:D,'All Products'!E:E,FALSE)</f>
        <v>3 ELBOW 90 LONG TURN HXH SDR35 SW</v>
      </c>
      <c r="G63" s="124">
        <f>_xlfn.XLOOKUP(E63,'All Products'!D:D,'All Products'!F:F,FALSE)</f>
        <v>25</v>
      </c>
      <c r="H63" s="124">
        <f>_xlfn.XLOOKUP(E63,'All Products'!D:D,'All Products'!G:G,FALSE)</f>
        <v>480</v>
      </c>
      <c r="I63" s="123">
        <f>_xlfn.XLOOKUP(E63,'All Products'!D:D,'All Products'!H:H,FALSE)</f>
        <v>25.1</v>
      </c>
      <c r="J63" s="130">
        <f>IFERROR(ROUNDUP(I63*Order_Quote!$L$14,2),0)</f>
        <v>25.1</v>
      </c>
      <c r="K63" s="122"/>
      <c r="L63" s="76"/>
      <c r="M63" s="114">
        <f t="shared" ref="M63:M75" si="4">K63/G63</f>
        <v>0</v>
      </c>
      <c r="O63" s="215" t="str">
        <f>_xlfn.XLOOKUP(E63,'All Products'!D:D,'All Products'!I:I,FALSE)</f>
        <v>Within 3 Weeks</v>
      </c>
      <c r="P63" s="215" t="str">
        <f>_xlfn.XLOOKUP(E63,'All Products'!D:D,'All Products'!J:J,FALSE)</f>
        <v>Manufactured</v>
      </c>
      <c r="Q63" s="266">
        <f>_xlfn.XLOOKUP(E63,'All Products'!D:D,'All Products'!K:K,FALSE)</f>
        <v>816842022939</v>
      </c>
      <c r="R63" s="266" t="str">
        <f>_xlfn.XLOOKUP(E63,'All Products'!D:D,'All Products'!L:L,FALSE)</f>
        <v>-</v>
      </c>
      <c r="S63" s="266">
        <f>_xlfn.XLOOKUP(E63,'All Products'!D:D,'All Products'!M:M,FALSE)</f>
        <v>816842022946</v>
      </c>
      <c r="T63" s="264">
        <f>_xlfn.XLOOKUP(E63,'All Products'!D:D,'All Products'!N:N,FALSE)</f>
        <v>0.49099999999999999</v>
      </c>
      <c r="U63" s="265">
        <f>_xlfn.XLOOKUP(E63,'All Products'!D:D,'All Products'!P:P,FALSE)</f>
        <v>14.45</v>
      </c>
      <c r="V63" s="265">
        <f>_xlfn.XLOOKUP(E63,'All Products'!D:D,'All Products'!Q:Q,FALSE)</f>
        <v>1.8803145838984718</v>
      </c>
    </row>
    <row r="64" spans="1:22">
      <c r="A64" s="101" t="str">
        <f>IF(K64&gt;0,COUNT($A$8:A63)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64" s="615"/>
      <c r="C64" s="615"/>
      <c r="D64" s="51" t="str">
        <f>_xlfn.XLOOKUP(E64,'All Products'!D:D,'All Products'!C:C,FALSE)</f>
        <v>36-6553</v>
      </c>
      <c r="E64" s="52">
        <v>100029426</v>
      </c>
      <c r="F64" s="53" t="str">
        <f>_xlfn.XLOOKUP(E64,'All Products'!D:D,'All Products'!E:E,FALSE)</f>
        <v>4 ELBOW 90 LONG TURN HXH SDR35 SW</v>
      </c>
      <c r="G64" s="124">
        <f>_xlfn.XLOOKUP(E64,'All Products'!D:D,'All Products'!F:F,FALSE)</f>
        <v>16</v>
      </c>
      <c r="H64" s="124">
        <f>_xlfn.XLOOKUP(E64,'All Products'!D:D,'All Products'!G:G,FALSE)</f>
        <v>288</v>
      </c>
      <c r="I64" s="123">
        <f>_xlfn.XLOOKUP(E64,'All Products'!D:D,'All Products'!H:H,FALSE)</f>
        <v>32.68</v>
      </c>
      <c r="J64" s="130">
        <f>IFERROR(ROUNDUP(I64*Order_Quote!$L$14,2),0)</f>
        <v>32.68</v>
      </c>
      <c r="K64" s="122"/>
      <c r="L64" s="76"/>
      <c r="M64" s="114">
        <f t="shared" si="4"/>
        <v>0</v>
      </c>
      <c r="O64" s="215" t="str">
        <f>_xlfn.XLOOKUP(E64,'All Products'!D:D,'All Products'!I:I,FALSE)</f>
        <v>In Stock</v>
      </c>
      <c r="P64" s="215" t="str">
        <f>_xlfn.XLOOKUP(E64,'All Products'!D:D,'All Products'!J:J,FALSE)</f>
        <v>Manufactured</v>
      </c>
      <c r="Q64" s="266">
        <f>_xlfn.XLOOKUP(E64,'All Products'!D:D,'All Products'!K:K,FALSE)</f>
        <v>816842022298</v>
      </c>
      <c r="R64" s="266" t="str">
        <f>_xlfn.XLOOKUP(E64,'All Products'!D:D,'All Products'!L:L,FALSE)</f>
        <v>-</v>
      </c>
      <c r="S64" s="266">
        <f>_xlfn.XLOOKUP(E64,'All Products'!D:D,'All Products'!M:M,FALSE)</f>
        <v>816842022304</v>
      </c>
      <c r="T64" s="264">
        <f>_xlfn.XLOOKUP(E64,'All Products'!D:D,'All Products'!N:N,FALSE)</f>
        <v>0.75700000000000001</v>
      </c>
      <c r="U64" s="265">
        <f>_xlfn.XLOOKUP(E64,'All Products'!D:D,'All Products'!P:P,FALSE)</f>
        <v>13.984</v>
      </c>
      <c r="V64" s="265">
        <f>_xlfn.XLOOKUP(E64,'All Products'!D:D,'All Products'!Q:Q,FALSE)</f>
        <v>2.361325291407383</v>
      </c>
    </row>
    <row r="65" spans="1:22">
      <c r="A65" s="101" t="str">
        <f>IF(K65&gt;0,COUNT($A$8:A64)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65" s="615"/>
      <c r="C65" s="615"/>
      <c r="D65" s="51" t="str">
        <f>_xlfn.XLOOKUP(E65,'All Products'!D:D,'All Products'!C:C,FALSE)</f>
        <v>36-678</v>
      </c>
      <c r="E65" s="52">
        <v>300005511</v>
      </c>
      <c r="F65" s="53" t="str">
        <f>_xlfn.XLOOKUP(E65,'All Products'!D:D,'All Products'!E:E,FALSE)</f>
        <v>6 ELBOW 90 LONG TURN HXH SDR35 SW</v>
      </c>
      <c r="G65" s="124">
        <f>_xlfn.XLOOKUP(E65,'All Products'!D:D,'All Products'!F:F,FALSE)</f>
        <v>8</v>
      </c>
      <c r="H65" s="124">
        <f>_xlfn.XLOOKUP(E65,'All Products'!D:D,'All Products'!G:G,FALSE)</f>
        <v>128</v>
      </c>
      <c r="I65" s="123" t="str">
        <f>_xlfn.XLOOKUP(E65,'All Products'!D:D,'All Products'!H:H,FALSE)</f>
        <v>Quote Required</v>
      </c>
      <c r="J65" s="130">
        <f>IFERROR(ROUNDUP(I65*Order_Quote!$L$14,2),0)</f>
        <v>0</v>
      </c>
      <c r="K65" s="118"/>
      <c r="L65" s="76"/>
      <c r="M65" s="114">
        <f t="shared" si="4"/>
        <v>0</v>
      </c>
      <c r="O65" s="215" t="str">
        <f>_xlfn.XLOOKUP(E65,'All Products'!D:D,'All Products'!I:I,FALSE)</f>
        <v>Within 6 Weeks</v>
      </c>
      <c r="P65" s="215" t="str">
        <f>_xlfn.XLOOKUP(E65,'All Products'!D:D,'All Products'!J:J,FALSE)</f>
        <v>Sourced</v>
      </c>
      <c r="Q65" s="266">
        <f>_xlfn.XLOOKUP(E65,'All Products'!D:D,'All Products'!K:K,FALSE)</f>
        <v>812361014097</v>
      </c>
      <c r="R65" s="266" t="str">
        <f>_xlfn.XLOOKUP(E65,'All Products'!D:D,'All Products'!L:L,FALSE)</f>
        <v>-</v>
      </c>
      <c r="S65" s="266">
        <f>_xlfn.XLOOKUP(E65,'All Products'!D:D,'All Products'!M:M,FALSE)</f>
        <v>10812361014094</v>
      </c>
      <c r="T65" s="264">
        <f>_xlfn.XLOOKUP(E65,'All Products'!D:D,'All Products'!N:N,FALSE)</f>
        <v>3</v>
      </c>
      <c r="U65" s="265">
        <f>_xlfn.XLOOKUP(E65,'All Products'!D:D,'All Products'!P:P,FALSE)</f>
        <v>24</v>
      </c>
      <c r="V65" s="265" t="str">
        <f>_xlfn.XLOOKUP(E65,'All Products'!D:D,'All Products'!Q:Q,FALSE)</f>
        <v>-</v>
      </c>
    </row>
    <row r="66" spans="1:22">
      <c r="A66" s="101" t="str">
        <f>IF(K66&gt;0,COUNT($A$8:A65)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66" s="615"/>
      <c r="C66" s="615"/>
      <c r="D66" s="51" t="str">
        <f>_xlfn.XLOOKUP(E66,'All Products'!D:D,'All Products'!C:C,FALSE)</f>
        <v>36-679</v>
      </c>
      <c r="E66" s="52">
        <v>300005544</v>
      </c>
      <c r="F66" s="53" t="str">
        <f>_xlfn.XLOOKUP(E66,'All Products'!D:D,'All Products'!E:E,FALSE)</f>
        <v>8 ELBOW 90 LONG TURN HXH SDR35 SW</v>
      </c>
      <c r="G66" s="124">
        <f>_xlfn.XLOOKUP(E66,'All Products'!D:D,'All Products'!F:F,FALSE)</f>
        <v>2</v>
      </c>
      <c r="H66" s="124" t="str">
        <f>_xlfn.XLOOKUP(E66,'All Products'!D:D,'All Products'!G:G,FALSE)</f>
        <v>-</v>
      </c>
      <c r="I66" s="123" t="str">
        <f>_xlfn.XLOOKUP(E66,'All Products'!D:D,'All Products'!H:H,FALSE)</f>
        <v>Quote Required</v>
      </c>
      <c r="J66" s="130">
        <f>IFERROR(ROUNDUP(I66*Order_Quote!$L$14,2),0)</f>
        <v>0</v>
      </c>
      <c r="K66" s="118"/>
      <c r="L66" s="76"/>
      <c r="M66" s="114">
        <f t="shared" si="4"/>
        <v>0</v>
      </c>
      <c r="O66" s="215" t="str">
        <f>_xlfn.XLOOKUP(E66,'All Products'!D:D,'All Products'!I:I,FALSE)</f>
        <v>Within 6 Weeks</v>
      </c>
      <c r="P66" s="215" t="str">
        <f>_xlfn.XLOOKUP(E66,'All Products'!D:D,'All Products'!J:J,FALSE)</f>
        <v>Sourced</v>
      </c>
      <c r="Q66" s="266">
        <f>_xlfn.XLOOKUP(E66,'All Products'!D:D,'All Products'!K:K,FALSE)</f>
        <v>812361014523</v>
      </c>
      <c r="R66" s="266" t="str">
        <f>_xlfn.XLOOKUP(E66,'All Products'!D:D,'All Products'!L:L,FALSE)</f>
        <v>-</v>
      </c>
      <c r="S66" s="266" t="str">
        <f>_xlfn.XLOOKUP(E66,'All Products'!D:D,'All Products'!M:M,FALSE)</f>
        <v>-</v>
      </c>
      <c r="T66" s="264">
        <f>_xlfn.XLOOKUP(E66,'All Products'!D:D,'All Products'!N:N,FALSE)</f>
        <v>6.6</v>
      </c>
      <c r="U66" s="265">
        <f>_xlfn.XLOOKUP(E66,'All Products'!D:D,'All Products'!P:P,FALSE)</f>
        <v>13.2</v>
      </c>
      <c r="V66" s="265" t="str">
        <f>_xlfn.XLOOKUP(E66,'All Products'!D:D,'All Products'!Q:Q,FALSE)</f>
        <v>-</v>
      </c>
    </row>
    <row r="67" spans="1:22" ht="23.25" customHeight="1">
      <c r="A67" s="101" t="str">
        <f>IF(K67&gt;0,COUNT($A$8:A66)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67" s="615"/>
      <c r="C67" s="615"/>
      <c r="D67" s="51" t="str">
        <f>_xlfn.XLOOKUP(E67,'All Products'!D:D,'All Products'!C:C,FALSE)</f>
        <v>36-6554</v>
      </c>
      <c r="E67" s="52">
        <v>100029427</v>
      </c>
      <c r="F67" s="53" t="str">
        <f>_xlfn.XLOOKUP(E67,'All Products'!D:D,'All Products'!E:E,FALSE)</f>
        <v>4 ELBOW 90 LONG TURN HXS SDR35 SW</v>
      </c>
      <c r="G67" s="124">
        <f>_xlfn.XLOOKUP(E67,'All Products'!D:D,'All Products'!F:F,FALSE)</f>
        <v>16</v>
      </c>
      <c r="H67" s="124">
        <f>_xlfn.XLOOKUP(E67,'All Products'!D:D,'All Products'!G:G,FALSE)</f>
        <v>288</v>
      </c>
      <c r="I67" s="123">
        <f>_xlfn.XLOOKUP(E67,'All Products'!D:D,'All Products'!H:H,FALSE)</f>
        <v>38.25</v>
      </c>
      <c r="J67" s="130">
        <f>IFERROR(ROUNDUP(I67*Order_Quote!$L$14,2),0)</f>
        <v>38.25</v>
      </c>
      <c r="K67" s="122"/>
      <c r="L67" s="76"/>
      <c r="M67" s="114">
        <f t="shared" si="4"/>
        <v>0</v>
      </c>
      <c r="O67" s="215" t="str">
        <f>_xlfn.XLOOKUP(E67,'All Products'!D:D,'All Products'!I:I,FALSE)</f>
        <v>In Stock</v>
      </c>
      <c r="P67" s="215" t="str">
        <f>_xlfn.XLOOKUP(E67,'All Products'!D:D,'All Products'!J:J,FALSE)</f>
        <v>Manufactured</v>
      </c>
      <c r="Q67" s="266">
        <f>_xlfn.XLOOKUP(E67,'All Products'!D:D,'All Products'!K:K,FALSE)</f>
        <v>816842022311</v>
      </c>
      <c r="R67" s="266" t="str">
        <f>_xlfn.XLOOKUP(E67,'All Products'!D:D,'All Products'!L:L,FALSE)</f>
        <v>-</v>
      </c>
      <c r="S67" s="266">
        <f>_xlfn.XLOOKUP(E67,'All Products'!D:D,'All Products'!M:M,FALSE)</f>
        <v>816842022328</v>
      </c>
      <c r="T67" s="264">
        <f>_xlfn.XLOOKUP(E67,'All Products'!D:D,'All Products'!N:N,FALSE)</f>
        <v>0.78400000000000003</v>
      </c>
      <c r="U67" s="265">
        <f>_xlfn.XLOOKUP(E67,'All Products'!D:D,'All Products'!P:P,FALSE)</f>
        <v>14.416</v>
      </c>
      <c r="V67" s="265">
        <f>_xlfn.XLOOKUP(E67,'All Products'!D:D,'All Products'!Q:Q,FALSE)</f>
        <v>2.361325291407383</v>
      </c>
    </row>
    <row r="68" spans="1:22" ht="23.25" customHeight="1">
      <c r="A68" s="101" t="str">
        <f>IF(K68&gt;0,COUNT($A$8:A67)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68" s="615"/>
      <c r="C68" s="615"/>
      <c r="D68" s="51" t="str">
        <f>_xlfn.XLOOKUP(E68,'All Products'!D:D,'All Products'!C:C,FALSE)</f>
        <v>36-681</v>
      </c>
      <c r="E68" s="52">
        <v>300005512</v>
      </c>
      <c r="F68" s="53" t="str">
        <f>_xlfn.XLOOKUP(E68,'All Products'!D:D,'All Products'!E:E,FALSE)</f>
        <v>6 ELBOW 90 LONG TURN HXS SDR35 SW</v>
      </c>
      <c r="G68" s="124">
        <f>_xlfn.XLOOKUP(E68,'All Products'!D:D,'All Products'!F:F,FALSE)</f>
        <v>8</v>
      </c>
      <c r="H68" s="124">
        <f>_xlfn.XLOOKUP(E68,'All Products'!D:D,'All Products'!G:G,FALSE)</f>
        <v>128</v>
      </c>
      <c r="I68" s="123" t="str">
        <f>_xlfn.XLOOKUP(E68,'All Products'!D:D,'All Products'!H:H,FALSE)</f>
        <v>Quote Required</v>
      </c>
      <c r="J68" s="130">
        <f>IFERROR(ROUNDUP(I68*Order_Quote!$L$14,2),0)</f>
        <v>0</v>
      </c>
      <c r="K68" s="118"/>
      <c r="L68" s="76"/>
      <c r="M68" s="114">
        <f t="shared" si="4"/>
        <v>0</v>
      </c>
      <c r="O68" s="215" t="str">
        <f>_xlfn.XLOOKUP(E68,'All Products'!D:D,'All Products'!I:I,FALSE)</f>
        <v>Within 6 Weeks</v>
      </c>
      <c r="P68" s="215" t="str">
        <f>_xlfn.XLOOKUP(E68,'All Products'!D:D,'All Products'!J:J,FALSE)</f>
        <v>Sourced</v>
      </c>
      <c r="Q68" s="266">
        <f>_xlfn.XLOOKUP(E68,'All Products'!D:D,'All Products'!K:K,FALSE)</f>
        <v>812361014110</v>
      </c>
      <c r="R68" s="266" t="str">
        <f>_xlfn.XLOOKUP(E68,'All Products'!D:D,'All Products'!L:L,FALSE)</f>
        <v>-</v>
      </c>
      <c r="S68" s="266">
        <f>_xlfn.XLOOKUP(E68,'All Products'!D:D,'All Products'!M:M,FALSE)</f>
        <v>10812361014117</v>
      </c>
      <c r="T68" s="264">
        <f>_xlfn.XLOOKUP(E68,'All Products'!D:D,'All Products'!N:N,FALSE)</f>
        <v>3</v>
      </c>
      <c r="U68" s="265">
        <f>_xlfn.XLOOKUP(E68,'All Products'!D:D,'All Products'!P:P,FALSE)</f>
        <v>24</v>
      </c>
      <c r="V68" s="265" t="str">
        <f>_xlfn.XLOOKUP(E68,'All Products'!D:D,'All Products'!Q:Q,FALSE)</f>
        <v>-</v>
      </c>
    </row>
    <row r="69" spans="1:22">
      <c r="A69" s="101" t="str">
        <f>IF(K69&gt;0,COUNT($A$8:A68)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69" s="615"/>
      <c r="C69" s="615"/>
      <c r="D69" s="51" t="str">
        <f>_xlfn.XLOOKUP(E69,'All Products'!D:D,'All Products'!C:C,FALSE)</f>
        <v>36-6556</v>
      </c>
      <c r="E69" s="52">
        <v>100029135</v>
      </c>
      <c r="F69" s="53" t="str">
        <f>_xlfn.XLOOKUP(E69,'All Products'!D:D,'All Products'!E:E,FALSE)</f>
        <v>4 ELBOW 45 HXH SDR35 SW</v>
      </c>
      <c r="G69" s="124">
        <f>_xlfn.XLOOKUP(E69,'All Products'!D:D,'All Products'!F:F,FALSE)</f>
        <v>30</v>
      </c>
      <c r="H69" s="124">
        <f>_xlfn.XLOOKUP(E69,'All Products'!D:D,'All Products'!G:G,FALSE)</f>
        <v>360</v>
      </c>
      <c r="I69" s="123">
        <f>_xlfn.XLOOKUP(E69,'All Products'!D:D,'All Products'!H:H,FALSE)</f>
        <v>23.78</v>
      </c>
      <c r="J69" s="130">
        <f>IFERROR(ROUNDUP(I69*Order_Quote!$L$14,2),0)</f>
        <v>23.78</v>
      </c>
      <c r="K69" s="122"/>
      <c r="L69" s="76"/>
      <c r="M69" s="114">
        <f t="shared" si="4"/>
        <v>0</v>
      </c>
      <c r="O69" s="215" t="str">
        <f>_xlfn.XLOOKUP(E69,'All Products'!D:D,'All Products'!I:I,FALSE)</f>
        <v>In Stock</v>
      </c>
      <c r="P69" s="215" t="str">
        <f>_xlfn.XLOOKUP(E69,'All Products'!D:D,'All Products'!J:J,FALSE)</f>
        <v>Manufactured</v>
      </c>
      <c r="Q69" s="266">
        <f>_xlfn.XLOOKUP(E69,'All Products'!D:D,'All Products'!K:K,FALSE)</f>
        <v>816842022359</v>
      </c>
      <c r="R69" s="266" t="str">
        <f>_xlfn.XLOOKUP(E69,'All Products'!D:D,'All Products'!L:L,FALSE)</f>
        <v>-</v>
      </c>
      <c r="S69" s="266">
        <f>_xlfn.XLOOKUP(E69,'All Products'!D:D,'All Products'!M:M,FALSE)</f>
        <v>816842022366</v>
      </c>
      <c r="T69" s="264">
        <f>_xlfn.XLOOKUP(E69,'All Products'!D:D,'All Products'!N:N,FALSE)</f>
        <v>0.52200000000000002</v>
      </c>
      <c r="U69" s="265">
        <f>_xlfn.XLOOKUP(E69,'All Products'!D:D,'All Products'!P:P,FALSE)</f>
        <v>17.549999999999997</v>
      </c>
      <c r="V69" s="265">
        <f>_xlfn.XLOOKUP(E69,'All Products'!D:D,'All Products'!Q:Q,FALSE)</f>
        <v>2.7986077527791204</v>
      </c>
    </row>
    <row r="70" spans="1:22">
      <c r="A70" s="101" t="str">
        <f>IF(K70&gt;0,COUNT($A$8:A69)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70" s="615"/>
      <c r="C70" s="615"/>
      <c r="D70" s="51" t="str">
        <f>_xlfn.XLOOKUP(E70,'All Products'!D:D,'All Products'!C:C,FALSE)</f>
        <v>36-6562</v>
      </c>
      <c r="E70" s="52">
        <v>100029370</v>
      </c>
      <c r="F70" s="53" t="str">
        <f>_xlfn.XLOOKUP(E70,'All Products'!D:D,'All Products'!E:E,FALSE)</f>
        <v>6 ELBOW 45 HXH SDR35 SW</v>
      </c>
      <c r="G70" s="124">
        <f>_xlfn.XLOOKUP(E70,'All Products'!D:D,'All Products'!F:F,FALSE)</f>
        <v>12</v>
      </c>
      <c r="H70" s="124">
        <f>_xlfn.XLOOKUP(E70,'All Products'!D:D,'All Products'!G:G,FALSE)</f>
        <v>144</v>
      </c>
      <c r="I70" s="123">
        <f>_xlfn.XLOOKUP(E70,'All Products'!D:D,'All Products'!H:H,FALSE)</f>
        <v>93.84</v>
      </c>
      <c r="J70" s="130">
        <f>IFERROR(ROUNDUP(I70*Order_Quote!$L$14,2),0)</f>
        <v>93.84</v>
      </c>
      <c r="K70" s="118"/>
      <c r="L70" s="76"/>
      <c r="M70" s="114">
        <f t="shared" si="4"/>
        <v>0</v>
      </c>
      <c r="O70" s="215" t="str">
        <f>_xlfn.XLOOKUP(E70,'All Products'!D:D,'All Products'!I:I,FALSE)</f>
        <v>In Stock</v>
      </c>
      <c r="P70" s="215" t="str">
        <f>_xlfn.XLOOKUP(E70,'All Products'!D:D,'All Products'!J:J,FALSE)</f>
        <v>Manufactured</v>
      </c>
      <c r="Q70" s="266">
        <f>_xlfn.XLOOKUP(E70,'All Products'!D:D,'All Products'!K:K,FALSE)</f>
        <v>816842022472</v>
      </c>
      <c r="R70" s="266" t="str">
        <f>_xlfn.XLOOKUP(E70,'All Products'!D:D,'All Products'!L:L,FALSE)</f>
        <v>-</v>
      </c>
      <c r="S70" s="266">
        <f>_xlfn.XLOOKUP(E70,'All Products'!D:D,'All Products'!M:M,FALSE)</f>
        <v>816842022489</v>
      </c>
      <c r="T70" s="264">
        <f>_xlfn.XLOOKUP(E70,'All Products'!D:D,'All Products'!N:N,FALSE)</f>
        <v>1.9179999999999999</v>
      </c>
      <c r="U70" s="265">
        <f>_xlfn.XLOOKUP(E70,'All Products'!D:D,'All Products'!P:P,FALSE)</f>
        <v>26.016000000000002</v>
      </c>
      <c r="V70" s="265">
        <f>_xlfn.XLOOKUP(E70,'All Products'!D:D,'All Products'!Q:Q,FALSE)</f>
        <v>3.6731726755225957</v>
      </c>
    </row>
    <row r="71" spans="1:22">
      <c r="A71" s="101" t="str">
        <f>IF(K71&gt;0,COUNT($A$8:A70)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71" s="615"/>
      <c r="C71" s="615"/>
      <c r="D71" s="51" t="str">
        <f>_xlfn.XLOOKUP(E71,'All Products'!D:D,'All Products'!C:C,FALSE)</f>
        <v>36-673</v>
      </c>
      <c r="E71" s="52">
        <v>300005542</v>
      </c>
      <c r="F71" s="53" t="str">
        <f>_xlfn.XLOOKUP(E71,'All Products'!D:D,'All Products'!E:E,FALSE)</f>
        <v>8 ELBOW 45 HXH SDR35 SW</v>
      </c>
      <c r="G71" s="124">
        <f>_xlfn.XLOOKUP(E71,'All Products'!D:D,'All Products'!F:F,FALSE)</f>
        <v>4</v>
      </c>
      <c r="H71" s="124" t="str">
        <f>_xlfn.XLOOKUP(E71,'All Products'!D:D,'All Products'!G:G,FALSE)</f>
        <v>-</v>
      </c>
      <c r="I71" s="123" t="str">
        <f>_xlfn.XLOOKUP(E71,'All Products'!D:D,'All Products'!H:H,FALSE)</f>
        <v>Quote Required</v>
      </c>
      <c r="J71" s="130">
        <f>IFERROR(ROUNDUP(I71*Order_Quote!$L$14,2),0)</f>
        <v>0</v>
      </c>
      <c r="K71" s="118"/>
      <c r="L71" s="76"/>
      <c r="M71" s="114">
        <f t="shared" si="4"/>
        <v>0</v>
      </c>
      <c r="O71" s="215" t="str">
        <f>_xlfn.XLOOKUP(E71,'All Products'!D:D,'All Products'!I:I,FALSE)</f>
        <v>Within 6 Weeks</v>
      </c>
      <c r="P71" s="215" t="str">
        <f>_xlfn.XLOOKUP(E71,'All Products'!D:D,'All Products'!J:J,FALSE)</f>
        <v>Sourced</v>
      </c>
      <c r="Q71" s="266">
        <f>_xlfn.XLOOKUP(E71,'All Products'!D:D,'All Products'!K:K,FALSE)</f>
        <v>812361014301</v>
      </c>
      <c r="R71" s="266" t="str">
        <f>_xlfn.XLOOKUP(E71,'All Products'!D:D,'All Products'!L:L,FALSE)</f>
        <v>-</v>
      </c>
      <c r="S71" s="266" t="str">
        <f>_xlfn.XLOOKUP(E71,'All Products'!D:D,'All Products'!M:M,FALSE)</f>
        <v>-</v>
      </c>
      <c r="T71" s="264">
        <f>_xlfn.XLOOKUP(E71,'All Products'!D:D,'All Products'!N:N,FALSE)</f>
        <v>4.0999999999999996</v>
      </c>
      <c r="U71" s="265">
        <f>_xlfn.XLOOKUP(E71,'All Products'!D:D,'All Products'!P:P,FALSE)</f>
        <v>16.399999999999999</v>
      </c>
      <c r="V71" s="265" t="str">
        <f>_xlfn.XLOOKUP(E71,'All Products'!D:D,'All Products'!Q:Q,FALSE)</f>
        <v>-</v>
      </c>
    </row>
    <row r="72" spans="1:22">
      <c r="A72" s="101" t="str">
        <f>IF(K72&gt;0,COUNT($A$8:A71)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72" s="608"/>
      <c r="C72" s="609"/>
      <c r="D72" s="51" t="str">
        <f>_xlfn.XLOOKUP(E72,'All Products'!D:D,'All Products'!C:C,FALSE)</f>
        <v>36-1692</v>
      </c>
      <c r="E72" s="52">
        <v>300005195</v>
      </c>
      <c r="F72" s="53" t="str">
        <f>_xlfn.XLOOKUP(E72,'All Products'!D:D,'All Products'!E:E,FALSE)</f>
        <v>3 ELBOW 45 HXS SDR35 SW</v>
      </c>
      <c r="G72" s="124">
        <f>_xlfn.XLOOKUP(E72,'All Products'!D:D,'All Products'!F:F,FALSE)</f>
        <v>30</v>
      </c>
      <c r="H72" s="124">
        <f>_xlfn.XLOOKUP(E72,'All Products'!D:D,'All Products'!G:G,FALSE)</f>
        <v>1200</v>
      </c>
      <c r="I72" s="123" t="str">
        <f>_xlfn.XLOOKUP(E72,'All Products'!D:D,'All Products'!H:H,FALSE)</f>
        <v>Quote Required</v>
      </c>
      <c r="J72" s="130">
        <f>IFERROR(ROUNDUP(I72*Order_Quote!$L$14,2),0)</f>
        <v>0</v>
      </c>
      <c r="K72" s="122"/>
      <c r="L72" s="76"/>
      <c r="M72" s="114">
        <f t="shared" si="4"/>
        <v>0</v>
      </c>
      <c r="O72" s="215" t="str">
        <f>_xlfn.XLOOKUP(E72,'All Products'!D:D,'All Products'!I:I,FALSE)</f>
        <v>Within 6 Weeks</v>
      </c>
      <c r="P72" s="215" t="str">
        <f>_xlfn.XLOOKUP(E72,'All Products'!D:D,'All Products'!J:J,FALSE)</f>
        <v>Sourced</v>
      </c>
      <c r="Q72" s="266">
        <f>_xlfn.XLOOKUP(E72,'All Products'!D:D,'All Products'!K:K,FALSE)</f>
        <v>810673011391</v>
      </c>
      <c r="R72" s="266" t="str">
        <f>_xlfn.XLOOKUP(E72,'All Products'!D:D,'All Products'!L:L,FALSE)</f>
        <v>-</v>
      </c>
      <c r="S72" s="266">
        <f>_xlfn.XLOOKUP(E72,'All Products'!D:D,'All Products'!M:M,FALSE)</f>
        <v>10810673011398</v>
      </c>
      <c r="T72" s="264">
        <f>_xlfn.XLOOKUP(E72,'All Products'!D:D,'All Products'!N:N,FALSE)</f>
        <v>1</v>
      </c>
      <c r="U72" s="265">
        <f>_xlfn.XLOOKUP(E72,'All Products'!D:D,'All Products'!P:P,FALSE)</f>
        <v>30</v>
      </c>
      <c r="V72" s="265" t="str">
        <f>_xlfn.XLOOKUP(E72,'All Products'!D:D,'All Products'!Q:Q,FALSE)</f>
        <v>-</v>
      </c>
    </row>
    <row r="73" spans="1:22">
      <c r="A73" s="101" t="str">
        <f>IF(K73&gt;0,COUNT($A$8:A72)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73" s="610"/>
      <c r="C73" s="611"/>
      <c r="D73" s="51" t="str">
        <f>_xlfn.XLOOKUP(E73,'All Products'!D:D,'All Products'!C:C,FALSE)</f>
        <v>36-6561</v>
      </c>
      <c r="E73" s="52">
        <v>100030933</v>
      </c>
      <c r="F73" s="53" t="str">
        <f>_xlfn.XLOOKUP(E73,'All Products'!D:D,'All Products'!E:E,FALSE)</f>
        <v>4 ELBOW 45 HXS SDR35 SW</v>
      </c>
      <c r="G73" s="124">
        <f>_xlfn.XLOOKUP(E73,'All Products'!D:D,'All Products'!F:F,FALSE)</f>
        <v>30</v>
      </c>
      <c r="H73" s="124">
        <f>_xlfn.XLOOKUP(E73,'All Products'!D:D,'All Products'!G:G,FALSE)</f>
        <v>360</v>
      </c>
      <c r="I73" s="123">
        <f>_xlfn.XLOOKUP(E73,'All Products'!D:D,'All Products'!H:H,FALSE)</f>
        <v>32.22</v>
      </c>
      <c r="J73" s="130">
        <f>IFERROR(ROUNDUP(I73*Order_Quote!$L$14,2),0)</f>
        <v>32.22</v>
      </c>
      <c r="K73" s="122"/>
      <c r="L73" s="76"/>
      <c r="M73" s="114">
        <f t="shared" si="4"/>
        <v>0</v>
      </c>
      <c r="O73" s="215" t="str">
        <f>_xlfn.XLOOKUP(E73,'All Products'!D:D,'All Products'!I:I,FALSE)</f>
        <v>In Stock</v>
      </c>
      <c r="P73" s="215" t="str">
        <f>_xlfn.XLOOKUP(E73,'All Products'!D:D,'All Products'!J:J,FALSE)</f>
        <v>Manufactured</v>
      </c>
      <c r="Q73" s="266">
        <f>_xlfn.XLOOKUP(E73,'All Products'!D:D,'All Products'!K:K,FALSE)</f>
        <v>816842022458</v>
      </c>
      <c r="R73" s="266" t="str">
        <f>_xlfn.XLOOKUP(E73,'All Products'!D:D,'All Products'!L:L,FALSE)</f>
        <v>-</v>
      </c>
      <c r="S73" s="266">
        <f>_xlfn.XLOOKUP(E73,'All Products'!D:D,'All Products'!M:M,FALSE)</f>
        <v>816842022465</v>
      </c>
      <c r="T73" s="264">
        <f>_xlfn.XLOOKUP(E73,'All Products'!D:D,'All Products'!N:N,FALSE)</f>
        <v>0.48</v>
      </c>
      <c r="U73" s="265">
        <f>_xlfn.XLOOKUP(E73,'All Products'!D:D,'All Products'!P:P,FALSE)</f>
        <v>16.290000000000003</v>
      </c>
      <c r="V73" s="265">
        <f>_xlfn.XLOOKUP(E73,'All Products'!D:D,'All Products'!Q:Q,FALSE)</f>
        <v>2.7986077527791204</v>
      </c>
    </row>
    <row r="74" spans="1:22">
      <c r="A74" s="101" t="str">
        <f>IF(K74&gt;0,COUNT($A$8:A73)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74" s="610"/>
      <c r="C74" s="611"/>
      <c r="D74" s="51" t="str">
        <f>_xlfn.XLOOKUP(E74,'All Products'!D:D,'All Products'!C:C,FALSE)</f>
        <v>36-6569</v>
      </c>
      <c r="E74" s="52">
        <v>100029371</v>
      </c>
      <c r="F74" s="53" t="str">
        <f>_xlfn.XLOOKUP(E74,'All Products'!D:D,'All Products'!E:E,FALSE)</f>
        <v>6 ELBOW 45 HXS SDR35 SW</v>
      </c>
      <c r="G74" s="124">
        <f>_xlfn.XLOOKUP(E74,'All Products'!D:D,'All Products'!F:F,FALSE)</f>
        <v>12</v>
      </c>
      <c r="H74" s="124">
        <f>_xlfn.XLOOKUP(E74,'All Products'!D:D,'All Products'!G:G,FALSE)</f>
        <v>144</v>
      </c>
      <c r="I74" s="123">
        <f>_xlfn.XLOOKUP(E74,'All Products'!D:D,'All Products'!H:H,FALSE)</f>
        <v>119.79</v>
      </c>
      <c r="J74" s="130">
        <f>IFERROR(ROUNDUP(I74*Order_Quote!$L$14,2),0)</f>
        <v>119.79</v>
      </c>
      <c r="K74" s="118"/>
      <c r="L74" s="76"/>
      <c r="M74" s="114">
        <f t="shared" si="4"/>
        <v>0</v>
      </c>
      <c r="O74" s="215" t="str">
        <f>_xlfn.XLOOKUP(E74,'All Products'!D:D,'All Products'!I:I,FALSE)</f>
        <v>Within 3 Weeks</v>
      </c>
      <c r="P74" s="215" t="str">
        <f>_xlfn.XLOOKUP(E74,'All Products'!D:D,'All Products'!J:J,FALSE)</f>
        <v>Manufactured</v>
      </c>
      <c r="Q74" s="266">
        <f>_xlfn.XLOOKUP(E74,'All Products'!D:D,'All Products'!K:K,FALSE)</f>
        <v>816842022618</v>
      </c>
      <c r="R74" s="266" t="str">
        <f>_xlfn.XLOOKUP(E74,'All Products'!D:D,'All Products'!L:L,FALSE)</f>
        <v>-</v>
      </c>
      <c r="S74" s="266">
        <f>_xlfn.XLOOKUP(E74,'All Products'!D:D,'All Products'!M:M,FALSE)</f>
        <v>816842022625</v>
      </c>
      <c r="T74" s="264">
        <f>_xlfn.XLOOKUP(E74,'All Products'!D:D,'All Products'!N:N,FALSE)</f>
        <v>2.1</v>
      </c>
      <c r="U74" s="265">
        <f>_xlfn.XLOOKUP(E74,'All Products'!D:D,'All Products'!P:P,FALSE)</f>
        <v>28.200000000000003</v>
      </c>
      <c r="V74" s="265">
        <f>_xlfn.XLOOKUP(E74,'All Products'!D:D,'All Products'!Q:Q,FALSE)</f>
        <v>3.6731726755225957</v>
      </c>
    </row>
    <row r="75" spans="1:22">
      <c r="A75" s="101" t="str">
        <f>IF(K75&gt;0,COUNT($A$8:A74)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75" s="612"/>
      <c r="C75" s="613"/>
      <c r="D75" s="51" t="str">
        <f>_xlfn.XLOOKUP(E75,'All Products'!D:D,'All Products'!C:C,FALSE)</f>
        <v>36-676</v>
      </c>
      <c r="E75" s="52">
        <v>300005543</v>
      </c>
      <c r="F75" s="53" t="str">
        <f>_xlfn.XLOOKUP(E75,'All Products'!D:D,'All Products'!E:E,FALSE)</f>
        <v>8 ELBOW 45 HXS SDR35 SW</v>
      </c>
      <c r="G75" s="124">
        <f>_xlfn.XLOOKUP(E75,'All Products'!D:D,'All Products'!F:F,FALSE)</f>
        <v>4</v>
      </c>
      <c r="H75" s="124" t="str">
        <f>_xlfn.XLOOKUP(E75,'All Products'!D:D,'All Products'!G:G,FALSE)</f>
        <v>-</v>
      </c>
      <c r="I75" s="123" t="str">
        <f>_xlfn.XLOOKUP(E75,'All Products'!D:D,'All Products'!H:H,FALSE)</f>
        <v>Quote Required</v>
      </c>
      <c r="J75" s="130">
        <f>IFERROR(ROUNDUP(I75*Order_Quote!$L$14,2),0)</f>
        <v>0</v>
      </c>
      <c r="K75" s="118"/>
      <c r="L75" s="76"/>
      <c r="M75" s="114">
        <f t="shared" si="4"/>
        <v>0</v>
      </c>
      <c r="O75" s="215" t="str">
        <f>_xlfn.XLOOKUP(E75,'All Products'!D:D,'All Products'!I:I,FALSE)</f>
        <v>Within 6 Weeks</v>
      </c>
      <c r="P75" s="215" t="str">
        <f>_xlfn.XLOOKUP(E75,'All Products'!D:D,'All Products'!J:J,FALSE)</f>
        <v>Sourced</v>
      </c>
      <c r="Q75" s="266">
        <f>_xlfn.XLOOKUP(E75,'All Products'!D:D,'All Products'!K:K,FALSE)</f>
        <v>812361014325</v>
      </c>
      <c r="R75" s="266" t="str">
        <f>_xlfn.XLOOKUP(E75,'All Products'!D:D,'All Products'!L:L,FALSE)</f>
        <v>-</v>
      </c>
      <c r="S75" s="266" t="str">
        <f>_xlfn.XLOOKUP(E75,'All Products'!D:D,'All Products'!M:M,FALSE)</f>
        <v>-</v>
      </c>
      <c r="T75" s="264">
        <f>_xlfn.XLOOKUP(E75,'All Products'!D:D,'All Products'!N:N,FALSE)</f>
        <v>6.2759999999999998</v>
      </c>
      <c r="U75" s="265">
        <f>_xlfn.XLOOKUP(E75,'All Products'!D:D,'All Products'!P:P,FALSE)</f>
        <v>25.103999999999999</v>
      </c>
      <c r="V75" s="265" t="str">
        <f>_xlfn.XLOOKUP(E75,'All Products'!D:D,'All Products'!Q:Q,FALSE)</f>
        <v>-</v>
      </c>
    </row>
    <row r="76" spans="1:22">
      <c r="A76" s="101" t="str">
        <f>IF(K76&gt;0,COUNT($A$8:A75)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76" s="615"/>
      <c r="C76" s="615"/>
      <c r="D76" s="51" t="str">
        <f>_xlfn.XLOOKUP(E76,'All Products'!D:D,'All Products'!C:C,FALSE)</f>
        <v>36-1043</v>
      </c>
      <c r="E76" s="52">
        <v>100030932</v>
      </c>
      <c r="F76" s="53" t="str">
        <f>_xlfn.XLOOKUP(E76,'All Products'!D:D,'All Products'!E:E,FALSE)</f>
        <v>4 ELBOW 22.5 HXS SDR35 SW</v>
      </c>
      <c r="G76" s="124">
        <f>_xlfn.XLOOKUP(E76,'All Products'!D:D,'All Products'!F:F,FALSE)</f>
        <v>22</v>
      </c>
      <c r="H76" s="124">
        <f>_xlfn.XLOOKUP(E76,'All Products'!D:D,'All Products'!G:G,FALSE)</f>
        <v>528</v>
      </c>
      <c r="I76" s="123">
        <f>_xlfn.XLOOKUP(E76,'All Products'!D:D,'All Products'!H:H,FALSE)</f>
        <v>32.22</v>
      </c>
      <c r="J76" s="130">
        <f>IFERROR(ROUNDUP(I76*Order_Quote!$L$14,2),0)</f>
        <v>32.22</v>
      </c>
      <c r="K76" s="122"/>
      <c r="L76" s="76"/>
      <c r="M76" s="114">
        <f t="shared" ref="M76:M81" si="5">K76/G76</f>
        <v>0</v>
      </c>
      <c r="O76" s="215" t="str">
        <f>_xlfn.XLOOKUP(E76,'All Products'!D:D,'All Products'!I:I,FALSE)</f>
        <v>In Stock</v>
      </c>
      <c r="P76" s="215" t="str">
        <f>_xlfn.XLOOKUP(E76,'All Products'!D:D,'All Products'!J:J,FALSE)</f>
        <v>Manufactured</v>
      </c>
      <c r="Q76" s="266">
        <f>_xlfn.XLOOKUP(E76,'All Products'!D:D,'All Products'!K:K,FALSE)</f>
        <v>810673019830</v>
      </c>
      <c r="R76" s="266" t="str">
        <f>_xlfn.XLOOKUP(E76,'All Products'!D:D,'All Products'!L:L,FALSE)</f>
        <v>-</v>
      </c>
      <c r="S76" s="266">
        <f>_xlfn.XLOOKUP(E76,'All Products'!D:D,'All Products'!M:M,FALSE)</f>
        <v>810673019847</v>
      </c>
      <c r="T76" s="264">
        <f>_xlfn.XLOOKUP(E76,'All Products'!D:D,'All Products'!N:N,FALSE)</f>
        <v>0.41599999999999998</v>
      </c>
      <c r="U76" s="265">
        <f>_xlfn.XLOOKUP(E76,'All Products'!D:D,'All Products'!P:P,FALSE)</f>
        <v>11.308</v>
      </c>
      <c r="V76" s="265">
        <f>_xlfn.XLOOKUP(E76,'All Products'!D:D,'All Products'!Q:Q,FALSE)</f>
        <v>1.8803145838984718</v>
      </c>
    </row>
    <row r="77" spans="1:22">
      <c r="A77" s="101" t="str">
        <f>IF(K77&gt;0,COUNT($A$8:A76)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77" s="615"/>
      <c r="C77" s="615"/>
      <c r="D77" s="51" t="str">
        <f>_xlfn.XLOOKUP(E77,'All Products'!D:D,'All Products'!C:C,FALSE)</f>
        <v>36-1044</v>
      </c>
      <c r="E77" s="52">
        <v>100029391</v>
      </c>
      <c r="F77" s="53" t="str">
        <f>_xlfn.XLOOKUP(E77,'All Products'!D:D,'All Products'!E:E,FALSE)</f>
        <v>6 ELBOW 22.5 HXS SDR35 SW</v>
      </c>
      <c r="G77" s="124">
        <f>_xlfn.XLOOKUP(E77,'All Products'!D:D,'All Products'!F:F,FALSE)</f>
        <v>12</v>
      </c>
      <c r="H77" s="124">
        <f>_xlfn.XLOOKUP(E77,'All Products'!D:D,'All Products'!G:G,FALSE)</f>
        <v>144</v>
      </c>
      <c r="I77" s="123">
        <f>_xlfn.XLOOKUP(E77,'All Products'!D:D,'All Products'!H:H,FALSE)</f>
        <v>133.43</v>
      </c>
      <c r="J77" s="130">
        <f>IFERROR(ROUNDUP(I77*Order_Quote!$L$14,2),0)</f>
        <v>133.43</v>
      </c>
      <c r="K77" s="118"/>
      <c r="L77" s="76"/>
      <c r="M77" s="114">
        <f t="shared" si="5"/>
        <v>0</v>
      </c>
      <c r="O77" s="215" t="str">
        <f>_xlfn.XLOOKUP(E77,'All Products'!D:D,'All Products'!I:I,FALSE)</f>
        <v>In Stock</v>
      </c>
      <c r="P77" s="215" t="str">
        <f>_xlfn.XLOOKUP(E77,'All Products'!D:D,'All Products'!J:J,FALSE)</f>
        <v>Manufactured</v>
      </c>
      <c r="Q77" s="266">
        <f>_xlfn.XLOOKUP(E77,'All Products'!D:D,'All Products'!K:K,FALSE)</f>
        <v>810673019854</v>
      </c>
      <c r="R77" s="266" t="str">
        <f>_xlfn.XLOOKUP(E77,'All Products'!D:D,'All Products'!L:L,FALSE)</f>
        <v>-</v>
      </c>
      <c r="S77" s="266">
        <f>_xlfn.XLOOKUP(E77,'All Products'!D:D,'All Products'!M:M,FALSE)</f>
        <v>810673019861</v>
      </c>
      <c r="T77" s="264">
        <f>_xlfn.XLOOKUP(E77,'All Products'!D:D,'All Products'!N:N,FALSE)</f>
        <v>1.5</v>
      </c>
      <c r="U77" s="265">
        <f>_xlfn.XLOOKUP(E77,'All Products'!D:D,'All Products'!P:P,FALSE)</f>
        <v>21</v>
      </c>
      <c r="V77" s="265">
        <f>_xlfn.XLOOKUP(E77,'All Products'!D:D,'All Products'!Q:Q,FALSE)</f>
        <v>3.6731726755225957</v>
      </c>
    </row>
    <row r="78" spans="1:22">
      <c r="A78" s="101" t="str">
        <f>IF(K78&gt;0,COUNT($A$8:A77)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78" s="615"/>
      <c r="C78" s="615"/>
      <c r="D78" s="51" t="str">
        <f>_xlfn.XLOOKUP(E78,'All Products'!D:D,'All Products'!C:C,FALSE)</f>
        <v>36-1075</v>
      </c>
      <c r="E78" s="52">
        <v>300005539</v>
      </c>
      <c r="F78" s="53" t="str">
        <f>_xlfn.XLOOKUP(E78,'All Products'!D:D,'All Products'!E:E,FALSE)</f>
        <v>8 ELBOW 22.5 HXS SDR35 SW</v>
      </c>
      <c r="G78" s="124">
        <f>_xlfn.XLOOKUP(E78,'All Products'!D:D,'All Products'!F:F,FALSE)</f>
        <v>4</v>
      </c>
      <c r="H78" s="124" t="str">
        <f>_xlfn.XLOOKUP(E78,'All Products'!D:D,'All Products'!G:G,FALSE)</f>
        <v>-</v>
      </c>
      <c r="I78" s="123" t="str">
        <f>_xlfn.XLOOKUP(E78,'All Products'!D:D,'All Products'!H:H,FALSE)</f>
        <v>Quote Required</v>
      </c>
      <c r="J78" s="130">
        <f>IFERROR(ROUNDUP(I78*Order_Quote!$L$14,2),0)</f>
        <v>0</v>
      </c>
      <c r="K78" s="118"/>
      <c r="L78" s="76"/>
      <c r="M78" s="114">
        <f t="shared" si="5"/>
        <v>0</v>
      </c>
      <c r="O78" s="215" t="str">
        <f>_xlfn.XLOOKUP(E78,'All Products'!D:D,'All Products'!I:I,FALSE)</f>
        <v>Within 6 Weeks</v>
      </c>
      <c r="P78" s="215" t="str">
        <f>_xlfn.XLOOKUP(E78,'All Products'!D:D,'All Products'!J:J,FALSE)</f>
        <v>Sourced</v>
      </c>
      <c r="Q78" s="266">
        <f>_xlfn.XLOOKUP(E78,'All Products'!D:D,'All Products'!K:K,FALSE)</f>
        <v>812361014363</v>
      </c>
      <c r="R78" s="266" t="str">
        <f>_xlfn.XLOOKUP(E78,'All Products'!D:D,'All Products'!L:L,FALSE)</f>
        <v>-</v>
      </c>
      <c r="S78" s="266" t="str">
        <f>_xlfn.XLOOKUP(E78,'All Products'!D:D,'All Products'!M:M,FALSE)</f>
        <v>-</v>
      </c>
      <c r="T78" s="264">
        <f>_xlfn.XLOOKUP(E78,'All Products'!D:D,'All Products'!N:N,FALSE)</f>
        <v>7.8019999999999996</v>
      </c>
      <c r="U78" s="265">
        <f>_xlfn.XLOOKUP(E78,'All Products'!D:D,'All Products'!P:P,FALSE)</f>
        <v>31.207999999999998</v>
      </c>
      <c r="V78" s="265" t="str">
        <f>_xlfn.XLOOKUP(E78,'All Products'!D:D,'All Products'!Q:Q,FALSE)</f>
        <v>-</v>
      </c>
    </row>
    <row r="79" spans="1:22">
      <c r="A79" s="101" t="str">
        <f>IF(K79&gt;0,COUNT($A$8:A78)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79" s="608"/>
      <c r="C79" s="609"/>
      <c r="D79" s="51" t="str">
        <f>_xlfn.XLOOKUP(E79,'All Products'!D:D,'All Products'!C:C,FALSE)</f>
        <v>36-1702</v>
      </c>
      <c r="E79" s="52">
        <v>300005745</v>
      </c>
      <c r="F79" s="53" t="str">
        <f>_xlfn.XLOOKUP(E79,'All Products'!D:D,'All Products'!E:E,FALSE)</f>
        <v>3 ELBOW 22.5 HXH SDR35 SW</v>
      </c>
      <c r="G79" s="124">
        <f>_xlfn.XLOOKUP(E79,'All Products'!D:D,'All Products'!F:F,FALSE)</f>
        <v>25</v>
      </c>
      <c r="H79" s="124">
        <f>_xlfn.XLOOKUP(E79,'All Products'!D:D,'All Products'!G:G,FALSE)</f>
        <v>1800</v>
      </c>
      <c r="I79" s="123" t="str">
        <f>_xlfn.XLOOKUP(E79,'All Products'!D:D,'All Products'!H:H,FALSE)</f>
        <v>Quote Required</v>
      </c>
      <c r="J79" s="130">
        <f>IFERROR(ROUNDUP(I79*Order_Quote!$L$14,2),0)</f>
        <v>0</v>
      </c>
      <c r="K79" s="122"/>
      <c r="L79" s="76"/>
      <c r="M79" s="114">
        <f t="shared" si="5"/>
        <v>0</v>
      </c>
      <c r="O79" s="215" t="str">
        <f>_xlfn.XLOOKUP(E79,'All Products'!D:D,'All Products'!I:I,FALSE)</f>
        <v>Within 3 Weeks</v>
      </c>
      <c r="P79" s="215" t="str">
        <f>_xlfn.XLOOKUP(E79,'All Products'!D:D,'All Products'!J:J,FALSE)</f>
        <v>Sourced</v>
      </c>
      <c r="Q79" s="266" t="str">
        <f>_xlfn.XLOOKUP(E79,'All Products'!D:D,'All Products'!K:K,FALSE)</f>
        <v>-</v>
      </c>
      <c r="R79" s="266" t="str">
        <f>_xlfn.XLOOKUP(E79,'All Products'!D:D,'All Products'!L:L,FALSE)</f>
        <v>-</v>
      </c>
      <c r="S79" s="266" t="str">
        <f>_xlfn.XLOOKUP(E79,'All Products'!D:D,'All Products'!M:M,FALSE)</f>
        <v>-</v>
      </c>
      <c r="T79" s="264">
        <f>_xlfn.XLOOKUP(E79,'All Products'!D:D,'All Products'!N:N,FALSE)</f>
        <v>1</v>
      </c>
      <c r="U79" s="265">
        <f>_xlfn.XLOOKUP(E79,'All Products'!D:D,'All Products'!P:P,FALSE)</f>
        <v>25</v>
      </c>
      <c r="V79" s="265" t="str">
        <f>_xlfn.XLOOKUP(E79,'All Products'!D:D,'All Products'!Q:Q,FALSE)</f>
        <v>-</v>
      </c>
    </row>
    <row r="80" spans="1:22">
      <c r="A80" s="101" t="str">
        <f>IF(K80&gt;0,COUNT($A$8:A79)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80" s="610"/>
      <c r="C80" s="611"/>
      <c r="D80" s="51" t="str">
        <f>_xlfn.XLOOKUP(E80,'All Products'!D:D,'All Products'!C:C,FALSE)</f>
        <v>36-6564</v>
      </c>
      <c r="E80" s="52">
        <v>100030873</v>
      </c>
      <c r="F80" s="53" t="str">
        <f>_xlfn.XLOOKUP(E80,'All Products'!D:D,'All Products'!E:E,FALSE)</f>
        <v>4 ELBOW 22.5 HXH SDR35 SW</v>
      </c>
      <c r="G80" s="124">
        <f>_xlfn.XLOOKUP(E80,'All Products'!D:D,'All Products'!F:F,FALSE)</f>
        <v>48</v>
      </c>
      <c r="H80" s="124">
        <f>_xlfn.XLOOKUP(E80,'All Products'!D:D,'All Products'!G:G,FALSE)</f>
        <v>576</v>
      </c>
      <c r="I80" s="123">
        <f>_xlfn.XLOOKUP(E80,'All Products'!D:D,'All Products'!H:H,FALSE)</f>
        <v>26.13</v>
      </c>
      <c r="J80" s="130">
        <f>IFERROR(ROUNDUP(I80*Order_Quote!$L$14,2),0)</f>
        <v>26.13</v>
      </c>
      <c r="K80" s="122"/>
      <c r="L80" s="76"/>
      <c r="M80" s="114">
        <f t="shared" si="5"/>
        <v>0</v>
      </c>
      <c r="O80" s="215" t="str">
        <f>_xlfn.XLOOKUP(E80,'All Products'!D:D,'All Products'!I:I,FALSE)</f>
        <v>In Stock</v>
      </c>
      <c r="P80" s="215" t="str">
        <f>_xlfn.XLOOKUP(E80,'All Products'!D:D,'All Products'!J:J,FALSE)</f>
        <v>Manufactured</v>
      </c>
      <c r="Q80" s="266">
        <f>_xlfn.XLOOKUP(E80,'All Products'!D:D,'All Products'!K:K,FALSE)</f>
        <v>816842022519</v>
      </c>
      <c r="R80" s="266" t="str">
        <f>_xlfn.XLOOKUP(E80,'All Products'!D:D,'All Products'!L:L,FALSE)</f>
        <v>-</v>
      </c>
      <c r="S80" s="266">
        <f>_xlfn.XLOOKUP(E80,'All Products'!D:D,'All Products'!M:M,FALSE)</f>
        <v>816842022526</v>
      </c>
      <c r="T80" s="264">
        <f>_xlfn.XLOOKUP(E80,'All Products'!D:D,'All Products'!N:N,FALSE)</f>
        <v>0.41199999999999998</v>
      </c>
      <c r="U80" s="265">
        <f>_xlfn.XLOOKUP(E80,'All Products'!D:D,'All Products'!P:P,FALSE)</f>
        <v>22.799999999999997</v>
      </c>
      <c r="V80" s="265">
        <f>_xlfn.XLOOKUP(E80,'All Products'!D:D,'All Products'!Q:Q,FALSE)</f>
        <v>3.6731726755225957</v>
      </c>
    </row>
    <row r="81" spans="1:22">
      <c r="A81" s="101" t="str">
        <f>IF(K81&gt;0,COUNT($A$8:A80)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81" s="610"/>
      <c r="C81" s="611"/>
      <c r="D81" s="51" t="str">
        <f>_xlfn.XLOOKUP(E81,'All Products'!D:D,'All Products'!C:C,FALSE)</f>
        <v>36-669</v>
      </c>
      <c r="E81" s="52">
        <v>100029390</v>
      </c>
      <c r="F81" s="53" t="str">
        <f>_xlfn.XLOOKUP(E81,'All Products'!D:D,'All Products'!E:E,FALSE)</f>
        <v>6 ELBOW 22.5 HXH SDR35 SW</v>
      </c>
      <c r="G81" s="124">
        <f>_xlfn.XLOOKUP(E81,'All Products'!D:D,'All Products'!F:F,FALSE)</f>
        <v>10</v>
      </c>
      <c r="H81" s="124">
        <f>_xlfn.XLOOKUP(E81,'All Products'!D:D,'All Products'!G:G,FALSE)</f>
        <v>180</v>
      </c>
      <c r="I81" s="123">
        <f>_xlfn.XLOOKUP(E81,'All Products'!D:D,'All Products'!H:H,FALSE)</f>
        <v>114.37</v>
      </c>
      <c r="J81" s="130">
        <f>IFERROR(ROUNDUP(I81*Order_Quote!$L$14,2),0)</f>
        <v>114.37</v>
      </c>
      <c r="K81" s="118"/>
      <c r="L81" s="76"/>
      <c r="M81" s="114">
        <f t="shared" si="5"/>
        <v>0</v>
      </c>
      <c r="O81" s="215" t="str">
        <f>_xlfn.XLOOKUP(E81,'All Products'!D:D,'All Products'!I:I,FALSE)</f>
        <v>In Stock</v>
      </c>
      <c r="P81" s="215" t="str">
        <f>_xlfn.XLOOKUP(E81,'All Products'!D:D,'All Products'!J:J,FALSE)</f>
        <v>Manufactured</v>
      </c>
      <c r="Q81" s="266">
        <f>_xlfn.XLOOKUP(E81,'All Products'!D:D,'All Products'!K:K,FALSE)</f>
        <v>810673019816</v>
      </c>
      <c r="R81" s="266" t="str">
        <f>_xlfn.XLOOKUP(E81,'All Products'!D:D,'All Products'!L:L,FALSE)</f>
        <v>-</v>
      </c>
      <c r="S81" s="266">
        <f>_xlfn.XLOOKUP(E81,'All Products'!D:D,'All Products'!M:M,FALSE)</f>
        <v>10810673019813</v>
      </c>
      <c r="T81" s="264">
        <f>_xlfn.XLOOKUP(E81,'All Products'!D:D,'All Products'!N:N,FALSE)</f>
        <v>1.5880000000000001</v>
      </c>
      <c r="U81" s="265">
        <f>_xlfn.XLOOKUP(E81,'All Products'!D:D,'All Products'!P:P,FALSE)</f>
        <v>17.73</v>
      </c>
      <c r="V81" s="265">
        <f>_xlfn.XLOOKUP(E81,'All Products'!D:D,'All Products'!Q:Q,FALSE)</f>
        <v>2.361325291407383</v>
      </c>
    </row>
    <row r="82" spans="1:22" ht="15" thickBot="1">
      <c r="A82" s="101" t="str">
        <f>IF(K82&gt;0,COUNT($A$8:A81)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82" s="612"/>
      <c r="C82" s="613"/>
      <c r="D82" s="51" t="str">
        <f>_xlfn.XLOOKUP(E82,'All Products'!D:D,'All Products'!C:C,FALSE)</f>
        <v>36-670</v>
      </c>
      <c r="E82" s="52">
        <v>300005538</v>
      </c>
      <c r="F82" s="53" t="str">
        <f>_xlfn.XLOOKUP(E82,'All Products'!D:D,'All Products'!E:E,FALSE)</f>
        <v>8 ELBOW 22.5 HXH SDR35 SW</v>
      </c>
      <c r="G82" s="124">
        <f>_xlfn.XLOOKUP(E82,'All Products'!D:D,'All Products'!F:F,FALSE)</f>
        <v>4</v>
      </c>
      <c r="H82" s="124" t="str">
        <f>_xlfn.XLOOKUP(E82,'All Products'!D:D,'All Products'!G:G,FALSE)</f>
        <v>-</v>
      </c>
      <c r="I82" s="123" t="str">
        <f>_xlfn.XLOOKUP(E82,'All Products'!D:D,'All Products'!H:H,FALSE)</f>
        <v>Quote Required</v>
      </c>
      <c r="J82" s="130">
        <f>IFERROR(ROUNDUP(I82*Order_Quote!$L$14,2),0)</f>
        <v>0</v>
      </c>
      <c r="K82" s="118"/>
      <c r="L82" s="76"/>
      <c r="M82" s="114">
        <f>K82/G82</f>
        <v>0</v>
      </c>
      <c r="O82" s="215" t="str">
        <f>_xlfn.XLOOKUP(E82,'All Products'!D:D,'All Products'!I:I,FALSE)</f>
        <v>Within 6 Weeks</v>
      </c>
      <c r="P82" s="215" t="str">
        <f>_xlfn.XLOOKUP(E82,'All Products'!D:D,'All Products'!J:J,FALSE)</f>
        <v>Sourced</v>
      </c>
      <c r="Q82" s="266">
        <f>_xlfn.XLOOKUP(E82,'All Products'!D:D,'All Products'!K:K,FALSE)</f>
        <v>812361014349</v>
      </c>
      <c r="R82" s="266" t="str">
        <f>_xlfn.XLOOKUP(E82,'All Products'!D:D,'All Products'!L:L,FALSE)</f>
        <v>-</v>
      </c>
      <c r="S82" s="266" t="str">
        <f>_xlfn.XLOOKUP(E82,'All Products'!D:D,'All Products'!M:M,FALSE)</f>
        <v>-</v>
      </c>
      <c r="T82" s="264">
        <f>_xlfn.XLOOKUP(E82,'All Products'!D:D,'All Products'!N:N,FALSE)</f>
        <v>3.56</v>
      </c>
      <c r="U82" s="265">
        <f>_xlfn.XLOOKUP(E82,'All Products'!D:D,'All Products'!P:P,FALSE)</f>
        <v>14.24</v>
      </c>
      <c r="V82" s="265" t="str">
        <f>_xlfn.XLOOKUP(E82,'All Products'!D:D,'All Products'!Q:Q,FALSE)</f>
        <v>-</v>
      </c>
    </row>
    <row r="83" spans="1:22" ht="16.2" thickBot="1">
      <c r="A83" s="101" t="str">
        <f>IF(K83&gt;0,COUNT($A$8:A82)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83" s="501" t="s">
        <v>5859</v>
      </c>
      <c r="C83" s="151"/>
      <c r="D83" s="151"/>
      <c r="E83" s="459"/>
      <c r="F83" s="151"/>
      <c r="G83" s="468"/>
      <c r="H83" s="151"/>
      <c r="I83" s="472"/>
      <c r="J83" s="468"/>
      <c r="K83" s="477"/>
      <c r="L83" s="238"/>
      <c r="M83" s="476"/>
      <c r="O83" s="494"/>
      <c r="P83" s="478"/>
      <c r="Q83" s="492"/>
      <c r="R83" s="492"/>
      <c r="S83" s="492"/>
      <c r="T83" s="495"/>
      <c r="U83" s="496"/>
      <c r="V83" s="497"/>
    </row>
    <row r="84" spans="1:22">
      <c r="A84" s="101" t="str">
        <f>IF(K84&gt;0,COUNT($A$8:A83)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84" s="221"/>
      <c r="C84" s="222"/>
      <c r="D84" s="51" t="str">
        <f>_xlfn.XLOOKUP(E84,'All Products'!D:D,'All Products'!C:C,FALSE)</f>
        <v>36-6594</v>
      </c>
      <c r="E84" s="52">
        <v>100030865</v>
      </c>
      <c r="F84" s="53" t="str">
        <f>_xlfn.XLOOKUP(E84,'All Products'!D:D,'All Products'!E:E,FALSE)</f>
        <v>3 TEE HXHXH SDR35 SW</v>
      </c>
      <c r="G84" s="124">
        <f>_xlfn.XLOOKUP(E84,'All Products'!D:D,'All Products'!F:F,FALSE)</f>
        <v>30</v>
      </c>
      <c r="H84" s="124">
        <f>_xlfn.XLOOKUP(E84,'All Products'!D:D,'All Products'!G:G,FALSE)</f>
        <v>960</v>
      </c>
      <c r="I84" s="123">
        <f>_xlfn.XLOOKUP(E84,'All Products'!D:D,'All Products'!H:H,FALSE)</f>
        <v>23.11</v>
      </c>
      <c r="J84" s="130">
        <f>IFERROR(ROUNDUP(I84*Order_Quote!$L$14,2),0)</f>
        <v>23.11</v>
      </c>
      <c r="K84" s="118"/>
      <c r="L84" s="76"/>
      <c r="M84" s="114">
        <f t="shared" si="0"/>
        <v>0</v>
      </c>
      <c r="O84" s="215" t="str">
        <f>_xlfn.XLOOKUP(E84,'All Products'!D:D,'All Products'!I:I,FALSE)</f>
        <v>Within 3 Weeks</v>
      </c>
      <c r="P84" s="215" t="str">
        <f>_xlfn.XLOOKUP(E84,'All Products'!D:D,'All Products'!J:J,FALSE)</f>
        <v>Manufactured</v>
      </c>
      <c r="Q84" s="266">
        <f>_xlfn.XLOOKUP(E84,'All Products'!D:D,'All Products'!K:K,FALSE)</f>
        <v>816842023011</v>
      </c>
      <c r="R84" s="266" t="str">
        <f>_xlfn.XLOOKUP(E84,'All Products'!D:D,'All Products'!L:L,FALSE)</f>
        <v>-</v>
      </c>
      <c r="S84" s="266">
        <f>_xlfn.XLOOKUP(E84,'All Products'!D:D,'All Products'!M:M,FALSE)</f>
        <v>816842023028</v>
      </c>
      <c r="T84" s="264">
        <f>_xlfn.XLOOKUP(E84,'All Products'!D:D,'All Products'!N:N,FALSE)</f>
        <v>0.47599999999999998</v>
      </c>
      <c r="U84" s="265">
        <f>_xlfn.XLOOKUP(E84,'All Products'!D:D,'All Products'!P:P,FALSE)</f>
        <v>16.170000000000002</v>
      </c>
      <c r="V84" s="265">
        <f>_xlfn.XLOOKUP(E84,'All Products'!D:D,'All Products'!Q:Q,FALSE)</f>
        <v>2.7986077527791204</v>
      </c>
    </row>
    <row r="85" spans="1:22">
      <c r="A85" s="101" t="str">
        <f>IF(K85&gt;0,COUNT($A$8:A84)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85" s="223"/>
      <c r="C85" s="224"/>
      <c r="D85" s="51" t="str">
        <f>_xlfn.XLOOKUP(E85,'All Products'!D:D,'All Products'!C:C,FALSE)</f>
        <v>36-6557</v>
      </c>
      <c r="E85" s="52">
        <v>100029319</v>
      </c>
      <c r="F85" s="53" t="str">
        <f>_xlfn.XLOOKUP(E85,'All Products'!D:D,'All Products'!E:E,FALSE)</f>
        <v>4 TEE HXHXH SDR35 SW</v>
      </c>
      <c r="G85" s="124">
        <f>_xlfn.XLOOKUP(E85,'All Products'!D:D,'All Products'!F:F,FALSE)</f>
        <v>20</v>
      </c>
      <c r="H85" s="124">
        <f>_xlfn.XLOOKUP(E85,'All Products'!D:D,'All Products'!G:G,FALSE)</f>
        <v>240</v>
      </c>
      <c r="I85" s="123">
        <f>_xlfn.XLOOKUP(E85,'All Products'!D:D,'All Products'!H:H,FALSE)</f>
        <v>31.29</v>
      </c>
      <c r="J85" s="130">
        <f>IFERROR(ROUNDUP(I85*Order_Quote!$L$14,2),0)</f>
        <v>31.29</v>
      </c>
      <c r="K85" s="118"/>
      <c r="L85" s="76"/>
      <c r="M85" s="114">
        <f t="shared" si="0"/>
        <v>0</v>
      </c>
      <c r="O85" s="215" t="str">
        <f>_xlfn.XLOOKUP(E85,'All Products'!D:D,'All Products'!I:I,FALSE)</f>
        <v>In Stock</v>
      </c>
      <c r="P85" s="215" t="str">
        <f>_xlfn.XLOOKUP(E85,'All Products'!D:D,'All Products'!J:J,FALSE)</f>
        <v>Manufactured</v>
      </c>
      <c r="Q85" s="266">
        <f>_xlfn.XLOOKUP(E85,'All Products'!D:D,'All Products'!K:K,FALSE)</f>
        <v>816842022373</v>
      </c>
      <c r="R85" s="266" t="str">
        <f>_xlfn.XLOOKUP(E85,'All Products'!D:D,'All Products'!L:L,FALSE)</f>
        <v>-</v>
      </c>
      <c r="S85" s="266">
        <f>_xlfn.XLOOKUP(E85,'All Products'!D:D,'All Products'!M:M,FALSE)</f>
        <v>816842022380</v>
      </c>
      <c r="T85" s="264">
        <f>_xlfn.XLOOKUP(E85,'All Products'!D:D,'All Products'!N:N,FALSE)</f>
        <v>0.85399999999999998</v>
      </c>
      <c r="U85" s="265">
        <f>_xlfn.XLOOKUP(E85,'All Products'!D:D,'All Products'!P:P,FALSE)</f>
        <v>18.98</v>
      </c>
      <c r="V85" s="265">
        <f>_xlfn.XLOOKUP(E85,'All Products'!D:D,'All Products'!Q:Q,FALSE)</f>
        <v>2.7986077527791204</v>
      </c>
    </row>
    <row r="86" spans="1:22">
      <c r="A86" s="101" t="str">
        <f>IF(K86&gt;0,COUNT($A$8:A85)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86" s="223"/>
      <c r="C86" s="224"/>
      <c r="D86" s="51" t="str">
        <f>_xlfn.XLOOKUP(E86,'All Products'!D:D,'All Products'!C:C,FALSE)</f>
        <v>36-1084</v>
      </c>
      <c r="E86" s="52">
        <v>100029359</v>
      </c>
      <c r="F86" s="53" t="str">
        <f>_xlfn.XLOOKUP(E86,'All Products'!D:D,'All Products'!E:E,FALSE)</f>
        <v>6X4 TEE HXHXH SDR35 SW</v>
      </c>
      <c r="G86" s="124">
        <f>_xlfn.XLOOKUP(E86,'All Products'!D:D,'All Products'!F:F,FALSE)</f>
        <v>4</v>
      </c>
      <c r="H86" s="124">
        <f>_xlfn.XLOOKUP(E86,'All Products'!D:D,'All Products'!G:G,FALSE)</f>
        <v>96</v>
      </c>
      <c r="I86" s="123">
        <f>_xlfn.XLOOKUP(E86,'All Products'!D:D,'All Products'!H:H,FALSE)</f>
        <v>127.57</v>
      </c>
      <c r="J86" s="130">
        <f>IFERROR(ROUNDUP(I86*Order_Quote!$L$14,2),0)</f>
        <v>127.57</v>
      </c>
      <c r="K86" s="118"/>
      <c r="L86" s="76"/>
      <c r="M86" s="114">
        <f t="shared" si="0"/>
        <v>0</v>
      </c>
      <c r="O86" s="215" t="str">
        <f>_xlfn.XLOOKUP(E86,'All Products'!D:D,'All Products'!I:I,FALSE)</f>
        <v>In Stock</v>
      </c>
      <c r="P86" s="215" t="str">
        <f>_xlfn.XLOOKUP(E86,'All Products'!D:D,'All Products'!J:J,FALSE)</f>
        <v>Manufactured</v>
      </c>
      <c r="Q86" s="266">
        <f>_xlfn.XLOOKUP(E86,'All Products'!D:D,'All Products'!K:K,FALSE)</f>
        <v>810673019458</v>
      </c>
      <c r="R86" s="266" t="str">
        <f>_xlfn.XLOOKUP(E86,'All Products'!D:D,'All Products'!L:L,FALSE)</f>
        <v>-</v>
      </c>
      <c r="S86" s="266">
        <f>_xlfn.XLOOKUP(E86,'All Products'!D:D,'All Products'!M:M,FALSE)</f>
        <v>10810673019455</v>
      </c>
      <c r="T86" s="264">
        <f>_xlfn.XLOOKUP(E86,'All Products'!D:D,'All Products'!N:N,FALSE)</f>
        <v>2.3039999999999998</v>
      </c>
      <c r="U86" s="265">
        <f>_xlfn.XLOOKUP(E86,'All Products'!D:D,'All Products'!P:P,FALSE)</f>
        <v>11.388</v>
      </c>
      <c r="V86" s="265">
        <f>_xlfn.XLOOKUP(E86,'All Products'!D:D,'All Products'!Q:Q,FALSE)</f>
        <v>1.8803145838984718</v>
      </c>
    </row>
    <row r="87" spans="1:22">
      <c r="A87" s="101" t="str">
        <f>IF(K87&gt;0,COUNT($A$8:A86)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87" s="223"/>
      <c r="C87" s="224"/>
      <c r="D87" s="51" t="str">
        <f>_xlfn.XLOOKUP(E87,'All Products'!D:D,'All Products'!C:C,FALSE)</f>
        <v>36-1085</v>
      </c>
      <c r="E87" s="52">
        <v>100029321</v>
      </c>
      <c r="F87" s="53" t="str">
        <f>_xlfn.XLOOKUP(E87,'All Products'!D:D,'All Products'!E:E,FALSE)</f>
        <v>6 TEE HXHXH SDR35 SW</v>
      </c>
      <c r="G87" s="124">
        <f>_xlfn.XLOOKUP(E87,'All Products'!D:D,'All Products'!F:F,FALSE)</f>
        <v>6</v>
      </c>
      <c r="H87" s="124">
        <f>_xlfn.XLOOKUP(E87,'All Products'!D:D,'All Products'!G:G,FALSE)</f>
        <v>72</v>
      </c>
      <c r="I87" s="123">
        <f>_xlfn.XLOOKUP(E87,'All Products'!D:D,'All Products'!H:H,FALSE)</f>
        <v>130.32</v>
      </c>
      <c r="J87" s="130">
        <f>IFERROR(ROUNDUP(I87*Order_Quote!$L$14,2),0)</f>
        <v>130.32</v>
      </c>
      <c r="K87" s="118"/>
      <c r="L87" s="76"/>
      <c r="M87" s="114">
        <f t="shared" si="0"/>
        <v>0</v>
      </c>
      <c r="O87" s="215" t="str">
        <f>_xlfn.XLOOKUP(E87,'All Products'!D:D,'All Products'!I:I,FALSE)</f>
        <v>In Stock</v>
      </c>
      <c r="P87" s="215" t="str">
        <f>_xlfn.XLOOKUP(E87,'All Products'!D:D,'All Products'!J:J,FALSE)</f>
        <v>Manufactured</v>
      </c>
      <c r="Q87" s="266">
        <f>_xlfn.XLOOKUP(E87,'All Products'!D:D,'All Products'!K:K,FALSE)</f>
        <v>810673019472</v>
      </c>
      <c r="R87" s="266" t="str">
        <f>_xlfn.XLOOKUP(E87,'All Products'!D:D,'All Products'!L:L,FALSE)</f>
        <v>-</v>
      </c>
      <c r="S87" s="266">
        <f>_xlfn.XLOOKUP(E87,'All Products'!D:D,'All Products'!M:M,FALSE)</f>
        <v>10810673019479</v>
      </c>
      <c r="T87" s="264">
        <f>_xlfn.XLOOKUP(E87,'All Products'!D:D,'All Products'!N:N,FALSE)</f>
        <v>3.0819999999999999</v>
      </c>
      <c r="U87" s="265">
        <f>_xlfn.XLOOKUP(E87,'All Products'!D:D,'All Products'!P:P,FALSE)</f>
        <v>21.509999999999998</v>
      </c>
      <c r="V87" s="265">
        <f>_xlfn.XLOOKUP(E87,'All Products'!D:D,'All Products'!Q:Q,FALSE)</f>
        <v>3.6731726755225957</v>
      </c>
    </row>
    <row r="88" spans="1:22">
      <c r="A88" s="101" t="str">
        <f>IF(K88&gt;0,COUNT($A$8:A87)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88" s="223"/>
      <c r="C88" s="224"/>
      <c r="D88" s="51" t="str">
        <f>_xlfn.XLOOKUP(E88,'All Products'!D:D,'All Products'!C:C,FALSE)</f>
        <v>36-1086</v>
      </c>
      <c r="E88" s="52">
        <v>300005878</v>
      </c>
      <c r="F88" s="53" t="str">
        <f>_xlfn.XLOOKUP(E88,'All Products'!D:D,'All Products'!E:E,FALSE)</f>
        <v>8X4 TEE HXHXH SDR35 SW</v>
      </c>
      <c r="G88" s="124">
        <f>_xlfn.XLOOKUP(E88,'All Products'!D:D,'All Products'!F:F,FALSE)</f>
        <v>4</v>
      </c>
      <c r="H88" s="124">
        <f>_xlfn.XLOOKUP(E88,'All Products'!D:D,'All Products'!G:G,FALSE)</f>
        <v>48</v>
      </c>
      <c r="I88" s="123" t="str">
        <f>_xlfn.XLOOKUP(E88,'All Products'!D:D,'All Products'!H:H,FALSE)</f>
        <v>Quote Required</v>
      </c>
      <c r="J88" s="130">
        <f>IFERROR(ROUNDUP(I88*Order_Quote!$L$14,2),0)</f>
        <v>0</v>
      </c>
      <c r="K88" s="118"/>
      <c r="L88" s="76"/>
      <c r="M88" s="114">
        <f t="shared" si="0"/>
        <v>0</v>
      </c>
      <c r="O88" s="215" t="str">
        <f>_xlfn.XLOOKUP(E88,'All Products'!D:D,'All Products'!I:I,FALSE)</f>
        <v>Within 6 Weeks</v>
      </c>
      <c r="P88" s="215" t="str">
        <f>_xlfn.XLOOKUP(E88,'All Products'!D:D,'All Products'!J:J,FALSE)</f>
        <v>Sourced</v>
      </c>
      <c r="Q88" s="266">
        <f>_xlfn.XLOOKUP(E88,'All Products'!D:D,'All Products'!K:K,FALSE)</f>
        <v>810673019496</v>
      </c>
      <c r="R88" s="266" t="str">
        <f>_xlfn.XLOOKUP(E88,'All Products'!D:D,'All Products'!L:L,FALSE)</f>
        <v>-</v>
      </c>
      <c r="S88" s="266" t="str">
        <f>_xlfn.XLOOKUP(E88,'All Products'!D:D,'All Products'!M:M,FALSE)</f>
        <v>-</v>
      </c>
      <c r="T88" s="264">
        <f>_xlfn.XLOOKUP(E88,'All Products'!D:D,'All Products'!N:N,FALSE)</f>
        <v>4.83</v>
      </c>
      <c r="U88" s="265">
        <f>_xlfn.XLOOKUP(E88,'All Products'!D:D,'All Products'!P:P,FALSE)</f>
        <v>19.32</v>
      </c>
      <c r="V88" s="265" t="str">
        <f>_xlfn.XLOOKUP(E88,'All Products'!D:D,'All Products'!Q:Q,FALSE)</f>
        <v>-</v>
      </c>
    </row>
    <row r="89" spans="1:22">
      <c r="A89" s="101" t="str">
        <f>IF(K89&gt;0,COUNT($A$8:A88)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89" s="223"/>
      <c r="C89" s="224"/>
      <c r="D89" s="51" t="str">
        <f>_xlfn.XLOOKUP(E89,'All Products'!D:D,'All Products'!C:C,FALSE)</f>
        <v>36-1088</v>
      </c>
      <c r="E89" s="52">
        <v>100029322</v>
      </c>
      <c r="F89" s="53" t="str">
        <f>_xlfn.XLOOKUP(E89,'All Products'!D:D,'All Products'!E:E,FALSE)</f>
        <v>8 TEE HXHXH SDR35 SW</v>
      </c>
      <c r="G89" s="124">
        <f>_xlfn.XLOOKUP(E89,'All Products'!D:D,'All Products'!F:F,FALSE)</f>
        <v>2</v>
      </c>
      <c r="H89" s="124">
        <f>_xlfn.XLOOKUP(E89,'All Products'!D:D,'All Products'!G:G,FALSE)</f>
        <v>24</v>
      </c>
      <c r="I89" s="123">
        <f>_xlfn.XLOOKUP(E89,'All Products'!D:D,'All Products'!H:H,FALSE)</f>
        <v>532.15</v>
      </c>
      <c r="J89" s="130">
        <f>IFERROR(ROUNDUP(I89*Order_Quote!$L$14,2),0)</f>
        <v>532.15</v>
      </c>
      <c r="K89" s="118"/>
      <c r="L89" s="76"/>
      <c r="M89" s="114">
        <f t="shared" si="0"/>
        <v>0</v>
      </c>
      <c r="O89" s="215" t="str">
        <f>_xlfn.XLOOKUP(E89,'All Products'!D:D,'All Products'!I:I,FALSE)</f>
        <v>Within 3 Weeks</v>
      </c>
      <c r="P89" s="215" t="str">
        <f>_xlfn.XLOOKUP(E89,'All Products'!D:D,'All Products'!J:J,FALSE)</f>
        <v>Manufactured</v>
      </c>
      <c r="Q89" s="266">
        <f>_xlfn.XLOOKUP(E89,'All Products'!D:D,'All Products'!K:K,FALSE)</f>
        <v>810673019533</v>
      </c>
      <c r="R89" s="266" t="str">
        <f>_xlfn.XLOOKUP(E89,'All Products'!D:D,'All Products'!L:L,FALSE)</f>
        <v>-</v>
      </c>
      <c r="S89" s="266">
        <f>_xlfn.XLOOKUP(E89,'All Products'!D:D,'All Products'!M:M,FALSE)</f>
        <v>812361011997</v>
      </c>
      <c r="T89" s="264">
        <f>_xlfn.XLOOKUP(E89,'All Products'!D:D,'All Products'!N:N,FALSE)</f>
        <v>6.74</v>
      </c>
      <c r="U89" s="265">
        <f>_xlfn.XLOOKUP(E89,'All Products'!D:D,'All Products'!P:P,FALSE)</f>
        <v>16.494</v>
      </c>
      <c r="V89" s="265">
        <f>_xlfn.XLOOKUP(E89,'All Products'!D:D,'All Products'!Q:Q,FALSE)</f>
        <v>3.6731726755225957</v>
      </c>
    </row>
    <row r="90" spans="1:22" ht="47.25" customHeight="1">
      <c r="A90" s="101" t="str">
        <f>IF(K90&gt;0,COUNT($A$8:A89)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90" s="616"/>
      <c r="C90" s="617"/>
      <c r="D90" s="51" t="str">
        <f>_xlfn.XLOOKUP(E90,'All Products'!D:D,'All Products'!C:C,FALSE)</f>
        <v>36-715</v>
      </c>
      <c r="E90" s="52">
        <v>100029381</v>
      </c>
      <c r="F90" s="53" t="str">
        <f>_xlfn.XLOOKUP(E90,'All Products'!D:D,'All Products'!E:E,FALSE)</f>
        <v>4 CROSS HXHXHXH SDR35 SW</v>
      </c>
      <c r="G90" s="124">
        <f>_xlfn.XLOOKUP(E90,'All Products'!D:D,'All Products'!F:F,FALSE)</f>
        <v>12</v>
      </c>
      <c r="H90" s="124">
        <f>_xlfn.XLOOKUP(E90,'All Products'!D:D,'All Products'!G:G,FALSE)</f>
        <v>216</v>
      </c>
      <c r="I90" s="123">
        <f>_xlfn.XLOOKUP(E90,'All Products'!D:D,'All Products'!H:H,FALSE)</f>
        <v>92.12</v>
      </c>
      <c r="J90" s="130">
        <f>IFERROR(ROUNDUP(I90*Order_Quote!$L$14,2),0)</f>
        <v>92.12</v>
      </c>
      <c r="K90" s="118"/>
      <c r="L90" s="76"/>
      <c r="M90" s="114">
        <f>K90/G90</f>
        <v>0</v>
      </c>
      <c r="O90" s="215" t="str">
        <f>_xlfn.XLOOKUP(E90,'All Products'!D:D,'All Products'!I:I,FALSE)</f>
        <v>In Stock</v>
      </c>
      <c r="P90" s="215" t="str">
        <f>_xlfn.XLOOKUP(E90,'All Products'!D:D,'All Products'!J:J,FALSE)</f>
        <v>Manufactured</v>
      </c>
      <c r="Q90" s="266">
        <f>_xlfn.XLOOKUP(E90,'All Products'!D:D,'All Products'!K:K,FALSE)</f>
        <v>810673019557</v>
      </c>
      <c r="R90" s="266" t="str">
        <f>_xlfn.XLOOKUP(E90,'All Products'!D:D,'All Products'!L:L,FALSE)</f>
        <v>-</v>
      </c>
      <c r="S90" s="266">
        <f>_xlfn.XLOOKUP(E90,'All Products'!D:D,'All Products'!M:M,FALSE)</f>
        <v>10810673019554</v>
      </c>
      <c r="T90" s="264">
        <f>_xlfn.XLOOKUP(E90,'All Products'!D:D,'All Products'!N:N,FALSE)</f>
        <v>0.97599999999999998</v>
      </c>
      <c r="U90" s="265">
        <f>_xlfn.XLOOKUP(E90,'All Products'!D:D,'All Products'!P:P,FALSE)</f>
        <v>13.559999999999999</v>
      </c>
      <c r="V90" s="265">
        <f>_xlfn.XLOOKUP(E90,'All Products'!D:D,'All Products'!Q:Q,FALSE)</f>
        <v>2.361325291407383</v>
      </c>
    </row>
    <row r="91" spans="1:22">
      <c r="A91" s="101" t="str">
        <f>IF(K91&gt;0,COUNT($A$8:A90)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91" s="608"/>
      <c r="C91" s="609"/>
      <c r="D91" s="51" t="str">
        <f>_xlfn.XLOOKUP(E91,'All Products'!D:D,'All Products'!C:C,FALSE)</f>
        <v>36-6583</v>
      </c>
      <c r="E91" s="52">
        <v>100030866</v>
      </c>
      <c r="F91" s="53" t="str">
        <f>_xlfn.XLOOKUP(E91,'All Products'!D:D,'All Products'!E:E,FALSE)</f>
        <v>3 TEE WYE HXHXH SDR35 SW</v>
      </c>
      <c r="G91" s="124">
        <f>_xlfn.XLOOKUP(E91,'All Products'!D:D,'All Products'!F:F,FALSE)</f>
        <v>24</v>
      </c>
      <c r="H91" s="124">
        <f>_xlfn.XLOOKUP(E91,'All Products'!D:D,'All Products'!G:G,FALSE)</f>
        <v>768</v>
      </c>
      <c r="I91" s="123">
        <f>_xlfn.XLOOKUP(E91,'All Products'!D:D,'All Products'!H:H,FALSE)</f>
        <v>49.01</v>
      </c>
      <c r="J91" s="130">
        <f>IFERROR(ROUNDUP(I91*Order_Quote!$L$14,2),0)</f>
        <v>49.01</v>
      </c>
      <c r="K91" s="122"/>
      <c r="L91" s="76"/>
      <c r="M91" s="114">
        <f t="shared" si="0"/>
        <v>0</v>
      </c>
      <c r="O91" s="215" t="str">
        <f>_xlfn.XLOOKUP(E91,'All Products'!D:D,'All Products'!I:I,FALSE)</f>
        <v>Within 3 Weeks</v>
      </c>
      <c r="P91" s="215" t="str">
        <f>_xlfn.XLOOKUP(E91,'All Products'!D:D,'All Products'!J:J,FALSE)</f>
        <v>Manufactured</v>
      </c>
      <c r="Q91" s="266">
        <f>_xlfn.XLOOKUP(E91,'All Products'!D:D,'All Products'!K:K,FALSE)</f>
        <v>816842022793</v>
      </c>
      <c r="R91" s="266" t="str">
        <f>_xlfn.XLOOKUP(E91,'All Products'!D:D,'All Products'!L:L,FALSE)</f>
        <v>-</v>
      </c>
      <c r="S91" s="266">
        <f>_xlfn.XLOOKUP(E91,'All Products'!D:D,'All Products'!M:M,FALSE)</f>
        <v>816842022809</v>
      </c>
      <c r="T91" s="264">
        <f>_xlfn.XLOOKUP(E91,'All Products'!D:D,'All Products'!N:N,FALSE)</f>
        <v>0.58599999999999997</v>
      </c>
      <c r="U91" s="265">
        <f>_xlfn.XLOOKUP(E91,'All Products'!D:D,'All Products'!P:P,FALSE)</f>
        <v>15.984000000000002</v>
      </c>
      <c r="V91" s="265">
        <f>_xlfn.XLOOKUP(E91,'All Products'!D:D,'All Products'!Q:Q,FALSE)</f>
        <v>2.7986077527791204</v>
      </c>
    </row>
    <row r="92" spans="1:22">
      <c r="A92" s="101" t="str">
        <f>IF(K92&gt;0,COUNT($A$8:A91)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92" s="610"/>
      <c r="C92" s="611"/>
      <c r="D92" s="51" t="str">
        <f>_xlfn.XLOOKUP(E92,'All Products'!D:D,'All Products'!C:C,FALSE)</f>
        <v>36-6559</v>
      </c>
      <c r="E92" s="52">
        <v>100029382</v>
      </c>
      <c r="F92" s="53" t="str">
        <f>_xlfn.XLOOKUP(E92,'All Products'!D:D,'All Products'!E:E,FALSE)</f>
        <v>4 TEE WYE HXHXH SDR35 SW</v>
      </c>
      <c r="G92" s="124">
        <f>_xlfn.XLOOKUP(E92,'All Products'!D:D,'All Products'!F:F,FALSE)</f>
        <v>18</v>
      </c>
      <c r="H92" s="124">
        <f>_xlfn.XLOOKUP(E92,'All Products'!D:D,'All Products'!G:G,FALSE)</f>
        <v>216</v>
      </c>
      <c r="I92" s="123">
        <f>_xlfn.XLOOKUP(E92,'All Products'!D:D,'All Products'!H:H,FALSE)</f>
        <v>50.3</v>
      </c>
      <c r="J92" s="130">
        <f>IFERROR(ROUNDUP(I92*Order_Quote!$L$14,2),0)</f>
        <v>50.3</v>
      </c>
      <c r="K92" s="122"/>
      <c r="L92" s="76"/>
      <c r="M92" s="114">
        <f t="shared" si="0"/>
        <v>0</v>
      </c>
      <c r="O92" s="215" t="str">
        <f>_xlfn.XLOOKUP(E92,'All Products'!D:D,'All Products'!I:I,FALSE)</f>
        <v>In Stock</v>
      </c>
      <c r="P92" s="215" t="str">
        <f>_xlfn.XLOOKUP(E92,'All Products'!D:D,'All Products'!J:J,FALSE)</f>
        <v>Manufactured</v>
      </c>
      <c r="Q92" s="266">
        <f>_xlfn.XLOOKUP(E92,'All Products'!D:D,'All Products'!K:K,FALSE)</f>
        <v>816842022410</v>
      </c>
      <c r="R92" s="266" t="str">
        <f>_xlfn.XLOOKUP(E92,'All Products'!D:D,'All Products'!L:L,FALSE)</f>
        <v>-</v>
      </c>
      <c r="S92" s="266">
        <f>_xlfn.XLOOKUP(E92,'All Products'!D:D,'All Products'!M:M,FALSE)</f>
        <v>816842022427</v>
      </c>
      <c r="T92" s="264">
        <f>_xlfn.XLOOKUP(E92,'All Products'!D:D,'All Products'!N:N,FALSE)</f>
        <v>1.077</v>
      </c>
      <c r="U92" s="265">
        <f>_xlfn.XLOOKUP(E92,'All Products'!D:D,'All Products'!P:P,FALSE)</f>
        <v>22.428000000000001</v>
      </c>
      <c r="V92" s="265">
        <f>_xlfn.XLOOKUP(E92,'All Products'!D:D,'All Products'!Q:Q,FALSE)</f>
        <v>3.6731726755225957</v>
      </c>
    </row>
    <row r="93" spans="1:22">
      <c r="A93" s="101" t="str">
        <f>IF(K93&gt;0,COUNT($A$8:A92)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93" s="610"/>
      <c r="C93" s="611"/>
      <c r="D93" s="51" t="str">
        <f>_xlfn.XLOOKUP(E93,'All Products'!D:D,'All Products'!C:C,FALSE)</f>
        <v>36-722</v>
      </c>
      <c r="E93" s="52">
        <v>300005528</v>
      </c>
      <c r="F93" s="53" t="str">
        <f>_xlfn.XLOOKUP(E93,'All Products'!D:D,'All Products'!E:E,FALSE)</f>
        <v>6X4 TEE WYE HXHXH SDR35 SW</v>
      </c>
      <c r="G93" s="124">
        <f>_xlfn.XLOOKUP(E93,'All Products'!D:D,'All Products'!F:F,FALSE)</f>
        <v>5</v>
      </c>
      <c r="H93" s="124">
        <f>_xlfn.XLOOKUP(E93,'All Products'!D:D,'All Products'!G:G,FALSE)</f>
        <v>60</v>
      </c>
      <c r="I93" s="123" t="str">
        <f>_xlfn.XLOOKUP(E93,'All Products'!D:D,'All Products'!H:H,FALSE)</f>
        <v>Quote Required</v>
      </c>
      <c r="J93" s="130">
        <f>IFERROR(ROUNDUP(I93*Order_Quote!$L$14,2),0)</f>
        <v>0</v>
      </c>
      <c r="K93" s="118"/>
      <c r="L93" s="76"/>
      <c r="M93" s="114">
        <f t="shared" si="0"/>
        <v>0</v>
      </c>
      <c r="O93" s="215" t="str">
        <f>_xlfn.XLOOKUP(E93,'All Products'!D:D,'All Products'!I:I,FALSE)</f>
        <v>Within 6 Weeks</v>
      </c>
      <c r="P93" s="215" t="str">
        <f>_xlfn.XLOOKUP(E93,'All Products'!D:D,'All Products'!J:J,FALSE)</f>
        <v>Sourced</v>
      </c>
      <c r="Q93" s="266">
        <f>_xlfn.XLOOKUP(E93,'All Products'!D:D,'All Products'!K:K,FALSE)</f>
        <v>812361014271</v>
      </c>
      <c r="R93" s="266" t="str">
        <f>_xlfn.XLOOKUP(E93,'All Products'!D:D,'All Products'!L:L,FALSE)</f>
        <v>-</v>
      </c>
      <c r="S93" s="266" t="str">
        <f>_xlfn.XLOOKUP(E93,'All Products'!D:D,'All Products'!M:M,FALSE)</f>
        <v>-</v>
      </c>
      <c r="T93" s="264">
        <f>_xlfn.XLOOKUP(E93,'All Products'!D:D,'All Products'!N:N,FALSE)</f>
        <v>3.12</v>
      </c>
      <c r="U93" s="265">
        <f>_xlfn.XLOOKUP(E93,'All Products'!D:D,'All Products'!P:P,FALSE)</f>
        <v>15.600000000000001</v>
      </c>
      <c r="V93" s="265" t="str">
        <f>_xlfn.XLOOKUP(E93,'All Products'!D:D,'All Products'!Q:Q,FALSE)</f>
        <v>-</v>
      </c>
    </row>
    <row r="94" spans="1:22">
      <c r="A94" s="101" t="str">
        <f>IF(K94&gt;0,COUNT($A$8:A93)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94" s="610"/>
      <c r="C94" s="611"/>
      <c r="D94" s="51" t="str">
        <f>_xlfn.XLOOKUP(E94,'All Products'!D:D,'All Products'!C:C,FALSE)</f>
        <v>36-723</v>
      </c>
      <c r="E94" s="52">
        <v>100029389</v>
      </c>
      <c r="F94" s="53" t="str">
        <f>_xlfn.XLOOKUP(E94,'All Products'!D:D,'All Products'!E:E,FALSE)</f>
        <v>6 TEE WYE HXHXH SDR35 SW</v>
      </c>
      <c r="G94" s="124">
        <f>_xlfn.XLOOKUP(E94,'All Products'!D:D,'All Products'!F:F,FALSE)</f>
        <v>2</v>
      </c>
      <c r="H94" s="124">
        <f>_xlfn.XLOOKUP(E94,'All Products'!D:D,'All Products'!G:G,FALSE)</f>
        <v>36</v>
      </c>
      <c r="I94" s="123">
        <f>_xlfn.XLOOKUP(E94,'All Products'!D:D,'All Products'!H:H,FALSE)</f>
        <v>344.78</v>
      </c>
      <c r="J94" s="130">
        <f>IFERROR(ROUNDUP(I94*Order_Quote!$L$14,2),0)</f>
        <v>344.78</v>
      </c>
      <c r="K94" s="118"/>
      <c r="L94" s="76"/>
      <c r="M94" s="114">
        <f t="shared" si="0"/>
        <v>0</v>
      </c>
      <c r="O94" s="215" t="str">
        <f>_xlfn.XLOOKUP(E94,'All Products'!D:D,'All Products'!I:I,FALSE)</f>
        <v>In Stock</v>
      </c>
      <c r="P94" s="215" t="str">
        <f>_xlfn.XLOOKUP(E94,'All Products'!D:D,'All Products'!J:J,FALSE)</f>
        <v>Manufactured</v>
      </c>
      <c r="Q94" s="266">
        <f>_xlfn.XLOOKUP(E94,'All Products'!D:D,'All Products'!K:K,FALSE)</f>
        <v>812361014257</v>
      </c>
      <c r="R94" s="266" t="str">
        <f>_xlfn.XLOOKUP(E94,'All Products'!D:D,'All Products'!L:L,FALSE)</f>
        <v>-</v>
      </c>
      <c r="S94" s="266">
        <f>_xlfn.XLOOKUP(E94,'All Products'!D:D,'All Products'!M:M,FALSE)</f>
        <v>10812361014254</v>
      </c>
      <c r="T94" s="264">
        <f>_xlfn.XLOOKUP(E94,'All Products'!D:D,'All Products'!N:N,FALSE)</f>
        <v>3.6760000000000002</v>
      </c>
      <c r="U94" s="265">
        <f>_xlfn.XLOOKUP(E94,'All Products'!D:D,'All Products'!P:P,FALSE)</f>
        <v>9.2040000000000006</v>
      </c>
      <c r="V94" s="265">
        <f>_xlfn.XLOOKUP(E94,'All Products'!D:D,'All Products'!Q:Q,FALSE)</f>
        <v>2.361325291407383</v>
      </c>
    </row>
    <row r="95" spans="1:22">
      <c r="A95" s="101" t="str">
        <f>IF(K95&gt;0,COUNT($A$8:A94)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95" s="610"/>
      <c r="C95" s="611"/>
      <c r="D95" s="51" t="str">
        <f>_xlfn.XLOOKUP(E95,'All Products'!D:D,'All Products'!C:C,FALSE)</f>
        <v>36-724</v>
      </c>
      <c r="E95" s="52">
        <v>300005564</v>
      </c>
      <c r="F95" s="53" t="str">
        <f>_xlfn.XLOOKUP(E95,'All Products'!D:D,'All Products'!E:E,FALSE)</f>
        <v>8X4 TEE WYE HXHXH SDR35 SW</v>
      </c>
      <c r="G95" s="124">
        <f>_xlfn.XLOOKUP(E95,'All Products'!D:D,'All Products'!F:F,FALSE)</f>
        <v>4</v>
      </c>
      <c r="H95" s="124">
        <f>_xlfn.XLOOKUP(E95,'All Products'!D:D,'All Products'!G:G,FALSE)</f>
        <v>30</v>
      </c>
      <c r="I95" s="123" t="str">
        <f>_xlfn.XLOOKUP(E95,'All Products'!D:D,'All Products'!H:H,FALSE)</f>
        <v>Quote Required</v>
      </c>
      <c r="J95" s="130">
        <f>IFERROR(ROUNDUP(I95*Order_Quote!$L$14,2),0)</f>
        <v>0</v>
      </c>
      <c r="K95" s="118"/>
      <c r="L95" s="76"/>
      <c r="M95" s="114">
        <f t="shared" si="0"/>
        <v>0</v>
      </c>
      <c r="O95" s="215" t="str">
        <f>_xlfn.XLOOKUP(E95,'All Products'!D:D,'All Products'!I:I,FALSE)</f>
        <v>Within 6 Weeks</v>
      </c>
      <c r="P95" s="215" t="str">
        <f>_xlfn.XLOOKUP(E95,'All Products'!D:D,'All Products'!J:J,FALSE)</f>
        <v>Sourced</v>
      </c>
      <c r="Q95" s="266">
        <f>_xlfn.XLOOKUP(E95,'All Products'!D:D,'All Products'!K:K,FALSE)</f>
        <v>812361014707</v>
      </c>
      <c r="R95" s="266" t="str">
        <f>_xlfn.XLOOKUP(E95,'All Products'!D:D,'All Products'!L:L,FALSE)</f>
        <v>-</v>
      </c>
      <c r="S95" s="266" t="str">
        <f>_xlfn.XLOOKUP(E95,'All Products'!D:D,'All Products'!M:M,FALSE)</f>
        <v>-</v>
      </c>
      <c r="T95" s="264">
        <f>_xlfn.XLOOKUP(E95,'All Products'!D:D,'All Products'!N:N,FALSE)</f>
        <v>5.8</v>
      </c>
      <c r="U95" s="265">
        <f>_xlfn.XLOOKUP(E95,'All Products'!D:D,'All Products'!P:P,FALSE)</f>
        <v>23.2</v>
      </c>
      <c r="V95" s="265" t="str">
        <f>_xlfn.XLOOKUP(E95,'All Products'!D:D,'All Products'!Q:Q,FALSE)</f>
        <v>-</v>
      </c>
    </row>
    <row r="96" spans="1:22">
      <c r="A96" s="101" t="str">
        <f>IF(K96&gt;0,COUNT($A$8:A95)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96" s="610"/>
      <c r="C96" s="611"/>
      <c r="D96" s="51" t="str">
        <f>_xlfn.XLOOKUP(E96,'All Products'!D:D,'All Products'!C:C,FALSE)</f>
        <v>36-725</v>
      </c>
      <c r="E96" s="52">
        <v>300005574</v>
      </c>
      <c r="F96" s="53" t="str">
        <f>_xlfn.XLOOKUP(E96,'All Products'!D:D,'All Products'!E:E,FALSE)</f>
        <v>8X6 TEE WYE HXHXH SDR35 SW</v>
      </c>
      <c r="G96" s="124">
        <f>_xlfn.XLOOKUP(E96,'All Products'!D:D,'All Products'!F:F,FALSE)</f>
        <v>2</v>
      </c>
      <c r="H96" s="124" t="str">
        <f>_xlfn.XLOOKUP(E96,'All Products'!D:D,'All Products'!G:G,FALSE)</f>
        <v>-</v>
      </c>
      <c r="I96" s="123" t="str">
        <f>_xlfn.XLOOKUP(E96,'All Products'!D:D,'All Products'!H:H,FALSE)</f>
        <v>Quote Required</v>
      </c>
      <c r="J96" s="130">
        <f>IFERROR(ROUNDUP(I96*Order_Quote!$L$14,2),0)</f>
        <v>0</v>
      </c>
      <c r="K96" s="118"/>
      <c r="L96" s="76"/>
      <c r="M96" s="114">
        <f t="shared" si="0"/>
        <v>0</v>
      </c>
      <c r="O96" s="215" t="str">
        <f>_xlfn.XLOOKUP(E96,'All Products'!D:D,'All Products'!I:I,FALSE)</f>
        <v>Within 6 Weeks</v>
      </c>
      <c r="P96" s="215" t="str">
        <f>_xlfn.XLOOKUP(E96,'All Products'!D:D,'All Products'!J:J,FALSE)</f>
        <v>Sourced</v>
      </c>
      <c r="Q96" s="266">
        <f>_xlfn.XLOOKUP(E96,'All Products'!D:D,'All Products'!K:K,FALSE)</f>
        <v>812361014721</v>
      </c>
      <c r="R96" s="266" t="str">
        <f>_xlfn.XLOOKUP(E96,'All Products'!D:D,'All Products'!L:L,FALSE)</f>
        <v>-</v>
      </c>
      <c r="S96" s="266" t="str">
        <f>_xlfn.XLOOKUP(E96,'All Products'!D:D,'All Products'!M:M,FALSE)</f>
        <v>-</v>
      </c>
      <c r="T96" s="264">
        <f>_xlfn.XLOOKUP(E96,'All Products'!D:D,'All Products'!N:N,FALSE)</f>
        <v>7.54</v>
      </c>
      <c r="U96" s="265">
        <f>_xlfn.XLOOKUP(E96,'All Products'!D:D,'All Products'!P:P,FALSE)</f>
        <v>15.08</v>
      </c>
      <c r="V96" s="265" t="str">
        <f>_xlfn.XLOOKUP(E96,'All Products'!D:D,'All Products'!Q:Q,FALSE)</f>
        <v>-</v>
      </c>
    </row>
    <row r="97" spans="1:22">
      <c r="A97" s="101" t="str">
        <f>IF(K97&gt;0,COUNT($A$8:A96)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97" s="612"/>
      <c r="C97" s="613"/>
      <c r="D97" s="51" t="str">
        <f>_xlfn.XLOOKUP(E97,'All Products'!D:D,'All Products'!C:C,FALSE)</f>
        <v>36-726</v>
      </c>
      <c r="E97" s="52">
        <v>300005549</v>
      </c>
      <c r="F97" s="53" t="str">
        <f>_xlfn.XLOOKUP(E97,'All Products'!D:D,'All Products'!E:E,FALSE)</f>
        <v>8 TEE WYE HXHXH SDR35 SW</v>
      </c>
      <c r="G97" s="124">
        <f>_xlfn.XLOOKUP(E97,'All Products'!D:D,'All Products'!F:F,FALSE)</f>
        <v>2</v>
      </c>
      <c r="H97" s="124" t="str">
        <f>_xlfn.XLOOKUP(E97,'All Products'!D:D,'All Products'!G:G,FALSE)</f>
        <v>-</v>
      </c>
      <c r="I97" s="123" t="str">
        <f>_xlfn.XLOOKUP(E97,'All Products'!D:D,'All Products'!H:H,FALSE)</f>
        <v>Quote Required</v>
      </c>
      <c r="J97" s="130">
        <f>IFERROR(ROUNDUP(I97*Order_Quote!$L$14,2),0)</f>
        <v>0</v>
      </c>
      <c r="K97" s="118"/>
      <c r="L97" s="76"/>
      <c r="M97" s="114">
        <f t="shared" si="0"/>
        <v>0</v>
      </c>
      <c r="O97" s="215" t="str">
        <f>_xlfn.XLOOKUP(E97,'All Products'!D:D,'All Products'!I:I,FALSE)</f>
        <v>Within 6 Weeks</v>
      </c>
      <c r="P97" s="215" t="str">
        <f>_xlfn.XLOOKUP(E97,'All Products'!D:D,'All Products'!J:J,FALSE)</f>
        <v>Sourced</v>
      </c>
      <c r="Q97" s="266">
        <f>_xlfn.XLOOKUP(E97,'All Products'!D:D,'All Products'!K:K,FALSE)</f>
        <v>812361014684</v>
      </c>
      <c r="R97" s="266" t="str">
        <f>_xlfn.XLOOKUP(E97,'All Products'!D:D,'All Products'!L:L,FALSE)</f>
        <v>-</v>
      </c>
      <c r="S97" s="266" t="str">
        <f>_xlfn.XLOOKUP(E97,'All Products'!D:D,'All Products'!M:M,FALSE)</f>
        <v>-</v>
      </c>
      <c r="T97" s="264">
        <f>_xlfn.XLOOKUP(E97,'All Products'!D:D,'All Products'!N:N,FALSE)</f>
        <v>9.6</v>
      </c>
      <c r="U97" s="265">
        <f>_xlfn.XLOOKUP(E97,'All Products'!D:D,'All Products'!P:P,FALSE)</f>
        <v>19.2</v>
      </c>
      <c r="V97" s="265" t="str">
        <f>_xlfn.XLOOKUP(E97,'All Products'!D:D,'All Products'!Q:Q,FALSE)</f>
        <v>-</v>
      </c>
    </row>
    <row r="98" spans="1:22">
      <c r="A98" s="101" t="str">
        <f>IF(K98&gt;0,COUNT($A$8:A97)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98" s="610"/>
      <c r="C98" s="611"/>
      <c r="D98" s="51" t="str">
        <f>_xlfn.XLOOKUP(E98,'All Products'!D:D,'All Products'!C:C,FALSE)</f>
        <v>36-6558</v>
      </c>
      <c r="E98" s="52">
        <v>100029136</v>
      </c>
      <c r="F98" s="53" t="str">
        <f>_xlfn.XLOOKUP(E98,'All Products'!D:D,'All Products'!E:E,FALSE)</f>
        <v>4 WYE HXHXH SDR35 SW</v>
      </c>
      <c r="G98" s="124">
        <f>_xlfn.XLOOKUP(E98,'All Products'!D:D,'All Products'!F:F,FALSE)</f>
        <v>16</v>
      </c>
      <c r="H98" s="124">
        <f>_xlfn.XLOOKUP(E98,'All Products'!D:D,'All Products'!G:G,FALSE)</f>
        <v>192</v>
      </c>
      <c r="I98" s="123">
        <f>_xlfn.XLOOKUP(E98,'All Products'!D:D,'All Products'!H:H,FALSE)</f>
        <v>43.42</v>
      </c>
      <c r="J98" s="130">
        <f>IFERROR(ROUNDUP(I98*Order_Quote!$L$14,2),0)</f>
        <v>43.42</v>
      </c>
      <c r="K98" s="118"/>
      <c r="L98" s="76"/>
      <c r="M98" s="114">
        <f t="shared" si="0"/>
        <v>0</v>
      </c>
      <c r="O98" s="215" t="str">
        <f>_xlfn.XLOOKUP(E98,'All Products'!D:D,'All Products'!I:I,FALSE)</f>
        <v>In Stock</v>
      </c>
      <c r="P98" s="215" t="str">
        <f>_xlfn.XLOOKUP(E98,'All Products'!D:D,'All Products'!J:J,FALSE)</f>
        <v>Manufactured</v>
      </c>
      <c r="Q98" s="266">
        <f>_xlfn.XLOOKUP(E98,'All Products'!D:D,'All Products'!K:K,FALSE)</f>
        <v>816842022397</v>
      </c>
      <c r="R98" s="266" t="str">
        <f>_xlfn.XLOOKUP(E98,'All Products'!D:D,'All Products'!L:L,FALSE)</f>
        <v>-</v>
      </c>
      <c r="S98" s="266">
        <f>_xlfn.XLOOKUP(E98,'All Products'!D:D,'All Products'!M:M,FALSE)</f>
        <v>816842022403</v>
      </c>
      <c r="T98" s="264">
        <f>_xlfn.XLOOKUP(E98,'All Products'!D:D,'All Products'!N:N,FALSE)</f>
        <v>1.1879999999999999</v>
      </c>
      <c r="U98" s="265">
        <f>_xlfn.XLOOKUP(E98,'All Products'!D:D,'All Products'!P:P,FALSE)</f>
        <v>22.047999999999998</v>
      </c>
      <c r="V98" s="265">
        <f>_xlfn.XLOOKUP(E98,'All Products'!D:D,'All Products'!Q:Q,FALSE)</f>
        <v>3.6731726755225957</v>
      </c>
    </row>
    <row r="99" spans="1:22">
      <c r="A99" s="101" t="str">
        <f>IF(K99&gt;0,COUNT($A$8:A98)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99" s="610"/>
      <c r="C99" s="611"/>
      <c r="D99" s="51" t="str">
        <f>_xlfn.XLOOKUP(E99,'All Products'!D:D,'All Products'!C:C,FALSE)</f>
        <v>36-6566</v>
      </c>
      <c r="E99" s="52">
        <v>100029358</v>
      </c>
      <c r="F99" s="53" t="str">
        <f>_xlfn.XLOOKUP(E99,'All Products'!D:D,'All Products'!E:E,FALSE)</f>
        <v>6X4 WYE HXHXH SDR35 SW</v>
      </c>
      <c r="G99" s="124">
        <f>_xlfn.XLOOKUP(E99,'All Products'!D:D,'All Products'!F:F,FALSE)</f>
        <v>7</v>
      </c>
      <c r="H99" s="124">
        <f>_xlfn.XLOOKUP(E99,'All Products'!D:D,'All Products'!G:G,FALSE)</f>
        <v>84</v>
      </c>
      <c r="I99" s="123">
        <f>_xlfn.XLOOKUP(E99,'All Products'!D:D,'All Products'!H:H,FALSE)</f>
        <v>160.61000000000001</v>
      </c>
      <c r="J99" s="130">
        <f>IFERROR(ROUNDUP(I99*Order_Quote!$L$14,2),0)</f>
        <v>160.61000000000001</v>
      </c>
      <c r="K99" s="118"/>
      <c r="L99" s="76"/>
      <c r="M99" s="114">
        <f t="shared" si="0"/>
        <v>0</v>
      </c>
      <c r="O99" s="215" t="str">
        <f>_xlfn.XLOOKUP(E99,'All Products'!D:D,'All Products'!I:I,FALSE)</f>
        <v>In Stock</v>
      </c>
      <c r="P99" s="215" t="str">
        <f>_xlfn.XLOOKUP(E99,'All Products'!D:D,'All Products'!J:J,FALSE)</f>
        <v>Manufactured</v>
      </c>
      <c r="Q99" s="266">
        <f>_xlfn.XLOOKUP(E99,'All Products'!D:D,'All Products'!K:K,FALSE)</f>
        <v>816842022557</v>
      </c>
      <c r="R99" s="266" t="str">
        <f>_xlfn.XLOOKUP(E99,'All Products'!D:D,'All Products'!L:L,FALSE)</f>
        <v>-</v>
      </c>
      <c r="S99" s="266">
        <f>_xlfn.XLOOKUP(E99,'All Products'!D:D,'All Products'!M:M,FALSE)</f>
        <v>816842022564</v>
      </c>
      <c r="T99" s="264">
        <f>_xlfn.XLOOKUP(E99,'All Products'!D:D,'All Products'!N:N,FALSE)</f>
        <v>3.09</v>
      </c>
      <c r="U99" s="265">
        <f>_xlfn.XLOOKUP(E99,'All Products'!D:D,'All Products'!P:P,FALSE)</f>
        <v>24.646999999999998</v>
      </c>
      <c r="V99" s="265">
        <f>_xlfn.XLOOKUP(E99,'All Products'!D:D,'All Products'!Q:Q,FALSE)</f>
        <v>3.6731726755225957</v>
      </c>
    </row>
    <row r="100" spans="1:22">
      <c r="A100" s="101" t="str">
        <f>IF(K100&gt;0,COUNT($A$8:A99)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00" s="610"/>
      <c r="C100" s="611"/>
      <c r="D100" s="51" t="str">
        <f>_xlfn.XLOOKUP(E100,'All Products'!D:D,'All Products'!C:C,FALSE)</f>
        <v>36-6563</v>
      </c>
      <c r="E100" s="52">
        <v>100029320</v>
      </c>
      <c r="F100" s="53" t="str">
        <f>_xlfn.XLOOKUP(E100,'All Products'!D:D,'All Products'!E:E,FALSE)</f>
        <v>6 WYE HXHXH SDR35 SW</v>
      </c>
      <c r="G100" s="124">
        <f>_xlfn.XLOOKUP(E100,'All Products'!D:D,'All Products'!F:F,FALSE)</f>
        <v>4</v>
      </c>
      <c r="H100" s="124">
        <f>_xlfn.XLOOKUP(E100,'All Products'!D:D,'All Products'!G:G,FALSE)</f>
        <v>48</v>
      </c>
      <c r="I100" s="123">
        <f>_xlfn.XLOOKUP(E100,'All Products'!D:D,'All Products'!H:H,FALSE)</f>
        <v>184.24</v>
      </c>
      <c r="J100" s="130">
        <f>IFERROR(ROUNDUP(I100*Order_Quote!$L$14,2),0)</f>
        <v>184.24</v>
      </c>
      <c r="K100" s="118"/>
      <c r="L100" s="76"/>
      <c r="M100" s="114">
        <f t="shared" si="0"/>
        <v>0</v>
      </c>
      <c r="O100" s="215" t="str">
        <f>_xlfn.XLOOKUP(E100,'All Products'!D:D,'All Products'!I:I,FALSE)</f>
        <v>In Stock</v>
      </c>
      <c r="P100" s="215" t="str">
        <f>_xlfn.XLOOKUP(E100,'All Products'!D:D,'All Products'!J:J,FALSE)</f>
        <v>Manufactured</v>
      </c>
      <c r="Q100" s="266">
        <f>_xlfn.XLOOKUP(E100,'All Products'!D:D,'All Products'!K:K,FALSE)</f>
        <v>816842022496</v>
      </c>
      <c r="R100" s="266" t="str">
        <f>_xlfn.XLOOKUP(E100,'All Products'!D:D,'All Products'!L:L,FALSE)</f>
        <v>-</v>
      </c>
      <c r="S100" s="266">
        <f>_xlfn.XLOOKUP(E100,'All Products'!D:D,'All Products'!M:M,FALSE)</f>
        <v>816842022502</v>
      </c>
      <c r="T100" s="264">
        <f>_xlfn.XLOOKUP(E100,'All Products'!D:D,'All Products'!N:N,FALSE)</f>
        <v>4.4420000000000002</v>
      </c>
      <c r="U100" s="265">
        <f>_xlfn.XLOOKUP(E100,'All Products'!D:D,'All Products'!P:P,FALSE)</f>
        <v>20.783999999999999</v>
      </c>
      <c r="V100" s="265">
        <f>_xlfn.XLOOKUP(E100,'All Products'!D:D,'All Products'!Q:Q,FALSE)</f>
        <v>3.6731726755225957</v>
      </c>
    </row>
    <row r="101" spans="1:22">
      <c r="A101" s="101" t="str">
        <f>IF(K101&gt;0,COUNT($A$8:A100)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01" s="610"/>
      <c r="C101" s="611"/>
      <c r="D101" s="51" t="str">
        <f>_xlfn.XLOOKUP(E101,'All Products'!D:D,'All Products'!C:C,FALSE)</f>
        <v>36-733</v>
      </c>
      <c r="E101" s="52">
        <v>300005879</v>
      </c>
      <c r="F101" s="53" t="str">
        <f>_xlfn.XLOOKUP(E101,'All Products'!D:D,'All Products'!E:E,FALSE)</f>
        <v>8X4 WYE HXHXH SDR35 SW</v>
      </c>
      <c r="G101" s="124">
        <f>_xlfn.XLOOKUP(E101,'All Products'!D:D,'All Products'!F:F,FALSE)</f>
        <v>3</v>
      </c>
      <c r="H101" s="124">
        <f>_xlfn.XLOOKUP(E101,'All Products'!D:D,'All Products'!G:G,FALSE)</f>
        <v>36</v>
      </c>
      <c r="I101" s="123" t="str">
        <f>_xlfn.XLOOKUP(E101,'All Products'!D:D,'All Products'!H:H,FALSE)</f>
        <v>Quote Required</v>
      </c>
      <c r="J101" s="130">
        <f>IFERROR(ROUNDUP(I101*Order_Quote!$L$14,2),0)</f>
        <v>0</v>
      </c>
      <c r="K101" s="118"/>
      <c r="L101" s="76"/>
      <c r="M101" s="114">
        <f t="shared" si="0"/>
        <v>0</v>
      </c>
      <c r="O101" s="215" t="str">
        <f>_xlfn.XLOOKUP(E101,'All Products'!D:D,'All Products'!I:I,FALSE)</f>
        <v>Within 6 Weeks</v>
      </c>
      <c r="P101" s="215" t="str">
        <f>_xlfn.XLOOKUP(E101,'All Products'!D:D,'All Products'!J:J,FALSE)</f>
        <v>Sourced</v>
      </c>
      <c r="Q101" s="266">
        <f>_xlfn.XLOOKUP(E101,'All Products'!D:D,'All Products'!K:K,FALSE)</f>
        <v>810673019373</v>
      </c>
      <c r="R101" s="266" t="str">
        <f>_xlfn.XLOOKUP(E101,'All Products'!D:D,'All Products'!L:L,FALSE)</f>
        <v>-</v>
      </c>
      <c r="S101" s="266" t="str">
        <f>_xlfn.XLOOKUP(E101,'All Products'!D:D,'All Products'!M:M,FALSE)</f>
        <v>-</v>
      </c>
      <c r="T101" s="264">
        <f>_xlfn.XLOOKUP(E101,'All Products'!D:D,'All Products'!N:N,FALSE)</f>
        <v>6.3</v>
      </c>
      <c r="U101" s="265">
        <f>_xlfn.XLOOKUP(E101,'All Products'!D:D,'All Products'!P:P,FALSE)</f>
        <v>18.899999999999999</v>
      </c>
      <c r="V101" s="265" t="str">
        <f>_xlfn.XLOOKUP(E101,'All Products'!D:D,'All Products'!Q:Q,FALSE)</f>
        <v>-</v>
      </c>
    </row>
    <row r="102" spans="1:22">
      <c r="A102" s="101" t="str">
        <f>IF(K102&gt;0,COUNT($A$8:A101)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02" s="610"/>
      <c r="C102" s="611"/>
      <c r="D102" s="51" t="str">
        <f>_xlfn.XLOOKUP(E102,'All Products'!D:D,'All Products'!C:C,FALSE)</f>
        <v>36-734</v>
      </c>
      <c r="E102" s="52">
        <v>300005881</v>
      </c>
      <c r="F102" s="53" t="str">
        <f>_xlfn.XLOOKUP(E102,'All Products'!D:D,'All Products'!E:E,FALSE)</f>
        <v>8X6 WYE HXHXH SDR35 SW</v>
      </c>
      <c r="G102" s="124">
        <f>_xlfn.XLOOKUP(E102,'All Products'!D:D,'All Products'!F:F,FALSE)</f>
        <v>2</v>
      </c>
      <c r="H102" s="124">
        <f>_xlfn.XLOOKUP(E102,'All Products'!D:D,'All Products'!G:G,FALSE)</f>
        <v>24</v>
      </c>
      <c r="I102" s="123" t="str">
        <f>_xlfn.XLOOKUP(E102,'All Products'!D:D,'All Products'!H:H,FALSE)</f>
        <v>Quote Required</v>
      </c>
      <c r="J102" s="130">
        <f>IFERROR(ROUNDUP(I102*Order_Quote!$L$14,2),0)</f>
        <v>0</v>
      </c>
      <c r="K102" s="118"/>
      <c r="L102" s="76"/>
      <c r="M102" s="114">
        <f t="shared" si="0"/>
        <v>0</v>
      </c>
      <c r="O102" s="215" t="str">
        <f>_xlfn.XLOOKUP(E102,'All Products'!D:D,'All Products'!I:I,FALSE)</f>
        <v>Within 6 Weeks</v>
      </c>
      <c r="P102" s="215" t="str">
        <f>_xlfn.XLOOKUP(E102,'All Products'!D:D,'All Products'!J:J,FALSE)</f>
        <v>Sourced</v>
      </c>
      <c r="Q102" s="266">
        <f>_xlfn.XLOOKUP(E102,'All Products'!D:D,'All Products'!K:K,FALSE)</f>
        <v>810673019397</v>
      </c>
      <c r="R102" s="266" t="str">
        <f>_xlfn.XLOOKUP(E102,'All Products'!D:D,'All Products'!L:L,FALSE)</f>
        <v>-</v>
      </c>
      <c r="S102" s="266" t="str">
        <f>_xlfn.XLOOKUP(E102,'All Products'!D:D,'All Products'!M:M,FALSE)</f>
        <v>-</v>
      </c>
      <c r="T102" s="264">
        <f>_xlfn.XLOOKUP(E102,'All Products'!D:D,'All Products'!N:N,FALSE)</f>
        <v>7.04</v>
      </c>
      <c r="U102" s="265">
        <f>_xlfn.XLOOKUP(E102,'All Products'!D:D,'All Products'!P:P,FALSE)</f>
        <v>14.08</v>
      </c>
      <c r="V102" s="265" t="str">
        <f>_xlfn.XLOOKUP(E102,'All Products'!D:D,'All Products'!Q:Q,FALSE)</f>
        <v>-</v>
      </c>
    </row>
    <row r="103" spans="1:22">
      <c r="A103" s="101" t="str">
        <f>IF(K103&gt;0,COUNT($A$8:A102)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03" s="612"/>
      <c r="C103" s="613"/>
      <c r="D103" s="51" t="str">
        <f>_xlfn.XLOOKUP(E103,'All Products'!D:D,'All Products'!C:C,FALSE)</f>
        <v>36-735</v>
      </c>
      <c r="E103" s="52">
        <v>300005552</v>
      </c>
      <c r="F103" s="53" t="str">
        <f>_xlfn.XLOOKUP(E103,'All Products'!D:D,'All Products'!E:E,FALSE)</f>
        <v>8 WYE HXHXH SDR35 SW</v>
      </c>
      <c r="G103" s="124">
        <f>_xlfn.XLOOKUP(E103,'All Products'!D:D,'All Products'!F:F,FALSE)</f>
        <v>2</v>
      </c>
      <c r="H103" s="124" t="str">
        <f>_xlfn.XLOOKUP(E103,'All Products'!D:D,'All Products'!G:G,FALSE)</f>
        <v>-</v>
      </c>
      <c r="I103" s="123" t="str">
        <f>_xlfn.XLOOKUP(E103,'All Products'!D:D,'All Products'!H:H,FALSE)</f>
        <v>Quote Required</v>
      </c>
      <c r="J103" s="130">
        <f>IFERROR(ROUNDUP(I103*Order_Quote!$L$14,2),0)</f>
        <v>0</v>
      </c>
      <c r="K103" s="118"/>
      <c r="L103" s="76"/>
      <c r="M103" s="114">
        <f t="shared" si="0"/>
        <v>0</v>
      </c>
      <c r="O103" s="215" t="str">
        <f>_xlfn.XLOOKUP(E103,'All Products'!D:D,'All Products'!I:I,FALSE)</f>
        <v>Within 6 Weeks</v>
      </c>
      <c r="P103" s="215" t="str">
        <f>_xlfn.XLOOKUP(E103,'All Products'!D:D,'All Products'!J:J,FALSE)</f>
        <v>Sourced</v>
      </c>
      <c r="Q103" s="266">
        <f>_xlfn.XLOOKUP(E103,'All Products'!D:D,'All Products'!K:K,FALSE)</f>
        <v>812361014745</v>
      </c>
      <c r="R103" s="266" t="str">
        <f>_xlfn.XLOOKUP(E103,'All Products'!D:D,'All Products'!L:L,FALSE)</f>
        <v>-</v>
      </c>
      <c r="S103" s="266" t="str">
        <f>_xlfn.XLOOKUP(E103,'All Products'!D:D,'All Products'!M:M,FALSE)</f>
        <v>-</v>
      </c>
      <c r="T103" s="264">
        <f>_xlfn.XLOOKUP(E103,'All Products'!D:D,'All Products'!N:N,FALSE)</f>
        <v>11.84</v>
      </c>
      <c r="U103" s="265">
        <f>_xlfn.XLOOKUP(E103,'All Products'!D:D,'All Products'!P:P,FALSE)</f>
        <v>23.68</v>
      </c>
      <c r="V103" s="265" t="str">
        <f>_xlfn.XLOOKUP(E103,'All Products'!D:D,'All Products'!Q:Q,FALSE)</f>
        <v>-</v>
      </c>
    </row>
    <row r="104" spans="1:22" ht="47.25" customHeight="1">
      <c r="A104" s="101" t="str">
        <f>IF(K104&gt;0,COUNT($A$8:A103)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04" s="608"/>
      <c r="C104" s="609"/>
      <c r="D104" s="51" t="str">
        <f>_xlfn.XLOOKUP(E104,'All Products'!D:D,'All Products'!C:C,FALSE)</f>
        <v>36-327</v>
      </c>
      <c r="E104" s="103">
        <v>300005876</v>
      </c>
      <c r="F104" s="53" t="str">
        <f>_xlfn.XLOOKUP(E104,'All Products'!D:D,'All Products'!E:E,FALSE)</f>
        <v>6 WYE SXHXH SDR35 SW</v>
      </c>
      <c r="G104" s="124">
        <f>_xlfn.XLOOKUP(E104,'All Products'!D:D,'All Products'!F:F,FALSE)</f>
        <v>4</v>
      </c>
      <c r="H104" s="124">
        <f>_xlfn.XLOOKUP(E104,'All Products'!D:D,'All Products'!G:G,FALSE)</f>
        <v>48</v>
      </c>
      <c r="I104" s="123" t="str">
        <f>_xlfn.XLOOKUP(E104,'All Products'!D:D,'All Products'!H:H,FALSE)</f>
        <v>Quote Required</v>
      </c>
      <c r="J104" s="130">
        <f>IFERROR(ROUNDUP(I104*Order_Quote!$L$14,2),0)</f>
        <v>0</v>
      </c>
      <c r="K104" s="118"/>
      <c r="L104" s="76"/>
      <c r="M104" s="114">
        <f t="shared" si="0"/>
        <v>0</v>
      </c>
      <c r="O104" s="215" t="str">
        <f>_xlfn.XLOOKUP(E104,'All Products'!D:D,'All Products'!I:I,FALSE)</f>
        <v>Within 6 Weeks</v>
      </c>
      <c r="P104" s="215" t="str">
        <f>_xlfn.XLOOKUP(E104,'All Products'!D:D,'All Products'!J:J,FALSE)</f>
        <v>Sourced</v>
      </c>
      <c r="Q104" s="266">
        <f>_xlfn.XLOOKUP(E104,'All Products'!D:D,'All Products'!K:K,FALSE)</f>
        <v>812361015346</v>
      </c>
      <c r="R104" s="266" t="str">
        <f>_xlfn.XLOOKUP(E104,'All Products'!D:D,'All Products'!L:L,FALSE)</f>
        <v>-</v>
      </c>
      <c r="S104" s="266" t="str">
        <f>_xlfn.XLOOKUP(E104,'All Products'!D:D,'All Products'!M:M,FALSE)</f>
        <v>-</v>
      </c>
      <c r="T104" s="264">
        <f>_xlfn.XLOOKUP(E104,'All Products'!D:D,'All Products'!N:N,FALSE)</f>
        <v>4.4000000000000004</v>
      </c>
      <c r="U104" s="265">
        <f>_xlfn.XLOOKUP(E104,'All Products'!D:D,'All Products'!P:P,FALSE)</f>
        <v>17.600000000000001</v>
      </c>
      <c r="V104" s="265" t="str">
        <f>_xlfn.XLOOKUP(E104,'All Products'!D:D,'All Products'!Q:Q,FALSE)</f>
        <v>-</v>
      </c>
    </row>
    <row r="105" spans="1:22" ht="26.25" customHeight="1">
      <c r="A105" s="101" t="str">
        <f>IF(K105&gt;0,COUNT($A$8:A104)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05" s="608"/>
      <c r="C105" s="609"/>
      <c r="D105" s="51" t="str">
        <f>_xlfn.XLOOKUP(E105,'All Products'!D:D,'All Products'!C:C,FALSE)</f>
        <v>36-737</v>
      </c>
      <c r="E105" s="52">
        <v>300005777</v>
      </c>
      <c r="F105" s="53" t="str">
        <f>_xlfn.XLOOKUP(E105,'All Products'!D:D,'All Products'!E:E,FALSE)</f>
        <v>6 DOUBLE WYE HXHXHXH SDR35 SW</v>
      </c>
      <c r="G105" s="124">
        <f>_xlfn.XLOOKUP(E105,'All Products'!D:D,'All Products'!F:F,FALSE)</f>
        <v>3</v>
      </c>
      <c r="H105" s="124">
        <f>_xlfn.XLOOKUP(E105,'All Products'!D:D,'All Products'!G:G,FALSE)</f>
        <v>54</v>
      </c>
      <c r="I105" s="123" t="str">
        <f>_xlfn.XLOOKUP(E105,'All Products'!D:D,'All Products'!H:H,FALSE)</f>
        <v>Quote Required</v>
      </c>
      <c r="J105" s="130">
        <f>IFERROR(ROUNDUP(I105*Order_Quote!$L$14,2),0)</f>
        <v>0</v>
      </c>
      <c r="K105" s="118"/>
      <c r="L105" s="76"/>
      <c r="M105" s="114">
        <f t="shared" si="0"/>
        <v>0</v>
      </c>
      <c r="O105" s="215" t="str">
        <f>_xlfn.XLOOKUP(E105,'All Products'!D:D,'All Products'!I:I,FALSE)</f>
        <v>Within 6 Weeks</v>
      </c>
      <c r="P105" s="215" t="str">
        <f>_xlfn.XLOOKUP(E105,'All Products'!D:D,'All Products'!J:J,FALSE)</f>
        <v>Sourced</v>
      </c>
      <c r="Q105" s="266">
        <f>_xlfn.XLOOKUP(E105,'All Products'!D:D,'All Products'!K:K,FALSE)</f>
        <v>816842021161</v>
      </c>
      <c r="R105" s="266" t="str">
        <f>_xlfn.XLOOKUP(E105,'All Products'!D:D,'All Products'!L:L,FALSE)</f>
        <v>-</v>
      </c>
      <c r="S105" s="266" t="str">
        <f>_xlfn.XLOOKUP(E105,'All Products'!D:D,'All Products'!M:M,FALSE)</f>
        <v>-</v>
      </c>
      <c r="T105" s="264">
        <f>_xlfn.XLOOKUP(E105,'All Products'!D:D,'All Products'!N:N,FALSE)</f>
        <v>3.45</v>
      </c>
      <c r="U105" s="265">
        <f>_xlfn.XLOOKUP(E105,'All Products'!D:D,'All Products'!P:P,FALSE)</f>
        <v>10.350000000000001</v>
      </c>
      <c r="V105" s="265" t="str">
        <f>_xlfn.XLOOKUP(E105,'All Products'!D:D,'All Products'!Q:Q,FALSE)</f>
        <v>-</v>
      </c>
    </row>
    <row r="106" spans="1:22" ht="26.25" customHeight="1" thickBot="1">
      <c r="A106" s="101" t="str">
        <f>IF(K106&gt;0,COUNT($A$8:A105)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06" s="610"/>
      <c r="C106" s="611"/>
      <c r="D106" s="51" t="str">
        <f>_xlfn.XLOOKUP(E106,'All Products'!D:D,'All Products'!C:C,FALSE)</f>
        <v>36-736</v>
      </c>
      <c r="E106" s="52">
        <v>300005779</v>
      </c>
      <c r="F106" s="53" t="str">
        <f>_xlfn.XLOOKUP(E106,'All Products'!D:D,'All Products'!E:E,FALSE)</f>
        <v>6X4 DOUBLE WYE HXHXHXH SDR35 SW</v>
      </c>
      <c r="G106" s="124">
        <f>_xlfn.XLOOKUP(E106,'All Products'!D:D,'All Products'!F:F,FALSE)</f>
        <v>3</v>
      </c>
      <c r="H106" s="124">
        <f>_xlfn.XLOOKUP(E106,'All Products'!D:D,'All Products'!G:G,FALSE)</f>
        <v>54</v>
      </c>
      <c r="I106" s="123" t="str">
        <f>_xlfn.XLOOKUP(E106,'All Products'!D:D,'All Products'!H:H,FALSE)</f>
        <v>Quote Required</v>
      </c>
      <c r="J106" s="130">
        <f>IFERROR(ROUNDUP(I106*Order_Quote!$L$14,2),0)</f>
        <v>0</v>
      </c>
      <c r="K106" s="122"/>
      <c r="L106" s="76"/>
      <c r="M106" s="114">
        <f t="shared" si="0"/>
        <v>0</v>
      </c>
      <c r="O106" s="215" t="str">
        <f>_xlfn.XLOOKUP(E106,'All Products'!D:D,'All Products'!I:I,FALSE)</f>
        <v>Within 6 Weeks</v>
      </c>
      <c r="P106" s="215" t="str">
        <f>_xlfn.XLOOKUP(E106,'All Products'!D:D,'All Products'!J:J,FALSE)</f>
        <v>Sourced</v>
      </c>
      <c r="Q106" s="266">
        <f>_xlfn.XLOOKUP(E106,'All Products'!D:D,'All Products'!K:K,FALSE)</f>
        <v>812361015629</v>
      </c>
      <c r="R106" s="266" t="str">
        <f>_xlfn.XLOOKUP(E106,'All Products'!D:D,'All Products'!L:L,FALSE)</f>
        <v>-</v>
      </c>
      <c r="S106" s="266" t="str">
        <f>_xlfn.XLOOKUP(E106,'All Products'!D:D,'All Products'!M:M,FALSE)</f>
        <v>-</v>
      </c>
      <c r="T106" s="264">
        <f>_xlfn.XLOOKUP(E106,'All Products'!D:D,'All Products'!N:N,FALSE)</f>
        <v>2.88</v>
      </c>
      <c r="U106" s="265">
        <f>_xlfn.XLOOKUP(E106,'All Products'!D:D,'All Products'!P:P,FALSE)</f>
        <v>8.64</v>
      </c>
      <c r="V106" s="265" t="str">
        <f>_xlfn.XLOOKUP(E106,'All Products'!D:D,'All Products'!Q:Q,FALSE)</f>
        <v>-</v>
      </c>
    </row>
    <row r="107" spans="1:22" ht="16.2" thickBot="1">
      <c r="A107" s="101" t="str">
        <f>IF(K107&gt;0,COUNT($A$8:A106)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07" s="501" t="s">
        <v>5851</v>
      </c>
      <c r="C107" s="151"/>
      <c r="D107" s="151"/>
      <c r="E107" s="459"/>
      <c r="F107" s="151"/>
      <c r="G107" s="468"/>
      <c r="H107" s="151"/>
      <c r="I107" s="472"/>
      <c r="J107" s="468"/>
      <c r="K107" s="477"/>
      <c r="L107" s="238"/>
      <c r="M107" s="476"/>
      <c r="O107" s="494"/>
      <c r="P107" s="478"/>
      <c r="Q107" s="492"/>
      <c r="R107" s="492"/>
      <c r="S107" s="492"/>
      <c r="T107" s="495"/>
      <c r="U107" s="496"/>
      <c r="V107" s="497"/>
    </row>
    <row r="108" spans="1:22" ht="43.5" customHeight="1">
      <c r="A108" s="101" t="str">
        <f>IF(K108&gt;0,COUNT($A$8:A107)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08" s="616"/>
      <c r="C108" s="617"/>
      <c r="D108" s="51" t="str">
        <f>_xlfn.XLOOKUP(E108,'All Products'!D:D,'All Products'!C:C,FALSE)</f>
        <v>36-2064</v>
      </c>
      <c r="E108" s="52">
        <v>300005743</v>
      </c>
      <c r="F108" s="53" t="str">
        <f>_xlfn.XLOOKUP(E108,'All Products'!D:D,'All Products'!E:E,FALSE)</f>
        <v>4 CLEAN OUT TEE HXHXFIPT SDR35 SW</v>
      </c>
      <c r="G108" s="124">
        <f>_xlfn.XLOOKUP(E108,'All Products'!D:D,'All Products'!F:F,FALSE)</f>
        <v>30</v>
      </c>
      <c r="H108" s="124">
        <f>_xlfn.XLOOKUP(E108,'All Products'!D:D,'All Products'!G:G,FALSE)</f>
        <v>480</v>
      </c>
      <c r="I108" s="123" t="str">
        <f>_xlfn.XLOOKUP(E108,'All Products'!D:D,'All Products'!H:H,FALSE)</f>
        <v>Quote Required</v>
      </c>
      <c r="J108" s="130">
        <f>IFERROR(ROUNDUP(I108*Order_Quote!$L$14,2),0)</f>
        <v>0</v>
      </c>
      <c r="K108" s="118"/>
      <c r="L108" s="76"/>
      <c r="M108" s="114">
        <f>K108/G108</f>
        <v>0</v>
      </c>
      <c r="O108" s="215" t="str">
        <f>_xlfn.XLOOKUP(E108,'All Products'!D:D,'All Products'!I:I,FALSE)</f>
        <v>Within 3 Weeks</v>
      </c>
      <c r="P108" s="215" t="str">
        <f>_xlfn.XLOOKUP(E108,'All Products'!D:D,'All Products'!J:J,FALSE)</f>
        <v>Sourced</v>
      </c>
      <c r="Q108" s="266" t="str">
        <f>_xlfn.XLOOKUP(E108,'All Products'!D:D,'All Products'!K:K,FALSE)</f>
        <v>-</v>
      </c>
      <c r="R108" s="266" t="str">
        <f>_xlfn.XLOOKUP(E108,'All Products'!D:D,'All Products'!L:L,FALSE)</f>
        <v>-</v>
      </c>
      <c r="S108" s="266" t="str">
        <f>_xlfn.XLOOKUP(E108,'All Products'!D:D,'All Products'!M:M,FALSE)</f>
        <v>-</v>
      </c>
      <c r="T108" s="264">
        <f>_xlfn.XLOOKUP(E108,'All Products'!D:D,'All Products'!N:N,FALSE)</f>
        <v>2.54</v>
      </c>
      <c r="U108" s="265">
        <f>_xlfn.XLOOKUP(E108,'All Products'!D:D,'All Products'!P:P,FALSE)</f>
        <v>76.2</v>
      </c>
      <c r="V108" s="265" t="str">
        <f>_xlfn.XLOOKUP(E108,'All Products'!D:D,'All Products'!Q:Q,FALSE)</f>
        <v>-</v>
      </c>
    </row>
    <row r="109" spans="1:22" ht="43.5" customHeight="1">
      <c r="A109" s="101" t="str">
        <f>IF(K109&gt;0,COUNT($A$8:A108)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09" s="608"/>
      <c r="C109" s="609"/>
      <c r="D109" s="51" t="str">
        <f>_xlfn.XLOOKUP(E109,'All Products'!D:D,'All Products'!C:C,FALSE)</f>
        <v>36-727</v>
      </c>
      <c r="E109" s="52">
        <v>100029419</v>
      </c>
      <c r="F109" s="53" t="str">
        <f>_xlfn.XLOOKUP(E109,'All Products'!D:D,'All Products'!E:E,FALSE)</f>
        <v>4 TWO WAY C/O TEE HXHXH SDR35 SW</v>
      </c>
      <c r="G109" s="124">
        <f>_xlfn.XLOOKUP(E109,'All Products'!D:D,'All Products'!F:F,FALSE)</f>
        <v>10</v>
      </c>
      <c r="H109" s="124">
        <f>_xlfn.XLOOKUP(E109,'All Products'!D:D,'All Products'!G:G,FALSE)</f>
        <v>180</v>
      </c>
      <c r="I109" s="123">
        <f>_xlfn.XLOOKUP(E109,'All Products'!D:D,'All Products'!H:H,FALSE)</f>
        <v>89.86</v>
      </c>
      <c r="J109" s="130">
        <f>IFERROR(ROUNDUP(I109*Order_Quote!$L$14,2),0)</f>
        <v>89.86</v>
      </c>
      <c r="K109" s="118"/>
      <c r="L109" s="76"/>
      <c r="M109" s="114">
        <f t="shared" si="0"/>
        <v>0</v>
      </c>
      <c r="O109" s="215" t="str">
        <f>_xlfn.XLOOKUP(E109,'All Products'!D:D,'All Products'!I:I,FALSE)</f>
        <v>In Stock</v>
      </c>
      <c r="P109" s="215" t="str">
        <f>_xlfn.XLOOKUP(E109,'All Products'!D:D,'All Products'!J:J,FALSE)</f>
        <v>Manufactured</v>
      </c>
      <c r="Q109" s="266">
        <f>_xlfn.XLOOKUP(E109,'All Products'!D:D,'All Products'!K:K,FALSE)</f>
        <v>812361010600</v>
      </c>
      <c r="R109" s="266" t="str">
        <f>_xlfn.XLOOKUP(E109,'All Products'!D:D,'All Products'!L:L,FALSE)</f>
        <v>-</v>
      </c>
      <c r="S109" s="266">
        <f>_xlfn.XLOOKUP(E109,'All Products'!D:D,'All Products'!M:M,FALSE)</f>
        <v>10812361010607</v>
      </c>
      <c r="T109" s="264">
        <f>_xlfn.XLOOKUP(E109,'All Products'!D:D,'All Products'!N:N,FALSE)</f>
        <v>1.226</v>
      </c>
      <c r="U109" s="265">
        <f>_xlfn.XLOOKUP(E109,'All Products'!D:D,'All Products'!P:P,FALSE)</f>
        <v>14.030000000000001</v>
      </c>
      <c r="V109" s="265">
        <f>_xlfn.XLOOKUP(E109,'All Products'!D:D,'All Products'!Q:Q,FALSE)</f>
        <v>2.361325291407383</v>
      </c>
    </row>
    <row r="110" spans="1:22" ht="43.5" customHeight="1">
      <c r="A110" s="101" t="str">
        <f>IF(K110&gt;0,COUNT($A$8:A109)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10" s="612"/>
      <c r="C110" s="613"/>
      <c r="D110" s="51" t="str">
        <f>_xlfn.XLOOKUP(E110,'All Products'!D:D,'All Products'!C:C,FALSE)</f>
        <v>36-729</v>
      </c>
      <c r="E110" s="52">
        <v>300005515</v>
      </c>
      <c r="F110" s="53" t="str">
        <f>_xlfn.XLOOKUP(E110,'All Products'!D:D,'All Products'!E:E,FALSE)</f>
        <v>6 TWO WAY C/O TEE HXHXH SDR35 SW</v>
      </c>
      <c r="G110" s="124">
        <f>_xlfn.XLOOKUP(E110,'All Products'!D:D,'All Products'!F:F,FALSE)</f>
        <v>3</v>
      </c>
      <c r="H110" s="124" t="str">
        <f>_xlfn.XLOOKUP(E110,'All Products'!D:D,'All Products'!G:G,FALSE)</f>
        <v>-</v>
      </c>
      <c r="I110" s="123" t="str">
        <f>_xlfn.XLOOKUP(E110,'All Products'!D:D,'All Products'!H:H,FALSE)</f>
        <v>Quote Required</v>
      </c>
      <c r="J110" s="130">
        <f>IFERROR(ROUNDUP(I110*Order_Quote!$L$14,2),0)</f>
        <v>0</v>
      </c>
      <c r="K110" s="118"/>
      <c r="L110" s="76"/>
      <c r="M110" s="114">
        <f t="shared" si="0"/>
        <v>0</v>
      </c>
      <c r="O110" s="215" t="str">
        <f>_xlfn.XLOOKUP(E110,'All Products'!D:D,'All Products'!I:I,FALSE)</f>
        <v>Within 6 Weeks</v>
      </c>
      <c r="P110" s="215" t="str">
        <f>_xlfn.XLOOKUP(E110,'All Products'!D:D,'All Products'!J:J,FALSE)</f>
        <v>Sourced</v>
      </c>
      <c r="Q110" s="266" t="str">
        <f>_xlfn.XLOOKUP(E110,'All Products'!D:D,'All Products'!K:K,FALSE)</f>
        <v>-</v>
      </c>
      <c r="R110" s="266" t="str">
        <f>_xlfn.XLOOKUP(E110,'All Products'!D:D,'All Products'!L:L,FALSE)</f>
        <v>-</v>
      </c>
      <c r="S110" s="266" t="str">
        <f>_xlfn.XLOOKUP(E110,'All Products'!D:D,'All Products'!M:M,FALSE)</f>
        <v>-</v>
      </c>
      <c r="T110" s="264">
        <f>_xlfn.XLOOKUP(E110,'All Products'!D:D,'All Products'!N:N,FALSE)</f>
        <v>4.68</v>
      </c>
      <c r="U110" s="265">
        <f>_xlfn.XLOOKUP(E110,'All Products'!D:D,'All Products'!P:P,FALSE)</f>
        <v>14.04</v>
      </c>
      <c r="V110" s="265" t="str">
        <f>_xlfn.XLOOKUP(E110,'All Products'!D:D,'All Products'!Q:Q,FALSE)</f>
        <v>-</v>
      </c>
    </row>
    <row r="111" spans="1:22">
      <c r="A111" s="101" t="str">
        <f>IF(K111&gt;0,COUNT($A$8:A110)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11" s="615"/>
      <c r="C111" s="615"/>
      <c r="D111" s="51" t="str">
        <f>_xlfn.XLOOKUP(E111,'All Products'!D:D,'All Products'!C:C,FALSE)</f>
        <v>36-2021</v>
      </c>
      <c r="E111" s="52">
        <v>300005755</v>
      </c>
      <c r="F111" s="53" t="str">
        <f>_xlfn.XLOOKUP(E111,'All Products'!D:D,'All Products'!E:E,FALSE)</f>
        <v>3 CLEANOUT THREADED PLUG SDR35SW</v>
      </c>
      <c r="G111" s="124">
        <f>_xlfn.XLOOKUP(E111,'All Products'!D:D,'All Products'!F:F,FALSE)</f>
        <v>50</v>
      </c>
      <c r="H111" s="124">
        <f>_xlfn.XLOOKUP(E111,'All Products'!D:D,'All Products'!G:G,FALSE)</f>
        <v>4800</v>
      </c>
      <c r="I111" s="123" t="str">
        <f>_xlfn.XLOOKUP(E111,'All Products'!D:D,'All Products'!H:H,FALSE)</f>
        <v>Quote Required</v>
      </c>
      <c r="J111" s="130">
        <f>IFERROR(ROUNDUP(I111*Order_Quote!$L$14,2),0)</f>
        <v>0</v>
      </c>
      <c r="K111" s="122"/>
      <c r="L111" s="76"/>
      <c r="M111" s="114">
        <f t="shared" ref="M111:M116" si="6">K111/G111</f>
        <v>0</v>
      </c>
      <c r="O111" s="215" t="str">
        <f>_xlfn.XLOOKUP(E111,'All Products'!D:D,'All Products'!I:I,FALSE)</f>
        <v>Within 6 Weeks</v>
      </c>
      <c r="P111" s="215" t="str">
        <f>_xlfn.XLOOKUP(E111,'All Products'!D:D,'All Products'!J:J,FALSE)</f>
        <v>Sourced</v>
      </c>
      <c r="Q111" s="266">
        <f>_xlfn.XLOOKUP(E111,'All Products'!D:D,'All Products'!K:K,FALSE)</f>
        <v>810673011353</v>
      </c>
      <c r="R111" s="266" t="str">
        <f>_xlfn.XLOOKUP(E111,'All Products'!D:D,'All Products'!L:L,FALSE)</f>
        <v>-</v>
      </c>
      <c r="S111" s="266">
        <f>_xlfn.XLOOKUP(E111,'All Products'!D:D,'All Products'!M:M,FALSE)</f>
        <v>10810673011350</v>
      </c>
      <c r="T111" s="264">
        <f>_xlfn.XLOOKUP(E111,'All Products'!D:D,'All Products'!N:N,FALSE)</f>
        <v>1</v>
      </c>
      <c r="U111" s="265">
        <f>_xlfn.XLOOKUP(E111,'All Products'!D:D,'All Products'!P:P,FALSE)</f>
        <v>50</v>
      </c>
      <c r="V111" s="265" t="str">
        <f>_xlfn.XLOOKUP(E111,'All Products'!D:D,'All Products'!Q:Q,FALSE)</f>
        <v>-</v>
      </c>
    </row>
    <row r="112" spans="1:22">
      <c r="A112" s="101" t="str">
        <f>IF(K112&gt;0,COUNT($A$8:A111)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12" s="615"/>
      <c r="C112" s="615"/>
      <c r="D112" s="51" t="str">
        <f>_xlfn.XLOOKUP(E112,'All Products'!D:D,'All Products'!C:C,FALSE)</f>
        <v>36-6572</v>
      </c>
      <c r="E112" s="52">
        <v>100029428</v>
      </c>
      <c r="F112" s="53" t="str">
        <f>_xlfn.XLOOKUP(E112,'All Products'!D:D,'All Products'!E:E,FALSE)</f>
        <v>4 CLEANOUT THREADED PLUG SDR35SW</v>
      </c>
      <c r="G112" s="124">
        <f>_xlfn.XLOOKUP(E112,'All Products'!D:D,'All Products'!F:F,FALSE)</f>
        <v>40</v>
      </c>
      <c r="H112" s="124">
        <f>_xlfn.XLOOKUP(E112,'All Products'!D:D,'All Products'!G:G,FALSE)</f>
        <v>1800</v>
      </c>
      <c r="I112" s="123">
        <f>_xlfn.XLOOKUP(E112,'All Products'!D:D,'All Products'!H:H,FALSE)</f>
        <v>18.95</v>
      </c>
      <c r="J112" s="130">
        <f>IFERROR(ROUNDUP(I112*Order_Quote!$L$14,2),0)</f>
        <v>18.95</v>
      </c>
      <c r="K112" s="122"/>
      <c r="L112" s="76"/>
      <c r="M112" s="114">
        <f t="shared" si="6"/>
        <v>0</v>
      </c>
      <c r="O112" s="215" t="str">
        <f>_xlfn.XLOOKUP(E112,'All Products'!D:D,'All Products'!I:I,FALSE)</f>
        <v>In Stock</v>
      </c>
      <c r="P112" s="215" t="str">
        <f>_xlfn.XLOOKUP(E112,'All Products'!D:D,'All Products'!J:J,FALSE)</f>
        <v>Manufactured</v>
      </c>
      <c r="Q112" s="266">
        <f>_xlfn.XLOOKUP(E112,'All Products'!D:D,'All Products'!K:K,FALSE)</f>
        <v>816842022670</v>
      </c>
      <c r="R112" s="266" t="str">
        <f>_xlfn.XLOOKUP(E112,'All Products'!D:D,'All Products'!L:L,FALSE)</f>
        <v>-</v>
      </c>
      <c r="S112" s="266">
        <f>_xlfn.XLOOKUP(E112,'All Products'!D:D,'All Products'!M:M,FALSE)</f>
        <v>816842022687</v>
      </c>
      <c r="T112" s="264">
        <f>_xlfn.XLOOKUP(E112,'All Products'!D:D,'All Products'!N:N,FALSE)</f>
        <v>0.42299999999999999</v>
      </c>
      <c r="U112" s="265">
        <f>_xlfn.XLOOKUP(E112,'All Products'!D:D,'All Products'!P:P,FALSE)</f>
        <v>18.12</v>
      </c>
      <c r="V112" s="265">
        <f>_xlfn.XLOOKUP(E112,'All Products'!D:D,'All Products'!Q:Q,FALSE)</f>
        <v>0.98955954024750914</v>
      </c>
    </row>
    <row r="113" spans="1:22">
      <c r="A113" s="101" t="str">
        <f>IF(K113&gt;0,COUNT($A$8:A112)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13" s="615"/>
      <c r="C113" s="615"/>
      <c r="D113" s="51" t="str">
        <f>_xlfn.XLOOKUP(E113,'All Products'!D:D,'All Products'!C:C,FALSE)</f>
        <v>36-6573</v>
      </c>
      <c r="E113" s="52">
        <v>100029429</v>
      </c>
      <c r="F113" s="53" t="str">
        <f>_xlfn.XLOOKUP(E113,'All Products'!D:D,'All Products'!E:E,FALSE)</f>
        <v>6 CLEANOUT THREADED PLUG SDR35SW</v>
      </c>
      <c r="G113" s="124">
        <f>_xlfn.XLOOKUP(E113,'All Products'!D:D,'All Products'!F:F,FALSE)</f>
        <v>35</v>
      </c>
      <c r="H113" s="124">
        <f>_xlfn.XLOOKUP(E113,'All Products'!D:D,'All Products'!G:G,FALSE)</f>
        <v>1120</v>
      </c>
      <c r="I113" s="123">
        <f>_xlfn.XLOOKUP(E113,'All Products'!D:D,'All Products'!H:H,FALSE)</f>
        <v>95.56</v>
      </c>
      <c r="J113" s="130">
        <f>IFERROR(ROUNDUP(I113*Order_Quote!$L$14,2),0)</f>
        <v>95.56</v>
      </c>
      <c r="K113" s="118"/>
      <c r="L113" s="76"/>
      <c r="M113" s="114">
        <f t="shared" si="6"/>
        <v>0</v>
      </c>
      <c r="O113" s="215" t="str">
        <f>_xlfn.XLOOKUP(E113,'All Products'!D:D,'All Products'!I:I,FALSE)</f>
        <v>In Stock</v>
      </c>
      <c r="P113" s="215" t="str">
        <f>_xlfn.XLOOKUP(E113,'All Products'!D:D,'All Products'!J:J,FALSE)</f>
        <v>Manufactured</v>
      </c>
      <c r="Q113" s="266">
        <f>_xlfn.XLOOKUP(E113,'All Products'!D:D,'All Products'!K:K,FALSE)</f>
        <v>816842022694</v>
      </c>
      <c r="R113" s="266" t="str">
        <f>_xlfn.XLOOKUP(E113,'All Products'!D:D,'All Products'!L:L,FALSE)</f>
        <v>-</v>
      </c>
      <c r="S113" s="266">
        <f>_xlfn.XLOOKUP(E113,'All Products'!D:D,'All Products'!M:M,FALSE)</f>
        <v>816842022700</v>
      </c>
      <c r="T113" s="264">
        <f>_xlfn.XLOOKUP(E113,'All Products'!D:D,'All Products'!N:N,FALSE)</f>
        <v>0.79800000000000004</v>
      </c>
      <c r="U113" s="265">
        <f>_xlfn.XLOOKUP(E113,'All Products'!D:D,'All Products'!P:P,FALSE)</f>
        <v>29.995000000000001</v>
      </c>
      <c r="V113" s="265">
        <f>_xlfn.XLOOKUP(E113,'All Products'!D:D,'All Products'!Q:Q,FALSE)</f>
        <v>1.3788503419060438</v>
      </c>
    </row>
    <row r="114" spans="1:22">
      <c r="A114" s="101" t="str">
        <f>IF(K114&gt;0,COUNT($A$8:A113)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14" s="615"/>
      <c r="C114" s="615"/>
      <c r="D114" s="51" t="str">
        <f>_xlfn.XLOOKUP(E114,'All Products'!D:D,'All Products'!C:C,FALSE)</f>
        <v>36-697</v>
      </c>
      <c r="E114" s="52">
        <v>300005532</v>
      </c>
      <c r="F114" s="53" t="str">
        <f>_xlfn.XLOOKUP(E114,'All Products'!D:D,'All Products'!E:E,FALSE)</f>
        <v>8 CLEANOUT THREADED PLUG SDR35SW</v>
      </c>
      <c r="G114" s="124">
        <f>_xlfn.XLOOKUP(E114,'All Products'!D:D,'All Products'!F:F,FALSE)</f>
        <v>8</v>
      </c>
      <c r="H114" s="124" t="str">
        <f>_xlfn.XLOOKUP(E114,'All Products'!D:D,'All Products'!G:G,FALSE)</f>
        <v>-</v>
      </c>
      <c r="I114" s="123" t="str">
        <f>_xlfn.XLOOKUP(E114,'All Products'!D:D,'All Products'!H:H,FALSE)</f>
        <v>Quote Required</v>
      </c>
      <c r="J114" s="130">
        <f>IFERROR(ROUNDUP(I114*Order_Quote!$L$14,2),0)</f>
        <v>0</v>
      </c>
      <c r="K114" s="118"/>
      <c r="L114" s="76"/>
      <c r="M114" s="114">
        <f t="shared" si="6"/>
        <v>0</v>
      </c>
      <c r="O114" s="215" t="str">
        <f>_xlfn.XLOOKUP(E114,'All Products'!D:D,'All Products'!I:I,FALSE)</f>
        <v>Within 6 Weeks</v>
      </c>
      <c r="P114" s="215" t="str">
        <f>_xlfn.XLOOKUP(E114,'All Products'!D:D,'All Products'!J:J,FALSE)</f>
        <v>Sourced</v>
      </c>
      <c r="Q114" s="266">
        <f>_xlfn.XLOOKUP(E114,'All Products'!D:D,'All Products'!K:K,FALSE)</f>
        <v>812361010921</v>
      </c>
      <c r="R114" s="266" t="str">
        <f>_xlfn.XLOOKUP(E114,'All Products'!D:D,'All Products'!L:L,FALSE)</f>
        <v>-</v>
      </c>
      <c r="S114" s="266" t="str">
        <f>_xlfn.XLOOKUP(E114,'All Products'!D:D,'All Products'!M:M,FALSE)</f>
        <v>-</v>
      </c>
      <c r="T114" s="264">
        <f>_xlfn.XLOOKUP(E114,'All Products'!D:D,'All Products'!N:N,FALSE)</f>
        <v>1.18</v>
      </c>
      <c r="U114" s="265">
        <f>_xlfn.XLOOKUP(E114,'All Products'!D:D,'All Products'!P:P,FALSE)</f>
        <v>9.44</v>
      </c>
      <c r="V114" s="265" t="str">
        <f>_xlfn.XLOOKUP(E114,'All Products'!D:D,'All Products'!Q:Q,FALSE)</f>
        <v>-</v>
      </c>
    </row>
    <row r="115" spans="1:22" ht="21.75" customHeight="1">
      <c r="A115" s="101" t="str">
        <f>IF(K115&gt;0,COUNT($A$8:A114)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15" s="610"/>
      <c r="C115" s="611"/>
      <c r="D115" s="51" t="str">
        <f>_xlfn.XLOOKUP(E115,'All Products'!D:D,'All Products'!C:C,FALSE)</f>
        <v>36-699</v>
      </c>
      <c r="E115" s="52">
        <v>100029433</v>
      </c>
      <c r="F115" s="53" t="str">
        <f>_xlfn.XLOOKUP(E115,'All Products'!D:D,'All Products'!E:E,FALSE)</f>
        <v>6 CLEANOUT THREADED RECESSED PLUG</v>
      </c>
      <c r="G115" s="124">
        <f>_xlfn.XLOOKUP(E115,'All Products'!D:D,'All Products'!F:F,FALSE)</f>
        <v>36</v>
      </c>
      <c r="H115" s="124">
        <f>_xlfn.XLOOKUP(E115,'All Products'!D:D,'All Products'!G:G,FALSE)</f>
        <v>1620</v>
      </c>
      <c r="I115" s="123">
        <f>_xlfn.XLOOKUP(E115,'All Products'!D:D,'All Products'!H:H,FALSE)</f>
        <v>112.96</v>
      </c>
      <c r="J115" s="130">
        <f>IFERROR(ROUNDUP(I115*Order_Quote!$L$14,2),0)</f>
        <v>112.96</v>
      </c>
      <c r="K115" s="118"/>
      <c r="L115" s="76"/>
      <c r="M115" s="114">
        <f t="shared" si="6"/>
        <v>0</v>
      </c>
      <c r="O115" s="215" t="str">
        <f>_xlfn.XLOOKUP(E115,'All Products'!D:D,'All Products'!I:I,FALSE)</f>
        <v>In Stock</v>
      </c>
      <c r="P115" s="215" t="str">
        <f>_xlfn.XLOOKUP(E115,'All Products'!D:D,'All Products'!J:J,FALSE)</f>
        <v>Manufactured</v>
      </c>
      <c r="Q115" s="266">
        <f>_xlfn.XLOOKUP(E115,'All Products'!D:D,'All Products'!K:K,FALSE)</f>
        <v>812361010495</v>
      </c>
      <c r="R115" s="266" t="str">
        <f>_xlfn.XLOOKUP(E115,'All Products'!D:D,'All Products'!L:L,FALSE)</f>
        <v>-</v>
      </c>
      <c r="S115" s="266">
        <f>_xlfn.XLOOKUP(E115,'All Products'!D:D,'All Products'!M:M,FALSE)</f>
        <v>812361012246</v>
      </c>
      <c r="T115" s="264">
        <f>_xlfn.XLOOKUP(E115,'All Products'!D:D,'All Products'!N:N,FALSE)</f>
        <v>0.56000000000000005</v>
      </c>
      <c r="U115" s="265">
        <f>_xlfn.XLOOKUP(E115,'All Products'!D:D,'All Products'!P:P,FALSE)</f>
        <v>22.032</v>
      </c>
      <c r="V115" s="265">
        <f>_xlfn.XLOOKUP(E115,'All Products'!D:D,'All Products'!Q:Q,FALSE)</f>
        <v>0.98955954024750914</v>
      </c>
    </row>
    <row r="116" spans="1:22" ht="21.75" customHeight="1" thickBot="1">
      <c r="A116" s="101" t="str">
        <f>IF(K116&gt;0,COUNT($A$8:A115)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16" s="612"/>
      <c r="C116" s="613"/>
      <c r="D116" s="51" t="str">
        <f>_xlfn.XLOOKUP(E116,'All Products'!D:D,'All Products'!C:C,FALSE)</f>
        <v>36-2024</v>
      </c>
      <c r="E116" s="52">
        <v>300005585</v>
      </c>
      <c r="F116" s="53" t="str">
        <f>_xlfn.XLOOKUP(E116,'All Products'!D:D,'All Products'!E:E,FALSE)</f>
        <v>8 CLEANOUT THREADED RECESSED PLUG</v>
      </c>
      <c r="G116" s="124">
        <f>_xlfn.XLOOKUP(E116,'All Products'!D:D,'All Products'!F:F,FALSE)</f>
        <v>4</v>
      </c>
      <c r="H116" s="124" t="str">
        <f>_xlfn.XLOOKUP(E116,'All Products'!D:D,'All Products'!G:G,FALSE)</f>
        <v>-</v>
      </c>
      <c r="I116" s="123" t="str">
        <f>_xlfn.XLOOKUP(E116,'All Products'!D:D,'All Products'!H:H,FALSE)</f>
        <v>Quote Required</v>
      </c>
      <c r="J116" s="130">
        <f>IFERROR(ROUNDUP(I116*Order_Quote!$L$14,2),0)</f>
        <v>0</v>
      </c>
      <c r="K116" s="118"/>
      <c r="L116" s="76"/>
      <c r="M116" s="114">
        <f t="shared" si="6"/>
        <v>0</v>
      </c>
      <c r="O116" s="215" t="str">
        <f>_xlfn.XLOOKUP(E116,'All Products'!D:D,'All Products'!I:I,FALSE)</f>
        <v>Within 6 Weeks</v>
      </c>
      <c r="P116" s="215" t="str">
        <f>_xlfn.XLOOKUP(E116,'All Products'!D:D,'All Products'!J:J,FALSE)</f>
        <v>Sourced</v>
      </c>
      <c r="Q116" s="266" t="str">
        <f>_xlfn.XLOOKUP(E116,'All Products'!D:D,'All Products'!K:K,FALSE)</f>
        <v>-</v>
      </c>
      <c r="R116" s="266" t="str">
        <f>_xlfn.XLOOKUP(E116,'All Products'!D:D,'All Products'!L:L,FALSE)</f>
        <v>-</v>
      </c>
      <c r="S116" s="266" t="str">
        <f>_xlfn.XLOOKUP(E116,'All Products'!D:D,'All Products'!M:M,FALSE)</f>
        <v>-</v>
      </c>
      <c r="T116" s="264">
        <f>_xlfn.XLOOKUP(E116,'All Products'!D:D,'All Products'!N:N,FALSE)</f>
        <v>1</v>
      </c>
      <c r="U116" s="265">
        <f>_xlfn.XLOOKUP(E116,'All Products'!D:D,'All Products'!P:P,FALSE)</f>
        <v>4</v>
      </c>
      <c r="V116" s="265" t="str">
        <f>_xlfn.XLOOKUP(E116,'All Products'!D:D,'All Products'!Q:Q,FALSE)</f>
        <v>-</v>
      </c>
    </row>
    <row r="117" spans="1:22" ht="16.2" thickBot="1">
      <c r="A117" s="101" t="str">
        <f>IF(K117&gt;0,COUNT($A$8:A116)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17" s="501" t="s">
        <v>5852</v>
      </c>
      <c r="C117" s="151"/>
      <c r="D117" s="151"/>
      <c r="E117" s="459"/>
      <c r="F117" s="151"/>
      <c r="G117" s="468"/>
      <c r="H117" s="151"/>
      <c r="I117" s="472"/>
      <c r="J117" s="468"/>
      <c r="K117" s="477"/>
      <c r="L117" s="238"/>
      <c r="M117" s="476"/>
      <c r="O117" s="494"/>
      <c r="P117" s="478"/>
      <c r="Q117" s="492"/>
      <c r="R117" s="492"/>
      <c r="S117" s="492"/>
      <c r="T117" s="495"/>
      <c r="U117" s="496"/>
      <c r="V117" s="497"/>
    </row>
    <row r="118" spans="1:22" ht="37.5" customHeight="1">
      <c r="A118" s="101" t="str">
        <f>IF(K118&gt;0,COUNT($A$8:A117)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18" s="615"/>
      <c r="C118" s="615"/>
      <c r="D118" s="51" t="str">
        <f>_xlfn.XLOOKUP(E118,'All Products'!D:D,'All Products'!C:C,FALSE)</f>
        <v>36-710</v>
      </c>
      <c r="E118" s="52">
        <v>300005561</v>
      </c>
      <c r="F118" s="53" t="str">
        <f>_xlfn.XLOOKUP(E118,'All Products'!D:D,'All Products'!E:E,FALSE)</f>
        <v>8X4 SADDLE TEE W/SS STRAP SDR35 SW</v>
      </c>
      <c r="G118" s="124">
        <f>_xlfn.XLOOKUP(E118,'All Products'!D:D,'All Products'!F:F,FALSE)</f>
        <v>6</v>
      </c>
      <c r="H118" s="124" t="str">
        <f>_xlfn.XLOOKUP(E118,'All Products'!D:D,'All Products'!G:G,FALSE)</f>
        <v>-</v>
      </c>
      <c r="I118" s="123" t="str">
        <f>_xlfn.XLOOKUP(E118,'All Products'!D:D,'All Products'!H:H,FALSE)</f>
        <v>Quote Required</v>
      </c>
      <c r="J118" s="130">
        <f>IFERROR(ROUNDUP(I118*Order_Quote!$L$14,2),0)</f>
        <v>0</v>
      </c>
      <c r="K118" s="118"/>
      <c r="L118" s="76"/>
      <c r="M118" s="114">
        <f t="shared" ref="M118:M120" si="7">K118/G118</f>
        <v>0</v>
      </c>
      <c r="O118" s="215" t="str">
        <f>_xlfn.XLOOKUP(E118,'All Products'!D:D,'All Products'!I:I,FALSE)</f>
        <v>Within 3 Weeks</v>
      </c>
      <c r="P118" s="215" t="str">
        <f>_xlfn.XLOOKUP(E118,'All Products'!D:D,'All Products'!J:J,FALSE)</f>
        <v>Sourced</v>
      </c>
      <c r="Q118" s="266">
        <f>_xlfn.XLOOKUP(E118,'All Products'!D:D,'All Products'!K:K,FALSE)</f>
        <v>812361011034</v>
      </c>
      <c r="R118" s="266" t="str">
        <f>_xlfn.XLOOKUP(E118,'All Products'!D:D,'All Products'!L:L,FALSE)</f>
        <v>-</v>
      </c>
      <c r="S118" s="266" t="str">
        <f>_xlfn.XLOOKUP(E118,'All Products'!D:D,'All Products'!M:M,FALSE)</f>
        <v>-</v>
      </c>
      <c r="T118" s="264">
        <f>_xlfn.XLOOKUP(E118,'All Products'!D:D,'All Products'!N:N,FALSE)</f>
        <v>5.2910000000000004</v>
      </c>
      <c r="U118" s="265">
        <f>_xlfn.XLOOKUP(E118,'All Products'!D:D,'All Products'!P:P,FALSE)</f>
        <v>31.746000000000002</v>
      </c>
      <c r="V118" s="265" t="str">
        <f>_xlfn.XLOOKUP(E118,'All Products'!D:D,'All Products'!Q:Q,FALSE)</f>
        <v>-</v>
      </c>
    </row>
    <row r="119" spans="1:22" ht="25.5" customHeight="1">
      <c r="A119" s="101" t="str">
        <f>IF(K119&gt;0,COUNT($A$8:A118)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19" s="615"/>
      <c r="C119" s="615"/>
      <c r="D119" s="51" t="str">
        <f>_xlfn.XLOOKUP(E119,'All Products'!D:D,'All Products'!C:C,FALSE)</f>
        <v>36-712</v>
      </c>
      <c r="E119" s="52">
        <v>300005526</v>
      </c>
      <c r="F119" s="53" t="str">
        <f>_xlfn.XLOOKUP(E119,'All Products'!D:D,'All Products'!E:E,FALSE)</f>
        <v>6X4 SADDLE WYE W/SS STRAPS SDR35 SW</v>
      </c>
      <c r="G119" s="124">
        <f>_xlfn.XLOOKUP(E119,'All Products'!D:D,'All Products'!F:F,FALSE)</f>
        <v>6</v>
      </c>
      <c r="H119" s="124" t="str">
        <f>_xlfn.XLOOKUP(E119,'All Products'!D:D,'All Products'!G:G,FALSE)</f>
        <v>-</v>
      </c>
      <c r="I119" s="123" t="str">
        <f>_xlfn.XLOOKUP(E119,'All Products'!D:D,'All Products'!H:H,FALSE)</f>
        <v>Quote Required</v>
      </c>
      <c r="J119" s="130">
        <f>IFERROR(ROUNDUP(I119*Order_Quote!$L$14,2),0)</f>
        <v>0</v>
      </c>
      <c r="K119" s="122"/>
      <c r="L119" s="76"/>
      <c r="M119" s="114">
        <f t="shared" si="7"/>
        <v>0</v>
      </c>
      <c r="O119" s="215" t="str">
        <f>_xlfn.XLOOKUP(E119,'All Products'!D:D,'All Products'!I:I,FALSE)</f>
        <v>Within 6 Weeks</v>
      </c>
      <c r="P119" s="215" t="str">
        <f>_xlfn.XLOOKUP(E119,'All Products'!D:D,'All Products'!J:J,FALSE)</f>
        <v>Sourced</v>
      </c>
      <c r="Q119" s="266">
        <f>_xlfn.XLOOKUP(E119,'All Products'!D:D,'All Products'!K:K,FALSE)</f>
        <v>812361014196</v>
      </c>
      <c r="R119" s="266" t="str">
        <f>_xlfn.XLOOKUP(E119,'All Products'!D:D,'All Products'!L:L,FALSE)</f>
        <v>-</v>
      </c>
      <c r="S119" s="266" t="str">
        <f>_xlfn.XLOOKUP(E119,'All Products'!D:D,'All Products'!M:M,FALSE)</f>
        <v>-</v>
      </c>
      <c r="T119" s="264">
        <f>_xlfn.XLOOKUP(E119,'All Products'!D:D,'All Products'!N:N,FALSE)</f>
        <v>1.5</v>
      </c>
      <c r="U119" s="265">
        <f>_xlfn.XLOOKUP(E119,'All Products'!D:D,'All Products'!P:P,FALSE)</f>
        <v>9</v>
      </c>
      <c r="V119" s="265" t="str">
        <f>_xlfn.XLOOKUP(E119,'All Products'!D:D,'All Products'!Q:Q,FALSE)</f>
        <v>-</v>
      </c>
    </row>
    <row r="120" spans="1:22" ht="25.5" customHeight="1" thickBot="1">
      <c r="A120" s="101" t="str">
        <f>IF(K120&gt;0,COUNT($A$8:A119)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20" s="615"/>
      <c r="C120" s="615"/>
      <c r="D120" s="51" t="str">
        <f>_xlfn.XLOOKUP(E120,'All Products'!D:D,'All Products'!C:C,FALSE)</f>
        <v>36-713</v>
      </c>
      <c r="E120" s="52">
        <v>300005562</v>
      </c>
      <c r="F120" s="53" t="str">
        <f>_xlfn.XLOOKUP(E120,'All Products'!D:D,'All Products'!E:E,FALSE)</f>
        <v>8X4 SADDLE WYE W/SS STRAPS SDR35 SW</v>
      </c>
      <c r="G120" s="124">
        <f>_xlfn.XLOOKUP(E120,'All Products'!D:D,'All Products'!F:F,FALSE)</f>
        <v>6</v>
      </c>
      <c r="H120" s="124" t="str">
        <f>_xlfn.XLOOKUP(E120,'All Products'!D:D,'All Products'!G:G,FALSE)</f>
        <v>-</v>
      </c>
      <c r="I120" s="123" t="str">
        <f>_xlfn.XLOOKUP(E120,'All Products'!D:D,'All Products'!H:H,FALSE)</f>
        <v>Quote Required</v>
      </c>
      <c r="J120" s="130">
        <f>IFERROR(ROUNDUP(I120*Order_Quote!$L$14,2),0)</f>
        <v>0</v>
      </c>
      <c r="K120" s="118"/>
      <c r="L120" s="76"/>
      <c r="M120" s="114">
        <f t="shared" si="7"/>
        <v>0</v>
      </c>
      <c r="O120" s="215" t="str">
        <f>_xlfn.XLOOKUP(E120,'All Products'!D:D,'All Products'!I:I,FALSE)</f>
        <v>Within 6 Weeks</v>
      </c>
      <c r="P120" s="215" t="str">
        <f>_xlfn.XLOOKUP(E120,'All Products'!D:D,'All Products'!J:J,FALSE)</f>
        <v>Sourced</v>
      </c>
      <c r="Q120" s="266">
        <f>_xlfn.XLOOKUP(E120,'All Products'!D:D,'All Products'!K:K,FALSE)</f>
        <v>812361014219</v>
      </c>
      <c r="R120" s="266" t="str">
        <f>_xlfn.XLOOKUP(E120,'All Products'!D:D,'All Products'!L:L,FALSE)</f>
        <v>-</v>
      </c>
      <c r="S120" s="266" t="str">
        <f>_xlfn.XLOOKUP(E120,'All Products'!D:D,'All Products'!M:M,FALSE)</f>
        <v>-</v>
      </c>
      <c r="T120" s="264">
        <f>_xlfn.XLOOKUP(E120,'All Products'!D:D,'All Products'!N:N,FALSE)</f>
        <v>3</v>
      </c>
      <c r="U120" s="265">
        <f>_xlfn.XLOOKUP(E120,'All Products'!D:D,'All Products'!P:P,FALSE)</f>
        <v>18</v>
      </c>
      <c r="V120" s="265" t="str">
        <f>_xlfn.XLOOKUP(E120,'All Products'!D:D,'All Products'!Q:Q,FALSE)</f>
        <v>-</v>
      </c>
    </row>
    <row r="121" spans="1:22" ht="16.2" thickBot="1">
      <c r="A121" s="101" t="str">
        <f>IF(K121&gt;0,COUNT($A$8:A120)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21" s="501" t="s">
        <v>5849</v>
      </c>
      <c r="C121" s="151"/>
      <c r="D121" s="151"/>
      <c r="E121" s="459"/>
      <c r="F121" s="151"/>
      <c r="G121" s="468"/>
      <c r="H121" s="151"/>
      <c r="I121" s="472"/>
      <c r="J121" s="468"/>
      <c r="K121" s="477"/>
      <c r="L121" s="238"/>
      <c r="M121" s="476"/>
      <c r="O121" s="494"/>
      <c r="P121" s="478"/>
      <c r="Q121" s="492"/>
      <c r="R121" s="492"/>
      <c r="S121" s="492"/>
      <c r="T121" s="495"/>
      <c r="U121" s="496"/>
      <c r="V121" s="497"/>
    </row>
    <row r="122" spans="1:22">
      <c r="A122" s="101" t="str">
        <f>IF(K122&gt;0,COUNT($A$8:A121)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22" s="608"/>
      <c r="C122" s="609"/>
      <c r="D122" s="51" t="str">
        <f>_xlfn.XLOOKUP(E122,'All Products'!D:D,'All Products'!C:C,FALSE)</f>
        <v>36-2070</v>
      </c>
      <c r="E122" s="52">
        <v>300005746</v>
      </c>
      <c r="F122" s="53" t="str">
        <f>_xlfn.XLOOKUP(E122,'All Products'!D:D,'All Products'!E:E,FALSE)</f>
        <v>3 DRAIN GRATE SPIGOT SDR35 SW</v>
      </c>
      <c r="G122" s="124">
        <f>_xlfn.XLOOKUP(E122,'All Products'!D:D,'All Products'!F:F,FALSE)</f>
        <v>50</v>
      </c>
      <c r="H122" s="124">
        <f>_xlfn.XLOOKUP(E122,'All Products'!D:D,'All Products'!G:G,FALSE)</f>
        <v>4800</v>
      </c>
      <c r="I122" s="123" t="str">
        <f>_xlfn.XLOOKUP(E122,'All Products'!D:D,'All Products'!H:H,FALSE)</f>
        <v>Quote Required</v>
      </c>
      <c r="J122" s="130">
        <f>IFERROR(ROUNDUP(I122*Order_Quote!$L$14,2),0)</f>
        <v>0</v>
      </c>
      <c r="K122" s="122"/>
      <c r="L122" s="76"/>
      <c r="M122" s="114">
        <f t="shared" ref="M122:M132" si="8">K122/G122</f>
        <v>0</v>
      </c>
      <c r="O122" s="215" t="str">
        <f>_xlfn.XLOOKUP(E122,'All Products'!D:D,'All Products'!I:I,FALSE)</f>
        <v>Within 6 Weeks</v>
      </c>
      <c r="P122" s="215" t="str">
        <f>_xlfn.XLOOKUP(E122,'All Products'!D:D,'All Products'!J:J,FALSE)</f>
        <v>Sourced</v>
      </c>
      <c r="Q122" s="266" t="str">
        <f>_xlfn.XLOOKUP(E122,'All Products'!D:D,'All Products'!K:K,FALSE)</f>
        <v>-</v>
      </c>
      <c r="R122" s="266" t="str">
        <f>_xlfn.XLOOKUP(E122,'All Products'!D:D,'All Products'!L:L,FALSE)</f>
        <v>-</v>
      </c>
      <c r="S122" s="266" t="str">
        <f>_xlfn.XLOOKUP(E122,'All Products'!D:D,'All Products'!M:M,FALSE)</f>
        <v>-</v>
      </c>
      <c r="T122" s="264">
        <f>_xlfn.XLOOKUP(E122,'All Products'!D:D,'All Products'!N:N,FALSE)</f>
        <v>0.37</v>
      </c>
      <c r="U122" s="265">
        <f>_xlfn.XLOOKUP(E122,'All Products'!D:D,'All Products'!P:P,FALSE)</f>
        <v>18.5</v>
      </c>
      <c r="V122" s="265" t="str">
        <f>_xlfn.XLOOKUP(E122,'All Products'!D:D,'All Products'!Q:Q,FALSE)</f>
        <v>-</v>
      </c>
    </row>
    <row r="123" spans="1:22">
      <c r="A123" s="101" t="str">
        <f>IF(K123&gt;0,COUNT($A$8:A122)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23" s="610"/>
      <c r="C123" s="611"/>
      <c r="D123" s="51" t="str">
        <f>_xlfn.XLOOKUP(E123,'All Products'!D:D,'All Products'!C:C,FALSE)</f>
        <v>36-6593</v>
      </c>
      <c r="E123" s="52">
        <v>100030874</v>
      </c>
      <c r="F123" s="53" t="str">
        <f>_xlfn.XLOOKUP(E123,'All Products'!D:D,'All Products'!E:E,FALSE)</f>
        <v>4 DRAIN GRATE SPIGOT SDR35 SW</v>
      </c>
      <c r="G123" s="124">
        <f>_xlfn.XLOOKUP(E123,'All Products'!D:D,'All Products'!F:F,FALSE)</f>
        <v>40</v>
      </c>
      <c r="H123" s="124">
        <f>_xlfn.XLOOKUP(E123,'All Products'!D:D,'All Products'!G:G,FALSE)</f>
        <v>2880</v>
      </c>
      <c r="I123" s="123">
        <f>_xlfn.XLOOKUP(E123,'All Products'!D:D,'All Products'!H:H,FALSE)</f>
        <v>25.93</v>
      </c>
      <c r="J123" s="130">
        <f>IFERROR(ROUNDUP(I123*Order_Quote!$L$14,2),0)</f>
        <v>25.93</v>
      </c>
      <c r="K123" s="118"/>
      <c r="L123" s="76"/>
      <c r="M123" s="114">
        <f t="shared" si="8"/>
        <v>0</v>
      </c>
      <c r="O123" s="215" t="str">
        <f>_xlfn.XLOOKUP(E123,'All Products'!D:D,'All Products'!I:I,FALSE)</f>
        <v>Within 3 Weeks</v>
      </c>
      <c r="P123" s="215" t="str">
        <f>_xlfn.XLOOKUP(E123,'All Products'!D:D,'All Products'!J:J,FALSE)</f>
        <v>Manufactured</v>
      </c>
      <c r="Q123" s="266">
        <f>_xlfn.XLOOKUP(E123,'All Products'!D:D,'All Products'!K:K,FALSE)</f>
        <v>810673012190</v>
      </c>
      <c r="R123" s="266" t="str">
        <f>_xlfn.XLOOKUP(E123,'All Products'!D:D,'All Products'!L:L,FALSE)</f>
        <v>-</v>
      </c>
      <c r="S123" s="266">
        <f>_xlfn.XLOOKUP(E123,'All Products'!D:D,'All Products'!M:M,FALSE)</f>
        <v>10810673012197</v>
      </c>
      <c r="T123" s="264">
        <f>_xlfn.XLOOKUP(E123,'All Products'!D:D,'All Products'!N:N,FALSE)</f>
        <v>0.32</v>
      </c>
      <c r="U123" s="265">
        <f>_xlfn.XLOOKUP(E123,'All Products'!D:D,'All Products'!P:P,FALSE)</f>
        <v>14</v>
      </c>
      <c r="V123" s="265">
        <f>_xlfn.XLOOKUP(E123,'All Products'!D:D,'All Products'!Q:Q,FALSE)</f>
        <v>0.98955954024750914</v>
      </c>
    </row>
    <row r="124" spans="1:22">
      <c r="A124" s="101" t="str">
        <f>IF(K124&gt;0,COUNT($A$8:A123)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24" s="612"/>
      <c r="C124" s="613"/>
      <c r="D124" s="51" t="str">
        <f>_xlfn.XLOOKUP(E124,'All Products'!D:D,'All Products'!C:C,FALSE)</f>
        <v>36-806</v>
      </c>
      <c r="E124" s="52">
        <v>300005506</v>
      </c>
      <c r="F124" s="53" t="str">
        <f>_xlfn.XLOOKUP(E124,'All Products'!D:D,'All Products'!E:E,FALSE)</f>
        <v>6 DRAIN GRATE SPIGOT SDR35 SW</v>
      </c>
      <c r="G124" s="124">
        <f>_xlfn.XLOOKUP(E124,'All Products'!D:D,'All Products'!F:F,FALSE)</f>
        <v>30</v>
      </c>
      <c r="H124" s="124">
        <f>_xlfn.XLOOKUP(E124,'All Products'!D:D,'All Products'!G:G,FALSE)</f>
        <v>1350</v>
      </c>
      <c r="I124" s="123" t="str">
        <f>_xlfn.XLOOKUP(E124,'All Products'!D:D,'All Products'!H:H,FALSE)</f>
        <v>Quote Required</v>
      </c>
      <c r="J124" s="130">
        <f>IFERROR(ROUNDUP(I124*Order_Quote!$L$14,2),0)</f>
        <v>0</v>
      </c>
      <c r="K124" s="118"/>
      <c r="L124" s="76"/>
      <c r="M124" s="114">
        <f t="shared" si="8"/>
        <v>0</v>
      </c>
      <c r="O124" s="215" t="str">
        <f>_xlfn.XLOOKUP(E124,'All Products'!D:D,'All Products'!I:I,FALSE)</f>
        <v>Within 6 Weeks</v>
      </c>
      <c r="P124" s="215" t="str">
        <f>_xlfn.XLOOKUP(E124,'All Products'!D:D,'All Products'!J:J,FALSE)</f>
        <v>Sourced</v>
      </c>
      <c r="Q124" s="266">
        <f>_xlfn.XLOOKUP(E124,'All Products'!D:D,'All Products'!K:K,FALSE)</f>
        <v>810116843428</v>
      </c>
      <c r="R124" s="266" t="str">
        <f>_xlfn.XLOOKUP(E124,'All Products'!D:D,'All Products'!L:L,FALSE)</f>
        <v>-</v>
      </c>
      <c r="S124" s="266" t="str">
        <f>_xlfn.XLOOKUP(E124,'All Products'!D:D,'All Products'!M:M,FALSE)</f>
        <v>-</v>
      </c>
      <c r="T124" s="264">
        <f>_xlfn.XLOOKUP(E124,'All Products'!D:D,'All Products'!N:N,FALSE)</f>
        <v>1.33</v>
      </c>
      <c r="U124" s="265">
        <f>_xlfn.XLOOKUP(E124,'All Products'!D:D,'All Products'!P:P,FALSE)</f>
        <v>39.900000000000006</v>
      </c>
      <c r="V124" s="265" t="str">
        <f>_xlfn.XLOOKUP(E124,'All Products'!D:D,'All Products'!Q:Q,FALSE)</f>
        <v>-</v>
      </c>
    </row>
    <row r="125" spans="1:22">
      <c r="A125" s="101" t="str">
        <f>IF(K125&gt;0,COUNT($A$8:A124)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25" s="610"/>
      <c r="C125" s="611"/>
      <c r="D125" s="51" t="str">
        <f>_xlfn.XLOOKUP(E125,'All Products'!D:D,'All Products'!C:C,FALSE)</f>
        <v>36-647</v>
      </c>
      <c r="E125" s="52">
        <v>300005749</v>
      </c>
      <c r="F125" s="53" t="str">
        <f>_xlfn.XLOOKUP(E125,'All Products'!D:D,'All Products'!E:E,FALSE)</f>
        <v>2X3X3 FLUSH DOWNSPOUT ADAPTER X H</v>
      </c>
      <c r="G125" s="124">
        <f>_xlfn.XLOOKUP(E125,'All Products'!D:D,'All Products'!F:F,FALSE)</f>
        <v>36</v>
      </c>
      <c r="H125" s="124" t="str">
        <f>_xlfn.XLOOKUP(E125,'All Products'!D:D,'All Products'!G:G,FALSE)</f>
        <v>-</v>
      </c>
      <c r="I125" s="123" t="str">
        <f>_xlfn.XLOOKUP(E125,'All Products'!D:D,'All Products'!H:H,FALSE)</f>
        <v>Quote Required</v>
      </c>
      <c r="J125" s="130">
        <f>IFERROR(ROUNDUP(I125*Order_Quote!$L$14,2),0)</f>
        <v>0</v>
      </c>
      <c r="K125" s="122"/>
      <c r="L125" s="76"/>
      <c r="M125" s="114">
        <f t="shared" si="8"/>
        <v>0</v>
      </c>
      <c r="O125" s="215" t="str">
        <f>_xlfn.XLOOKUP(E125,'All Products'!D:D,'All Products'!I:I,FALSE)</f>
        <v>Within 6 Weeks</v>
      </c>
      <c r="P125" s="215" t="str">
        <f>_xlfn.XLOOKUP(E125,'All Products'!D:D,'All Products'!J:J,FALSE)</f>
        <v>Sourced</v>
      </c>
      <c r="Q125" s="266">
        <f>_xlfn.XLOOKUP(E125,'All Products'!D:D,'All Products'!K:K,FALSE)</f>
        <v>812361014387</v>
      </c>
      <c r="R125" s="266" t="str">
        <f>_xlfn.XLOOKUP(E125,'All Products'!D:D,'All Products'!L:L,FALSE)</f>
        <v>-</v>
      </c>
      <c r="S125" s="266" t="str">
        <f>_xlfn.XLOOKUP(E125,'All Products'!D:D,'All Products'!M:M,FALSE)</f>
        <v>-</v>
      </c>
      <c r="T125" s="264">
        <f>_xlfn.XLOOKUP(E125,'All Products'!D:D,'All Products'!N:N,FALSE)</f>
        <v>0.2</v>
      </c>
      <c r="U125" s="265">
        <f>_xlfn.XLOOKUP(E125,'All Products'!D:D,'All Products'!P:P,FALSE)</f>
        <v>7.2</v>
      </c>
      <c r="V125" s="265" t="str">
        <f>_xlfn.XLOOKUP(E125,'All Products'!D:D,'All Products'!Q:Q,FALSE)</f>
        <v>-</v>
      </c>
    </row>
    <row r="126" spans="1:22">
      <c r="A126" s="101" t="str">
        <f>IF(K126&gt;0,COUNT($A$8:A125)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26" s="610"/>
      <c r="C126" s="611"/>
      <c r="D126" s="51" t="str">
        <f>_xlfn.XLOOKUP(E126,'All Products'!D:D,'All Products'!C:C,FALSE)</f>
        <v>36-6588</v>
      </c>
      <c r="E126" s="52">
        <v>100029462</v>
      </c>
      <c r="F126" s="53" t="str">
        <f>_xlfn.XLOOKUP(E126,'All Products'!D:D,'All Products'!E:E,FALSE)</f>
        <v>2X3X4 FLUSH DOWNSPOUT ADAPTER X H</v>
      </c>
      <c r="G126" s="124">
        <f>_xlfn.XLOOKUP(E126,'All Products'!D:D,'All Products'!F:F,FALSE)</f>
        <v>25</v>
      </c>
      <c r="H126" s="124">
        <f>_xlfn.XLOOKUP(E126,'All Products'!D:D,'All Products'!G:G,FALSE)</f>
        <v>1800</v>
      </c>
      <c r="I126" s="123">
        <f>_xlfn.XLOOKUP(E126,'All Products'!D:D,'All Products'!H:H,FALSE)</f>
        <v>24.43</v>
      </c>
      <c r="J126" s="130">
        <f>IFERROR(ROUNDUP(I126*Order_Quote!$L$14,2),0)</f>
        <v>24.43</v>
      </c>
      <c r="K126" s="118"/>
      <c r="L126" s="76"/>
      <c r="M126" s="114">
        <f t="shared" si="8"/>
        <v>0</v>
      </c>
      <c r="O126" s="215" t="str">
        <f>_xlfn.XLOOKUP(E126,'All Products'!D:D,'All Products'!I:I,FALSE)</f>
        <v>In Stock</v>
      </c>
      <c r="P126" s="215" t="str">
        <f>_xlfn.XLOOKUP(E126,'All Products'!D:D,'All Products'!J:J,FALSE)</f>
        <v>Manufactured</v>
      </c>
      <c r="Q126" s="266">
        <f>_xlfn.XLOOKUP(E126,'All Products'!D:D,'All Products'!K:K,FALSE)</f>
        <v>816842022892</v>
      </c>
      <c r="R126" s="266" t="str">
        <f>_xlfn.XLOOKUP(E126,'All Products'!D:D,'All Products'!L:L,FALSE)</f>
        <v>-</v>
      </c>
      <c r="S126" s="266">
        <f>_xlfn.XLOOKUP(E126,'All Products'!D:D,'All Products'!M:M,FALSE)</f>
        <v>816842022908</v>
      </c>
      <c r="T126" s="264">
        <f>_xlfn.XLOOKUP(E126,'All Products'!D:D,'All Products'!N:N,FALSE)</f>
        <v>0.38600000000000001</v>
      </c>
      <c r="U126" s="265">
        <f>_xlfn.XLOOKUP(E126,'All Products'!D:D,'All Products'!P:P,FALSE)</f>
        <v>11.824999999999999</v>
      </c>
      <c r="V126" s="265">
        <f>_xlfn.XLOOKUP(E126,'All Products'!D:D,'All Products'!Q:Q,FALSE)</f>
        <v>1.8803145838984718</v>
      </c>
    </row>
    <row r="127" spans="1:22">
      <c r="A127" s="101" t="str">
        <f>IF(K127&gt;0,COUNT($A$8:A126)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27" s="610"/>
      <c r="C127" s="611"/>
      <c r="D127" s="51" t="str">
        <f>_xlfn.XLOOKUP(E127,'All Products'!D:D,'All Products'!C:C,FALSE)</f>
        <v>36-6585</v>
      </c>
      <c r="E127" s="52">
        <v>100029542</v>
      </c>
      <c r="F127" s="53" t="str">
        <f>_xlfn.XLOOKUP(E127,'All Products'!D:D,'All Products'!E:E,FALSE)</f>
        <v>3X4X4 FLUSH DOWNSPOUT ADAPTER X H</v>
      </c>
      <c r="G127" s="124">
        <f>_xlfn.XLOOKUP(E127,'All Products'!D:D,'All Products'!F:F,FALSE)</f>
        <v>25</v>
      </c>
      <c r="H127" s="124">
        <f>_xlfn.XLOOKUP(E127,'All Products'!D:D,'All Products'!G:G,FALSE)</f>
        <v>1000</v>
      </c>
      <c r="I127" s="123">
        <f>_xlfn.XLOOKUP(E127,'All Products'!D:D,'All Products'!H:H,FALSE)</f>
        <v>43.8</v>
      </c>
      <c r="J127" s="130">
        <f>IFERROR(ROUNDUP(I127*Order_Quote!$L$14,2),0)</f>
        <v>43.8</v>
      </c>
      <c r="K127" s="118"/>
      <c r="L127" s="76"/>
      <c r="M127" s="114">
        <f t="shared" si="8"/>
        <v>0</v>
      </c>
      <c r="O127" s="215" t="str">
        <f>_xlfn.XLOOKUP(E127,'All Products'!D:D,'All Products'!I:I,FALSE)</f>
        <v>In Stock</v>
      </c>
      <c r="P127" s="215" t="str">
        <f>_xlfn.XLOOKUP(E127,'All Products'!D:D,'All Products'!J:J,FALSE)</f>
        <v>Manufactured</v>
      </c>
      <c r="Q127" s="266">
        <f>_xlfn.XLOOKUP(E127,'All Products'!D:D,'All Products'!K:K,FALSE)</f>
        <v>816842022830</v>
      </c>
      <c r="R127" s="266" t="str">
        <f>_xlfn.XLOOKUP(E127,'All Products'!D:D,'All Products'!L:L,FALSE)</f>
        <v>-</v>
      </c>
      <c r="S127" s="266">
        <f>_xlfn.XLOOKUP(E127,'All Products'!D:D,'All Products'!M:M,FALSE)</f>
        <v>816842022847</v>
      </c>
      <c r="T127" s="264">
        <f>_xlfn.XLOOKUP(E127,'All Products'!D:D,'All Products'!N:N,FALSE)</f>
        <v>0.47399999999999998</v>
      </c>
      <c r="U127" s="265">
        <f>_xlfn.XLOOKUP(E127,'All Products'!D:D,'All Products'!P:P,FALSE)</f>
        <v>14.025000000000002</v>
      </c>
      <c r="V127" s="265">
        <f>_xlfn.XLOOKUP(E127,'All Products'!D:D,'All Products'!Q:Q,FALSE)</f>
        <v>1.8803145838984718</v>
      </c>
    </row>
    <row r="128" spans="1:22">
      <c r="A128" s="101" t="str">
        <f>IF(K128&gt;0,COUNT($A$8:A127)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28" s="612"/>
      <c r="C128" s="613"/>
      <c r="D128" s="51" t="str">
        <f>_xlfn.XLOOKUP(E128,'All Products'!D:D,'All Products'!C:C,FALSE)</f>
        <v>36-650</v>
      </c>
      <c r="E128" s="52">
        <v>300005588</v>
      </c>
      <c r="F128" s="53" t="str">
        <f>_xlfn.XLOOKUP(E128,'All Products'!D:D,'All Products'!E:E,FALSE)</f>
        <v>4X6X6 FLUSH DOWNSPOUT ADAPTER X H</v>
      </c>
      <c r="G128" s="124">
        <f>_xlfn.XLOOKUP(E128,'All Products'!D:D,'All Products'!F:F,FALSE)</f>
        <v>15</v>
      </c>
      <c r="H128" s="124">
        <f>_xlfn.XLOOKUP(E128,'All Products'!D:D,'All Products'!G:G,FALSE)</f>
        <v>675</v>
      </c>
      <c r="I128" s="123" t="str">
        <f>_xlfn.XLOOKUP(E128,'All Products'!D:D,'All Products'!H:H,FALSE)</f>
        <v>Quote Required</v>
      </c>
      <c r="J128" s="130">
        <f>IFERROR(ROUNDUP(I128*Order_Quote!$L$14,2),0)</f>
        <v>0</v>
      </c>
      <c r="K128" s="118"/>
      <c r="L128" s="76"/>
      <c r="M128" s="114">
        <f t="shared" si="8"/>
        <v>0</v>
      </c>
      <c r="O128" s="215" t="str">
        <f>_xlfn.XLOOKUP(E128,'All Products'!D:D,'All Products'!I:I,FALSE)</f>
        <v>Within 3 Weeks</v>
      </c>
      <c r="P128" s="215" t="str">
        <f>_xlfn.XLOOKUP(E128,'All Products'!D:D,'All Products'!J:J,FALSE)</f>
        <v>Sourced</v>
      </c>
      <c r="Q128" s="266">
        <f>_xlfn.XLOOKUP(E128,'All Products'!D:D,'All Products'!K:K,FALSE)</f>
        <v>812361014073</v>
      </c>
      <c r="R128" s="266" t="str">
        <f>_xlfn.XLOOKUP(E128,'All Products'!D:D,'All Products'!L:L,FALSE)</f>
        <v>-</v>
      </c>
      <c r="S128" s="266" t="str">
        <f>_xlfn.XLOOKUP(E128,'All Products'!D:D,'All Products'!M:M,FALSE)</f>
        <v>-</v>
      </c>
      <c r="T128" s="264">
        <f>_xlfn.XLOOKUP(E128,'All Products'!D:D,'All Products'!N:N,FALSE)</f>
        <v>1.2</v>
      </c>
      <c r="U128" s="265">
        <f>_xlfn.XLOOKUP(E128,'All Products'!D:D,'All Products'!P:P,FALSE)</f>
        <v>18</v>
      </c>
      <c r="V128" s="265" t="str">
        <f>_xlfn.XLOOKUP(E128,'All Products'!D:D,'All Products'!Q:Q,FALSE)</f>
        <v>-</v>
      </c>
    </row>
    <row r="129" spans="1:22">
      <c r="A129" s="101" t="str">
        <f>IF(K129&gt;0,COUNT($A$8:A128)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29" s="615"/>
      <c r="C129" s="615"/>
      <c r="D129" s="51" t="str">
        <f>_xlfn.XLOOKUP(E129,'All Products'!D:D,'All Products'!C:C,FALSE)</f>
        <v>36-651</v>
      </c>
      <c r="E129" s="52">
        <v>300005748</v>
      </c>
      <c r="F129" s="53" t="str">
        <f>_xlfn.XLOOKUP(E129,'All Products'!D:D,'All Products'!E:E,FALSE)</f>
        <v>2X3X3 DOWNSPOUT ADAPTER X H SDR35SW</v>
      </c>
      <c r="G129" s="124">
        <f>_xlfn.XLOOKUP(E129,'All Products'!D:D,'All Products'!F:F,FALSE)</f>
        <v>50</v>
      </c>
      <c r="H129" s="124">
        <f>_xlfn.XLOOKUP(E129,'All Products'!D:D,'All Products'!G:G,FALSE)</f>
        <v>2000</v>
      </c>
      <c r="I129" s="123" t="str">
        <f>_xlfn.XLOOKUP(E129,'All Products'!D:D,'All Products'!H:H,FALSE)</f>
        <v>Quote Required</v>
      </c>
      <c r="J129" s="130">
        <f>IFERROR(ROUNDUP(I129*Order_Quote!$L$14,2),0)</f>
        <v>0</v>
      </c>
      <c r="K129" s="122"/>
      <c r="L129" s="76"/>
      <c r="M129" s="114">
        <f t="shared" si="8"/>
        <v>0</v>
      </c>
      <c r="O129" s="215" t="str">
        <f>_xlfn.XLOOKUP(E129,'All Products'!D:D,'All Products'!I:I,FALSE)</f>
        <v>Within 3 Weeks</v>
      </c>
      <c r="P129" s="215" t="str">
        <f>_xlfn.XLOOKUP(E129,'All Products'!D:D,'All Products'!J:J,FALSE)</f>
        <v>Sourced</v>
      </c>
      <c r="Q129" s="266">
        <f>_xlfn.XLOOKUP(E129,'All Products'!D:D,'All Products'!K:K,FALSE)</f>
        <v>812361014448</v>
      </c>
      <c r="R129" s="266" t="str">
        <f>_xlfn.XLOOKUP(E129,'All Products'!D:D,'All Products'!L:L,FALSE)</f>
        <v>-</v>
      </c>
      <c r="S129" s="266">
        <f>_xlfn.XLOOKUP(E129,'All Products'!D:D,'All Products'!M:M,FALSE)</f>
        <v>10812361014445</v>
      </c>
      <c r="T129" s="264">
        <f>_xlfn.XLOOKUP(E129,'All Products'!D:D,'All Products'!N:N,FALSE)</f>
        <v>0.2</v>
      </c>
      <c r="U129" s="265">
        <f>_xlfn.XLOOKUP(E129,'All Products'!D:D,'All Products'!P:P,FALSE)</f>
        <v>10</v>
      </c>
      <c r="V129" s="265" t="str">
        <f>_xlfn.XLOOKUP(E129,'All Products'!D:D,'All Products'!Q:Q,FALSE)</f>
        <v>-</v>
      </c>
    </row>
    <row r="130" spans="1:22">
      <c r="A130" s="101" t="str">
        <f>IF(K130&gt;0,COUNT($A$8:A129)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30" s="615"/>
      <c r="C130" s="615"/>
      <c r="D130" s="51" t="str">
        <f>_xlfn.XLOOKUP(E130,'All Products'!D:D,'All Products'!C:C,FALSE)</f>
        <v>36-652</v>
      </c>
      <c r="E130" s="52">
        <v>100030862</v>
      </c>
      <c r="F130" s="53" t="str">
        <f>_xlfn.XLOOKUP(E130,'All Products'!D:D,'All Products'!E:E,FALSE)</f>
        <v>2X3X4 DOWNSPOUT ADAPTER X H SDR35SW</v>
      </c>
      <c r="G130" s="124">
        <f>_xlfn.XLOOKUP(E130,'All Products'!D:D,'All Products'!F:F,FALSE)</f>
        <v>50</v>
      </c>
      <c r="H130" s="124">
        <f>_xlfn.XLOOKUP(E130,'All Products'!D:D,'All Products'!G:G,FALSE)</f>
        <v>2000</v>
      </c>
      <c r="I130" s="123">
        <f>_xlfn.XLOOKUP(E130,'All Products'!D:D,'All Products'!H:H,FALSE)</f>
        <v>32.450000000000003</v>
      </c>
      <c r="J130" s="130">
        <f>IFERROR(ROUNDUP(I130*Order_Quote!$L$14,2),0)</f>
        <v>32.450000000000003</v>
      </c>
      <c r="K130" s="118"/>
      <c r="L130" s="76"/>
      <c r="M130" s="114">
        <f t="shared" si="8"/>
        <v>0</v>
      </c>
      <c r="O130" s="215" t="str">
        <f>_xlfn.XLOOKUP(E130,'All Products'!D:D,'All Products'!I:I,FALSE)</f>
        <v>In Stock</v>
      </c>
      <c r="P130" s="215" t="str">
        <f>_xlfn.XLOOKUP(E130,'All Products'!D:D,'All Products'!J:J,FALSE)</f>
        <v>Manufactured</v>
      </c>
      <c r="Q130" s="266">
        <f>_xlfn.XLOOKUP(E130,'All Products'!D:D,'All Products'!K:K,FALSE)</f>
        <v>812361014462</v>
      </c>
      <c r="R130" s="266" t="str">
        <f>_xlfn.XLOOKUP(E130,'All Products'!D:D,'All Products'!L:L,FALSE)</f>
        <v>-</v>
      </c>
      <c r="S130" s="266">
        <f>_xlfn.XLOOKUP(E130,'All Products'!D:D,'All Products'!M:M,FALSE)</f>
        <v>10812361014469</v>
      </c>
      <c r="T130" s="264">
        <f>_xlfn.XLOOKUP(E130,'All Products'!D:D,'All Products'!N:N,FALSE)</f>
        <v>0.371</v>
      </c>
      <c r="U130" s="265">
        <f>_xlfn.XLOOKUP(E130,'All Products'!D:D,'All Products'!P:P,FALSE)</f>
        <v>20.45</v>
      </c>
      <c r="V130" s="265">
        <f>_xlfn.XLOOKUP(E130,'All Products'!D:D,'All Products'!Q:Q,FALSE)</f>
        <v>2.7986077527791204</v>
      </c>
    </row>
    <row r="131" spans="1:22">
      <c r="A131" s="101" t="str">
        <f>IF(K131&gt;0,COUNT($A$8:A130)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31" s="615"/>
      <c r="C131" s="615"/>
      <c r="D131" s="51" t="str">
        <f>_xlfn.XLOOKUP(E131,'All Products'!D:D,'All Products'!C:C,FALSE)</f>
        <v>36-653</v>
      </c>
      <c r="E131" s="52">
        <v>300005478</v>
      </c>
      <c r="F131" s="53" t="str">
        <f>_xlfn.XLOOKUP(E131,'All Products'!D:D,'All Products'!E:E,FALSE)</f>
        <v>3X4X3 DOWNSPOUT ADAPTER X H SDR35SW</v>
      </c>
      <c r="G131" s="124">
        <f>_xlfn.XLOOKUP(E131,'All Products'!D:D,'All Products'!F:F,FALSE)</f>
        <v>65</v>
      </c>
      <c r="H131" s="124" t="str">
        <f>_xlfn.XLOOKUP(E131,'All Products'!D:D,'All Products'!G:G,FALSE)</f>
        <v>-</v>
      </c>
      <c r="I131" s="123" t="str">
        <f>_xlfn.XLOOKUP(E131,'All Products'!D:D,'All Products'!H:H,FALSE)</f>
        <v>Quote Required</v>
      </c>
      <c r="J131" s="130">
        <f>IFERROR(ROUNDUP(I131*Order_Quote!$L$14,2),0)</f>
        <v>0</v>
      </c>
      <c r="K131" s="118"/>
      <c r="L131" s="76"/>
      <c r="M131" s="114">
        <f t="shared" si="8"/>
        <v>0</v>
      </c>
      <c r="O131" s="215" t="str">
        <f>_xlfn.XLOOKUP(E131,'All Products'!D:D,'All Products'!I:I,FALSE)</f>
        <v>Within 6 Weeks</v>
      </c>
      <c r="P131" s="215" t="str">
        <f>_xlfn.XLOOKUP(E131,'All Products'!D:D,'All Products'!J:J,FALSE)</f>
        <v>Sourced</v>
      </c>
      <c r="Q131" s="266">
        <f>_xlfn.XLOOKUP(E131,'All Products'!D:D,'All Products'!K:K,FALSE)</f>
        <v>812361014486</v>
      </c>
      <c r="R131" s="266" t="str">
        <f>_xlfn.XLOOKUP(E131,'All Products'!D:D,'All Products'!L:L,FALSE)</f>
        <v>-</v>
      </c>
      <c r="S131" s="266" t="str">
        <f>_xlfn.XLOOKUP(E131,'All Products'!D:D,'All Products'!M:M,FALSE)</f>
        <v>-</v>
      </c>
      <c r="T131" s="264">
        <f>_xlfn.XLOOKUP(E131,'All Products'!D:D,'All Products'!N:N,FALSE)</f>
        <v>0.5</v>
      </c>
      <c r="U131" s="265">
        <f>_xlfn.XLOOKUP(E131,'All Products'!D:D,'All Products'!P:P,FALSE)</f>
        <v>32.5</v>
      </c>
      <c r="V131" s="265" t="str">
        <f>_xlfn.XLOOKUP(E131,'All Products'!D:D,'All Products'!Q:Q,FALSE)</f>
        <v>-</v>
      </c>
    </row>
    <row r="132" spans="1:22">
      <c r="A132" s="101" t="str">
        <f>IF(K132&gt;0,COUNT($A$8:A131)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+COUNT(Valves!$A$9:$A$91)+1,"")</f>
        <v/>
      </c>
      <c r="B132" s="615"/>
      <c r="C132" s="615"/>
      <c r="D132" s="51" t="str">
        <f>_xlfn.XLOOKUP(E132,'All Products'!D:D,'All Products'!C:C,FALSE)</f>
        <v>36-654</v>
      </c>
      <c r="E132" s="52">
        <v>100029445</v>
      </c>
      <c r="F132" s="53" t="str">
        <f>_xlfn.XLOOKUP(E132,'All Products'!D:D,'All Products'!E:E,FALSE)</f>
        <v>3X4X4 DOWNSPOUT ADAPTER X H SDR35SW</v>
      </c>
      <c r="G132" s="124">
        <f>_xlfn.XLOOKUP(E132,'All Products'!D:D,'All Products'!F:F,FALSE)</f>
        <v>25</v>
      </c>
      <c r="H132" s="124">
        <f>_xlfn.XLOOKUP(E132,'All Products'!D:D,'All Products'!G:G,FALSE)</f>
        <v>1000</v>
      </c>
      <c r="I132" s="123">
        <f>_xlfn.XLOOKUP(E132,'All Products'!D:D,'All Products'!H:H,FALSE)</f>
        <v>51.3</v>
      </c>
      <c r="J132" s="130">
        <f>IFERROR(ROUNDUP(I132*Order_Quote!$L$14,2),0)</f>
        <v>51.3</v>
      </c>
      <c r="K132" s="118"/>
      <c r="L132" s="76"/>
      <c r="M132" s="114">
        <f t="shared" si="8"/>
        <v>0</v>
      </c>
      <c r="O132" s="215" t="str">
        <f>_xlfn.XLOOKUP(E132,'All Products'!D:D,'All Products'!I:I,FALSE)</f>
        <v>In Stock</v>
      </c>
      <c r="P132" s="215" t="str">
        <f>_xlfn.XLOOKUP(E132,'All Products'!D:D,'All Products'!J:J,FALSE)</f>
        <v>Manufactured</v>
      </c>
      <c r="Q132" s="266">
        <f>_xlfn.XLOOKUP(E132,'All Products'!D:D,'All Products'!K:K,FALSE)</f>
        <v>812361014509</v>
      </c>
      <c r="R132" s="266" t="str">
        <f>_xlfn.XLOOKUP(E132,'All Products'!D:D,'All Products'!L:L,FALSE)</f>
        <v>-</v>
      </c>
      <c r="S132" s="266">
        <f>_xlfn.XLOOKUP(E132,'All Products'!D:D,'All Products'!M:M,FALSE)</f>
        <v>10812361014506</v>
      </c>
      <c r="T132" s="264">
        <f>_xlfn.XLOOKUP(E132,'All Products'!D:D,'All Products'!N:N,FALSE)</f>
        <v>0.39</v>
      </c>
      <c r="U132" s="265">
        <f>_xlfn.XLOOKUP(E132,'All Products'!D:D,'All Products'!P:P,FALSE)</f>
        <v>11.600000000000001</v>
      </c>
      <c r="V132" s="265">
        <f>_xlfn.XLOOKUP(E132,'All Products'!D:D,'All Products'!Q:Q,FALSE)</f>
        <v>2.361325291407383</v>
      </c>
    </row>
    <row r="133" spans="1:22">
      <c r="A133" s="101">
        <f>MAX(A9:A132)+1</f>
        <v>1</v>
      </c>
      <c r="B133" s="225"/>
      <c r="C133" s="225"/>
      <c r="D133" s="226"/>
      <c r="E133" s="26"/>
      <c r="F133" s="27"/>
      <c r="G133" s="225"/>
      <c r="H133" s="225"/>
      <c r="I133" s="227"/>
      <c r="J133" s="228"/>
      <c r="K133" s="225"/>
      <c r="L133" s="225"/>
      <c r="M133" s="225"/>
      <c r="O133" s="225"/>
      <c r="P133" s="225"/>
    </row>
    <row r="134" spans="1:22"/>
    <row r="135" spans="1:22"/>
    <row r="136" spans="1:22"/>
    <row r="137" spans="1:22"/>
    <row r="138" spans="1:22"/>
    <row r="139" spans="1:22"/>
    <row r="140" spans="1:22"/>
    <row r="141" spans="1:22"/>
    <row r="142" spans="1:22"/>
    <row r="143" spans="1:22"/>
    <row r="144" spans="1:22"/>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sheetData>
  <sheetProtection algorithmName="SHA-512" hashValue="YmTmJd1i5n1mMdt7I/pM99IaOg17nJxiOqsLovqRjfBhktj6EnVEDLlWHk7UuLw8FAClu2hzOxlqDX/bfDG0Tw==" saltValue="B70NDHdNdrhL/n4olqDNNQ==" spinCount="100000" sheet="1" formatCells="0" formatColumns="0" formatRows="0" insertColumns="0" insertRows="0" insertHyperlinks="0" deleteColumns="0" deleteRows="0" sort="0" autoFilter="0" pivotTables="0"/>
  <mergeCells count="34">
    <mergeCell ref="B111:C114"/>
    <mergeCell ref="Q6:S6"/>
    <mergeCell ref="B56:C58"/>
    <mergeCell ref="B69:C71"/>
    <mergeCell ref="B79:C82"/>
    <mergeCell ref="B72:C75"/>
    <mergeCell ref="B63:C66"/>
    <mergeCell ref="B31:C33"/>
    <mergeCell ref="B14:C17"/>
    <mergeCell ref="B19:C22"/>
    <mergeCell ref="B27:C29"/>
    <mergeCell ref="B23:C26"/>
    <mergeCell ref="J2:K3"/>
    <mergeCell ref="B67:C68"/>
    <mergeCell ref="B36:C38"/>
    <mergeCell ref="B34:C35"/>
    <mergeCell ref="B39:C40"/>
    <mergeCell ref="B9:C12"/>
    <mergeCell ref="B129:C132"/>
    <mergeCell ref="B41:C41"/>
    <mergeCell ref="B91:C97"/>
    <mergeCell ref="B90:C90"/>
    <mergeCell ref="B98:C103"/>
    <mergeCell ref="B104:C104"/>
    <mergeCell ref="B59:C62"/>
    <mergeCell ref="B76:C78"/>
    <mergeCell ref="B105:C106"/>
    <mergeCell ref="B125:C128"/>
    <mergeCell ref="B122:C124"/>
    <mergeCell ref="B109:C110"/>
    <mergeCell ref="B108:C108"/>
    <mergeCell ref="B115:C116"/>
    <mergeCell ref="B119:C120"/>
    <mergeCell ref="B118:C118"/>
  </mergeCells>
  <dataValidations xWindow="895" yWindow="295" count="4">
    <dataValidation type="whole" operator="greaterThanOrEqual" allowBlank="1" showInputMessage="1" showErrorMessage="1" errorTitle="Invalid Entry!" error="An invalid quantity has been entered. Please enter only whole numbers. Click Retry to change entry or Cancel to clear entry." sqref="K133:L65523 L1:L6 K1" xr:uid="{00000000-0002-0000-0800-000000000000}">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00000000-0002-0000-0800-000001000000}">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K6 K107:L108 K121:L121 K117:L117 K7:L83" xr:uid="{00000000-0002-0000-0800-000002000000}">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K108:L116 K118:L132 K84:L106 K9:L82" xr:uid="{00000000-0002-0000-0800-000003000000}">
      <formula1>1</formula1>
    </dataValidation>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rowBreaks count="3" manualBreakCount="3">
    <brk id="108" max="8" man="1"/>
    <brk id="75" max="8" man="1"/>
    <brk id="14" max="8"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0"/>
    <pageSetUpPr fitToPage="1"/>
  </sheetPr>
  <dimension ref="A1:V151"/>
  <sheetViews>
    <sheetView topLeftCell="A3" workbookViewId="0">
      <selection activeCell="K136" sqref="K136"/>
    </sheetView>
  </sheetViews>
  <sheetFormatPr defaultColWidth="9.109375" defaultRowHeight="14.4"/>
  <cols>
    <col min="1" max="1" width="2.33203125" style="5" customWidth="1"/>
    <col min="2" max="3" width="8.6640625" style="2" customWidth="1"/>
    <col min="4" max="5" width="12.6640625" style="2" customWidth="1"/>
    <col min="6" max="6" width="50.6640625" style="8" customWidth="1"/>
    <col min="7" max="8" width="10.6640625" style="230" customWidth="1"/>
    <col min="9" max="9" width="14.6640625" style="7" bestFit="1" customWidth="1"/>
    <col min="10" max="10" width="10.6640625" style="7" customWidth="1"/>
    <col min="11" max="11" width="10.6640625" style="2" customWidth="1"/>
    <col min="12" max="12" width="1.44140625" style="2" customWidth="1"/>
    <col min="13" max="13" width="10.6640625" style="2" customWidth="1"/>
    <col min="14" max="14" width="2.33203125" style="2" customWidth="1"/>
    <col min="15" max="15" width="12.6640625" style="8" customWidth="1"/>
    <col min="16" max="16" width="11.6640625" style="8" customWidth="1"/>
    <col min="17" max="17" width="11.33203125" style="9" bestFit="1" customWidth="1"/>
    <col min="18" max="18" width="9.109375" style="9" customWidth="1"/>
    <col min="19" max="19" width="11.33203125" style="9" bestFit="1" customWidth="1"/>
    <col min="20" max="22" width="9.109375" style="2" customWidth="1"/>
    <col min="23" max="16384" width="9.109375" style="2"/>
  </cols>
  <sheetData>
    <row r="1" spans="1:22" ht="18">
      <c r="F1" s="211" t="s">
        <v>1031</v>
      </c>
      <c r="G1" s="152"/>
      <c r="H1" s="152"/>
      <c r="O1" s="152"/>
      <c r="P1" s="152"/>
    </row>
    <row r="2" spans="1:22" ht="15.6">
      <c r="D2" s="24"/>
      <c r="E2" s="13"/>
      <c r="J2" s="661" t="s">
        <v>59</v>
      </c>
      <c r="K2" s="661"/>
    </row>
    <row r="3" spans="1:22">
      <c r="D3" s="4"/>
      <c r="E3" s="4"/>
      <c r="F3" s="323" t="s">
        <v>1032</v>
      </c>
      <c r="G3" s="4"/>
      <c r="H3" s="4"/>
      <c r="J3" s="661"/>
      <c r="K3" s="661"/>
    </row>
    <row r="4" spans="1:22">
      <c r="E4" s="5" t="s">
        <v>5729</v>
      </c>
      <c r="F4" s="327" t="s">
        <v>5986</v>
      </c>
      <c r="G4" s="4"/>
      <c r="H4" s="4"/>
      <c r="I4" s="25"/>
      <c r="J4" s="10"/>
    </row>
    <row r="5" spans="1:22">
      <c r="F5" s="325" t="s">
        <v>5973</v>
      </c>
      <c r="G5" s="4"/>
      <c r="H5" s="4"/>
      <c r="I5" s="25"/>
      <c r="J5" s="10"/>
    </row>
    <row r="6" spans="1:22">
      <c r="J6" s="10"/>
      <c r="O6" s="353" t="s">
        <v>63</v>
      </c>
      <c r="Q6" s="662" t="s">
        <v>64</v>
      </c>
      <c r="R6" s="662"/>
      <c r="S6" s="662"/>
    </row>
    <row r="7" spans="1:22" s="17" customFormat="1" ht="36" customHeight="1" thickBot="1">
      <c r="A7" s="43"/>
      <c r="B7" s="136"/>
      <c r="C7" s="136"/>
      <c r="D7" s="136" t="s">
        <v>48</v>
      </c>
      <c r="E7" s="136" t="s">
        <v>49</v>
      </c>
      <c r="F7" s="136" t="s">
        <v>50</v>
      </c>
      <c r="G7" s="231" t="s">
        <v>65</v>
      </c>
      <c r="H7" s="231" t="s">
        <v>66</v>
      </c>
      <c r="I7" s="157" t="s">
        <v>51</v>
      </c>
      <c r="J7" s="157" t="s">
        <v>55</v>
      </c>
      <c r="K7" s="158" t="s">
        <v>52</v>
      </c>
      <c r="L7" s="159"/>
      <c r="M7" s="143" t="s">
        <v>67</v>
      </c>
      <c r="O7" s="213" t="s">
        <v>68</v>
      </c>
      <c r="P7" s="213" t="s">
        <v>69</v>
      </c>
      <c r="Q7" s="396" t="s">
        <v>70</v>
      </c>
      <c r="R7" s="396" t="s">
        <v>71</v>
      </c>
      <c r="S7" s="396" t="s">
        <v>72</v>
      </c>
      <c r="T7" s="213" t="s">
        <v>73</v>
      </c>
      <c r="U7" s="213" t="s">
        <v>328</v>
      </c>
      <c r="V7" s="213" t="s">
        <v>329</v>
      </c>
    </row>
    <row r="8" spans="1:22" s="17" customFormat="1" ht="16.2" thickBot="1">
      <c r="A8" s="101"/>
      <c r="B8" s="501" t="s">
        <v>5803</v>
      </c>
      <c r="C8" s="151"/>
      <c r="D8" s="151"/>
      <c r="E8" s="459"/>
      <c r="F8" s="151"/>
      <c r="G8" s="468"/>
      <c r="H8" s="151"/>
      <c r="I8" s="472"/>
      <c r="J8" s="468"/>
      <c r="K8" s="477"/>
      <c r="L8" s="238"/>
      <c r="M8" s="476"/>
      <c r="O8" s="494"/>
      <c r="P8" s="478"/>
      <c r="Q8" s="492"/>
      <c r="R8" s="492"/>
      <c r="S8" s="492"/>
      <c r="T8" s="495"/>
      <c r="U8" s="496"/>
      <c r="V8" s="497"/>
    </row>
    <row r="9" spans="1:22">
      <c r="A9" s="101" t="str">
        <f>IF(K9&gt;0,COUNT($A$8:A8)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9" s="615"/>
      <c r="C9" s="615"/>
      <c r="D9" s="51" t="str">
        <f>_xlfn.XLOOKUP(E9,'All Products'!D:D,'All Products'!C:C,FALSE)</f>
        <v>35-1623</v>
      </c>
      <c r="E9" s="52">
        <v>100029246</v>
      </c>
      <c r="F9" s="53" t="str">
        <f>_xlfn.XLOOKUP(E9,'All Products'!D:D,'All Products'!E:E,FALSE)</f>
        <v>4 CAP SDR35</v>
      </c>
      <c r="G9" s="232">
        <f>_xlfn.XLOOKUP(E9,'All Products'!D:D,'All Products'!F:F,FALSE)</f>
        <v>25</v>
      </c>
      <c r="H9" s="232">
        <f>_xlfn.XLOOKUP(E9,'All Products'!D:D,'All Products'!G:G,FALSE)</f>
        <v>1125</v>
      </c>
      <c r="I9" s="123">
        <f>_xlfn.XLOOKUP(E9,'All Products'!D:D,'All Products'!H:H,FALSE)</f>
        <v>42.08</v>
      </c>
      <c r="J9" s="130">
        <f>IFERROR(ROUNDUP(I9*Order_Quote!$L$15,2),0)</f>
        <v>42.08</v>
      </c>
      <c r="K9" s="122"/>
      <c r="L9" s="76"/>
      <c r="M9" s="114">
        <f>K9/G9</f>
        <v>0</v>
      </c>
      <c r="O9" s="215" t="str">
        <f>_xlfn.XLOOKUP(E9,'All Products'!D:D,'All Products'!I:I,FALSE)</f>
        <v>In Stock</v>
      </c>
      <c r="P9" s="215" t="str">
        <f>_xlfn.XLOOKUP(E9,'All Products'!D:D,'All Products'!J:J,FALSE)</f>
        <v>Manufactured</v>
      </c>
      <c r="Q9" s="266">
        <f>_xlfn.XLOOKUP(E9,'All Products'!D:D,'All Products'!K:K,FALSE)</f>
        <v>810673018437</v>
      </c>
      <c r="R9" s="266" t="str">
        <f>_xlfn.XLOOKUP(E9,'All Products'!D:D,'All Products'!L:L,FALSE)</f>
        <v>-</v>
      </c>
      <c r="S9" s="266">
        <f>_xlfn.XLOOKUP(E9,'All Products'!D:D,'All Products'!M:M,FALSE)</f>
        <v>812361019825</v>
      </c>
      <c r="T9" s="264">
        <f>_xlfn.XLOOKUP(E9,'All Products'!D:D,'All Products'!N:N,FALSE)</f>
        <v>0.46300000000000002</v>
      </c>
      <c r="U9" s="265">
        <f>_xlfn.XLOOKUP(E9,'All Products'!D:D,'All Products'!P:P,FALSE)</f>
        <v>12.775</v>
      </c>
      <c r="V9" s="265">
        <f>_xlfn.XLOOKUP(E9,'All Products'!D:D,'All Products'!Q:Q,FALSE)</f>
        <v>0.98955954024750914</v>
      </c>
    </row>
    <row r="10" spans="1:22">
      <c r="A10" s="101" t="str">
        <f>IF(K10&gt;0,COUNT($A$8:A9)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0" s="615"/>
      <c r="C10" s="615"/>
      <c r="D10" s="51" t="str">
        <f>_xlfn.XLOOKUP(E10,'All Products'!D:D,'All Products'!C:C,FALSE)</f>
        <v>35-1624</v>
      </c>
      <c r="E10" s="52">
        <v>100029247</v>
      </c>
      <c r="F10" s="53" t="str">
        <f>_xlfn.XLOOKUP(E10,'All Products'!D:D,'All Products'!E:E,FALSE)</f>
        <v>6 CAP SDR35</v>
      </c>
      <c r="G10" s="232">
        <f>_xlfn.XLOOKUP(E10,'All Products'!D:D,'All Products'!F:F,FALSE)</f>
        <v>15</v>
      </c>
      <c r="H10" s="232">
        <f>_xlfn.XLOOKUP(E10,'All Products'!D:D,'All Products'!G:G,FALSE)</f>
        <v>360</v>
      </c>
      <c r="I10" s="123">
        <f>_xlfn.XLOOKUP(E10,'All Products'!D:D,'All Products'!H:H,FALSE)</f>
        <v>78.959999999999994</v>
      </c>
      <c r="J10" s="130">
        <f>IFERROR(ROUNDUP(I10*Order_Quote!$L$15,2),0)</f>
        <v>78.959999999999994</v>
      </c>
      <c r="K10" s="118"/>
      <c r="L10" s="76"/>
      <c r="M10" s="114">
        <f>K10/G10</f>
        <v>0</v>
      </c>
      <c r="O10" s="215" t="str">
        <f>_xlfn.XLOOKUP(E10,'All Products'!D:D,'All Products'!I:I,FALSE)</f>
        <v>In Stock</v>
      </c>
      <c r="P10" s="215" t="str">
        <f>_xlfn.XLOOKUP(E10,'All Products'!D:D,'All Products'!J:J,FALSE)</f>
        <v>Manufactured</v>
      </c>
      <c r="Q10" s="266">
        <f>_xlfn.XLOOKUP(E10,'All Products'!D:D,'All Products'!K:K,FALSE)</f>
        <v>810673018451</v>
      </c>
      <c r="R10" s="266" t="str">
        <f>_xlfn.XLOOKUP(E10,'All Products'!D:D,'All Products'!L:L,FALSE)</f>
        <v>-</v>
      </c>
      <c r="S10" s="266">
        <f>_xlfn.XLOOKUP(E10,'All Products'!D:D,'All Products'!M:M,FALSE)</f>
        <v>812361019801</v>
      </c>
      <c r="T10" s="264">
        <f>_xlfn.XLOOKUP(E10,'All Products'!D:D,'All Products'!N:N,FALSE)</f>
        <v>1.202</v>
      </c>
      <c r="U10" s="265">
        <f>_xlfn.XLOOKUP(E10,'All Products'!D:D,'All Products'!P:P,FALSE)</f>
        <v>20.220000000000002</v>
      </c>
      <c r="V10" s="265">
        <f>_xlfn.XLOOKUP(E10,'All Products'!D:D,'All Products'!Q:Q,FALSE)</f>
        <v>1.8803145838984718</v>
      </c>
    </row>
    <row r="11" spans="1:22">
      <c r="A11" s="101" t="str">
        <f>IF(K11&gt;0,COUNT($A$8:A10)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1" s="615"/>
      <c r="C11" s="615"/>
      <c r="D11" s="51" t="str">
        <f>_xlfn.XLOOKUP(E11,'All Products'!D:D,'All Products'!C:C,FALSE)</f>
        <v>35-1625</v>
      </c>
      <c r="E11" s="52">
        <v>100029245</v>
      </c>
      <c r="F11" s="53" t="str">
        <f>_xlfn.XLOOKUP(E11,'All Products'!D:D,'All Products'!E:E,FALSE)</f>
        <v>8 CAP SDR35</v>
      </c>
      <c r="G11" s="232">
        <f>_xlfn.XLOOKUP(E11,'All Products'!D:D,'All Products'!F:F,FALSE)</f>
        <v>8</v>
      </c>
      <c r="H11" s="232">
        <f>_xlfn.XLOOKUP(E11,'All Products'!D:D,'All Products'!G:G,FALSE)</f>
        <v>192</v>
      </c>
      <c r="I11" s="123">
        <f>_xlfn.XLOOKUP(E11,'All Products'!D:D,'All Products'!H:H,FALSE)</f>
        <v>213.04</v>
      </c>
      <c r="J11" s="130">
        <f>IFERROR(ROUNDUP(I11*Order_Quote!$L$15,2),0)</f>
        <v>213.04</v>
      </c>
      <c r="K11" s="118"/>
      <c r="L11" s="76"/>
      <c r="M11" s="114">
        <f>K11/G11</f>
        <v>0</v>
      </c>
      <c r="O11" s="215" t="str">
        <f>_xlfn.XLOOKUP(E11,'All Products'!D:D,'All Products'!I:I,FALSE)</f>
        <v>In Stock</v>
      </c>
      <c r="P11" s="215" t="str">
        <f>_xlfn.XLOOKUP(E11,'All Products'!D:D,'All Products'!J:J,FALSE)</f>
        <v>Manufactured</v>
      </c>
      <c r="Q11" s="266">
        <f>_xlfn.XLOOKUP(E11,'All Products'!D:D,'All Products'!K:K,FALSE)</f>
        <v>810673018475</v>
      </c>
      <c r="R11" s="266" t="str">
        <f>_xlfn.XLOOKUP(E11,'All Products'!D:D,'All Products'!L:L,FALSE)</f>
        <v>-</v>
      </c>
      <c r="S11" s="266">
        <f>_xlfn.XLOOKUP(E11,'All Products'!D:D,'All Products'!M:M,FALSE)</f>
        <v>810673018482</v>
      </c>
      <c r="T11" s="264">
        <f>_xlfn.XLOOKUP(E11,'All Products'!D:D,'All Products'!N:N,FALSE)</f>
        <v>2.2959999999999998</v>
      </c>
      <c r="U11" s="265">
        <f>_xlfn.XLOOKUP(E11,'All Products'!D:D,'All Products'!P:P,FALSE)</f>
        <v>20.544</v>
      </c>
      <c r="V11" s="265">
        <f>_xlfn.XLOOKUP(E11,'All Products'!D:D,'All Products'!Q:Q,FALSE)</f>
        <v>1.8803145838984718</v>
      </c>
    </row>
    <row r="12" spans="1:22">
      <c r="A12" s="101" t="str">
        <f>IF(K12&gt;0,COUNT($A$8:A11)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2" s="615"/>
      <c r="C12" s="615"/>
      <c r="D12" s="51" t="str">
        <f>_xlfn.XLOOKUP(E12,'All Products'!D:D,'All Products'!C:C,FALSE)</f>
        <v>35-83</v>
      </c>
      <c r="E12" s="52">
        <v>300003461</v>
      </c>
      <c r="F12" s="53" t="str">
        <f>_xlfn.XLOOKUP(E12,'All Products'!D:D,'All Products'!E:E,FALSE)</f>
        <v>10 CAP SDR35</v>
      </c>
      <c r="G12" s="232">
        <f>_xlfn.XLOOKUP(E12,'All Products'!D:D,'All Products'!F:F,FALSE)</f>
        <v>1</v>
      </c>
      <c r="H12" s="232">
        <f>_xlfn.XLOOKUP(E12,'All Products'!D:D,'All Products'!G:G,FALSE)</f>
        <v>72</v>
      </c>
      <c r="I12" s="123" t="str">
        <f>_xlfn.XLOOKUP(E12,'All Products'!D:D,'All Products'!H:H,FALSE)</f>
        <v>Quote Required</v>
      </c>
      <c r="J12" s="130">
        <f>IFERROR(ROUNDUP(I12*Order_Quote!$L$15,2),0)</f>
        <v>0</v>
      </c>
      <c r="K12" s="118"/>
      <c r="L12" s="76"/>
      <c r="M12" s="115">
        <f>K12/G12</f>
        <v>0</v>
      </c>
      <c r="O12" s="215" t="str">
        <f>_xlfn.XLOOKUP(E12,'All Products'!D:D,'All Products'!I:I,FALSE)</f>
        <v>Within 6 Weeks</v>
      </c>
      <c r="P12" s="215" t="str">
        <f>_xlfn.XLOOKUP(E12,'All Products'!D:D,'All Products'!J:J,FALSE)</f>
        <v>Sourced</v>
      </c>
      <c r="Q12" s="266">
        <f>_xlfn.XLOOKUP(E12,'All Products'!D:D,'All Products'!K:K,FALSE)</f>
        <v>816842021109</v>
      </c>
      <c r="R12" s="266" t="str">
        <f>_xlfn.XLOOKUP(E12,'All Products'!D:D,'All Products'!L:L,FALSE)</f>
        <v>-</v>
      </c>
      <c r="S12" s="266" t="str">
        <f>_xlfn.XLOOKUP(E12,'All Products'!D:D,'All Products'!M:M,FALSE)</f>
        <v>-</v>
      </c>
      <c r="T12" s="264">
        <f>_xlfn.XLOOKUP(E12,'All Products'!D:D,'All Products'!N:N,FALSE)</f>
        <v>4.72</v>
      </c>
      <c r="U12" s="265">
        <f>_xlfn.XLOOKUP(E12,'All Products'!D:D,'All Products'!P:P,FALSE)</f>
        <v>4.72</v>
      </c>
      <c r="V12" s="265" t="str">
        <f>_xlfn.XLOOKUP(E12,'All Products'!D:D,'All Products'!Q:Q,FALSE)</f>
        <v>-</v>
      </c>
    </row>
    <row r="13" spans="1:22" ht="15" thickBot="1">
      <c r="A13" s="101" t="str">
        <f>IF(K13&gt;0,COUNT($A$8:A12)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3" s="615"/>
      <c r="C13" s="615"/>
      <c r="D13" s="51" t="str">
        <f>_xlfn.XLOOKUP(E13,'All Products'!D:D,'All Products'!C:C,FALSE)</f>
        <v>35-84</v>
      </c>
      <c r="E13" s="52">
        <v>300003519</v>
      </c>
      <c r="F13" s="53" t="str">
        <f>_xlfn.XLOOKUP(E13,'All Products'!D:D,'All Products'!E:E,FALSE)</f>
        <v>12 CAP SDR35</v>
      </c>
      <c r="G13" s="232">
        <f>_xlfn.XLOOKUP(E13,'All Products'!D:D,'All Products'!F:F,FALSE)</f>
        <v>1</v>
      </c>
      <c r="H13" s="232">
        <f>_xlfn.XLOOKUP(E13,'All Products'!D:D,'All Products'!G:G,FALSE)</f>
        <v>40</v>
      </c>
      <c r="I13" s="123" t="str">
        <f>_xlfn.XLOOKUP(E13,'All Products'!D:D,'All Products'!H:H,FALSE)</f>
        <v>Quote Required</v>
      </c>
      <c r="J13" s="130">
        <f>IFERROR(ROUNDUP(I13*Order_Quote!$L$15,2),0)</f>
        <v>0</v>
      </c>
      <c r="K13" s="118"/>
      <c r="L13" s="76"/>
      <c r="M13" s="114">
        <f>K13/G13</f>
        <v>0</v>
      </c>
      <c r="O13" s="215" t="str">
        <f>_xlfn.XLOOKUP(E13,'All Products'!D:D,'All Products'!I:I,FALSE)</f>
        <v>Within 6 Weeks</v>
      </c>
      <c r="P13" s="215" t="str">
        <f>_xlfn.XLOOKUP(E13,'All Products'!D:D,'All Products'!J:J,FALSE)</f>
        <v>Sourced</v>
      </c>
      <c r="Q13" s="266">
        <f>_xlfn.XLOOKUP(E13,'All Products'!D:D,'All Products'!K:K,FALSE)</f>
        <v>812361011966</v>
      </c>
      <c r="R13" s="266" t="str">
        <f>_xlfn.XLOOKUP(E13,'All Products'!D:D,'All Products'!L:L,FALSE)</f>
        <v>-</v>
      </c>
      <c r="S13" s="266" t="str">
        <f>_xlfn.XLOOKUP(E13,'All Products'!D:D,'All Products'!M:M,FALSE)</f>
        <v>-</v>
      </c>
      <c r="T13" s="264">
        <f>_xlfn.XLOOKUP(E13,'All Products'!D:D,'All Products'!N:N,FALSE)</f>
        <v>8.3000000000000007</v>
      </c>
      <c r="U13" s="265">
        <f>_xlfn.XLOOKUP(E13,'All Products'!D:D,'All Products'!P:P,FALSE)</f>
        <v>8.3000000000000007</v>
      </c>
      <c r="V13" s="265" t="str">
        <f>_xlfn.XLOOKUP(E13,'All Products'!D:D,'All Products'!Q:Q,FALSE)</f>
        <v>-</v>
      </c>
    </row>
    <row r="14" spans="1:22" s="17" customFormat="1" ht="16.2" thickBot="1">
      <c r="A14" s="101" t="str">
        <f>IF(K14&gt;0,COUNT($A$8:A13)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4" s="501" t="s">
        <v>5797</v>
      </c>
      <c r="C14" s="151"/>
      <c r="D14" s="151"/>
      <c r="E14" s="459"/>
      <c r="F14" s="151"/>
      <c r="G14" s="468"/>
      <c r="H14" s="151"/>
      <c r="I14" s="472"/>
      <c r="J14" s="468"/>
      <c r="K14" s="477"/>
      <c r="L14" s="238"/>
      <c r="M14" s="476"/>
      <c r="O14" s="494"/>
      <c r="P14" s="478"/>
      <c r="Q14" s="492"/>
      <c r="R14" s="492"/>
      <c r="S14" s="492"/>
      <c r="T14" s="495"/>
      <c r="U14" s="496"/>
      <c r="V14" s="497"/>
    </row>
    <row r="15" spans="1:22">
      <c r="A15" s="101" t="str">
        <f>IF(K15&gt;0,COUNT($A$8:A14)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5" s="109"/>
      <c r="C15" s="76"/>
      <c r="D15" s="51" t="str">
        <f>_xlfn.XLOOKUP(E15,'All Products'!D:D,'All Products'!C:C,FALSE)</f>
        <v>35-1549</v>
      </c>
      <c r="E15" s="52">
        <v>100029395</v>
      </c>
      <c r="F15" s="53" t="str">
        <f>_xlfn.XLOOKUP(E15,'All Products'!D:D,'All Products'!E:E,FALSE)</f>
        <v>4 REPAIR COUPLING GXG SDR35</v>
      </c>
      <c r="G15" s="232">
        <f>_xlfn.XLOOKUP(E15,'All Products'!D:D,'All Products'!F:F,FALSE)</f>
        <v>20</v>
      </c>
      <c r="H15" s="232">
        <f>_xlfn.XLOOKUP(E15,'All Products'!D:D,'All Products'!G:G,FALSE)</f>
        <v>480</v>
      </c>
      <c r="I15" s="123">
        <f>_xlfn.XLOOKUP(E15,'All Products'!D:D,'All Products'!H:H,FALSE)</f>
        <v>80.62</v>
      </c>
      <c r="J15" s="130">
        <f>IFERROR(ROUNDUP(I15*Order_Quote!$L$15,2),0)</f>
        <v>80.62</v>
      </c>
      <c r="K15" s="122"/>
      <c r="L15" s="76"/>
      <c r="M15" s="115">
        <f t="shared" ref="M15:M24" si="0">K15/G15</f>
        <v>0</v>
      </c>
      <c r="O15" s="215" t="str">
        <f>_xlfn.XLOOKUP(E15,'All Products'!D:D,'All Products'!I:I,FALSE)</f>
        <v>In Stock</v>
      </c>
      <c r="P15" s="215" t="str">
        <f>_xlfn.XLOOKUP(E15,'All Products'!D:D,'All Products'!J:J,FALSE)</f>
        <v>Manufactured</v>
      </c>
      <c r="Q15" s="266">
        <f>_xlfn.XLOOKUP(E15,'All Products'!D:D,'All Products'!K:K,FALSE)</f>
        <v>810673016693</v>
      </c>
      <c r="R15" s="266" t="str">
        <f>_xlfn.XLOOKUP(E15,'All Products'!D:D,'All Products'!L:L,FALSE)</f>
        <v>-</v>
      </c>
      <c r="S15" s="266">
        <f>_xlfn.XLOOKUP(E15,'All Products'!D:D,'All Products'!M:M,FALSE)</f>
        <v>812361012192</v>
      </c>
      <c r="T15" s="264">
        <f>_xlfn.XLOOKUP(E15,'All Products'!D:D,'All Products'!N:N,FALSE)</f>
        <v>1.1299999999999999</v>
      </c>
      <c r="U15" s="265">
        <f>_xlfn.XLOOKUP(E15,'All Products'!D:D,'All Products'!P:P,FALSE)</f>
        <v>24.78</v>
      </c>
      <c r="V15" s="265">
        <f>_xlfn.XLOOKUP(E15,'All Products'!D:D,'All Products'!Q:Q,FALSE)</f>
        <v>1.8803145838984718</v>
      </c>
    </row>
    <row r="16" spans="1:22">
      <c r="A16" s="101" t="str">
        <f>IF(K16&gt;0,COUNT($A$8:A15)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6" s="109"/>
      <c r="C16" s="76"/>
      <c r="D16" s="51" t="str">
        <f>_xlfn.XLOOKUP(E16,'All Products'!D:D,'All Products'!C:C,FALSE)</f>
        <v>35-1550</v>
      </c>
      <c r="E16" s="52">
        <v>100029396</v>
      </c>
      <c r="F16" s="53" t="str">
        <f>_xlfn.XLOOKUP(E16,'All Products'!D:D,'All Products'!E:E,FALSE)</f>
        <v>6 REPAIR COUPLING GXG SDR35</v>
      </c>
      <c r="G16" s="232">
        <f>_xlfn.XLOOKUP(E16,'All Products'!D:D,'All Products'!F:F,FALSE)</f>
        <v>1</v>
      </c>
      <c r="H16" s="232">
        <f>_xlfn.XLOOKUP(E16,'All Products'!D:D,'All Products'!G:G,FALSE)</f>
        <v>150</v>
      </c>
      <c r="I16" s="123">
        <f>_xlfn.XLOOKUP(E16,'All Products'!D:D,'All Products'!H:H,FALSE)</f>
        <v>160.93</v>
      </c>
      <c r="J16" s="130">
        <f>IFERROR(ROUNDUP(I16*Order_Quote!$L$15,2),0)</f>
        <v>160.93</v>
      </c>
      <c r="K16" s="118"/>
      <c r="L16" s="76"/>
      <c r="M16" s="114">
        <f t="shared" si="0"/>
        <v>0</v>
      </c>
      <c r="O16" s="215" t="str">
        <f>_xlfn.XLOOKUP(E16,'All Products'!D:D,'All Products'!I:I,FALSE)</f>
        <v>In Stock</v>
      </c>
      <c r="P16" s="215" t="str">
        <f>_xlfn.XLOOKUP(E16,'All Products'!D:D,'All Products'!J:J,FALSE)</f>
        <v>Manufactured</v>
      </c>
      <c r="Q16" s="266">
        <f>_xlfn.XLOOKUP(E16,'All Products'!D:D,'All Products'!K:K,FALSE)</f>
        <v>810673016716</v>
      </c>
      <c r="R16" s="266" t="str">
        <f>_xlfn.XLOOKUP(E16,'All Products'!D:D,'All Products'!L:L,FALSE)</f>
        <v>-</v>
      </c>
      <c r="S16" s="266">
        <f>_xlfn.XLOOKUP(E16,'All Products'!D:D,'All Products'!M:M,FALSE)</f>
        <v>812361016848</v>
      </c>
      <c r="T16" s="264">
        <f>_xlfn.XLOOKUP(E16,'All Products'!D:D,'All Products'!N:N,FALSE)</f>
        <v>2.5979999999999999</v>
      </c>
      <c r="U16" s="265">
        <f>_xlfn.XLOOKUP(E16,'All Products'!D:D,'All Products'!P:P,FALSE)</f>
        <v>510.74999999999994</v>
      </c>
      <c r="V16" s="265">
        <f>_xlfn.XLOOKUP(E16,'All Products'!D:D,'All Products'!Q:Q,FALSE)</f>
        <v>53.333269333358928</v>
      </c>
    </row>
    <row r="17" spans="1:22">
      <c r="A17" s="101" t="str">
        <f>IF(K17&gt;0,COUNT($A$8:A16)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7" s="109"/>
      <c r="C17" s="76"/>
      <c r="D17" s="51" t="str">
        <f>_xlfn.XLOOKUP(E17,'All Products'!D:D,'All Products'!C:C,FALSE)</f>
        <v>35-1551</v>
      </c>
      <c r="E17" s="52">
        <v>100029397</v>
      </c>
      <c r="F17" s="53" t="str">
        <f>_xlfn.XLOOKUP(E17,'All Products'!D:D,'All Products'!E:E,FALSE)</f>
        <v>8 REPAIR COUPLING GXG SDR35</v>
      </c>
      <c r="G17" s="232">
        <f>_xlfn.XLOOKUP(E17,'All Products'!D:D,'All Products'!F:F,FALSE)</f>
        <v>1</v>
      </c>
      <c r="H17" s="232">
        <f>_xlfn.XLOOKUP(E17,'All Products'!D:D,'All Products'!G:G,FALSE)</f>
        <v>80</v>
      </c>
      <c r="I17" s="123">
        <f>_xlfn.XLOOKUP(E17,'All Products'!D:D,'All Products'!H:H,FALSE)</f>
        <v>273.38</v>
      </c>
      <c r="J17" s="130">
        <f>IFERROR(ROUNDUP(I17*Order_Quote!$L$15,2),0)</f>
        <v>273.38</v>
      </c>
      <c r="K17" s="118"/>
      <c r="L17" s="76"/>
      <c r="M17" s="114">
        <f t="shared" si="0"/>
        <v>0</v>
      </c>
      <c r="O17" s="215" t="str">
        <f>_xlfn.XLOOKUP(E17,'All Products'!D:D,'All Products'!I:I,FALSE)</f>
        <v>In Stock</v>
      </c>
      <c r="P17" s="215" t="str">
        <f>_xlfn.XLOOKUP(E17,'All Products'!D:D,'All Products'!J:J,FALSE)</f>
        <v>Manufactured</v>
      </c>
      <c r="Q17" s="266">
        <f>_xlfn.XLOOKUP(E17,'All Products'!D:D,'All Products'!K:K,FALSE)</f>
        <v>810673016730</v>
      </c>
      <c r="R17" s="266" t="str">
        <f>_xlfn.XLOOKUP(E17,'All Products'!D:D,'All Products'!L:L,FALSE)</f>
        <v>-</v>
      </c>
      <c r="S17" s="266">
        <f>_xlfn.XLOOKUP(E17,'All Products'!D:D,'All Products'!M:M,FALSE)</f>
        <v>812361016176</v>
      </c>
      <c r="T17" s="264">
        <f>_xlfn.XLOOKUP(E17,'All Products'!D:D,'All Products'!N:N,FALSE)</f>
        <v>4.1859999999999999</v>
      </c>
      <c r="U17" s="265">
        <f>_xlfn.XLOOKUP(E17,'All Products'!D:D,'All Products'!P:P,FALSE)</f>
        <v>453.84000000000003</v>
      </c>
      <c r="V17" s="265">
        <f>_xlfn.XLOOKUP(E17,'All Products'!D:D,'All Products'!Q:Q,FALSE)</f>
        <v>53.333269333358928</v>
      </c>
    </row>
    <row r="18" spans="1:22">
      <c r="A18" s="101" t="str">
        <f>IF(K18&gt;0,COUNT($A$8:A17)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8" s="109"/>
      <c r="C18" s="76"/>
      <c r="D18" s="51" t="str">
        <f>_xlfn.XLOOKUP(E18,'All Products'!D:D,'All Products'!C:C,FALSE)</f>
        <v>35-230</v>
      </c>
      <c r="E18" s="52">
        <v>100029404</v>
      </c>
      <c r="F18" s="53" t="str">
        <f>_xlfn.XLOOKUP(E18,'All Products'!D:D,'All Products'!E:E,FALSE)</f>
        <v>10 REPAIR COUPLING GXG SDR35</v>
      </c>
      <c r="G18" s="232">
        <f>_xlfn.XLOOKUP(E18,'All Products'!D:D,'All Products'!F:F,FALSE)</f>
        <v>1</v>
      </c>
      <c r="H18" s="232">
        <f>_xlfn.XLOOKUP(E18,'All Products'!D:D,'All Products'!G:G,FALSE)</f>
        <v>36</v>
      </c>
      <c r="I18" s="123">
        <f>_xlfn.XLOOKUP(E18,'All Products'!D:D,'All Products'!H:H,FALSE)</f>
        <v>606.71</v>
      </c>
      <c r="J18" s="130">
        <f>IFERROR(ROUNDUP(I18*Order_Quote!$L$15,2),0)</f>
        <v>606.71</v>
      </c>
      <c r="K18" s="118"/>
      <c r="L18" s="76"/>
      <c r="M18" s="114">
        <f t="shared" si="0"/>
        <v>0</v>
      </c>
      <c r="O18" s="215" t="str">
        <f>_xlfn.XLOOKUP(E18,'All Products'!D:D,'All Products'!I:I,FALSE)</f>
        <v>In Stock</v>
      </c>
      <c r="P18" s="215" t="str">
        <f>_xlfn.XLOOKUP(E18,'All Products'!D:D,'All Products'!J:J,FALSE)</f>
        <v>Manufactured</v>
      </c>
      <c r="Q18" s="266">
        <f>_xlfn.XLOOKUP(E18,'All Products'!D:D,'All Products'!K:K,FALSE)</f>
        <v>810673016754</v>
      </c>
      <c r="R18" s="266" t="str">
        <f>_xlfn.XLOOKUP(E18,'All Products'!D:D,'All Products'!L:L,FALSE)</f>
        <v>-</v>
      </c>
      <c r="S18" s="266">
        <f>_xlfn.XLOOKUP(E18,'All Products'!D:D,'All Products'!M:M,FALSE)</f>
        <v>812361016855</v>
      </c>
      <c r="T18" s="264">
        <f>_xlfn.XLOOKUP(E18,'All Products'!D:D,'All Products'!N:N,FALSE)</f>
        <v>7.6520000000000001</v>
      </c>
      <c r="U18" s="265">
        <f>_xlfn.XLOOKUP(E18,'All Products'!D:D,'All Products'!P:P,FALSE)</f>
        <v>389.84400000000005</v>
      </c>
      <c r="V18" s="265">
        <f>_xlfn.XLOOKUP(E18,'All Products'!D:D,'All Products'!Q:Q,FALSE)</f>
        <v>53.333269333358928</v>
      </c>
    </row>
    <row r="19" spans="1:22">
      <c r="A19" s="101" t="str">
        <f>IF(K19&gt;0,COUNT($A$8:A18)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9" s="109"/>
      <c r="C19" s="76"/>
      <c r="D19" s="51" t="str">
        <f>_xlfn.XLOOKUP(E19,'All Products'!D:D,'All Products'!C:C,FALSE)</f>
        <v>35-231</v>
      </c>
      <c r="E19" s="52">
        <v>300005850</v>
      </c>
      <c r="F19" s="53" t="str">
        <f>_xlfn.XLOOKUP(E19,'All Products'!D:D,'All Products'!E:E,FALSE)</f>
        <v>12 REPAIR COUPLING GXG SDR35</v>
      </c>
      <c r="G19" s="232">
        <f>_xlfn.XLOOKUP(E19,'All Products'!D:D,'All Products'!F:F,FALSE)</f>
        <v>1</v>
      </c>
      <c r="H19" s="232">
        <f>_xlfn.XLOOKUP(E19,'All Products'!D:D,'All Products'!G:G,FALSE)</f>
        <v>18</v>
      </c>
      <c r="I19" s="123" t="str">
        <f>_xlfn.XLOOKUP(E19,'All Products'!D:D,'All Products'!H:H,FALSE)</f>
        <v>Quote Required</v>
      </c>
      <c r="J19" s="130">
        <f>IFERROR(ROUNDUP(I19*Order_Quote!$L$15,2),0)</f>
        <v>0</v>
      </c>
      <c r="K19" s="118"/>
      <c r="L19" s="76"/>
      <c r="M19" s="115">
        <f t="shared" si="0"/>
        <v>0</v>
      </c>
      <c r="O19" s="215" t="str">
        <f>_xlfn.XLOOKUP(E19,'All Products'!D:D,'All Products'!I:I,FALSE)</f>
        <v>Within 6 Weeks</v>
      </c>
      <c r="P19" s="215" t="str">
        <f>_xlfn.XLOOKUP(E19,'All Products'!D:D,'All Products'!J:J,FALSE)</f>
        <v>Sourced</v>
      </c>
      <c r="Q19" s="266">
        <f>_xlfn.XLOOKUP(E19,'All Products'!D:D,'All Products'!K:K,FALSE)</f>
        <v>810673016778</v>
      </c>
      <c r="R19" s="266" t="str">
        <f>_xlfn.XLOOKUP(E19,'All Products'!D:D,'All Products'!L:L,FALSE)</f>
        <v>-</v>
      </c>
      <c r="S19" s="266" t="str">
        <f>_xlfn.XLOOKUP(E19,'All Products'!D:D,'All Products'!M:M,FALSE)</f>
        <v>-</v>
      </c>
      <c r="T19" s="264">
        <f>_xlfn.XLOOKUP(E19,'All Products'!D:D,'All Products'!N:N,FALSE)</f>
        <v>11.98</v>
      </c>
      <c r="U19" s="265">
        <f>_xlfn.XLOOKUP(E19,'All Products'!D:D,'All Products'!P:P,FALSE)</f>
        <v>11.98</v>
      </c>
      <c r="V19" s="265" t="str">
        <f>_xlfn.XLOOKUP(E19,'All Products'!D:D,'All Products'!Q:Q,FALSE)</f>
        <v>-</v>
      </c>
    </row>
    <row r="20" spans="1:22">
      <c r="A20" s="101" t="str">
        <f>IF(K20&gt;0,COUNT($A$8:A19)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20" s="107"/>
      <c r="C20" s="108"/>
      <c r="D20" s="51" t="str">
        <f>_xlfn.XLOOKUP(E20,'All Products'!D:D,'All Products'!C:C,FALSE)</f>
        <v>35-1546</v>
      </c>
      <c r="E20" s="52">
        <v>100029386</v>
      </c>
      <c r="F20" s="53" t="str">
        <f>_xlfn.XLOOKUP(E20,'All Products'!D:D,'All Products'!E:E,FALSE)</f>
        <v>4 STOP COUPLING GXG SDR35</v>
      </c>
      <c r="G20" s="232">
        <f>_xlfn.XLOOKUP(E20,'All Products'!D:D,'All Products'!F:F,FALSE)</f>
        <v>20</v>
      </c>
      <c r="H20" s="232">
        <f>_xlfn.XLOOKUP(E20,'All Products'!D:D,'All Products'!G:G,FALSE)</f>
        <v>480</v>
      </c>
      <c r="I20" s="123">
        <f>_xlfn.XLOOKUP(E20,'All Products'!D:D,'All Products'!H:H,FALSE)</f>
        <v>80.62</v>
      </c>
      <c r="J20" s="130">
        <f>IFERROR(ROUNDUP(I20*Order_Quote!$L$15,2),0)</f>
        <v>80.62</v>
      </c>
      <c r="K20" s="122"/>
      <c r="L20" s="76"/>
      <c r="M20" s="114">
        <f t="shared" si="0"/>
        <v>0</v>
      </c>
      <c r="O20" s="215" t="str">
        <f>_xlfn.XLOOKUP(E20,'All Products'!D:D,'All Products'!I:I,FALSE)</f>
        <v>In Stock</v>
      </c>
      <c r="P20" s="215" t="str">
        <f>_xlfn.XLOOKUP(E20,'All Products'!D:D,'All Products'!J:J,FALSE)</f>
        <v>Manufactured</v>
      </c>
      <c r="Q20" s="266">
        <f>_xlfn.XLOOKUP(E20,'All Products'!D:D,'All Products'!K:K,FALSE)</f>
        <v>810673016600</v>
      </c>
      <c r="R20" s="266" t="str">
        <f>_xlfn.XLOOKUP(E20,'All Products'!D:D,'All Products'!L:L,FALSE)</f>
        <v>-</v>
      </c>
      <c r="S20" s="266">
        <f>_xlfn.XLOOKUP(E20,'All Products'!D:D,'All Products'!M:M,FALSE)</f>
        <v>812361012185</v>
      </c>
      <c r="T20" s="264">
        <f>_xlfn.XLOOKUP(E20,'All Products'!D:D,'All Products'!N:N,FALSE)</f>
        <v>1.1519999999999999</v>
      </c>
      <c r="U20" s="265">
        <f>_xlfn.XLOOKUP(E20,'All Products'!D:D,'All Products'!P:P,FALSE)</f>
        <v>25.22</v>
      </c>
      <c r="V20" s="265">
        <f>_xlfn.XLOOKUP(E20,'All Products'!D:D,'All Products'!Q:Q,FALSE)</f>
        <v>1.8803145838984718</v>
      </c>
    </row>
    <row r="21" spans="1:22">
      <c r="A21" s="101" t="str">
        <f>IF(K21&gt;0,COUNT($A$8:A20)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21" s="109"/>
      <c r="C21" s="76"/>
      <c r="D21" s="51" t="str">
        <f>_xlfn.XLOOKUP(E21,'All Products'!D:D,'All Products'!C:C,FALSE)</f>
        <v>35-1547</v>
      </c>
      <c r="E21" s="52">
        <v>100029387</v>
      </c>
      <c r="F21" s="53" t="str">
        <f>_xlfn.XLOOKUP(E21,'All Products'!D:D,'All Products'!E:E,FALSE)</f>
        <v>6 STOP COUPLING GXG SDR35</v>
      </c>
      <c r="G21" s="232">
        <f>_xlfn.XLOOKUP(E21,'All Products'!D:D,'All Products'!F:F,FALSE)</f>
        <v>1</v>
      </c>
      <c r="H21" s="232">
        <f>_xlfn.XLOOKUP(E21,'All Products'!D:D,'All Products'!G:G,FALSE)</f>
        <v>150</v>
      </c>
      <c r="I21" s="123">
        <f>_xlfn.XLOOKUP(E21,'All Products'!D:D,'All Products'!H:H,FALSE)</f>
        <v>160.93</v>
      </c>
      <c r="J21" s="130">
        <f>IFERROR(ROUNDUP(I21*Order_Quote!$L$15,2),0)</f>
        <v>160.93</v>
      </c>
      <c r="K21" s="118"/>
      <c r="L21" s="76"/>
      <c r="M21" s="114">
        <f t="shared" si="0"/>
        <v>0</v>
      </c>
      <c r="O21" s="215" t="str">
        <f>_xlfn.XLOOKUP(E21,'All Products'!D:D,'All Products'!I:I,FALSE)</f>
        <v>Within 3 Weeks</v>
      </c>
      <c r="P21" s="215" t="str">
        <f>_xlfn.XLOOKUP(E21,'All Products'!D:D,'All Products'!J:J,FALSE)</f>
        <v>Manufactured</v>
      </c>
      <c r="Q21" s="266">
        <f>_xlfn.XLOOKUP(E21,'All Products'!D:D,'All Products'!K:K,FALSE)</f>
        <v>810673016624</v>
      </c>
      <c r="R21" s="266" t="str">
        <f>_xlfn.XLOOKUP(E21,'All Products'!D:D,'All Products'!L:L,FALSE)</f>
        <v>-</v>
      </c>
      <c r="S21" s="266">
        <f>_xlfn.XLOOKUP(E21,'All Products'!D:D,'All Products'!M:M,FALSE)</f>
        <v>812361016626</v>
      </c>
      <c r="T21" s="264">
        <f>_xlfn.XLOOKUP(E21,'All Products'!D:D,'All Products'!N:N,FALSE)</f>
        <v>2.6680000000000001</v>
      </c>
      <c r="U21" s="265">
        <f>_xlfn.XLOOKUP(E21,'All Products'!D:D,'All Products'!P:P,FALSE)</f>
        <v>400.20000000000005</v>
      </c>
      <c r="V21" s="265">
        <f>_xlfn.XLOOKUP(E21,'All Products'!D:D,'All Products'!Q:Q,FALSE)</f>
        <v>53.333269333358928</v>
      </c>
    </row>
    <row r="22" spans="1:22">
      <c r="A22" s="101" t="str">
        <f>IF(K22&gt;0,COUNT($A$8:A21)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22" s="109"/>
      <c r="C22" s="76"/>
      <c r="D22" s="51" t="str">
        <f>_xlfn.XLOOKUP(E22,'All Products'!D:D,'All Products'!C:C,FALSE)</f>
        <v>35-1548</v>
      </c>
      <c r="E22" s="52">
        <v>100029388</v>
      </c>
      <c r="F22" s="53" t="str">
        <f>_xlfn.XLOOKUP(E22,'All Products'!D:D,'All Products'!E:E,FALSE)</f>
        <v>8 STOP COUPLING GXG SDR35</v>
      </c>
      <c r="G22" s="232">
        <f>_xlfn.XLOOKUP(E22,'All Products'!D:D,'All Products'!F:F,FALSE)</f>
        <v>1</v>
      </c>
      <c r="H22" s="232">
        <f>_xlfn.XLOOKUP(E22,'All Products'!D:D,'All Products'!G:G,FALSE)</f>
        <v>80</v>
      </c>
      <c r="I22" s="123">
        <f>_xlfn.XLOOKUP(E22,'All Products'!D:D,'All Products'!H:H,FALSE)</f>
        <v>273.38</v>
      </c>
      <c r="J22" s="130">
        <f>IFERROR(ROUNDUP(I22*Order_Quote!$L$15,2),0)</f>
        <v>273.38</v>
      </c>
      <c r="K22" s="118"/>
      <c r="L22" s="76"/>
      <c r="M22" s="115">
        <f t="shared" si="0"/>
        <v>0</v>
      </c>
      <c r="O22" s="215" t="str">
        <f>_xlfn.XLOOKUP(E22,'All Products'!D:D,'All Products'!I:I,FALSE)</f>
        <v>Within 3 Weeks</v>
      </c>
      <c r="P22" s="215" t="str">
        <f>_xlfn.XLOOKUP(E22,'All Products'!D:D,'All Products'!J:J,FALSE)</f>
        <v>Manufactured</v>
      </c>
      <c r="Q22" s="266">
        <f>_xlfn.XLOOKUP(E22,'All Products'!D:D,'All Products'!K:K,FALSE)</f>
        <v>810673016648</v>
      </c>
      <c r="R22" s="266" t="str">
        <f>_xlfn.XLOOKUP(E22,'All Products'!D:D,'All Products'!L:L,FALSE)</f>
        <v>-</v>
      </c>
      <c r="S22" s="266">
        <f>_xlfn.XLOOKUP(E22,'All Products'!D:D,'All Products'!M:M,FALSE)</f>
        <v>812361016442</v>
      </c>
      <c r="T22" s="264">
        <f>_xlfn.XLOOKUP(E22,'All Products'!D:D,'All Products'!N:N,FALSE)</f>
        <v>4.3499999999999996</v>
      </c>
      <c r="U22" s="265">
        <f>_xlfn.XLOOKUP(E22,'All Products'!D:D,'All Products'!P:P,FALSE)</f>
        <v>348</v>
      </c>
      <c r="V22" s="265">
        <f>_xlfn.XLOOKUP(E22,'All Products'!D:D,'All Products'!Q:Q,FALSE)</f>
        <v>53.333269333358928</v>
      </c>
    </row>
    <row r="23" spans="1:22">
      <c r="A23" s="101" t="str">
        <f>IF(K23&gt;0,COUNT($A$8:A22)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23" s="109"/>
      <c r="C23" s="76"/>
      <c r="D23" s="51" t="str">
        <f>_xlfn.XLOOKUP(E23,'All Products'!D:D,'All Products'!C:C,FALSE)</f>
        <v>35-236</v>
      </c>
      <c r="E23" s="52">
        <v>300005845</v>
      </c>
      <c r="F23" s="53" t="str">
        <f>_xlfn.XLOOKUP(E23,'All Products'!D:D,'All Products'!E:E,FALSE)</f>
        <v>10 STOP COUPLING GXG SDR35</v>
      </c>
      <c r="G23" s="232">
        <f>_xlfn.XLOOKUP(E23,'All Products'!D:D,'All Products'!F:F,FALSE)</f>
        <v>1</v>
      </c>
      <c r="H23" s="232">
        <f>_xlfn.XLOOKUP(E23,'All Products'!D:D,'All Products'!G:G,FALSE)</f>
        <v>36</v>
      </c>
      <c r="I23" s="123" t="str">
        <f>_xlfn.XLOOKUP(E23,'All Products'!D:D,'All Products'!H:H,FALSE)</f>
        <v>Quote Required</v>
      </c>
      <c r="J23" s="130">
        <f>IFERROR(ROUNDUP(I23*Order_Quote!$L$15,2),0)</f>
        <v>0</v>
      </c>
      <c r="K23" s="118"/>
      <c r="L23" s="76"/>
      <c r="M23" s="114">
        <f t="shared" si="0"/>
        <v>0</v>
      </c>
      <c r="O23" s="215" t="str">
        <f>_xlfn.XLOOKUP(E23,'All Products'!D:D,'All Products'!I:I,FALSE)</f>
        <v>Within 6 Weeks</v>
      </c>
      <c r="P23" s="215" t="str">
        <f>_xlfn.XLOOKUP(E23,'All Products'!D:D,'All Products'!J:J,FALSE)</f>
        <v>Sourced</v>
      </c>
      <c r="Q23" s="266">
        <f>_xlfn.XLOOKUP(E23,'All Products'!D:D,'All Products'!K:K,FALSE)</f>
        <v>810673016662</v>
      </c>
      <c r="R23" s="266" t="str">
        <f>_xlfn.XLOOKUP(E23,'All Products'!D:D,'All Products'!L:L,FALSE)</f>
        <v>-</v>
      </c>
      <c r="S23" s="266" t="str">
        <f>_xlfn.XLOOKUP(E23,'All Products'!D:D,'All Products'!M:M,FALSE)</f>
        <v>-</v>
      </c>
      <c r="T23" s="264">
        <f>_xlfn.XLOOKUP(E23,'All Products'!D:D,'All Products'!N:N,FALSE)</f>
        <v>6.64</v>
      </c>
      <c r="U23" s="265">
        <f>_xlfn.XLOOKUP(E23,'All Products'!D:D,'All Products'!P:P,FALSE)</f>
        <v>6.64</v>
      </c>
      <c r="V23" s="265" t="str">
        <f>_xlfn.XLOOKUP(E23,'All Products'!D:D,'All Products'!Q:Q,FALSE)</f>
        <v>-</v>
      </c>
    </row>
    <row r="24" spans="1:22" ht="15" thickBot="1">
      <c r="A24" s="101" t="str">
        <f>IF(K24&gt;0,COUNT($A$8:A23)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24" s="110"/>
      <c r="C24" s="111"/>
      <c r="D24" s="51" t="str">
        <f>_xlfn.XLOOKUP(E24,'All Products'!D:D,'All Products'!C:C,FALSE)</f>
        <v>35-237</v>
      </c>
      <c r="E24" s="52">
        <v>300005851</v>
      </c>
      <c r="F24" s="53" t="str">
        <f>_xlfn.XLOOKUP(E24,'All Products'!D:D,'All Products'!E:E,FALSE)</f>
        <v>12 STOP COUPLING GXG SDR35</v>
      </c>
      <c r="G24" s="232">
        <f>_xlfn.XLOOKUP(E24,'All Products'!D:D,'All Products'!F:F,FALSE)</f>
        <v>1</v>
      </c>
      <c r="H24" s="232">
        <f>_xlfn.XLOOKUP(E24,'All Products'!D:D,'All Products'!G:G,FALSE)</f>
        <v>18</v>
      </c>
      <c r="I24" s="123" t="str">
        <f>_xlfn.XLOOKUP(E24,'All Products'!D:D,'All Products'!H:H,FALSE)</f>
        <v>Quote Required</v>
      </c>
      <c r="J24" s="130">
        <f>IFERROR(ROUNDUP(I24*Order_Quote!$L$15,2),0)</f>
        <v>0</v>
      </c>
      <c r="K24" s="118"/>
      <c r="L24" s="76"/>
      <c r="M24" s="114">
        <f t="shared" si="0"/>
        <v>0</v>
      </c>
      <c r="O24" s="215" t="str">
        <f>_xlfn.XLOOKUP(E24,'All Products'!D:D,'All Products'!I:I,FALSE)</f>
        <v>Within 6 Weeks</v>
      </c>
      <c r="P24" s="215" t="str">
        <f>_xlfn.XLOOKUP(E24,'All Products'!D:D,'All Products'!J:J,FALSE)</f>
        <v>Sourced</v>
      </c>
      <c r="Q24" s="266">
        <f>_xlfn.XLOOKUP(E24,'All Products'!D:D,'All Products'!K:K,FALSE)</f>
        <v>810673016686</v>
      </c>
      <c r="R24" s="266" t="str">
        <f>_xlfn.XLOOKUP(E24,'All Products'!D:D,'All Products'!L:L,FALSE)</f>
        <v>-</v>
      </c>
      <c r="S24" s="266" t="str">
        <f>_xlfn.XLOOKUP(E24,'All Products'!D:D,'All Products'!M:M,FALSE)</f>
        <v>-</v>
      </c>
      <c r="T24" s="264">
        <f>_xlfn.XLOOKUP(E24,'All Products'!D:D,'All Products'!N:N,FALSE)</f>
        <v>12.316000000000001</v>
      </c>
      <c r="U24" s="265">
        <f>_xlfn.XLOOKUP(E24,'All Products'!D:D,'All Products'!P:P,FALSE)</f>
        <v>12.316000000000001</v>
      </c>
      <c r="V24" s="265" t="str">
        <f>_xlfn.XLOOKUP(E24,'All Products'!D:D,'All Products'!Q:Q,FALSE)</f>
        <v>-</v>
      </c>
    </row>
    <row r="25" spans="1:22" s="17" customFormat="1" ht="16.2" thickBot="1">
      <c r="A25" s="101" t="str">
        <f>IF(K25&gt;0,COUNT($A$8:A24)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25" s="501" t="s">
        <v>5861</v>
      </c>
      <c r="C25" s="151"/>
      <c r="D25" s="151"/>
      <c r="E25" s="459"/>
      <c r="F25" s="151"/>
      <c r="G25" s="468"/>
      <c r="H25" s="151"/>
      <c r="I25" s="472"/>
      <c r="J25" s="468"/>
      <c r="K25" s="477"/>
      <c r="L25" s="238"/>
      <c r="M25" s="476"/>
      <c r="O25" s="494"/>
      <c r="P25" s="478"/>
      <c r="Q25" s="492"/>
      <c r="R25" s="492"/>
      <c r="S25" s="492"/>
      <c r="T25" s="495"/>
      <c r="U25" s="496"/>
      <c r="V25" s="497"/>
    </row>
    <row r="26" spans="1:22" ht="45.75" customHeight="1">
      <c r="A26" s="101" t="str">
        <f>IF(K26&gt;0,COUNT($A$8:A25)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26" s="615"/>
      <c r="C26" s="615"/>
      <c r="D26" s="51" t="str">
        <f>_xlfn.XLOOKUP(E26,'All Products'!D:D,'All Products'!C:C,FALSE)</f>
        <v>35-1630</v>
      </c>
      <c r="E26" s="52">
        <v>300005772</v>
      </c>
      <c r="F26" s="53" t="str">
        <f>_xlfn.XLOOKUP(E26,'All Products'!D:D,'All Products'!E:E,FALSE)</f>
        <v>6X4 INCR COUPLING ECC GXG SDR35</v>
      </c>
      <c r="G26" s="232">
        <f>_xlfn.XLOOKUP(E26,'All Products'!D:D,'All Products'!F:F,FALSE)</f>
        <v>16</v>
      </c>
      <c r="H26" s="232">
        <f>_xlfn.XLOOKUP(E26,'All Products'!D:D,'All Products'!G:G,FALSE)</f>
        <v>192</v>
      </c>
      <c r="I26" s="123" t="str">
        <f>_xlfn.XLOOKUP(E26,'All Products'!D:D,'All Products'!H:H,FALSE)</f>
        <v>Quote Required</v>
      </c>
      <c r="J26" s="130">
        <f>IFERROR(ROUNDUP(I26*Order_Quote!$L$15,2),0)</f>
        <v>0</v>
      </c>
      <c r="K26" s="122"/>
      <c r="L26" s="76"/>
      <c r="M26" s="115">
        <f t="shared" ref="M26:M36" si="1">K26/G26</f>
        <v>0</v>
      </c>
      <c r="O26" s="215" t="str">
        <f>_xlfn.XLOOKUP(E26,'All Products'!D:D,'All Products'!I:I,FALSE)</f>
        <v>Within 6 Weeks</v>
      </c>
      <c r="P26" s="215" t="str">
        <f>_xlfn.XLOOKUP(E26,'All Products'!D:D,'All Products'!J:J,FALSE)</f>
        <v>Sourced</v>
      </c>
      <c r="Q26" s="266">
        <f>_xlfn.XLOOKUP(E26,'All Products'!D:D,'All Products'!K:K,FALSE)</f>
        <v>810673018086</v>
      </c>
      <c r="R26" s="266" t="str">
        <f>_xlfn.XLOOKUP(E26,'All Products'!D:D,'All Products'!L:L,FALSE)</f>
        <v>-</v>
      </c>
      <c r="S26" s="266" t="str">
        <f>_xlfn.XLOOKUP(E26,'All Products'!D:D,'All Products'!M:M,FALSE)</f>
        <v>-</v>
      </c>
      <c r="T26" s="264">
        <f>_xlfn.XLOOKUP(E26,'All Products'!D:D,'All Products'!N:N,FALSE)</f>
        <v>1.64</v>
      </c>
      <c r="U26" s="265">
        <f>_xlfn.XLOOKUP(E26,'All Products'!D:D,'All Products'!P:P,FALSE)</f>
        <v>26.24</v>
      </c>
      <c r="V26" s="265" t="str">
        <f>_xlfn.XLOOKUP(E26,'All Products'!D:D,'All Products'!Q:Q,FALSE)</f>
        <v>-</v>
      </c>
    </row>
    <row r="27" spans="1:22">
      <c r="A27" s="101" t="str">
        <f>IF(K27&gt;0,COUNT($A$8:A26)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27" s="112"/>
      <c r="C27" s="113"/>
      <c r="D27" s="51" t="str">
        <f>_xlfn.XLOOKUP(E27,'All Products'!D:D,'All Products'!C:C,FALSE)</f>
        <v>35-1640</v>
      </c>
      <c r="E27" s="52">
        <v>300004467</v>
      </c>
      <c r="F27" s="53" t="str">
        <f>_xlfn.XLOOKUP(E27,'All Products'!D:D,'All Products'!E:E,FALSE)</f>
        <v>6X4 INCR COUPLING CON GXG 35 SDR35</v>
      </c>
      <c r="G27" s="232">
        <f>_xlfn.XLOOKUP(E27,'All Products'!D:D,'All Products'!F:F,FALSE)</f>
        <v>8</v>
      </c>
      <c r="H27" s="232" t="str">
        <f>_xlfn.XLOOKUP(E27,'All Products'!D:D,'All Products'!G:G,FALSE)</f>
        <v>-</v>
      </c>
      <c r="I27" s="123" t="str">
        <f>_xlfn.XLOOKUP(E27,'All Products'!D:D,'All Products'!H:H,FALSE)</f>
        <v>Quote Required</v>
      </c>
      <c r="J27" s="130">
        <f>IFERROR(ROUNDUP(I27*Order_Quote!$L$15,2),0)</f>
        <v>0</v>
      </c>
      <c r="K27" s="118"/>
      <c r="L27" s="76"/>
      <c r="M27" s="114">
        <f t="shared" si="1"/>
        <v>0</v>
      </c>
      <c r="O27" s="215" t="str">
        <f>_xlfn.XLOOKUP(E27,'All Products'!D:D,'All Products'!I:I,FALSE)</f>
        <v>Within 6 Weeks</v>
      </c>
      <c r="P27" s="215" t="str">
        <f>_xlfn.XLOOKUP(E27,'All Products'!D:D,'All Products'!J:J,FALSE)</f>
        <v>Sourced</v>
      </c>
      <c r="Q27" s="266">
        <f>_xlfn.XLOOKUP(E27,'All Products'!D:D,'All Products'!K:K,FALSE)</f>
        <v>810116843435</v>
      </c>
      <c r="R27" s="266" t="str">
        <f>_xlfn.XLOOKUP(E27,'All Products'!D:D,'All Products'!L:L,FALSE)</f>
        <v>-</v>
      </c>
      <c r="S27" s="266" t="str">
        <f>_xlfn.XLOOKUP(E27,'All Products'!D:D,'All Products'!M:M,FALSE)</f>
        <v>-</v>
      </c>
      <c r="T27" s="264">
        <f>_xlfn.XLOOKUP(E27,'All Products'!D:D,'All Products'!N:N,FALSE)</f>
        <v>1.54</v>
      </c>
      <c r="U27" s="265">
        <f>_xlfn.XLOOKUP(E27,'All Products'!D:D,'All Products'!P:P,FALSE)</f>
        <v>12.32</v>
      </c>
      <c r="V27" s="265" t="str">
        <f>_xlfn.XLOOKUP(E27,'All Products'!D:D,'All Products'!Q:Q,FALSE)</f>
        <v>-</v>
      </c>
    </row>
    <row r="28" spans="1:22">
      <c r="A28" s="101" t="str">
        <f>IF(K28&gt;0,COUNT($A$8:A27)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28" s="112"/>
      <c r="C28" s="113"/>
      <c r="D28" s="51" t="str">
        <f>_xlfn.XLOOKUP(E28,'All Products'!D:D,'All Products'!C:C,FALSE)</f>
        <v>35-1641</v>
      </c>
      <c r="E28" s="52">
        <v>300004488</v>
      </c>
      <c r="F28" s="53" t="str">
        <f>_xlfn.XLOOKUP(E28,'All Products'!D:D,'All Products'!E:E,FALSE)</f>
        <v>8X4 INCR COUPLING CON GXG 35 SDR35</v>
      </c>
      <c r="G28" s="232">
        <f>_xlfn.XLOOKUP(E28,'All Products'!D:D,'All Products'!F:F,FALSE)</f>
        <v>8</v>
      </c>
      <c r="H28" s="232" t="str">
        <f>_xlfn.XLOOKUP(E28,'All Products'!D:D,'All Products'!G:G,FALSE)</f>
        <v>-</v>
      </c>
      <c r="I28" s="123" t="str">
        <f>_xlfn.XLOOKUP(E28,'All Products'!D:D,'All Products'!H:H,FALSE)</f>
        <v>Quote Required</v>
      </c>
      <c r="J28" s="130">
        <f>IFERROR(ROUNDUP(I28*Order_Quote!$L$15,2),0)</f>
        <v>0</v>
      </c>
      <c r="K28" s="118"/>
      <c r="L28" s="76"/>
      <c r="M28" s="115">
        <f t="shared" si="1"/>
        <v>0</v>
      </c>
      <c r="O28" s="215" t="str">
        <f>_xlfn.XLOOKUP(E28,'All Products'!D:D,'All Products'!I:I,FALSE)</f>
        <v>Within 6 Weeks</v>
      </c>
      <c r="P28" s="215" t="str">
        <f>_xlfn.XLOOKUP(E28,'All Products'!D:D,'All Products'!J:J,FALSE)</f>
        <v>Sourced</v>
      </c>
      <c r="Q28" s="266" t="str">
        <f>_xlfn.XLOOKUP(E28,'All Products'!D:D,'All Products'!K:K,FALSE)</f>
        <v>-</v>
      </c>
      <c r="R28" s="266" t="str">
        <f>_xlfn.XLOOKUP(E28,'All Products'!D:D,'All Products'!L:L,FALSE)</f>
        <v>-</v>
      </c>
      <c r="S28" s="266" t="str">
        <f>_xlfn.XLOOKUP(E28,'All Products'!D:D,'All Products'!M:M,FALSE)</f>
        <v>-</v>
      </c>
      <c r="T28" s="264">
        <f>_xlfn.XLOOKUP(E28,'All Products'!D:D,'All Products'!N:N,FALSE)</f>
        <v>3.5</v>
      </c>
      <c r="U28" s="265">
        <f>_xlfn.XLOOKUP(E28,'All Products'!D:D,'All Products'!P:P,FALSE)</f>
        <v>28</v>
      </c>
      <c r="V28" s="265" t="str">
        <f>_xlfn.XLOOKUP(E28,'All Products'!D:D,'All Products'!Q:Q,FALSE)</f>
        <v>-</v>
      </c>
    </row>
    <row r="29" spans="1:22">
      <c r="A29" s="101" t="str">
        <f>IF(K29&gt;0,COUNT($A$8:A28)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29" s="112"/>
      <c r="C29" s="113"/>
      <c r="D29" s="51" t="str">
        <f>_xlfn.XLOOKUP(E29,'All Products'!D:D,'All Products'!C:C,FALSE)</f>
        <v>35-1642</v>
      </c>
      <c r="E29" s="52">
        <v>300004498</v>
      </c>
      <c r="F29" s="53" t="str">
        <f>_xlfn.XLOOKUP(E29,'All Products'!D:D,'All Products'!E:E,FALSE)</f>
        <v>8X6 INCR COUPLING CON GXG 35 SDR35</v>
      </c>
      <c r="G29" s="232">
        <f>_xlfn.XLOOKUP(E29,'All Products'!D:D,'All Products'!F:F,FALSE)</f>
        <v>4</v>
      </c>
      <c r="H29" s="232" t="str">
        <f>_xlfn.XLOOKUP(E29,'All Products'!D:D,'All Products'!G:G,FALSE)</f>
        <v>-</v>
      </c>
      <c r="I29" s="123" t="str">
        <f>_xlfn.XLOOKUP(E29,'All Products'!D:D,'All Products'!H:H,FALSE)</f>
        <v>Quote Required</v>
      </c>
      <c r="J29" s="130">
        <f>IFERROR(ROUNDUP(I29*Order_Quote!$L$15,2),0)</f>
        <v>0</v>
      </c>
      <c r="K29" s="118"/>
      <c r="L29" s="76"/>
      <c r="M29" s="114">
        <f t="shared" si="1"/>
        <v>0</v>
      </c>
      <c r="O29" s="215" t="str">
        <f>_xlfn.XLOOKUP(E29,'All Products'!D:D,'All Products'!I:I,FALSE)</f>
        <v>Within 6 Weeks</v>
      </c>
      <c r="P29" s="215" t="str">
        <f>_xlfn.XLOOKUP(E29,'All Products'!D:D,'All Products'!J:J,FALSE)</f>
        <v>Sourced</v>
      </c>
      <c r="Q29" s="266" t="str">
        <f>_xlfn.XLOOKUP(E29,'All Products'!D:D,'All Products'!K:K,FALSE)</f>
        <v>-</v>
      </c>
      <c r="R29" s="266" t="str">
        <f>_xlfn.XLOOKUP(E29,'All Products'!D:D,'All Products'!L:L,FALSE)</f>
        <v>-</v>
      </c>
      <c r="S29" s="266" t="str">
        <f>_xlfn.XLOOKUP(E29,'All Products'!D:D,'All Products'!M:M,FALSE)</f>
        <v>-</v>
      </c>
      <c r="T29" s="264">
        <f>_xlfn.XLOOKUP(E29,'All Products'!D:D,'All Products'!N:N,FALSE)</f>
        <v>7.3</v>
      </c>
      <c r="U29" s="265">
        <f>_xlfn.XLOOKUP(E29,'All Products'!D:D,'All Products'!P:P,FALSE)</f>
        <v>29.2</v>
      </c>
      <c r="V29" s="265" t="str">
        <f>_xlfn.XLOOKUP(E29,'All Products'!D:D,'All Products'!Q:Q,FALSE)</f>
        <v>-</v>
      </c>
    </row>
    <row r="30" spans="1:22">
      <c r="A30" s="101" t="str">
        <f>IF(K30&gt;0,COUNT($A$8:A29)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30" s="608"/>
      <c r="C30" s="609"/>
      <c r="D30" s="51" t="str">
        <f>_xlfn.XLOOKUP(E30,'All Products'!D:D,'All Products'!C:C,FALSE)</f>
        <v>35-1626</v>
      </c>
      <c r="E30" s="52">
        <v>100029425</v>
      </c>
      <c r="F30" s="53" t="str">
        <f>_xlfn.XLOOKUP(E30,'All Products'!D:D,'All Products'!E:E,FALSE)</f>
        <v>6X4 REDUCER BUSHING ECC SXG SDR35</v>
      </c>
      <c r="G30" s="232">
        <f>_xlfn.XLOOKUP(E30,'All Products'!D:D,'All Products'!F:F,FALSE)</f>
        <v>16</v>
      </c>
      <c r="H30" s="232">
        <f>_xlfn.XLOOKUP(E30,'All Products'!D:D,'All Products'!G:G,FALSE)</f>
        <v>288</v>
      </c>
      <c r="I30" s="123">
        <f>_xlfn.XLOOKUP(E30,'All Products'!D:D,'All Products'!H:H,FALSE)</f>
        <v>123.3</v>
      </c>
      <c r="J30" s="130">
        <f>IFERROR(ROUNDUP(I30*Order_Quote!$L$15,2),0)</f>
        <v>123.3</v>
      </c>
      <c r="K30" s="122"/>
      <c r="L30" s="76"/>
      <c r="M30" s="114">
        <f t="shared" si="1"/>
        <v>0</v>
      </c>
      <c r="O30" s="215" t="str">
        <f>_xlfn.XLOOKUP(E30,'All Products'!D:D,'All Products'!I:I,FALSE)</f>
        <v>In Stock</v>
      </c>
      <c r="P30" s="215" t="str">
        <f>_xlfn.XLOOKUP(E30,'All Products'!D:D,'All Products'!J:J,FALSE)</f>
        <v>Manufactured</v>
      </c>
      <c r="Q30" s="266">
        <f>_xlfn.XLOOKUP(E30,'All Products'!D:D,'All Products'!K:K,FALSE)</f>
        <v>810673018024</v>
      </c>
      <c r="R30" s="266" t="str">
        <f>_xlfn.XLOOKUP(E30,'All Products'!D:D,'All Products'!L:L,FALSE)</f>
        <v>-</v>
      </c>
      <c r="S30" s="266">
        <f>_xlfn.XLOOKUP(E30,'All Products'!D:D,'All Products'!M:M,FALSE)</f>
        <v>812361019917</v>
      </c>
      <c r="T30" s="264">
        <f>_xlfn.XLOOKUP(E30,'All Products'!D:D,'All Products'!N:N,FALSE)</f>
        <v>1.65</v>
      </c>
      <c r="U30" s="265">
        <f>_xlfn.XLOOKUP(E30,'All Products'!D:D,'All Products'!P:P,FALSE)</f>
        <v>28.271999999999998</v>
      </c>
      <c r="V30" s="265">
        <f>_xlfn.XLOOKUP(E30,'All Products'!D:D,'All Products'!Q:Q,FALSE)</f>
        <v>2.361325291407383</v>
      </c>
    </row>
    <row r="31" spans="1:22">
      <c r="A31" s="101" t="str">
        <f>IF(K31&gt;0,COUNT($A$8:A30)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31" s="610"/>
      <c r="C31" s="611"/>
      <c r="D31" s="51" t="str">
        <f>_xlfn.XLOOKUP(E31,'All Products'!D:D,'All Products'!C:C,FALSE)</f>
        <v>35-885</v>
      </c>
      <c r="E31" s="52">
        <v>300005873</v>
      </c>
      <c r="F31" s="53" t="str">
        <f>_xlfn.XLOOKUP(E31,'All Products'!D:D,'All Products'!E:E,FALSE)</f>
        <v>8X4 REDUCER BUSHING ECC SXG SDR35</v>
      </c>
      <c r="G31" s="232">
        <f>_xlfn.XLOOKUP(E31,'All Products'!D:D,'All Products'!F:F,FALSE)</f>
        <v>5</v>
      </c>
      <c r="H31" s="232">
        <f>_xlfn.XLOOKUP(E31,'All Products'!D:D,'All Products'!G:G,FALSE)</f>
        <v>120</v>
      </c>
      <c r="I31" s="123" t="str">
        <f>_xlfn.XLOOKUP(E31,'All Products'!D:D,'All Products'!H:H,FALSE)</f>
        <v>Quote Required</v>
      </c>
      <c r="J31" s="130">
        <f>IFERROR(ROUNDUP(I31*Order_Quote!$L$15,2),0)</f>
        <v>0</v>
      </c>
      <c r="K31" s="118"/>
      <c r="L31" s="76"/>
      <c r="M31" s="115">
        <f t="shared" si="1"/>
        <v>0</v>
      </c>
      <c r="O31" s="215" t="str">
        <f>_xlfn.XLOOKUP(E31,'All Products'!D:D,'All Products'!I:I,FALSE)</f>
        <v>Within 6 Weeks</v>
      </c>
      <c r="P31" s="215" t="str">
        <f>_xlfn.XLOOKUP(E31,'All Products'!D:D,'All Products'!J:J,FALSE)</f>
        <v>Sourced</v>
      </c>
      <c r="Q31" s="266">
        <f>_xlfn.XLOOKUP(E31,'All Products'!D:D,'All Products'!K:K,FALSE)</f>
        <v>810673018048</v>
      </c>
      <c r="R31" s="266" t="str">
        <f>_xlfn.XLOOKUP(E31,'All Products'!D:D,'All Products'!L:L,FALSE)</f>
        <v>-</v>
      </c>
      <c r="S31" s="266" t="str">
        <f>_xlfn.XLOOKUP(E31,'All Products'!D:D,'All Products'!M:M,FALSE)</f>
        <v>-</v>
      </c>
      <c r="T31" s="264">
        <f>_xlfn.XLOOKUP(E31,'All Products'!D:D,'All Products'!N:N,FALSE)</f>
        <v>2.9289999999999998</v>
      </c>
      <c r="U31" s="265">
        <f>_xlfn.XLOOKUP(E31,'All Products'!D:D,'All Products'!P:P,FALSE)</f>
        <v>14.645</v>
      </c>
      <c r="V31" s="265" t="str">
        <f>_xlfn.XLOOKUP(E31,'All Products'!D:D,'All Products'!Q:Q,FALSE)</f>
        <v>-</v>
      </c>
    </row>
    <row r="32" spans="1:22">
      <c r="A32" s="101" t="str">
        <f>IF(K32&gt;0,COUNT($A$8:A31)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32" s="610"/>
      <c r="C32" s="611"/>
      <c r="D32" s="51" t="str">
        <f>_xlfn.XLOOKUP(E32,'All Products'!D:D,'All Products'!C:C,FALSE)</f>
        <v>35-895</v>
      </c>
      <c r="E32" s="52">
        <v>100029424</v>
      </c>
      <c r="F32" s="53" t="str">
        <f>_xlfn.XLOOKUP(E32,'All Products'!D:D,'All Products'!E:E,FALSE)</f>
        <v>8X6 REDUCER BUSHING ECC SXG SDR35</v>
      </c>
      <c r="G32" s="232">
        <f>_xlfn.XLOOKUP(E32,'All Products'!D:D,'All Products'!F:F,FALSE)</f>
        <v>4</v>
      </c>
      <c r="H32" s="232">
        <f>_xlfn.XLOOKUP(E32,'All Products'!D:D,'All Products'!G:G,FALSE)</f>
        <v>96</v>
      </c>
      <c r="I32" s="123">
        <f>_xlfn.XLOOKUP(E32,'All Products'!D:D,'All Products'!H:H,FALSE)</f>
        <v>351.61</v>
      </c>
      <c r="J32" s="130">
        <f>IFERROR(ROUNDUP(I32*Order_Quote!$L$15,2),0)</f>
        <v>351.61</v>
      </c>
      <c r="K32" s="118"/>
      <c r="L32" s="76"/>
      <c r="M32" s="114">
        <f t="shared" si="1"/>
        <v>0</v>
      </c>
      <c r="O32" s="215" t="str">
        <f>_xlfn.XLOOKUP(E32,'All Products'!D:D,'All Products'!I:I,FALSE)</f>
        <v>Within 3 Weeks</v>
      </c>
      <c r="P32" s="215" t="str">
        <f>_xlfn.XLOOKUP(E32,'All Products'!D:D,'All Products'!J:J,FALSE)</f>
        <v>Manufactured</v>
      </c>
      <c r="Q32" s="266">
        <f>_xlfn.XLOOKUP(E32,'All Products'!D:D,'All Products'!K:K,FALSE)</f>
        <v>810673018062</v>
      </c>
      <c r="R32" s="266" t="str">
        <f>_xlfn.XLOOKUP(E32,'All Products'!D:D,'All Products'!L:L,FALSE)</f>
        <v>-</v>
      </c>
      <c r="S32" s="266">
        <f>_xlfn.XLOOKUP(E32,'All Products'!D:D,'All Products'!M:M,FALSE)</f>
        <v>812361016596</v>
      </c>
      <c r="T32" s="264">
        <f>_xlfn.XLOOKUP(E32,'All Products'!D:D,'All Products'!N:N,FALSE)</f>
        <v>3.0960000000000001</v>
      </c>
      <c r="U32" s="265">
        <f>_xlfn.XLOOKUP(E32,'All Products'!D:D,'All Products'!P:P,FALSE)</f>
        <v>18.556000000000001</v>
      </c>
      <c r="V32" s="265">
        <f>_xlfn.XLOOKUP(E32,'All Products'!D:D,'All Products'!Q:Q,FALSE)</f>
        <v>1.8803145838984718</v>
      </c>
    </row>
    <row r="33" spans="1:22">
      <c r="A33" s="101" t="str">
        <f>IF(K33&gt;0,COUNT($A$8:A32)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33" s="615"/>
      <c r="C33" s="615"/>
      <c r="D33" s="51" t="str">
        <f>_xlfn.XLOOKUP(E33,'All Products'!D:D,'All Products'!C:C,FALSE)</f>
        <v>35-1627</v>
      </c>
      <c r="E33" s="52">
        <v>300004468</v>
      </c>
      <c r="F33" s="53" t="str">
        <f>_xlfn.XLOOKUP(E33,'All Products'!D:D,'All Products'!E:E,FALSE)</f>
        <v>6X4 RED BUSHING CON SXG SDR35</v>
      </c>
      <c r="G33" s="232">
        <f>_xlfn.XLOOKUP(E33,'All Products'!D:D,'All Products'!F:F,FALSE)</f>
        <v>10</v>
      </c>
      <c r="H33" s="232" t="str">
        <f>_xlfn.XLOOKUP(E33,'All Products'!D:D,'All Products'!G:G,FALSE)</f>
        <v>-</v>
      </c>
      <c r="I33" s="123" t="str">
        <f>_xlfn.XLOOKUP(E33,'All Products'!D:D,'All Products'!H:H,FALSE)</f>
        <v>Quote Required</v>
      </c>
      <c r="J33" s="130">
        <f>IFERROR(ROUNDUP(I33*Order_Quote!$L$15,2),0)</f>
        <v>0</v>
      </c>
      <c r="K33" s="122"/>
      <c r="L33" s="76"/>
      <c r="M33" s="114">
        <f t="shared" si="1"/>
        <v>0</v>
      </c>
      <c r="O33" s="215" t="str">
        <f>_xlfn.XLOOKUP(E33,'All Products'!D:D,'All Products'!I:I,FALSE)</f>
        <v>Within 6 Weeks</v>
      </c>
      <c r="P33" s="215" t="str">
        <f>_xlfn.XLOOKUP(E33,'All Products'!D:D,'All Products'!J:J,FALSE)</f>
        <v>Sourced</v>
      </c>
      <c r="Q33" s="266">
        <f>_xlfn.XLOOKUP(E33,'All Products'!D:D,'All Products'!K:K,FALSE)</f>
        <v>812361013816</v>
      </c>
      <c r="R33" s="266" t="str">
        <f>_xlfn.XLOOKUP(E33,'All Products'!D:D,'All Products'!L:L,FALSE)</f>
        <v>-</v>
      </c>
      <c r="S33" s="266" t="str">
        <f>_xlfn.XLOOKUP(E33,'All Products'!D:D,'All Products'!M:M,FALSE)</f>
        <v>-</v>
      </c>
      <c r="T33" s="264">
        <f>_xlfn.XLOOKUP(E33,'All Products'!D:D,'All Products'!N:N,FALSE)</f>
        <v>1.3</v>
      </c>
      <c r="U33" s="265">
        <f>_xlfn.XLOOKUP(E33,'All Products'!D:D,'All Products'!P:P,FALSE)</f>
        <v>13</v>
      </c>
      <c r="V33" s="265" t="str">
        <f>_xlfn.XLOOKUP(E33,'All Products'!D:D,'All Products'!Q:Q,FALSE)</f>
        <v>-</v>
      </c>
    </row>
    <row r="34" spans="1:22">
      <c r="A34" s="101" t="str">
        <f>IF(K34&gt;0,COUNT($A$8:A33)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34" s="615"/>
      <c r="C34" s="615"/>
      <c r="D34" s="51" t="str">
        <f>_xlfn.XLOOKUP(E34,'All Products'!D:D,'All Products'!C:C,FALSE)</f>
        <v>35-181</v>
      </c>
      <c r="E34" s="52">
        <v>300004490</v>
      </c>
      <c r="F34" s="53" t="str">
        <f>_xlfn.XLOOKUP(E34,'All Products'!D:D,'All Products'!E:E,FALSE)</f>
        <v>8X4 RED BUSHING CON SXG SDR35</v>
      </c>
      <c r="G34" s="232">
        <f>_xlfn.XLOOKUP(E34,'All Products'!D:D,'All Products'!F:F,FALSE)</f>
        <v>5</v>
      </c>
      <c r="H34" s="232" t="str">
        <f>_xlfn.XLOOKUP(E34,'All Products'!D:D,'All Products'!G:G,FALSE)</f>
        <v>-</v>
      </c>
      <c r="I34" s="123" t="str">
        <f>_xlfn.XLOOKUP(E34,'All Products'!D:D,'All Products'!H:H,FALSE)</f>
        <v>Quote Required</v>
      </c>
      <c r="J34" s="130">
        <f>IFERROR(ROUNDUP(I34*Order_Quote!$L$15,2),0)</f>
        <v>0</v>
      </c>
      <c r="K34" s="118"/>
      <c r="L34" s="76"/>
      <c r="M34" s="115">
        <f t="shared" si="1"/>
        <v>0</v>
      </c>
      <c r="O34" s="215" t="str">
        <f>_xlfn.XLOOKUP(E34,'All Products'!D:D,'All Products'!I:I,FALSE)</f>
        <v>Within 6 Weeks</v>
      </c>
      <c r="P34" s="215" t="str">
        <f>_xlfn.XLOOKUP(E34,'All Products'!D:D,'All Products'!J:J,FALSE)</f>
        <v>Sourced</v>
      </c>
      <c r="Q34" s="266">
        <f>_xlfn.XLOOKUP(E34,'All Products'!D:D,'All Products'!K:K,FALSE)</f>
        <v>812361013830</v>
      </c>
      <c r="R34" s="266" t="str">
        <f>_xlfn.XLOOKUP(E34,'All Products'!D:D,'All Products'!L:L,FALSE)</f>
        <v>-</v>
      </c>
      <c r="S34" s="266" t="str">
        <f>_xlfn.XLOOKUP(E34,'All Products'!D:D,'All Products'!M:M,FALSE)</f>
        <v>-</v>
      </c>
      <c r="T34" s="264">
        <f>_xlfn.XLOOKUP(E34,'All Products'!D:D,'All Products'!N:N,FALSE)</f>
        <v>3.5</v>
      </c>
      <c r="U34" s="265">
        <f>_xlfn.XLOOKUP(E34,'All Products'!D:D,'All Products'!P:P,FALSE)</f>
        <v>17.5</v>
      </c>
      <c r="V34" s="265" t="str">
        <f>_xlfn.XLOOKUP(E34,'All Products'!D:D,'All Products'!Q:Q,FALSE)</f>
        <v>-</v>
      </c>
    </row>
    <row r="35" spans="1:22">
      <c r="A35" s="101" t="str">
        <f>IF(K35&gt;0,COUNT($A$8:A34)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35" s="615"/>
      <c r="C35" s="615"/>
      <c r="D35" s="51" t="str">
        <f>_xlfn.XLOOKUP(E35,'All Products'!D:D,'All Products'!C:C,FALSE)</f>
        <v>35-182</v>
      </c>
      <c r="E35" s="52">
        <v>300004500</v>
      </c>
      <c r="F35" s="53" t="str">
        <f>_xlfn.XLOOKUP(E35,'All Products'!D:D,'All Products'!E:E,FALSE)</f>
        <v>8X6 RED BUSHING CON SXG SDR35</v>
      </c>
      <c r="G35" s="232">
        <f>_xlfn.XLOOKUP(E35,'All Products'!D:D,'All Products'!F:F,FALSE)</f>
        <v>5</v>
      </c>
      <c r="H35" s="232" t="str">
        <f>_xlfn.XLOOKUP(E35,'All Products'!D:D,'All Products'!G:G,FALSE)</f>
        <v>-</v>
      </c>
      <c r="I35" s="123" t="str">
        <f>_xlfn.XLOOKUP(E35,'All Products'!D:D,'All Products'!H:H,FALSE)</f>
        <v>Quote Required</v>
      </c>
      <c r="J35" s="130">
        <f>IFERROR(ROUNDUP(I35*Order_Quote!$L$15,2),0)</f>
        <v>0</v>
      </c>
      <c r="K35" s="118"/>
      <c r="L35" s="76"/>
      <c r="M35" s="114">
        <f t="shared" si="1"/>
        <v>0</v>
      </c>
      <c r="O35" s="215" t="str">
        <f>_xlfn.XLOOKUP(E35,'All Products'!D:D,'All Products'!I:I,FALSE)</f>
        <v>Within 6 Weeks</v>
      </c>
      <c r="P35" s="215" t="str">
        <f>_xlfn.XLOOKUP(E35,'All Products'!D:D,'All Products'!J:J,FALSE)</f>
        <v>Sourced</v>
      </c>
      <c r="Q35" s="266">
        <f>_xlfn.XLOOKUP(E35,'All Products'!D:D,'All Products'!K:K,FALSE)</f>
        <v>812361013854</v>
      </c>
      <c r="R35" s="266" t="str">
        <f>_xlfn.XLOOKUP(E35,'All Products'!D:D,'All Products'!L:L,FALSE)</f>
        <v>-</v>
      </c>
      <c r="S35" s="266" t="str">
        <f>_xlfn.XLOOKUP(E35,'All Products'!D:D,'All Products'!M:M,FALSE)</f>
        <v>-</v>
      </c>
      <c r="T35" s="264">
        <f>_xlfn.XLOOKUP(E35,'All Products'!D:D,'All Products'!N:N,FALSE)</f>
        <v>2.66</v>
      </c>
      <c r="U35" s="265">
        <f>_xlfn.XLOOKUP(E35,'All Products'!D:D,'All Products'!P:P,FALSE)</f>
        <v>13.3</v>
      </c>
      <c r="V35" s="265" t="str">
        <f>_xlfn.XLOOKUP(E35,'All Products'!D:D,'All Products'!Q:Q,FALSE)</f>
        <v>-</v>
      </c>
    </row>
    <row r="36" spans="1:22" ht="15" thickBot="1">
      <c r="A36" s="101" t="str">
        <f>IF(K36&gt;0,COUNT($A$8:A35)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36" s="615"/>
      <c r="C36" s="615"/>
      <c r="D36" s="51" t="str">
        <f>_xlfn.XLOOKUP(E36,'All Products'!D:D,'All Products'!C:C,FALSE)</f>
        <v>35-183</v>
      </c>
      <c r="E36" s="52">
        <v>300003485</v>
      </c>
      <c r="F36" s="53" t="str">
        <f>_xlfn.XLOOKUP(E36,'All Products'!D:D,'All Products'!E:E,FALSE)</f>
        <v>10X4 RED BUSHING CON SXG SDR35</v>
      </c>
      <c r="G36" s="232">
        <f>_xlfn.XLOOKUP(E36,'All Products'!D:D,'All Products'!F:F,FALSE)</f>
        <v>2</v>
      </c>
      <c r="H36" s="232">
        <f>_xlfn.XLOOKUP(E36,'All Products'!D:D,'All Products'!G:G,FALSE)</f>
        <v>36</v>
      </c>
      <c r="I36" s="123" t="str">
        <f>_xlfn.XLOOKUP(E36,'All Products'!D:D,'All Products'!H:H,FALSE)</f>
        <v>Quote Required</v>
      </c>
      <c r="J36" s="130">
        <f>IFERROR(ROUNDUP(I36*Order_Quote!$L$15,2),0)</f>
        <v>0</v>
      </c>
      <c r="K36" s="118"/>
      <c r="L36" s="76"/>
      <c r="M36" s="114">
        <f t="shared" si="1"/>
        <v>0</v>
      </c>
      <c r="O36" s="215" t="str">
        <f>_xlfn.XLOOKUP(E36,'All Products'!D:D,'All Products'!I:I,FALSE)</f>
        <v>Within 6 Weeks</v>
      </c>
      <c r="P36" s="215" t="str">
        <f>_xlfn.XLOOKUP(E36,'All Products'!D:D,'All Products'!J:J,FALSE)</f>
        <v>Sourced</v>
      </c>
      <c r="Q36" s="266">
        <f>_xlfn.XLOOKUP(E36,'All Products'!D:D,'All Products'!K:K,FALSE)</f>
        <v>812361012055</v>
      </c>
      <c r="R36" s="266" t="str">
        <f>_xlfn.XLOOKUP(E36,'All Products'!D:D,'All Products'!L:L,FALSE)</f>
        <v>-</v>
      </c>
      <c r="S36" s="266" t="str">
        <f>_xlfn.XLOOKUP(E36,'All Products'!D:D,'All Products'!M:M,FALSE)</f>
        <v>-</v>
      </c>
      <c r="T36" s="264">
        <f>_xlfn.XLOOKUP(E36,'All Products'!D:D,'All Products'!N:N,FALSE)</f>
        <v>4.55</v>
      </c>
      <c r="U36" s="265">
        <f>_xlfn.XLOOKUP(E36,'All Products'!D:D,'All Products'!P:P,FALSE)</f>
        <v>9.1</v>
      </c>
      <c r="V36" s="265" t="str">
        <f>_xlfn.XLOOKUP(E36,'All Products'!D:D,'All Products'!Q:Q,FALSE)</f>
        <v>-</v>
      </c>
    </row>
    <row r="37" spans="1:22" s="17" customFormat="1" ht="16.2" thickBot="1">
      <c r="A37" s="101" t="str">
        <f>IF(K37&gt;0,COUNT($A$8:A36)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37" s="501" t="s">
        <v>5862</v>
      </c>
      <c r="C37" s="151"/>
      <c r="D37" s="151"/>
      <c r="E37" s="459"/>
      <c r="F37" s="151"/>
      <c r="G37" s="468"/>
      <c r="H37" s="151"/>
      <c r="I37" s="472"/>
      <c r="J37" s="468"/>
      <c r="K37" s="477"/>
      <c r="L37" s="238"/>
      <c r="M37" s="476"/>
      <c r="O37" s="494"/>
      <c r="P37" s="478"/>
      <c r="Q37" s="492"/>
      <c r="R37" s="492"/>
      <c r="S37" s="492"/>
      <c r="T37" s="495"/>
      <c r="U37" s="496"/>
      <c r="V37" s="497"/>
    </row>
    <row r="38" spans="1:22" ht="48.75" customHeight="1">
      <c r="A38" s="101" t="str">
        <f>IF(K38&gt;0,COUNT($A$8:A37)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38" s="615"/>
      <c r="C38" s="615"/>
      <c r="D38" s="51" t="str">
        <f>_xlfn.XLOOKUP(E38,'All Products'!D:D,'All Products'!C:C,FALSE)</f>
        <v>35-1311</v>
      </c>
      <c r="E38" s="52">
        <v>300004428</v>
      </c>
      <c r="F38" s="53" t="str">
        <f>_xlfn.XLOOKUP(E38,'All Products'!D:D,'All Products'!E:E,FALSE)</f>
        <v>4 ADAPTER SWR SPGXDWV GSK SDR35</v>
      </c>
      <c r="G38" s="232">
        <f>_xlfn.XLOOKUP(E38,'All Products'!D:D,'All Products'!F:F,FALSE)</f>
        <v>6</v>
      </c>
      <c r="H38" s="232" t="str">
        <f>_xlfn.XLOOKUP(E38,'All Products'!D:D,'All Products'!G:G,FALSE)</f>
        <v>-</v>
      </c>
      <c r="I38" s="123" t="str">
        <f>_xlfn.XLOOKUP(E38,'All Products'!D:D,'All Products'!H:H,FALSE)</f>
        <v>Quote Required</v>
      </c>
      <c r="J38" s="130">
        <f>IFERROR(ROUNDUP(I38*Order_Quote!$L$15,2),0)</f>
        <v>0</v>
      </c>
      <c r="K38" s="119"/>
      <c r="L38" s="76"/>
      <c r="M38" s="114">
        <f t="shared" ref="M38:M46" si="2">K38/G38</f>
        <v>0</v>
      </c>
      <c r="O38" s="215" t="str">
        <f>_xlfn.XLOOKUP(E38,'All Products'!D:D,'All Products'!I:I,FALSE)</f>
        <v>Within 6 Weeks</v>
      </c>
      <c r="P38" s="215" t="str">
        <f>_xlfn.XLOOKUP(E38,'All Products'!D:D,'All Products'!J:J,FALSE)</f>
        <v>Sourced</v>
      </c>
      <c r="Q38" s="266">
        <f>_xlfn.XLOOKUP(E38,'All Products'!D:D,'All Products'!K:K,FALSE)</f>
        <v>812361011645</v>
      </c>
      <c r="R38" s="266" t="str">
        <f>_xlfn.XLOOKUP(E38,'All Products'!D:D,'All Products'!L:L,FALSE)</f>
        <v>-</v>
      </c>
      <c r="S38" s="266" t="str">
        <f>_xlfn.XLOOKUP(E38,'All Products'!D:D,'All Products'!M:M,FALSE)</f>
        <v>-</v>
      </c>
      <c r="T38" s="264">
        <f>_xlfn.XLOOKUP(E38,'All Products'!D:D,'All Products'!N:N,FALSE)</f>
        <v>0.4</v>
      </c>
      <c r="U38" s="265">
        <f>_xlfn.XLOOKUP(E38,'All Products'!D:D,'All Products'!P:P,FALSE)</f>
        <v>2.4000000000000004</v>
      </c>
      <c r="V38" s="265" t="str">
        <f>_xlfn.XLOOKUP(E38,'All Products'!D:D,'All Products'!Q:Q,FALSE)</f>
        <v>-</v>
      </c>
    </row>
    <row r="39" spans="1:22" ht="21.75" customHeight="1">
      <c r="A39" s="101" t="str">
        <f>IF(K39&gt;0,COUNT($A$8:A38)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39" s="615"/>
      <c r="C39" s="615"/>
      <c r="D39" s="51" t="str">
        <f>_xlfn.XLOOKUP(E39,'All Products'!D:D,'All Products'!C:C,FALSE)</f>
        <v>35-1314</v>
      </c>
      <c r="E39" s="52">
        <v>300004426</v>
      </c>
      <c r="F39" s="53" t="str">
        <f>_xlfn.XLOOKUP(E39,'All Products'!D:D,'All Products'!E:E,FALSE)</f>
        <v>4 ADAPTER SWR H X DWV GSK SDR35</v>
      </c>
      <c r="G39" s="232">
        <f>_xlfn.XLOOKUP(E39,'All Products'!D:D,'All Products'!F:F,FALSE)</f>
        <v>6</v>
      </c>
      <c r="H39" s="232" t="str">
        <f>_xlfn.XLOOKUP(E39,'All Products'!D:D,'All Products'!G:G,FALSE)</f>
        <v>-</v>
      </c>
      <c r="I39" s="123" t="str">
        <f>_xlfn.XLOOKUP(E39,'All Products'!D:D,'All Products'!H:H,FALSE)</f>
        <v>Quote Required</v>
      </c>
      <c r="J39" s="130">
        <f>IFERROR(ROUNDUP(I39*Order_Quote!$L$15,2),0)</f>
        <v>0</v>
      </c>
      <c r="K39" s="122"/>
      <c r="L39" s="76"/>
      <c r="M39" s="115">
        <f t="shared" si="2"/>
        <v>0</v>
      </c>
      <c r="O39" s="215" t="str">
        <f>_xlfn.XLOOKUP(E39,'All Products'!D:D,'All Products'!I:I,FALSE)</f>
        <v>Within 6 Weeks</v>
      </c>
      <c r="P39" s="215" t="str">
        <f>_xlfn.XLOOKUP(E39,'All Products'!D:D,'All Products'!J:J,FALSE)</f>
        <v>Sourced</v>
      </c>
      <c r="Q39" s="266">
        <f>_xlfn.XLOOKUP(E39,'All Products'!D:D,'All Products'!K:K,FALSE)</f>
        <v>812361013953</v>
      </c>
      <c r="R39" s="266" t="str">
        <f>_xlfn.XLOOKUP(E39,'All Products'!D:D,'All Products'!L:L,FALSE)</f>
        <v>-</v>
      </c>
      <c r="S39" s="266" t="str">
        <f>_xlfn.XLOOKUP(E39,'All Products'!D:D,'All Products'!M:M,FALSE)</f>
        <v>-</v>
      </c>
      <c r="T39" s="264">
        <f>_xlfn.XLOOKUP(E39,'All Products'!D:D,'All Products'!N:N,FALSE)</f>
        <v>0.4</v>
      </c>
      <c r="U39" s="265">
        <f>_xlfn.XLOOKUP(E39,'All Products'!D:D,'All Products'!P:P,FALSE)</f>
        <v>2.4000000000000004</v>
      </c>
      <c r="V39" s="265" t="str">
        <f>_xlfn.XLOOKUP(E39,'All Products'!D:D,'All Products'!Q:Q,FALSE)</f>
        <v>-</v>
      </c>
    </row>
    <row r="40" spans="1:22" ht="21.75" customHeight="1">
      <c r="A40" s="101" t="str">
        <f>IF(K40&gt;0,COUNT($A$8:A39)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40" s="615"/>
      <c r="C40" s="615"/>
      <c r="D40" s="51" t="str">
        <f>_xlfn.XLOOKUP(E40,'All Products'!D:D,'All Products'!C:C,FALSE)</f>
        <v>35-1316</v>
      </c>
      <c r="E40" s="52">
        <v>300004444</v>
      </c>
      <c r="F40" s="53" t="str">
        <f>_xlfn.XLOOKUP(E40,'All Products'!D:D,'All Products'!E:E,FALSE)</f>
        <v>6 ADAPTER SWR H X DWV GKTD SDR35</v>
      </c>
      <c r="G40" s="232">
        <f>_xlfn.XLOOKUP(E40,'All Products'!D:D,'All Products'!F:F,FALSE)</f>
        <v>4</v>
      </c>
      <c r="H40" s="232" t="str">
        <f>_xlfn.XLOOKUP(E40,'All Products'!D:D,'All Products'!G:G,FALSE)</f>
        <v>-</v>
      </c>
      <c r="I40" s="123" t="str">
        <f>_xlfn.XLOOKUP(E40,'All Products'!D:D,'All Products'!H:H,FALSE)</f>
        <v>Quote Required</v>
      </c>
      <c r="J40" s="130">
        <f>IFERROR(ROUNDUP(I40*Order_Quote!$L$15,2),0)</f>
        <v>0</v>
      </c>
      <c r="K40" s="118"/>
      <c r="L40" s="76"/>
      <c r="M40" s="114">
        <f t="shared" si="2"/>
        <v>0</v>
      </c>
      <c r="O40" s="215" t="str">
        <f>_xlfn.XLOOKUP(E40,'All Products'!D:D,'All Products'!I:I,FALSE)</f>
        <v>Within 6 Weeks</v>
      </c>
      <c r="P40" s="215" t="str">
        <f>_xlfn.XLOOKUP(E40,'All Products'!D:D,'All Products'!J:J,FALSE)</f>
        <v>Sourced</v>
      </c>
      <c r="Q40" s="266">
        <f>_xlfn.XLOOKUP(E40,'All Products'!D:D,'All Products'!K:K,FALSE)</f>
        <v>812361013977</v>
      </c>
      <c r="R40" s="266" t="str">
        <f>_xlfn.XLOOKUP(E40,'All Products'!D:D,'All Products'!L:L,FALSE)</f>
        <v>-</v>
      </c>
      <c r="S40" s="266" t="str">
        <f>_xlfn.XLOOKUP(E40,'All Products'!D:D,'All Products'!M:M,FALSE)</f>
        <v>-</v>
      </c>
      <c r="T40" s="264">
        <f>_xlfn.XLOOKUP(E40,'All Products'!D:D,'All Products'!N:N,FALSE)</f>
        <v>1</v>
      </c>
      <c r="U40" s="265">
        <f>_xlfn.XLOOKUP(E40,'All Products'!D:D,'All Products'!P:P,FALSE)</f>
        <v>4</v>
      </c>
      <c r="V40" s="265" t="str">
        <f>_xlfn.XLOOKUP(E40,'All Products'!D:D,'All Products'!Q:Q,FALSE)</f>
        <v>-</v>
      </c>
    </row>
    <row r="41" spans="1:22" ht="31.5" customHeight="1">
      <c r="A41" s="101" t="str">
        <f>IF(K41&gt;0,COUNT($A$8:A40)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41" s="615"/>
      <c r="C41" s="615"/>
      <c r="D41" s="51" t="str">
        <f>_xlfn.XLOOKUP(E41,'All Products'!D:D,'All Products'!C:C,FALSE)</f>
        <v>35-1679</v>
      </c>
      <c r="E41" s="52">
        <v>300005859</v>
      </c>
      <c r="F41" s="53" t="str">
        <f>_xlfn.XLOOKUP(E41,'All Products'!D:D,'All Products'!E:E,FALSE)</f>
        <v>4 ADAP SWR GSKT BY DWV H SDR35</v>
      </c>
      <c r="G41" s="232">
        <f>_xlfn.XLOOKUP(E41,'All Products'!D:D,'All Products'!F:F,FALSE)</f>
        <v>22</v>
      </c>
      <c r="H41" s="232">
        <f>_xlfn.XLOOKUP(E41,'All Products'!D:D,'All Products'!G:G,FALSE)</f>
        <v>528</v>
      </c>
      <c r="I41" s="123" t="str">
        <f>_xlfn.XLOOKUP(E41,'All Products'!D:D,'All Products'!H:H,FALSE)</f>
        <v>Quote Required</v>
      </c>
      <c r="J41" s="130">
        <f>IFERROR(ROUNDUP(I41*Order_Quote!$L$15,2),0)</f>
        <v>0</v>
      </c>
      <c r="K41" s="118"/>
      <c r="L41" s="76"/>
      <c r="M41" s="114">
        <f t="shared" si="2"/>
        <v>0</v>
      </c>
      <c r="O41" s="215" t="str">
        <f>_xlfn.XLOOKUP(E41,'All Products'!D:D,'All Products'!I:I,FALSE)</f>
        <v>Within 6 Weeks</v>
      </c>
      <c r="P41" s="215" t="str">
        <f>_xlfn.XLOOKUP(E41,'All Products'!D:D,'All Products'!J:J,FALSE)</f>
        <v>Sourced</v>
      </c>
      <c r="Q41" s="266">
        <f>_xlfn.XLOOKUP(E41,'All Products'!D:D,'All Products'!K:K,FALSE)</f>
        <v>810673018185</v>
      </c>
      <c r="R41" s="266" t="str">
        <f>_xlfn.XLOOKUP(E41,'All Products'!D:D,'All Products'!L:L,FALSE)</f>
        <v>-</v>
      </c>
      <c r="S41" s="266" t="str">
        <f>_xlfn.XLOOKUP(E41,'All Products'!D:D,'All Products'!M:M,FALSE)</f>
        <v>-</v>
      </c>
      <c r="T41" s="264">
        <f>_xlfn.XLOOKUP(E41,'All Products'!D:D,'All Products'!N:N,FALSE)</f>
        <v>0.58499999999999996</v>
      </c>
      <c r="U41" s="265">
        <f>_xlfn.XLOOKUP(E41,'All Products'!D:D,'All Products'!P:P,FALSE)</f>
        <v>12.87</v>
      </c>
      <c r="V41" s="265" t="str">
        <f>_xlfn.XLOOKUP(E41,'All Products'!D:D,'All Products'!Q:Q,FALSE)</f>
        <v>-</v>
      </c>
    </row>
    <row r="42" spans="1:22" ht="35.25" customHeight="1">
      <c r="A42" s="101" t="str">
        <f>IF(K42&gt;0,COUNT($A$8:A41)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42" s="615"/>
      <c r="C42" s="615"/>
      <c r="D42" s="51" t="str">
        <f>_xlfn.XLOOKUP(E42,'All Products'!D:D,'All Products'!C:C,FALSE)</f>
        <v>35-1689</v>
      </c>
      <c r="E42" s="52">
        <v>300004440</v>
      </c>
      <c r="F42" s="53" t="str">
        <f>_xlfn.XLOOKUP(E42,'All Products'!D:D,'All Products'!E:E,FALSE)</f>
        <v>6 ADAP SWR GSKT X DWV SPGT SDR35</v>
      </c>
      <c r="G42" s="232">
        <f>_xlfn.XLOOKUP(E42,'All Products'!D:D,'All Products'!F:F,FALSE)</f>
        <v>8</v>
      </c>
      <c r="H42" s="232" t="str">
        <f>_xlfn.XLOOKUP(E42,'All Products'!D:D,'All Products'!G:G,FALSE)</f>
        <v>-</v>
      </c>
      <c r="I42" s="123" t="str">
        <f>_xlfn.XLOOKUP(E42,'All Products'!D:D,'All Products'!H:H,FALSE)</f>
        <v>Quote Required</v>
      </c>
      <c r="J42" s="130">
        <f>IFERROR(ROUNDUP(I42*Order_Quote!$L$15,2),0)</f>
        <v>0</v>
      </c>
      <c r="K42" s="118"/>
      <c r="L42" s="76"/>
      <c r="M42" s="114">
        <f t="shared" si="2"/>
        <v>0</v>
      </c>
      <c r="O42" s="215" t="str">
        <f>_xlfn.XLOOKUP(E42,'All Products'!D:D,'All Products'!I:I,FALSE)</f>
        <v>Within 6 Weeks</v>
      </c>
      <c r="P42" s="215" t="str">
        <f>_xlfn.XLOOKUP(E42,'All Products'!D:D,'All Products'!J:J,FALSE)</f>
        <v>Sourced</v>
      </c>
      <c r="Q42" s="266">
        <f>_xlfn.XLOOKUP(E42,'All Products'!D:D,'All Products'!K:K,FALSE)</f>
        <v>812361014059</v>
      </c>
      <c r="R42" s="266" t="str">
        <f>_xlfn.XLOOKUP(E42,'All Products'!D:D,'All Products'!L:L,FALSE)</f>
        <v>-</v>
      </c>
      <c r="S42" s="266" t="str">
        <f>_xlfn.XLOOKUP(E42,'All Products'!D:D,'All Products'!M:M,FALSE)</f>
        <v>-</v>
      </c>
      <c r="T42" s="264">
        <f>_xlfn.XLOOKUP(E42,'All Products'!D:D,'All Products'!N:N,FALSE)</f>
        <v>1</v>
      </c>
      <c r="U42" s="265">
        <f>_xlfn.XLOOKUP(E42,'All Products'!D:D,'All Products'!P:P,FALSE)</f>
        <v>8</v>
      </c>
      <c r="V42" s="265" t="str">
        <f>_xlfn.XLOOKUP(E42,'All Products'!D:D,'All Products'!Q:Q,FALSE)</f>
        <v>-</v>
      </c>
    </row>
    <row r="43" spans="1:22">
      <c r="A43" s="101" t="str">
        <f>IF(K43&gt;0,COUNT($A$8:A42)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43" s="615"/>
      <c r="C43" s="615"/>
      <c r="D43" s="51" t="str">
        <f>_xlfn.XLOOKUP(E43,'All Products'!D:D,'All Products'!C:C,FALSE)</f>
        <v>35-1609</v>
      </c>
      <c r="E43" s="52">
        <v>300005897</v>
      </c>
      <c r="F43" s="53" t="str">
        <f>_xlfn.XLOOKUP(E43,'All Products'!D:D,'All Products'!E:E,FALSE)</f>
        <v>6 SAND MANHOLE ADAPT NOSTOP GXSLIP</v>
      </c>
      <c r="G43" s="232">
        <f>_xlfn.XLOOKUP(E43,'All Products'!D:D,'All Products'!F:F,FALSE)</f>
        <v>1</v>
      </c>
      <c r="H43" s="232">
        <f>_xlfn.XLOOKUP(E43,'All Products'!D:D,'All Products'!G:G,FALSE)</f>
        <v>180</v>
      </c>
      <c r="I43" s="123" t="str">
        <f>_xlfn.XLOOKUP(E43,'All Products'!D:D,'All Products'!H:H,FALSE)</f>
        <v>Quote Required</v>
      </c>
      <c r="J43" s="130">
        <f>IFERROR(ROUNDUP(I43*Order_Quote!$L$15,2),0)</f>
        <v>0</v>
      </c>
      <c r="K43" s="118"/>
      <c r="L43" s="76"/>
      <c r="M43" s="114">
        <f t="shared" si="2"/>
        <v>0</v>
      </c>
      <c r="O43" s="215" t="str">
        <f>_xlfn.XLOOKUP(E43,'All Products'!D:D,'All Products'!I:I,FALSE)</f>
        <v>Within 6 Weeks</v>
      </c>
      <c r="P43" s="215" t="str">
        <f>_xlfn.XLOOKUP(E43,'All Products'!D:D,'All Products'!J:J,FALSE)</f>
        <v>Sourced</v>
      </c>
      <c r="Q43" s="266">
        <f>_xlfn.XLOOKUP(E43,'All Products'!D:D,'All Products'!K:K,FALSE)</f>
        <v>810673017850</v>
      </c>
      <c r="R43" s="266" t="str">
        <f>_xlfn.XLOOKUP(E43,'All Products'!D:D,'All Products'!L:L,FALSE)</f>
        <v>-</v>
      </c>
      <c r="S43" s="266" t="str">
        <f>_xlfn.XLOOKUP(E43,'All Products'!D:D,'All Products'!M:M,FALSE)</f>
        <v>-</v>
      </c>
      <c r="T43" s="264">
        <f>_xlfn.XLOOKUP(E43,'All Products'!D:D,'All Products'!N:N,FALSE)</f>
        <v>2.2000000000000002</v>
      </c>
      <c r="U43" s="265">
        <f>_xlfn.XLOOKUP(E43,'All Products'!D:D,'All Products'!P:P,FALSE)</f>
        <v>2.2000000000000002</v>
      </c>
      <c r="V43" s="265" t="str">
        <f>_xlfn.XLOOKUP(E43,'All Products'!D:D,'All Products'!Q:Q,FALSE)</f>
        <v>-</v>
      </c>
    </row>
    <row r="44" spans="1:22">
      <c r="A44" s="101" t="str">
        <f>IF(K44&gt;0,COUNT($A$8:A43)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44" s="615"/>
      <c r="C44" s="615"/>
      <c r="D44" s="51" t="str">
        <f>_xlfn.XLOOKUP(E44,'All Products'!D:D,'All Products'!C:C,FALSE)</f>
        <v>35-217</v>
      </c>
      <c r="E44" s="52">
        <v>300005898</v>
      </c>
      <c r="F44" s="53" t="str">
        <f>_xlfn.XLOOKUP(E44,'All Products'!D:D,'All Products'!E:E,FALSE)</f>
        <v>8 SAND MANHOLE ADAPT NOSTOP GXSLIP</v>
      </c>
      <c r="G44" s="232">
        <f>_xlfn.XLOOKUP(E44,'All Products'!D:D,'All Products'!F:F,FALSE)</f>
        <v>1</v>
      </c>
      <c r="H44" s="232">
        <f>_xlfn.XLOOKUP(E44,'All Products'!D:D,'All Products'!G:G,FALSE)</f>
        <v>120</v>
      </c>
      <c r="I44" s="123" t="str">
        <f>_xlfn.XLOOKUP(E44,'All Products'!D:D,'All Products'!H:H,FALSE)</f>
        <v>Quote Required</v>
      </c>
      <c r="J44" s="130">
        <f>IFERROR(ROUNDUP(I44*Order_Quote!$L$15,2),0)</f>
        <v>0</v>
      </c>
      <c r="K44" s="118"/>
      <c r="L44" s="76"/>
      <c r="M44" s="114">
        <f t="shared" si="2"/>
        <v>0</v>
      </c>
      <c r="O44" s="215" t="str">
        <f>_xlfn.XLOOKUP(E44,'All Products'!D:D,'All Products'!I:I,FALSE)</f>
        <v>Within 6 Weeks</v>
      </c>
      <c r="P44" s="215" t="str">
        <f>_xlfn.XLOOKUP(E44,'All Products'!D:D,'All Products'!J:J,FALSE)</f>
        <v>Sourced</v>
      </c>
      <c r="Q44" s="266">
        <f>_xlfn.XLOOKUP(E44,'All Products'!D:D,'All Products'!K:K,FALSE)</f>
        <v>810673017867</v>
      </c>
      <c r="R44" s="266" t="str">
        <f>_xlfn.XLOOKUP(E44,'All Products'!D:D,'All Products'!L:L,FALSE)</f>
        <v>-</v>
      </c>
      <c r="S44" s="266" t="str">
        <f>_xlfn.XLOOKUP(E44,'All Products'!D:D,'All Products'!M:M,FALSE)</f>
        <v>-</v>
      </c>
      <c r="T44" s="264">
        <f>_xlfn.XLOOKUP(E44,'All Products'!D:D,'All Products'!N:N,FALSE)</f>
        <v>112.83</v>
      </c>
      <c r="U44" s="265">
        <f>_xlfn.XLOOKUP(E44,'All Products'!D:D,'All Products'!P:P,FALSE)</f>
        <v>112.83</v>
      </c>
      <c r="V44" s="265" t="str">
        <f>_xlfn.XLOOKUP(E44,'All Products'!D:D,'All Products'!Q:Q,FALSE)</f>
        <v>-</v>
      </c>
    </row>
    <row r="45" spans="1:22">
      <c r="A45" s="101" t="str">
        <f>IF(K45&gt;0,COUNT($A$8:A44)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45" s="615"/>
      <c r="C45" s="615"/>
      <c r="D45" s="51" t="str">
        <f>_xlfn.XLOOKUP(E45,'All Products'!D:D,'All Products'!C:C,FALSE)</f>
        <v>35-218</v>
      </c>
      <c r="E45" s="52">
        <v>300005899</v>
      </c>
      <c r="F45" s="53" t="str">
        <f>_xlfn.XLOOKUP(E45,'All Products'!D:D,'All Products'!E:E,FALSE)</f>
        <v>10 SAND MANHOLE ADAPT NOSTOP GXSLIP</v>
      </c>
      <c r="G45" s="232">
        <f>_xlfn.XLOOKUP(E45,'All Products'!D:D,'All Products'!F:F,FALSE)</f>
        <v>1</v>
      </c>
      <c r="H45" s="232">
        <f>_xlfn.XLOOKUP(E45,'All Products'!D:D,'All Products'!G:G,FALSE)</f>
        <v>60</v>
      </c>
      <c r="I45" s="123" t="str">
        <f>_xlfn.XLOOKUP(E45,'All Products'!D:D,'All Products'!H:H,FALSE)</f>
        <v>Quote Required</v>
      </c>
      <c r="J45" s="130">
        <f>IFERROR(ROUNDUP(I45*Order_Quote!$L$15,2),0)</f>
        <v>0</v>
      </c>
      <c r="K45" s="118"/>
      <c r="L45" s="76"/>
      <c r="M45" s="115">
        <f t="shared" si="2"/>
        <v>0</v>
      </c>
      <c r="O45" s="215" t="str">
        <f>_xlfn.XLOOKUP(E45,'All Products'!D:D,'All Products'!I:I,FALSE)</f>
        <v>Within 6 Weeks</v>
      </c>
      <c r="P45" s="215" t="str">
        <f>_xlfn.XLOOKUP(E45,'All Products'!D:D,'All Products'!J:J,FALSE)</f>
        <v>Sourced</v>
      </c>
      <c r="Q45" s="266">
        <f>_xlfn.XLOOKUP(E45,'All Products'!D:D,'All Products'!K:K,FALSE)</f>
        <v>810673017874</v>
      </c>
      <c r="R45" s="266" t="str">
        <f>_xlfn.XLOOKUP(E45,'All Products'!D:D,'All Products'!L:L,FALSE)</f>
        <v>-</v>
      </c>
      <c r="S45" s="266" t="str">
        <f>_xlfn.XLOOKUP(E45,'All Products'!D:D,'All Products'!M:M,FALSE)</f>
        <v>-</v>
      </c>
      <c r="T45" s="264">
        <f>_xlfn.XLOOKUP(E45,'All Products'!D:D,'All Products'!N:N,FALSE)</f>
        <v>115.12</v>
      </c>
      <c r="U45" s="265">
        <f>_xlfn.XLOOKUP(E45,'All Products'!D:D,'All Products'!P:P,FALSE)</f>
        <v>115.12</v>
      </c>
      <c r="V45" s="265" t="str">
        <f>_xlfn.XLOOKUP(E45,'All Products'!D:D,'All Products'!Q:Q,FALSE)</f>
        <v>-</v>
      </c>
    </row>
    <row r="46" spans="1:22" ht="15" thickBot="1">
      <c r="A46" s="101" t="str">
        <f>IF(K46&gt;0,COUNT($A$8:A45)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46" s="615"/>
      <c r="C46" s="615"/>
      <c r="D46" s="51" t="str">
        <f>_xlfn.XLOOKUP(E46,'All Products'!D:D,'All Products'!C:C,FALSE)</f>
        <v>35-219</v>
      </c>
      <c r="E46" s="52">
        <v>300005900</v>
      </c>
      <c r="F46" s="53" t="str">
        <f>_xlfn.XLOOKUP(E46,'All Products'!D:D,'All Products'!E:E,FALSE)</f>
        <v>12 SAND MANHOLE ADAPT NOSTOP GXSLIP</v>
      </c>
      <c r="G46" s="232">
        <f>_xlfn.XLOOKUP(E46,'All Products'!D:D,'All Products'!F:F,FALSE)</f>
        <v>1</v>
      </c>
      <c r="H46" s="232">
        <f>_xlfn.XLOOKUP(E46,'All Products'!D:D,'All Products'!G:G,FALSE)</f>
        <v>36</v>
      </c>
      <c r="I46" s="123" t="str">
        <f>_xlfn.XLOOKUP(E46,'All Products'!D:D,'All Products'!H:H,FALSE)</f>
        <v>Quote Required</v>
      </c>
      <c r="J46" s="130">
        <f>IFERROR(ROUNDUP(I46*Order_Quote!$L$15,2),0)</f>
        <v>0</v>
      </c>
      <c r="K46" s="118"/>
      <c r="L46" s="76"/>
      <c r="M46" s="114">
        <f t="shared" si="2"/>
        <v>0</v>
      </c>
      <c r="O46" s="215" t="str">
        <f>_xlfn.XLOOKUP(E46,'All Products'!D:D,'All Products'!I:I,FALSE)</f>
        <v>Within 6 Weeks</v>
      </c>
      <c r="P46" s="215" t="str">
        <f>_xlfn.XLOOKUP(E46,'All Products'!D:D,'All Products'!J:J,FALSE)</f>
        <v>Sourced</v>
      </c>
      <c r="Q46" s="266">
        <f>_xlfn.XLOOKUP(E46,'All Products'!D:D,'All Products'!K:K,FALSE)</f>
        <v>810673017881</v>
      </c>
      <c r="R46" s="266" t="str">
        <f>_xlfn.XLOOKUP(E46,'All Products'!D:D,'All Products'!L:L,FALSE)</f>
        <v>-</v>
      </c>
      <c r="S46" s="266" t="str">
        <f>_xlfn.XLOOKUP(E46,'All Products'!D:D,'All Products'!M:M,FALSE)</f>
        <v>-</v>
      </c>
      <c r="T46" s="264">
        <f>_xlfn.XLOOKUP(E46,'All Products'!D:D,'All Products'!N:N,FALSE)</f>
        <v>7.5</v>
      </c>
      <c r="U46" s="265">
        <f>_xlfn.XLOOKUP(E46,'All Products'!D:D,'All Products'!P:P,FALSE)</f>
        <v>7.5</v>
      </c>
      <c r="V46" s="265" t="str">
        <f>_xlfn.XLOOKUP(E46,'All Products'!D:D,'All Products'!Q:Q,FALSE)</f>
        <v>-</v>
      </c>
    </row>
    <row r="47" spans="1:22" s="17" customFormat="1" ht="16.2" thickBot="1">
      <c r="A47" s="101" t="str">
        <f>IF(K47&gt;0,COUNT($A$8:A46)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47" s="501" t="s">
        <v>5850</v>
      </c>
      <c r="C47" s="151"/>
      <c r="D47" s="151"/>
      <c r="E47" s="459"/>
      <c r="F47" s="151"/>
      <c r="G47" s="468"/>
      <c r="H47" s="151"/>
      <c r="I47" s="472"/>
      <c r="J47" s="468"/>
      <c r="K47" s="477"/>
      <c r="L47" s="238"/>
      <c r="M47" s="476"/>
      <c r="O47" s="494"/>
      <c r="P47" s="478"/>
      <c r="Q47" s="492"/>
      <c r="R47" s="492"/>
      <c r="S47" s="492"/>
      <c r="T47" s="495"/>
      <c r="U47" s="496"/>
      <c r="V47" s="497"/>
    </row>
    <row r="48" spans="1:22">
      <c r="A48" s="101" t="str">
        <f>IF(K48&gt;0,COUNT($A$8:A47)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48" s="615"/>
      <c r="C48" s="615"/>
      <c r="D48" s="51" t="str">
        <f>_xlfn.XLOOKUP(E48,'All Products'!D:D,'All Products'!C:C,FALSE)</f>
        <v>35-1596</v>
      </c>
      <c r="E48" s="52">
        <v>100029305</v>
      </c>
      <c r="F48" s="53" t="str">
        <f>_xlfn.XLOOKUP(E48,'All Products'!D:D,'All Products'!E:E,FALSE)</f>
        <v>4 ELBOW 90 GXG SDR35</v>
      </c>
      <c r="G48" s="232">
        <f>_xlfn.XLOOKUP(E48,'All Products'!D:D,'All Products'!F:F,FALSE)</f>
        <v>10</v>
      </c>
      <c r="H48" s="232">
        <f>_xlfn.XLOOKUP(E48,'All Products'!D:D,'All Products'!G:G,FALSE)</f>
        <v>240</v>
      </c>
      <c r="I48" s="123">
        <f>_xlfn.XLOOKUP(E48,'All Products'!D:D,'All Products'!H:H,FALSE)</f>
        <v>82.07</v>
      </c>
      <c r="J48" s="130">
        <f>IFERROR(ROUNDUP(I48*Order_Quote!$L$15,2),0)</f>
        <v>82.07</v>
      </c>
      <c r="K48" s="122"/>
      <c r="L48" s="76"/>
      <c r="M48" s="114">
        <f t="shared" ref="M48:M65" si="3">K48/G48</f>
        <v>0</v>
      </c>
      <c r="O48" s="215" t="str">
        <f>_xlfn.XLOOKUP(E48,'All Products'!D:D,'All Products'!I:I,FALSE)</f>
        <v>In Stock</v>
      </c>
      <c r="P48" s="215" t="str">
        <f>_xlfn.XLOOKUP(E48,'All Products'!D:D,'All Products'!J:J,FALSE)</f>
        <v>Manufactured</v>
      </c>
      <c r="Q48" s="266">
        <f>_xlfn.XLOOKUP(E48,'All Products'!D:D,'All Products'!K:K,FALSE)</f>
        <v>810673017355</v>
      </c>
      <c r="R48" s="266" t="str">
        <f>_xlfn.XLOOKUP(E48,'All Products'!D:D,'All Products'!L:L,FALSE)</f>
        <v>-</v>
      </c>
      <c r="S48" s="266">
        <f>_xlfn.XLOOKUP(E48,'All Products'!D:D,'All Products'!M:M,FALSE)</f>
        <v>810673017362</v>
      </c>
      <c r="T48" s="264">
        <f>_xlfn.XLOOKUP(E48,'All Products'!D:D,'All Products'!N:N,FALSE)</f>
        <v>1.4319999999999999</v>
      </c>
      <c r="U48" s="265">
        <f>_xlfn.XLOOKUP(E48,'All Products'!D:D,'All Products'!P:P,FALSE)</f>
        <v>16.490000000000002</v>
      </c>
      <c r="V48" s="265">
        <f>_xlfn.XLOOKUP(E48,'All Products'!D:D,'All Products'!Q:Q,FALSE)</f>
        <v>1.8803145838984718</v>
      </c>
    </row>
    <row r="49" spans="1:22">
      <c r="A49" s="101" t="str">
        <f>IF(K49&gt;0,COUNT($A$8:A48)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49" s="615"/>
      <c r="C49" s="615"/>
      <c r="D49" s="51" t="str">
        <f>_xlfn.XLOOKUP(E49,'All Products'!D:D,'All Products'!C:C,FALSE)</f>
        <v>35-1597</v>
      </c>
      <c r="E49" s="52">
        <v>100029317</v>
      </c>
      <c r="F49" s="53" t="str">
        <f>_xlfn.XLOOKUP(E49,'All Products'!D:D,'All Products'!E:E,FALSE)</f>
        <v>6 ELBOW 90 GXG SDR35</v>
      </c>
      <c r="G49" s="232">
        <f>_xlfn.XLOOKUP(E49,'All Products'!D:D,'All Products'!F:F,FALSE)</f>
        <v>1</v>
      </c>
      <c r="H49" s="232">
        <f>_xlfn.XLOOKUP(E49,'All Products'!D:D,'All Products'!G:G,FALSE)</f>
        <v>100</v>
      </c>
      <c r="I49" s="123">
        <f>_xlfn.XLOOKUP(E49,'All Products'!D:D,'All Products'!H:H,FALSE)</f>
        <v>151.02000000000001</v>
      </c>
      <c r="J49" s="130">
        <f>IFERROR(ROUNDUP(I49*Order_Quote!$L$15,2),0)</f>
        <v>151.02000000000001</v>
      </c>
      <c r="K49" s="118"/>
      <c r="L49" s="76"/>
      <c r="M49" s="114">
        <f t="shared" si="3"/>
        <v>0</v>
      </c>
      <c r="O49" s="215" t="str">
        <f>_xlfn.XLOOKUP(E49,'All Products'!D:D,'All Products'!I:I,FALSE)</f>
        <v>In Stock</v>
      </c>
      <c r="P49" s="215" t="str">
        <f>_xlfn.XLOOKUP(E49,'All Products'!D:D,'All Products'!J:J,FALSE)</f>
        <v>Manufactured</v>
      </c>
      <c r="Q49" s="266">
        <f>_xlfn.XLOOKUP(E49,'All Products'!D:D,'All Products'!K:K,FALSE)</f>
        <v>810673017379</v>
      </c>
      <c r="R49" s="266" t="str">
        <f>_xlfn.XLOOKUP(E49,'All Products'!D:D,'All Products'!L:L,FALSE)</f>
        <v>-</v>
      </c>
      <c r="S49" s="266">
        <f>_xlfn.XLOOKUP(E49,'All Products'!D:D,'All Products'!M:M,FALSE)</f>
        <v>812361016459</v>
      </c>
      <c r="T49" s="264">
        <f>_xlfn.XLOOKUP(E49,'All Products'!D:D,'All Products'!N:N,FALSE)</f>
        <v>3.7480000000000002</v>
      </c>
      <c r="U49" s="265">
        <f>_xlfn.XLOOKUP(E49,'All Products'!D:D,'All Products'!P:P,FALSE)</f>
        <v>489.29999999999995</v>
      </c>
      <c r="V49" s="265">
        <f>_xlfn.XLOOKUP(E49,'All Products'!D:D,'All Products'!Q:Q,FALSE)</f>
        <v>53.333269333358928</v>
      </c>
    </row>
    <row r="50" spans="1:22">
      <c r="A50" s="101" t="str">
        <f>IF(K50&gt;0,COUNT($A$8:A49)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50" s="615"/>
      <c r="C50" s="615"/>
      <c r="D50" s="51" t="str">
        <f>_xlfn.XLOOKUP(E50,'All Products'!D:D,'All Products'!C:C,FALSE)</f>
        <v>35-96</v>
      </c>
      <c r="E50" s="52">
        <v>100029306</v>
      </c>
      <c r="F50" s="53" t="str">
        <f>_xlfn.XLOOKUP(E50,'All Products'!D:D,'All Products'!E:E,FALSE)</f>
        <v>8 ELBOW 90 GXG SDR35</v>
      </c>
      <c r="G50" s="232">
        <f>_xlfn.XLOOKUP(E50,'All Products'!D:D,'All Products'!F:F,FALSE)</f>
        <v>1</v>
      </c>
      <c r="H50" s="232">
        <f>_xlfn.XLOOKUP(E50,'All Products'!D:D,'All Products'!G:G,FALSE)</f>
        <v>54</v>
      </c>
      <c r="I50" s="123">
        <f>_xlfn.XLOOKUP(E50,'All Products'!D:D,'All Products'!H:H,FALSE)</f>
        <v>417.67</v>
      </c>
      <c r="J50" s="130">
        <f>IFERROR(ROUNDUP(I50*Order_Quote!$L$15,2),0)</f>
        <v>417.67</v>
      </c>
      <c r="K50" s="118"/>
      <c r="L50" s="76"/>
      <c r="M50" s="114">
        <f t="shared" si="3"/>
        <v>0</v>
      </c>
      <c r="O50" s="215" t="str">
        <f>_xlfn.XLOOKUP(E50,'All Products'!D:D,'All Products'!I:I,FALSE)</f>
        <v>In Stock</v>
      </c>
      <c r="P50" s="215" t="str">
        <f>_xlfn.XLOOKUP(E50,'All Products'!D:D,'All Products'!J:J,FALSE)</f>
        <v>Manufactured</v>
      </c>
      <c r="Q50" s="266">
        <f>_xlfn.XLOOKUP(E50,'All Products'!D:D,'All Products'!K:K,FALSE)</f>
        <v>810673017393</v>
      </c>
      <c r="R50" s="266" t="str">
        <f>_xlfn.XLOOKUP(E50,'All Products'!D:D,'All Products'!L:L,FALSE)</f>
        <v>-</v>
      </c>
      <c r="S50" s="266">
        <f>_xlfn.XLOOKUP(E50,'All Products'!D:D,'All Products'!M:M,FALSE)</f>
        <v>812361016701</v>
      </c>
      <c r="T50" s="264">
        <f>_xlfn.XLOOKUP(E50,'All Products'!D:D,'All Products'!N:N,FALSE)</f>
        <v>5.3259999999999996</v>
      </c>
      <c r="U50" s="265">
        <f>_xlfn.XLOOKUP(E50,'All Products'!D:D,'All Products'!P:P,FALSE)</f>
        <v>404.02800000000002</v>
      </c>
      <c r="V50" s="265">
        <f>_xlfn.XLOOKUP(E50,'All Products'!D:D,'All Products'!Q:Q,FALSE)</f>
        <v>53.333269333358928</v>
      </c>
    </row>
    <row r="51" spans="1:22">
      <c r="A51" s="101" t="str">
        <f>IF(K51&gt;0,COUNT($A$8:A50)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51" s="615"/>
      <c r="C51" s="615"/>
      <c r="D51" s="51" t="str">
        <f>_xlfn.XLOOKUP(E51,'All Products'!D:D,'All Products'!C:C,FALSE)</f>
        <v>35-105</v>
      </c>
      <c r="E51" s="52">
        <v>100029329</v>
      </c>
      <c r="F51" s="53" t="str">
        <f>_xlfn.XLOOKUP(E51,'All Products'!D:D,'All Products'!E:E,FALSE)</f>
        <v>10 ELBOW 90 GXG SDR35</v>
      </c>
      <c r="G51" s="232">
        <f>_xlfn.XLOOKUP(E51,'All Products'!D:D,'All Products'!F:F,FALSE)</f>
        <v>1</v>
      </c>
      <c r="H51" s="232">
        <f>_xlfn.XLOOKUP(E51,'All Products'!D:D,'All Products'!G:G,FALSE)</f>
        <v>24</v>
      </c>
      <c r="I51" s="123">
        <f>_xlfn.XLOOKUP(E51,'All Products'!D:D,'All Products'!H:H,FALSE)</f>
        <v>1404.71</v>
      </c>
      <c r="J51" s="130">
        <f>IFERROR(ROUNDUP(I51*Order_Quote!$L$15,2),0)</f>
        <v>1404.71</v>
      </c>
      <c r="K51" s="118"/>
      <c r="L51" s="76"/>
      <c r="M51" s="115">
        <f t="shared" si="3"/>
        <v>0</v>
      </c>
      <c r="O51" s="215" t="str">
        <f>_xlfn.XLOOKUP(E51,'All Products'!D:D,'All Products'!I:I,FALSE)</f>
        <v>In Stock</v>
      </c>
      <c r="P51" s="215" t="str">
        <f>_xlfn.XLOOKUP(E51,'All Products'!D:D,'All Products'!J:J,FALSE)</f>
        <v>Manufactured</v>
      </c>
      <c r="Q51" s="266">
        <f>_xlfn.XLOOKUP(E51,'All Products'!D:D,'All Products'!K:K,FALSE)</f>
        <v>810673017416</v>
      </c>
      <c r="R51" s="266" t="str">
        <f>_xlfn.XLOOKUP(E51,'All Products'!D:D,'All Products'!L:L,FALSE)</f>
        <v>-</v>
      </c>
      <c r="S51" s="266">
        <f>_xlfn.XLOOKUP(E51,'All Products'!D:D,'All Products'!M:M,FALSE)</f>
        <v>812361016718</v>
      </c>
      <c r="T51" s="264">
        <f>_xlfn.XLOOKUP(E51,'All Products'!D:D,'All Products'!N:N,FALSE)</f>
        <v>11.148</v>
      </c>
      <c r="U51" s="265">
        <f>_xlfn.XLOOKUP(E51,'All Products'!D:D,'All Products'!P:P,FALSE)</f>
        <v>267.55200000000002</v>
      </c>
      <c r="V51" s="265">
        <f>_xlfn.XLOOKUP(E51,'All Products'!D:D,'All Products'!Q:Q,FALSE)</f>
        <v>53.333269333358928</v>
      </c>
    </row>
    <row r="52" spans="1:22">
      <c r="A52" s="101" t="str">
        <f>IF(K52&gt;0,COUNT($A$8:A51)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52" s="615"/>
      <c r="C52" s="615"/>
      <c r="D52" s="51" t="str">
        <f>_xlfn.XLOOKUP(E52,'All Products'!D:D,'All Products'!C:C,FALSE)</f>
        <v>35-114</v>
      </c>
      <c r="E52" s="52">
        <v>100029330</v>
      </c>
      <c r="F52" s="53" t="str">
        <f>_xlfn.XLOOKUP(E52,'All Products'!D:D,'All Products'!E:E,FALSE)</f>
        <v>12 ELBOW 90 GXG SDR35</v>
      </c>
      <c r="G52" s="232">
        <f>_xlfn.XLOOKUP(E52,'All Products'!D:D,'All Products'!F:F,FALSE)</f>
        <v>1</v>
      </c>
      <c r="H52" s="232">
        <f>_xlfn.XLOOKUP(E52,'All Products'!D:D,'All Products'!G:G,FALSE)</f>
        <v>18</v>
      </c>
      <c r="I52" s="123">
        <f>_xlfn.XLOOKUP(E52,'All Products'!D:D,'All Products'!H:H,FALSE)</f>
        <v>1817.73</v>
      </c>
      <c r="J52" s="130">
        <f>IFERROR(ROUNDUP(I52*Order_Quote!$L$15,2),0)</f>
        <v>1817.73</v>
      </c>
      <c r="K52" s="118"/>
      <c r="L52" s="76"/>
      <c r="M52" s="114">
        <f t="shared" si="3"/>
        <v>0</v>
      </c>
      <c r="O52" s="215" t="str">
        <f>_xlfn.XLOOKUP(E52,'All Products'!D:D,'All Products'!I:I,FALSE)</f>
        <v>In Stock</v>
      </c>
      <c r="P52" s="215" t="str">
        <f>_xlfn.XLOOKUP(E52,'All Products'!D:D,'All Products'!J:J,FALSE)</f>
        <v>Manufactured</v>
      </c>
      <c r="Q52" s="266">
        <f>_xlfn.XLOOKUP(E52,'All Products'!D:D,'All Products'!K:K,FALSE)</f>
        <v>810673017423</v>
      </c>
      <c r="R52" s="266" t="str">
        <f>_xlfn.XLOOKUP(E52,'All Products'!D:D,'All Products'!L:L,FALSE)</f>
        <v>-</v>
      </c>
      <c r="S52" s="266">
        <f>_xlfn.XLOOKUP(E52,'All Products'!D:D,'All Products'!M:M,FALSE)</f>
        <v>812361016466</v>
      </c>
      <c r="T52" s="264">
        <f>_xlfn.XLOOKUP(E52,'All Products'!D:D,'All Products'!N:N,FALSE)</f>
        <v>18.068000000000001</v>
      </c>
      <c r="U52" s="265">
        <f>_xlfn.XLOOKUP(E52,'All Products'!D:D,'All Products'!P:P,FALSE)</f>
        <v>325.22400000000005</v>
      </c>
      <c r="V52" s="265">
        <f>_xlfn.XLOOKUP(E52,'All Products'!D:D,'All Products'!Q:Q,FALSE)</f>
        <v>53.333269333358928</v>
      </c>
    </row>
    <row r="53" spans="1:22">
      <c r="A53" s="101" t="str">
        <f>IF(K53&gt;0,COUNT($A$8:A52)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53" s="615"/>
      <c r="C53" s="615"/>
      <c r="D53" s="51" t="str">
        <f>_xlfn.XLOOKUP(E53,'All Products'!D:D,'All Products'!C:C,FALSE)</f>
        <v>35-1598</v>
      </c>
      <c r="E53" s="52">
        <v>100029303</v>
      </c>
      <c r="F53" s="53" t="str">
        <f>_xlfn.XLOOKUP(E53,'All Products'!D:D,'All Products'!E:E,FALSE)</f>
        <v>4 ELBOW 90 GXS SDR35</v>
      </c>
      <c r="G53" s="232">
        <f>_xlfn.XLOOKUP(E53,'All Products'!D:D,'All Products'!F:F,FALSE)</f>
        <v>10</v>
      </c>
      <c r="H53" s="232">
        <f>_xlfn.XLOOKUP(E53,'All Products'!D:D,'All Products'!G:G,FALSE)</f>
        <v>240</v>
      </c>
      <c r="I53" s="123">
        <f>_xlfn.XLOOKUP(E53,'All Products'!D:D,'All Products'!H:H,FALSE)</f>
        <v>75.47</v>
      </c>
      <c r="J53" s="130">
        <f>IFERROR(ROUNDUP(I53*Order_Quote!$L$15,2),0)</f>
        <v>75.47</v>
      </c>
      <c r="K53" s="122"/>
      <c r="L53" s="76"/>
      <c r="M53" s="114">
        <f t="shared" si="3"/>
        <v>0</v>
      </c>
      <c r="O53" s="215" t="str">
        <f>_xlfn.XLOOKUP(E53,'All Products'!D:D,'All Products'!I:I,FALSE)</f>
        <v>In Stock</v>
      </c>
      <c r="P53" s="215" t="str">
        <f>_xlfn.XLOOKUP(E53,'All Products'!D:D,'All Products'!J:J,FALSE)</f>
        <v>Manufactured</v>
      </c>
      <c r="Q53" s="266">
        <f>_xlfn.XLOOKUP(E53,'All Products'!D:D,'All Products'!K:K,FALSE)</f>
        <v>810673017430</v>
      </c>
      <c r="R53" s="266" t="str">
        <f>_xlfn.XLOOKUP(E53,'All Products'!D:D,'All Products'!L:L,FALSE)</f>
        <v>-</v>
      </c>
      <c r="S53" s="266">
        <f>_xlfn.XLOOKUP(E53,'All Products'!D:D,'All Products'!M:M,FALSE)</f>
        <v>812361015544</v>
      </c>
      <c r="T53" s="264">
        <f>_xlfn.XLOOKUP(E53,'All Products'!D:D,'All Products'!N:N,FALSE)</f>
        <v>1.276</v>
      </c>
      <c r="U53" s="265">
        <f>_xlfn.XLOOKUP(E53,'All Products'!D:D,'All Products'!P:P,FALSE)</f>
        <v>14.930000000000001</v>
      </c>
      <c r="V53" s="265">
        <f>_xlfn.XLOOKUP(E53,'All Products'!D:D,'All Products'!Q:Q,FALSE)</f>
        <v>1.8803145838984718</v>
      </c>
    </row>
    <row r="54" spans="1:22">
      <c r="A54" s="101" t="str">
        <f>IF(K54&gt;0,COUNT($A$8:A53)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54" s="615"/>
      <c r="C54" s="615"/>
      <c r="D54" s="51" t="str">
        <f>_xlfn.XLOOKUP(E54,'All Products'!D:D,'All Products'!C:C,FALSE)</f>
        <v>35-1599</v>
      </c>
      <c r="E54" s="52">
        <v>100029313</v>
      </c>
      <c r="F54" s="53" t="str">
        <f>_xlfn.XLOOKUP(E54,'All Products'!D:D,'All Products'!E:E,FALSE)</f>
        <v>6 ELBOW 90 GXS SDR35</v>
      </c>
      <c r="G54" s="232">
        <f>_xlfn.XLOOKUP(E54,'All Products'!D:D,'All Products'!F:F,FALSE)</f>
        <v>1</v>
      </c>
      <c r="H54" s="232">
        <f>_xlfn.XLOOKUP(E54,'All Products'!D:D,'All Products'!G:G,FALSE)</f>
        <v>100</v>
      </c>
      <c r="I54" s="123">
        <f>_xlfn.XLOOKUP(E54,'All Products'!D:D,'All Products'!H:H,FALSE)</f>
        <v>159.61000000000001</v>
      </c>
      <c r="J54" s="130">
        <f>IFERROR(ROUNDUP(I54*Order_Quote!$L$15,2),0)</f>
        <v>159.61000000000001</v>
      </c>
      <c r="K54" s="118"/>
      <c r="L54" s="76"/>
      <c r="M54" s="115">
        <f t="shared" si="3"/>
        <v>0</v>
      </c>
      <c r="O54" s="215" t="str">
        <f>_xlfn.XLOOKUP(E54,'All Products'!D:D,'All Products'!I:I,FALSE)</f>
        <v>Within 3 Weeks</v>
      </c>
      <c r="P54" s="215" t="str">
        <f>_xlfn.XLOOKUP(E54,'All Products'!D:D,'All Products'!J:J,FALSE)</f>
        <v>Manufactured</v>
      </c>
      <c r="Q54" s="266">
        <f>_xlfn.XLOOKUP(E54,'All Products'!D:D,'All Products'!K:K,FALSE)</f>
        <v>810673017454</v>
      </c>
      <c r="R54" s="266" t="str">
        <f>_xlfn.XLOOKUP(E54,'All Products'!D:D,'All Products'!L:L,FALSE)</f>
        <v>-</v>
      </c>
      <c r="S54" s="266">
        <f>_xlfn.XLOOKUP(E54,'All Products'!D:D,'All Products'!M:M,FALSE)</f>
        <v>812361016435</v>
      </c>
      <c r="T54" s="264">
        <f>_xlfn.XLOOKUP(E54,'All Products'!D:D,'All Products'!N:N,FALSE)</f>
        <v>3.4780000000000002</v>
      </c>
      <c r="U54" s="265">
        <f>_xlfn.XLOOKUP(E54,'All Products'!D:D,'All Products'!P:P,FALSE)</f>
        <v>347.8</v>
      </c>
      <c r="V54" s="265">
        <f>_xlfn.XLOOKUP(E54,'All Products'!D:D,'All Products'!Q:Q,FALSE)</f>
        <v>53.333269333358928</v>
      </c>
    </row>
    <row r="55" spans="1:22">
      <c r="A55" s="101" t="str">
        <f>IF(K55&gt;0,COUNT($A$8:A54)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55" s="615"/>
      <c r="C55" s="615"/>
      <c r="D55" s="51" t="str">
        <f>_xlfn.XLOOKUP(E55,'All Products'!D:D,'All Products'!C:C,FALSE)</f>
        <v>35-97</v>
      </c>
      <c r="E55" s="52">
        <v>100029304</v>
      </c>
      <c r="F55" s="53" t="str">
        <f>_xlfn.XLOOKUP(E55,'All Products'!D:D,'All Products'!E:E,FALSE)</f>
        <v>8 ELBOW 90 GXS SDR35</v>
      </c>
      <c r="G55" s="232">
        <f>_xlfn.XLOOKUP(E55,'All Products'!D:D,'All Products'!F:F,FALSE)</f>
        <v>1</v>
      </c>
      <c r="H55" s="232">
        <f>_xlfn.XLOOKUP(E55,'All Products'!D:D,'All Products'!G:G,FALSE)</f>
        <v>54</v>
      </c>
      <c r="I55" s="123">
        <f>_xlfn.XLOOKUP(E55,'All Products'!D:D,'All Products'!H:H,FALSE)</f>
        <v>431.02</v>
      </c>
      <c r="J55" s="130">
        <f>IFERROR(ROUNDUP(I55*Order_Quote!$L$15,2),0)</f>
        <v>431.02</v>
      </c>
      <c r="K55" s="118"/>
      <c r="L55" s="76"/>
      <c r="M55" s="114">
        <f t="shared" si="3"/>
        <v>0</v>
      </c>
      <c r="O55" s="215" t="str">
        <f>_xlfn.XLOOKUP(E55,'All Products'!D:D,'All Products'!I:I,FALSE)</f>
        <v>Within 3 Weeks</v>
      </c>
      <c r="P55" s="215" t="str">
        <f>_xlfn.XLOOKUP(E55,'All Products'!D:D,'All Products'!J:J,FALSE)</f>
        <v>Manufactured</v>
      </c>
      <c r="Q55" s="266">
        <f>_xlfn.XLOOKUP(E55,'All Products'!D:D,'All Products'!K:K,FALSE)</f>
        <v>810673017478</v>
      </c>
      <c r="R55" s="266" t="str">
        <f>_xlfn.XLOOKUP(E55,'All Products'!D:D,'All Products'!L:L,FALSE)</f>
        <v>-</v>
      </c>
      <c r="S55" s="266">
        <f>_xlfn.XLOOKUP(E55,'All Products'!D:D,'All Products'!M:M,FALSE)</f>
        <v>812361016541</v>
      </c>
      <c r="T55" s="264">
        <f>_xlfn.XLOOKUP(E55,'All Products'!D:D,'All Products'!N:N,FALSE)</f>
        <v>5.298</v>
      </c>
      <c r="U55" s="265">
        <f>_xlfn.XLOOKUP(E55,'All Products'!D:D,'All Products'!P:P,FALSE)</f>
        <v>402.51599999999996</v>
      </c>
      <c r="V55" s="265">
        <f>_xlfn.XLOOKUP(E55,'All Products'!D:D,'All Products'!Q:Q,FALSE)</f>
        <v>53.333269333358928</v>
      </c>
    </row>
    <row r="56" spans="1:22">
      <c r="A56" s="101" t="str">
        <f>IF(K56&gt;0,COUNT($A$8:A55)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56" s="615"/>
      <c r="C56" s="615"/>
      <c r="D56" s="51" t="str">
        <f>_xlfn.XLOOKUP(E56,'All Products'!D:D,'All Products'!C:C,FALSE)</f>
        <v>35-1586</v>
      </c>
      <c r="E56" s="52">
        <v>300004436</v>
      </c>
      <c r="F56" s="53" t="str">
        <f>_xlfn.XLOOKUP(E56,'All Products'!D:D,'All Products'!E:E,FALSE)</f>
        <v>4 ELBOW 90 LONG SWEEP GXG SDR35</v>
      </c>
      <c r="G56" s="232">
        <f>_xlfn.XLOOKUP(E56,'All Products'!D:D,'All Products'!F:F,FALSE)</f>
        <v>6</v>
      </c>
      <c r="H56" s="232">
        <f>_xlfn.XLOOKUP(E56,'All Products'!D:D,'All Products'!G:G,FALSE)</f>
        <v>192</v>
      </c>
      <c r="I56" s="123" t="str">
        <f>_xlfn.XLOOKUP(E56,'All Products'!D:D,'All Products'!H:H,FALSE)</f>
        <v>Quote Required</v>
      </c>
      <c r="J56" s="130">
        <f>IFERROR(ROUNDUP(I56*Order_Quote!$L$15,2),0)</f>
        <v>0</v>
      </c>
      <c r="K56" s="122"/>
      <c r="L56" s="76"/>
      <c r="M56" s="114">
        <f>K56/G56</f>
        <v>0</v>
      </c>
      <c r="O56" s="215" t="str">
        <f>_xlfn.XLOOKUP(E56,'All Products'!D:D,'All Products'!I:I,FALSE)</f>
        <v>Within 6 Weeks</v>
      </c>
      <c r="P56" s="215" t="str">
        <f>_xlfn.XLOOKUP(E56,'All Products'!D:D,'All Products'!J:J,FALSE)</f>
        <v>Sourced</v>
      </c>
      <c r="Q56" s="266">
        <f>_xlfn.XLOOKUP(E56,'All Products'!D:D,'All Products'!K:K,FALSE)</f>
        <v>810673017317</v>
      </c>
      <c r="R56" s="266" t="str">
        <f>_xlfn.XLOOKUP(E56,'All Products'!D:D,'All Products'!L:L,FALSE)</f>
        <v>-</v>
      </c>
      <c r="S56" s="266" t="str">
        <f>_xlfn.XLOOKUP(E56,'All Products'!D:D,'All Products'!M:M,FALSE)</f>
        <v>-</v>
      </c>
      <c r="T56" s="264">
        <f>_xlfn.XLOOKUP(E56,'All Products'!D:D,'All Products'!N:N,FALSE)</f>
        <v>1.38</v>
      </c>
      <c r="U56" s="265">
        <f>_xlfn.XLOOKUP(E56,'All Products'!D:D,'All Products'!P:P,FALSE)</f>
        <v>8.2799999999999994</v>
      </c>
      <c r="V56" s="265" t="str">
        <f>_xlfn.XLOOKUP(E56,'All Products'!D:D,'All Products'!Q:Q,FALSE)</f>
        <v>-</v>
      </c>
    </row>
    <row r="57" spans="1:22">
      <c r="A57" s="101" t="str">
        <f>IF(K57&gt;0,COUNT($A$8:A56)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57" s="615"/>
      <c r="C57" s="615"/>
      <c r="D57" s="51" t="str">
        <f>_xlfn.XLOOKUP(E57,'All Products'!D:D,'All Products'!C:C,FALSE)</f>
        <v>35-1587</v>
      </c>
      <c r="E57" s="52">
        <v>300004454</v>
      </c>
      <c r="F57" s="53" t="str">
        <f>_xlfn.XLOOKUP(E57,'All Products'!D:D,'All Products'!E:E,FALSE)</f>
        <v>6 ELBOW 90 LONG SWEEP GXG SDR35</v>
      </c>
      <c r="G57" s="232">
        <f>_xlfn.XLOOKUP(E57,'All Products'!D:D,'All Products'!F:F,FALSE)</f>
        <v>4</v>
      </c>
      <c r="H57" s="232">
        <f>_xlfn.XLOOKUP(E57,'All Products'!D:D,'All Products'!G:G,FALSE)</f>
        <v>24</v>
      </c>
      <c r="I57" s="123" t="str">
        <f>_xlfn.XLOOKUP(E57,'All Products'!D:D,'All Products'!H:H,FALSE)</f>
        <v>Quote Required</v>
      </c>
      <c r="J57" s="130">
        <f>IFERROR(ROUNDUP(I57*Order_Quote!$L$15,2),0)</f>
        <v>0</v>
      </c>
      <c r="K57" s="118"/>
      <c r="L57" s="76"/>
      <c r="M57" s="114">
        <f>K57/G57</f>
        <v>0</v>
      </c>
      <c r="O57" s="215" t="str">
        <f>_xlfn.XLOOKUP(E57,'All Products'!D:D,'All Products'!I:I,FALSE)</f>
        <v>Within 6 Weeks</v>
      </c>
      <c r="P57" s="215" t="str">
        <f>_xlfn.XLOOKUP(E57,'All Products'!D:D,'All Products'!J:J,FALSE)</f>
        <v>Sourced</v>
      </c>
      <c r="Q57" s="266">
        <f>_xlfn.XLOOKUP(E57,'All Products'!D:D,'All Products'!K:K,FALSE)</f>
        <v>812361013878</v>
      </c>
      <c r="R57" s="266" t="str">
        <f>_xlfn.XLOOKUP(E57,'All Products'!D:D,'All Products'!L:L,FALSE)</f>
        <v>-</v>
      </c>
      <c r="S57" s="266" t="str">
        <f>_xlfn.XLOOKUP(E57,'All Products'!D:D,'All Products'!M:M,FALSE)</f>
        <v>-</v>
      </c>
      <c r="T57" s="264">
        <f>_xlfn.XLOOKUP(E57,'All Products'!D:D,'All Products'!N:N,FALSE)</f>
        <v>1</v>
      </c>
      <c r="U57" s="265">
        <f>_xlfn.XLOOKUP(E57,'All Products'!D:D,'All Products'!P:P,FALSE)</f>
        <v>4</v>
      </c>
      <c r="V57" s="265" t="str">
        <f>_xlfn.XLOOKUP(E57,'All Products'!D:D,'All Products'!Q:Q,FALSE)</f>
        <v>-</v>
      </c>
    </row>
    <row r="58" spans="1:22">
      <c r="A58" s="101" t="str">
        <f>IF(K58&gt;0,COUNT($A$8:A57)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58" s="615"/>
      <c r="C58" s="615"/>
      <c r="D58" s="51" t="str">
        <f>_xlfn.XLOOKUP(E58,'All Products'!D:D,'All Products'!C:C,FALSE)</f>
        <v>35-1588</v>
      </c>
      <c r="E58" s="52">
        <v>300004479</v>
      </c>
      <c r="F58" s="53" t="str">
        <f>_xlfn.XLOOKUP(E58,'All Products'!D:D,'All Products'!E:E,FALSE)</f>
        <v>8 ELBOW 90 LONG SWEEP GXG SDR35</v>
      </c>
      <c r="G58" s="232">
        <f>_xlfn.XLOOKUP(E58,'All Products'!D:D,'All Products'!F:F,FALSE)</f>
        <v>2</v>
      </c>
      <c r="H58" s="232">
        <f>_xlfn.XLOOKUP(E58,'All Products'!D:D,'All Products'!G:G,FALSE)</f>
        <v>12</v>
      </c>
      <c r="I58" s="123" t="str">
        <f>_xlfn.XLOOKUP(E58,'All Products'!D:D,'All Products'!H:H,FALSE)</f>
        <v>Quote Required</v>
      </c>
      <c r="J58" s="130">
        <f>IFERROR(ROUNDUP(I58*Order_Quote!$L$15,2),0)</f>
        <v>0</v>
      </c>
      <c r="K58" s="118"/>
      <c r="L58" s="76"/>
      <c r="M58" s="115">
        <f>K58/G58</f>
        <v>0</v>
      </c>
      <c r="O58" s="215" t="str">
        <f>_xlfn.XLOOKUP(E58,'All Products'!D:D,'All Products'!I:I,FALSE)</f>
        <v>Within 6 Weeks</v>
      </c>
      <c r="P58" s="215" t="str">
        <f>_xlfn.XLOOKUP(E58,'All Products'!D:D,'All Products'!J:J,FALSE)</f>
        <v>Sourced</v>
      </c>
      <c r="Q58" s="266">
        <f>_xlfn.XLOOKUP(E58,'All Products'!D:D,'All Products'!K:K,FALSE)</f>
        <v>812361013892</v>
      </c>
      <c r="R58" s="266" t="str">
        <f>_xlfn.XLOOKUP(E58,'All Products'!D:D,'All Products'!L:L,FALSE)</f>
        <v>-</v>
      </c>
      <c r="S58" s="266" t="str">
        <f>_xlfn.XLOOKUP(E58,'All Products'!D:D,'All Products'!M:M,FALSE)</f>
        <v>-</v>
      </c>
      <c r="T58" s="264">
        <f>_xlfn.XLOOKUP(E58,'All Products'!D:D,'All Products'!N:N,FALSE)</f>
        <v>1</v>
      </c>
      <c r="U58" s="265">
        <f>_xlfn.XLOOKUP(E58,'All Products'!D:D,'All Products'!P:P,FALSE)</f>
        <v>2</v>
      </c>
      <c r="V58" s="265" t="str">
        <f>_xlfn.XLOOKUP(E58,'All Products'!D:D,'All Products'!Q:Q,FALSE)</f>
        <v>-</v>
      </c>
    </row>
    <row r="59" spans="1:22" ht="21" customHeight="1">
      <c r="A59" s="101" t="str">
        <f>IF(K59&gt;0,COUNT($A$8:A58)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59" s="615"/>
      <c r="C59" s="615"/>
      <c r="D59" s="51" t="str">
        <f>_xlfn.XLOOKUP(E59,'All Products'!D:D,'All Products'!C:C,FALSE)</f>
        <v>35-1591</v>
      </c>
      <c r="E59" s="52">
        <v>300004437</v>
      </c>
      <c r="F59" s="53" t="str">
        <f>_xlfn.XLOOKUP(E59,'All Products'!D:D,'All Products'!E:E,FALSE)</f>
        <v>4 ELBOW 90 LONG SWEEP GXS SDR35</v>
      </c>
      <c r="G59" s="232">
        <f>_xlfn.XLOOKUP(E59,'All Products'!D:D,'All Products'!F:F,FALSE)</f>
        <v>6</v>
      </c>
      <c r="H59" s="232">
        <f>_xlfn.XLOOKUP(E59,'All Products'!D:D,'All Products'!G:G,FALSE)</f>
        <v>192</v>
      </c>
      <c r="I59" s="123" t="str">
        <f>_xlfn.XLOOKUP(E59,'All Products'!D:D,'All Products'!H:H,FALSE)</f>
        <v>Quote Required</v>
      </c>
      <c r="J59" s="130">
        <f>IFERROR(ROUNDUP(I59*Order_Quote!$L$15,2),0)</f>
        <v>0</v>
      </c>
      <c r="K59" s="122"/>
      <c r="L59" s="76"/>
      <c r="M59" s="114">
        <f>K59/G59</f>
        <v>0</v>
      </c>
      <c r="O59" s="215" t="str">
        <f>_xlfn.XLOOKUP(E59,'All Products'!D:D,'All Products'!I:I,FALSE)</f>
        <v>Within 6 Weeks</v>
      </c>
      <c r="P59" s="215" t="str">
        <f>_xlfn.XLOOKUP(E59,'All Products'!D:D,'All Products'!J:J,FALSE)</f>
        <v>Sourced</v>
      </c>
      <c r="Q59" s="266">
        <f>_xlfn.XLOOKUP(E59,'All Products'!D:D,'All Products'!K:K,FALSE)</f>
        <v>810673017331</v>
      </c>
      <c r="R59" s="266" t="str">
        <f>_xlfn.XLOOKUP(E59,'All Products'!D:D,'All Products'!L:L,FALSE)</f>
        <v>-</v>
      </c>
      <c r="S59" s="266" t="str">
        <f>_xlfn.XLOOKUP(E59,'All Products'!D:D,'All Products'!M:M,FALSE)</f>
        <v>-</v>
      </c>
      <c r="T59" s="264">
        <f>_xlfn.XLOOKUP(E59,'All Products'!D:D,'All Products'!N:N,FALSE)</f>
        <v>1.274</v>
      </c>
      <c r="U59" s="265">
        <f>_xlfn.XLOOKUP(E59,'All Products'!D:D,'All Products'!P:P,FALSE)</f>
        <v>7.6440000000000001</v>
      </c>
      <c r="V59" s="265" t="str">
        <f>_xlfn.XLOOKUP(E59,'All Products'!D:D,'All Products'!Q:Q,FALSE)</f>
        <v>-</v>
      </c>
    </row>
    <row r="60" spans="1:22" ht="21" customHeight="1">
      <c r="A60" s="101" t="str">
        <f>IF(K60&gt;0,COUNT($A$8:A59)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60" s="615"/>
      <c r="C60" s="615"/>
      <c r="D60" s="51" t="str">
        <f>_xlfn.XLOOKUP(E60,'All Products'!D:D,'All Products'!C:C,FALSE)</f>
        <v>35-1592</v>
      </c>
      <c r="E60" s="52">
        <v>300004455</v>
      </c>
      <c r="F60" s="53" t="str">
        <f>_xlfn.XLOOKUP(E60,'All Products'!D:D,'All Products'!E:E,FALSE)</f>
        <v>6 ELBOW 90 LONG SWEEP GXS SDR35</v>
      </c>
      <c r="G60" s="232">
        <f>_xlfn.XLOOKUP(E60,'All Products'!D:D,'All Products'!F:F,FALSE)</f>
        <v>4</v>
      </c>
      <c r="H60" s="232">
        <f>_xlfn.XLOOKUP(E60,'All Products'!D:D,'All Products'!G:G,FALSE)</f>
        <v>24</v>
      </c>
      <c r="I60" s="123" t="str">
        <f>_xlfn.XLOOKUP(E60,'All Products'!D:D,'All Products'!H:H,FALSE)</f>
        <v>Quote Required</v>
      </c>
      <c r="J60" s="130">
        <f>IFERROR(ROUNDUP(I60*Order_Quote!$L$15,2),0)</f>
        <v>0</v>
      </c>
      <c r="K60" s="118"/>
      <c r="L60" s="76"/>
      <c r="M60" s="114">
        <f>K60/G60</f>
        <v>0</v>
      </c>
      <c r="O60" s="215" t="str">
        <f>_xlfn.XLOOKUP(E60,'All Products'!D:D,'All Products'!I:I,FALSE)</f>
        <v>Within 6 Weeks</v>
      </c>
      <c r="P60" s="215" t="str">
        <f>_xlfn.XLOOKUP(E60,'All Products'!D:D,'All Products'!J:J,FALSE)</f>
        <v>Sourced</v>
      </c>
      <c r="Q60" s="266">
        <f>_xlfn.XLOOKUP(E60,'All Products'!D:D,'All Products'!K:K,FALSE)</f>
        <v>812361013915</v>
      </c>
      <c r="R60" s="266" t="str">
        <f>_xlfn.XLOOKUP(E60,'All Products'!D:D,'All Products'!L:L,FALSE)</f>
        <v>-</v>
      </c>
      <c r="S60" s="266" t="str">
        <f>_xlfn.XLOOKUP(E60,'All Products'!D:D,'All Products'!M:M,FALSE)</f>
        <v>-</v>
      </c>
      <c r="T60" s="264">
        <f>_xlfn.XLOOKUP(E60,'All Products'!D:D,'All Products'!N:N,FALSE)</f>
        <v>1</v>
      </c>
      <c r="U60" s="265">
        <f>_xlfn.XLOOKUP(E60,'All Products'!D:D,'All Products'!P:P,FALSE)</f>
        <v>4</v>
      </c>
      <c r="V60" s="265" t="str">
        <f>_xlfn.XLOOKUP(E60,'All Products'!D:D,'All Products'!Q:Q,FALSE)</f>
        <v>-</v>
      </c>
    </row>
    <row r="61" spans="1:22">
      <c r="A61" s="101" t="str">
        <f>IF(K61&gt;0,COUNT($A$8:A60)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61" s="608"/>
      <c r="C61" s="609"/>
      <c r="D61" s="51" t="str">
        <f>_xlfn.XLOOKUP(E61,'All Products'!D:D,'All Products'!C:C,FALSE)</f>
        <v>35-1600</v>
      </c>
      <c r="E61" s="52">
        <v>100029314</v>
      </c>
      <c r="F61" s="53" t="str">
        <f>_xlfn.XLOOKUP(E61,'All Products'!D:D,'All Products'!E:E,FALSE)</f>
        <v>4 ELBOW 45 GXG SDR35</v>
      </c>
      <c r="G61" s="232">
        <f>_xlfn.XLOOKUP(E61,'All Products'!D:D,'All Products'!F:F,FALSE)</f>
        <v>16</v>
      </c>
      <c r="H61" s="232">
        <f>_xlfn.XLOOKUP(E61,'All Products'!D:D,'All Products'!G:G,FALSE)</f>
        <v>384</v>
      </c>
      <c r="I61" s="123">
        <f>_xlfn.XLOOKUP(E61,'All Products'!D:D,'All Products'!H:H,FALSE)</f>
        <v>65.22</v>
      </c>
      <c r="J61" s="130">
        <f>IFERROR(ROUNDUP(I61*Order_Quote!$L$15,2),0)</f>
        <v>65.22</v>
      </c>
      <c r="K61" s="122"/>
      <c r="L61" s="76"/>
      <c r="M61" s="114">
        <f t="shared" si="3"/>
        <v>0</v>
      </c>
      <c r="O61" s="215" t="str">
        <f>_xlfn.XLOOKUP(E61,'All Products'!D:D,'All Products'!I:I,FALSE)</f>
        <v>In Stock</v>
      </c>
      <c r="P61" s="215" t="str">
        <f>_xlfn.XLOOKUP(E61,'All Products'!D:D,'All Products'!J:J,FALSE)</f>
        <v>Manufactured</v>
      </c>
      <c r="Q61" s="266">
        <f>_xlfn.XLOOKUP(E61,'All Products'!D:D,'All Products'!K:K,FALSE)</f>
        <v>810673017492</v>
      </c>
      <c r="R61" s="266" t="str">
        <f>_xlfn.XLOOKUP(E61,'All Products'!D:D,'All Products'!L:L,FALSE)</f>
        <v>-</v>
      </c>
      <c r="S61" s="266">
        <f>_xlfn.XLOOKUP(E61,'All Products'!D:D,'All Products'!M:M,FALSE)</f>
        <v>810673017492</v>
      </c>
      <c r="T61" s="264">
        <f>_xlfn.XLOOKUP(E61,'All Products'!D:D,'All Products'!N:N,FALSE)</f>
        <v>1.1200000000000001</v>
      </c>
      <c r="U61" s="265">
        <f>_xlfn.XLOOKUP(E61,'All Products'!D:D,'All Products'!P:P,FALSE)</f>
        <v>20.111999999999998</v>
      </c>
      <c r="V61" s="265">
        <f>_xlfn.XLOOKUP(E61,'All Products'!D:D,'All Products'!Q:Q,FALSE)</f>
        <v>1.8803145838984718</v>
      </c>
    </row>
    <row r="62" spans="1:22">
      <c r="A62" s="101" t="str">
        <f>IF(K62&gt;0,COUNT($A$8:A61)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62" s="610"/>
      <c r="C62" s="611"/>
      <c r="D62" s="51" t="str">
        <f>_xlfn.XLOOKUP(E62,'All Products'!D:D,'All Products'!C:C,FALSE)</f>
        <v>35-1709</v>
      </c>
      <c r="E62" s="52">
        <v>100030903</v>
      </c>
      <c r="F62" s="53" t="str">
        <f>_xlfn.XLOOKUP(E62,'All Products'!D:D,'All Products'!E:E,FALSE)</f>
        <v>5 ELBOW 45 GXG SDR35</v>
      </c>
      <c r="G62" s="232">
        <f>_xlfn.XLOOKUP(E62,'All Products'!D:D,'All Products'!F:F,FALSE)</f>
        <v>1</v>
      </c>
      <c r="H62" s="232">
        <f>_xlfn.XLOOKUP(E62,'All Products'!D:D,'All Products'!G:G,FALSE)</f>
        <v>136</v>
      </c>
      <c r="I62" s="123">
        <f>_xlfn.XLOOKUP(E62,'All Products'!D:D,'All Products'!H:H,FALSE)</f>
        <v>137.78</v>
      </c>
      <c r="J62" s="130">
        <f>IFERROR(ROUNDUP(I62*Order_Quote!$L$15,2),0)</f>
        <v>137.78</v>
      </c>
      <c r="K62" s="118"/>
      <c r="L62" s="76"/>
      <c r="M62" s="115">
        <f t="shared" si="3"/>
        <v>0</v>
      </c>
      <c r="O62" s="215" t="str">
        <f>_xlfn.XLOOKUP(E62,'All Products'!D:D,'All Products'!I:I,FALSE)</f>
        <v>Within 3 Weeks</v>
      </c>
      <c r="P62" s="215" t="str">
        <f>_xlfn.XLOOKUP(E62,'All Products'!D:D,'All Products'!J:J,FALSE)</f>
        <v>Manufactured</v>
      </c>
      <c r="Q62" s="266">
        <f>_xlfn.XLOOKUP(E62,'All Products'!D:D,'All Products'!K:K,FALSE)</f>
        <v>810673017515</v>
      </c>
      <c r="R62" s="266" t="str">
        <f>_xlfn.XLOOKUP(E62,'All Products'!D:D,'All Products'!L:L,FALSE)</f>
        <v>-</v>
      </c>
      <c r="S62" s="266">
        <f>_xlfn.XLOOKUP(E62,'All Products'!D:D,'All Products'!M:M,FALSE)</f>
        <v>812361016084</v>
      </c>
      <c r="T62" s="264">
        <f>_xlfn.XLOOKUP(E62,'All Products'!D:D,'All Products'!N:N,FALSE)</f>
        <v>2.5840000000000001</v>
      </c>
      <c r="U62" s="265">
        <f>_xlfn.XLOOKUP(E62,'All Products'!D:D,'All Products'!P:P,FALSE)</f>
        <v>351.42400000000004</v>
      </c>
      <c r="V62" s="265">
        <f>_xlfn.XLOOKUP(E62,'All Products'!D:D,'All Products'!Q:Q,FALSE)</f>
        <v>53.333269333358928</v>
      </c>
    </row>
    <row r="63" spans="1:22">
      <c r="A63" s="101" t="str">
        <f>IF(K63&gt;0,COUNT($A$8:A62)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63" s="610"/>
      <c r="C63" s="611"/>
      <c r="D63" s="51" t="str">
        <f>_xlfn.XLOOKUP(E63,'All Products'!D:D,'All Products'!C:C,FALSE)</f>
        <v>35-1601</v>
      </c>
      <c r="E63" s="52">
        <v>100031305</v>
      </c>
      <c r="F63" s="53" t="str">
        <f>_xlfn.XLOOKUP(E63,'All Products'!D:D,'All Products'!E:E,FALSE)</f>
        <v>6 ELBOW 45 GXG SDR35</v>
      </c>
      <c r="G63" s="232">
        <f>_xlfn.XLOOKUP(E63,'All Products'!D:D,'All Products'!F:F,FALSE)</f>
        <v>1</v>
      </c>
      <c r="H63" s="232">
        <f>_xlfn.XLOOKUP(E63,'All Products'!D:D,'All Products'!G:G,FALSE)</f>
        <v>110</v>
      </c>
      <c r="I63" s="123">
        <f>_xlfn.XLOOKUP(E63,'All Products'!D:D,'All Products'!H:H,FALSE)</f>
        <v>132.38999999999999</v>
      </c>
      <c r="J63" s="130">
        <f>IFERROR(ROUNDUP(I63*Order_Quote!$L$15,2),0)</f>
        <v>132.38999999999999</v>
      </c>
      <c r="K63" s="118"/>
      <c r="L63" s="76"/>
      <c r="M63" s="114">
        <f t="shared" si="3"/>
        <v>0</v>
      </c>
      <c r="O63" s="215" t="str">
        <f>_xlfn.XLOOKUP(E63,'All Products'!D:D,'All Products'!I:I,FALSE)</f>
        <v>In Stock</v>
      </c>
      <c r="P63" s="215" t="str">
        <f>_xlfn.XLOOKUP(E63,'All Products'!D:D,'All Products'!J:J,FALSE)</f>
        <v>Manufactured</v>
      </c>
      <c r="Q63" s="266">
        <f>_xlfn.XLOOKUP(E63,'All Products'!D:D,'All Products'!K:K,FALSE)</f>
        <v>810673017539</v>
      </c>
      <c r="R63" s="266" t="str">
        <f>_xlfn.XLOOKUP(E63,'All Products'!D:D,'All Products'!L:L,FALSE)</f>
        <v>-</v>
      </c>
      <c r="S63" s="266">
        <f>_xlfn.XLOOKUP(E63,'All Products'!D:D,'All Products'!M:M,FALSE)</f>
        <v>812361017135</v>
      </c>
      <c r="T63" s="264">
        <f>_xlfn.XLOOKUP(E63,'All Products'!D:D,'All Products'!N:N,FALSE)</f>
        <v>3.1360000000000001</v>
      </c>
      <c r="U63" s="265">
        <f>_xlfn.XLOOKUP(E63,'All Products'!D:D,'All Products'!P:P,FALSE)</f>
        <v>344.96000000000004</v>
      </c>
      <c r="V63" s="265">
        <f>_xlfn.XLOOKUP(E63,'All Products'!D:D,'All Products'!Q:Q,FALSE)</f>
        <v>53.333269333358928</v>
      </c>
    </row>
    <row r="64" spans="1:22">
      <c r="A64" s="101" t="str">
        <f>IF(K64&gt;0,COUNT($A$8:A63)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64" s="610"/>
      <c r="C64" s="611"/>
      <c r="D64" s="51" t="str">
        <f>_xlfn.XLOOKUP(E64,'All Products'!D:D,'All Products'!C:C,FALSE)</f>
        <v>35-94</v>
      </c>
      <c r="E64" s="52">
        <v>100029316</v>
      </c>
      <c r="F64" s="53" t="str">
        <f>_xlfn.XLOOKUP(E64,'All Products'!D:D,'All Products'!E:E,FALSE)</f>
        <v>8 ELBOW 45 GXG SDR35</v>
      </c>
      <c r="G64" s="232">
        <f>_xlfn.XLOOKUP(E64,'All Products'!D:D,'All Products'!F:F,FALSE)</f>
        <v>1</v>
      </c>
      <c r="H64" s="232">
        <f>_xlfn.XLOOKUP(E64,'All Products'!D:D,'All Products'!G:G,FALSE)</f>
        <v>50</v>
      </c>
      <c r="I64" s="123">
        <f>_xlfn.XLOOKUP(E64,'All Products'!D:D,'All Products'!H:H,FALSE)</f>
        <v>370.61</v>
      </c>
      <c r="J64" s="130">
        <f>IFERROR(ROUNDUP(I64*Order_Quote!$L$15,2),0)</f>
        <v>370.61</v>
      </c>
      <c r="K64" s="118"/>
      <c r="L64" s="76"/>
      <c r="M64" s="114">
        <f t="shared" si="3"/>
        <v>0</v>
      </c>
      <c r="O64" s="215" t="str">
        <f>_xlfn.XLOOKUP(E64,'All Products'!D:D,'All Products'!I:I,FALSE)</f>
        <v>In Stock</v>
      </c>
      <c r="P64" s="215" t="str">
        <f>_xlfn.XLOOKUP(E64,'All Products'!D:D,'All Products'!J:J,FALSE)</f>
        <v>Manufactured</v>
      </c>
      <c r="Q64" s="266">
        <f>_xlfn.XLOOKUP(E64,'All Products'!D:D,'All Products'!K:K,FALSE)</f>
        <v>810673017553</v>
      </c>
      <c r="R64" s="266" t="str">
        <f>_xlfn.XLOOKUP(E64,'All Products'!D:D,'All Products'!L:L,FALSE)</f>
        <v>-</v>
      </c>
      <c r="S64" s="266">
        <f>_xlfn.XLOOKUP(E64,'All Products'!D:D,'All Products'!M:M,FALSE)</f>
        <v>812361016657</v>
      </c>
      <c r="T64" s="264">
        <f>_xlfn.XLOOKUP(E64,'All Products'!D:D,'All Products'!N:N,FALSE)</f>
        <v>6.766</v>
      </c>
      <c r="U64" s="265">
        <f>_xlfn.XLOOKUP(E64,'All Products'!D:D,'All Products'!P:P,FALSE)</f>
        <v>338.3</v>
      </c>
      <c r="V64" s="265">
        <f>_xlfn.XLOOKUP(E64,'All Products'!D:D,'All Products'!Q:Q,FALSE)</f>
        <v>53.333269333358928</v>
      </c>
    </row>
    <row r="65" spans="1:22">
      <c r="A65" s="101" t="str">
        <f>IF(K65&gt;0,COUNT($A$8:A64)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65" s="610"/>
      <c r="C65" s="611"/>
      <c r="D65" s="51" t="str">
        <f>_xlfn.XLOOKUP(E65,'All Products'!D:D,'All Products'!C:C,FALSE)</f>
        <v>35-103</v>
      </c>
      <c r="E65" s="52">
        <v>100029333</v>
      </c>
      <c r="F65" s="53" t="str">
        <f>_xlfn.XLOOKUP(E65,'All Products'!D:D,'All Products'!E:E,FALSE)</f>
        <v>10 ELBOW 45 GXG SDR35</v>
      </c>
      <c r="G65" s="232">
        <f>_xlfn.XLOOKUP(E65,'All Products'!D:D,'All Products'!F:F,FALSE)</f>
        <v>1</v>
      </c>
      <c r="H65" s="232">
        <f>_xlfn.XLOOKUP(E65,'All Products'!D:D,'All Products'!G:G,FALSE)</f>
        <v>35</v>
      </c>
      <c r="I65" s="123">
        <f>_xlfn.XLOOKUP(E65,'All Products'!D:D,'All Products'!H:H,FALSE)</f>
        <v>961.49</v>
      </c>
      <c r="J65" s="130">
        <f>IFERROR(ROUNDUP(I65*Order_Quote!$L$15,2),0)</f>
        <v>961.49</v>
      </c>
      <c r="K65" s="118"/>
      <c r="L65" s="76"/>
      <c r="M65" s="114">
        <f t="shared" si="3"/>
        <v>0</v>
      </c>
      <c r="O65" s="215" t="str">
        <f>_xlfn.XLOOKUP(E65,'All Products'!D:D,'All Products'!I:I,FALSE)</f>
        <v>In Stock</v>
      </c>
      <c r="P65" s="215" t="str">
        <f>_xlfn.XLOOKUP(E65,'All Products'!D:D,'All Products'!J:J,FALSE)</f>
        <v>Manufactured</v>
      </c>
      <c r="Q65" s="266">
        <f>_xlfn.XLOOKUP(E65,'All Products'!D:D,'All Products'!K:K,FALSE)</f>
        <v>810673017577</v>
      </c>
      <c r="R65" s="266" t="str">
        <f>_xlfn.XLOOKUP(E65,'All Products'!D:D,'All Products'!L:L,FALSE)</f>
        <v>-</v>
      </c>
      <c r="S65" s="266">
        <f>_xlfn.XLOOKUP(E65,'All Products'!D:D,'All Products'!M:M,FALSE)</f>
        <v>812361016794</v>
      </c>
      <c r="T65" s="264">
        <f>_xlfn.XLOOKUP(E65,'All Products'!D:D,'All Products'!N:N,FALSE)</f>
        <v>7.798</v>
      </c>
      <c r="U65" s="265">
        <f>_xlfn.XLOOKUP(E65,'All Products'!D:D,'All Products'!P:P,FALSE)</f>
        <v>283.64</v>
      </c>
      <c r="V65" s="265">
        <f>_xlfn.XLOOKUP(E65,'All Products'!D:D,'All Products'!Q:Q,FALSE)</f>
        <v>53.333269333358928</v>
      </c>
    </row>
    <row r="66" spans="1:22">
      <c r="A66" s="101" t="str">
        <f>IF(K66&gt;0,COUNT($A$8:A65)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66" s="610"/>
      <c r="C66" s="611"/>
      <c r="D66" s="51" t="str">
        <f>_xlfn.XLOOKUP(E66,'All Products'!D:D,'All Products'!C:C,FALSE)</f>
        <v>35-112</v>
      </c>
      <c r="E66" s="52">
        <v>100029332</v>
      </c>
      <c r="F66" s="53" t="str">
        <f>_xlfn.XLOOKUP(E66,'All Products'!D:D,'All Products'!E:E,FALSE)</f>
        <v>12 ELBOW 45 GXG SDR35</v>
      </c>
      <c r="G66" s="232">
        <f>_xlfn.XLOOKUP(E66,'All Products'!D:D,'All Products'!F:F,FALSE)</f>
        <v>1</v>
      </c>
      <c r="H66" s="232">
        <f>_xlfn.XLOOKUP(E66,'All Products'!D:D,'All Products'!G:G,FALSE)</f>
        <v>18</v>
      </c>
      <c r="I66" s="123">
        <f>_xlfn.XLOOKUP(E66,'All Products'!D:D,'All Products'!H:H,FALSE)</f>
        <v>1396.56</v>
      </c>
      <c r="J66" s="130">
        <f>IFERROR(ROUNDUP(I66*Order_Quote!$L$15,2),0)</f>
        <v>1396.56</v>
      </c>
      <c r="K66" s="118"/>
      <c r="L66" s="76"/>
      <c r="M66" s="115">
        <f t="shared" ref="M66:M80" si="4">K66/G66</f>
        <v>0</v>
      </c>
      <c r="O66" s="215" t="str">
        <f>_xlfn.XLOOKUP(E66,'All Products'!D:D,'All Products'!I:I,FALSE)</f>
        <v>In Stock</v>
      </c>
      <c r="P66" s="215" t="str">
        <f>_xlfn.XLOOKUP(E66,'All Products'!D:D,'All Products'!J:J,FALSE)</f>
        <v>Manufactured</v>
      </c>
      <c r="Q66" s="266">
        <f>_xlfn.XLOOKUP(E66,'All Products'!D:D,'All Products'!K:K,FALSE)</f>
        <v>810673017584</v>
      </c>
      <c r="R66" s="266" t="str">
        <f>_xlfn.XLOOKUP(E66,'All Products'!D:D,'All Products'!L:L,FALSE)</f>
        <v>-</v>
      </c>
      <c r="S66" s="266">
        <f>_xlfn.XLOOKUP(E66,'All Products'!D:D,'All Products'!M:M,FALSE)</f>
        <v>812361016480</v>
      </c>
      <c r="T66" s="264">
        <f>_xlfn.XLOOKUP(E66,'All Products'!D:D,'All Products'!N:N,FALSE)</f>
        <v>14.096</v>
      </c>
      <c r="U66" s="265">
        <f>_xlfn.XLOOKUP(E66,'All Products'!D:D,'All Products'!P:P,FALSE)</f>
        <v>253.72800000000001</v>
      </c>
      <c r="V66" s="265">
        <f>_xlfn.XLOOKUP(E66,'All Products'!D:D,'All Products'!Q:Q,FALSE)</f>
        <v>53.333269333358928</v>
      </c>
    </row>
    <row r="67" spans="1:22">
      <c r="A67" s="101" t="str">
        <f>IF(K67&gt;0,COUNT($A$8:A66)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67" s="615"/>
      <c r="C67" s="615"/>
      <c r="D67" s="51" t="str">
        <f>_xlfn.XLOOKUP(E67,'All Products'!D:D,'All Products'!C:C,FALSE)</f>
        <v>35-1602</v>
      </c>
      <c r="E67" s="52">
        <v>100029310</v>
      </c>
      <c r="F67" s="53" t="str">
        <f>_xlfn.XLOOKUP(E67,'All Products'!D:D,'All Products'!E:E,FALSE)</f>
        <v>4 ELBOW 45 GXS SDR35</v>
      </c>
      <c r="G67" s="232">
        <f>_xlfn.XLOOKUP(E67,'All Products'!D:D,'All Products'!F:F,FALSE)</f>
        <v>16</v>
      </c>
      <c r="H67" s="232">
        <f>_xlfn.XLOOKUP(E67,'All Products'!D:D,'All Products'!G:G,FALSE)</f>
        <v>384</v>
      </c>
      <c r="I67" s="123">
        <f>_xlfn.XLOOKUP(E67,'All Products'!D:D,'All Products'!H:H,FALSE)</f>
        <v>58.7</v>
      </c>
      <c r="J67" s="130">
        <f>IFERROR(ROUNDUP(I67*Order_Quote!$L$15,2),0)</f>
        <v>58.7</v>
      </c>
      <c r="K67" s="122"/>
      <c r="L67" s="76"/>
      <c r="M67" s="114">
        <f t="shared" si="4"/>
        <v>0</v>
      </c>
      <c r="O67" s="215" t="str">
        <f>_xlfn.XLOOKUP(E67,'All Products'!D:D,'All Products'!I:I,FALSE)</f>
        <v>In Stock</v>
      </c>
      <c r="P67" s="215" t="str">
        <f>_xlfn.XLOOKUP(E67,'All Products'!D:D,'All Products'!J:J,FALSE)</f>
        <v>Manufactured</v>
      </c>
      <c r="Q67" s="266">
        <f>_xlfn.XLOOKUP(E67,'All Products'!D:D,'All Products'!K:K,FALSE)</f>
        <v>810673017591</v>
      </c>
      <c r="R67" s="266" t="str">
        <f>_xlfn.XLOOKUP(E67,'All Products'!D:D,'All Products'!L:L,FALSE)</f>
        <v>-</v>
      </c>
      <c r="S67" s="266">
        <f>_xlfn.XLOOKUP(E67,'All Products'!D:D,'All Products'!M:M,FALSE)</f>
        <v>810673017591</v>
      </c>
      <c r="T67" s="264">
        <f>_xlfn.XLOOKUP(E67,'All Products'!D:D,'All Products'!N:N,FALSE)</f>
        <v>0.98199999999999998</v>
      </c>
      <c r="U67" s="265">
        <f>_xlfn.XLOOKUP(E67,'All Products'!D:D,'All Products'!P:P,FALSE)</f>
        <v>17.904</v>
      </c>
      <c r="V67" s="265">
        <f>_xlfn.XLOOKUP(E67,'All Products'!D:D,'All Products'!Q:Q,FALSE)</f>
        <v>1.8803145838984718</v>
      </c>
    </row>
    <row r="68" spans="1:22">
      <c r="A68" s="101" t="str">
        <f>IF(K68&gt;0,COUNT($A$8:A67)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68" s="615"/>
      <c r="C68" s="615"/>
      <c r="D68" s="51" t="str">
        <f>_xlfn.XLOOKUP(E68,'All Products'!D:D,'All Products'!C:C,FALSE)</f>
        <v>35-1710</v>
      </c>
      <c r="E68" s="52">
        <v>100030904</v>
      </c>
      <c r="F68" s="53" t="str">
        <f>_xlfn.XLOOKUP(E68,'All Products'!D:D,'All Products'!E:E,FALSE)</f>
        <v>5 ELBOW 45 GXS SDR35</v>
      </c>
      <c r="G68" s="232">
        <f>_xlfn.XLOOKUP(E68,'All Products'!D:D,'All Products'!F:F,FALSE)</f>
        <v>6</v>
      </c>
      <c r="H68" s="232">
        <f>_xlfn.XLOOKUP(E68,'All Products'!D:D,'All Products'!G:G,FALSE)</f>
        <v>136</v>
      </c>
      <c r="I68" s="123">
        <f>_xlfn.XLOOKUP(E68,'All Products'!D:D,'All Products'!H:H,FALSE)</f>
        <v>121.11</v>
      </c>
      <c r="J68" s="130">
        <f>IFERROR(ROUNDUP(I68*Order_Quote!$L$15,2),0)</f>
        <v>121.11</v>
      </c>
      <c r="K68" s="118"/>
      <c r="L68" s="76"/>
      <c r="M68" s="114">
        <f t="shared" si="4"/>
        <v>0</v>
      </c>
      <c r="O68" s="215" t="str">
        <f>_xlfn.XLOOKUP(E68,'All Products'!D:D,'All Products'!I:I,FALSE)</f>
        <v>In Stock</v>
      </c>
      <c r="P68" s="215" t="str">
        <f>_xlfn.XLOOKUP(E68,'All Products'!D:D,'All Products'!J:J,FALSE)</f>
        <v>Manufactured</v>
      </c>
      <c r="Q68" s="266">
        <f>_xlfn.XLOOKUP(E68,'All Products'!D:D,'All Products'!K:K,FALSE)</f>
        <v>810673017614</v>
      </c>
      <c r="R68" s="266" t="str">
        <f>_xlfn.XLOOKUP(E68,'All Products'!D:D,'All Products'!L:L,FALSE)</f>
        <v>-</v>
      </c>
      <c r="S68" s="266">
        <f>_xlfn.XLOOKUP(E68,'All Products'!D:D,'All Products'!M:M,FALSE)</f>
        <v>812361016183</v>
      </c>
      <c r="T68" s="264">
        <f>_xlfn.XLOOKUP(E68,'All Products'!D:D,'All Products'!N:N,FALSE)</f>
        <v>2.1379999999999999</v>
      </c>
      <c r="U68" s="265">
        <f>_xlfn.XLOOKUP(E68,'All Products'!D:D,'All Products'!P:P,FALSE)</f>
        <v>290.76799999999997</v>
      </c>
      <c r="V68" s="265">
        <f>_xlfn.XLOOKUP(E68,'All Products'!D:D,'All Products'!Q:Q,FALSE)</f>
        <v>53.333269333358928</v>
      </c>
    </row>
    <row r="69" spans="1:22">
      <c r="A69" s="101" t="str">
        <f>IF(K69&gt;0,COUNT($A$8:A68)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69" s="615"/>
      <c r="C69" s="615"/>
      <c r="D69" s="51" t="str">
        <f>_xlfn.XLOOKUP(E69,'All Products'!D:D,'All Products'!C:C,FALSE)</f>
        <v>35-1603</v>
      </c>
      <c r="E69" s="52">
        <v>100029311</v>
      </c>
      <c r="F69" s="53" t="str">
        <f>_xlfn.XLOOKUP(E69,'All Products'!D:D,'All Products'!E:E,FALSE)</f>
        <v>6 ELBOW 45 GXS SDR35</v>
      </c>
      <c r="G69" s="232">
        <f>_xlfn.XLOOKUP(E69,'All Products'!D:D,'All Products'!F:F,FALSE)</f>
        <v>1</v>
      </c>
      <c r="H69" s="232">
        <f>_xlfn.XLOOKUP(E69,'All Products'!D:D,'All Products'!G:G,FALSE)</f>
        <v>120</v>
      </c>
      <c r="I69" s="123">
        <f>_xlfn.XLOOKUP(E69,'All Products'!D:D,'All Products'!H:H,FALSE)</f>
        <v>117.32</v>
      </c>
      <c r="J69" s="130">
        <f>IFERROR(ROUNDUP(I69*Order_Quote!$L$15,2),0)</f>
        <v>117.32</v>
      </c>
      <c r="K69" s="118"/>
      <c r="L69" s="76"/>
      <c r="M69" s="115">
        <f t="shared" si="4"/>
        <v>0</v>
      </c>
      <c r="O69" s="215" t="str">
        <f>_xlfn.XLOOKUP(E69,'All Products'!D:D,'All Products'!I:I,FALSE)</f>
        <v>In Stock</v>
      </c>
      <c r="P69" s="215" t="str">
        <f>_xlfn.XLOOKUP(E69,'All Products'!D:D,'All Products'!J:J,FALSE)</f>
        <v>Manufactured</v>
      </c>
      <c r="Q69" s="266">
        <f>_xlfn.XLOOKUP(E69,'All Products'!D:D,'All Products'!K:K,FALSE)</f>
        <v>810673017638</v>
      </c>
      <c r="R69" s="266" t="str">
        <f>_xlfn.XLOOKUP(E69,'All Products'!D:D,'All Products'!L:L,FALSE)</f>
        <v>-</v>
      </c>
      <c r="S69" s="266">
        <f>_xlfn.XLOOKUP(E69,'All Products'!D:D,'All Products'!M:M,FALSE)</f>
        <v>812361016503</v>
      </c>
      <c r="T69" s="264">
        <f>_xlfn.XLOOKUP(E69,'All Products'!D:D,'All Products'!N:N,FALSE)</f>
        <v>2.85</v>
      </c>
      <c r="U69" s="265">
        <f>_xlfn.XLOOKUP(E69,'All Products'!D:D,'All Products'!P:P,FALSE)</f>
        <v>452.03999999999996</v>
      </c>
      <c r="V69" s="265">
        <f>_xlfn.XLOOKUP(E69,'All Products'!D:D,'All Products'!Q:Q,FALSE)</f>
        <v>53.333269333358928</v>
      </c>
    </row>
    <row r="70" spans="1:22">
      <c r="A70" s="101" t="str">
        <f>IF(K70&gt;0,COUNT($A$8:A69)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70" s="615"/>
      <c r="C70" s="615"/>
      <c r="D70" s="51" t="str">
        <f>_xlfn.XLOOKUP(E70,'All Products'!D:D,'All Products'!C:C,FALSE)</f>
        <v>35-95</v>
      </c>
      <c r="E70" s="52">
        <v>100029312</v>
      </c>
      <c r="F70" s="53" t="str">
        <f>_xlfn.XLOOKUP(E70,'All Products'!D:D,'All Products'!E:E,FALSE)</f>
        <v>8 ELBOW 45 GXS SDR35</v>
      </c>
      <c r="G70" s="232">
        <f>_xlfn.XLOOKUP(E70,'All Products'!D:D,'All Products'!F:F,FALSE)</f>
        <v>1</v>
      </c>
      <c r="H70" s="232">
        <f>_xlfn.XLOOKUP(E70,'All Products'!D:D,'All Products'!G:G,FALSE)</f>
        <v>50</v>
      </c>
      <c r="I70" s="123">
        <f>_xlfn.XLOOKUP(E70,'All Products'!D:D,'All Products'!H:H,FALSE)</f>
        <v>354.04</v>
      </c>
      <c r="J70" s="130">
        <f>IFERROR(ROUNDUP(I70*Order_Quote!$L$15,2),0)</f>
        <v>354.04</v>
      </c>
      <c r="K70" s="118"/>
      <c r="L70" s="76"/>
      <c r="M70" s="114">
        <f t="shared" si="4"/>
        <v>0</v>
      </c>
      <c r="O70" s="215" t="str">
        <f>_xlfn.XLOOKUP(E70,'All Products'!D:D,'All Products'!I:I,FALSE)</f>
        <v>In Stock</v>
      </c>
      <c r="P70" s="215" t="str">
        <f>_xlfn.XLOOKUP(E70,'All Products'!D:D,'All Products'!J:J,FALSE)</f>
        <v>Manufactured</v>
      </c>
      <c r="Q70" s="266">
        <f>_xlfn.XLOOKUP(E70,'All Products'!D:D,'All Products'!K:K,FALSE)</f>
        <v>810673017652</v>
      </c>
      <c r="R70" s="266" t="str">
        <f>_xlfn.XLOOKUP(E70,'All Products'!D:D,'All Products'!L:L,FALSE)</f>
        <v>-</v>
      </c>
      <c r="S70" s="266">
        <f>_xlfn.XLOOKUP(E70,'All Products'!D:D,'All Products'!M:M,FALSE)</f>
        <v>812361016510</v>
      </c>
      <c r="T70" s="264">
        <f>_xlfn.XLOOKUP(E70,'All Products'!D:D,'All Products'!N:N,FALSE)</f>
        <v>6.056</v>
      </c>
      <c r="U70" s="265">
        <f>_xlfn.XLOOKUP(E70,'All Products'!D:D,'All Products'!P:P,FALSE)</f>
        <v>416.3</v>
      </c>
      <c r="V70" s="265">
        <f>_xlfn.XLOOKUP(E70,'All Products'!D:D,'All Products'!Q:Q,FALSE)</f>
        <v>53.333269333358928</v>
      </c>
    </row>
    <row r="71" spans="1:22">
      <c r="A71" s="101" t="str">
        <f>IF(K71&gt;0,COUNT($A$8:A70)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71" s="615"/>
      <c r="C71" s="615"/>
      <c r="D71" s="51" t="str">
        <f>_xlfn.XLOOKUP(E71,'All Products'!D:D,'All Products'!C:C,FALSE)</f>
        <v>35-113</v>
      </c>
      <c r="E71" s="52">
        <v>300005767</v>
      </c>
      <c r="F71" s="53" t="str">
        <f>_xlfn.XLOOKUP(E71,'All Products'!D:D,'All Products'!E:E,FALSE)</f>
        <v>12 ELBOW 45 GXS SDR35</v>
      </c>
      <c r="G71" s="232">
        <f>_xlfn.XLOOKUP(E71,'All Products'!D:D,'All Products'!F:F,FALSE)</f>
        <v>1</v>
      </c>
      <c r="H71" s="232">
        <f>_xlfn.XLOOKUP(E71,'All Products'!D:D,'All Products'!G:G,FALSE)</f>
        <v>27</v>
      </c>
      <c r="I71" s="123" t="str">
        <f>_xlfn.XLOOKUP(E71,'All Products'!D:D,'All Products'!H:H,FALSE)</f>
        <v>Quote Required</v>
      </c>
      <c r="J71" s="130">
        <f>IFERROR(ROUNDUP(I71*Order_Quote!$L$15,2),0)</f>
        <v>0</v>
      </c>
      <c r="K71" s="118"/>
      <c r="L71" s="76"/>
      <c r="M71" s="114">
        <f t="shared" si="4"/>
        <v>0</v>
      </c>
      <c r="O71" s="215" t="str">
        <f>_xlfn.XLOOKUP(E71,'All Products'!D:D,'All Products'!I:I,FALSE)</f>
        <v>Within 6 Weeks</v>
      </c>
      <c r="P71" s="215" t="str">
        <f>_xlfn.XLOOKUP(E71,'All Products'!D:D,'All Products'!J:J,FALSE)</f>
        <v>Sourced</v>
      </c>
      <c r="Q71" s="266">
        <f>_xlfn.XLOOKUP(E71,'All Products'!D:D,'All Products'!K:K,FALSE)</f>
        <v>810673017683</v>
      </c>
      <c r="R71" s="266" t="str">
        <f>_xlfn.XLOOKUP(E71,'All Products'!D:D,'All Products'!L:L,FALSE)</f>
        <v>-</v>
      </c>
      <c r="S71" s="266" t="str">
        <f>_xlfn.XLOOKUP(E71,'All Products'!D:D,'All Products'!M:M,FALSE)</f>
        <v>-</v>
      </c>
      <c r="T71" s="264">
        <f>_xlfn.XLOOKUP(E71,'All Products'!D:D,'All Products'!N:N,FALSE)</f>
        <v>15.58</v>
      </c>
      <c r="U71" s="265">
        <f>_xlfn.XLOOKUP(E71,'All Products'!D:D,'All Products'!P:P,FALSE)</f>
        <v>15.58</v>
      </c>
      <c r="V71" s="265" t="str">
        <f>_xlfn.XLOOKUP(E71,'All Products'!D:D,'All Products'!Q:Q,FALSE)</f>
        <v>-</v>
      </c>
    </row>
    <row r="72" spans="1:22">
      <c r="A72" s="101" t="str">
        <f>IF(K72&gt;0,COUNT($A$8:A71)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72" s="615"/>
      <c r="C72" s="615"/>
      <c r="D72" s="51" t="str">
        <f>_xlfn.XLOOKUP(E72,'All Products'!D:D,'All Products'!C:C,FALSE)</f>
        <v>35-1604</v>
      </c>
      <c r="E72" s="52">
        <v>100029357</v>
      </c>
      <c r="F72" s="53" t="str">
        <f>_xlfn.XLOOKUP(E72,'All Products'!D:D,'All Products'!E:E,FALSE)</f>
        <v>4 ELBOW 22.5 GXG SDR35</v>
      </c>
      <c r="G72" s="232">
        <f>_xlfn.XLOOKUP(E72,'All Products'!D:D,'All Products'!F:F,FALSE)</f>
        <v>18</v>
      </c>
      <c r="H72" s="232">
        <f>_xlfn.XLOOKUP(E72,'All Products'!D:D,'All Products'!G:G,FALSE)</f>
        <v>432</v>
      </c>
      <c r="I72" s="123">
        <f>_xlfn.XLOOKUP(E72,'All Products'!D:D,'All Products'!H:H,FALSE)</f>
        <v>65.17</v>
      </c>
      <c r="J72" s="130">
        <f>IFERROR(ROUNDUP(I72*Order_Quote!$L$15,2),0)</f>
        <v>65.17</v>
      </c>
      <c r="K72" s="122"/>
      <c r="L72" s="76"/>
      <c r="M72" s="114">
        <f t="shared" si="4"/>
        <v>0</v>
      </c>
      <c r="O72" s="215" t="str">
        <f>_xlfn.XLOOKUP(E72,'All Products'!D:D,'All Products'!I:I,FALSE)</f>
        <v>In Stock</v>
      </c>
      <c r="P72" s="215" t="str">
        <f>_xlfn.XLOOKUP(E72,'All Products'!D:D,'All Products'!J:J,FALSE)</f>
        <v>Manufactured</v>
      </c>
      <c r="Q72" s="266">
        <f>_xlfn.XLOOKUP(E72,'All Products'!D:D,'All Products'!K:K,FALSE)</f>
        <v>810673017690</v>
      </c>
      <c r="R72" s="266" t="str">
        <f>_xlfn.XLOOKUP(E72,'All Products'!D:D,'All Products'!L:L,FALSE)</f>
        <v>-</v>
      </c>
      <c r="S72" s="266">
        <f>_xlfn.XLOOKUP(E72,'All Products'!D:D,'All Products'!M:M,FALSE)</f>
        <v>810673017690</v>
      </c>
      <c r="T72" s="264">
        <f>_xlfn.XLOOKUP(E72,'All Products'!D:D,'All Products'!N:N,FALSE)</f>
        <v>1.042</v>
      </c>
      <c r="U72" s="265">
        <f>_xlfn.XLOOKUP(E72,'All Products'!D:D,'All Products'!P:P,FALSE)</f>
        <v>20.951999999999998</v>
      </c>
      <c r="V72" s="265">
        <f>_xlfn.XLOOKUP(E72,'All Products'!D:D,'All Products'!Q:Q,FALSE)</f>
        <v>1.8803145838984718</v>
      </c>
    </row>
    <row r="73" spans="1:22">
      <c r="A73" s="101" t="str">
        <f>IF(K73&gt;0,COUNT($A$8:A72)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73" s="615"/>
      <c r="C73" s="615"/>
      <c r="D73" s="51" t="str">
        <f>_xlfn.XLOOKUP(E73,'All Products'!D:D,'All Products'!C:C,FALSE)</f>
        <v>35-1707</v>
      </c>
      <c r="E73" s="52">
        <v>100030901</v>
      </c>
      <c r="F73" s="53" t="str">
        <f>_xlfn.XLOOKUP(E73,'All Products'!D:D,'All Products'!E:E,FALSE)</f>
        <v>5 ELBOW 22.5 GXG SDR35</v>
      </c>
      <c r="G73" s="232">
        <f>_xlfn.XLOOKUP(E73,'All Products'!D:D,'All Products'!F:F,FALSE)</f>
        <v>1</v>
      </c>
      <c r="H73" s="232">
        <f>_xlfn.XLOOKUP(E73,'All Products'!D:D,'All Products'!G:G,FALSE)</f>
        <v>160</v>
      </c>
      <c r="I73" s="123">
        <f>_xlfn.XLOOKUP(E73,'All Products'!D:D,'All Products'!H:H,FALSE)</f>
        <v>136.25</v>
      </c>
      <c r="J73" s="130">
        <f>IFERROR(ROUNDUP(I73*Order_Quote!$L$15,2),0)</f>
        <v>136.25</v>
      </c>
      <c r="K73" s="118"/>
      <c r="L73" s="76"/>
      <c r="M73" s="114">
        <f t="shared" si="4"/>
        <v>0</v>
      </c>
      <c r="O73" s="215" t="str">
        <f>_xlfn.XLOOKUP(E73,'All Products'!D:D,'All Products'!I:I,FALSE)</f>
        <v>Within 3 Weeks</v>
      </c>
      <c r="P73" s="215" t="str">
        <f>_xlfn.XLOOKUP(E73,'All Products'!D:D,'All Products'!J:J,FALSE)</f>
        <v>Manufactured</v>
      </c>
      <c r="Q73" s="266">
        <f>_xlfn.XLOOKUP(E73,'All Products'!D:D,'All Products'!K:K,FALSE)</f>
        <v>810673017713</v>
      </c>
      <c r="R73" s="266" t="str">
        <f>_xlfn.XLOOKUP(E73,'All Products'!D:D,'All Products'!L:L,FALSE)</f>
        <v>-</v>
      </c>
      <c r="S73" s="266">
        <f>_xlfn.XLOOKUP(E73,'All Products'!D:D,'All Products'!M:M,FALSE)</f>
        <v>812361016091</v>
      </c>
      <c r="T73" s="264">
        <f>_xlfn.XLOOKUP(E73,'All Products'!D:D,'All Products'!N:N,FALSE)</f>
        <v>2.34</v>
      </c>
      <c r="U73" s="265">
        <f>_xlfn.XLOOKUP(E73,'All Products'!D:D,'All Products'!P:P,FALSE)</f>
        <v>374.4</v>
      </c>
      <c r="V73" s="265">
        <f>_xlfn.XLOOKUP(E73,'All Products'!D:D,'All Products'!Q:Q,FALSE)</f>
        <v>53.333269333358928</v>
      </c>
    </row>
    <row r="74" spans="1:22">
      <c r="A74" s="101" t="str">
        <f>IF(K74&gt;0,COUNT($A$8:A73)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74" s="615"/>
      <c r="C74" s="615"/>
      <c r="D74" s="51" t="str">
        <f>_xlfn.XLOOKUP(E74,'All Products'!D:D,'All Products'!C:C,FALSE)</f>
        <v>35-1605</v>
      </c>
      <c r="E74" s="52">
        <v>100029356</v>
      </c>
      <c r="F74" s="53" t="str">
        <f>_xlfn.XLOOKUP(E74,'All Products'!D:D,'All Products'!E:E,FALSE)</f>
        <v>6 ELBOW 22.5 GXG SDR35</v>
      </c>
      <c r="G74" s="232">
        <f>_xlfn.XLOOKUP(E74,'All Products'!D:D,'All Products'!F:F,FALSE)</f>
        <v>1</v>
      </c>
      <c r="H74" s="232">
        <f>_xlfn.XLOOKUP(E74,'All Products'!D:D,'All Products'!G:G,FALSE)</f>
        <v>140</v>
      </c>
      <c r="I74" s="123">
        <f>_xlfn.XLOOKUP(E74,'All Products'!D:D,'All Products'!H:H,FALSE)</f>
        <v>128.33000000000001</v>
      </c>
      <c r="J74" s="130">
        <f>IFERROR(ROUNDUP(I74*Order_Quote!$L$15,2),0)</f>
        <v>128.33000000000001</v>
      </c>
      <c r="K74" s="118"/>
      <c r="L74" s="76"/>
      <c r="M74" s="114">
        <f t="shared" si="4"/>
        <v>0</v>
      </c>
      <c r="O74" s="215" t="str">
        <f>_xlfn.XLOOKUP(E74,'All Products'!D:D,'All Products'!I:I,FALSE)</f>
        <v>In Stock</v>
      </c>
      <c r="P74" s="215" t="str">
        <f>_xlfn.XLOOKUP(E74,'All Products'!D:D,'All Products'!J:J,FALSE)</f>
        <v>Manufactured</v>
      </c>
      <c r="Q74" s="266">
        <f>_xlfn.XLOOKUP(E74,'All Products'!D:D,'All Products'!K:K,FALSE)</f>
        <v>810673017737</v>
      </c>
      <c r="R74" s="266" t="str">
        <f>_xlfn.XLOOKUP(E74,'All Products'!D:D,'All Products'!L:L,FALSE)</f>
        <v>-</v>
      </c>
      <c r="S74" s="266">
        <f>_xlfn.XLOOKUP(E74,'All Products'!D:D,'All Products'!M:M,FALSE)</f>
        <v>812361016671</v>
      </c>
      <c r="T74" s="264">
        <f>_xlfn.XLOOKUP(E74,'All Products'!D:D,'All Products'!N:N,FALSE)</f>
        <v>2.8559999999999999</v>
      </c>
      <c r="U74" s="265">
        <f>_xlfn.XLOOKUP(E74,'All Products'!D:D,'All Products'!P:P,FALSE)</f>
        <v>401.52</v>
      </c>
      <c r="V74" s="265">
        <f>_xlfn.XLOOKUP(E74,'All Products'!D:D,'All Products'!Q:Q,FALSE)</f>
        <v>53.333269333358928</v>
      </c>
    </row>
    <row r="75" spans="1:22">
      <c r="A75" s="101" t="str">
        <f>IF(K75&gt;0,COUNT($A$8:A74)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75" s="615"/>
      <c r="C75" s="615"/>
      <c r="D75" s="51" t="str">
        <f>_xlfn.XLOOKUP(E75,'All Products'!D:D,'All Products'!C:C,FALSE)</f>
        <v>35-90</v>
      </c>
      <c r="E75" s="52">
        <v>100029351</v>
      </c>
      <c r="F75" s="53" t="str">
        <f>_xlfn.XLOOKUP(E75,'All Products'!D:D,'All Products'!E:E,FALSE)</f>
        <v>8 ELBOW 22.5 GXG SDR35</v>
      </c>
      <c r="G75" s="232">
        <f>_xlfn.XLOOKUP(E75,'All Products'!D:D,'All Products'!F:F,FALSE)</f>
        <v>1</v>
      </c>
      <c r="H75" s="232">
        <f>_xlfn.XLOOKUP(E75,'All Products'!D:D,'All Products'!G:G,FALSE)</f>
        <v>80</v>
      </c>
      <c r="I75" s="123">
        <f>_xlfn.XLOOKUP(E75,'All Products'!D:D,'All Products'!H:H,FALSE)</f>
        <v>373.88</v>
      </c>
      <c r="J75" s="130">
        <f>IFERROR(ROUNDUP(I75*Order_Quote!$L$15,2),0)</f>
        <v>373.88</v>
      </c>
      <c r="K75" s="118"/>
      <c r="L75" s="76"/>
      <c r="M75" s="115">
        <f t="shared" si="4"/>
        <v>0</v>
      </c>
      <c r="O75" s="215" t="str">
        <f>_xlfn.XLOOKUP(E75,'All Products'!D:D,'All Products'!I:I,FALSE)</f>
        <v>In Stock</v>
      </c>
      <c r="P75" s="215" t="str">
        <f>_xlfn.XLOOKUP(E75,'All Products'!D:D,'All Products'!J:J,FALSE)</f>
        <v>Manufactured</v>
      </c>
      <c r="Q75" s="266">
        <f>_xlfn.XLOOKUP(E75,'All Products'!D:D,'All Products'!K:K,FALSE)</f>
        <v>810673017751</v>
      </c>
      <c r="R75" s="266" t="str">
        <f>_xlfn.XLOOKUP(E75,'All Products'!D:D,'All Products'!L:L,FALSE)</f>
        <v>-</v>
      </c>
      <c r="S75" s="266">
        <f>_xlfn.XLOOKUP(E75,'All Products'!D:D,'All Products'!M:M,FALSE)</f>
        <v>812361016688</v>
      </c>
      <c r="T75" s="264">
        <f>_xlfn.XLOOKUP(E75,'All Products'!D:D,'All Products'!N:N,FALSE)</f>
        <v>3.8639999999999999</v>
      </c>
      <c r="U75" s="265">
        <f>_xlfn.XLOOKUP(E75,'All Products'!D:D,'All Products'!P:P,FALSE)</f>
        <v>309.12</v>
      </c>
      <c r="V75" s="265">
        <f>_xlfn.XLOOKUP(E75,'All Products'!D:D,'All Products'!Q:Q,FALSE)</f>
        <v>53.333269333358928</v>
      </c>
    </row>
    <row r="76" spans="1:22">
      <c r="A76" s="101" t="str">
        <f>IF(K76&gt;0,COUNT($A$8:A75)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76" s="615"/>
      <c r="C76" s="615"/>
      <c r="D76" s="51" t="str">
        <f>_xlfn.XLOOKUP(E76,'All Products'!D:D,'All Products'!C:C,FALSE)</f>
        <v>35-99</v>
      </c>
      <c r="E76" s="52">
        <v>300003467</v>
      </c>
      <c r="F76" s="53" t="str">
        <f>_xlfn.XLOOKUP(E76,'All Products'!D:D,'All Products'!E:E,FALSE)</f>
        <v>10 ELBOW 22.5 GXG SDR35</v>
      </c>
      <c r="G76" s="232">
        <f>_xlfn.XLOOKUP(E76,'All Products'!D:D,'All Products'!F:F,FALSE)</f>
        <v>1</v>
      </c>
      <c r="H76" s="232">
        <f>_xlfn.XLOOKUP(E76,'All Products'!D:D,'All Products'!G:G,FALSE)</f>
        <v>36</v>
      </c>
      <c r="I76" s="123" t="str">
        <f>_xlfn.XLOOKUP(E76,'All Products'!D:D,'All Products'!H:H,FALSE)</f>
        <v>Quote Required</v>
      </c>
      <c r="J76" s="130">
        <f>IFERROR(ROUNDUP(I76*Order_Quote!$L$15,2),0)</f>
        <v>0</v>
      </c>
      <c r="K76" s="118"/>
      <c r="L76" s="76"/>
      <c r="M76" s="114">
        <f t="shared" si="4"/>
        <v>0</v>
      </c>
      <c r="O76" s="215" t="str">
        <f>_xlfn.XLOOKUP(E76,'All Products'!D:D,'All Products'!I:I,FALSE)</f>
        <v>Within 6 Weeks</v>
      </c>
      <c r="P76" s="215" t="str">
        <f>_xlfn.XLOOKUP(E76,'All Products'!D:D,'All Products'!J:J,FALSE)</f>
        <v>Sourced</v>
      </c>
      <c r="Q76" s="266">
        <f>_xlfn.XLOOKUP(E76,'All Products'!D:D,'All Products'!K:K,FALSE)</f>
        <v>816842021116</v>
      </c>
      <c r="R76" s="266" t="str">
        <f>_xlfn.XLOOKUP(E76,'All Products'!D:D,'All Products'!L:L,FALSE)</f>
        <v>-</v>
      </c>
      <c r="S76" s="266" t="str">
        <f>_xlfn.XLOOKUP(E76,'All Products'!D:D,'All Products'!M:M,FALSE)</f>
        <v>-</v>
      </c>
      <c r="T76" s="264">
        <f>_xlfn.XLOOKUP(E76,'All Products'!D:D,'All Products'!N:N,FALSE)</f>
        <v>8.86</v>
      </c>
      <c r="U76" s="265">
        <f>_xlfn.XLOOKUP(E76,'All Products'!D:D,'All Products'!P:P,FALSE)</f>
        <v>8.86</v>
      </c>
      <c r="V76" s="265" t="str">
        <f>_xlfn.XLOOKUP(E76,'All Products'!D:D,'All Products'!Q:Q,FALSE)</f>
        <v>-</v>
      </c>
    </row>
    <row r="77" spans="1:22">
      <c r="A77" s="101" t="str">
        <f>IF(K77&gt;0,COUNT($A$8:A76)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77" s="615"/>
      <c r="C77" s="615"/>
      <c r="D77" s="51" t="str">
        <f>_xlfn.XLOOKUP(E77,'All Products'!D:D,'All Products'!C:C,FALSE)</f>
        <v>35-108</v>
      </c>
      <c r="E77" s="52">
        <v>300003525</v>
      </c>
      <c r="F77" s="53" t="str">
        <f>_xlfn.XLOOKUP(E77,'All Products'!D:D,'All Products'!E:E,FALSE)</f>
        <v>12 ELBOW 22.5 GXG SDR35</v>
      </c>
      <c r="G77" s="232">
        <f>_xlfn.XLOOKUP(E77,'All Products'!D:D,'All Products'!F:F,FALSE)</f>
        <v>1</v>
      </c>
      <c r="H77" s="232">
        <f>_xlfn.XLOOKUP(E77,'All Products'!D:D,'All Products'!G:G,FALSE)</f>
        <v>16</v>
      </c>
      <c r="I77" s="123" t="str">
        <f>_xlfn.XLOOKUP(E77,'All Products'!D:D,'All Products'!H:H,FALSE)</f>
        <v>Quote Required</v>
      </c>
      <c r="J77" s="130">
        <f>IFERROR(ROUNDUP(I77*Order_Quote!$L$15,2),0)</f>
        <v>0</v>
      </c>
      <c r="K77" s="118"/>
      <c r="L77" s="76"/>
      <c r="M77" s="114">
        <f t="shared" si="4"/>
        <v>0</v>
      </c>
      <c r="O77" s="215" t="str">
        <f>_xlfn.XLOOKUP(E77,'All Products'!D:D,'All Products'!I:I,FALSE)</f>
        <v>Within 6 Weeks</v>
      </c>
      <c r="P77" s="215" t="str">
        <f>_xlfn.XLOOKUP(E77,'All Products'!D:D,'All Products'!J:J,FALSE)</f>
        <v>Sourced</v>
      </c>
      <c r="Q77" s="266">
        <f>_xlfn.XLOOKUP(E77,'All Products'!D:D,'All Products'!K:K,FALSE)</f>
        <v>812361019276</v>
      </c>
      <c r="R77" s="266" t="str">
        <f>_xlfn.XLOOKUP(E77,'All Products'!D:D,'All Products'!L:L,FALSE)</f>
        <v>-</v>
      </c>
      <c r="S77" s="266" t="str">
        <f>_xlfn.XLOOKUP(E77,'All Products'!D:D,'All Products'!M:M,FALSE)</f>
        <v>-</v>
      </c>
      <c r="T77" s="264">
        <f>_xlfn.XLOOKUP(E77,'All Products'!D:D,'All Products'!N:N,FALSE)</f>
        <v>15.86</v>
      </c>
      <c r="U77" s="265">
        <f>_xlfn.XLOOKUP(E77,'All Products'!D:D,'All Products'!P:P,FALSE)</f>
        <v>15.86</v>
      </c>
      <c r="V77" s="265" t="str">
        <f>_xlfn.XLOOKUP(E77,'All Products'!D:D,'All Products'!Q:Q,FALSE)</f>
        <v>-</v>
      </c>
    </row>
    <row r="78" spans="1:22">
      <c r="A78" s="101" t="str">
        <f>IF(K78&gt;0,COUNT($A$8:A77)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78" s="615"/>
      <c r="C78" s="615"/>
      <c r="D78" s="51" t="str">
        <f>_xlfn.XLOOKUP(E78,'All Products'!D:D,'All Products'!C:C,FALSE)</f>
        <v>35-1606</v>
      </c>
      <c r="E78" s="52">
        <v>100029349</v>
      </c>
      <c r="F78" s="53" t="str">
        <f>_xlfn.XLOOKUP(E78,'All Products'!D:D,'All Products'!E:E,FALSE)</f>
        <v>4 ELBOW 22.5 GXS SDR35</v>
      </c>
      <c r="G78" s="232">
        <f>_xlfn.XLOOKUP(E78,'All Products'!D:D,'All Products'!F:F,FALSE)</f>
        <v>18</v>
      </c>
      <c r="H78" s="232">
        <f>_xlfn.XLOOKUP(E78,'All Products'!D:D,'All Products'!G:G,FALSE)</f>
        <v>432</v>
      </c>
      <c r="I78" s="123">
        <f>_xlfn.XLOOKUP(E78,'All Products'!D:D,'All Products'!H:H,FALSE)</f>
        <v>61.95</v>
      </c>
      <c r="J78" s="130">
        <f>IFERROR(ROUNDUP(I78*Order_Quote!$L$15,2),0)</f>
        <v>61.95</v>
      </c>
      <c r="K78" s="122"/>
      <c r="L78" s="76"/>
      <c r="M78" s="115">
        <f t="shared" si="4"/>
        <v>0</v>
      </c>
      <c r="O78" s="215" t="str">
        <f>_xlfn.XLOOKUP(E78,'All Products'!D:D,'All Products'!I:I,FALSE)</f>
        <v>In Stock</v>
      </c>
      <c r="P78" s="215" t="str">
        <f>_xlfn.XLOOKUP(E78,'All Products'!D:D,'All Products'!J:J,FALSE)</f>
        <v>Manufactured</v>
      </c>
      <c r="Q78" s="266">
        <f>_xlfn.XLOOKUP(E78,'All Products'!D:D,'All Products'!K:K,FALSE)</f>
        <v>810673017775</v>
      </c>
      <c r="R78" s="266" t="str">
        <f>_xlfn.XLOOKUP(E78,'All Products'!D:D,'All Products'!L:L,FALSE)</f>
        <v>-</v>
      </c>
      <c r="S78" s="266">
        <f>_xlfn.XLOOKUP(E78,'All Products'!D:D,'All Products'!M:M,FALSE)</f>
        <v>810673017775</v>
      </c>
      <c r="T78" s="264">
        <f>_xlfn.XLOOKUP(E78,'All Products'!D:D,'All Products'!N:N,FALSE)</f>
        <v>0.86199999999999999</v>
      </c>
      <c r="U78" s="265">
        <f>_xlfn.XLOOKUP(E78,'All Products'!D:D,'All Products'!P:P,FALSE)</f>
        <v>17.712</v>
      </c>
      <c r="V78" s="265">
        <f>_xlfn.XLOOKUP(E78,'All Products'!D:D,'All Products'!Q:Q,FALSE)</f>
        <v>1.8803145838984718</v>
      </c>
    </row>
    <row r="79" spans="1:22">
      <c r="A79" s="101" t="str">
        <f>IF(K79&gt;0,COUNT($A$8:A78)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79" s="615"/>
      <c r="C79" s="615"/>
      <c r="D79" s="51" t="str">
        <f>_xlfn.XLOOKUP(E79,'All Products'!D:D,'All Products'!C:C,FALSE)</f>
        <v>35-1607</v>
      </c>
      <c r="E79" s="52">
        <v>100029352</v>
      </c>
      <c r="F79" s="53" t="str">
        <f>_xlfn.XLOOKUP(E79,'All Products'!D:D,'All Products'!E:E,FALSE)</f>
        <v>6 ELBOW 22.5 GXS SDR35</v>
      </c>
      <c r="G79" s="232">
        <f>_xlfn.XLOOKUP(E79,'All Products'!D:D,'All Products'!F:F,FALSE)</f>
        <v>1</v>
      </c>
      <c r="H79" s="232">
        <f>_xlfn.XLOOKUP(E79,'All Products'!D:D,'All Products'!G:G,FALSE)</f>
        <v>140</v>
      </c>
      <c r="I79" s="123">
        <f>_xlfn.XLOOKUP(E79,'All Products'!D:D,'All Products'!H:H,FALSE)</f>
        <v>121.83</v>
      </c>
      <c r="J79" s="130">
        <f>IFERROR(ROUNDUP(I79*Order_Quote!$L$15,2),0)</f>
        <v>121.83</v>
      </c>
      <c r="K79" s="118"/>
      <c r="L79" s="76"/>
      <c r="M79" s="114">
        <f t="shared" si="4"/>
        <v>0</v>
      </c>
      <c r="O79" s="215" t="str">
        <f>_xlfn.XLOOKUP(E79,'All Products'!D:D,'All Products'!I:I,FALSE)</f>
        <v>In Stock</v>
      </c>
      <c r="P79" s="215" t="str">
        <f>_xlfn.XLOOKUP(E79,'All Products'!D:D,'All Products'!J:J,FALSE)</f>
        <v>Manufactured</v>
      </c>
      <c r="Q79" s="266">
        <f>_xlfn.XLOOKUP(E79,'All Products'!D:D,'All Products'!K:K,FALSE)</f>
        <v>810673017812</v>
      </c>
      <c r="R79" s="266" t="str">
        <f>_xlfn.XLOOKUP(E79,'All Products'!D:D,'All Products'!L:L,FALSE)</f>
        <v>-</v>
      </c>
      <c r="S79" s="266">
        <f>_xlfn.XLOOKUP(E79,'All Products'!D:D,'All Products'!M:M,FALSE)</f>
        <v>812361016527</v>
      </c>
      <c r="T79" s="264">
        <f>_xlfn.XLOOKUP(E79,'All Products'!D:D,'All Products'!N:N,FALSE)</f>
        <v>2.536</v>
      </c>
      <c r="U79" s="265">
        <f>_xlfn.XLOOKUP(E79,'All Products'!D:D,'All Products'!P:P,FALSE)</f>
        <v>355.32</v>
      </c>
      <c r="V79" s="265">
        <f>_xlfn.XLOOKUP(E79,'All Products'!D:D,'All Products'!Q:Q,FALSE)</f>
        <v>53.333269333358928</v>
      </c>
    </row>
    <row r="80" spans="1:22" ht="15" thickBot="1">
      <c r="A80" s="101" t="str">
        <f>IF(K80&gt;0,COUNT($A$8:A79)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80" s="615"/>
      <c r="C80" s="615"/>
      <c r="D80" s="51" t="str">
        <f>_xlfn.XLOOKUP(E80,'All Products'!D:D,'All Products'!C:C,FALSE)</f>
        <v>35-91</v>
      </c>
      <c r="E80" s="52">
        <v>100029350</v>
      </c>
      <c r="F80" s="53" t="str">
        <f>_xlfn.XLOOKUP(E80,'All Products'!D:D,'All Products'!E:E,FALSE)</f>
        <v>8 ELBOW 22.5 GXS SDR35</v>
      </c>
      <c r="G80" s="232">
        <f>_xlfn.XLOOKUP(E80,'All Products'!D:D,'All Products'!F:F,FALSE)</f>
        <v>1</v>
      </c>
      <c r="H80" s="232">
        <f>_xlfn.XLOOKUP(E80,'All Products'!D:D,'All Products'!G:G,FALSE)</f>
        <v>80</v>
      </c>
      <c r="I80" s="123">
        <f>_xlfn.XLOOKUP(E80,'All Products'!D:D,'All Products'!H:H,FALSE)</f>
        <v>390.72</v>
      </c>
      <c r="J80" s="130">
        <f>IFERROR(ROUNDUP(I80*Order_Quote!$L$15,2),0)</f>
        <v>390.72</v>
      </c>
      <c r="K80" s="118"/>
      <c r="L80" s="76"/>
      <c r="M80" s="114">
        <f t="shared" si="4"/>
        <v>0</v>
      </c>
      <c r="O80" s="215" t="str">
        <f>_xlfn.XLOOKUP(E80,'All Products'!D:D,'All Products'!I:I,FALSE)</f>
        <v>Within 3 Weeks</v>
      </c>
      <c r="P80" s="215" t="str">
        <f>_xlfn.XLOOKUP(E80,'All Products'!D:D,'All Products'!J:J,FALSE)</f>
        <v>Manufactured</v>
      </c>
      <c r="Q80" s="266">
        <f>_xlfn.XLOOKUP(E80,'All Products'!D:D,'All Products'!K:K,FALSE)</f>
        <v>810673017836</v>
      </c>
      <c r="R80" s="266" t="str">
        <f>_xlfn.XLOOKUP(E80,'All Products'!D:D,'All Products'!L:L,FALSE)</f>
        <v>-</v>
      </c>
      <c r="S80" s="266">
        <f>_xlfn.XLOOKUP(E80,'All Products'!D:D,'All Products'!M:M,FALSE)</f>
        <v>812361016534</v>
      </c>
      <c r="T80" s="264">
        <f>_xlfn.XLOOKUP(E80,'All Products'!D:D,'All Products'!N:N,FALSE)</f>
        <v>3.3820000000000001</v>
      </c>
      <c r="U80" s="265">
        <f>_xlfn.XLOOKUP(E80,'All Products'!D:D,'All Products'!P:P,FALSE)</f>
        <v>270.56</v>
      </c>
      <c r="V80" s="265">
        <f>_xlfn.XLOOKUP(E80,'All Products'!D:D,'All Products'!Q:Q,FALSE)</f>
        <v>53.333269333358928</v>
      </c>
    </row>
    <row r="81" spans="1:22" s="17" customFormat="1" ht="16.2" thickBot="1">
      <c r="A81" s="101" t="str">
        <f>IF(K81&gt;0,COUNT($A$8:A80)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81" s="501" t="s">
        <v>5859</v>
      </c>
      <c r="C81" s="151"/>
      <c r="D81" s="151"/>
      <c r="E81" s="459"/>
      <c r="F81" s="151"/>
      <c r="G81" s="468"/>
      <c r="H81" s="151"/>
      <c r="I81" s="472"/>
      <c r="J81" s="468"/>
      <c r="K81" s="477"/>
      <c r="L81" s="238"/>
      <c r="M81" s="476"/>
      <c r="O81" s="494"/>
      <c r="P81" s="478"/>
      <c r="Q81" s="492"/>
      <c r="R81" s="492"/>
      <c r="S81" s="492"/>
      <c r="T81" s="495"/>
      <c r="U81" s="496"/>
      <c r="V81" s="497"/>
    </row>
    <row r="82" spans="1:22">
      <c r="A82" s="101" t="str">
        <f>IF(K82&gt;0,COUNT($A$8:A81)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82" s="615"/>
      <c r="C82" s="615"/>
      <c r="D82" s="51" t="str">
        <f>_xlfn.XLOOKUP(E82,'All Products'!D:D,'All Products'!C:C,FALSE)</f>
        <v>35-1528</v>
      </c>
      <c r="E82" s="52">
        <v>100029270</v>
      </c>
      <c r="F82" s="53" t="str">
        <f>_xlfn.XLOOKUP(E82,'All Products'!D:D,'All Products'!E:E,FALSE)</f>
        <v>4 TEE GXGXG SDR35</v>
      </c>
      <c r="G82" s="232">
        <f>_xlfn.XLOOKUP(E82,'All Products'!D:D,'All Products'!F:F,FALSE)</f>
        <v>10</v>
      </c>
      <c r="H82" s="232">
        <f>_xlfn.XLOOKUP(E82,'All Products'!D:D,'All Products'!G:G,FALSE)</f>
        <v>180</v>
      </c>
      <c r="I82" s="123">
        <f>_xlfn.XLOOKUP(E82,'All Products'!D:D,'All Products'!H:H,FALSE)</f>
        <v>105.73</v>
      </c>
      <c r="J82" s="130">
        <f>IFERROR(ROUNDUP(I82*Order_Quote!$L$15,2),0)</f>
        <v>105.73</v>
      </c>
      <c r="K82" s="122"/>
      <c r="L82" s="76"/>
      <c r="M82" s="114">
        <f t="shared" ref="M82:M102" si="5">K82/G82</f>
        <v>0</v>
      </c>
      <c r="O82" s="215" t="str">
        <f>_xlfn.XLOOKUP(E82,'All Products'!D:D,'All Products'!I:I,FALSE)</f>
        <v>In Stock</v>
      </c>
      <c r="P82" s="215" t="str">
        <f>_xlfn.XLOOKUP(E82,'All Products'!D:D,'All Products'!J:J,FALSE)</f>
        <v>Manufactured</v>
      </c>
      <c r="Q82" s="266">
        <f>_xlfn.XLOOKUP(E82,'All Products'!D:D,'All Products'!K:K,FALSE)</f>
        <v>810673016440</v>
      </c>
      <c r="R82" s="266" t="str">
        <f>_xlfn.XLOOKUP(E82,'All Products'!D:D,'All Products'!L:L,FALSE)</f>
        <v>-</v>
      </c>
      <c r="S82" s="266">
        <f>_xlfn.XLOOKUP(E82,'All Products'!D:D,'All Products'!M:M,FALSE)</f>
        <v>812361019870</v>
      </c>
      <c r="T82" s="264">
        <f>_xlfn.XLOOKUP(E82,'All Products'!D:D,'All Products'!N:N,FALSE)</f>
        <v>1.8260000000000001</v>
      </c>
      <c r="U82" s="265">
        <f>_xlfn.XLOOKUP(E82,'All Products'!D:D,'All Products'!P:P,FALSE)</f>
        <v>20.11</v>
      </c>
      <c r="V82" s="265">
        <f>_xlfn.XLOOKUP(E82,'All Products'!D:D,'All Products'!Q:Q,FALSE)</f>
        <v>2.361325291407383</v>
      </c>
    </row>
    <row r="83" spans="1:22">
      <c r="A83" s="101" t="str">
        <f>IF(K83&gt;0,COUNT($A$8:A82)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83" s="615"/>
      <c r="C83" s="615"/>
      <c r="D83" s="51" t="str">
        <f>_xlfn.XLOOKUP(E83,'All Products'!D:D,'All Products'!C:C,FALSE)</f>
        <v>35-1529</v>
      </c>
      <c r="E83" s="52">
        <v>100029286</v>
      </c>
      <c r="F83" s="53" t="str">
        <f>_xlfn.XLOOKUP(E83,'All Products'!D:D,'All Products'!E:E,FALSE)</f>
        <v>6X4 TEE GXGXG SDR35</v>
      </c>
      <c r="G83" s="232">
        <f>_xlfn.XLOOKUP(E83,'All Products'!D:D,'All Products'!F:F,FALSE)</f>
        <v>1</v>
      </c>
      <c r="H83" s="232">
        <f>_xlfn.XLOOKUP(E83,'All Products'!D:D,'All Products'!G:G,FALSE)</f>
        <v>100</v>
      </c>
      <c r="I83" s="123">
        <f>_xlfn.XLOOKUP(E83,'All Products'!D:D,'All Products'!H:H,FALSE)</f>
        <v>221.5</v>
      </c>
      <c r="J83" s="130">
        <f>IFERROR(ROUNDUP(I83*Order_Quote!$L$15,2),0)</f>
        <v>221.5</v>
      </c>
      <c r="K83" s="118"/>
      <c r="L83" s="76"/>
      <c r="M83" s="114">
        <f t="shared" si="5"/>
        <v>0</v>
      </c>
      <c r="O83" s="215" t="str">
        <f>_xlfn.XLOOKUP(E83,'All Products'!D:D,'All Products'!I:I,FALSE)</f>
        <v>Within 3 Weeks</v>
      </c>
      <c r="P83" s="215" t="str">
        <f>_xlfn.XLOOKUP(E83,'All Products'!D:D,'All Products'!J:J,FALSE)</f>
        <v>Manufactured</v>
      </c>
      <c r="Q83" s="266">
        <f>_xlfn.XLOOKUP(E83,'All Products'!D:D,'All Products'!K:K,FALSE)</f>
        <v>810673016464</v>
      </c>
      <c r="R83" s="266" t="str">
        <f>_xlfn.XLOOKUP(E83,'All Products'!D:D,'All Products'!L:L,FALSE)</f>
        <v>-</v>
      </c>
      <c r="S83" s="266">
        <f>_xlfn.XLOOKUP(E83,'All Products'!D:D,'All Products'!M:M,FALSE)</f>
        <v>812361016152</v>
      </c>
      <c r="T83" s="264">
        <f>_xlfn.XLOOKUP(E83,'All Products'!D:D,'All Products'!N:N,FALSE)</f>
        <v>2.8620000000000001</v>
      </c>
      <c r="U83" s="265">
        <f>_xlfn.XLOOKUP(E83,'All Products'!D:D,'All Products'!P:P,FALSE)</f>
        <v>286.2</v>
      </c>
      <c r="V83" s="265">
        <f>_xlfn.XLOOKUP(E83,'All Products'!D:D,'All Products'!Q:Q,FALSE)</f>
        <v>53.333269333358928</v>
      </c>
    </row>
    <row r="84" spans="1:22">
      <c r="A84" s="101" t="str">
        <f>IF(K84&gt;0,COUNT($A$8:A83)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84" s="615"/>
      <c r="C84" s="615"/>
      <c r="D84" s="51" t="str">
        <f>_xlfn.XLOOKUP(E84,'All Products'!D:D,'All Products'!C:C,FALSE)</f>
        <v>35-1530</v>
      </c>
      <c r="E84" s="52">
        <v>100029267</v>
      </c>
      <c r="F84" s="53" t="str">
        <f>_xlfn.XLOOKUP(E84,'All Products'!D:D,'All Products'!E:E,FALSE)</f>
        <v>6 TEE GXGXG SDR35</v>
      </c>
      <c r="G84" s="232">
        <f>_xlfn.XLOOKUP(E84,'All Products'!D:D,'All Products'!F:F,FALSE)</f>
        <v>1</v>
      </c>
      <c r="H84" s="232">
        <f>_xlfn.XLOOKUP(E84,'All Products'!D:D,'All Products'!G:G,FALSE)</f>
        <v>75</v>
      </c>
      <c r="I84" s="123">
        <f>_xlfn.XLOOKUP(E84,'All Products'!D:D,'All Products'!H:H,FALSE)</f>
        <v>226.43</v>
      </c>
      <c r="J84" s="130">
        <f>IFERROR(ROUNDUP(I84*Order_Quote!$L$15,2),0)</f>
        <v>226.43</v>
      </c>
      <c r="K84" s="118"/>
      <c r="L84" s="76"/>
      <c r="M84" s="114">
        <f t="shared" si="5"/>
        <v>0</v>
      </c>
      <c r="O84" s="215" t="str">
        <f>_xlfn.XLOOKUP(E84,'All Products'!D:D,'All Products'!I:I,FALSE)</f>
        <v>In Stock</v>
      </c>
      <c r="P84" s="215" t="str">
        <f>_xlfn.XLOOKUP(E84,'All Products'!D:D,'All Products'!J:J,FALSE)</f>
        <v>Manufactured</v>
      </c>
      <c r="Q84" s="266">
        <f>_xlfn.XLOOKUP(E84,'All Products'!D:D,'All Products'!K:K,FALSE)</f>
        <v>810673016488</v>
      </c>
      <c r="R84" s="266" t="str">
        <f>_xlfn.XLOOKUP(E84,'All Products'!D:D,'All Products'!L:L,FALSE)</f>
        <v>-</v>
      </c>
      <c r="S84" s="266">
        <f>_xlfn.XLOOKUP(E84,'All Products'!D:D,'All Products'!M:M,FALSE)</f>
        <v>812361016497</v>
      </c>
      <c r="T84" s="264">
        <f>_xlfn.XLOOKUP(E84,'All Products'!D:D,'All Products'!N:N,FALSE)</f>
        <v>4.8140000000000001</v>
      </c>
      <c r="U84" s="265">
        <f>_xlfn.XLOOKUP(E84,'All Products'!D:D,'All Products'!P:P,FALSE)</f>
        <v>471.82500000000005</v>
      </c>
      <c r="V84" s="265">
        <f>_xlfn.XLOOKUP(E84,'All Products'!D:D,'All Products'!Q:Q,FALSE)</f>
        <v>53.333269333358928</v>
      </c>
    </row>
    <row r="85" spans="1:22">
      <c r="A85" s="101" t="str">
        <f>IF(K85&gt;0,COUNT($A$8:A84)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85" s="615"/>
      <c r="C85" s="615"/>
      <c r="D85" s="51" t="str">
        <f>_xlfn.XLOOKUP(E85,'All Products'!D:D,'All Products'!C:C,FALSE)</f>
        <v>35-1531</v>
      </c>
      <c r="E85" s="52">
        <v>100029282</v>
      </c>
      <c r="F85" s="53" t="str">
        <f>_xlfn.XLOOKUP(E85,'All Products'!D:D,'All Products'!E:E,FALSE)</f>
        <v>8X4 TEE GXGXG SDR35</v>
      </c>
      <c r="G85" s="232">
        <f>_xlfn.XLOOKUP(E85,'All Products'!D:D,'All Products'!F:F,FALSE)</f>
        <v>1</v>
      </c>
      <c r="H85" s="232">
        <f>_xlfn.XLOOKUP(E85,'All Products'!D:D,'All Products'!G:G,FALSE)</f>
        <v>60</v>
      </c>
      <c r="I85" s="123">
        <f>_xlfn.XLOOKUP(E85,'All Products'!D:D,'All Products'!H:H,FALSE)</f>
        <v>342.18</v>
      </c>
      <c r="J85" s="130">
        <f>IFERROR(ROUNDUP(I85*Order_Quote!$L$15,2),0)</f>
        <v>342.18</v>
      </c>
      <c r="K85" s="118"/>
      <c r="L85" s="76"/>
      <c r="M85" s="115">
        <f t="shared" si="5"/>
        <v>0</v>
      </c>
      <c r="O85" s="215" t="str">
        <f>_xlfn.XLOOKUP(E85,'All Products'!D:D,'All Products'!I:I,FALSE)</f>
        <v>In Stock</v>
      </c>
      <c r="P85" s="215" t="str">
        <f>_xlfn.XLOOKUP(E85,'All Products'!D:D,'All Products'!J:J,FALSE)</f>
        <v>Manufactured</v>
      </c>
      <c r="Q85" s="266">
        <f>_xlfn.XLOOKUP(E85,'All Products'!D:D,'All Products'!K:K,FALSE)</f>
        <v>810673016501</v>
      </c>
      <c r="R85" s="266" t="str">
        <f>_xlfn.XLOOKUP(E85,'All Products'!D:D,'All Products'!L:L,FALSE)</f>
        <v>-</v>
      </c>
      <c r="S85" s="266">
        <f>_xlfn.XLOOKUP(E85,'All Products'!D:D,'All Products'!M:M,FALSE)</f>
        <v>816842027491</v>
      </c>
      <c r="T85" s="264">
        <f>_xlfn.XLOOKUP(E85,'All Products'!D:D,'All Products'!N:N,FALSE)</f>
        <v>7.55</v>
      </c>
      <c r="U85" s="265">
        <f>_xlfn.XLOOKUP(E85,'All Products'!D:D,'All Products'!P:P,FALSE)</f>
        <v>314.06</v>
      </c>
      <c r="V85" s="265">
        <f>_xlfn.XLOOKUP(E85,'All Products'!D:D,'All Products'!Q:Q,FALSE)</f>
        <v>53.333269333358928</v>
      </c>
    </row>
    <row r="86" spans="1:22">
      <c r="A86" s="101" t="str">
        <f>IF(K86&gt;0,COUNT($A$8:A85)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86" s="615"/>
      <c r="C86" s="615"/>
      <c r="D86" s="51" t="str">
        <f>_xlfn.XLOOKUP(E86,'All Products'!D:D,'All Products'!C:C,FALSE)</f>
        <v>35-1532</v>
      </c>
      <c r="E86" s="52">
        <v>100029283</v>
      </c>
      <c r="F86" s="53" t="str">
        <f>_xlfn.XLOOKUP(E86,'All Products'!D:D,'All Products'!E:E,FALSE)</f>
        <v>8X6 TEE GXGXG SDR35</v>
      </c>
      <c r="G86" s="232">
        <f>_xlfn.XLOOKUP(E86,'All Products'!D:D,'All Products'!F:F,FALSE)</f>
        <v>1</v>
      </c>
      <c r="H86" s="232">
        <f>_xlfn.XLOOKUP(E86,'All Products'!D:D,'All Products'!G:G,FALSE)</f>
        <v>48</v>
      </c>
      <c r="I86" s="123">
        <f>_xlfn.XLOOKUP(E86,'All Products'!D:D,'All Products'!H:H,FALSE)</f>
        <v>354.04</v>
      </c>
      <c r="J86" s="130">
        <f>IFERROR(ROUNDUP(I86*Order_Quote!$L$15,2),0)</f>
        <v>354.04</v>
      </c>
      <c r="K86" s="118"/>
      <c r="L86" s="76"/>
      <c r="M86" s="114">
        <f t="shared" si="5"/>
        <v>0</v>
      </c>
      <c r="O86" s="215" t="str">
        <f>_xlfn.XLOOKUP(E86,'All Products'!D:D,'All Products'!I:I,FALSE)</f>
        <v>In Stock</v>
      </c>
      <c r="P86" s="215" t="str">
        <f>_xlfn.XLOOKUP(E86,'All Products'!D:D,'All Products'!J:J,FALSE)</f>
        <v>Manufactured</v>
      </c>
      <c r="Q86" s="266">
        <f>_xlfn.XLOOKUP(E86,'All Products'!D:D,'All Products'!K:K,FALSE)</f>
        <v>810673016549</v>
      </c>
      <c r="R86" s="266" t="str">
        <f>_xlfn.XLOOKUP(E86,'All Products'!D:D,'All Products'!L:L,FALSE)</f>
        <v>-</v>
      </c>
      <c r="S86" s="266">
        <f>_xlfn.XLOOKUP(E86,'All Products'!D:D,'All Products'!M:M,FALSE)</f>
        <v>816842027293</v>
      </c>
      <c r="T86" s="264">
        <f>_xlfn.XLOOKUP(E86,'All Products'!D:D,'All Products'!N:N,FALSE)</f>
        <v>9.02</v>
      </c>
      <c r="U86" s="265">
        <f>_xlfn.XLOOKUP(E86,'All Products'!D:D,'All Products'!P:P,FALSE)</f>
        <v>481.54499999999996</v>
      </c>
      <c r="V86" s="265">
        <f>_xlfn.XLOOKUP(E86,'All Products'!D:D,'All Products'!Q:Q,FALSE)</f>
        <v>53.333269333358928</v>
      </c>
    </row>
    <row r="87" spans="1:22">
      <c r="A87" s="101" t="str">
        <f>IF(K87&gt;0,COUNT($A$8:A86)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87" s="615"/>
      <c r="C87" s="615"/>
      <c r="D87" s="51" t="str">
        <f>_xlfn.XLOOKUP(E87,'All Products'!D:D,'All Products'!C:C,FALSE)</f>
        <v>35-367</v>
      </c>
      <c r="E87" s="52">
        <v>100031304</v>
      </c>
      <c r="F87" s="53" t="str">
        <f>_xlfn.XLOOKUP(E87,'All Products'!D:D,'All Products'!E:E,FALSE)</f>
        <v>8 TEE GXGXG SDR35</v>
      </c>
      <c r="G87" s="232">
        <f>_xlfn.XLOOKUP(E87,'All Products'!D:D,'All Products'!F:F,FALSE)</f>
        <v>1</v>
      </c>
      <c r="H87" s="232">
        <f>_xlfn.XLOOKUP(E87,'All Products'!D:D,'All Products'!G:G,FALSE)</f>
        <v>38</v>
      </c>
      <c r="I87" s="123">
        <f>_xlfn.XLOOKUP(E87,'All Products'!D:D,'All Products'!H:H,FALSE)</f>
        <v>502.42</v>
      </c>
      <c r="J87" s="130">
        <f>IFERROR(ROUNDUP(I87*Order_Quote!$L$15,2),0)</f>
        <v>502.42</v>
      </c>
      <c r="K87" s="118"/>
      <c r="L87" s="76"/>
      <c r="M87" s="114">
        <f t="shared" si="5"/>
        <v>0</v>
      </c>
      <c r="O87" s="215" t="str">
        <f>_xlfn.XLOOKUP(E87,'All Products'!D:D,'All Products'!I:I,FALSE)</f>
        <v>In Stock</v>
      </c>
      <c r="P87" s="215" t="str">
        <f>_xlfn.XLOOKUP(E87,'All Products'!D:D,'All Products'!J:J,FALSE)</f>
        <v>Manufactured</v>
      </c>
      <c r="Q87" s="266">
        <f>_xlfn.XLOOKUP(E87,'All Products'!D:D,'All Products'!K:K,FALSE)</f>
        <v>810673016563</v>
      </c>
      <c r="R87" s="266" t="str">
        <f>_xlfn.XLOOKUP(E87,'All Products'!D:D,'All Products'!L:L,FALSE)</f>
        <v>-</v>
      </c>
      <c r="S87" s="266">
        <f>_xlfn.XLOOKUP(E87,'All Products'!D:D,'All Products'!M:M,FALSE)</f>
        <v>812361016589</v>
      </c>
      <c r="T87" s="264">
        <f>_xlfn.XLOOKUP(E87,'All Products'!D:D,'All Products'!N:N,FALSE)</f>
        <v>7.3659999999999997</v>
      </c>
      <c r="U87" s="265">
        <f>_xlfn.XLOOKUP(E87,'All Products'!D:D,'All Products'!P:P,FALSE)</f>
        <v>279.90800000000002</v>
      </c>
      <c r="V87" s="265">
        <f>_xlfn.XLOOKUP(E87,'All Products'!D:D,'All Products'!Q:Q,FALSE)</f>
        <v>53.333269333358928</v>
      </c>
    </row>
    <row r="88" spans="1:22">
      <c r="A88" s="101" t="str">
        <f>IF(K88&gt;0,COUNT($A$8:A87)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88" s="615"/>
      <c r="C88" s="615"/>
      <c r="D88" s="51" t="str">
        <f>_xlfn.XLOOKUP(E88,'All Products'!D:D,'All Products'!C:C,FALSE)</f>
        <v>35-368</v>
      </c>
      <c r="E88" s="52">
        <v>300003479</v>
      </c>
      <c r="F88" s="53" t="str">
        <f>_xlfn.XLOOKUP(E88,'All Products'!D:D,'All Products'!E:E,FALSE)</f>
        <v>10 X 4 TEE GXGXG SDR35</v>
      </c>
      <c r="G88" s="232">
        <f>_xlfn.XLOOKUP(E88,'All Products'!D:D,'All Products'!F:F,FALSE)</f>
        <v>2</v>
      </c>
      <c r="H88" s="232">
        <f>_xlfn.XLOOKUP(E88,'All Products'!D:D,'All Products'!G:G,FALSE)</f>
        <v>12</v>
      </c>
      <c r="I88" s="123" t="str">
        <f>_xlfn.XLOOKUP(E88,'All Products'!D:D,'All Products'!H:H,FALSE)</f>
        <v>Quote Required</v>
      </c>
      <c r="J88" s="130">
        <f>IFERROR(ROUNDUP(I88*Order_Quote!$L$15,2),0)</f>
        <v>0</v>
      </c>
      <c r="K88" s="118"/>
      <c r="L88" s="76"/>
      <c r="M88" s="115">
        <f t="shared" si="5"/>
        <v>0</v>
      </c>
      <c r="O88" s="215" t="str">
        <f>_xlfn.XLOOKUP(E88,'All Products'!D:D,'All Products'!I:I,FALSE)</f>
        <v>Within 6 Weeks</v>
      </c>
      <c r="P88" s="215" t="str">
        <f>_xlfn.XLOOKUP(E88,'All Products'!D:D,'All Products'!J:J,FALSE)</f>
        <v>Sourced</v>
      </c>
      <c r="Q88" s="266">
        <f>_xlfn.XLOOKUP(E88,'All Products'!D:D,'All Products'!K:K,FALSE)</f>
        <v>812361013687</v>
      </c>
      <c r="R88" s="266" t="str">
        <f>_xlfn.XLOOKUP(E88,'All Products'!D:D,'All Products'!L:L,FALSE)</f>
        <v>-</v>
      </c>
      <c r="S88" s="266" t="str">
        <f>_xlfn.XLOOKUP(E88,'All Products'!D:D,'All Products'!M:M,FALSE)</f>
        <v>-</v>
      </c>
      <c r="T88" s="264">
        <f>_xlfn.XLOOKUP(E88,'All Products'!D:D,'All Products'!N:N,FALSE)</f>
        <v>12.579000000000001</v>
      </c>
      <c r="U88" s="265">
        <f>_xlfn.XLOOKUP(E88,'All Products'!D:D,'All Products'!P:P,FALSE)</f>
        <v>25.158000000000001</v>
      </c>
      <c r="V88" s="265" t="str">
        <f>_xlfn.XLOOKUP(E88,'All Products'!D:D,'All Products'!Q:Q,FALSE)</f>
        <v>-</v>
      </c>
    </row>
    <row r="89" spans="1:22">
      <c r="A89" s="101" t="str">
        <f>IF(K89&gt;0,COUNT($A$8:A88)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89" s="615"/>
      <c r="C89" s="615"/>
      <c r="D89" s="51" t="str">
        <f>_xlfn.XLOOKUP(E89,'All Products'!D:D,'All Products'!C:C,FALSE)</f>
        <v>35-369</v>
      </c>
      <c r="E89" s="52">
        <v>300005848</v>
      </c>
      <c r="F89" s="53" t="str">
        <f>_xlfn.XLOOKUP(E89,'All Products'!D:D,'All Products'!E:E,FALSE)</f>
        <v>10X6 TEE GXGXG SDR35</v>
      </c>
      <c r="G89" s="232">
        <f>_xlfn.XLOOKUP(E89,'All Products'!D:D,'All Products'!F:F,FALSE)</f>
        <v>1</v>
      </c>
      <c r="H89" s="232">
        <f>_xlfn.XLOOKUP(E89,'All Products'!D:D,'All Products'!G:G,FALSE)</f>
        <v>31</v>
      </c>
      <c r="I89" s="123" t="str">
        <f>_xlfn.XLOOKUP(E89,'All Products'!D:D,'All Products'!H:H,FALSE)</f>
        <v>Quote Required</v>
      </c>
      <c r="J89" s="130">
        <f>IFERROR(ROUNDUP(I89*Order_Quote!$L$15,2),0)</f>
        <v>0</v>
      </c>
      <c r="K89" s="118"/>
      <c r="L89" s="76"/>
      <c r="M89" s="114">
        <f t="shared" si="5"/>
        <v>0</v>
      </c>
      <c r="O89" s="215" t="str">
        <f>_xlfn.XLOOKUP(E89,'All Products'!D:D,'All Products'!I:I,FALSE)</f>
        <v>Within 6 Weeks</v>
      </c>
      <c r="P89" s="215" t="str">
        <f>_xlfn.XLOOKUP(E89,'All Products'!D:D,'All Products'!J:J,FALSE)</f>
        <v>Sourced</v>
      </c>
      <c r="Q89" s="266">
        <f>_xlfn.XLOOKUP(E89,'All Products'!D:D,'All Products'!K:K,FALSE)</f>
        <v>810673016587</v>
      </c>
      <c r="R89" s="266" t="str">
        <f>_xlfn.XLOOKUP(E89,'All Products'!D:D,'All Products'!L:L,FALSE)</f>
        <v>-</v>
      </c>
      <c r="S89" s="266" t="str">
        <f>_xlfn.XLOOKUP(E89,'All Products'!D:D,'All Products'!M:M,FALSE)</f>
        <v>-</v>
      </c>
      <c r="T89" s="264">
        <f>_xlfn.XLOOKUP(E89,'All Products'!D:D,'All Products'!N:N,FALSE)</f>
        <v>13.54</v>
      </c>
      <c r="U89" s="265">
        <f>_xlfn.XLOOKUP(E89,'All Products'!D:D,'All Products'!P:P,FALSE)</f>
        <v>13.54</v>
      </c>
      <c r="V89" s="265" t="str">
        <f>_xlfn.XLOOKUP(E89,'All Products'!D:D,'All Products'!Q:Q,FALSE)</f>
        <v>-</v>
      </c>
    </row>
    <row r="90" spans="1:22">
      <c r="A90" s="101" t="str">
        <f>IF(K90&gt;0,COUNT($A$8:A89)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90" s="615"/>
      <c r="C90" s="615"/>
      <c r="D90" s="51" t="str">
        <f>_xlfn.XLOOKUP(E90,'All Products'!D:D,'All Products'!C:C,FALSE)</f>
        <v>35-371</v>
      </c>
      <c r="E90" s="52">
        <v>300003472</v>
      </c>
      <c r="F90" s="53" t="str">
        <f>_xlfn.XLOOKUP(E90,'All Products'!D:D,'All Products'!E:E,FALSE)</f>
        <v>10 TEE GXGXG SDR35</v>
      </c>
      <c r="G90" s="232">
        <f>_xlfn.XLOOKUP(E90,'All Products'!D:D,'All Products'!F:F,FALSE)</f>
        <v>1</v>
      </c>
      <c r="H90" s="232">
        <f>_xlfn.XLOOKUP(E90,'All Products'!D:D,'All Products'!G:G,FALSE)</f>
        <v>14</v>
      </c>
      <c r="I90" s="123" t="str">
        <f>_xlfn.XLOOKUP(E90,'All Products'!D:D,'All Products'!H:H,FALSE)</f>
        <v>Quote Required</v>
      </c>
      <c r="J90" s="130">
        <f>IFERROR(ROUNDUP(I90*Order_Quote!$L$15,2),0)</f>
        <v>0</v>
      </c>
      <c r="K90" s="118"/>
      <c r="L90" s="76"/>
      <c r="M90" s="114">
        <f t="shared" si="5"/>
        <v>0</v>
      </c>
      <c r="O90" s="215" t="str">
        <f>_xlfn.XLOOKUP(E90,'All Products'!D:D,'All Products'!I:I,FALSE)</f>
        <v>Within 6 Weeks</v>
      </c>
      <c r="P90" s="215" t="str">
        <f>_xlfn.XLOOKUP(E90,'All Products'!D:D,'All Products'!J:J,FALSE)</f>
        <v>Sourced</v>
      </c>
      <c r="Q90" s="266">
        <f>_xlfn.XLOOKUP(E90,'All Products'!D:D,'All Products'!K:K,FALSE)</f>
        <v>816842021048</v>
      </c>
      <c r="R90" s="266" t="str">
        <f>_xlfn.XLOOKUP(E90,'All Products'!D:D,'All Products'!L:L,FALSE)</f>
        <v>-</v>
      </c>
      <c r="S90" s="266" t="str">
        <f>_xlfn.XLOOKUP(E90,'All Products'!D:D,'All Products'!M:M,FALSE)</f>
        <v>-</v>
      </c>
      <c r="T90" s="264">
        <f>_xlfn.XLOOKUP(E90,'All Products'!D:D,'All Products'!N:N,FALSE)</f>
        <v>16.920000000000002</v>
      </c>
      <c r="U90" s="265">
        <f>_xlfn.XLOOKUP(E90,'All Products'!D:D,'All Products'!P:P,FALSE)</f>
        <v>16.920000000000002</v>
      </c>
      <c r="V90" s="265" t="str">
        <f>_xlfn.XLOOKUP(E90,'All Products'!D:D,'All Products'!Q:Q,FALSE)</f>
        <v>-</v>
      </c>
    </row>
    <row r="91" spans="1:22">
      <c r="A91" s="101" t="str">
        <f>IF(K91&gt;0,COUNT($A$8:A90)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91" s="615"/>
      <c r="C91" s="615"/>
      <c r="D91" s="51" t="str">
        <f>_xlfn.XLOOKUP(E91,'All Products'!D:D,'All Products'!C:C,FALSE)</f>
        <v>35-372</v>
      </c>
      <c r="E91" s="52">
        <v>300003537</v>
      </c>
      <c r="F91" s="53" t="str">
        <f>_xlfn.XLOOKUP(E91,'All Products'!D:D,'All Products'!E:E,FALSE)</f>
        <v>12 X 4 TEE GXGXG SDR35</v>
      </c>
      <c r="G91" s="232">
        <f>_xlfn.XLOOKUP(E91,'All Products'!D:D,'All Products'!F:F,FALSE)</f>
        <v>1</v>
      </c>
      <c r="H91" s="232">
        <f>_xlfn.XLOOKUP(E91,'All Products'!D:D,'All Products'!G:G,FALSE)</f>
        <v>8</v>
      </c>
      <c r="I91" s="123" t="str">
        <f>_xlfn.XLOOKUP(E91,'All Products'!D:D,'All Products'!H:H,FALSE)</f>
        <v>Quote Required</v>
      </c>
      <c r="J91" s="130">
        <f>IFERROR(ROUNDUP(I91*Order_Quote!$L$15,2),0)</f>
        <v>0</v>
      </c>
      <c r="K91" s="118"/>
      <c r="L91" s="76"/>
      <c r="M91" s="115">
        <f t="shared" si="5"/>
        <v>0</v>
      </c>
      <c r="O91" s="215" t="str">
        <f>_xlfn.XLOOKUP(E91,'All Products'!D:D,'All Products'!I:I,FALSE)</f>
        <v>Within 6 Weeks</v>
      </c>
      <c r="P91" s="215" t="str">
        <f>_xlfn.XLOOKUP(E91,'All Products'!D:D,'All Products'!J:J,FALSE)</f>
        <v>Sourced</v>
      </c>
      <c r="Q91" s="266">
        <f>_xlfn.XLOOKUP(E91,'All Products'!D:D,'All Products'!K:K,FALSE)</f>
        <v>812361013694</v>
      </c>
      <c r="R91" s="266" t="str">
        <f>_xlfn.XLOOKUP(E91,'All Products'!D:D,'All Products'!L:L,FALSE)</f>
        <v>-</v>
      </c>
      <c r="S91" s="266" t="str">
        <f>_xlfn.XLOOKUP(E91,'All Products'!D:D,'All Products'!M:M,FALSE)</f>
        <v>-</v>
      </c>
      <c r="T91" s="264">
        <f>_xlfn.XLOOKUP(E91,'All Products'!D:D,'All Products'!N:N,FALSE)</f>
        <v>20.530999999999999</v>
      </c>
      <c r="U91" s="265">
        <f>_xlfn.XLOOKUP(E91,'All Products'!D:D,'All Products'!P:P,FALSE)</f>
        <v>20.530999999999999</v>
      </c>
      <c r="V91" s="265" t="str">
        <f>_xlfn.XLOOKUP(E91,'All Products'!D:D,'All Products'!Q:Q,FALSE)</f>
        <v>-</v>
      </c>
    </row>
    <row r="92" spans="1:22">
      <c r="A92" s="101" t="str">
        <f>IF(K92&gt;0,COUNT($A$8:A91)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92" s="615"/>
      <c r="C92" s="615"/>
      <c r="D92" s="51" t="str">
        <f>_xlfn.XLOOKUP(E92,'All Products'!D:D,'All Products'!C:C,FALSE)</f>
        <v>35-373</v>
      </c>
      <c r="E92" s="52">
        <v>300005855</v>
      </c>
      <c r="F92" s="53" t="str">
        <f>_xlfn.XLOOKUP(E92,'All Products'!D:D,'All Products'!E:E,FALSE)</f>
        <v>12X6 TEE GXGXG SDR35</v>
      </c>
      <c r="G92" s="232">
        <f>_xlfn.XLOOKUP(E92,'All Products'!D:D,'All Products'!F:F,FALSE)</f>
        <v>1</v>
      </c>
      <c r="H92" s="232">
        <f>_xlfn.XLOOKUP(E92,'All Products'!D:D,'All Products'!G:G,FALSE)</f>
        <v>16</v>
      </c>
      <c r="I92" s="123" t="str">
        <f>_xlfn.XLOOKUP(E92,'All Products'!D:D,'All Products'!H:H,FALSE)</f>
        <v>Quote Required</v>
      </c>
      <c r="J92" s="130">
        <f>IFERROR(ROUNDUP(I92*Order_Quote!$L$15,2),0)</f>
        <v>0</v>
      </c>
      <c r="K92" s="118"/>
      <c r="L92" s="76"/>
      <c r="M92" s="114">
        <f t="shared" si="5"/>
        <v>0</v>
      </c>
      <c r="O92" s="215" t="str">
        <f>_xlfn.XLOOKUP(E92,'All Products'!D:D,'All Products'!I:I,FALSE)</f>
        <v>Within 6 Weeks</v>
      </c>
      <c r="P92" s="215" t="str">
        <f>_xlfn.XLOOKUP(E92,'All Products'!D:D,'All Products'!J:J,FALSE)</f>
        <v>Sourced</v>
      </c>
      <c r="Q92" s="266">
        <f>_xlfn.XLOOKUP(E92,'All Products'!D:D,'All Products'!K:K,FALSE)</f>
        <v>810673016594</v>
      </c>
      <c r="R92" s="266" t="str">
        <f>_xlfn.XLOOKUP(E92,'All Products'!D:D,'All Products'!L:L,FALSE)</f>
        <v>-</v>
      </c>
      <c r="S92" s="266" t="str">
        <f>_xlfn.XLOOKUP(E92,'All Products'!D:D,'All Products'!M:M,FALSE)</f>
        <v>-</v>
      </c>
      <c r="T92" s="264">
        <f>_xlfn.XLOOKUP(E92,'All Products'!D:D,'All Products'!N:N,FALSE)</f>
        <v>21.12</v>
      </c>
      <c r="U92" s="265">
        <f>_xlfn.XLOOKUP(E92,'All Products'!D:D,'All Products'!P:P,FALSE)</f>
        <v>21.12</v>
      </c>
      <c r="V92" s="265" t="str">
        <f>_xlfn.XLOOKUP(E92,'All Products'!D:D,'All Products'!Q:Q,FALSE)</f>
        <v>-</v>
      </c>
    </row>
    <row r="93" spans="1:22">
      <c r="A93" s="101" t="str">
        <f>IF(K93&gt;0,COUNT($A$8:A92)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93" s="615"/>
      <c r="C93" s="615"/>
      <c r="D93" s="51" t="str">
        <f>_xlfn.XLOOKUP(E93,'All Products'!D:D,'All Products'!C:C,FALSE)</f>
        <v>35-376</v>
      </c>
      <c r="E93" s="52">
        <v>300003530</v>
      </c>
      <c r="F93" s="53" t="str">
        <f>_xlfn.XLOOKUP(E93,'All Products'!D:D,'All Products'!E:E,FALSE)</f>
        <v>12 TEE GXGXG SDR35</v>
      </c>
      <c r="G93" s="232">
        <f>_xlfn.XLOOKUP(E93,'All Products'!D:D,'All Products'!F:F,FALSE)</f>
        <v>1</v>
      </c>
      <c r="H93" s="232">
        <f>_xlfn.XLOOKUP(E93,'All Products'!D:D,'All Products'!G:G,FALSE)</f>
        <v>6</v>
      </c>
      <c r="I93" s="123" t="str">
        <f>_xlfn.XLOOKUP(E93,'All Products'!D:D,'All Products'!H:H,FALSE)</f>
        <v>Quote Required</v>
      </c>
      <c r="J93" s="130">
        <f>IFERROR(ROUNDUP(I93*Order_Quote!$L$15,2),0)</f>
        <v>0</v>
      </c>
      <c r="K93" s="118"/>
      <c r="L93" s="76"/>
      <c r="M93" s="114">
        <f t="shared" si="5"/>
        <v>0</v>
      </c>
      <c r="O93" s="215" t="str">
        <f>_xlfn.XLOOKUP(E93,'All Products'!D:D,'All Products'!I:I,FALSE)</f>
        <v>Within 6 Weeks</v>
      </c>
      <c r="P93" s="215" t="str">
        <f>_xlfn.XLOOKUP(E93,'All Products'!D:D,'All Products'!J:J,FALSE)</f>
        <v>Sourced</v>
      </c>
      <c r="Q93" s="266">
        <f>_xlfn.XLOOKUP(E93,'All Products'!D:D,'All Products'!K:K,FALSE)</f>
        <v>812361010839</v>
      </c>
      <c r="R93" s="266" t="str">
        <f>_xlfn.XLOOKUP(E93,'All Products'!D:D,'All Products'!L:L,FALSE)</f>
        <v>-</v>
      </c>
      <c r="S93" s="266" t="str">
        <f>_xlfn.XLOOKUP(E93,'All Products'!D:D,'All Products'!M:M,FALSE)</f>
        <v>-</v>
      </c>
      <c r="T93" s="264">
        <f>_xlfn.XLOOKUP(E93,'All Products'!D:D,'All Products'!N:N,FALSE)</f>
        <v>29.6</v>
      </c>
      <c r="U93" s="265">
        <f>_xlfn.XLOOKUP(E93,'All Products'!D:D,'All Products'!P:P,FALSE)</f>
        <v>29.6</v>
      </c>
      <c r="V93" s="265" t="str">
        <f>_xlfn.XLOOKUP(E93,'All Products'!D:D,'All Products'!Q:Q,FALSE)</f>
        <v>-</v>
      </c>
    </row>
    <row r="94" spans="1:22">
      <c r="A94" s="101" t="str">
        <f>IF(K94&gt;0,COUNT($A$8:A93)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94" s="615"/>
      <c r="C94" s="615"/>
      <c r="D94" s="51" t="str">
        <f>_xlfn.XLOOKUP(E94,'All Products'!D:D,'All Products'!C:C,FALSE)</f>
        <v>35-1800</v>
      </c>
      <c r="E94" s="52">
        <v>100029331</v>
      </c>
      <c r="F94" s="53" t="str">
        <f>_xlfn.XLOOKUP(E94,'All Products'!D:D,'All Products'!E:E,FALSE)</f>
        <v>4 TEE WYE GXGXG SDR35</v>
      </c>
      <c r="G94" s="232">
        <f>_xlfn.XLOOKUP(E94,'All Products'!D:D,'All Products'!F:F,FALSE)</f>
        <v>10</v>
      </c>
      <c r="H94" s="232">
        <f>_xlfn.XLOOKUP(E94,'All Products'!D:D,'All Products'!G:G,FALSE)</f>
        <v>180</v>
      </c>
      <c r="I94" s="123">
        <f>_xlfn.XLOOKUP(E94,'All Products'!D:D,'All Products'!H:H,FALSE)</f>
        <v>125.56</v>
      </c>
      <c r="J94" s="130">
        <f>IFERROR(ROUNDUP(I94*Order_Quote!$L$15,2),0)</f>
        <v>125.56</v>
      </c>
      <c r="K94" s="122"/>
      <c r="L94" s="76"/>
      <c r="M94" s="114">
        <f t="shared" si="5"/>
        <v>0</v>
      </c>
      <c r="O94" s="215" t="str">
        <f>_xlfn.XLOOKUP(E94,'All Products'!D:D,'All Products'!I:I,FALSE)</f>
        <v>In Stock</v>
      </c>
      <c r="P94" s="215" t="str">
        <f>_xlfn.XLOOKUP(E94,'All Products'!D:D,'All Products'!J:J,FALSE)</f>
        <v>Manufactured</v>
      </c>
      <c r="Q94" s="266">
        <f>_xlfn.XLOOKUP(E94,'All Products'!D:D,'All Products'!K:K,FALSE)</f>
        <v>810673016785</v>
      </c>
      <c r="R94" s="266" t="str">
        <f>_xlfn.XLOOKUP(E94,'All Products'!D:D,'All Products'!L:L,FALSE)</f>
        <v>-</v>
      </c>
      <c r="S94" s="266">
        <f>_xlfn.XLOOKUP(E94,'All Products'!D:D,'All Products'!M:M,FALSE)</f>
        <v>810673016792</v>
      </c>
      <c r="T94" s="264">
        <f>_xlfn.XLOOKUP(E94,'All Products'!D:D,'All Products'!N:N,FALSE)</f>
        <v>1.8280000000000001</v>
      </c>
      <c r="U94" s="265">
        <f>_xlfn.XLOOKUP(E94,'All Products'!D:D,'All Products'!P:P,FALSE)</f>
        <v>20.13</v>
      </c>
      <c r="V94" s="265">
        <f>_xlfn.XLOOKUP(E94,'All Products'!D:D,'All Products'!Q:Q,FALSE)</f>
        <v>2.361325291407383</v>
      </c>
    </row>
    <row r="95" spans="1:22">
      <c r="A95" s="101" t="str">
        <f>IF(K95&gt;0,COUNT($A$8:A94)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95" s="615"/>
      <c r="C95" s="615"/>
      <c r="D95" s="51" t="str">
        <f>_xlfn.XLOOKUP(E95,'All Products'!D:D,'All Products'!C:C,FALSE)</f>
        <v>35-1801</v>
      </c>
      <c r="E95" s="52">
        <v>100029365</v>
      </c>
      <c r="F95" s="53" t="str">
        <f>_xlfn.XLOOKUP(E95,'All Products'!D:D,'All Products'!E:E,FALSE)</f>
        <v>6X4 TEE WYE GXGXG SDR35</v>
      </c>
      <c r="G95" s="232">
        <f>_xlfn.XLOOKUP(E95,'All Products'!D:D,'All Products'!F:F,FALSE)</f>
        <v>1</v>
      </c>
      <c r="H95" s="232">
        <f>_xlfn.XLOOKUP(E95,'All Products'!D:D,'All Products'!G:G,FALSE)</f>
        <v>110</v>
      </c>
      <c r="I95" s="123">
        <f>_xlfn.XLOOKUP(E95,'All Products'!D:D,'All Products'!H:H,FALSE)</f>
        <v>271.76</v>
      </c>
      <c r="J95" s="130">
        <f>IFERROR(ROUNDUP(I95*Order_Quote!$L$15,2),0)</f>
        <v>271.76</v>
      </c>
      <c r="K95" s="118"/>
      <c r="L95" s="76"/>
      <c r="M95" s="115">
        <f t="shared" si="5"/>
        <v>0</v>
      </c>
      <c r="O95" s="215" t="str">
        <f>_xlfn.XLOOKUP(E95,'All Products'!D:D,'All Products'!I:I,FALSE)</f>
        <v>In Stock</v>
      </c>
      <c r="P95" s="215" t="str">
        <f>_xlfn.XLOOKUP(E95,'All Products'!D:D,'All Products'!J:J,FALSE)</f>
        <v>Manufactured</v>
      </c>
      <c r="Q95" s="266">
        <f>_xlfn.XLOOKUP(E95,'All Products'!D:D,'All Products'!K:K,FALSE)</f>
        <v>810673016808</v>
      </c>
      <c r="R95" s="266" t="str">
        <f>_xlfn.XLOOKUP(E95,'All Products'!D:D,'All Products'!L:L,FALSE)</f>
        <v>-</v>
      </c>
      <c r="S95" s="266">
        <f>_xlfn.XLOOKUP(E95,'All Products'!D:D,'All Products'!M:M,FALSE)</f>
        <v>812361018743</v>
      </c>
      <c r="T95" s="264">
        <f>_xlfn.XLOOKUP(E95,'All Products'!D:D,'All Products'!N:N,FALSE)</f>
        <v>3.1619999999999999</v>
      </c>
      <c r="U95" s="265">
        <f>_xlfn.XLOOKUP(E95,'All Products'!D:D,'All Products'!P:P,FALSE)</f>
        <v>347.82</v>
      </c>
      <c r="V95" s="265">
        <f>_xlfn.XLOOKUP(E95,'All Products'!D:D,'All Products'!Q:Q,FALSE)</f>
        <v>53.333269333358928</v>
      </c>
    </row>
    <row r="96" spans="1:22">
      <c r="A96" s="101" t="str">
        <f>IF(K96&gt;0,COUNT($A$8:A95)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96" s="615"/>
      <c r="C96" s="615"/>
      <c r="D96" s="51" t="str">
        <f>_xlfn.XLOOKUP(E96,'All Products'!D:D,'All Products'!C:C,FALSE)</f>
        <v>35-1802</v>
      </c>
      <c r="E96" s="52">
        <v>100029335</v>
      </c>
      <c r="F96" s="53" t="str">
        <f>_xlfn.XLOOKUP(E96,'All Products'!D:D,'All Products'!E:E,FALSE)</f>
        <v>6 TEE WYE GXGXG SDR35</v>
      </c>
      <c r="G96" s="232">
        <f>_xlfn.XLOOKUP(E96,'All Products'!D:D,'All Products'!F:F,FALSE)</f>
        <v>1</v>
      </c>
      <c r="H96" s="232">
        <f>_xlfn.XLOOKUP(E96,'All Products'!D:D,'All Products'!G:G,FALSE)</f>
        <v>48</v>
      </c>
      <c r="I96" s="123">
        <f>_xlfn.XLOOKUP(E96,'All Products'!D:D,'All Products'!H:H,FALSE)</f>
        <v>316.83999999999997</v>
      </c>
      <c r="J96" s="130">
        <f>IFERROR(ROUNDUP(I96*Order_Quote!$L$15,2),0)</f>
        <v>316.83999999999997</v>
      </c>
      <c r="K96" s="118"/>
      <c r="L96" s="76"/>
      <c r="M96" s="114">
        <f t="shared" si="5"/>
        <v>0</v>
      </c>
      <c r="O96" s="215" t="str">
        <f>_xlfn.XLOOKUP(E96,'All Products'!D:D,'All Products'!I:I,FALSE)</f>
        <v>In Stock</v>
      </c>
      <c r="P96" s="215" t="str">
        <f>_xlfn.XLOOKUP(E96,'All Products'!D:D,'All Products'!J:J,FALSE)</f>
        <v>Manufactured</v>
      </c>
      <c r="Q96" s="266">
        <f>_xlfn.XLOOKUP(E96,'All Products'!D:D,'All Products'!K:K,FALSE)</f>
        <v>810673016068</v>
      </c>
      <c r="R96" s="266" t="str">
        <f>_xlfn.XLOOKUP(E96,'All Products'!D:D,'All Products'!L:L,FALSE)</f>
        <v>-</v>
      </c>
      <c r="S96" s="266">
        <f>_xlfn.XLOOKUP(E96,'All Products'!D:D,'All Products'!M:M,FALSE)</f>
        <v>812361018675</v>
      </c>
      <c r="T96" s="264">
        <f>_xlfn.XLOOKUP(E96,'All Products'!D:D,'All Products'!N:N,FALSE)</f>
        <v>6.1360000000000001</v>
      </c>
      <c r="U96" s="265">
        <f>_xlfn.XLOOKUP(E96,'All Products'!D:D,'All Products'!P:P,FALSE)</f>
        <v>408.96</v>
      </c>
      <c r="V96" s="265">
        <f>_xlfn.XLOOKUP(E96,'All Products'!D:D,'All Products'!Q:Q,FALSE)</f>
        <v>53.333269333358928</v>
      </c>
    </row>
    <row r="97" spans="1:22">
      <c r="A97" s="101" t="str">
        <f>IF(K97&gt;0,COUNT($A$8:A96)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97" s="615"/>
      <c r="C97" s="615"/>
      <c r="D97" s="51" t="str">
        <f>_xlfn.XLOOKUP(E97,'All Products'!D:D,'All Products'!C:C,FALSE)</f>
        <v>35-1803</v>
      </c>
      <c r="E97" s="52">
        <v>100029366</v>
      </c>
      <c r="F97" s="53" t="str">
        <f>_xlfn.XLOOKUP(E97,'All Products'!D:D,'All Products'!E:E,FALSE)</f>
        <v>8X4 TEE WYE GXGXG SDR35</v>
      </c>
      <c r="G97" s="232">
        <f>_xlfn.XLOOKUP(E97,'All Products'!D:D,'All Products'!F:F,FALSE)</f>
        <v>1</v>
      </c>
      <c r="H97" s="232">
        <f>_xlfn.XLOOKUP(E97,'All Products'!D:D,'All Products'!G:G,FALSE)</f>
        <v>41</v>
      </c>
      <c r="I97" s="123">
        <f>_xlfn.XLOOKUP(E97,'All Products'!D:D,'All Products'!H:H,FALSE)</f>
        <v>344.14</v>
      </c>
      <c r="J97" s="130">
        <f>IFERROR(ROUNDUP(I97*Order_Quote!$L$15,2),0)</f>
        <v>344.14</v>
      </c>
      <c r="K97" s="118"/>
      <c r="L97" s="76"/>
      <c r="M97" s="114">
        <f t="shared" si="5"/>
        <v>0</v>
      </c>
      <c r="O97" s="215" t="str">
        <f>_xlfn.XLOOKUP(E97,'All Products'!D:D,'All Products'!I:I,FALSE)</f>
        <v>In Stock</v>
      </c>
      <c r="P97" s="215" t="str">
        <f>_xlfn.XLOOKUP(E97,'All Products'!D:D,'All Products'!J:J,FALSE)</f>
        <v>Manufactured</v>
      </c>
      <c r="Q97" s="266">
        <f>_xlfn.XLOOKUP(E97,'All Products'!D:D,'All Products'!K:K,FALSE)</f>
        <v>810673016822</v>
      </c>
      <c r="R97" s="266" t="str">
        <f>_xlfn.XLOOKUP(E97,'All Products'!D:D,'All Products'!L:L,FALSE)</f>
        <v>-</v>
      </c>
      <c r="S97" s="266">
        <f>_xlfn.XLOOKUP(E97,'All Products'!D:D,'All Products'!M:M,FALSE)</f>
        <v>810673016822</v>
      </c>
      <c r="T97" s="264">
        <f>_xlfn.XLOOKUP(E97,'All Products'!D:D,'All Products'!N:N,FALSE)</f>
        <v>8.3759999999999994</v>
      </c>
      <c r="U97" s="265">
        <f>_xlfn.XLOOKUP(E97,'All Products'!D:D,'All Products'!P:P,FALSE)</f>
        <v>455.14100000000002</v>
      </c>
      <c r="V97" s="265">
        <f>_xlfn.XLOOKUP(E97,'All Products'!D:D,'All Products'!Q:Q,FALSE)</f>
        <v>53.333269333358928</v>
      </c>
    </row>
    <row r="98" spans="1:22">
      <c r="A98" s="101" t="str">
        <f>IF(K98&gt;0,COUNT($A$8:A97)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98" s="615"/>
      <c r="C98" s="615"/>
      <c r="D98" s="51" t="str">
        <f>_xlfn.XLOOKUP(E98,'All Products'!D:D,'All Products'!C:C,FALSE)</f>
        <v>35-1804</v>
      </c>
      <c r="E98" s="52">
        <v>100029367</v>
      </c>
      <c r="F98" s="53" t="str">
        <f>_xlfn.XLOOKUP(E98,'All Products'!D:D,'All Products'!E:E,FALSE)</f>
        <v>8X6 TEE WYE GXGXG SDR35</v>
      </c>
      <c r="G98" s="232">
        <f>_xlfn.XLOOKUP(E98,'All Products'!D:D,'All Products'!F:F,FALSE)</f>
        <v>1</v>
      </c>
      <c r="H98" s="232">
        <f>_xlfn.XLOOKUP(E98,'All Products'!D:D,'All Products'!G:G,FALSE)</f>
        <v>40</v>
      </c>
      <c r="I98" s="123">
        <f>_xlfn.XLOOKUP(E98,'All Products'!D:D,'All Products'!H:H,FALSE)</f>
        <v>395.83</v>
      </c>
      <c r="J98" s="130">
        <f>IFERROR(ROUNDUP(I98*Order_Quote!$L$15,2),0)</f>
        <v>395.83</v>
      </c>
      <c r="K98" s="118"/>
      <c r="L98" s="76"/>
      <c r="M98" s="114">
        <f t="shared" si="5"/>
        <v>0</v>
      </c>
      <c r="O98" s="215" t="str">
        <f>_xlfn.XLOOKUP(E98,'All Products'!D:D,'All Products'!I:I,FALSE)</f>
        <v>In Stock</v>
      </c>
      <c r="P98" s="215" t="str">
        <f>_xlfn.XLOOKUP(E98,'All Products'!D:D,'All Products'!J:J,FALSE)</f>
        <v>Manufactured</v>
      </c>
      <c r="Q98" s="266">
        <f>_xlfn.XLOOKUP(E98,'All Products'!D:D,'All Products'!K:K,FALSE)</f>
        <v>810673016846</v>
      </c>
      <c r="R98" s="266" t="str">
        <f>_xlfn.XLOOKUP(E98,'All Products'!D:D,'All Products'!L:L,FALSE)</f>
        <v>-</v>
      </c>
      <c r="S98" s="266">
        <f>_xlfn.XLOOKUP(E98,'All Products'!D:D,'All Products'!M:M,FALSE)</f>
        <v>812361016770</v>
      </c>
      <c r="T98" s="264">
        <f>_xlfn.XLOOKUP(E98,'All Products'!D:D,'All Products'!N:N,FALSE)</f>
        <v>9.6240000000000006</v>
      </c>
      <c r="U98" s="265">
        <f>_xlfn.XLOOKUP(E98,'All Products'!D:D,'All Products'!P:P,FALSE)</f>
        <v>498.48</v>
      </c>
      <c r="V98" s="265">
        <f>_xlfn.XLOOKUP(E98,'All Products'!D:D,'All Products'!Q:Q,FALSE)</f>
        <v>53.333269333358928</v>
      </c>
    </row>
    <row r="99" spans="1:22">
      <c r="A99" s="101" t="str">
        <f>IF(K99&gt;0,COUNT($A$8:A98)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99" s="615"/>
      <c r="C99" s="615"/>
      <c r="D99" s="51" t="str">
        <f>_xlfn.XLOOKUP(E99,'All Products'!D:D,'All Products'!C:C,FALSE)</f>
        <v>35-1805</v>
      </c>
      <c r="E99" s="52">
        <v>100029336</v>
      </c>
      <c r="F99" s="53" t="str">
        <f>_xlfn.XLOOKUP(E99,'All Products'!D:D,'All Products'!E:E,FALSE)</f>
        <v>8 TEE WYE GXGXG SDR35</v>
      </c>
      <c r="G99" s="232">
        <f>_xlfn.XLOOKUP(E99,'All Products'!D:D,'All Products'!F:F,FALSE)</f>
        <v>1</v>
      </c>
      <c r="H99" s="232">
        <f>_xlfn.XLOOKUP(E99,'All Products'!D:D,'All Products'!G:G,FALSE)</f>
        <v>24</v>
      </c>
      <c r="I99" s="123">
        <f>_xlfn.XLOOKUP(E99,'All Products'!D:D,'All Products'!H:H,FALSE)</f>
        <v>974.26</v>
      </c>
      <c r="J99" s="130">
        <f>IFERROR(ROUNDUP(I99*Order_Quote!$L$15,2),0)</f>
        <v>974.26</v>
      </c>
      <c r="K99" s="118"/>
      <c r="L99" s="76"/>
      <c r="M99" s="115">
        <f t="shared" si="5"/>
        <v>0</v>
      </c>
      <c r="O99" s="215" t="str">
        <f>_xlfn.XLOOKUP(E99,'All Products'!D:D,'All Products'!I:I,FALSE)</f>
        <v>In Stock</v>
      </c>
      <c r="P99" s="215" t="str">
        <f>_xlfn.XLOOKUP(E99,'All Products'!D:D,'All Products'!J:J,FALSE)</f>
        <v>Manufactured</v>
      </c>
      <c r="Q99" s="266">
        <f>_xlfn.XLOOKUP(E99,'All Products'!D:D,'All Products'!K:K,FALSE)</f>
        <v>812361018033</v>
      </c>
      <c r="R99" s="266" t="str">
        <f>_xlfn.XLOOKUP(E99,'All Products'!D:D,'All Products'!L:L,FALSE)</f>
        <v>-</v>
      </c>
      <c r="S99" s="266">
        <f>_xlfn.XLOOKUP(E99,'All Products'!D:D,'All Products'!M:M,FALSE)</f>
        <v>812361019252</v>
      </c>
      <c r="T99" s="264">
        <f>_xlfn.XLOOKUP(E99,'All Products'!D:D,'All Products'!N:N,FALSE)</f>
        <v>10.304</v>
      </c>
      <c r="U99" s="265">
        <f>_xlfn.XLOOKUP(E99,'All Products'!D:D,'All Products'!P:P,FALSE)</f>
        <v>247.29599999999999</v>
      </c>
      <c r="V99" s="265">
        <f>_xlfn.XLOOKUP(E99,'All Products'!D:D,'All Products'!Q:Q,FALSE)</f>
        <v>53.333269333358928</v>
      </c>
    </row>
    <row r="100" spans="1:22">
      <c r="A100" s="101" t="str">
        <f>IF(K100&gt;0,COUNT($A$8:A99)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00" s="615"/>
      <c r="C100" s="615"/>
      <c r="D100" s="51" t="str">
        <f>_xlfn.XLOOKUP(E100,'All Products'!D:D,'All Products'!C:C,FALSE)</f>
        <v>35-1813</v>
      </c>
      <c r="E100" s="52">
        <v>100029380</v>
      </c>
      <c r="F100" s="53" t="str">
        <f>_xlfn.XLOOKUP(E100,'All Products'!D:D,'All Products'!E:E,FALSE)</f>
        <v>10X6 TEE WYE GXGXG SDR35</v>
      </c>
      <c r="G100" s="232">
        <f>_xlfn.XLOOKUP(E100,'All Products'!D:D,'All Products'!F:F,FALSE)</f>
        <v>1</v>
      </c>
      <c r="H100" s="232">
        <f>_xlfn.XLOOKUP(E100,'All Products'!D:D,'All Products'!G:G,FALSE)</f>
        <v>22</v>
      </c>
      <c r="I100" s="123">
        <f>_xlfn.XLOOKUP(E100,'All Products'!D:D,'All Products'!H:H,FALSE)</f>
        <v>1484.31</v>
      </c>
      <c r="J100" s="130">
        <f>IFERROR(ROUNDUP(I100*Order_Quote!$L$15,2),0)</f>
        <v>1484.31</v>
      </c>
      <c r="K100" s="118"/>
      <c r="L100" s="76"/>
      <c r="M100" s="114">
        <f t="shared" si="5"/>
        <v>0</v>
      </c>
      <c r="O100" s="215" t="str">
        <f>_xlfn.XLOOKUP(E100,'All Products'!D:D,'All Products'!I:I,FALSE)</f>
        <v>In Stock</v>
      </c>
      <c r="P100" s="215" t="str">
        <f>_xlfn.XLOOKUP(E100,'All Products'!D:D,'All Products'!J:J,FALSE)</f>
        <v>Manufactured</v>
      </c>
      <c r="Q100" s="266">
        <f>_xlfn.XLOOKUP(E100,'All Products'!D:D,'All Products'!K:K,FALSE)</f>
        <v>810673016860</v>
      </c>
      <c r="R100" s="266" t="str">
        <f>_xlfn.XLOOKUP(E100,'All Products'!D:D,'All Products'!L:L,FALSE)</f>
        <v>-</v>
      </c>
      <c r="S100" s="266">
        <f>_xlfn.XLOOKUP(E100,'All Products'!D:D,'All Products'!M:M,FALSE)</f>
        <v>812361016787</v>
      </c>
      <c r="T100" s="264">
        <f>_xlfn.XLOOKUP(E100,'All Products'!D:D,'All Products'!N:N,FALSE)</f>
        <v>11.388</v>
      </c>
      <c r="U100" s="265">
        <f>_xlfn.XLOOKUP(E100,'All Products'!D:D,'All Products'!P:P,FALSE)</f>
        <v>250.536</v>
      </c>
      <c r="V100" s="265">
        <f>_xlfn.XLOOKUP(E100,'All Products'!D:D,'All Products'!Q:Q,FALSE)</f>
        <v>53.333269333358928</v>
      </c>
    </row>
    <row r="101" spans="1:22" ht="30" customHeight="1">
      <c r="A101" s="101" t="str">
        <f>IF(K101&gt;0,COUNT($A$8:A100)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01" s="615"/>
      <c r="C101" s="615"/>
      <c r="D101" s="51" t="str">
        <f>_xlfn.XLOOKUP(E101,'All Products'!D:D,'All Products'!C:C,FALSE)</f>
        <v>35-100</v>
      </c>
      <c r="E101" s="52">
        <v>300005770</v>
      </c>
      <c r="F101" s="53" t="str">
        <f>_xlfn.XLOOKUP(E101,'All Products'!D:D,'All Products'!E:E,FALSE)</f>
        <v>6 TEE WYE SXGXG SDR35G</v>
      </c>
      <c r="G101" s="232">
        <f>_xlfn.XLOOKUP(E101,'All Products'!D:D,'All Products'!F:F,FALSE)</f>
        <v>1</v>
      </c>
      <c r="H101" s="232">
        <f>_xlfn.XLOOKUP(E101,'All Products'!D:D,'All Products'!G:G,FALSE)</f>
        <v>48</v>
      </c>
      <c r="I101" s="123" t="str">
        <f>_xlfn.XLOOKUP(E101,'All Products'!D:D,'All Products'!H:H,FALSE)</f>
        <v>Quote Required</v>
      </c>
      <c r="J101" s="130">
        <f>IFERROR(ROUNDUP(I101*Order_Quote!$L$15,2),0)</f>
        <v>0</v>
      </c>
      <c r="K101" s="118"/>
      <c r="L101" s="76"/>
      <c r="M101" s="115">
        <f t="shared" si="5"/>
        <v>0</v>
      </c>
      <c r="O101" s="215" t="str">
        <f>_xlfn.XLOOKUP(E101,'All Products'!D:D,'All Products'!I:I,FALSE)</f>
        <v>Within 6 Weeks</v>
      </c>
      <c r="P101" s="215" t="str">
        <f>_xlfn.XLOOKUP(E101,'All Products'!D:D,'All Products'!J:J,FALSE)</f>
        <v>Sourced</v>
      </c>
      <c r="Q101" s="266">
        <f>_xlfn.XLOOKUP(E101,'All Products'!D:D,'All Products'!K:K,FALSE)</f>
        <v>812361019115</v>
      </c>
      <c r="R101" s="266" t="str">
        <f>_xlfn.XLOOKUP(E101,'All Products'!D:D,'All Products'!L:L,FALSE)</f>
        <v>-</v>
      </c>
      <c r="S101" s="266" t="str">
        <f>_xlfn.XLOOKUP(E101,'All Products'!D:D,'All Products'!M:M,FALSE)</f>
        <v>-</v>
      </c>
      <c r="T101" s="264">
        <f>_xlfn.XLOOKUP(E101,'All Products'!D:D,'All Products'!N:N,FALSE)</f>
        <v>4.4720000000000004</v>
      </c>
      <c r="U101" s="265">
        <f>_xlfn.XLOOKUP(E101,'All Products'!D:D,'All Products'!P:P,FALSE)</f>
        <v>4.4720000000000004</v>
      </c>
      <c r="V101" s="265" t="str">
        <f>_xlfn.XLOOKUP(E101,'All Products'!D:D,'All Products'!Q:Q,FALSE)</f>
        <v>-</v>
      </c>
    </row>
    <row r="102" spans="1:22" ht="30" customHeight="1">
      <c r="A102" s="101" t="str">
        <f>IF(K102&gt;0,COUNT($A$8:A101)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02" s="615"/>
      <c r="C102" s="615"/>
      <c r="D102" s="51" t="str">
        <f>_xlfn.XLOOKUP(E102,'All Products'!D:D,'All Products'!C:C,FALSE)</f>
        <v>35-1811</v>
      </c>
      <c r="E102" s="52">
        <v>300005775</v>
      </c>
      <c r="F102" s="53" t="str">
        <f>_xlfn.XLOOKUP(E102,'All Products'!D:D,'All Products'!E:E,FALSE)</f>
        <v>8X6 TEE WYE SXGXG SDR35</v>
      </c>
      <c r="G102" s="232">
        <f>_xlfn.XLOOKUP(E102,'All Products'!D:D,'All Products'!F:F,FALSE)</f>
        <v>1</v>
      </c>
      <c r="H102" s="232">
        <f>_xlfn.XLOOKUP(E102,'All Products'!D:D,'All Products'!G:G,FALSE)</f>
        <v>40</v>
      </c>
      <c r="I102" s="123" t="str">
        <f>_xlfn.XLOOKUP(E102,'All Products'!D:D,'All Products'!H:H,FALSE)</f>
        <v>Quote Required</v>
      </c>
      <c r="J102" s="130">
        <f>IFERROR(ROUNDUP(I102*Order_Quote!$L$15,2),0)</f>
        <v>0</v>
      </c>
      <c r="K102" s="122"/>
      <c r="L102" s="76"/>
      <c r="M102" s="114">
        <f t="shared" si="5"/>
        <v>0</v>
      </c>
      <c r="O102" s="215" t="str">
        <f>_xlfn.XLOOKUP(E102,'All Products'!D:D,'All Products'!I:I,FALSE)</f>
        <v>Within 6 Weeks</v>
      </c>
      <c r="P102" s="215" t="str">
        <f>_xlfn.XLOOKUP(E102,'All Products'!D:D,'All Products'!J:J,FALSE)</f>
        <v>Sourced</v>
      </c>
      <c r="Q102" s="266">
        <f>_xlfn.XLOOKUP(E102,'All Products'!D:D,'All Products'!K:K,FALSE)</f>
        <v>810673016914</v>
      </c>
      <c r="R102" s="266" t="str">
        <f>_xlfn.XLOOKUP(E102,'All Products'!D:D,'All Products'!L:L,FALSE)</f>
        <v>-</v>
      </c>
      <c r="S102" s="266" t="str">
        <f>_xlfn.XLOOKUP(E102,'All Products'!D:D,'All Products'!M:M,FALSE)</f>
        <v>-</v>
      </c>
      <c r="T102" s="264">
        <f>_xlfn.XLOOKUP(E102,'All Products'!D:D,'All Products'!N:N,FALSE)</f>
        <v>6.9850000000000003</v>
      </c>
      <c r="U102" s="265">
        <f>_xlfn.XLOOKUP(E102,'All Products'!D:D,'All Products'!P:P,FALSE)</f>
        <v>6.9850000000000003</v>
      </c>
      <c r="V102" s="265" t="str">
        <f>_xlfn.XLOOKUP(E102,'All Products'!D:D,'All Products'!Q:Q,FALSE)</f>
        <v>-</v>
      </c>
    </row>
    <row r="103" spans="1:22">
      <c r="A103" s="101" t="str">
        <f>IF(K103&gt;0,COUNT($A$8:A102)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03" s="615"/>
      <c r="C103" s="615"/>
      <c r="D103" s="51" t="str">
        <f>_xlfn.XLOOKUP(E103,'All Products'!D:D,'All Products'!C:C,FALSE)</f>
        <v>35-1500</v>
      </c>
      <c r="E103" s="52">
        <v>100029268</v>
      </c>
      <c r="F103" s="53" t="str">
        <f>_xlfn.XLOOKUP(E103,'All Products'!D:D,'All Products'!E:E,FALSE)</f>
        <v>4 WYE GXGXG SDR35</v>
      </c>
      <c r="G103" s="232">
        <f>_xlfn.XLOOKUP(E103,'All Products'!D:D,'All Products'!F:F,FALSE)</f>
        <v>10</v>
      </c>
      <c r="H103" s="232">
        <f>_xlfn.XLOOKUP(E103,'All Products'!D:D,'All Products'!G:G,FALSE)</f>
        <v>120</v>
      </c>
      <c r="I103" s="123">
        <f>_xlfn.XLOOKUP(E103,'All Products'!D:D,'All Products'!H:H,FALSE)</f>
        <v>112.49</v>
      </c>
      <c r="J103" s="130">
        <f>IFERROR(ROUNDUP(I103*Order_Quote!$L$15,2),0)</f>
        <v>112.49</v>
      </c>
      <c r="K103" s="122"/>
      <c r="L103" s="76"/>
      <c r="M103" s="115">
        <f t="shared" ref="M103:M123" si="6">K103/G103</f>
        <v>0</v>
      </c>
      <c r="O103" s="215" t="str">
        <f>_xlfn.XLOOKUP(E103,'All Products'!D:D,'All Products'!I:I,FALSE)</f>
        <v>In Stock</v>
      </c>
      <c r="P103" s="215" t="str">
        <f>_xlfn.XLOOKUP(E103,'All Products'!D:D,'All Products'!J:J,FALSE)</f>
        <v>Manufactured</v>
      </c>
      <c r="Q103" s="266">
        <f>_xlfn.XLOOKUP(E103,'All Products'!D:D,'All Products'!K:K,FALSE)</f>
        <v>810673016112</v>
      </c>
      <c r="R103" s="266" t="str">
        <f>_xlfn.XLOOKUP(E103,'All Products'!D:D,'All Products'!L:L,FALSE)</f>
        <v>-</v>
      </c>
      <c r="S103" s="266">
        <f>_xlfn.XLOOKUP(E103,'All Products'!D:D,'All Products'!M:M,FALSE)</f>
        <v>810673016136</v>
      </c>
      <c r="T103" s="264">
        <f>_xlfn.XLOOKUP(E103,'All Products'!D:D,'All Products'!N:N,FALSE)</f>
        <v>2.3439999999999999</v>
      </c>
      <c r="U103" s="265">
        <f>_xlfn.XLOOKUP(E103,'All Products'!D:D,'All Products'!P:P,FALSE)</f>
        <v>25.339999999999996</v>
      </c>
      <c r="V103" s="265">
        <f>_xlfn.XLOOKUP(E103,'All Products'!D:D,'All Products'!Q:Q,FALSE)</f>
        <v>2.7986077527791204</v>
      </c>
    </row>
    <row r="104" spans="1:22">
      <c r="A104" s="101" t="str">
        <f>IF(K104&gt;0,COUNT($A$8:A103)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04" s="615"/>
      <c r="C104" s="615"/>
      <c r="D104" s="51" t="str">
        <f>_xlfn.XLOOKUP(E104,'All Products'!D:D,'All Products'!C:C,FALSE)</f>
        <v>35-1501</v>
      </c>
      <c r="E104" s="52">
        <v>100029285</v>
      </c>
      <c r="F104" s="53" t="str">
        <f>_xlfn.XLOOKUP(E104,'All Products'!D:D,'All Products'!E:E,FALSE)</f>
        <v>6X4 WYE GXGXG SDR35</v>
      </c>
      <c r="G104" s="232">
        <f>_xlfn.XLOOKUP(E104,'All Products'!D:D,'All Products'!F:F,FALSE)</f>
        <v>1</v>
      </c>
      <c r="H104" s="232">
        <f>_xlfn.XLOOKUP(E104,'All Products'!D:D,'All Products'!G:G,FALSE)</f>
        <v>75</v>
      </c>
      <c r="I104" s="123">
        <f>_xlfn.XLOOKUP(E104,'All Products'!D:D,'All Products'!H:H,FALSE)</f>
        <v>228.11</v>
      </c>
      <c r="J104" s="130">
        <f>IFERROR(ROUNDUP(I104*Order_Quote!$L$15,2),0)</f>
        <v>228.11</v>
      </c>
      <c r="K104" s="118"/>
      <c r="L104" s="76"/>
      <c r="M104" s="114">
        <f t="shared" si="6"/>
        <v>0</v>
      </c>
      <c r="O104" s="215" t="str">
        <f>_xlfn.XLOOKUP(E104,'All Products'!D:D,'All Products'!I:I,FALSE)</f>
        <v>In Stock</v>
      </c>
      <c r="P104" s="215" t="str">
        <f>_xlfn.XLOOKUP(E104,'All Products'!D:D,'All Products'!J:J,FALSE)</f>
        <v>Manufactured</v>
      </c>
      <c r="Q104" s="266">
        <f>_xlfn.XLOOKUP(E104,'All Products'!D:D,'All Products'!K:K,FALSE)</f>
        <v>810673016143</v>
      </c>
      <c r="R104" s="266" t="str">
        <f>_xlfn.XLOOKUP(E104,'All Products'!D:D,'All Products'!L:L,FALSE)</f>
        <v>-</v>
      </c>
      <c r="S104" s="266">
        <f>_xlfn.XLOOKUP(E104,'All Products'!D:D,'All Products'!M:M,FALSE)</f>
        <v>812361016381</v>
      </c>
      <c r="T104" s="264">
        <f>_xlfn.XLOOKUP(E104,'All Products'!D:D,'All Products'!N:N,FALSE)</f>
        <v>4.4480000000000004</v>
      </c>
      <c r="U104" s="265">
        <f>_xlfn.XLOOKUP(E104,'All Products'!D:D,'All Products'!P:P,FALSE)</f>
        <v>444.375</v>
      </c>
      <c r="V104" s="265">
        <f>_xlfn.XLOOKUP(E104,'All Products'!D:D,'All Products'!Q:Q,FALSE)</f>
        <v>53.333269333358928</v>
      </c>
    </row>
    <row r="105" spans="1:22">
      <c r="A105" s="101" t="str">
        <f>IF(K105&gt;0,COUNT($A$8:A104)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05" s="615"/>
      <c r="C105" s="615"/>
      <c r="D105" s="51" t="str">
        <f>_xlfn.XLOOKUP(E105,'All Products'!D:D,'All Products'!C:C,FALSE)</f>
        <v>35-1502</v>
      </c>
      <c r="E105" s="52">
        <v>100031306</v>
      </c>
      <c r="F105" s="53" t="str">
        <f>_xlfn.XLOOKUP(E105,'All Products'!D:D,'All Products'!E:E,FALSE)</f>
        <v>6 WYE GXGXG SDR35</v>
      </c>
      <c r="G105" s="232">
        <f>_xlfn.XLOOKUP(E105,'All Products'!D:D,'All Products'!F:F,FALSE)</f>
        <v>1</v>
      </c>
      <c r="H105" s="232">
        <f>_xlfn.XLOOKUP(E105,'All Products'!D:D,'All Products'!G:G,FALSE)</f>
        <v>50</v>
      </c>
      <c r="I105" s="123">
        <f>_xlfn.XLOOKUP(E105,'All Products'!D:D,'All Products'!H:H,FALSE)</f>
        <v>258.25</v>
      </c>
      <c r="J105" s="130">
        <f>IFERROR(ROUNDUP(I105*Order_Quote!$L$15,2),0)</f>
        <v>258.25</v>
      </c>
      <c r="K105" s="118"/>
      <c r="L105" s="76"/>
      <c r="M105" s="114">
        <f t="shared" si="6"/>
        <v>0</v>
      </c>
      <c r="O105" s="215" t="str">
        <f>_xlfn.XLOOKUP(E105,'All Products'!D:D,'All Products'!I:I,FALSE)</f>
        <v>In Stock</v>
      </c>
      <c r="P105" s="215" t="str">
        <f>_xlfn.XLOOKUP(E105,'All Products'!D:D,'All Products'!J:J,FALSE)</f>
        <v>Manufactured</v>
      </c>
      <c r="Q105" s="266">
        <f>_xlfn.XLOOKUP(E105,'All Products'!D:D,'All Products'!K:K,FALSE)</f>
        <v>810673016167</v>
      </c>
      <c r="R105" s="266" t="str">
        <f>_xlfn.XLOOKUP(E105,'All Products'!D:D,'All Products'!L:L,FALSE)</f>
        <v>-</v>
      </c>
      <c r="S105" s="266">
        <f>_xlfn.XLOOKUP(E105,'All Products'!D:D,'All Products'!M:M,FALSE)</f>
        <v>812361016473</v>
      </c>
      <c r="T105" s="264">
        <f>_xlfn.XLOOKUP(E105,'All Products'!D:D,'All Products'!N:N,FALSE)</f>
        <v>6.33</v>
      </c>
      <c r="U105" s="265">
        <f>_xlfn.XLOOKUP(E105,'All Products'!D:D,'All Products'!P:P,FALSE)</f>
        <v>319.20000000000005</v>
      </c>
      <c r="V105" s="265">
        <f>_xlfn.XLOOKUP(E105,'All Products'!D:D,'All Products'!Q:Q,FALSE)</f>
        <v>53.333269333358928</v>
      </c>
    </row>
    <row r="106" spans="1:22">
      <c r="A106" s="101" t="str">
        <f>IF(K106&gt;0,COUNT($A$8:A105)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06" s="615"/>
      <c r="C106" s="615"/>
      <c r="D106" s="51" t="str">
        <f>_xlfn.XLOOKUP(E106,'All Products'!D:D,'All Products'!C:C,FALSE)</f>
        <v>35-1503</v>
      </c>
      <c r="E106" s="52">
        <v>100031307</v>
      </c>
      <c r="F106" s="53" t="str">
        <f>_xlfn.XLOOKUP(E106,'All Products'!D:D,'All Products'!E:E,FALSE)</f>
        <v>8X4 WYE GXGXG SDR35</v>
      </c>
      <c r="G106" s="232">
        <f>_xlfn.XLOOKUP(E106,'All Products'!D:D,'All Products'!F:F,FALSE)</f>
        <v>1</v>
      </c>
      <c r="H106" s="232">
        <f>_xlfn.XLOOKUP(E106,'All Products'!D:D,'All Products'!G:G,FALSE)</f>
        <v>45</v>
      </c>
      <c r="I106" s="123">
        <f>_xlfn.XLOOKUP(E106,'All Products'!D:D,'All Products'!H:H,FALSE)</f>
        <v>340.33</v>
      </c>
      <c r="J106" s="130">
        <f>IFERROR(ROUNDUP(I106*Order_Quote!$L$15,2),0)</f>
        <v>340.33</v>
      </c>
      <c r="K106" s="118"/>
      <c r="L106" s="76"/>
      <c r="M106" s="114">
        <f t="shared" si="6"/>
        <v>0</v>
      </c>
      <c r="O106" s="215" t="str">
        <f>_xlfn.XLOOKUP(E106,'All Products'!D:D,'All Products'!I:I,FALSE)</f>
        <v>In Stock</v>
      </c>
      <c r="P106" s="215" t="str">
        <f>_xlfn.XLOOKUP(E106,'All Products'!D:D,'All Products'!J:J,FALSE)</f>
        <v>Manufactured</v>
      </c>
      <c r="Q106" s="266">
        <f>_xlfn.XLOOKUP(E106,'All Products'!D:D,'All Products'!K:K,FALSE)</f>
        <v>810673016181</v>
      </c>
      <c r="R106" s="266" t="str">
        <f>_xlfn.XLOOKUP(E106,'All Products'!D:D,'All Products'!L:L,FALSE)</f>
        <v>-</v>
      </c>
      <c r="S106" s="266">
        <f>_xlfn.XLOOKUP(E106,'All Products'!D:D,'All Products'!M:M,FALSE)</f>
        <v>812361019863</v>
      </c>
      <c r="T106" s="264">
        <f>_xlfn.XLOOKUP(E106,'All Products'!D:D,'All Products'!N:N,FALSE)</f>
        <v>8.3659999999999997</v>
      </c>
      <c r="U106" s="265">
        <f>_xlfn.XLOOKUP(E106,'All Products'!D:D,'All Products'!P:P,FALSE)</f>
        <v>488.88000000000005</v>
      </c>
      <c r="V106" s="265">
        <f>_xlfn.XLOOKUP(E106,'All Products'!D:D,'All Products'!Q:Q,FALSE)</f>
        <v>53.333269333358928</v>
      </c>
    </row>
    <row r="107" spans="1:22">
      <c r="A107" s="101" t="str">
        <f>IF(K107&gt;0,COUNT($A$8:A106)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07" s="615"/>
      <c r="C107" s="615"/>
      <c r="D107" s="51" t="str">
        <f>_xlfn.XLOOKUP(E107,'All Products'!D:D,'All Products'!C:C,FALSE)</f>
        <v>35-1504</v>
      </c>
      <c r="E107" s="52">
        <v>100029288</v>
      </c>
      <c r="F107" s="53" t="str">
        <f>_xlfn.XLOOKUP(E107,'All Products'!D:D,'All Products'!E:E,FALSE)</f>
        <v>8X6 WYE GXGXG SDR35</v>
      </c>
      <c r="G107" s="232">
        <f>_xlfn.XLOOKUP(E107,'All Products'!D:D,'All Products'!F:F,FALSE)</f>
        <v>1</v>
      </c>
      <c r="H107" s="232">
        <f>_xlfn.XLOOKUP(E107,'All Products'!D:D,'All Products'!G:G,FALSE)</f>
        <v>34</v>
      </c>
      <c r="I107" s="123">
        <f>_xlfn.XLOOKUP(E107,'All Products'!D:D,'All Products'!H:H,FALSE)</f>
        <v>405.82</v>
      </c>
      <c r="J107" s="130">
        <f>IFERROR(ROUNDUP(I107*Order_Quote!$L$15,2),0)</f>
        <v>405.82</v>
      </c>
      <c r="K107" s="118"/>
      <c r="L107" s="76"/>
      <c r="M107" s="115">
        <f t="shared" si="6"/>
        <v>0</v>
      </c>
      <c r="O107" s="215" t="str">
        <f>_xlfn.XLOOKUP(E107,'All Products'!D:D,'All Products'!I:I,FALSE)</f>
        <v>In Stock</v>
      </c>
      <c r="P107" s="215" t="str">
        <f>_xlfn.XLOOKUP(E107,'All Products'!D:D,'All Products'!J:J,FALSE)</f>
        <v>Manufactured</v>
      </c>
      <c r="Q107" s="266">
        <f>_xlfn.XLOOKUP(E107,'All Products'!D:D,'All Products'!K:K,FALSE)</f>
        <v>810673016204</v>
      </c>
      <c r="R107" s="266" t="str">
        <f>_xlfn.XLOOKUP(E107,'All Products'!D:D,'All Products'!L:L,FALSE)</f>
        <v>-</v>
      </c>
      <c r="S107" s="266">
        <f>_xlfn.XLOOKUP(E107,'All Products'!D:D,'All Products'!M:M,FALSE)</f>
        <v>812361019894</v>
      </c>
      <c r="T107" s="264">
        <f>_xlfn.XLOOKUP(E107,'All Products'!D:D,'All Products'!N:N,FALSE)</f>
        <v>10.571999999999999</v>
      </c>
      <c r="U107" s="265">
        <f>_xlfn.XLOOKUP(E107,'All Products'!D:D,'All Products'!P:P,FALSE)</f>
        <v>364.548</v>
      </c>
      <c r="V107" s="265">
        <f>_xlfn.XLOOKUP(E107,'All Products'!D:D,'All Products'!Q:Q,FALSE)</f>
        <v>53.333269333358928</v>
      </c>
    </row>
    <row r="108" spans="1:22">
      <c r="A108" s="101" t="str">
        <f>IF(K108&gt;0,COUNT($A$8:A107)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08" s="615"/>
      <c r="C108" s="615"/>
      <c r="D108" s="51" t="str">
        <f>_xlfn.XLOOKUP(E108,'All Products'!D:D,'All Products'!C:C,FALSE)</f>
        <v>35-451</v>
      </c>
      <c r="E108" s="52">
        <v>100029266</v>
      </c>
      <c r="F108" s="53" t="str">
        <f>_xlfn.XLOOKUP(E108,'All Products'!D:D,'All Products'!E:E,FALSE)</f>
        <v>8 WYE GXGXG SDR35</v>
      </c>
      <c r="G108" s="232">
        <f>_xlfn.XLOOKUP(E108,'All Products'!D:D,'All Products'!F:F,FALSE)</f>
        <v>1</v>
      </c>
      <c r="H108" s="232">
        <f>_xlfn.XLOOKUP(E108,'All Products'!D:D,'All Products'!G:G,FALSE)</f>
        <v>24</v>
      </c>
      <c r="I108" s="123">
        <f>_xlfn.XLOOKUP(E108,'All Products'!D:D,'All Products'!H:H,FALSE)</f>
        <v>707.59</v>
      </c>
      <c r="J108" s="130">
        <f>IFERROR(ROUNDUP(I108*Order_Quote!$L$15,2),0)</f>
        <v>707.59</v>
      </c>
      <c r="K108" s="118"/>
      <c r="L108" s="76"/>
      <c r="M108" s="114">
        <f t="shared" si="6"/>
        <v>0</v>
      </c>
      <c r="O108" s="215" t="str">
        <f>_xlfn.XLOOKUP(E108,'All Products'!D:D,'All Products'!I:I,FALSE)</f>
        <v>In Stock</v>
      </c>
      <c r="P108" s="215" t="str">
        <f>_xlfn.XLOOKUP(E108,'All Products'!D:D,'All Products'!J:J,FALSE)</f>
        <v>Manufactured</v>
      </c>
      <c r="Q108" s="266">
        <f>_xlfn.XLOOKUP(E108,'All Products'!D:D,'All Products'!K:K,FALSE)</f>
        <v>810673016228</v>
      </c>
      <c r="R108" s="266" t="str">
        <f>_xlfn.XLOOKUP(E108,'All Products'!D:D,'All Products'!L:L,FALSE)</f>
        <v>-</v>
      </c>
      <c r="S108" s="266">
        <f>_xlfn.XLOOKUP(E108,'All Products'!D:D,'All Products'!M:M,FALSE)</f>
        <v>812361016992</v>
      </c>
      <c r="T108" s="264">
        <f>_xlfn.XLOOKUP(E108,'All Products'!D:D,'All Products'!N:N,FALSE)</f>
        <v>10.256</v>
      </c>
      <c r="U108" s="265">
        <f>_xlfn.XLOOKUP(E108,'All Products'!D:D,'All Products'!P:P,FALSE)</f>
        <v>246.14400000000001</v>
      </c>
      <c r="V108" s="265">
        <f>_xlfn.XLOOKUP(E108,'All Products'!D:D,'All Products'!Q:Q,FALSE)</f>
        <v>53.333269333358928</v>
      </c>
    </row>
    <row r="109" spans="1:22">
      <c r="A109" s="101" t="str">
        <f>IF(K109&gt;0,COUNT($A$8:A108)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09" s="615"/>
      <c r="C109" s="615"/>
      <c r="D109" s="51" t="str">
        <f>_xlfn.XLOOKUP(E109,'All Products'!D:D,'All Products'!C:C,FALSE)</f>
        <v>35-452</v>
      </c>
      <c r="E109" s="52">
        <v>100029318</v>
      </c>
      <c r="F109" s="53" t="str">
        <f>_xlfn.XLOOKUP(E109,'All Products'!D:D,'All Products'!E:E,FALSE)</f>
        <v>10X4 WYE GXGXG SDR35</v>
      </c>
      <c r="G109" s="232">
        <f>_xlfn.XLOOKUP(E109,'All Products'!D:D,'All Products'!F:F,FALSE)</f>
        <v>1</v>
      </c>
      <c r="H109" s="232">
        <f>_xlfn.XLOOKUP(E109,'All Products'!D:D,'All Products'!G:G,FALSE)</f>
        <v>33</v>
      </c>
      <c r="I109" s="123">
        <f>_xlfn.XLOOKUP(E109,'All Products'!D:D,'All Products'!H:H,FALSE)</f>
        <v>1035.2</v>
      </c>
      <c r="J109" s="130">
        <f>IFERROR(ROUNDUP(I109*Order_Quote!$L$15,2),0)</f>
        <v>1035.2</v>
      </c>
      <c r="K109" s="118"/>
      <c r="L109" s="76"/>
      <c r="M109" s="114">
        <f t="shared" si="6"/>
        <v>0</v>
      </c>
      <c r="O109" s="215" t="str">
        <f>_xlfn.XLOOKUP(E109,'All Products'!D:D,'All Products'!I:I,FALSE)</f>
        <v>Within 3 Weeks</v>
      </c>
      <c r="P109" s="215" t="str">
        <f>_xlfn.XLOOKUP(E109,'All Products'!D:D,'All Products'!J:J,FALSE)</f>
        <v>Manufactured</v>
      </c>
      <c r="Q109" s="266">
        <f>_xlfn.XLOOKUP(E109,'All Products'!D:D,'All Products'!K:K,FALSE)</f>
        <v>810673016242</v>
      </c>
      <c r="R109" s="266" t="str">
        <f>_xlfn.XLOOKUP(E109,'All Products'!D:D,'All Products'!L:L,FALSE)</f>
        <v>-</v>
      </c>
      <c r="S109" s="266">
        <f>_xlfn.XLOOKUP(E109,'All Products'!D:D,'All Products'!M:M,FALSE)</f>
        <v>812361016749</v>
      </c>
      <c r="T109" s="264">
        <f>_xlfn.XLOOKUP(E109,'All Products'!D:D,'All Products'!N:N,FALSE)</f>
        <v>11.08</v>
      </c>
      <c r="U109" s="265">
        <f>_xlfn.XLOOKUP(E109,'All Products'!D:D,'All Products'!P:P,FALSE)</f>
        <v>365.64</v>
      </c>
      <c r="V109" s="265">
        <f>_xlfn.XLOOKUP(E109,'All Products'!D:D,'All Products'!Q:Q,FALSE)</f>
        <v>53.333269333358928</v>
      </c>
    </row>
    <row r="110" spans="1:22">
      <c r="A110" s="101" t="str">
        <f>IF(K110&gt;0,COUNT($A$8:A109)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10" s="615"/>
      <c r="C110" s="615"/>
      <c r="D110" s="51" t="str">
        <f>_xlfn.XLOOKUP(E110,'All Products'!D:D,'All Products'!C:C,FALSE)</f>
        <v>35-453</v>
      </c>
      <c r="E110" s="52">
        <v>100029307</v>
      </c>
      <c r="F110" s="53" t="str">
        <f>_xlfn.XLOOKUP(E110,'All Products'!D:D,'All Products'!E:E,FALSE)</f>
        <v>10X6 WYE GXGXG SDR35</v>
      </c>
      <c r="G110" s="232">
        <f>_xlfn.XLOOKUP(E110,'All Products'!D:D,'All Products'!F:F,FALSE)</f>
        <v>1</v>
      </c>
      <c r="H110" s="232">
        <f>_xlfn.XLOOKUP(E110,'All Products'!D:D,'All Products'!G:G,FALSE)</f>
        <v>22</v>
      </c>
      <c r="I110" s="123">
        <f>_xlfn.XLOOKUP(E110,'All Products'!D:D,'All Products'!H:H,FALSE)</f>
        <v>1052.3399999999999</v>
      </c>
      <c r="J110" s="130">
        <f>IFERROR(ROUNDUP(I110*Order_Quote!$L$15,2),0)</f>
        <v>1052.3399999999999</v>
      </c>
      <c r="K110" s="118"/>
      <c r="L110" s="76"/>
      <c r="M110" s="114">
        <f t="shared" si="6"/>
        <v>0</v>
      </c>
      <c r="O110" s="215" t="str">
        <f>_xlfn.XLOOKUP(E110,'All Products'!D:D,'All Products'!I:I,FALSE)</f>
        <v>In Stock</v>
      </c>
      <c r="P110" s="215" t="str">
        <f>_xlfn.XLOOKUP(E110,'All Products'!D:D,'All Products'!J:J,FALSE)</f>
        <v>Manufactured</v>
      </c>
      <c r="Q110" s="266">
        <f>_xlfn.XLOOKUP(E110,'All Products'!D:D,'All Products'!K:K,FALSE)</f>
        <v>810673016259</v>
      </c>
      <c r="R110" s="266" t="str">
        <f>_xlfn.XLOOKUP(E110,'All Products'!D:D,'All Products'!L:L,FALSE)</f>
        <v>-</v>
      </c>
      <c r="S110" s="266">
        <f>_xlfn.XLOOKUP(E110,'All Products'!D:D,'All Products'!M:M,FALSE)</f>
        <v>812361016756</v>
      </c>
      <c r="T110" s="264">
        <f>_xlfn.XLOOKUP(E110,'All Products'!D:D,'All Products'!N:N,FALSE)</f>
        <v>16.096</v>
      </c>
      <c r="U110" s="265">
        <f>_xlfn.XLOOKUP(E110,'All Products'!D:D,'All Products'!P:P,FALSE)</f>
        <v>466.51</v>
      </c>
      <c r="V110" s="265">
        <f>_xlfn.XLOOKUP(E110,'All Products'!D:D,'All Products'!Q:Q,FALSE)</f>
        <v>53.333269333358928</v>
      </c>
    </row>
    <row r="111" spans="1:22">
      <c r="A111" s="101" t="str">
        <f>IF(K111&gt;0,COUNT($A$8:A110)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11" s="615"/>
      <c r="C111" s="615"/>
      <c r="D111" s="51" t="str">
        <f>_xlfn.XLOOKUP(E111,'All Products'!D:D,'All Products'!C:C,FALSE)</f>
        <v>35-455</v>
      </c>
      <c r="E111" s="52">
        <v>300003477</v>
      </c>
      <c r="F111" s="53" t="str">
        <f>_xlfn.XLOOKUP(E111,'All Products'!D:D,'All Products'!E:E,FALSE)</f>
        <v>10 WYE GXGXG SDR35</v>
      </c>
      <c r="G111" s="232">
        <f>_xlfn.XLOOKUP(E111,'All Products'!D:D,'All Products'!F:F,FALSE)</f>
        <v>1</v>
      </c>
      <c r="H111" s="232">
        <f>_xlfn.XLOOKUP(E111,'All Products'!D:D,'All Products'!G:G,FALSE)</f>
        <v>10</v>
      </c>
      <c r="I111" s="123" t="str">
        <f>_xlfn.XLOOKUP(E111,'All Products'!D:D,'All Products'!H:H,FALSE)</f>
        <v>Quote Required</v>
      </c>
      <c r="J111" s="130">
        <f>IFERROR(ROUNDUP(I111*Order_Quote!$L$15,2),0)</f>
        <v>0</v>
      </c>
      <c r="K111" s="118"/>
      <c r="L111" s="76"/>
      <c r="M111" s="115">
        <f t="shared" si="6"/>
        <v>0</v>
      </c>
      <c r="O111" s="215" t="str">
        <f>_xlfn.XLOOKUP(E111,'All Products'!D:D,'All Products'!I:I,FALSE)</f>
        <v>Within 6 Weeks</v>
      </c>
      <c r="P111" s="215" t="str">
        <f>_xlfn.XLOOKUP(E111,'All Products'!D:D,'All Products'!J:J,FALSE)</f>
        <v>Sourced</v>
      </c>
      <c r="Q111" s="266">
        <f>_xlfn.XLOOKUP(E111,'All Products'!D:D,'All Products'!K:K,FALSE)</f>
        <v>816842021055</v>
      </c>
      <c r="R111" s="266" t="str">
        <f>_xlfn.XLOOKUP(E111,'All Products'!D:D,'All Products'!L:L,FALSE)</f>
        <v>-</v>
      </c>
      <c r="S111" s="266" t="str">
        <f>_xlfn.XLOOKUP(E111,'All Products'!D:D,'All Products'!M:M,FALSE)</f>
        <v>-</v>
      </c>
      <c r="T111" s="264">
        <f>_xlfn.XLOOKUP(E111,'All Products'!D:D,'All Products'!N:N,FALSE)</f>
        <v>20.48</v>
      </c>
      <c r="U111" s="265">
        <f>_xlfn.XLOOKUP(E111,'All Products'!D:D,'All Products'!P:P,FALSE)</f>
        <v>20.48</v>
      </c>
      <c r="V111" s="265" t="str">
        <f>_xlfn.XLOOKUP(E111,'All Products'!D:D,'All Products'!Q:Q,FALSE)</f>
        <v>-</v>
      </c>
    </row>
    <row r="112" spans="1:22">
      <c r="A112" s="101" t="str">
        <f>IF(K112&gt;0,COUNT($A$8:A111)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12" s="615"/>
      <c r="C112" s="615"/>
      <c r="D112" s="51" t="str">
        <f>_xlfn.XLOOKUP(E112,'All Products'!D:D,'All Products'!C:C,FALSE)</f>
        <v>35-456</v>
      </c>
      <c r="E112" s="52">
        <v>300005853</v>
      </c>
      <c r="F112" s="53" t="str">
        <f>_xlfn.XLOOKUP(E112,'All Products'!D:D,'All Products'!E:E,FALSE)</f>
        <v>12X4 WYE GXGXG SDR35</v>
      </c>
      <c r="G112" s="232">
        <f>_xlfn.XLOOKUP(E112,'All Products'!D:D,'All Products'!F:F,FALSE)</f>
        <v>1</v>
      </c>
      <c r="H112" s="232">
        <f>_xlfn.XLOOKUP(E112,'All Products'!D:D,'All Products'!G:G,FALSE)</f>
        <v>16</v>
      </c>
      <c r="I112" s="123" t="str">
        <f>_xlfn.XLOOKUP(E112,'All Products'!D:D,'All Products'!H:H,FALSE)</f>
        <v>Quote Required</v>
      </c>
      <c r="J112" s="130">
        <f>IFERROR(ROUNDUP(I112*Order_Quote!$L$15,2),0)</f>
        <v>0</v>
      </c>
      <c r="K112" s="118"/>
      <c r="L112" s="76"/>
      <c r="M112" s="114">
        <f t="shared" si="6"/>
        <v>0</v>
      </c>
      <c r="O112" s="215" t="str">
        <f>_xlfn.XLOOKUP(E112,'All Products'!D:D,'All Products'!I:I,FALSE)</f>
        <v>Within 6 Weeks</v>
      </c>
      <c r="P112" s="215" t="str">
        <f>_xlfn.XLOOKUP(E112,'All Products'!D:D,'All Products'!J:J,FALSE)</f>
        <v>Sourced</v>
      </c>
      <c r="Q112" s="266">
        <f>_xlfn.XLOOKUP(E112,'All Products'!D:D,'All Products'!K:K,FALSE)</f>
        <v>810673016266</v>
      </c>
      <c r="R112" s="266" t="str">
        <f>_xlfn.XLOOKUP(E112,'All Products'!D:D,'All Products'!L:L,FALSE)</f>
        <v>-</v>
      </c>
      <c r="S112" s="266" t="str">
        <f>_xlfn.XLOOKUP(E112,'All Products'!D:D,'All Products'!M:M,FALSE)</f>
        <v>-</v>
      </c>
      <c r="T112" s="264">
        <f>_xlfn.XLOOKUP(E112,'All Products'!D:D,'All Products'!N:N,FALSE)</f>
        <v>19.100000000000001</v>
      </c>
      <c r="U112" s="265">
        <f>_xlfn.XLOOKUP(E112,'All Products'!D:D,'All Products'!P:P,FALSE)</f>
        <v>19.100000000000001</v>
      </c>
      <c r="V112" s="265" t="str">
        <f>_xlfn.XLOOKUP(E112,'All Products'!D:D,'All Products'!Q:Q,FALSE)</f>
        <v>-</v>
      </c>
    </row>
    <row r="113" spans="1:22">
      <c r="A113" s="101" t="str">
        <f>IF(K113&gt;0,COUNT($A$8:A112)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13" s="615"/>
      <c r="C113" s="615"/>
      <c r="D113" s="51" t="str">
        <f>_xlfn.XLOOKUP(E113,'All Products'!D:D,'All Products'!C:C,FALSE)</f>
        <v>35-457</v>
      </c>
      <c r="E113" s="52">
        <v>100029308</v>
      </c>
      <c r="F113" s="53" t="str">
        <f>_xlfn.XLOOKUP(E113,'All Products'!D:D,'All Products'!E:E,FALSE)</f>
        <v>12X6 WYE GXGXG SDR35</v>
      </c>
      <c r="G113" s="232">
        <f>_xlfn.XLOOKUP(E113,'All Products'!D:D,'All Products'!F:F,FALSE)</f>
        <v>1</v>
      </c>
      <c r="H113" s="232">
        <f>_xlfn.XLOOKUP(E113,'All Products'!D:D,'All Products'!G:G,FALSE)</f>
        <v>16</v>
      </c>
      <c r="I113" s="123">
        <f>_xlfn.XLOOKUP(E113,'All Products'!D:D,'All Products'!H:H,FALSE)</f>
        <v>1537.03</v>
      </c>
      <c r="J113" s="130">
        <f>IFERROR(ROUNDUP(I113*Order_Quote!$L$15,2),0)</f>
        <v>1537.03</v>
      </c>
      <c r="K113" s="118"/>
      <c r="L113" s="76"/>
      <c r="M113" s="114">
        <f t="shared" si="6"/>
        <v>0</v>
      </c>
      <c r="O113" s="215" t="str">
        <f>_xlfn.XLOOKUP(E113,'All Products'!D:D,'All Products'!I:I,FALSE)</f>
        <v>In Stock</v>
      </c>
      <c r="P113" s="215" t="str">
        <f>_xlfn.XLOOKUP(E113,'All Products'!D:D,'All Products'!J:J,FALSE)</f>
        <v>Manufactured</v>
      </c>
      <c r="Q113" s="266">
        <f>_xlfn.XLOOKUP(E113,'All Products'!D:D,'All Products'!K:K,FALSE)</f>
        <v>810673016273</v>
      </c>
      <c r="R113" s="266" t="str">
        <f>_xlfn.XLOOKUP(E113,'All Products'!D:D,'All Products'!L:L,FALSE)</f>
        <v>-</v>
      </c>
      <c r="S113" s="266">
        <f>_xlfn.XLOOKUP(E113,'All Products'!D:D,'All Products'!M:M,FALSE)</f>
        <v>812361016763</v>
      </c>
      <c r="T113" s="264">
        <f>_xlfn.XLOOKUP(E113,'All Products'!D:D,'All Products'!N:N,FALSE)</f>
        <v>26.521999999999998</v>
      </c>
      <c r="U113" s="265">
        <f>_xlfn.XLOOKUP(E113,'All Products'!D:D,'All Products'!P:P,FALSE)</f>
        <v>424.35199999999998</v>
      </c>
      <c r="V113" s="265">
        <f>_xlfn.XLOOKUP(E113,'All Products'!D:D,'All Products'!Q:Q,FALSE)</f>
        <v>53.333269333358928</v>
      </c>
    </row>
    <row r="114" spans="1:22">
      <c r="A114" s="101" t="str">
        <f>IF(K114&gt;0,COUNT($A$8:A113)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14" s="615"/>
      <c r="C114" s="615"/>
      <c r="D114" s="51" t="str">
        <f>_xlfn.XLOOKUP(E114,'All Products'!D:D,'All Products'!C:C,FALSE)</f>
        <v>35-460</v>
      </c>
      <c r="E114" s="52">
        <v>300003535</v>
      </c>
      <c r="F114" s="53" t="str">
        <f>_xlfn.XLOOKUP(E114,'All Products'!D:D,'All Products'!E:E,FALSE)</f>
        <v>12 WYE GXGXG SDR35</v>
      </c>
      <c r="G114" s="232">
        <f>_xlfn.XLOOKUP(E114,'All Products'!D:D,'All Products'!F:F,FALSE)</f>
        <v>1</v>
      </c>
      <c r="H114" s="232">
        <f>_xlfn.XLOOKUP(E114,'All Products'!D:D,'All Products'!G:G,FALSE)</f>
        <v>6</v>
      </c>
      <c r="I114" s="123" t="str">
        <f>_xlfn.XLOOKUP(E114,'All Products'!D:D,'All Products'!H:H,FALSE)</f>
        <v>Quote Required</v>
      </c>
      <c r="J114" s="130">
        <f>IFERROR(ROUNDUP(I114*Order_Quote!$L$15,2),0)</f>
        <v>0</v>
      </c>
      <c r="K114" s="118"/>
      <c r="L114" s="76"/>
      <c r="M114" s="114">
        <f t="shared" si="6"/>
        <v>0</v>
      </c>
      <c r="O114" s="215" t="str">
        <f>_xlfn.XLOOKUP(E114,'All Products'!D:D,'All Products'!I:I,FALSE)</f>
        <v>Within 6 Weeks</v>
      </c>
      <c r="P114" s="215" t="str">
        <f>_xlfn.XLOOKUP(E114,'All Products'!D:D,'All Products'!J:J,FALSE)</f>
        <v>Sourced</v>
      </c>
      <c r="Q114" s="266">
        <f>_xlfn.XLOOKUP(E114,'All Products'!D:D,'All Products'!K:K,FALSE)</f>
        <v>816842021062</v>
      </c>
      <c r="R114" s="266" t="str">
        <f>_xlfn.XLOOKUP(E114,'All Products'!D:D,'All Products'!L:L,FALSE)</f>
        <v>-</v>
      </c>
      <c r="S114" s="266" t="str">
        <f>_xlfn.XLOOKUP(E114,'All Products'!D:D,'All Products'!M:M,FALSE)</f>
        <v>-</v>
      </c>
      <c r="T114" s="264">
        <f>_xlfn.XLOOKUP(E114,'All Products'!D:D,'All Products'!N:N,FALSE)</f>
        <v>37.619999999999997</v>
      </c>
      <c r="U114" s="265">
        <f>_xlfn.XLOOKUP(E114,'All Products'!D:D,'All Products'!P:P,FALSE)</f>
        <v>37.619999999999997</v>
      </c>
      <c r="V114" s="265" t="str">
        <f>_xlfn.XLOOKUP(E114,'All Products'!D:D,'All Products'!Q:Q,FALSE)</f>
        <v>-</v>
      </c>
    </row>
    <row r="115" spans="1:22">
      <c r="A115" s="101" t="str">
        <f>IF(K115&gt;0,COUNT($A$8:A114)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15" s="615"/>
      <c r="C115" s="615"/>
      <c r="D115" s="51" t="str">
        <f>_xlfn.XLOOKUP(E115,'All Products'!D:D,'All Products'!C:C,FALSE)</f>
        <v>35-1505</v>
      </c>
      <c r="E115" s="52">
        <v>300005769</v>
      </c>
      <c r="F115" s="53" t="str">
        <f>_xlfn.XLOOKUP(E115,'All Products'!D:D,'All Products'!E:E,FALSE)</f>
        <v>4 WYE SXGXG SDR35</v>
      </c>
      <c r="G115" s="232">
        <f>_xlfn.XLOOKUP(E115,'All Products'!D:D,'All Products'!F:F,FALSE)</f>
        <v>10</v>
      </c>
      <c r="H115" s="232">
        <f>_xlfn.XLOOKUP(E115,'All Products'!D:D,'All Products'!G:G,FALSE)</f>
        <v>120</v>
      </c>
      <c r="I115" s="123" t="str">
        <f>_xlfn.XLOOKUP(E115,'All Products'!D:D,'All Products'!H:H,FALSE)</f>
        <v>Quote Required</v>
      </c>
      <c r="J115" s="130">
        <f>IFERROR(ROUNDUP(I115*Order_Quote!$L$15,2),0)</f>
        <v>0</v>
      </c>
      <c r="K115" s="122"/>
      <c r="L115" s="76"/>
      <c r="M115" s="114">
        <f t="shared" si="6"/>
        <v>0</v>
      </c>
      <c r="O115" s="215" t="str">
        <f>_xlfn.XLOOKUP(E115,'All Products'!D:D,'All Products'!I:I,FALSE)</f>
        <v>Within 3 Weeks</v>
      </c>
      <c r="P115" s="215" t="str">
        <f>_xlfn.XLOOKUP(E115,'All Products'!D:D,'All Products'!J:J,FALSE)</f>
        <v>Sourced</v>
      </c>
      <c r="Q115" s="266">
        <f>_xlfn.XLOOKUP(E115,'All Products'!D:D,'All Products'!K:K,FALSE)</f>
        <v>810673016280</v>
      </c>
      <c r="R115" s="266" t="str">
        <f>_xlfn.XLOOKUP(E115,'All Products'!D:D,'All Products'!L:L,FALSE)</f>
        <v>-</v>
      </c>
      <c r="S115" s="266" t="str">
        <f>_xlfn.XLOOKUP(E115,'All Products'!D:D,'All Products'!M:M,FALSE)</f>
        <v>-</v>
      </c>
      <c r="T115" s="264">
        <f>_xlfn.XLOOKUP(E115,'All Products'!D:D,'All Products'!N:N,FALSE)</f>
        <v>1.466</v>
      </c>
      <c r="U115" s="265">
        <f>_xlfn.XLOOKUP(E115,'All Products'!D:D,'All Products'!P:P,FALSE)</f>
        <v>14.66</v>
      </c>
      <c r="V115" s="265" t="str">
        <f>_xlfn.XLOOKUP(E115,'All Products'!D:D,'All Products'!Q:Q,FALSE)</f>
        <v>-</v>
      </c>
    </row>
    <row r="116" spans="1:22">
      <c r="A116" s="101" t="str">
        <f>IF(K116&gt;0,COUNT($A$8:A115)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16" s="615"/>
      <c r="C116" s="615"/>
      <c r="D116" s="51" t="str">
        <f>_xlfn.XLOOKUP(E116,'All Products'!D:D,'All Products'!C:C,FALSE)</f>
        <v>35-1506</v>
      </c>
      <c r="E116" s="52">
        <v>300005868</v>
      </c>
      <c r="F116" s="53" t="str">
        <f>_xlfn.XLOOKUP(E116,'All Products'!D:D,'All Products'!E:E,FALSE)</f>
        <v>6 X 4 WYE SXGXG SDR35</v>
      </c>
      <c r="G116" s="232">
        <f>_xlfn.XLOOKUP(E116,'All Products'!D:D,'All Products'!F:F,FALSE)</f>
        <v>1</v>
      </c>
      <c r="H116" s="232">
        <f>_xlfn.XLOOKUP(E116,'All Products'!D:D,'All Products'!G:G,FALSE)</f>
        <v>75</v>
      </c>
      <c r="I116" s="123" t="str">
        <f>_xlfn.XLOOKUP(E116,'All Products'!D:D,'All Products'!H:H,FALSE)</f>
        <v>Quote Required</v>
      </c>
      <c r="J116" s="130">
        <f>IFERROR(ROUNDUP(I116*Order_Quote!$L$15,2),0)</f>
        <v>0</v>
      </c>
      <c r="K116" s="118"/>
      <c r="L116" s="76"/>
      <c r="M116" s="114">
        <f t="shared" si="6"/>
        <v>0</v>
      </c>
      <c r="O116" s="215" t="str">
        <f>_xlfn.XLOOKUP(E116,'All Products'!D:D,'All Products'!I:I,FALSE)</f>
        <v>Within 6 Weeks</v>
      </c>
      <c r="P116" s="215" t="str">
        <f>_xlfn.XLOOKUP(E116,'All Products'!D:D,'All Products'!J:J,FALSE)</f>
        <v>Sourced</v>
      </c>
      <c r="Q116" s="266">
        <f>_xlfn.XLOOKUP(E116,'All Products'!D:D,'All Products'!K:K,FALSE)</f>
        <v>810673016303</v>
      </c>
      <c r="R116" s="266" t="str">
        <f>_xlfn.XLOOKUP(E116,'All Products'!D:D,'All Products'!L:L,FALSE)</f>
        <v>-</v>
      </c>
      <c r="S116" s="266" t="str">
        <f>_xlfn.XLOOKUP(E116,'All Products'!D:D,'All Products'!M:M,FALSE)</f>
        <v>-</v>
      </c>
      <c r="T116" s="264">
        <f>_xlfn.XLOOKUP(E116,'All Products'!D:D,'All Products'!N:N,FALSE)</f>
        <v>3.355</v>
      </c>
      <c r="U116" s="265">
        <f>_xlfn.XLOOKUP(E116,'All Products'!D:D,'All Products'!P:P,FALSE)</f>
        <v>3.355</v>
      </c>
      <c r="V116" s="265" t="str">
        <f>_xlfn.XLOOKUP(E116,'All Products'!D:D,'All Products'!Q:Q,FALSE)</f>
        <v>-</v>
      </c>
    </row>
    <row r="117" spans="1:22">
      <c r="A117" s="101" t="str">
        <f>IF(K117&gt;0,COUNT($A$8:A116)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17" s="615"/>
      <c r="C117" s="615"/>
      <c r="D117" s="51" t="str">
        <f>_xlfn.XLOOKUP(E117,'All Products'!D:D,'All Products'!C:C,FALSE)</f>
        <v>35-1507</v>
      </c>
      <c r="E117" s="52">
        <v>300005771</v>
      </c>
      <c r="F117" s="53" t="str">
        <f>_xlfn.XLOOKUP(E117,'All Products'!D:D,'All Products'!E:E,FALSE)</f>
        <v>6 WYE SXGXG SDR35</v>
      </c>
      <c r="G117" s="232">
        <f>_xlfn.XLOOKUP(E117,'All Products'!D:D,'All Products'!F:F,FALSE)</f>
        <v>1</v>
      </c>
      <c r="H117" s="232">
        <f>_xlfn.XLOOKUP(E117,'All Products'!D:D,'All Products'!G:G,FALSE)</f>
        <v>50</v>
      </c>
      <c r="I117" s="123" t="str">
        <f>_xlfn.XLOOKUP(E117,'All Products'!D:D,'All Products'!H:H,FALSE)</f>
        <v>Quote Required</v>
      </c>
      <c r="J117" s="130">
        <f>IFERROR(ROUNDUP(I117*Order_Quote!$L$15,2),0)</f>
        <v>0</v>
      </c>
      <c r="K117" s="118"/>
      <c r="L117" s="76"/>
      <c r="M117" s="114">
        <f t="shared" si="6"/>
        <v>0</v>
      </c>
      <c r="O117" s="215" t="str">
        <f>_xlfn.XLOOKUP(E117,'All Products'!D:D,'All Products'!I:I,FALSE)</f>
        <v>Within 6 Weeks</v>
      </c>
      <c r="P117" s="215" t="str">
        <f>_xlfn.XLOOKUP(E117,'All Products'!D:D,'All Products'!J:J,FALSE)</f>
        <v>Sourced</v>
      </c>
      <c r="Q117" s="266">
        <f>_xlfn.XLOOKUP(E117,'All Products'!D:D,'All Products'!K:K,FALSE)</f>
        <v>810673016327</v>
      </c>
      <c r="R117" s="266" t="str">
        <f>_xlfn.XLOOKUP(E117,'All Products'!D:D,'All Products'!L:L,FALSE)</f>
        <v>-</v>
      </c>
      <c r="S117" s="266" t="str">
        <f>_xlfn.XLOOKUP(E117,'All Products'!D:D,'All Products'!M:M,FALSE)</f>
        <v>-</v>
      </c>
      <c r="T117" s="264">
        <f>_xlfn.XLOOKUP(E117,'All Products'!D:D,'All Products'!N:N,FALSE)</f>
        <v>4.5460000000000003</v>
      </c>
      <c r="U117" s="265">
        <f>_xlfn.XLOOKUP(E117,'All Products'!D:D,'All Products'!P:P,FALSE)</f>
        <v>4.5460000000000003</v>
      </c>
      <c r="V117" s="265" t="str">
        <f>_xlfn.XLOOKUP(E117,'All Products'!D:D,'All Products'!Q:Q,FALSE)</f>
        <v>-</v>
      </c>
    </row>
    <row r="118" spans="1:22">
      <c r="A118" s="101" t="str">
        <f>IF(K118&gt;0,COUNT($A$8:A117)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18" s="615"/>
      <c r="C118" s="615"/>
      <c r="D118" s="51" t="str">
        <f>_xlfn.XLOOKUP(E118,'All Products'!D:D,'All Products'!C:C,FALSE)</f>
        <v>35-1508</v>
      </c>
      <c r="E118" s="52">
        <v>300005773</v>
      </c>
      <c r="F118" s="53" t="str">
        <f>_xlfn.XLOOKUP(E118,'All Products'!D:D,'All Products'!E:E,FALSE)</f>
        <v>8X4 WYE SXGXG DR 35 SDR35</v>
      </c>
      <c r="G118" s="232">
        <f>_xlfn.XLOOKUP(E118,'All Products'!D:D,'All Products'!F:F,FALSE)</f>
        <v>1</v>
      </c>
      <c r="H118" s="232">
        <f>_xlfn.XLOOKUP(E118,'All Products'!D:D,'All Products'!G:G,FALSE)</f>
        <v>45</v>
      </c>
      <c r="I118" s="123" t="str">
        <f>_xlfn.XLOOKUP(E118,'All Products'!D:D,'All Products'!H:H,FALSE)</f>
        <v>Quote Required</v>
      </c>
      <c r="J118" s="130">
        <f>IFERROR(ROUNDUP(I118*Order_Quote!$L$15,2),0)</f>
        <v>0</v>
      </c>
      <c r="K118" s="118"/>
      <c r="L118" s="76"/>
      <c r="M118" s="115">
        <f t="shared" si="6"/>
        <v>0</v>
      </c>
      <c r="O118" s="215" t="str">
        <f>_xlfn.XLOOKUP(E118,'All Products'!D:D,'All Products'!I:I,FALSE)</f>
        <v>Within 6 Weeks</v>
      </c>
      <c r="P118" s="215" t="str">
        <f>_xlfn.XLOOKUP(E118,'All Products'!D:D,'All Products'!J:J,FALSE)</f>
        <v>Sourced</v>
      </c>
      <c r="Q118" s="266">
        <f>_xlfn.XLOOKUP(E118,'All Products'!D:D,'All Products'!K:K,FALSE)</f>
        <v>810673016341</v>
      </c>
      <c r="R118" s="266" t="str">
        <f>_xlfn.XLOOKUP(E118,'All Products'!D:D,'All Products'!L:L,FALSE)</f>
        <v>-</v>
      </c>
      <c r="S118" s="266" t="str">
        <f>_xlfn.XLOOKUP(E118,'All Products'!D:D,'All Products'!M:M,FALSE)</f>
        <v>-</v>
      </c>
      <c r="T118" s="264">
        <f>_xlfn.XLOOKUP(E118,'All Products'!D:D,'All Products'!N:N,FALSE)</f>
        <v>6.21</v>
      </c>
      <c r="U118" s="265">
        <f>_xlfn.XLOOKUP(E118,'All Products'!D:D,'All Products'!P:P,FALSE)</f>
        <v>6.21</v>
      </c>
      <c r="V118" s="265" t="str">
        <f>_xlfn.XLOOKUP(E118,'All Products'!D:D,'All Products'!Q:Q,FALSE)</f>
        <v>-</v>
      </c>
    </row>
    <row r="119" spans="1:22">
      <c r="A119" s="101" t="str">
        <f>IF(K119&gt;0,COUNT($A$8:A118)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19" s="615"/>
      <c r="C119" s="615"/>
      <c r="D119" s="51" t="str">
        <f>_xlfn.XLOOKUP(E119,'All Products'!D:D,'All Products'!C:C,FALSE)</f>
        <v>35-1509</v>
      </c>
      <c r="E119" s="52">
        <v>300005776</v>
      </c>
      <c r="F119" s="53" t="str">
        <f>_xlfn.XLOOKUP(E119,'All Products'!D:D,'All Products'!E:E,FALSE)</f>
        <v>8X6 WYE SXGXG SDR35</v>
      </c>
      <c r="G119" s="232">
        <f>_xlfn.XLOOKUP(E119,'All Products'!D:D,'All Products'!F:F,FALSE)</f>
        <v>1</v>
      </c>
      <c r="H119" s="232">
        <f>_xlfn.XLOOKUP(E119,'All Products'!D:D,'All Products'!G:G,FALSE)</f>
        <v>34</v>
      </c>
      <c r="I119" s="123" t="str">
        <f>_xlfn.XLOOKUP(E119,'All Products'!D:D,'All Products'!H:H,FALSE)</f>
        <v>Quote Required</v>
      </c>
      <c r="J119" s="130">
        <f>IFERROR(ROUNDUP(I119*Order_Quote!$L$15,2),0)</f>
        <v>0</v>
      </c>
      <c r="K119" s="118"/>
      <c r="L119" s="76"/>
      <c r="M119" s="114">
        <f t="shared" si="6"/>
        <v>0</v>
      </c>
      <c r="O119" s="215" t="str">
        <f>_xlfn.XLOOKUP(E119,'All Products'!D:D,'All Products'!I:I,FALSE)</f>
        <v>Within 6 Weeks</v>
      </c>
      <c r="P119" s="215" t="str">
        <f>_xlfn.XLOOKUP(E119,'All Products'!D:D,'All Products'!J:J,FALSE)</f>
        <v>Sourced</v>
      </c>
      <c r="Q119" s="266">
        <f>_xlfn.XLOOKUP(E119,'All Products'!D:D,'All Products'!K:K,FALSE)</f>
        <v>810673016365</v>
      </c>
      <c r="R119" s="266" t="str">
        <f>_xlfn.XLOOKUP(E119,'All Products'!D:D,'All Products'!L:L,FALSE)</f>
        <v>-</v>
      </c>
      <c r="S119" s="266" t="str">
        <f>_xlfn.XLOOKUP(E119,'All Products'!D:D,'All Products'!M:M,FALSE)</f>
        <v>-</v>
      </c>
      <c r="T119" s="264">
        <f>_xlfn.XLOOKUP(E119,'All Products'!D:D,'All Products'!N:N,FALSE)</f>
        <v>8.5839999999999996</v>
      </c>
      <c r="U119" s="265">
        <f>_xlfn.XLOOKUP(E119,'All Products'!D:D,'All Products'!P:P,FALSE)</f>
        <v>8.5839999999999996</v>
      </c>
      <c r="V119" s="265" t="str">
        <f>_xlfn.XLOOKUP(E119,'All Products'!D:D,'All Products'!Q:Q,FALSE)</f>
        <v>-</v>
      </c>
    </row>
    <row r="120" spans="1:22">
      <c r="A120" s="101" t="str">
        <f>IF(K120&gt;0,COUNT($A$8:A119)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20" s="615"/>
      <c r="C120" s="615"/>
      <c r="D120" s="51" t="str">
        <f>_xlfn.XLOOKUP(E120,'All Products'!D:D,'All Products'!C:C,FALSE)</f>
        <v>35-1755</v>
      </c>
      <c r="E120" s="52">
        <v>300004495</v>
      </c>
      <c r="F120" s="53" t="str">
        <f>_xlfn.XLOOKUP(E120,'All Products'!D:D,'All Products'!E:E,FALSE)</f>
        <v>8x4 WYE W/DWV BRANCH GXGXDWVG</v>
      </c>
      <c r="G120" s="232">
        <f>_xlfn.XLOOKUP(E120,'All Products'!D:D,'All Products'!F:F,FALSE)</f>
        <v>2</v>
      </c>
      <c r="H120" s="232">
        <f>_xlfn.XLOOKUP(E120,'All Products'!D:D,'All Products'!G:G,FALSE)</f>
        <v>14</v>
      </c>
      <c r="I120" s="123" t="str">
        <f>_xlfn.XLOOKUP(E120,'All Products'!D:D,'All Products'!H:H,FALSE)</f>
        <v>Quote Required</v>
      </c>
      <c r="J120" s="130">
        <f>IFERROR(ROUNDUP(I120*Order_Quote!$L$15,2),0)</f>
        <v>0</v>
      </c>
      <c r="K120" s="118"/>
      <c r="L120" s="76"/>
      <c r="M120" s="114">
        <f>K120/G120</f>
        <v>0</v>
      </c>
      <c r="O120" s="215" t="str">
        <f>_xlfn.XLOOKUP(E120,'All Products'!D:D,'All Products'!I:I,FALSE)</f>
        <v>Within 6 Weeks</v>
      </c>
      <c r="P120" s="215" t="str">
        <f>_xlfn.XLOOKUP(E120,'All Products'!D:D,'All Products'!J:J,FALSE)</f>
        <v>Sourced</v>
      </c>
      <c r="Q120" s="266" t="str">
        <f>_xlfn.XLOOKUP(E120,'All Products'!D:D,'All Products'!K:K,FALSE)</f>
        <v>-</v>
      </c>
      <c r="R120" s="266" t="str">
        <f>_xlfn.XLOOKUP(E120,'All Products'!D:D,'All Products'!L:L,FALSE)</f>
        <v>-</v>
      </c>
      <c r="S120" s="266" t="str">
        <f>_xlfn.XLOOKUP(E120,'All Products'!D:D,'All Products'!M:M,FALSE)</f>
        <v>-</v>
      </c>
      <c r="T120" s="264">
        <f>_xlfn.XLOOKUP(E120,'All Products'!D:D,'All Products'!N:N,FALSE)</f>
        <v>25.251999999999999</v>
      </c>
      <c r="U120" s="265">
        <f>_xlfn.XLOOKUP(E120,'All Products'!D:D,'All Products'!P:P,FALSE)</f>
        <v>50.503999999999998</v>
      </c>
      <c r="V120" s="265" t="str">
        <f>_xlfn.XLOOKUP(E120,'All Products'!D:D,'All Products'!Q:Q,FALSE)</f>
        <v>-</v>
      </c>
    </row>
    <row r="121" spans="1:22">
      <c r="A121" s="101" t="str">
        <f>IF(K121&gt;0,COUNT($A$8:A120)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21" s="615"/>
      <c r="C121" s="615"/>
      <c r="D121" s="51" t="str">
        <f>_xlfn.XLOOKUP(E121,'All Products'!D:D,'All Products'!C:C,FALSE)</f>
        <v>35-1510</v>
      </c>
      <c r="E121" s="52">
        <v>100029403</v>
      </c>
      <c r="F121" s="53" t="str">
        <f>_xlfn.XLOOKUP(E121,'All Products'!D:D,'All Products'!E:E,FALSE)</f>
        <v>6X4 DOUBLE WYE GXGXGXG SDR35</v>
      </c>
      <c r="G121" s="232">
        <f>_xlfn.XLOOKUP(E121,'All Products'!D:D,'All Products'!F:F,FALSE)</f>
        <v>1</v>
      </c>
      <c r="H121" s="232">
        <f>_xlfn.XLOOKUP(E121,'All Products'!D:D,'All Products'!G:G,FALSE)</f>
        <v>60</v>
      </c>
      <c r="I121" s="123">
        <f>_xlfn.XLOOKUP(E121,'All Products'!D:D,'All Products'!H:H,FALSE)</f>
        <v>317.74</v>
      </c>
      <c r="J121" s="130">
        <f>IFERROR(ROUNDUP(I121*Order_Quote!$L$15,2),0)</f>
        <v>317.74</v>
      </c>
      <c r="K121" s="122"/>
      <c r="L121" s="76"/>
      <c r="M121" s="115">
        <f t="shared" si="6"/>
        <v>0</v>
      </c>
      <c r="O121" s="215" t="str">
        <f>_xlfn.XLOOKUP(E121,'All Products'!D:D,'All Products'!I:I,FALSE)</f>
        <v>In Stock</v>
      </c>
      <c r="P121" s="215" t="str">
        <f>_xlfn.XLOOKUP(E121,'All Products'!D:D,'All Products'!J:J,FALSE)</f>
        <v>Manufactured</v>
      </c>
      <c r="Q121" s="266">
        <f>_xlfn.XLOOKUP(E121,'All Products'!D:D,'All Products'!K:K,FALSE)</f>
        <v>810673016389</v>
      </c>
      <c r="R121" s="266" t="str">
        <f>_xlfn.XLOOKUP(E121,'All Products'!D:D,'All Products'!L:L,FALSE)</f>
        <v>-</v>
      </c>
      <c r="S121" s="266">
        <f>_xlfn.XLOOKUP(E121,'All Products'!D:D,'All Products'!M:M,FALSE)</f>
        <v>816842021543</v>
      </c>
      <c r="T121" s="264">
        <f>_xlfn.XLOOKUP(E121,'All Products'!D:D,'All Products'!N:N,FALSE)</f>
        <v>4.1639999999999997</v>
      </c>
      <c r="U121" s="265">
        <f>_xlfn.XLOOKUP(E121,'All Products'!D:D,'All Products'!P:P,FALSE)</f>
        <v>249.83999999999997</v>
      </c>
      <c r="V121" s="265">
        <f>_xlfn.XLOOKUP(E121,'All Products'!D:D,'All Products'!Q:Q,FALSE)</f>
        <v>53.333269333358928</v>
      </c>
    </row>
    <row r="122" spans="1:22">
      <c r="A122" s="101" t="str">
        <f>IF(K122&gt;0,COUNT($A$8:A121)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22" s="615"/>
      <c r="C122" s="615"/>
      <c r="D122" s="51" t="str">
        <f>_xlfn.XLOOKUP(E122,'All Products'!D:D,'All Products'!C:C,FALSE)</f>
        <v>35-1511</v>
      </c>
      <c r="E122" s="52">
        <v>300005866</v>
      </c>
      <c r="F122" s="53" t="str">
        <f>_xlfn.XLOOKUP(E122,'All Products'!D:D,'All Products'!E:E,FALSE)</f>
        <v>6 DOUBLE WYE GXGXGXG SDR35</v>
      </c>
      <c r="G122" s="232">
        <f>_xlfn.XLOOKUP(E122,'All Products'!D:D,'All Products'!F:F,FALSE)</f>
        <v>1</v>
      </c>
      <c r="H122" s="232">
        <f>_xlfn.XLOOKUP(E122,'All Products'!D:D,'All Products'!G:G,FALSE)</f>
        <v>34</v>
      </c>
      <c r="I122" s="123" t="str">
        <f>_xlfn.XLOOKUP(E122,'All Products'!D:D,'All Products'!H:H,FALSE)</f>
        <v>Quote Required</v>
      </c>
      <c r="J122" s="130">
        <f>IFERROR(ROUNDUP(I122*Order_Quote!$L$15,2),0)</f>
        <v>0</v>
      </c>
      <c r="K122" s="118"/>
      <c r="L122" s="76"/>
      <c r="M122" s="114">
        <f t="shared" si="6"/>
        <v>0</v>
      </c>
      <c r="O122" s="215" t="str">
        <f>_xlfn.XLOOKUP(E122,'All Products'!D:D,'All Products'!I:I,FALSE)</f>
        <v>Within 6 Weeks</v>
      </c>
      <c r="P122" s="215" t="str">
        <f>_xlfn.XLOOKUP(E122,'All Products'!D:D,'All Products'!J:J,FALSE)</f>
        <v>Sourced</v>
      </c>
      <c r="Q122" s="266">
        <f>_xlfn.XLOOKUP(E122,'All Products'!D:D,'All Products'!K:K,FALSE)</f>
        <v>810673016402</v>
      </c>
      <c r="R122" s="266" t="str">
        <f>_xlfn.XLOOKUP(E122,'All Products'!D:D,'All Products'!L:L,FALSE)</f>
        <v>-</v>
      </c>
      <c r="S122" s="266" t="str">
        <f>_xlfn.XLOOKUP(E122,'All Products'!D:D,'All Products'!M:M,FALSE)</f>
        <v>-</v>
      </c>
      <c r="T122" s="264">
        <f>_xlfn.XLOOKUP(E122,'All Products'!D:D,'All Products'!N:N,FALSE)</f>
        <v>5.92</v>
      </c>
      <c r="U122" s="265">
        <f>_xlfn.XLOOKUP(E122,'All Products'!D:D,'All Products'!P:P,FALSE)</f>
        <v>5.92</v>
      </c>
      <c r="V122" s="265" t="str">
        <f>_xlfn.XLOOKUP(E122,'All Products'!D:D,'All Products'!Q:Q,FALSE)</f>
        <v>-</v>
      </c>
    </row>
    <row r="123" spans="1:22" ht="15" thickBot="1">
      <c r="A123" s="101" t="str">
        <f>IF(K123&gt;0,COUNT($A$8:A122)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23" s="615"/>
      <c r="C123" s="615"/>
      <c r="D123" s="51" t="str">
        <f>_xlfn.XLOOKUP(E123,'All Products'!D:D,'All Products'!C:C,FALSE)</f>
        <v>35-48</v>
      </c>
      <c r="E123" s="52">
        <v>300005874</v>
      </c>
      <c r="F123" s="53" t="str">
        <f>_xlfn.XLOOKUP(E123,'All Products'!D:D,'All Products'!E:E,FALSE)</f>
        <v>8X6 DOUBLE WYE GXGXGXG SDR35</v>
      </c>
      <c r="G123" s="232">
        <f>_xlfn.XLOOKUP(E123,'All Products'!D:D,'All Products'!F:F,FALSE)</f>
        <v>1</v>
      </c>
      <c r="H123" s="232">
        <f>_xlfn.XLOOKUP(E123,'All Products'!D:D,'All Products'!G:G,FALSE)</f>
        <v>26</v>
      </c>
      <c r="I123" s="123" t="str">
        <f>_xlfn.XLOOKUP(E123,'All Products'!D:D,'All Products'!H:H,FALSE)</f>
        <v>Quote Required</v>
      </c>
      <c r="J123" s="130">
        <f>IFERROR(ROUNDUP(I123*Order_Quote!$L$15,2),0)</f>
        <v>0</v>
      </c>
      <c r="K123" s="118"/>
      <c r="L123" s="76"/>
      <c r="M123" s="114">
        <f t="shared" si="6"/>
        <v>0</v>
      </c>
      <c r="O123" s="215" t="str">
        <f>_xlfn.XLOOKUP(E123,'All Products'!D:D,'All Products'!I:I,FALSE)</f>
        <v>Within 6 Weeks</v>
      </c>
      <c r="P123" s="215" t="str">
        <f>_xlfn.XLOOKUP(E123,'All Products'!D:D,'All Products'!J:J,FALSE)</f>
        <v>Sourced</v>
      </c>
      <c r="Q123" s="266">
        <f>_xlfn.XLOOKUP(E123,'All Products'!D:D,'All Products'!K:K,FALSE)</f>
        <v>810673016433</v>
      </c>
      <c r="R123" s="266" t="str">
        <f>_xlfn.XLOOKUP(E123,'All Products'!D:D,'All Products'!L:L,FALSE)</f>
        <v>-</v>
      </c>
      <c r="S123" s="266" t="str">
        <f>_xlfn.XLOOKUP(E123,'All Products'!D:D,'All Products'!M:M,FALSE)</f>
        <v>-</v>
      </c>
      <c r="T123" s="264">
        <f>_xlfn.XLOOKUP(E123,'All Products'!D:D,'All Products'!N:N,FALSE)</f>
        <v>7.65</v>
      </c>
      <c r="U123" s="265">
        <f>_xlfn.XLOOKUP(E123,'All Products'!D:D,'All Products'!P:P,FALSE)</f>
        <v>7.65</v>
      </c>
      <c r="V123" s="265" t="str">
        <f>_xlfn.XLOOKUP(E123,'All Products'!D:D,'All Products'!Q:Q,FALSE)</f>
        <v>-</v>
      </c>
    </row>
    <row r="124" spans="1:22" s="17" customFormat="1" ht="16.2" thickBot="1">
      <c r="A124" s="101" t="str">
        <f>IF(K124&gt;0,COUNT($A$8:A123)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24" s="501" t="s">
        <v>5860</v>
      </c>
      <c r="C124" s="151"/>
      <c r="D124" s="151"/>
      <c r="E124" s="459"/>
      <c r="F124" s="151"/>
      <c r="G124" s="468"/>
      <c r="H124" s="151"/>
      <c r="I124" s="472"/>
      <c r="J124" s="468"/>
      <c r="K124" s="477"/>
      <c r="L124" s="238"/>
      <c r="M124" s="476"/>
      <c r="O124" s="494"/>
      <c r="P124" s="478"/>
      <c r="Q124" s="492"/>
      <c r="R124" s="492"/>
      <c r="S124" s="492"/>
      <c r="T124" s="495"/>
      <c r="U124" s="496"/>
      <c r="V124" s="497"/>
    </row>
    <row r="125" spans="1:22" ht="25.5" customHeight="1">
      <c r="A125" s="101" t="str">
        <f>IF(K125&gt;0,COUNT($A$8:A124)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25" s="615"/>
      <c r="C125" s="615"/>
      <c r="D125" s="51" t="str">
        <f>_xlfn.XLOOKUP(E125,'All Products'!D:D,'All Products'!C:C,FALSE)</f>
        <v>35-1664</v>
      </c>
      <c r="E125" s="52">
        <v>300004421</v>
      </c>
      <c r="F125" s="53" t="str">
        <f>_xlfn.XLOOKUP(E125,'All Products'!D:D,'All Products'!E:E,FALSE)</f>
        <v>4 2-WAY C/O TEE GXGXG SDR35</v>
      </c>
      <c r="G125" s="232">
        <f>_xlfn.XLOOKUP(E125,'All Products'!D:D,'All Products'!F:F,FALSE)</f>
        <v>6</v>
      </c>
      <c r="H125" s="232" t="str">
        <f>_xlfn.XLOOKUP(E125,'All Products'!D:D,'All Products'!G:G,FALSE)</f>
        <v>-</v>
      </c>
      <c r="I125" s="123" t="str">
        <f>_xlfn.XLOOKUP(E125,'All Products'!D:D,'All Products'!H:H,FALSE)</f>
        <v>Quote Required</v>
      </c>
      <c r="J125" s="130">
        <f>IFERROR(ROUNDUP(I125*Order_Quote!$L$15,2),0)</f>
        <v>0</v>
      </c>
      <c r="K125" s="122"/>
      <c r="L125" s="76"/>
      <c r="M125" s="114">
        <f t="shared" ref="M125:M133" si="7">K125/G125</f>
        <v>0</v>
      </c>
      <c r="O125" s="215" t="str">
        <f>_xlfn.XLOOKUP(E125,'All Products'!D:D,'All Products'!I:I,FALSE)</f>
        <v>Within 6 Weeks</v>
      </c>
      <c r="P125" s="215" t="str">
        <f>_xlfn.XLOOKUP(E125,'All Products'!D:D,'All Products'!J:J,FALSE)</f>
        <v>Sourced</v>
      </c>
      <c r="Q125" s="266">
        <f>_xlfn.XLOOKUP(E125,'All Products'!D:D,'All Products'!K:K,FALSE)</f>
        <v>812361013731</v>
      </c>
      <c r="R125" s="266" t="str">
        <f>_xlfn.XLOOKUP(E125,'All Products'!D:D,'All Products'!L:L,FALSE)</f>
        <v>-</v>
      </c>
      <c r="S125" s="266" t="str">
        <f>_xlfn.XLOOKUP(E125,'All Products'!D:D,'All Products'!M:M,FALSE)</f>
        <v>-</v>
      </c>
      <c r="T125" s="264">
        <f>_xlfn.XLOOKUP(E125,'All Products'!D:D,'All Products'!N:N,FALSE)</f>
        <v>2.2400000000000002</v>
      </c>
      <c r="U125" s="265">
        <f>_xlfn.XLOOKUP(E125,'All Products'!D:D,'All Products'!P:P,FALSE)</f>
        <v>13.440000000000001</v>
      </c>
      <c r="V125" s="265" t="str">
        <f>_xlfn.XLOOKUP(E125,'All Products'!D:D,'All Products'!Q:Q,FALSE)</f>
        <v>-</v>
      </c>
    </row>
    <row r="126" spans="1:22" ht="25.5" customHeight="1">
      <c r="A126" s="101" t="str">
        <f>IF(K126&gt;0,COUNT($A$8:A125)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26" s="615"/>
      <c r="C126" s="615"/>
      <c r="D126" s="51" t="str">
        <f>_xlfn.XLOOKUP(E126,'All Products'!D:D,'All Products'!C:C,FALSE)</f>
        <v>35-1666</v>
      </c>
      <c r="E126" s="52">
        <v>100029398</v>
      </c>
      <c r="F126" s="53" t="str">
        <f>_xlfn.XLOOKUP(E126,'All Products'!D:D,'All Products'!E:E,FALSE)</f>
        <v>6 2-WAY C/O TEE GXGXG SDR35</v>
      </c>
      <c r="G126" s="232">
        <f>_xlfn.XLOOKUP(E126,'All Products'!D:D,'All Products'!F:F,FALSE)</f>
        <v>3</v>
      </c>
      <c r="H126" s="232">
        <f>_xlfn.XLOOKUP(E126,'All Products'!D:D,'All Products'!G:G,FALSE)</f>
        <v>21</v>
      </c>
      <c r="I126" s="123">
        <f>_xlfn.XLOOKUP(E126,'All Products'!D:D,'All Products'!H:H,FALSE)</f>
        <v>1502.29</v>
      </c>
      <c r="J126" s="130">
        <f>IFERROR(ROUNDUP(I126*Order_Quote!$L$15,2),0)</f>
        <v>1502.29</v>
      </c>
      <c r="K126" s="118"/>
      <c r="L126" s="76"/>
      <c r="M126" s="114">
        <f t="shared" si="7"/>
        <v>0</v>
      </c>
      <c r="O126" s="215" t="str">
        <f>_xlfn.XLOOKUP(E126,'All Products'!D:D,'All Products'!I:I,FALSE)</f>
        <v>In Stock</v>
      </c>
      <c r="P126" s="215" t="str">
        <f>_xlfn.XLOOKUP(E126,'All Products'!D:D,'All Products'!J:J,FALSE)</f>
        <v>Manufactured</v>
      </c>
      <c r="Q126" s="266">
        <f>_xlfn.XLOOKUP(E126,'All Products'!D:D,'All Products'!K:K,FALSE)</f>
        <v>812361013793</v>
      </c>
      <c r="R126" s="266" t="str">
        <f>_xlfn.XLOOKUP(E126,'All Products'!D:D,'All Products'!L:L,FALSE)</f>
        <v>-</v>
      </c>
      <c r="S126" s="266">
        <f>_xlfn.XLOOKUP(E126,'All Products'!D:D,'All Products'!M:M,FALSE)</f>
        <v>816842027361</v>
      </c>
      <c r="T126" s="264">
        <f>_xlfn.XLOOKUP(E126,'All Products'!D:D,'All Products'!N:N,FALSE)</f>
        <v>6.96</v>
      </c>
      <c r="U126" s="265">
        <f>_xlfn.XLOOKUP(E126,'All Products'!D:D,'All Products'!P:P,FALSE)</f>
        <v>278.39999999999998</v>
      </c>
      <c r="V126" s="265">
        <f>_xlfn.XLOOKUP(E126,'All Products'!D:D,'All Products'!Q:Q,FALSE)</f>
        <v>53.333269333358928</v>
      </c>
    </row>
    <row r="127" spans="1:22" ht="40.5" customHeight="1">
      <c r="A127" s="101" t="str">
        <f>IF(K127&gt;0,COUNT($A$8:A126)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27" s="615"/>
      <c r="C127" s="615"/>
      <c r="D127" s="51" t="str">
        <f>_xlfn.XLOOKUP(E127,'All Products'!D:D,'All Products'!C:C,FALSE)</f>
        <v>35-1665</v>
      </c>
      <c r="E127" s="52">
        <v>300004419</v>
      </c>
      <c r="F127" s="53" t="str">
        <f>_xlfn.XLOOKUP(E127,'All Products'!D:D,'All Products'!E:E,FALSE)</f>
        <v>4 2-WAY C/O TEE GXGXDWV G SDR35</v>
      </c>
      <c r="G127" s="232">
        <f>_xlfn.XLOOKUP(E127,'All Products'!D:D,'All Products'!F:F,FALSE)</f>
        <v>1</v>
      </c>
      <c r="H127" s="232" t="str">
        <f>_xlfn.XLOOKUP(E127,'All Products'!D:D,'All Products'!G:G,FALSE)</f>
        <v>-</v>
      </c>
      <c r="I127" s="123" t="str">
        <f>_xlfn.XLOOKUP(E127,'All Products'!D:D,'All Products'!H:H,FALSE)</f>
        <v>Quote Required</v>
      </c>
      <c r="J127" s="130">
        <f>IFERROR(ROUNDUP(I127*Order_Quote!$L$15,2),0)</f>
        <v>0</v>
      </c>
      <c r="K127" s="118"/>
      <c r="L127" s="76"/>
      <c r="M127" s="114">
        <f t="shared" si="7"/>
        <v>0</v>
      </c>
      <c r="O127" s="215" t="str">
        <f>_xlfn.XLOOKUP(E127,'All Products'!D:D,'All Products'!I:I,FALSE)</f>
        <v>Within 6 Weeks</v>
      </c>
      <c r="P127" s="215" t="str">
        <f>_xlfn.XLOOKUP(E127,'All Products'!D:D,'All Products'!J:J,FALSE)</f>
        <v>Sourced</v>
      </c>
      <c r="Q127" s="266">
        <f>_xlfn.XLOOKUP(E127,'All Products'!D:D,'All Products'!K:K,FALSE)</f>
        <v>812361013779</v>
      </c>
      <c r="R127" s="266" t="str">
        <f>_xlfn.XLOOKUP(E127,'All Products'!D:D,'All Products'!L:L,FALSE)</f>
        <v>-</v>
      </c>
      <c r="S127" s="266" t="str">
        <f>_xlfn.XLOOKUP(E127,'All Products'!D:D,'All Products'!M:M,FALSE)</f>
        <v>-</v>
      </c>
      <c r="T127" s="264">
        <f>_xlfn.XLOOKUP(E127,'All Products'!D:D,'All Products'!N:N,FALSE)</f>
        <v>1</v>
      </c>
      <c r="U127" s="265">
        <f>_xlfn.XLOOKUP(E127,'All Products'!D:D,'All Products'!P:P,FALSE)</f>
        <v>1</v>
      </c>
      <c r="V127" s="265" t="str">
        <f>_xlfn.XLOOKUP(E127,'All Products'!D:D,'All Products'!Q:Q,FALSE)</f>
        <v>-</v>
      </c>
    </row>
    <row r="128" spans="1:22" ht="38.25" customHeight="1">
      <c r="A128" s="101" t="str">
        <f>IF(K128&gt;0,COUNT($A$8:A127)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28" s="615"/>
      <c r="C128" s="615"/>
      <c r="D128" s="51" t="str">
        <f>_xlfn.XLOOKUP(E128,'All Products'!D:D,'All Products'!C:C,FALSE)</f>
        <v>35-1610</v>
      </c>
      <c r="E128" s="52">
        <v>300004438</v>
      </c>
      <c r="F128" s="53" t="str">
        <f>_xlfn.XLOOKUP(E128,'All Products'!D:D,'All Products'!E:E,FALSE)</f>
        <v>4 TEMP PLUG SDR35</v>
      </c>
      <c r="G128" s="232">
        <f>_xlfn.XLOOKUP(E128,'All Products'!D:D,'All Products'!F:F,FALSE)</f>
        <v>36</v>
      </c>
      <c r="H128" s="232">
        <f>_xlfn.XLOOKUP(E128,'All Products'!D:D,'All Products'!G:G,FALSE)</f>
        <v>2250</v>
      </c>
      <c r="I128" s="123" t="str">
        <f>_xlfn.XLOOKUP(E128,'All Products'!D:D,'All Products'!H:H,FALSE)</f>
        <v>Quote Required</v>
      </c>
      <c r="J128" s="130">
        <f>IFERROR(ROUNDUP(I128*Order_Quote!$L$15,2),0)</f>
        <v>0</v>
      </c>
      <c r="K128" s="122"/>
      <c r="L128" s="76"/>
      <c r="M128" s="115">
        <f t="shared" si="7"/>
        <v>0</v>
      </c>
      <c r="O128" s="215" t="str">
        <f>_xlfn.XLOOKUP(E128,'All Products'!D:D,'All Products'!I:I,FALSE)</f>
        <v>Within 6 Weeks</v>
      </c>
      <c r="P128" s="215" t="str">
        <f>_xlfn.XLOOKUP(E128,'All Products'!D:D,'All Products'!J:J,FALSE)</f>
        <v>Sourced</v>
      </c>
      <c r="Q128" s="266">
        <f>_xlfn.XLOOKUP(E128,'All Products'!D:D,'All Products'!K:K,FALSE)</f>
        <v>810673017898</v>
      </c>
      <c r="R128" s="266" t="str">
        <f>_xlfn.XLOOKUP(E128,'All Products'!D:D,'All Products'!L:L,FALSE)</f>
        <v>-</v>
      </c>
      <c r="S128" s="266" t="str">
        <f>_xlfn.XLOOKUP(E128,'All Products'!D:D,'All Products'!M:M,FALSE)</f>
        <v>-</v>
      </c>
      <c r="T128" s="264">
        <f>_xlfn.XLOOKUP(E128,'All Products'!D:D,'All Products'!N:N,FALSE)</f>
        <v>0.15</v>
      </c>
      <c r="U128" s="265">
        <f>_xlfn.XLOOKUP(E128,'All Products'!D:D,'All Products'!P:P,FALSE)</f>
        <v>5.3999999999999995</v>
      </c>
      <c r="V128" s="265" t="str">
        <f>_xlfn.XLOOKUP(E128,'All Products'!D:D,'All Products'!Q:Q,FALSE)</f>
        <v>-</v>
      </c>
    </row>
    <row r="129" spans="1:22">
      <c r="A129" s="101" t="str">
        <f>IF(K129&gt;0,COUNT($A$8:A128)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29" s="615"/>
      <c r="C129" s="615"/>
      <c r="D129" s="51" t="str">
        <f>_xlfn.XLOOKUP(E129,'All Products'!D:D,'All Products'!C:C,FALSE)</f>
        <v>35-1613</v>
      </c>
      <c r="E129" s="52">
        <v>100029353</v>
      </c>
      <c r="F129" s="53" t="str">
        <f>_xlfn.XLOOKUP(E129,'All Products'!D:D,'All Products'!E:E,FALSE)</f>
        <v>4 PERMANENT PLUG SDR35</v>
      </c>
      <c r="G129" s="232">
        <f>_xlfn.XLOOKUP(E129,'All Products'!D:D,'All Products'!F:F,FALSE)</f>
        <v>24</v>
      </c>
      <c r="H129" s="232">
        <f>_xlfn.XLOOKUP(E129,'All Products'!D:D,'All Products'!G:G,FALSE)</f>
        <v>1080</v>
      </c>
      <c r="I129" s="123">
        <f>_xlfn.XLOOKUP(E129,'All Products'!D:D,'All Products'!H:H,FALSE)</f>
        <v>31.82</v>
      </c>
      <c r="J129" s="130">
        <f>IFERROR(ROUNDUP(I129*Order_Quote!$L$15,2),0)</f>
        <v>31.82</v>
      </c>
      <c r="K129" s="122"/>
      <c r="L129" s="76"/>
      <c r="M129" s="114">
        <f t="shared" si="7"/>
        <v>0</v>
      </c>
      <c r="O129" s="215" t="str">
        <f>_xlfn.XLOOKUP(E129,'All Products'!D:D,'All Products'!I:I,FALSE)</f>
        <v>In Stock</v>
      </c>
      <c r="P129" s="215" t="str">
        <f>_xlfn.XLOOKUP(E129,'All Products'!D:D,'All Products'!J:J,FALSE)</f>
        <v>Manufactured</v>
      </c>
      <c r="Q129" s="266">
        <f>_xlfn.XLOOKUP(E129,'All Products'!D:D,'All Products'!K:K,FALSE)</f>
        <v>810673018338</v>
      </c>
      <c r="R129" s="266" t="str">
        <f>_xlfn.XLOOKUP(E129,'All Products'!D:D,'All Products'!L:L,FALSE)</f>
        <v>-</v>
      </c>
      <c r="S129" s="266">
        <f>_xlfn.XLOOKUP(E129,'All Products'!D:D,'All Products'!M:M,FALSE)</f>
        <v>810673018345</v>
      </c>
      <c r="T129" s="264">
        <f>_xlfn.XLOOKUP(E129,'All Products'!D:D,'All Products'!N:N,FALSE)</f>
        <v>0.36099999999999999</v>
      </c>
      <c r="U129" s="265">
        <f>_xlfn.XLOOKUP(E129,'All Products'!D:D,'All Products'!P:P,FALSE)</f>
        <v>9.863999999999999</v>
      </c>
      <c r="V129" s="265">
        <f>_xlfn.XLOOKUP(E129,'All Products'!D:D,'All Products'!Q:Q,FALSE)</f>
        <v>0.98955954024750914</v>
      </c>
    </row>
    <row r="130" spans="1:22">
      <c r="A130" s="101" t="str">
        <f>IF(K130&gt;0,COUNT($A$8:A129)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30" s="615"/>
      <c r="C130" s="615"/>
      <c r="D130" s="51" t="str">
        <f>_xlfn.XLOOKUP(E130,'All Products'!D:D,'All Products'!C:C,FALSE)</f>
        <v>35-1614</v>
      </c>
      <c r="E130" s="52">
        <v>100029354</v>
      </c>
      <c r="F130" s="53" t="str">
        <f>_xlfn.XLOOKUP(E130,'All Products'!D:D,'All Products'!E:E,FALSE)</f>
        <v>6 PERMANENT PLUG SDR35</v>
      </c>
      <c r="G130" s="232">
        <f>_xlfn.XLOOKUP(E130,'All Products'!D:D,'All Products'!F:F,FALSE)</f>
        <v>18</v>
      </c>
      <c r="H130" s="232">
        <f>_xlfn.XLOOKUP(E130,'All Products'!D:D,'All Products'!G:G,FALSE)</f>
        <v>432</v>
      </c>
      <c r="I130" s="123">
        <f>_xlfn.XLOOKUP(E130,'All Products'!D:D,'All Products'!H:H,FALSE)</f>
        <v>48.77</v>
      </c>
      <c r="J130" s="130">
        <f>IFERROR(ROUNDUP(I130*Order_Quote!$L$15,2),0)</f>
        <v>48.77</v>
      </c>
      <c r="K130" s="118"/>
      <c r="L130" s="76"/>
      <c r="M130" s="115">
        <f t="shared" si="7"/>
        <v>0</v>
      </c>
      <c r="O130" s="215" t="str">
        <f>_xlfn.XLOOKUP(E130,'All Products'!D:D,'All Products'!I:I,FALSE)</f>
        <v>In Stock</v>
      </c>
      <c r="P130" s="215" t="str">
        <f>_xlfn.XLOOKUP(E130,'All Products'!D:D,'All Products'!J:J,FALSE)</f>
        <v>Manufactured</v>
      </c>
      <c r="Q130" s="266">
        <f>_xlfn.XLOOKUP(E130,'All Products'!D:D,'All Products'!K:K,FALSE)</f>
        <v>810673018352</v>
      </c>
      <c r="R130" s="266" t="str">
        <f>_xlfn.XLOOKUP(E130,'All Products'!D:D,'All Products'!L:L,FALSE)</f>
        <v>-</v>
      </c>
      <c r="S130" s="266">
        <f>_xlfn.XLOOKUP(E130,'All Products'!D:D,'All Products'!M:M,FALSE)</f>
        <v>812361012277</v>
      </c>
      <c r="T130" s="264">
        <f>_xlfn.XLOOKUP(E130,'All Products'!D:D,'All Products'!N:N,FALSE)</f>
        <v>1.0469999999999999</v>
      </c>
      <c r="U130" s="265">
        <f>_xlfn.XLOOKUP(E130,'All Products'!D:D,'All Products'!P:P,FALSE)</f>
        <v>21.042000000000002</v>
      </c>
      <c r="V130" s="265">
        <f>_xlfn.XLOOKUP(E130,'All Products'!D:D,'All Products'!Q:Q,FALSE)</f>
        <v>1.8803145838984718</v>
      </c>
    </row>
    <row r="131" spans="1:22">
      <c r="A131" s="101" t="str">
        <f>IF(K131&gt;0,COUNT($A$8:A130)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31" s="615"/>
      <c r="C131" s="615"/>
      <c r="D131" s="51" t="str">
        <f>_xlfn.XLOOKUP(E131,'All Products'!D:D,'All Products'!C:C,FALSE)</f>
        <v>35-1615</v>
      </c>
      <c r="E131" s="52">
        <v>100029355</v>
      </c>
      <c r="F131" s="53" t="str">
        <f>_xlfn.XLOOKUP(E131,'All Products'!D:D,'All Products'!E:E,FALSE)</f>
        <v>8 PERMANENT PLUG SDR35</v>
      </c>
      <c r="G131" s="232">
        <f>_xlfn.XLOOKUP(E131,'All Products'!D:D,'All Products'!F:F,FALSE)</f>
        <v>9</v>
      </c>
      <c r="H131" s="232">
        <f>_xlfn.XLOOKUP(E131,'All Products'!D:D,'All Products'!G:G,FALSE)</f>
        <v>162</v>
      </c>
      <c r="I131" s="123">
        <f>_xlfn.XLOOKUP(E131,'All Products'!D:D,'All Products'!H:H,FALSE)</f>
        <v>172.85</v>
      </c>
      <c r="J131" s="130">
        <f>IFERROR(ROUNDUP(I131*Order_Quote!$L$15,2),0)</f>
        <v>172.85</v>
      </c>
      <c r="K131" s="118"/>
      <c r="L131" s="76"/>
      <c r="M131" s="114">
        <f t="shared" si="7"/>
        <v>0</v>
      </c>
      <c r="O131" s="215" t="str">
        <f>_xlfn.XLOOKUP(E131,'All Products'!D:D,'All Products'!I:I,FALSE)</f>
        <v>Within 3 Weeks</v>
      </c>
      <c r="P131" s="215" t="str">
        <f>_xlfn.XLOOKUP(E131,'All Products'!D:D,'All Products'!J:J,FALSE)</f>
        <v>Manufactured</v>
      </c>
      <c r="Q131" s="266">
        <f>_xlfn.XLOOKUP(E131,'All Products'!D:D,'All Products'!K:K,FALSE)</f>
        <v>810673018376</v>
      </c>
      <c r="R131" s="266" t="str">
        <f>_xlfn.XLOOKUP(E131,'All Products'!D:D,'All Products'!L:L,FALSE)</f>
        <v>-</v>
      </c>
      <c r="S131" s="266">
        <f>_xlfn.XLOOKUP(E131,'All Products'!D:D,'All Products'!M:M,FALSE)</f>
        <v>812361012376</v>
      </c>
      <c r="T131" s="264">
        <f>_xlfn.XLOOKUP(E131,'All Products'!D:D,'All Products'!N:N,FALSE)</f>
        <v>2.17</v>
      </c>
      <c r="U131" s="265">
        <f>_xlfn.XLOOKUP(E131,'All Products'!D:D,'All Products'!P:P,FALSE)</f>
        <v>21.384</v>
      </c>
      <c r="V131" s="265">
        <f>_xlfn.XLOOKUP(E131,'All Products'!D:D,'All Products'!Q:Q,FALSE)</f>
        <v>2.361325291407383</v>
      </c>
    </row>
    <row r="132" spans="1:22">
      <c r="A132" s="101" t="str">
        <f>IF(K132&gt;0,COUNT($A$8:A131)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32" s="615"/>
      <c r="C132" s="615"/>
      <c r="D132" s="51" t="str">
        <f>_xlfn.XLOOKUP(E132,'All Products'!D:D,'All Products'!C:C,FALSE)</f>
        <v>35-224</v>
      </c>
      <c r="E132" s="52">
        <v>300005844</v>
      </c>
      <c r="F132" s="53" t="str">
        <f>_xlfn.XLOOKUP(E132,'All Products'!D:D,'All Products'!E:E,FALSE)</f>
        <v>10 PERMANENT PLUG SDR35</v>
      </c>
      <c r="G132" s="232">
        <f>_xlfn.XLOOKUP(E132,'All Products'!D:D,'All Products'!F:F,FALSE)</f>
        <v>1</v>
      </c>
      <c r="H132" s="232">
        <f>_xlfn.XLOOKUP(E132,'All Products'!D:D,'All Products'!G:G,FALSE)</f>
        <v>72</v>
      </c>
      <c r="I132" s="123" t="str">
        <f>_xlfn.XLOOKUP(E132,'All Products'!D:D,'All Products'!H:H,FALSE)</f>
        <v>Quote Required</v>
      </c>
      <c r="J132" s="130">
        <f>IFERROR(ROUNDUP(I132*Order_Quote!$L$15,2),0)</f>
        <v>0</v>
      </c>
      <c r="K132" s="118"/>
      <c r="L132" s="76"/>
      <c r="M132" s="114">
        <f t="shared" si="7"/>
        <v>0</v>
      </c>
      <c r="O132" s="215" t="str">
        <f>_xlfn.XLOOKUP(E132,'All Products'!D:D,'All Products'!I:I,FALSE)</f>
        <v>Within 6 Weeks</v>
      </c>
      <c r="P132" s="215" t="str">
        <f>_xlfn.XLOOKUP(E132,'All Products'!D:D,'All Products'!J:J,FALSE)</f>
        <v>Sourced</v>
      </c>
      <c r="Q132" s="266">
        <f>_xlfn.XLOOKUP(E132,'All Products'!D:D,'All Products'!K:K,FALSE)</f>
        <v>810673018390</v>
      </c>
      <c r="R132" s="266" t="str">
        <f>_xlfn.XLOOKUP(E132,'All Products'!D:D,'All Products'!L:L,FALSE)</f>
        <v>-</v>
      </c>
      <c r="S132" s="266" t="str">
        <f>_xlfn.XLOOKUP(E132,'All Products'!D:D,'All Products'!M:M,FALSE)</f>
        <v>-</v>
      </c>
      <c r="T132" s="264">
        <f>_xlfn.XLOOKUP(E132,'All Products'!D:D,'All Products'!N:N,FALSE)</f>
        <v>4.4000000000000004</v>
      </c>
      <c r="U132" s="265">
        <f>_xlfn.XLOOKUP(E132,'All Products'!D:D,'All Products'!P:P,FALSE)</f>
        <v>4.4000000000000004</v>
      </c>
      <c r="V132" s="265" t="str">
        <f>_xlfn.XLOOKUP(E132,'All Products'!D:D,'All Products'!Q:Q,FALSE)</f>
        <v>-</v>
      </c>
    </row>
    <row r="133" spans="1:22" ht="15" thickBot="1">
      <c r="A133" s="101" t="str">
        <f>IF(K133&gt;0,COUNT($A$8:A132)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33" s="615"/>
      <c r="C133" s="615"/>
      <c r="D133" s="51" t="str">
        <f>_xlfn.XLOOKUP(E133,'All Products'!D:D,'All Products'!C:C,FALSE)</f>
        <v>35-225</v>
      </c>
      <c r="E133" s="52">
        <v>300005849</v>
      </c>
      <c r="F133" s="53" t="str">
        <f>_xlfn.XLOOKUP(E133,'All Products'!D:D,'All Products'!E:E,FALSE)</f>
        <v>12 PERMANENT PLUG SDR35</v>
      </c>
      <c r="G133" s="232">
        <f>_xlfn.XLOOKUP(E133,'All Products'!D:D,'All Products'!F:F,FALSE)</f>
        <v>2</v>
      </c>
      <c r="H133" s="232">
        <f>_xlfn.XLOOKUP(E133,'All Products'!D:D,'All Products'!G:G,FALSE)</f>
        <v>36</v>
      </c>
      <c r="I133" s="123" t="str">
        <f>_xlfn.XLOOKUP(E133,'All Products'!D:D,'All Products'!H:H,FALSE)</f>
        <v>Quote Required</v>
      </c>
      <c r="J133" s="130">
        <f>IFERROR(ROUNDUP(I133*Order_Quote!$L$15,2),0)</f>
        <v>0</v>
      </c>
      <c r="K133" s="118"/>
      <c r="L133" s="76"/>
      <c r="M133" s="114">
        <f t="shared" si="7"/>
        <v>0</v>
      </c>
      <c r="O133" s="215" t="str">
        <f>_xlfn.XLOOKUP(E133,'All Products'!D:D,'All Products'!I:I,FALSE)</f>
        <v>Within 6 Weeks</v>
      </c>
      <c r="P133" s="215" t="str">
        <f>_xlfn.XLOOKUP(E133,'All Products'!D:D,'All Products'!J:J,FALSE)</f>
        <v>Sourced</v>
      </c>
      <c r="Q133" s="266">
        <f>_xlfn.XLOOKUP(E133,'All Products'!D:D,'All Products'!K:K,FALSE)</f>
        <v>810673018413</v>
      </c>
      <c r="R133" s="266" t="str">
        <f>_xlfn.XLOOKUP(E133,'All Products'!D:D,'All Products'!L:L,FALSE)</f>
        <v>-</v>
      </c>
      <c r="S133" s="266" t="str">
        <f>_xlfn.XLOOKUP(E133,'All Products'!D:D,'All Products'!M:M,FALSE)</f>
        <v>-</v>
      </c>
      <c r="T133" s="264">
        <f>_xlfn.XLOOKUP(E133,'All Products'!D:D,'All Products'!N:N,FALSE)</f>
        <v>8.57</v>
      </c>
      <c r="U133" s="265">
        <f>_xlfn.XLOOKUP(E133,'All Products'!D:D,'All Products'!P:P,FALSE)</f>
        <v>17.14</v>
      </c>
      <c r="V133" s="265" t="str">
        <f>_xlfn.XLOOKUP(E133,'All Products'!D:D,'All Products'!Q:Q,FALSE)</f>
        <v>-</v>
      </c>
    </row>
    <row r="134" spans="1:22" s="17" customFormat="1" ht="16.2" thickBot="1">
      <c r="A134" s="101" t="str">
        <f>IF(K134&gt;0,COUNT($A$8:A133)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34" s="501" t="s">
        <v>5852</v>
      </c>
      <c r="C134" s="151"/>
      <c r="D134" s="151"/>
      <c r="E134" s="459"/>
      <c r="F134" s="151"/>
      <c r="G134" s="468"/>
      <c r="H134" s="151"/>
      <c r="I134" s="472"/>
      <c r="J134" s="468"/>
      <c r="K134" s="477"/>
      <c r="L134" s="238"/>
      <c r="M134" s="476"/>
      <c r="O134" s="494"/>
      <c r="P134" s="478"/>
      <c r="Q134" s="492"/>
      <c r="R134" s="492"/>
      <c r="S134" s="492"/>
      <c r="T134" s="495"/>
      <c r="U134" s="496"/>
      <c r="V134" s="497"/>
    </row>
    <row r="135" spans="1:22">
      <c r="A135" s="101" t="str">
        <f>IF(K135&gt;0,COUNT($A$8:A134)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35" s="615"/>
      <c r="C135" s="615"/>
      <c r="D135" s="51" t="str">
        <f>_xlfn.XLOOKUP(E135,'All Products'!D:D,'All Products'!C:C,FALSE)</f>
        <v>35-1579</v>
      </c>
      <c r="E135" s="52">
        <v>100030996</v>
      </c>
      <c r="F135" s="53" t="str">
        <f>_xlfn.XLOOKUP(E135,'All Products'!D:D,'All Products'!E:E,FALSE)</f>
        <v>6X4 SADDLE TEE SDR35</v>
      </c>
      <c r="G135" s="232">
        <f>_xlfn.XLOOKUP(E135,'All Products'!D:D,'All Products'!F:F,FALSE)</f>
        <v>12</v>
      </c>
      <c r="H135" s="232">
        <f>_xlfn.XLOOKUP(E135,'All Products'!D:D,'All Products'!G:G,FALSE)</f>
        <v>384</v>
      </c>
      <c r="I135" s="123">
        <f>_xlfn.XLOOKUP(E135,'All Products'!D:D,'All Products'!H:H,FALSE)</f>
        <v>185.56</v>
      </c>
      <c r="J135" s="130">
        <f>IFERROR(ROUNDUP(I135*Order_Quote!$L$15,2),0)</f>
        <v>185.56</v>
      </c>
      <c r="K135" s="122"/>
      <c r="L135" s="76"/>
      <c r="M135" s="114">
        <f t="shared" ref="M135:M141" si="8">K135/G135</f>
        <v>0</v>
      </c>
      <c r="O135" s="215" t="str">
        <f>_xlfn.XLOOKUP(E135,'All Products'!D:D,'All Products'!I:I,FALSE)</f>
        <v>Within 3 Weeks</v>
      </c>
      <c r="P135" s="215" t="str">
        <f>_xlfn.XLOOKUP(E135,'All Products'!D:D,'All Products'!J:J,FALSE)</f>
        <v>Manufactured</v>
      </c>
      <c r="Q135" s="266">
        <f>_xlfn.XLOOKUP(E135,'All Products'!D:D,'All Products'!K:K,FALSE)</f>
        <v>810673017119</v>
      </c>
      <c r="R135" s="266" t="str">
        <f>_xlfn.XLOOKUP(E135,'All Products'!D:D,'All Products'!L:L,FALSE)</f>
        <v>-</v>
      </c>
      <c r="S135" s="266">
        <f>_xlfn.XLOOKUP(E135,'All Products'!D:D,'All Products'!M:M,FALSE)</f>
        <v>812361018705</v>
      </c>
      <c r="T135" s="264">
        <f>_xlfn.XLOOKUP(E135,'All Products'!D:D,'All Products'!N:N,FALSE)</f>
        <v>0.97799999999999998</v>
      </c>
      <c r="U135" s="265">
        <f>_xlfn.XLOOKUP(E135,'All Products'!D:D,'All Products'!P:P,FALSE)</f>
        <v>13.776</v>
      </c>
      <c r="V135" s="265">
        <f>_xlfn.XLOOKUP(E135,'All Products'!D:D,'All Products'!Q:Q,FALSE)</f>
        <v>1.3788503419060438</v>
      </c>
    </row>
    <row r="136" spans="1:22">
      <c r="A136" s="101" t="str">
        <f>IF(K136&gt;0,COUNT($A$8:A135)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36" s="615"/>
      <c r="C136" s="615"/>
      <c r="D136" s="51" t="str">
        <f>_xlfn.XLOOKUP(E136,'All Products'!D:D,'All Products'!C:C,FALSE)</f>
        <v>35-245</v>
      </c>
      <c r="E136" s="52">
        <v>100029309</v>
      </c>
      <c r="F136" s="53" t="str">
        <f>_xlfn.XLOOKUP(E136,'All Products'!D:D,'All Products'!E:E,FALSE)</f>
        <v>8X4 SADDLE TEE SDR35</v>
      </c>
      <c r="G136" s="232">
        <f>_xlfn.XLOOKUP(E136,'All Products'!D:D,'All Products'!F:F,FALSE)</f>
        <v>10</v>
      </c>
      <c r="H136" s="232">
        <f>_xlfn.XLOOKUP(E136,'All Products'!D:D,'All Products'!G:G,FALSE)</f>
        <v>320</v>
      </c>
      <c r="I136" s="123">
        <f>_xlfn.XLOOKUP(E136,'All Products'!D:D,'All Products'!H:H,FALSE)</f>
        <v>233.11</v>
      </c>
      <c r="J136" s="130">
        <f>IFERROR(ROUNDUP(I136*Order_Quote!$L$15,2),0)</f>
        <v>233.11</v>
      </c>
      <c r="K136" s="118"/>
      <c r="L136" s="76"/>
      <c r="M136" s="115">
        <f t="shared" si="8"/>
        <v>0</v>
      </c>
      <c r="O136" s="215" t="str">
        <f>_xlfn.XLOOKUP(E136,'All Products'!D:D,'All Products'!I:I,FALSE)</f>
        <v>In Stock</v>
      </c>
      <c r="P136" s="215" t="str">
        <f>_xlfn.XLOOKUP(E136,'All Products'!D:D,'All Products'!J:J,FALSE)</f>
        <v>Manufactured</v>
      </c>
      <c r="Q136" s="266">
        <f>_xlfn.XLOOKUP(E136,'All Products'!D:D,'All Products'!K:K,FALSE)</f>
        <v>810673017133</v>
      </c>
      <c r="R136" s="266" t="str">
        <f>_xlfn.XLOOKUP(E136,'All Products'!D:D,'All Products'!L:L,FALSE)</f>
        <v>-</v>
      </c>
      <c r="S136" s="266">
        <f>_xlfn.XLOOKUP(E136,'All Products'!D:D,'All Products'!M:M,FALSE)</f>
        <v>810673017133</v>
      </c>
      <c r="T136" s="264">
        <f>_xlfn.XLOOKUP(E136,'All Products'!D:D,'All Products'!N:N,FALSE)</f>
        <v>1.1319999999999999</v>
      </c>
      <c r="U136" s="265">
        <f>_xlfn.XLOOKUP(E136,'All Products'!D:D,'All Products'!P:P,FALSE)</f>
        <v>13.37</v>
      </c>
      <c r="V136" s="265">
        <f>_xlfn.XLOOKUP(E136,'All Products'!D:D,'All Products'!Q:Q,FALSE)</f>
        <v>1.3788503419060438</v>
      </c>
    </row>
    <row r="137" spans="1:22">
      <c r="A137" s="101" t="str">
        <f>IF(K137&gt;0,COUNT($A$8:A136)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37" s="615"/>
      <c r="C137" s="615"/>
      <c r="D137" s="51" t="str">
        <f>_xlfn.XLOOKUP(E137,'All Products'!D:D,'All Products'!C:C,FALSE)</f>
        <v>35-246</v>
      </c>
      <c r="E137" s="52">
        <v>100030926</v>
      </c>
      <c r="F137" s="53" t="str">
        <f>_xlfn.XLOOKUP(E137,'All Products'!D:D,'All Products'!E:E,FALSE)</f>
        <v>8X6 SADDLE TEE SDR35</v>
      </c>
      <c r="G137" s="232">
        <f>_xlfn.XLOOKUP(E137,'All Products'!D:D,'All Products'!F:F,FALSE)</f>
        <v>4</v>
      </c>
      <c r="H137" s="232">
        <f>_xlfn.XLOOKUP(E137,'All Products'!D:D,'All Products'!G:G,FALSE)</f>
        <v>96</v>
      </c>
      <c r="I137" s="123">
        <f>_xlfn.XLOOKUP(E137,'All Products'!D:D,'All Products'!H:H,FALSE)</f>
        <v>267.01</v>
      </c>
      <c r="J137" s="130">
        <f>IFERROR(ROUNDUP(I137*Order_Quote!$L$15,2),0)</f>
        <v>267.01</v>
      </c>
      <c r="K137" s="118"/>
      <c r="L137" s="76"/>
      <c r="M137" s="114">
        <f t="shared" si="8"/>
        <v>0</v>
      </c>
      <c r="O137" s="215" t="str">
        <f>_xlfn.XLOOKUP(E137,'All Products'!D:D,'All Products'!I:I,FALSE)</f>
        <v>In Stock</v>
      </c>
      <c r="P137" s="215" t="str">
        <f>_xlfn.XLOOKUP(E137,'All Products'!D:D,'All Products'!J:J,FALSE)</f>
        <v>Manufactured</v>
      </c>
      <c r="Q137" s="266">
        <f>_xlfn.XLOOKUP(E137,'All Products'!D:D,'All Products'!K:K,FALSE)</f>
        <v>810673017157</v>
      </c>
      <c r="R137" s="266" t="str">
        <f>_xlfn.XLOOKUP(E137,'All Products'!D:D,'All Products'!L:L,FALSE)</f>
        <v>-</v>
      </c>
      <c r="S137" s="266">
        <f>_xlfn.XLOOKUP(E137,'All Products'!D:D,'All Products'!M:M,FALSE)</f>
        <v>812361016312</v>
      </c>
      <c r="T137" s="264">
        <f>_xlfn.XLOOKUP(E137,'All Products'!D:D,'All Products'!N:N,FALSE)</f>
        <v>2.637</v>
      </c>
      <c r="U137" s="265">
        <f>_xlfn.XLOOKUP(E137,'All Products'!D:D,'All Products'!P:P,FALSE)</f>
        <v>12.72</v>
      </c>
      <c r="V137" s="265">
        <f>_xlfn.XLOOKUP(E137,'All Products'!D:D,'All Products'!Q:Q,FALSE)</f>
        <v>1.8803145838984718</v>
      </c>
    </row>
    <row r="138" spans="1:22">
      <c r="A138" s="101" t="str">
        <f>IF(K138&gt;0,COUNT($A$8:A137)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38" s="615"/>
      <c r="C138" s="615"/>
      <c r="D138" s="51" t="str">
        <f>_xlfn.XLOOKUP(E138,'All Products'!D:D,'All Products'!C:C,FALSE)</f>
        <v>35-247</v>
      </c>
      <c r="E138" s="52">
        <v>100029334</v>
      </c>
      <c r="F138" s="53" t="str">
        <f>_xlfn.XLOOKUP(E138,'All Products'!D:D,'All Products'!E:E,FALSE)</f>
        <v>10X4 SADDLE TEE SDR35</v>
      </c>
      <c r="G138" s="232">
        <f>_xlfn.XLOOKUP(E138,'All Products'!D:D,'All Products'!F:F,FALSE)</f>
        <v>6</v>
      </c>
      <c r="H138" s="232">
        <f>_xlfn.XLOOKUP(E138,'All Products'!D:D,'All Products'!G:G,FALSE)</f>
        <v>192</v>
      </c>
      <c r="I138" s="123">
        <f>_xlfn.XLOOKUP(E138,'All Products'!D:D,'All Products'!H:H,FALSE)</f>
        <v>412.09</v>
      </c>
      <c r="J138" s="130">
        <f>IFERROR(ROUNDUP(I138*Order_Quote!$L$15,2),0)</f>
        <v>412.09</v>
      </c>
      <c r="K138" s="118"/>
      <c r="L138" s="76"/>
      <c r="M138" s="114">
        <f t="shared" si="8"/>
        <v>0</v>
      </c>
      <c r="O138" s="215" t="str">
        <f>_xlfn.XLOOKUP(E138,'All Products'!D:D,'All Products'!I:I,FALSE)</f>
        <v>Within 3 Weeks</v>
      </c>
      <c r="P138" s="215" t="str">
        <f>_xlfn.XLOOKUP(E138,'All Products'!D:D,'All Products'!J:J,FALSE)</f>
        <v>Manufactured</v>
      </c>
      <c r="Q138" s="266">
        <f>_xlfn.XLOOKUP(E138,'All Products'!D:D,'All Products'!K:K,FALSE)</f>
        <v>810673017171</v>
      </c>
      <c r="R138" s="266" t="str">
        <f>_xlfn.XLOOKUP(E138,'All Products'!D:D,'All Products'!L:L,FALSE)</f>
        <v>-</v>
      </c>
      <c r="S138" s="266">
        <f>_xlfn.XLOOKUP(E138,'All Products'!D:D,'All Products'!M:M,FALSE)</f>
        <v>812361015520</v>
      </c>
      <c r="T138" s="264">
        <f>_xlfn.XLOOKUP(E138,'All Products'!D:D,'All Products'!N:N,FALSE)</f>
        <v>1.6359999999999999</v>
      </c>
      <c r="U138" s="265">
        <f>_xlfn.XLOOKUP(E138,'All Products'!D:D,'All Products'!P:P,FALSE)</f>
        <v>11.868</v>
      </c>
      <c r="V138" s="265">
        <f>_xlfn.XLOOKUP(E138,'All Products'!D:D,'All Products'!Q:Q,FALSE)</f>
        <v>1.3788503419060438</v>
      </c>
    </row>
    <row r="139" spans="1:22">
      <c r="A139" s="101" t="str">
        <f>IF(K139&gt;0,COUNT($A$8:A138)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39" s="615"/>
      <c r="C139" s="615"/>
      <c r="D139" s="51" t="str">
        <f>_xlfn.XLOOKUP(E139,'All Products'!D:D,'All Products'!C:C,FALSE)</f>
        <v>35-248</v>
      </c>
      <c r="E139" s="52">
        <v>300003499</v>
      </c>
      <c r="F139" s="53" t="str">
        <f>_xlfn.XLOOKUP(E139,'All Products'!D:D,'All Products'!E:E,FALSE)</f>
        <v>10X6 SADDLE TEE SDR35</v>
      </c>
      <c r="G139" s="232">
        <f>_xlfn.XLOOKUP(E139,'All Products'!D:D,'All Products'!F:F,FALSE)</f>
        <v>4</v>
      </c>
      <c r="H139" s="232">
        <f>_xlfn.XLOOKUP(E139,'All Products'!D:D,'All Products'!G:G,FALSE)</f>
        <v>96</v>
      </c>
      <c r="I139" s="123" t="str">
        <f>_xlfn.XLOOKUP(E139,'All Products'!D:D,'All Products'!H:H,FALSE)</f>
        <v>Quote Required</v>
      </c>
      <c r="J139" s="130">
        <f>IFERROR(ROUNDUP(I139*Order_Quote!$L$15,2),0)</f>
        <v>0</v>
      </c>
      <c r="K139" s="118"/>
      <c r="L139" s="76"/>
      <c r="M139" s="114">
        <f t="shared" si="8"/>
        <v>0</v>
      </c>
      <c r="O139" s="215" t="str">
        <f>_xlfn.XLOOKUP(E139,'All Products'!D:D,'All Products'!I:I,FALSE)</f>
        <v>Within 6 Weeks</v>
      </c>
      <c r="P139" s="215" t="str">
        <f>_xlfn.XLOOKUP(E139,'All Products'!D:D,'All Products'!J:J,FALSE)</f>
        <v>Sourced</v>
      </c>
      <c r="Q139" s="266">
        <f>_xlfn.XLOOKUP(E139,'All Products'!D:D,'All Products'!K:K,FALSE)</f>
        <v>810673017195</v>
      </c>
      <c r="R139" s="266" t="str">
        <f>_xlfn.XLOOKUP(E139,'All Products'!D:D,'All Products'!L:L,FALSE)</f>
        <v>-</v>
      </c>
      <c r="S139" s="266" t="str">
        <f>_xlfn.XLOOKUP(E139,'All Products'!D:D,'All Products'!M:M,FALSE)</f>
        <v>-</v>
      </c>
      <c r="T139" s="264">
        <f>_xlfn.XLOOKUP(E139,'All Products'!D:D,'All Products'!N:N,FALSE)</f>
        <v>3.3330000000000002</v>
      </c>
      <c r="U139" s="265">
        <f>_xlfn.XLOOKUP(E139,'All Products'!D:D,'All Products'!P:P,FALSE)</f>
        <v>13.332000000000001</v>
      </c>
      <c r="V139" s="265" t="str">
        <f>_xlfn.XLOOKUP(E139,'All Products'!D:D,'All Products'!Q:Q,FALSE)</f>
        <v>-</v>
      </c>
    </row>
    <row r="140" spans="1:22">
      <c r="A140" s="101" t="str">
        <f>IF(K140&gt;0,COUNT($A$8:A139)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40" s="615"/>
      <c r="C140" s="615"/>
      <c r="D140" s="51" t="str">
        <f>_xlfn.XLOOKUP(E140,'All Products'!D:D,'All Products'!C:C,FALSE)</f>
        <v>35-250</v>
      </c>
      <c r="E140" s="52">
        <v>300003556</v>
      </c>
      <c r="F140" s="53" t="str">
        <f>_xlfn.XLOOKUP(E140,'All Products'!D:D,'All Products'!E:E,FALSE)</f>
        <v>12X4 SADDLE TEE SDR35</v>
      </c>
      <c r="G140" s="232">
        <f>_xlfn.XLOOKUP(E140,'All Products'!D:D,'All Products'!F:F,FALSE)</f>
        <v>6</v>
      </c>
      <c r="H140" s="232">
        <f>_xlfn.XLOOKUP(E140,'All Products'!D:D,'All Products'!G:G,FALSE)</f>
        <v>192</v>
      </c>
      <c r="I140" s="123" t="str">
        <f>_xlfn.XLOOKUP(E140,'All Products'!D:D,'All Products'!H:H,FALSE)</f>
        <v>Quote Required</v>
      </c>
      <c r="J140" s="130">
        <f>IFERROR(ROUNDUP(I140*Order_Quote!$L$15,2),0)</f>
        <v>0</v>
      </c>
      <c r="K140" s="118"/>
      <c r="L140" s="76"/>
      <c r="M140" s="115">
        <f t="shared" si="8"/>
        <v>0</v>
      </c>
      <c r="O140" s="215" t="str">
        <f>_xlfn.XLOOKUP(E140,'All Products'!D:D,'All Products'!I:I,FALSE)</f>
        <v>Within 6 Weeks</v>
      </c>
      <c r="P140" s="215" t="str">
        <f>_xlfn.XLOOKUP(E140,'All Products'!D:D,'All Products'!J:J,FALSE)</f>
        <v>Sourced</v>
      </c>
      <c r="Q140" s="266">
        <f>_xlfn.XLOOKUP(E140,'All Products'!D:D,'All Products'!K:K,FALSE)</f>
        <v>810673017218</v>
      </c>
      <c r="R140" s="266" t="str">
        <f>_xlfn.XLOOKUP(E140,'All Products'!D:D,'All Products'!L:L,FALSE)</f>
        <v>-</v>
      </c>
      <c r="S140" s="266" t="str">
        <f>_xlfn.XLOOKUP(E140,'All Products'!D:D,'All Products'!M:M,FALSE)</f>
        <v>-</v>
      </c>
      <c r="T140" s="264">
        <f>_xlfn.XLOOKUP(E140,'All Products'!D:D,'All Products'!N:N,FALSE)</f>
        <v>1.1399999999999999</v>
      </c>
      <c r="U140" s="265">
        <f>_xlfn.XLOOKUP(E140,'All Products'!D:D,'All Products'!P:P,FALSE)</f>
        <v>6.84</v>
      </c>
      <c r="V140" s="265" t="str">
        <f>_xlfn.XLOOKUP(E140,'All Products'!D:D,'All Products'!Q:Q,FALSE)</f>
        <v>-</v>
      </c>
    </row>
    <row r="141" spans="1:22">
      <c r="A141" s="101" t="str">
        <f>IF(K141&gt;0,COUNT($A$8:A140)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41" s="615"/>
      <c r="C141" s="615"/>
      <c r="D141" s="51" t="str">
        <f>_xlfn.XLOOKUP(E141,'All Products'!D:D,'All Products'!C:C,FALSE)</f>
        <v>35-251</v>
      </c>
      <c r="E141" s="52">
        <v>300003570</v>
      </c>
      <c r="F141" s="53" t="str">
        <f>_xlfn.XLOOKUP(E141,'All Products'!D:D,'All Products'!E:E,FALSE)</f>
        <v>12X6 SADDLE TEE SDR35</v>
      </c>
      <c r="G141" s="232">
        <f>_xlfn.XLOOKUP(E141,'All Products'!D:D,'All Products'!F:F,FALSE)</f>
        <v>4</v>
      </c>
      <c r="H141" s="232">
        <f>_xlfn.XLOOKUP(E141,'All Products'!D:D,'All Products'!G:G,FALSE)</f>
        <v>96</v>
      </c>
      <c r="I141" s="123" t="str">
        <f>_xlfn.XLOOKUP(E141,'All Products'!D:D,'All Products'!H:H,FALSE)</f>
        <v>Quote Required</v>
      </c>
      <c r="J141" s="130">
        <f>IFERROR(ROUNDUP(I141*Order_Quote!$L$15,2),0)</f>
        <v>0</v>
      </c>
      <c r="K141" s="118"/>
      <c r="L141" s="76"/>
      <c r="M141" s="114">
        <f t="shared" si="8"/>
        <v>0</v>
      </c>
      <c r="O141" s="215" t="str">
        <f>_xlfn.XLOOKUP(E141,'All Products'!D:D,'All Products'!I:I,FALSE)</f>
        <v>Within 6 Weeks</v>
      </c>
      <c r="P141" s="215" t="str">
        <f>_xlfn.XLOOKUP(E141,'All Products'!D:D,'All Products'!J:J,FALSE)</f>
        <v>Sourced</v>
      </c>
      <c r="Q141" s="266">
        <f>_xlfn.XLOOKUP(E141,'All Products'!D:D,'All Products'!K:K,FALSE)</f>
        <v>810673017232</v>
      </c>
      <c r="R141" s="266" t="str">
        <f>_xlfn.XLOOKUP(E141,'All Products'!D:D,'All Products'!L:L,FALSE)</f>
        <v>-</v>
      </c>
      <c r="S141" s="266" t="str">
        <f>_xlfn.XLOOKUP(E141,'All Products'!D:D,'All Products'!M:M,FALSE)</f>
        <v>-</v>
      </c>
      <c r="T141" s="264">
        <f>_xlfn.XLOOKUP(E141,'All Products'!D:D,'All Products'!N:N,FALSE)</f>
        <v>2.15</v>
      </c>
      <c r="U141" s="265">
        <f>_xlfn.XLOOKUP(E141,'All Products'!D:D,'All Products'!P:P,FALSE)</f>
        <v>8.6</v>
      </c>
      <c r="V141" s="265" t="str">
        <f>_xlfn.XLOOKUP(E141,'All Products'!D:D,'All Products'!Q:Q,FALSE)</f>
        <v>-</v>
      </c>
    </row>
    <row r="142" spans="1:22">
      <c r="A142" s="101" t="str">
        <f>IF(K142&gt;0,COUNT($A$8:A141)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42" s="615"/>
      <c r="C142" s="615"/>
      <c r="D142" s="51" t="str">
        <f>_xlfn.XLOOKUP(E142,'All Products'!D:D,'All Products'!C:C,FALSE)</f>
        <v>35-255</v>
      </c>
      <c r="E142" s="52">
        <v>300003659</v>
      </c>
      <c r="F142" s="53" t="str">
        <f>_xlfn.XLOOKUP(E142,'All Products'!D:D,'All Products'!E:E,FALSE)</f>
        <v>15X6 SADDLE TEE SDR35</v>
      </c>
      <c r="G142" s="232">
        <f>_xlfn.XLOOKUP(E142,'All Products'!D:D,'All Products'!F:F,FALSE)</f>
        <v>4</v>
      </c>
      <c r="H142" s="232">
        <f>_xlfn.XLOOKUP(E142,'All Products'!D:D,'All Products'!G:G,FALSE)</f>
        <v>96</v>
      </c>
      <c r="I142" s="123" t="str">
        <f>_xlfn.XLOOKUP(E142,'All Products'!D:D,'All Products'!H:H,FALSE)</f>
        <v>Quote Required</v>
      </c>
      <c r="J142" s="130">
        <f>IFERROR(ROUNDUP(I142*Order_Quote!$L$15,2),0)</f>
        <v>0</v>
      </c>
      <c r="K142" s="118"/>
      <c r="L142" s="76"/>
      <c r="M142" s="114">
        <f t="shared" ref="M142:M150" si="9">K142/G142</f>
        <v>0</v>
      </c>
      <c r="O142" s="215" t="str">
        <f>_xlfn.XLOOKUP(E142,'All Products'!D:D,'All Products'!I:I,FALSE)</f>
        <v>Within 6 Weeks</v>
      </c>
      <c r="P142" s="215" t="str">
        <f>_xlfn.XLOOKUP(E142,'All Products'!D:D,'All Products'!J:J,FALSE)</f>
        <v>Sourced</v>
      </c>
      <c r="Q142" s="266">
        <f>_xlfn.XLOOKUP(E142,'All Products'!D:D,'All Products'!K:K,FALSE)</f>
        <v>810673017270</v>
      </c>
      <c r="R142" s="266" t="str">
        <f>_xlfn.XLOOKUP(E142,'All Products'!D:D,'All Products'!L:L,FALSE)</f>
        <v>-</v>
      </c>
      <c r="S142" s="266" t="str">
        <f>_xlfn.XLOOKUP(E142,'All Products'!D:D,'All Products'!M:M,FALSE)</f>
        <v>-</v>
      </c>
      <c r="T142" s="264">
        <f>_xlfn.XLOOKUP(E142,'All Products'!D:D,'All Products'!N:N,FALSE)</f>
        <v>2.15</v>
      </c>
      <c r="U142" s="265">
        <f>_xlfn.XLOOKUP(E142,'All Products'!D:D,'All Products'!P:P,FALSE)</f>
        <v>8.6</v>
      </c>
      <c r="V142" s="265" t="str">
        <f>_xlfn.XLOOKUP(E142,'All Products'!D:D,'All Products'!Q:Q,FALSE)</f>
        <v>-</v>
      </c>
    </row>
    <row r="143" spans="1:22">
      <c r="A143" s="101" t="str">
        <f>IF(K143&gt;0,COUNT($A$8:A142)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43" s="615"/>
      <c r="C143" s="615"/>
      <c r="D143" s="51" t="str">
        <f>_xlfn.XLOOKUP(E143,'All Products'!D:D,'All Products'!C:C,FALSE)</f>
        <v>35-1578</v>
      </c>
      <c r="E143" s="52">
        <v>300005633</v>
      </c>
      <c r="F143" s="53" t="str">
        <f>_xlfn.XLOOKUP(E143,'All Products'!D:D,'All Products'!E:E,FALSE)</f>
        <v>6X4 SADDLE WYE SDR35</v>
      </c>
      <c r="G143" s="232">
        <f>_xlfn.XLOOKUP(E143,'All Products'!D:D,'All Products'!F:F,FALSE)</f>
        <v>6</v>
      </c>
      <c r="H143" s="232">
        <f>_xlfn.XLOOKUP(E143,'All Products'!D:D,'All Products'!G:G,FALSE)</f>
        <v>270</v>
      </c>
      <c r="I143" s="123" t="str">
        <f>_xlfn.XLOOKUP(E143,'All Products'!D:D,'All Products'!H:H,FALSE)</f>
        <v>Quote Required</v>
      </c>
      <c r="J143" s="130">
        <f>IFERROR(ROUNDUP(I143*Order_Quote!$L$15,2),0)</f>
        <v>0</v>
      </c>
      <c r="K143" s="122"/>
      <c r="L143" s="76"/>
      <c r="M143" s="114">
        <f t="shared" si="9"/>
        <v>0</v>
      </c>
      <c r="O143" s="215" t="str">
        <f>_xlfn.XLOOKUP(E143,'All Products'!D:D,'All Products'!I:I,FALSE)</f>
        <v>Within 6 Weeks</v>
      </c>
      <c r="P143" s="215" t="str">
        <f>_xlfn.XLOOKUP(E143,'All Products'!D:D,'All Products'!J:J,FALSE)</f>
        <v>Sourced</v>
      </c>
      <c r="Q143" s="266">
        <f>_xlfn.XLOOKUP(E143,'All Products'!D:D,'All Products'!K:K,FALSE)</f>
        <v>810673016938</v>
      </c>
      <c r="R143" s="266" t="str">
        <f>_xlfn.XLOOKUP(E143,'All Products'!D:D,'All Products'!L:L,FALSE)</f>
        <v>-</v>
      </c>
      <c r="S143" s="266" t="str">
        <f>_xlfn.XLOOKUP(E143,'All Products'!D:D,'All Products'!M:M,FALSE)</f>
        <v>-</v>
      </c>
      <c r="T143" s="264">
        <f>_xlfn.XLOOKUP(E143,'All Products'!D:D,'All Products'!N:N,FALSE)</f>
        <v>1.62</v>
      </c>
      <c r="U143" s="265">
        <f>_xlfn.XLOOKUP(E143,'All Products'!D:D,'All Products'!P:P,FALSE)</f>
        <v>9.7200000000000006</v>
      </c>
      <c r="V143" s="265" t="str">
        <f>_xlfn.XLOOKUP(E143,'All Products'!D:D,'All Products'!Q:Q,FALSE)</f>
        <v>-</v>
      </c>
    </row>
    <row r="144" spans="1:22">
      <c r="A144" s="101" t="str">
        <f>IF(K144&gt;0,COUNT($A$8:A143)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44" s="615"/>
      <c r="C144" s="615"/>
      <c r="D144" s="51" t="str">
        <f>_xlfn.XLOOKUP(E144,'All Products'!D:D,'All Products'!C:C,FALSE)</f>
        <v>35-285</v>
      </c>
      <c r="E144" s="52">
        <v>300005832</v>
      </c>
      <c r="F144" s="53" t="str">
        <f>_xlfn.XLOOKUP(E144,'All Products'!D:D,'All Products'!E:E,FALSE)</f>
        <v>8X4 SADDLE WYE SDR35</v>
      </c>
      <c r="G144" s="232">
        <f>_xlfn.XLOOKUP(E144,'All Products'!D:D,'All Products'!F:F,FALSE)</f>
        <v>6</v>
      </c>
      <c r="H144" s="232">
        <f>_xlfn.XLOOKUP(E144,'All Products'!D:D,'All Products'!G:G,FALSE)</f>
        <v>270</v>
      </c>
      <c r="I144" s="123" t="str">
        <f>_xlfn.XLOOKUP(E144,'All Products'!D:D,'All Products'!H:H,FALSE)</f>
        <v>Quote Required</v>
      </c>
      <c r="J144" s="130">
        <f>IFERROR(ROUNDUP(I144*Order_Quote!$L$15,2),0)</f>
        <v>0</v>
      </c>
      <c r="K144" s="118"/>
      <c r="L144" s="76"/>
      <c r="M144" s="114">
        <f t="shared" si="9"/>
        <v>0</v>
      </c>
      <c r="O144" s="215" t="str">
        <f>_xlfn.XLOOKUP(E144,'All Products'!D:D,'All Products'!I:I,FALSE)</f>
        <v>Within 6 Weeks</v>
      </c>
      <c r="P144" s="215" t="str">
        <f>_xlfn.XLOOKUP(E144,'All Products'!D:D,'All Products'!J:J,FALSE)</f>
        <v>Sourced</v>
      </c>
      <c r="Q144" s="266">
        <f>_xlfn.XLOOKUP(E144,'All Products'!D:D,'All Products'!K:K,FALSE)</f>
        <v>810673016952</v>
      </c>
      <c r="R144" s="266" t="str">
        <f>_xlfn.XLOOKUP(E144,'All Products'!D:D,'All Products'!L:L,FALSE)</f>
        <v>-</v>
      </c>
      <c r="S144" s="266" t="str">
        <f>_xlfn.XLOOKUP(E144,'All Products'!D:D,'All Products'!M:M,FALSE)</f>
        <v>-</v>
      </c>
      <c r="T144" s="264">
        <f>_xlfn.XLOOKUP(E144,'All Products'!D:D,'All Products'!N:N,FALSE)</f>
        <v>1.62</v>
      </c>
      <c r="U144" s="265">
        <f>_xlfn.XLOOKUP(E144,'All Products'!D:D,'All Products'!P:P,FALSE)</f>
        <v>9.7200000000000006</v>
      </c>
      <c r="V144" s="265" t="str">
        <f>_xlfn.XLOOKUP(E144,'All Products'!D:D,'All Products'!Q:Q,FALSE)</f>
        <v>-</v>
      </c>
    </row>
    <row r="145" spans="1:22">
      <c r="A145" s="101" t="str">
        <f>IF(K145&gt;0,COUNT($A$8:A144)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45" s="615"/>
      <c r="C145" s="615"/>
      <c r="D145" s="51" t="str">
        <f>_xlfn.XLOOKUP(E145,'All Products'!D:D,'All Products'!C:C,FALSE)</f>
        <v>35-286</v>
      </c>
      <c r="E145" s="52">
        <v>300005774</v>
      </c>
      <c r="F145" s="53" t="str">
        <f>_xlfn.XLOOKUP(E145,'All Products'!D:D,'All Products'!E:E,FALSE)</f>
        <v>8X6 SADDLE WYE SDR35</v>
      </c>
      <c r="G145" s="232">
        <f>_xlfn.XLOOKUP(E145,'All Products'!D:D,'All Products'!F:F,FALSE)</f>
        <v>4</v>
      </c>
      <c r="H145" s="232">
        <f>_xlfn.XLOOKUP(E145,'All Products'!D:D,'All Products'!G:G,FALSE)</f>
        <v>72</v>
      </c>
      <c r="I145" s="123" t="str">
        <f>_xlfn.XLOOKUP(E145,'All Products'!D:D,'All Products'!H:H,FALSE)</f>
        <v>Quote Required</v>
      </c>
      <c r="J145" s="130">
        <f>IFERROR(ROUNDUP(I145*Order_Quote!$L$15,2),0)</f>
        <v>0</v>
      </c>
      <c r="K145" s="118"/>
      <c r="L145" s="76"/>
      <c r="M145" s="115">
        <f t="shared" si="9"/>
        <v>0</v>
      </c>
      <c r="O145" s="215" t="str">
        <f>_xlfn.XLOOKUP(E145,'All Products'!D:D,'All Products'!I:I,FALSE)</f>
        <v>Within 6 Weeks</v>
      </c>
      <c r="P145" s="215" t="str">
        <f>_xlfn.XLOOKUP(E145,'All Products'!D:D,'All Products'!J:J,FALSE)</f>
        <v>Sourced</v>
      </c>
      <c r="Q145" s="266">
        <f>_xlfn.XLOOKUP(E145,'All Products'!D:D,'All Products'!K:K,FALSE)</f>
        <v>810673016976</v>
      </c>
      <c r="R145" s="266" t="str">
        <f>_xlfn.XLOOKUP(E145,'All Products'!D:D,'All Products'!L:L,FALSE)</f>
        <v>-</v>
      </c>
      <c r="S145" s="266" t="str">
        <f>_xlfn.XLOOKUP(E145,'All Products'!D:D,'All Products'!M:M,FALSE)</f>
        <v>-</v>
      </c>
      <c r="T145" s="264">
        <f>_xlfn.XLOOKUP(E145,'All Products'!D:D,'All Products'!N:N,FALSE)</f>
        <v>2.6720000000000002</v>
      </c>
      <c r="U145" s="265">
        <f>_xlfn.XLOOKUP(E145,'All Products'!D:D,'All Products'!P:P,FALSE)</f>
        <v>10.688000000000001</v>
      </c>
      <c r="V145" s="265" t="str">
        <f>_xlfn.XLOOKUP(E145,'All Products'!D:D,'All Products'!Q:Q,FALSE)</f>
        <v>-</v>
      </c>
    </row>
    <row r="146" spans="1:22">
      <c r="A146" s="101" t="str">
        <f>IF(K146&gt;0,COUNT($A$8:A145)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46" s="615"/>
      <c r="C146" s="615"/>
      <c r="D146" s="51" t="str">
        <f>_xlfn.XLOOKUP(E146,'All Products'!D:D,'All Products'!C:C,FALSE)</f>
        <v>35-287</v>
      </c>
      <c r="E146" s="52">
        <v>300005846</v>
      </c>
      <c r="F146" s="53" t="str">
        <f>_xlfn.XLOOKUP(E146,'All Products'!D:D,'All Products'!E:E,FALSE)</f>
        <v>10X4 SADDLE WYE SDR35</v>
      </c>
      <c r="G146" s="232">
        <f>_xlfn.XLOOKUP(E146,'All Products'!D:D,'All Products'!F:F,FALSE)</f>
        <v>6</v>
      </c>
      <c r="H146" s="232">
        <f>_xlfn.XLOOKUP(E146,'All Products'!D:D,'All Products'!G:G,FALSE)</f>
        <v>192</v>
      </c>
      <c r="I146" s="123" t="str">
        <f>_xlfn.XLOOKUP(E146,'All Products'!D:D,'All Products'!H:H,FALSE)</f>
        <v>Quote Required</v>
      </c>
      <c r="J146" s="130">
        <f>IFERROR(ROUNDUP(I146*Order_Quote!$L$15,2),0)</f>
        <v>0</v>
      </c>
      <c r="K146" s="118"/>
      <c r="L146" s="76"/>
      <c r="M146" s="114">
        <f t="shared" si="9"/>
        <v>0</v>
      </c>
      <c r="O146" s="215" t="str">
        <f>_xlfn.XLOOKUP(E146,'All Products'!D:D,'All Products'!I:I,FALSE)</f>
        <v>Within 6 Weeks</v>
      </c>
      <c r="P146" s="215" t="str">
        <f>_xlfn.XLOOKUP(E146,'All Products'!D:D,'All Products'!J:J,FALSE)</f>
        <v>Sourced</v>
      </c>
      <c r="Q146" s="266">
        <f>_xlfn.XLOOKUP(E146,'All Products'!D:D,'All Products'!K:K,FALSE)</f>
        <v>810673016990</v>
      </c>
      <c r="R146" s="266" t="str">
        <f>_xlfn.XLOOKUP(E146,'All Products'!D:D,'All Products'!L:L,FALSE)</f>
        <v>-</v>
      </c>
      <c r="S146" s="266" t="str">
        <f>_xlfn.XLOOKUP(E146,'All Products'!D:D,'All Products'!M:M,FALSE)</f>
        <v>-</v>
      </c>
      <c r="T146" s="264">
        <f>_xlfn.XLOOKUP(E146,'All Products'!D:D,'All Products'!N:N,FALSE)</f>
        <v>1.04</v>
      </c>
      <c r="U146" s="265">
        <f>_xlfn.XLOOKUP(E146,'All Products'!D:D,'All Products'!P:P,FALSE)</f>
        <v>6.24</v>
      </c>
      <c r="V146" s="265" t="str">
        <f>_xlfn.XLOOKUP(E146,'All Products'!D:D,'All Products'!Q:Q,FALSE)</f>
        <v>-</v>
      </c>
    </row>
    <row r="147" spans="1:22">
      <c r="A147" s="101" t="str">
        <f>IF(K147&gt;0,COUNT($A$8:A146)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47" s="615"/>
      <c r="C147" s="615"/>
      <c r="D147" s="51" t="str">
        <f>_xlfn.XLOOKUP(E147,'All Products'!D:D,'All Products'!C:C,FALSE)</f>
        <v>35-288</v>
      </c>
      <c r="E147" s="52">
        <v>300005847</v>
      </c>
      <c r="F147" s="53" t="str">
        <f>_xlfn.XLOOKUP(E147,'All Products'!D:D,'All Products'!E:E,FALSE)</f>
        <v>10X6 SADDLE WYE SDR35</v>
      </c>
      <c r="G147" s="232">
        <f>_xlfn.XLOOKUP(E147,'All Products'!D:D,'All Products'!F:F,FALSE)</f>
        <v>4</v>
      </c>
      <c r="H147" s="232">
        <f>_xlfn.XLOOKUP(E147,'All Products'!D:D,'All Products'!G:G,FALSE)</f>
        <v>72</v>
      </c>
      <c r="I147" s="123" t="str">
        <f>_xlfn.XLOOKUP(E147,'All Products'!D:D,'All Products'!H:H,FALSE)</f>
        <v>Quote Required</v>
      </c>
      <c r="J147" s="130">
        <f>IFERROR(ROUNDUP(I147*Order_Quote!$L$15,2),0)</f>
        <v>0</v>
      </c>
      <c r="K147" s="118"/>
      <c r="L147" s="76"/>
      <c r="M147" s="114">
        <f t="shared" si="9"/>
        <v>0</v>
      </c>
      <c r="O147" s="215" t="str">
        <f>_xlfn.XLOOKUP(E147,'All Products'!D:D,'All Products'!I:I,FALSE)</f>
        <v>Within 6 Weeks</v>
      </c>
      <c r="P147" s="215" t="str">
        <f>_xlfn.XLOOKUP(E147,'All Products'!D:D,'All Products'!J:J,FALSE)</f>
        <v>Sourced</v>
      </c>
      <c r="Q147" s="266">
        <f>_xlfn.XLOOKUP(E147,'All Products'!D:D,'All Products'!K:K,FALSE)</f>
        <v>810673017010</v>
      </c>
      <c r="R147" s="266" t="str">
        <f>_xlfn.XLOOKUP(E147,'All Products'!D:D,'All Products'!L:L,FALSE)</f>
        <v>-</v>
      </c>
      <c r="S147" s="266" t="str">
        <f>_xlfn.XLOOKUP(E147,'All Products'!D:D,'All Products'!M:M,FALSE)</f>
        <v>-</v>
      </c>
      <c r="T147" s="264">
        <f>_xlfn.XLOOKUP(E147,'All Products'!D:D,'All Products'!N:N,FALSE)</f>
        <v>3.4</v>
      </c>
      <c r="U147" s="265">
        <f>_xlfn.XLOOKUP(E147,'All Products'!D:D,'All Products'!P:P,FALSE)</f>
        <v>13.6</v>
      </c>
      <c r="V147" s="265" t="str">
        <f>_xlfn.XLOOKUP(E147,'All Products'!D:D,'All Products'!Q:Q,FALSE)</f>
        <v>-</v>
      </c>
    </row>
    <row r="148" spans="1:22">
      <c r="A148" s="101" t="str">
        <f>IF(K148&gt;0,COUNT($A$8:A147)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48" s="615"/>
      <c r="C148" s="615"/>
      <c r="D148" s="51" t="str">
        <f>_xlfn.XLOOKUP(E148,'All Products'!D:D,'All Products'!C:C,FALSE)</f>
        <v>35-291</v>
      </c>
      <c r="E148" s="52">
        <v>300005852</v>
      </c>
      <c r="F148" s="53" t="str">
        <f>_xlfn.XLOOKUP(E148,'All Products'!D:D,'All Products'!E:E,FALSE)</f>
        <v>12X4 SADDLE WYE SDR35</v>
      </c>
      <c r="G148" s="232">
        <f>_xlfn.XLOOKUP(E148,'All Products'!D:D,'All Products'!F:F,FALSE)</f>
        <v>6</v>
      </c>
      <c r="H148" s="232">
        <f>_xlfn.XLOOKUP(E148,'All Products'!D:D,'All Products'!G:G,FALSE)</f>
        <v>192</v>
      </c>
      <c r="I148" s="123" t="str">
        <f>_xlfn.XLOOKUP(E148,'All Products'!D:D,'All Products'!H:H,FALSE)</f>
        <v>Quote Required</v>
      </c>
      <c r="J148" s="130">
        <f>IFERROR(ROUNDUP(I148*Order_Quote!$L$15,2),0)</f>
        <v>0</v>
      </c>
      <c r="K148" s="118"/>
      <c r="L148" s="76"/>
      <c r="M148" s="114">
        <f t="shared" si="9"/>
        <v>0</v>
      </c>
      <c r="O148" s="215" t="str">
        <f>_xlfn.XLOOKUP(E148,'All Products'!D:D,'All Products'!I:I,FALSE)</f>
        <v>Within 6 Weeks</v>
      </c>
      <c r="P148" s="215" t="str">
        <f>_xlfn.XLOOKUP(E148,'All Products'!D:D,'All Products'!J:J,FALSE)</f>
        <v>Sourced</v>
      </c>
      <c r="Q148" s="266">
        <f>_xlfn.XLOOKUP(E148,'All Products'!D:D,'All Products'!K:K,FALSE)</f>
        <v>810673017034</v>
      </c>
      <c r="R148" s="266" t="str">
        <f>_xlfn.XLOOKUP(E148,'All Products'!D:D,'All Products'!L:L,FALSE)</f>
        <v>-</v>
      </c>
      <c r="S148" s="266" t="str">
        <f>_xlfn.XLOOKUP(E148,'All Products'!D:D,'All Products'!M:M,FALSE)</f>
        <v>-</v>
      </c>
      <c r="T148" s="264">
        <f>_xlfn.XLOOKUP(E148,'All Products'!D:D,'All Products'!N:N,FALSE)</f>
        <v>1.64</v>
      </c>
      <c r="U148" s="265">
        <f>_xlfn.XLOOKUP(E148,'All Products'!D:D,'All Products'!P:P,FALSE)</f>
        <v>9.84</v>
      </c>
      <c r="V148" s="265" t="str">
        <f>_xlfn.XLOOKUP(E148,'All Products'!D:D,'All Products'!Q:Q,FALSE)</f>
        <v>-</v>
      </c>
    </row>
    <row r="149" spans="1:22">
      <c r="A149" s="101" t="str">
        <f>IF(K149&gt;0,COUNT($A$8:A148)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49" s="615"/>
      <c r="C149" s="615"/>
      <c r="D149" s="51" t="str">
        <f>_xlfn.XLOOKUP(E149,'All Products'!D:D,'All Products'!C:C,FALSE)</f>
        <v>35-292</v>
      </c>
      <c r="E149" s="52">
        <v>300005854</v>
      </c>
      <c r="F149" s="53" t="str">
        <f>_xlfn.XLOOKUP(E149,'All Products'!D:D,'All Products'!E:E,FALSE)</f>
        <v>12X6 SADDLE WYE SDR35</v>
      </c>
      <c r="G149" s="232">
        <f>_xlfn.XLOOKUP(E149,'All Products'!D:D,'All Products'!F:F,FALSE)</f>
        <v>4</v>
      </c>
      <c r="H149" s="232">
        <f>_xlfn.XLOOKUP(E149,'All Products'!D:D,'All Products'!G:G,FALSE)</f>
        <v>72</v>
      </c>
      <c r="I149" s="123" t="str">
        <f>_xlfn.XLOOKUP(E149,'All Products'!D:D,'All Products'!H:H,FALSE)</f>
        <v>Quote Required</v>
      </c>
      <c r="J149" s="130">
        <f>IFERROR(ROUNDUP(I149*Order_Quote!$L$15,2),0)</f>
        <v>0</v>
      </c>
      <c r="K149" s="118"/>
      <c r="L149" s="76"/>
      <c r="M149" s="115">
        <f t="shared" si="9"/>
        <v>0</v>
      </c>
      <c r="O149" s="215" t="str">
        <f>_xlfn.XLOOKUP(E149,'All Products'!D:D,'All Products'!I:I,FALSE)</f>
        <v>Within 6 Weeks</v>
      </c>
      <c r="P149" s="215" t="str">
        <f>_xlfn.XLOOKUP(E149,'All Products'!D:D,'All Products'!J:J,FALSE)</f>
        <v>Sourced</v>
      </c>
      <c r="Q149" s="266">
        <f>_xlfn.XLOOKUP(E149,'All Products'!D:D,'All Products'!K:K,FALSE)</f>
        <v>810673017058</v>
      </c>
      <c r="R149" s="266" t="str">
        <f>_xlfn.XLOOKUP(E149,'All Products'!D:D,'All Products'!L:L,FALSE)</f>
        <v>-</v>
      </c>
      <c r="S149" s="266" t="str">
        <f>_xlfn.XLOOKUP(E149,'All Products'!D:D,'All Products'!M:M,FALSE)</f>
        <v>-</v>
      </c>
      <c r="T149" s="264">
        <f>_xlfn.XLOOKUP(E149,'All Products'!D:D,'All Products'!N:N,FALSE)</f>
        <v>3.34</v>
      </c>
      <c r="U149" s="265">
        <f>_xlfn.XLOOKUP(E149,'All Products'!D:D,'All Products'!P:P,FALSE)</f>
        <v>13.36</v>
      </c>
      <c r="V149" s="265" t="str">
        <f>_xlfn.XLOOKUP(E149,'All Products'!D:D,'All Products'!Q:Q,FALSE)</f>
        <v>-</v>
      </c>
    </row>
    <row r="150" spans="1:22">
      <c r="A150" s="101" t="str">
        <f>IF(K150&gt;0,COUNT($A$8:A149)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+COUNT(SDR35SW!$A$9:$A$132)+1,"")</f>
        <v/>
      </c>
      <c r="B150" s="615"/>
      <c r="C150" s="615"/>
      <c r="D150" s="51" t="str">
        <f>_xlfn.XLOOKUP(E150,'All Products'!D:D,'All Products'!C:C,FALSE)</f>
        <v>35-300</v>
      </c>
      <c r="E150" s="52">
        <v>300003746</v>
      </c>
      <c r="F150" s="53" t="str">
        <f>_xlfn.XLOOKUP(E150,'All Products'!D:D,'All Products'!E:E,FALSE)</f>
        <v>18X4 SADDLE WYE SDR35</v>
      </c>
      <c r="G150" s="232">
        <f>_xlfn.XLOOKUP(E150,'All Products'!D:D,'All Products'!F:F,FALSE)</f>
        <v>1</v>
      </c>
      <c r="H150" s="232" t="str">
        <f>_xlfn.XLOOKUP(E150,'All Products'!D:D,'All Products'!G:G,FALSE)</f>
        <v>-</v>
      </c>
      <c r="I150" s="123" t="str">
        <f>_xlfn.XLOOKUP(E150,'All Products'!D:D,'All Products'!H:H,FALSE)</f>
        <v>Quote Required</v>
      </c>
      <c r="J150" s="130">
        <f>IFERROR(ROUNDUP(I150*Order_Quote!$L$15,2),0)</f>
        <v>0</v>
      </c>
      <c r="K150" s="118"/>
      <c r="L150" s="76"/>
      <c r="M150" s="114">
        <f t="shared" si="9"/>
        <v>0</v>
      </c>
      <c r="O150" s="215" t="str">
        <f>_xlfn.XLOOKUP(E150,'All Products'!D:D,'All Products'!I:I,FALSE)</f>
        <v>Within 6 Weeks</v>
      </c>
      <c r="P150" s="215" t="str">
        <f>_xlfn.XLOOKUP(E150,'All Products'!D:D,'All Products'!J:J,FALSE)</f>
        <v>Sourced</v>
      </c>
      <c r="Q150" s="266">
        <f>_xlfn.XLOOKUP(E150,'All Products'!D:D,'All Products'!K:K,FALSE)</f>
        <v>0</v>
      </c>
      <c r="R150" s="266" t="str">
        <f>_xlfn.XLOOKUP(E150,'All Products'!D:D,'All Products'!L:L,FALSE)</f>
        <v>-</v>
      </c>
      <c r="S150" s="266" t="str">
        <f>_xlfn.XLOOKUP(E150,'All Products'!D:D,'All Products'!M:M,FALSE)</f>
        <v>-</v>
      </c>
      <c r="T150" s="264">
        <f>_xlfn.XLOOKUP(E150,'All Products'!D:D,'All Products'!N:N,FALSE)</f>
        <v>1.849</v>
      </c>
      <c r="U150" s="265">
        <f>_xlfn.XLOOKUP(E150,'All Products'!D:D,'All Products'!P:P,FALSE)</f>
        <v>1.849</v>
      </c>
      <c r="V150" s="265" t="str">
        <f>_xlfn.XLOOKUP(E150,'All Products'!D:D,'All Products'!Q:Q,FALSE)</f>
        <v>-</v>
      </c>
    </row>
    <row r="151" spans="1:22">
      <c r="A151" s="101">
        <f>MAX(A9:A150)+1</f>
        <v>1</v>
      </c>
    </row>
  </sheetData>
  <sheetProtection algorithmName="SHA-512" hashValue="TnBnriWPZ//a+/AP+BNccz5icjQdyQC6LsarF7E57u8gCnKGj0KIOSefgFgQuNe9CQJxZCQSf4wM8BXnLGq/NQ==" saltValue="K9SSG68ki3SNfHfLXvIJ2Q==" spinCount="100000" sheet="1" formatCells="0" formatColumns="0" formatRows="0" insertColumns="0" insertRows="0" insertHyperlinks="0" deleteColumns="0" deleteRows="0" sort="0" autoFilter="0" pivotTables="0"/>
  <mergeCells count="32">
    <mergeCell ref="B103:C114"/>
    <mergeCell ref="B115:C119"/>
    <mergeCell ref="B94:C100"/>
    <mergeCell ref="Q6:S6"/>
    <mergeCell ref="B59:C60"/>
    <mergeCell ref="B38:C38"/>
    <mergeCell ref="B39:C40"/>
    <mergeCell ref="B127:C127"/>
    <mergeCell ref="B53:C55"/>
    <mergeCell ref="B43:C46"/>
    <mergeCell ref="B143:C150"/>
    <mergeCell ref="B135:C142"/>
    <mergeCell ref="B67:C71"/>
    <mergeCell ref="B72:C77"/>
    <mergeCell ref="B128:C128"/>
    <mergeCell ref="B78:C80"/>
    <mergeCell ref="B129:C133"/>
    <mergeCell ref="B121:C123"/>
    <mergeCell ref="B82:C93"/>
    <mergeCell ref="B48:C52"/>
    <mergeCell ref="B125:C126"/>
    <mergeCell ref="B101:C102"/>
    <mergeCell ref="B120:C120"/>
    <mergeCell ref="J2:K3"/>
    <mergeCell ref="B42:C42"/>
    <mergeCell ref="B26:C26"/>
    <mergeCell ref="B56:C58"/>
    <mergeCell ref="B61:C66"/>
    <mergeCell ref="B9:C13"/>
    <mergeCell ref="B33:C36"/>
    <mergeCell ref="B30:C32"/>
    <mergeCell ref="B41:C41"/>
  </mergeCells>
  <dataValidations xWindow="894" yWindow="297" count="4">
    <dataValidation type="whole" operator="greaterThanOrEqual" allowBlank="1" showInputMessage="1" showErrorMessage="1" errorTitle="Invalid Entry!" error="An invalid quantity has been entered. Please enter only whole numbers. Click Retry to change entry or Cancel to clear entry." sqref="K151:L65455 L1:L6 K1" xr:uid="{00000000-0002-0000-0700-000000000000}">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00000000-0002-0000-0700-000001000000}">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K6 K134:L134 K120:L120 K124:L124 K7:L102" xr:uid="{00000000-0002-0000-0700-000002000000}">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K135:L150 K125:L133 K82:L123 K9:L80" xr:uid="{00000000-0002-0000-0700-000003000000}">
      <formula1>1</formula1>
    </dataValidation>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rowBreaks count="2" manualBreakCount="2">
    <brk id="55" max="8" man="1"/>
    <brk id="25" max="8"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0"/>
    <pageSetUpPr fitToPage="1"/>
  </sheetPr>
  <dimension ref="A1:W91"/>
  <sheetViews>
    <sheetView topLeftCell="G58" workbookViewId="0">
      <selection activeCell="S12" sqref="S12"/>
    </sheetView>
  </sheetViews>
  <sheetFormatPr defaultColWidth="9.109375" defaultRowHeight="14.4" zeroHeight="1"/>
  <cols>
    <col min="1" max="1" width="4.33203125" style="101" customWidth="1"/>
    <col min="2" max="3" width="8.6640625" style="17" customWidth="1"/>
    <col min="4" max="4" width="4.109375" style="17" bestFit="1" customWidth="1"/>
    <col min="5" max="6" width="12.6640625" style="17" customWidth="1"/>
    <col min="7" max="7" width="50.6640625" style="184" customWidth="1"/>
    <col min="8" max="9" width="8.5546875" style="17" bestFit="1" customWidth="1"/>
    <col min="10" max="10" width="14.6640625" style="25" bestFit="1" customWidth="1"/>
    <col min="11" max="11" width="10.44140625" style="234" customWidth="1"/>
    <col min="12" max="12" width="9.44140625" style="17" customWidth="1"/>
    <col min="13" max="13" width="1.44140625" style="17" customWidth="1"/>
    <col min="14" max="14" width="11.5546875" style="17" bestFit="1" customWidth="1"/>
    <col min="15" max="15" width="2.33203125" style="17" customWidth="1"/>
    <col min="16" max="16" width="12.6640625" style="20" customWidth="1"/>
    <col min="17" max="17" width="11.6640625" style="184" customWidth="1"/>
    <col min="18" max="18" width="11.33203125" style="321" bestFit="1" customWidth="1"/>
    <col min="19" max="19" width="9.109375" style="321" customWidth="1"/>
    <col min="20" max="20" width="11.33203125" style="321" bestFit="1" customWidth="1"/>
    <col min="21" max="21" width="9.109375" style="352" customWidth="1"/>
    <col min="22" max="22" width="9.109375" style="17" customWidth="1"/>
    <col min="23" max="16384" width="9.109375" style="17"/>
  </cols>
  <sheetData>
    <row r="1" spans="1:23" ht="18">
      <c r="D1" s="198"/>
      <c r="G1" s="155" t="s">
        <v>1303</v>
      </c>
      <c r="H1" s="198"/>
      <c r="I1" s="198"/>
      <c r="P1" s="198"/>
      <c r="Q1" s="198"/>
    </row>
    <row r="2" spans="1:23" ht="15.6">
      <c r="E2" s="220"/>
      <c r="F2" s="218"/>
      <c r="J2" s="17"/>
      <c r="K2" s="607" t="s">
        <v>59</v>
      </c>
      <c r="L2" s="607"/>
    </row>
    <row r="3" spans="1:23">
      <c r="E3" s="20"/>
      <c r="F3" s="20"/>
      <c r="G3" s="323" t="s">
        <v>1304</v>
      </c>
      <c r="J3" s="17"/>
      <c r="K3" s="607"/>
      <c r="L3" s="607"/>
      <c r="Q3" s="20"/>
    </row>
    <row r="4" spans="1:23">
      <c r="F4" s="101" t="s">
        <v>5730</v>
      </c>
      <c r="G4" s="327" t="s">
        <v>5987</v>
      </c>
      <c r="J4" s="17"/>
      <c r="K4" s="21"/>
      <c r="Q4" s="20"/>
    </row>
    <row r="5" spans="1:23">
      <c r="G5" s="325" t="s">
        <v>5973</v>
      </c>
      <c r="J5" s="17"/>
      <c r="K5" s="21"/>
      <c r="Q5" s="20"/>
    </row>
    <row r="6" spans="1:23" ht="15" thickBot="1">
      <c r="K6" s="21"/>
      <c r="P6" s="353" t="s">
        <v>63</v>
      </c>
      <c r="R6" s="662" t="s">
        <v>64</v>
      </c>
      <c r="S6" s="662"/>
      <c r="T6" s="662"/>
    </row>
    <row r="7" spans="1:23" ht="36" customHeight="1" thickBot="1">
      <c r="A7" s="43"/>
      <c r="B7" s="584"/>
      <c r="C7" s="585"/>
      <c r="D7" s="585" t="s">
        <v>1307</v>
      </c>
      <c r="E7" s="585" t="s">
        <v>48</v>
      </c>
      <c r="F7" s="585" t="s">
        <v>49</v>
      </c>
      <c r="G7" s="585" t="s">
        <v>1305</v>
      </c>
      <c r="H7" s="585" t="s">
        <v>53</v>
      </c>
      <c r="I7" s="585" t="s">
        <v>1306</v>
      </c>
      <c r="J7" s="587" t="s">
        <v>51</v>
      </c>
      <c r="K7" s="587" t="s">
        <v>55</v>
      </c>
      <c r="L7" s="588" t="s">
        <v>52</v>
      </c>
      <c r="N7" s="593" t="s">
        <v>67</v>
      </c>
      <c r="P7" s="589" t="s">
        <v>68</v>
      </c>
      <c r="Q7" s="590" t="s">
        <v>69</v>
      </c>
      <c r="R7" s="597" t="s">
        <v>70</v>
      </c>
      <c r="S7" s="597" t="s">
        <v>71</v>
      </c>
      <c r="T7" s="597" t="s">
        <v>72</v>
      </c>
      <c r="U7" s="598" t="s">
        <v>73</v>
      </c>
      <c r="V7" s="590" t="s">
        <v>328</v>
      </c>
      <c r="W7" s="592" t="s">
        <v>329</v>
      </c>
    </row>
    <row r="8" spans="1:23" ht="16.2" thickBot="1">
      <c r="B8" s="446" t="s">
        <v>5803</v>
      </c>
      <c r="C8" s="151"/>
      <c r="D8" s="151"/>
      <c r="E8" s="459"/>
      <c r="F8" s="151"/>
      <c r="G8" s="468"/>
      <c r="H8" s="151"/>
      <c r="I8" s="472"/>
      <c r="J8" s="468"/>
      <c r="K8" s="477"/>
      <c r="L8" s="566"/>
      <c r="M8" s="20"/>
      <c r="N8" s="565"/>
      <c r="P8" s="357"/>
      <c r="Q8" s="493"/>
      <c r="R8" s="493"/>
      <c r="S8" s="493"/>
      <c r="T8" s="479"/>
      <c r="U8" s="459"/>
      <c r="V8" s="489"/>
      <c r="W8" s="582"/>
    </row>
    <row r="9" spans="1:23" ht="39.75" customHeight="1" thickBot="1">
      <c r="A9" s="101" t="str">
        <f>IF(L9&gt;0,COUNT($A$8:A8)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9" s="615"/>
      <c r="C9" s="615"/>
      <c r="D9" s="103" t="s">
        <v>1310</v>
      </c>
      <c r="E9" s="51" t="str">
        <f>_xlfn.XLOOKUP(F9,'All Products'!D:D,'All Products'!C:C,FALSE)</f>
        <v>37-1001</v>
      </c>
      <c r="F9" s="52">
        <v>300003387</v>
      </c>
      <c r="G9" s="53" t="str">
        <f>_xlfn.XLOOKUP(F9,'All Products'!D:D,'All Products'!E:E,FALSE)</f>
        <v>6 CAP GASKET SDR26</v>
      </c>
      <c r="H9" s="124">
        <f>_xlfn.XLOOKUP(F9,'All Products'!D:D,'All Products'!F:F,FALSE)</f>
        <v>8</v>
      </c>
      <c r="I9" s="124">
        <f>_xlfn.XLOOKUP(F9,'All Products'!D:D,'All Products'!G:G,FALSE)</f>
        <v>140</v>
      </c>
      <c r="J9" s="123" t="str">
        <f>_xlfn.XLOOKUP(F9,'All Products'!D:D,'All Products'!H:H,FALSE)</f>
        <v>Quote Required</v>
      </c>
      <c r="K9" s="197">
        <f>IFERROR(ROUNDUP(J9*Order_Quote!$L$16,2),0)</f>
        <v>0</v>
      </c>
      <c r="L9" s="118"/>
      <c r="M9" s="76"/>
      <c r="N9" s="595">
        <f t="shared" ref="N9:N44" si="0">L9/H9</f>
        <v>0</v>
      </c>
      <c r="P9" s="567" t="str">
        <f>_xlfn.XLOOKUP(F9,'All Products'!D:D,'All Products'!I:I,FALSE)</f>
        <v>Within 6 Weeks</v>
      </c>
      <c r="Q9" s="567" t="str">
        <f>_xlfn.XLOOKUP(F9,'All Products'!D:D,'All Products'!J:J,FALSE)</f>
        <v>Sourced</v>
      </c>
      <c r="R9" s="569">
        <f>_xlfn.XLOOKUP(F9,'All Products'!D:D,'All Products'!K:K,FALSE)</f>
        <v>812361014776</v>
      </c>
      <c r="S9" s="569" t="str">
        <f>_xlfn.XLOOKUP(F9,'All Products'!D:D,'All Products'!L:L,FALSE)</f>
        <v>-</v>
      </c>
      <c r="T9" s="569" t="str">
        <f>_xlfn.XLOOKUP(F9,'All Products'!D:D,'All Products'!M:M,FALSE)</f>
        <v>-</v>
      </c>
      <c r="U9" s="570">
        <f>_xlfn.XLOOKUP(F9,'All Products'!D:D,'All Products'!N:N,FALSE)</f>
        <v>1.516</v>
      </c>
      <c r="V9" s="570">
        <f>_xlfn.XLOOKUP(F9,'All Products'!D:D,'All Products'!P:P,FALSE)</f>
        <v>12.128</v>
      </c>
      <c r="W9" s="570" t="str">
        <f>_xlfn.XLOOKUP(F9,'All Products'!D:D,'All Products'!Q:Q,FALSE)</f>
        <v>-</v>
      </c>
    </row>
    <row r="10" spans="1:23" ht="16.2" thickBot="1">
      <c r="A10" s="101" t="str">
        <f>IF(L10&gt;0,COUNT($A$8:A9)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10" s="446" t="s">
        <v>5797</v>
      </c>
      <c r="C10" s="151"/>
      <c r="D10" s="151"/>
      <c r="E10" s="459"/>
      <c r="F10" s="151"/>
      <c r="G10" s="468"/>
      <c r="H10" s="151"/>
      <c r="I10" s="472"/>
      <c r="J10" s="468"/>
      <c r="K10" s="477"/>
      <c r="L10" s="566"/>
      <c r="M10" s="20"/>
      <c r="N10" s="565"/>
      <c r="P10" s="357"/>
      <c r="Q10" s="493"/>
      <c r="R10" s="493"/>
      <c r="S10" s="493"/>
      <c r="T10" s="479"/>
      <c r="U10" s="459"/>
      <c r="V10" s="489"/>
      <c r="W10" s="582"/>
    </row>
    <row r="11" spans="1:23" ht="15.75" customHeight="1">
      <c r="A11" s="101" t="str">
        <f>IF(L11&gt;0,COUNT($A$8:A10)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11" s="615"/>
      <c r="C11" s="615"/>
      <c r="D11" s="103" t="s">
        <v>1310</v>
      </c>
      <c r="E11" s="51" t="str">
        <f>_xlfn.XLOOKUP(F11,'All Products'!D:D,'All Products'!C:C,FALSE)</f>
        <v>37-1002</v>
      </c>
      <c r="F11" s="52">
        <v>300003374</v>
      </c>
      <c r="G11" s="53" t="str">
        <f>_xlfn.XLOOKUP(F11,'All Products'!D:D,'All Products'!E:E,FALSE)</f>
        <v>4 REPAIR COUPLING GXG SDR26</v>
      </c>
      <c r="H11" s="124">
        <f>_xlfn.XLOOKUP(F11,'All Products'!D:D,'All Products'!F:F,FALSE)</f>
        <v>8</v>
      </c>
      <c r="I11" s="124" t="str">
        <f>_xlfn.XLOOKUP(F11,'All Products'!D:D,'All Products'!G:G,FALSE)</f>
        <v>-</v>
      </c>
      <c r="J11" s="123" t="str">
        <f>_xlfn.XLOOKUP(F11,'All Products'!D:D,'All Products'!H:H,FALSE)</f>
        <v>Quote Required</v>
      </c>
      <c r="K11" s="197">
        <f>IFERROR(ROUNDUP(J11*Order_Quote!$L$16,2),0)</f>
        <v>0</v>
      </c>
      <c r="L11" s="122"/>
      <c r="M11" s="76"/>
      <c r="N11" s="115">
        <f t="shared" si="0"/>
        <v>0</v>
      </c>
      <c r="P11" s="215" t="str">
        <f>_xlfn.XLOOKUP(F11,'All Products'!D:D,'All Products'!I:I,FALSE)</f>
        <v>Within 6 Weeks</v>
      </c>
      <c r="Q11" s="215" t="str">
        <f>_xlfn.XLOOKUP(F11,'All Products'!D:D,'All Products'!J:J,FALSE)</f>
        <v>Sourced</v>
      </c>
      <c r="R11" s="266">
        <f>_xlfn.XLOOKUP(F11,'All Products'!D:D,'All Products'!K:K,FALSE)</f>
        <v>812361014936</v>
      </c>
      <c r="S11" s="266" t="str">
        <f>_xlfn.XLOOKUP(F11,'All Products'!D:D,'All Products'!L:L,FALSE)</f>
        <v>-</v>
      </c>
      <c r="T11" s="266" t="str">
        <f>_xlfn.XLOOKUP(F11,'All Products'!D:D,'All Products'!M:M,FALSE)</f>
        <v>-</v>
      </c>
      <c r="U11" s="265">
        <f>_xlfn.XLOOKUP(F11,'All Products'!D:D,'All Products'!N:N,FALSE)</f>
        <v>3.621</v>
      </c>
      <c r="V11" s="265">
        <f>_xlfn.XLOOKUP(F11,'All Products'!D:D,'All Products'!P:P,FALSE)</f>
        <v>28.968</v>
      </c>
      <c r="W11" s="265" t="str">
        <f>_xlfn.XLOOKUP(F11,'All Products'!D:D,'All Products'!Q:Q,FALSE)</f>
        <v>-</v>
      </c>
    </row>
    <row r="12" spans="1:23" ht="15.75" customHeight="1">
      <c r="A12" s="101" t="str">
        <f>IF(L12&gt;0,COUNT($A$8:A11)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12" s="615"/>
      <c r="C12" s="615"/>
      <c r="D12" s="103" t="s">
        <v>1310</v>
      </c>
      <c r="E12" s="51" t="str">
        <f>_xlfn.XLOOKUP(F12,'All Products'!D:D,'All Products'!C:C,FALSE)</f>
        <v>37-1003</v>
      </c>
      <c r="F12" s="52">
        <v>300003398</v>
      </c>
      <c r="G12" s="53" t="str">
        <f>_xlfn.XLOOKUP(F12,'All Products'!D:D,'All Products'!E:E,FALSE)</f>
        <v>6 REPAIR COUPLING GXG SDR26</v>
      </c>
      <c r="H12" s="124">
        <f>_xlfn.XLOOKUP(F12,'All Products'!D:D,'All Products'!F:F,FALSE)</f>
        <v>4</v>
      </c>
      <c r="I12" s="124">
        <f>_xlfn.XLOOKUP(F12,'All Products'!D:D,'All Products'!G:G,FALSE)</f>
        <v>60</v>
      </c>
      <c r="J12" s="123" t="str">
        <f>_xlfn.XLOOKUP(F12,'All Products'!D:D,'All Products'!H:H,FALSE)</f>
        <v>Quote Required</v>
      </c>
      <c r="K12" s="197">
        <f>IFERROR(ROUNDUP(J12*Order_Quote!$L$16,2),0)</f>
        <v>0</v>
      </c>
      <c r="L12" s="118"/>
      <c r="M12" s="76"/>
      <c r="N12" s="115">
        <f t="shared" si="0"/>
        <v>0</v>
      </c>
      <c r="P12" s="215" t="str">
        <f>_xlfn.XLOOKUP(F12,'All Products'!D:D,'All Products'!I:I,FALSE)</f>
        <v>Within 6 Weeks</v>
      </c>
      <c r="Q12" s="215" t="str">
        <f>_xlfn.XLOOKUP(F12,'All Products'!D:D,'All Products'!J:J,FALSE)</f>
        <v>Sourced</v>
      </c>
      <c r="R12" s="266">
        <f>_xlfn.XLOOKUP(F12,'All Products'!D:D,'All Products'!K:K,FALSE)</f>
        <v>812361014950</v>
      </c>
      <c r="S12" s="266" t="str">
        <f>_xlfn.XLOOKUP(F12,'All Products'!D:D,'All Products'!L:L,FALSE)</f>
        <v>-</v>
      </c>
      <c r="T12" s="266" t="str">
        <f>_xlfn.XLOOKUP(F12,'All Products'!D:D,'All Products'!M:M,FALSE)</f>
        <v>-</v>
      </c>
      <c r="U12" s="265">
        <f>_xlfn.XLOOKUP(F12,'All Products'!D:D,'All Products'!N:N,FALSE)</f>
        <v>3.18</v>
      </c>
      <c r="V12" s="265">
        <f>_xlfn.XLOOKUP(F12,'All Products'!D:D,'All Products'!P:P,FALSE)</f>
        <v>12.72</v>
      </c>
      <c r="W12" s="265" t="str">
        <f>_xlfn.XLOOKUP(F12,'All Products'!D:D,'All Products'!Q:Q,FALSE)</f>
        <v>-</v>
      </c>
    </row>
    <row r="13" spans="1:23" ht="15.75" customHeight="1">
      <c r="A13" s="101" t="str">
        <f>IF(L13&gt;0,COUNT($A$8:A12)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13" s="615"/>
      <c r="C13" s="615"/>
      <c r="D13" s="103" t="s">
        <v>1310</v>
      </c>
      <c r="E13" s="51" t="str">
        <f>_xlfn.XLOOKUP(F13,'All Products'!D:D,'All Products'!C:C,FALSE)</f>
        <v>37-1004</v>
      </c>
      <c r="F13" s="52">
        <v>300003426</v>
      </c>
      <c r="G13" s="53" t="str">
        <f>_xlfn.XLOOKUP(F13,'All Products'!D:D,'All Products'!E:E,FALSE)</f>
        <v>8 REPAIR COUPLING GXG SDR26</v>
      </c>
      <c r="H13" s="124">
        <f>_xlfn.XLOOKUP(F13,'All Products'!D:D,'All Products'!F:F,FALSE)</f>
        <v>4</v>
      </c>
      <c r="I13" s="124">
        <f>_xlfn.XLOOKUP(F13,'All Products'!D:D,'All Products'!G:G,FALSE)</f>
        <v>38</v>
      </c>
      <c r="J13" s="123" t="str">
        <f>_xlfn.XLOOKUP(F13,'All Products'!D:D,'All Products'!H:H,FALSE)</f>
        <v>Quote Required</v>
      </c>
      <c r="K13" s="197">
        <f>IFERROR(ROUNDUP(J13*Order_Quote!$L$16,2),0)</f>
        <v>0</v>
      </c>
      <c r="L13" s="118"/>
      <c r="M13" s="76"/>
      <c r="N13" s="114">
        <f t="shared" si="0"/>
        <v>0</v>
      </c>
      <c r="P13" s="215" t="str">
        <f>_xlfn.XLOOKUP(F13,'All Products'!D:D,'All Products'!I:I,FALSE)</f>
        <v>Within 6 Weeks</v>
      </c>
      <c r="Q13" s="215" t="str">
        <f>_xlfn.XLOOKUP(F13,'All Products'!D:D,'All Products'!J:J,FALSE)</f>
        <v>Sourced</v>
      </c>
      <c r="R13" s="266">
        <f>_xlfn.XLOOKUP(F13,'All Products'!D:D,'All Products'!K:K,FALSE)</f>
        <v>812361014974</v>
      </c>
      <c r="S13" s="266" t="str">
        <f>_xlfn.XLOOKUP(F13,'All Products'!D:D,'All Products'!L:L,FALSE)</f>
        <v>-</v>
      </c>
      <c r="T13" s="266" t="str">
        <f>_xlfn.XLOOKUP(F13,'All Products'!D:D,'All Products'!M:M,FALSE)</f>
        <v>-</v>
      </c>
      <c r="U13" s="265">
        <f>_xlfn.XLOOKUP(F13,'All Products'!D:D,'All Products'!N:N,FALSE)</f>
        <v>7.38</v>
      </c>
      <c r="V13" s="265">
        <f>_xlfn.XLOOKUP(F13,'All Products'!D:D,'All Products'!P:P,FALSE)</f>
        <v>29.52</v>
      </c>
      <c r="W13" s="265" t="str">
        <f>_xlfn.XLOOKUP(F13,'All Products'!D:D,'All Products'!Q:Q,FALSE)</f>
        <v>-</v>
      </c>
    </row>
    <row r="14" spans="1:23" ht="15.75" customHeight="1">
      <c r="A14" s="101" t="str">
        <f>IF(L14&gt;0,COUNT($A$8:A13)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14" s="615"/>
      <c r="C14" s="615"/>
      <c r="D14" s="103" t="s">
        <v>1310</v>
      </c>
      <c r="E14" s="51" t="str">
        <f>_xlfn.XLOOKUP(F14,'All Products'!D:D,'All Products'!C:C,FALSE)</f>
        <v>37-1005</v>
      </c>
      <c r="F14" s="52">
        <v>300003375</v>
      </c>
      <c r="G14" s="53" t="str">
        <f>_xlfn.XLOOKUP(F14,'All Products'!D:D,'All Products'!E:E,FALSE)</f>
        <v>4 STOP COUPLING GXG SDR26</v>
      </c>
      <c r="H14" s="124">
        <f>_xlfn.XLOOKUP(F14,'All Products'!D:D,'All Products'!F:F,FALSE)</f>
        <v>8</v>
      </c>
      <c r="I14" s="124" t="str">
        <f>_xlfn.XLOOKUP(F14,'All Products'!D:D,'All Products'!G:G,FALSE)</f>
        <v>-</v>
      </c>
      <c r="J14" s="123" t="str">
        <f>_xlfn.XLOOKUP(F14,'All Products'!D:D,'All Products'!H:H,FALSE)</f>
        <v>Quote Required</v>
      </c>
      <c r="K14" s="197">
        <f>IFERROR(ROUNDUP(J14*Order_Quote!$L$16,2),0)</f>
        <v>0</v>
      </c>
      <c r="L14" s="122"/>
      <c r="M14" s="76"/>
      <c r="N14" s="115">
        <f t="shared" si="0"/>
        <v>0</v>
      </c>
      <c r="P14" s="215" t="str">
        <f>_xlfn.XLOOKUP(F14,'All Products'!D:D,'All Products'!I:I,FALSE)</f>
        <v>Within 6 Weeks</v>
      </c>
      <c r="Q14" s="215" t="str">
        <f>_xlfn.XLOOKUP(F14,'All Products'!D:D,'All Products'!J:J,FALSE)</f>
        <v>Sourced</v>
      </c>
      <c r="R14" s="266">
        <f>_xlfn.XLOOKUP(F14,'All Products'!D:D,'All Products'!K:K,FALSE)</f>
        <v>812361014813</v>
      </c>
      <c r="S14" s="266" t="str">
        <f>_xlfn.XLOOKUP(F14,'All Products'!D:D,'All Products'!L:L,FALSE)</f>
        <v>-</v>
      </c>
      <c r="T14" s="266" t="str">
        <f>_xlfn.XLOOKUP(F14,'All Products'!D:D,'All Products'!M:M,FALSE)</f>
        <v>-</v>
      </c>
      <c r="U14" s="265">
        <f>_xlfn.XLOOKUP(F14,'All Products'!D:D,'All Products'!N:N,FALSE)</f>
        <v>6.8769999999999998</v>
      </c>
      <c r="V14" s="265">
        <f>_xlfn.XLOOKUP(F14,'All Products'!D:D,'All Products'!P:P,FALSE)</f>
        <v>55.015999999999998</v>
      </c>
      <c r="W14" s="265" t="str">
        <f>_xlfn.XLOOKUP(F14,'All Products'!D:D,'All Products'!Q:Q,FALSE)</f>
        <v>-</v>
      </c>
    </row>
    <row r="15" spans="1:23" ht="15.75" customHeight="1" thickBot="1">
      <c r="A15" s="101" t="str">
        <f>IF(L15&gt;0,COUNT($A$8:A14)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15" s="615"/>
      <c r="C15" s="615"/>
      <c r="D15" s="103" t="s">
        <v>1310</v>
      </c>
      <c r="E15" s="51" t="str">
        <f>_xlfn.XLOOKUP(F15,'All Products'!D:D,'All Products'!C:C,FALSE)</f>
        <v>37-1006</v>
      </c>
      <c r="F15" s="52">
        <v>300003399</v>
      </c>
      <c r="G15" s="53" t="str">
        <f>_xlfn.XLOOKUP(F15,'All Products'!D:D,'All Products'!E:E,FALSE)</f>
        <v>6 STOP COUPLING GXG SDR26</v>
      </c>
      <c r="H15" s="124">
        <f>_xlfn.XLOOKUP(F15,'All Products'!D:D,'All Products'!F:F,FALSE)</f>
        <v>4</v>
      </c>
      <c r="I15" s="124">
        <f>_xlfn.XLOOKUP(F15,'All Products'!D:D,'All Products'!G:G,FALSE)</f>
        <v>60</v>
      </c>
      <c r="J15" s="123" t="str">
        <f>_xlfn.XLOOKUP(F15,'All Products'!D:D,'All Products'!H:H,FALSE)</f>
        <v>Quote Required</v>
      </c>
      <c r="K15" s="197">
        <f>IFERROR(ROUNDUP(J15*Order_Quote!$L$16,2),0)</f>
        <v>0</v>
      </c>
      <c r="L15" s="118"/>
      <c r="M15" s="76"/>
      <c r="N15" s="596">
        <f t="shared" si="0"/>
        <v>0</v>
      </c>
      <c r="P15" s="567" t="str">
        <f>_xlfn.XLOOKUP(F15,'All Products'!D:D,'All Products'!I:I,FALSE)</f>
        <v>Within 6 Weeks</v>
      </c>
      <c r="Q15" s="567" t="str">
        <f>_xlfn.XLOOKUP(F15,'All Products'!D:D,'All Products'!J:J,FALSE)</f>
        <v>Sourced</v>
      </c>
      <c r="R15" s="569">
        <f>_xlfn.XLOOKUP(F15,'All Products'!D:D,'All Products'!K:K,FALSE)</f>
        <v>812361014844</v>
      </c>
      <c r="S15" s="569" t="str">
        <f>_xlfn.XLOOKUP(F15,'All Products'!D:D,'All Products'!L:L,FALSE)</f>
        <v>-</v>
      </c>
      <c r="T15" s="569" t="str">
        <f>_xlfn.XLOOKUP(F15,'All Products'!D:D,'All Products'!M:M,FALSE)</f>
        <v>-</v>
      </c>
      <c r="U15" s="570">
        <f>_xlfn.XLOOKUP(F15,'All Products'!D:D,'All Products'!N:N,FALSE)</f>
        <v>2.41</v>
      </c>
      <c r="V15" s="570">
        <f>_xlfn.XLOOKUP(F15,'All Products'!D:D,'All Products'!P:P,FALSE)</f>
        <v>9.64</v>
      </c>
      <c r="W15" s="570" t="str">
        <f>_xlfn.XLOOKUP(F15,'All Products'!D:D,'All Products'!Q:Q,FALSE)</f>
        <v>-</v>
      </c>
    </row>
    <row r="16" spans="1:23" ht="16.2" thickBot="1">
      <c r="A16" s="101" t="str">
        <f>IF(L16&gt;0,COUNT($A$8:A15)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16" s="446" t="s">
        <v>5850</v>
      </c>
      <c r="C16" s="151"/>
      <c r="D16" s="151"/>
      <c r="E16" s="459"/>
      <c r="F16" s="151"/>
      <c r="G16" s="468"/>
      <c r="H16" s="151"/>
      <c r="I16" s="472"/>
      <c r="J16" s="468"/>
      <c r="K16" s="477"/>
      <c r="L16" s="566"/>
      <c r="M16" s="20"/>
      <c r="N16" s="565"/>
      <c r="P16" s="357"/>
      <c r="Q16" s="493"/>
      <c r="R16" s="493"/>
      <c r="S16" s="493"/>
      <c r="T16" s="479"/>
      <c r="U16" s="459"/>
      <c r="V16" s="489"/>
      <c r="W16" s="582"/>
    </row>
    <row r="17" spans="1:23" ht="15.75" customHeight="1">
      <c r="A17" s="101" t="str">
        <f>IF(L17&gt;0,COUNT($A$8:A16)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17" s="615"/>
      <c r="C17" s="615"/>
      <c r="D17" s="103" t="s">
        <v>1310</v>
      </c>
      <c r="E17" s="51" t="str">
        <f>_xlfn.XLOOKUP(F17,'All Products'!D:D,'All Products'!C:C,FALSE)</f>
        <v>37-1008</v>
      </c>
      <c r="F17" s="52">
        <v>100029347</v>
      </c>
      <c r="G17" s="53" t="str">
        <f>_xlfn.XLOOKUP(F17,'All Products'!D:D,'All Products'!E:E,FALSE)</f>
        <v>4 ELBOW 22.5 GXG SDR26</v>
      </c>
      <c r="H17" s="124">
        <f>_xlfn.XLOOKUP(F17,'All Products'!D:D,'All Products'!F:F,FALSE)</f>
        <v>18</v>
      </c>
      <c r="I17" s="124">
        <f>_xlfn.XLOOKUP(F17,'All Products'!D:D,'All Products'!G:G,FALSE)</f>
        <v>432</v>
      </c>
      <c r="J17" s="123">
        <f>_xlfn.XLOOKUP(F17,'All Products'!D:D,'All Products'!H:H,FALSE)</f>
        <v>166.36</v>
      </c>
      <c r="K17" s="197">
        <f>IFERROR(ROUNDUP(J17*Order_Quote!$L$16,2),0)</f>
        <v>166.36</v>
      </c>
      <c r="L17" s="122"/>
      <c r="M17" s="76"/>
      <c r="N17" s="115">
        <f t="shared" si="0"/>
        <v>0</v>
      </c>
      <c r="P17" s="215" t="str">
        <f>_xlfn.XLOOKUP(F17,'All Products'!D:D,'All Products'!I:I,FALSE)</f>
        <v>In Stock</v>
      </c>
      <c r="Q17" s="215" t="str">
        <f>_xlfn.XLOOKUP(F17,'All Products'!D:D,'All Products'!J:J,FALSE)</f>
        <v>Manufactured</v>
      </c>
      <c r="R17" s="266">
        <f>_xlfn.XLOOKUP(F17,'All Products'!D:D,'All Products'!K:K,FALSE)</f>
        <v>810673019090</v>
      </c>
      <c r="S17" s="266" t="str">
        <f>_xlfn.XLOOKUP(F17,'All Products'!D:D,'All Products'!L:L,FALSE)</f>
        <v>-</v>
      </c>
      <c r="T17" s="266">
        <f>_xlfn.XLOOKUP(F17,'All Products'!D:D,'All Products'!M:M,FALSE)</f>
        <v>812361018651</v>
      </c>
      <c r="U17" s="265">
        <f>_xlfn.XLOOKUP(F17,'All Products'!D:D,'All Products'!N:N,FALSE)</f>
        <v>1.05</v>
      </c>
      <c r="V17" s="265">
        <f>_xlfn.XLOOKUP(F17,'All Products'!D:D,'All Products'!P:P,FALSE)</f>
        <v>21.311999999999998</v>
      </c>
      <c r="W17" s="265">
        <f>_xlfn.XLOOKUP(F17,'All Products'!D:D,'All Products'!Q:Q,FALSE)</f>
        <v>1.8803145838984718</v>
      </c>
    </row>
    <row r="18" spans="1:23" ht="15.75" customHeight="1">
      <c r="A18" s="101" t="str">
        <f>IF(L18&gt;0,COUNT($A$8:A17)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18" s="615"/>
      <c r="C18" s="615"/>
      <c r="D18" s="103" t="s">
        <v>1310</v>
      </c>
      <c r="E18" s="51" t="str">
        <f>_xlfn.XLOOKUP(F18,'All Products'!D:D,'All Products'!C:C,FALSE)</f>
        <v>37-1009</v>
      </c>
      <c r="F18" s="52">
        <v>100029348</v>
      </c>
      <c r="G18" s="53" t="str">
        <f>_xlfn.XLOOKUP(F18,'All Products'!D:D,'All Products'!E:E,FALSE)</f>
        <v>6 ELBOW 22.5 GXG SDR26</v>
      </c>
      <c r="H18" s="124">
        <f>_xlfn.XLOOKUP(F18,'All Products'!D:D,'All Products'!F:F,FALSE)</f>
        <v>1</v>
      </c>
      <c r="I18" s="124">
        <f>_xlfn.XLOOKUP(F18,'All Products'!D:D,'All Products'!G:G,FALSE)</f>
        <v>120</v>
      </c>
      <c r="J18" s="123">
        <f>_xlfn.XLOOKUP(F18,'All Products'!D:D,'All Products'!H:H,FALSE)</f>
        <v>313.64</v>
      </c>
      <c r="K18" s="197">
        <f>IFERROR(ROUNDUP(J18*Order_Quote!$L$16,2),0)</f>
        <v>313.64</v>
      </c>
      <c r="L18" s="118"/>
      <c r="M18" s="76"/>
      <c r="N18" s="114">
        <f t="shared" si="0"/>
        <v>0</v>
      </c>
      <c r="P18" s="215" t="str">
        <f>_xlfn.XLOOKUP(F18,'All Products'!D:D,'All Products'!I:I,FALSE)</f>
        <v>In Stock</v>
      </c>
      <c r="Q18" s="215" t="str">
        <f>_xlfn.XLOOKUP(F18,'All Products'!D:D,'All Products'!J:J,FALSE)</f>
        <v>Manufactured</v>
      </c>
      <c r="R18" s="266">
        <f>_xlfn.XLOOKUP(F18,'All Products'!D:D,'All Products'!K:K,FALSE)</f>
        <v>810673019113</v>
      </c>
      <c r="S18" s="266" t="str">
        <f>_xlfn.XLOOKUP(F18,'All Products'!D:D,'All Products'!L:L,FALSE)</f>
        <v>-</v>
      </c>
      <c r="T18" s="266">
        <f>_xlfn.XLOOKUP(F18,'All Products'!D:D,'All Products'!M:M,FALSE)</f>
        <v>812361015834</v>
      </c>
      <c r="U18" s="265">
        <f>_xlfn.XLOOKUP(F18,'All Products'!D:D,'All Products'!N:N,FALSE)</f>
        <v>2.8439999999999999</v>
      </c>
      <c r="V18" s="265">
        <f>_xlfn.XLOOKUP(F18,'All Products'!D:D,'All Products'!P:P,FALSE)</f>
        <v>341.28</v>
      </c>
      <c r="W18" s="265">
        <f>_xlfn.XLOOKUP(F18,'All Products'!D:D,'All Products'!Q:Q,FALSE)</f>
        <v>53.333269333358928</v>
      </c>
    </row>
    <row r="19" spans="1:23" ht="15.75" customHeight="1">
      <c r="A19" s="101" t="str">
        <f>IF(L19&gt;0,COUNT($A$8:A18)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19" s="615"/>
      <c r="C19" s="615"/>
      <c r="D19" s="103" t="s">
        <v>1310</v>
      </c>
      <c r="E19" s="51" t="str">
        <f>_xlfn.XLOOKUP(F19,'All Products'!D:D,'All Products'!C:C,FALSE)</f>
        <v>37-155</v>
      </c>
      <c r="F19" s="52">
        <v>300005761</v>
      </c>
      <c r="G19" s="53" t="str">
        <f>_xlfn.XLOOKUP(F19,'All Products'!D:D,'All Products'!E:E,FALSE)</f>
        <v>8 ELBOW 22.5 GXG SDR26</v>
      </c>
      <c r="H19" s="124">
        <f>_xlfn.XLOOKUP(F19,'All Products'!D:D,'All Products'!F:F,FALSE)</f>
        <v>1</v>
      </c>
      <c r="I19" s="124">
        <f>_xlfn.XLOOKUP(F19,'All Products'!D:D,'All Products'!G:G,FALSE)</f>
        <v>70</v>
      </c>
      <c r="J19" s="123" t="str">
        <f>_xlfn.XLOOKUP(F19,'All Products'!D:D,'All Products'!H:H,FALSE)</f>
        <v>Quote Required</v>
      </c>
      <c r="K19" s="197">
        <f>IFERROR(ROUNDUP(J19*Order_Quote!$L$16,2),0)</f>
        <v>0</v>
      </c>
      <c r="L19" s="118"/>
      <c r="M19" s="76"/>
      <c r="N19" s="114">
        <f t="shared" si="0"/>
        <v>0</v>
      </c>
      <c r="P19" s="215" t="str">
        <f>_xlfn.XLOOKUP(F19,'All Products'!D:D,'All Products'!I:I,FALSE)</f>
        <v>Within 6 Weeks</v>
      </c>
      <c r="Q19" s="215" t="str">
        <f>_xlfn.XLOOKUP(F19,'All Products'!D:D,'All Products'!J:J,FALSE)</f>
        <v>Sourced</v>
      </c>
      <c r="R19" s="266">
        <f>_xlfn.XLOOKUP(F19,'All Products'!D:D,'All Products'!K:K,FALSE)</f>
        <v>810673019137</v>
      </c>
      <c r="S19" s="266" t="str">
        <f>_xlfn.XLOOKUP(F19,'All Products'!D:D,'All Products'!L:L,FALSE)</f>
        <v>-</v>
      </c>
      <c r="T19" s="266" t="str">
        <f>_xlfn.XLOOKUP(F19,'All Products'!D:D,'All Products'!M:M,FALSE)</f>
        <v>-</v>
      </c>
      <c r="U19" s="265">
        <f>_xlfn.XLOOKUP(F19,'All Products'!D:D,'All Products'!N:N,FALSE)</f>
        <v>5.5</v>
      </c>
      <c r="V19" s="265">
        <f>_xlfn.XLOOKUP(F19,'All Products'!D:D,'All Products'!P:P,FALSE)</f>
        <v>5.5</v>
      </c>
      <c r="W19" s="265" t="str">
        <f>_xlfn.XLOOKUP(F19,'All Products'!D:D,'All Products'!Q:Q,FALSE)</f>
        <v>-</v>
      </c>
    </row>
    <row r="20" spans="1:23" ht="15.75" customHeight="1">
      <c r="A20" s="101" t="str">
        <f>IF(L20&gt;0,COUNT($A$8:A19)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20" s="615"/>
      <c r="C20" s="615"/>
      <c r="D20" s="103" t="s">
        <v>1310</v>
      </c>
      <c r="E20" s="51" t="str">
        <f>_xlfn.XLOOKUP(F20,'All Products'!D:D,'All Products'!C:C,FALSE)</f>
        <v>37-1010</v>
      </c>
      <c r="F20" s="52">
        <v>100029345</v>
      </c>
      <c r="G20" s="53" t="str">
        <f>_xlfn.XLOOKUP(F20,'All Products'!D:D,'All Products'!E:E,FALSE)</f>
        <v>4 ELBOW 22.5 GXS SDR26</v>
      </c>
      <c r="H20" s="124">
        <f>_xlfn.XLOOKUP(F20,'All Products'!D:D,'All Products'!F:F,FALSE)</f>
        <v>18</v>
      </c>
      <c r="I20" s="124">
        <f>_xlfn.XLOOKUP(F20,'All Products'!D:D,'All Products'!G:G,FALSE)</f>
        <v>432</v>
      </c>
      <c r="J20" s="123">
        <f>_xlfn.XLOOKUP(F20,'All Products'!D:D,'All Products'!H:H,FALSE)</f>
        <v>159.29</v>
      </c>
      <c r="K20" s="197">
        <f>IFERROR(ROUNDUP(J20*Order_Quote!$L$16,2),0)</f>
        <v>159.29</v>
      </c>
      <c r="L20" s="122"/>
      <c r="M20" s="76"/>
      <c r="N20" s="115">
        <f t="shared" si="0"/>
        <v>0</v>
      </c>
      <c r="P20" s="215" t="str">
        <f>_xlfn.XLOOKUP(F20,'All Products'!D:D,'All Products'!I:I,FALSE)</f>
        <v>In Stock</v>
      </c>
      <c r="Q20" s="215" t="str">
        <f>_xlfn.XLOOKUP(F20,'All Products'!D:D,'All Products'!J:J,FALSE)</f>
        <v>Manufactured</v>
      </c>
      <c r="R20" s="266">
        <f>_xlfn.XLOOKUP(F20,'All Products'!D:D,'All Products'!K:K,FALSE)</f>
        <v>810673019151</v>
      </c>
      <c r="S20" s="266" t="str">
        <f>_xlfn.XLOOKUP(F20,'All Products'!D:D,'All Products'!L:L,FALSE)</f>
        <v>-</v>
      </c>
      <c r="T20" s="266">
        <f>_xlfn.XLOOKUP(F20,'All Products'!D:D,'All Products'!M:M,FALSE)</f>
        <v>812361018699</v>
      </c>
      <c r="U20" s="265">
        <f>_xlfn.XLOOKUP(F20,'All Products'!D:D,'All Products'!N:N,FALSE)</f>
        <v>0.86799999999999999</v>
      </c>
      <c r="V20" s="265">
        <f>_xlfn.XLOOKUP(F20,'All Products'!D:D,'All Products'!P:P,FALSE)</f>
        <v>17.765999999999998</v>
      </c>
      <c r="W20" s="265">
        <f>_xlfn.XLOOKUP(F20,'All Products'!D:D,'All Products'!Q:Q,FALSE)</f>
        <v>1.8803145838984718</v>
      </c>
    </row>
    <row r="21" spans="1:23" ht="15.75" customHeight="1">
      <c r="A21" s="101" t="str">
        <f>IF(L21&gt;0,COUNT($A$8:A20)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21" s="615"/>
      <c r="C21" s="615"/>
      <c r="D21" s="103" t="s">
        <v>1310</v>
      </c>
      <c r="E21" s="51" t="str">
        <f>_xlfn.XLOOKUP(F21,'All Products'!D:D,'All Products'!C:C,FALSE)</f>
        <v>37-1011</v>
      </c>
      <c r="F21" s="52">
        <v>100029346</v>
      </c>
      <c r="G21" s="53" t="str">
        <f>_xlfn.XLOOKUP(F21,'All Products'!D:D,'All Products'!E:E,FALSE)</f>
        <v>6 ELBOW 22.5 GXS SDR26</v>
      </c>
      <c r="H21" s="124">
        <f>_xlfn.XLOOKUP(F21,'All Products'!D:D,'All Products'!F:F,FALSE)</f>
        <v>1</v>
      </c>
      <c r="I21" s="124">
        <f>_xlfn.XLOOKUP(F21,'All Products'!D:D,'All Products'!G:G,FALSE)</f>
        <v>120</v>
      </c>
      <c r="J21" s="123">
        <f>_xlfn.XLOOKUP(F21,'All Products'!D:D,'All Products'!H:H,FALSE)</f>
        <v>300.45</v>
      </c>
      <c r="K21" s="197">
        <f>IFERROR(ROUNDUP(J21*Order_Quote!$L$16,2),0)</f>
        <v>300.45</v>
      </c>
      <c r="L21" s="118"/>
      <c r="M21" s="76"/>
      <c r="N21" s="114">
        <f t="shared" si="0"/>
        <v>0</v>
      </c>
      <c r="P21" s="215" t="str">
        <f>_xlfn.XLOOKUP(F21,'All Products'!D:D,'All Products'!I:I,FALSE)</f>
        <v>In Stock</v>
      </c>
      <c r="Q21" s="215" t="str">
        <f>_xlfn.XLOOKUP(F21,'All Products'!D:D,'All Products'!J:J,FALSE)</f>
        <v>Manufactured</v>
      </c>
      <c r="R21" s="266">
        <f>_xlfn.XLOOKUP(F21,'All Products'!D:D,'All Products'!K:K,FALSE)</f>
        <v>810673019175</v>
      </c>
      <c r="S21" s="266" t="str">
        <f>_xlfn.XLOOKUP(F21,'All Products'!D:D,'All Products'!L:L,FALSE)</f>
        <v>-</v>
      </c>
      <c r="T21" s="266">
        <f>_xlfn.XLOOKUP(F21,'All Products'!D:D,'All Products'!M:M,FALSE)</f>
        <v>812361015643</v>
      </c>
      <c r="U21" s="265">
        <f>_xlfn.XLOOKUP(F21,'All Products'!D:D,'All Products'!N:N,FALSE)</f>
        <v>2.5059999999999998</v>
      </c>
      <c r="V21" s="265">
        <f>_xlfn.XLOOKUP(F21,'All Products'!D:D,'All Products'!P:P,FALSE)</f>
        <v>300.71999999999997</v>
      </c>
      <c r="W21" s="265">
        <f>_xlfn.XLOOKUP(F21,'All Products'!D:D,'All Products'!Q:Q,FALSE)</f>
        <v>53.333269333358928</v>
      </c>
    </row>
    <row r="22" spans="1:23" ht="15.75" customHeight="1">
      <c r="A22" s="101" t="str">
        <f>IF(L22&gt;0,COUNT($A$8:A21)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22" s="615"/>
      <c r="C22" s="615"/>
      <c r="D22" s="103" t="s">
        <v>1310</v>
      </c>
      <c r="E22" s="51" t="str">
        <f>_xlfn.XLOOKUP(F22,'All Products'!D:D,'All Products'!C:C,FALSE)</f>
        <v>37-174</v>
      </c>
      <c r="F22" s="52">
        <v>300005762</v>
      </c>
      <c r="G22" s="53" t="str">
        <f>_xlfn.XLOOKUP(F22,'All Products'!D:D,'All Products'!E:E,FALSE)</f>
        <v>8 ELBOW 22.5 GXS SDR26</v>
      </c>
      <c r="H22" s="124">
        <f>_xlfn.XLOOKUP(F22,'All Products'!D:D,'All Products'!F:F,FALSE)</f>
        <v>1</v>
      </c>
      <c r="I22" s="124">
        <f>_xlfn.XLOOKUP(F22,'All Products'!D:D,'All Products'!G:G,FALSE)</f>
        <v>70</v>
      </c>
      <c r="J22" s="123" t="str">
        <f>_xlfn.XLOOKUP(F22,'All Products'!D:D,'All Products'!H:H,FALSE)</f>
        <v>Quote Required</v>
      </c>
      <c r="K22" s="197">
        <f>IFERROR(ROUNDUP(J22*Order_Quote!$L$16,2),0)</f>
        <v>0</v>
      </c>
      <c r="L22" s="118"/>
      <c r="M22" s="76"/>
      <c r="N22" s="115">
        <f t="shared" si="0"/>
        <v>0</v>
      </c>
      <c r="P22" s="215" t="str">
        <f>_xlfn.XLOOKUP(F22,'All Products'!D:D,'All Products'!I:I,FALSE)</f>
        <v>Within 6 Weeks</v>
      </c>
      <c r="Q22" s="215" t="str">
        <f>_xlfn.XLOOKUP(F22,'All Products'!D:D,'All Products'!J:J,FALSE)</f>
        <v>Sourced</v>
      </c>
      <c r="R22" s="266">
        <f>_xlfn.XLOOKUP(F22,'All Products'!D:D,'All Products'!K:K,FALSE)</f>
        <v>810673019199</v>
      </c>
      <c r="S22" s="266" t="str">
        <f>_xlfn.XLOOKUP(F22,'All Products'!D:D,'All Products'!L:L,FALSE)</f>
        <v>-</v>
      </c>
      <c r="T22" s="266" t="str">
        <f>_xlfn.XLOOKUP(F22,'All Products'!D:D,'All Products'!M:M,FALSE)</f>
        <v>-</v>
      </c>
      <c r="U22" s="265">
        <f>_xlfn.XLOOKUP(F22,'All Products'!D:D,'All Products'!N:N,FALSE)</f>
        <v>5.36</v>
      </c>
      <c r="V22" s="265">
        <f>_xlfn.XLOOKUP(F22,'All Products'!D:D,'All Products'!P:P,FALSE)</f>
        <v>5.36</v>
      </c>
      <c r="W22" s="265" t="str">
        <f>_xlfn.XLOOKUP(F22,'All Products'!D:D,'All Products'!Q:Q,FALSE)</f>
        <v>-</v>
      </c>
    </row>
    <row r="23" spans="1:23" ht="15.75" customHeight="1">
      <c r="A23" s="101" t="str">
        <f>IF(L23&gt;0,COUNT($A$8:A22)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23" s="615"/>
      <c r="C23" s="615"/>
      <c r="D23" s="103" t="s">
        <v>1310</v>
      </c>
      <c r="E23" s="51" t="str">
        <f>_xlfn.XLOOKUP(F23,'All Products'!D:D,'All Products'!C:C,FALSE)</f>
        <v>37-1012</v>
      </c>
      <c r="F23" s="52">
        <v>100029299</v>
      </c>
      <c r="G23" s="53" t="str">
        <f>_xlfn.XLOOKUP(F23,'All Products'!D:D,'All Products'!E:E,FALSE)</f>
        <v>4 ELBOW 45 GXG SDR26</v>
      </c>
      <c r="H23" s="124">
        <f>_xlfn.XLOOKUP(F23,'All Products'!D:D,'All Products'!F:F,FALSE)</f>
        <v>16</v>
      </c>
      <c r="I23" s="124">
        <f>_xlfn.XLOOKUP(F23,'All Products'!D:D,'All Products'!G:G,FALSE)</f>
        <v>384</v>
      </c>
      <c r="J23" s="123">
        <f>_xlfn.XLOOKUP(F23,'All Products'!D:D,'All Products'!H:H,FALSE)</f>
        <v>125.35</v>
      </c>
      <c r="K23" s="197">
        <f>IFERROR(ROUNDUP(J23*Order_Quote!$L$16,2),0)</f>
        <v>125.35</v>
      </c>
      <c r="L23" s="118"/>
      <c r="M23" s="76"/>
      <c r="N23" s="114">
        <f t="shared" si="0"/>
        <v>0</v>
      </c>
      <c r="P23" s="215" t="str">
        <f>_xlfn.XLOOKUP(F23,'All Products'!D:D,'All Products'!I:I,FALSE)</f>
        <v>In Stock</v>
      </c>
      <c r="Q23" s="215" t="str">
        <f>_xlfn.XLOOKUP(F23,'All Products'!D:D,'All Products'!J:J,FALSE)</f>
        <v>Manufactured</v>
      </c>
      <c r="R23" s="266">
        <f>_xlfn.XLOOKUP(F23,'All Products'!D:D,'All Products'!K:K,FALSE)</f>
        <v>810673018963</v>
      </c>
      <c r="S23" s="266" t="str">
        <f>_xlfn.XLOOKUP(F23,'All Products'!D:D,'All Products'!L:L,FALSE)</f>
        <v>-</v>
      </c>
      <c r="T23" s="266">
        <f>_xlfn.XLOOKUP(F23,'All Products'!D:D,'All Products'!M:M,FALSE)</f>
        <v>812361018644</v>
      </c>
      <c r="U23" s="265">
        <f>_xlfn.XLOOKUP(F23,'All Products'!D:D,'All Products'!N:N,FALSE)</f>
        <v>1.127</v>
      </c>
      <c r="V23" s="265">
        <f>_xlfn.XLOOKUP(F23,'All Products'!D:D,'All Products'!P:P,FALSE)</f>
        <v>20.224</v>
      </c>
      <c r="W23" s="265">
        <f>_xlfn.XLOOKUP(F23,'All Products'!D:D,'All Products'!Q:Q,FALSE)</f>
        <v>1.8803145838984718</v>
      </c>
    </row>
    <row r="24" spans="1:23" ht="15.75" customHeight="1">
      <c r="A24" s="101" t="str">
        <f>IF(L24&gt;0,COUNT($A$8:A23)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24" s="615"/>
      <c r="C24" s="615"/>
      <c r="D24" s="103" t="s">
        <v>1310</v>
      </c>
      <c r="E24" s="51" t="str">
        <f>_xlfn.XLOOKUP(F24,'All Products'!D:D,'All Products'!C:C,FALSE)</f>
        <v>37-1013</v>
      </c>
      <c r="F24" s="52">
        <v>100029300</v>
      </c>
      <c r="G24" s="53" t="str">
        <f>_xlfn.XLOOKUP(F24,'All Products'!D:D,'All Products'!E:E,FALSE)</f>
        <v>6 ELBOW 45 GXG SDR26</v>
      </c>
      <c r="H24" s="124">
        <f>_xlfn.XLOOKUP(F24,'All Products'!D:D,'All Products'!F:F,FALSE)</f>
        <v>1</v>
      </c>
      <c r="I24" s="124">
        <f>_xlfn.XLOOKUP(F24,'All Products'!D:D,'All Products'!G:G,FALSE)</f>
        <v>110</v>
      </c>
      <c r="J24" s="123">
        <f>_xlfn.XLOOKUP(F24,'All Products'!D:D,'All Products'!H:H,FALSE)</f>
        <v>230.11</v>
      </c>
      <c r="K24" s="197">
        <f>IFERROR(ROUNDUP(J24*Order_Quote!$L$16,2),0)</f>
        <v>230.11</v>
      </c>
      <c r="L24" s="118"/>
      <c r="M24" s="76"/>
      <c r="N24" s="115">
        <f t="shared" si="0"/>
        <v>0</v>
      </c>
      <c r="P24" s="215" t="str">
        <f>_xlfn.XLOOKUP(F24,'All Products'!D:D,'All Products'!I:I,FALSE)</f>
        <v>In Stock</v>
      </c>
      <c r="Q24" s="215" t="str">
        <f>_xlfn.XLOOKUP(F24,'All Products'!D:D,'All Products'!J:J,FALSE)</f>
        <v>Manufactured</v>
      </c>
      <c r="R24" s="266">
        <f>_xlfn.XLOOKUP(F24,'All Products'!D:D,'All Products'!K:K,FALSE)</f>
        <v>810673018987</v>
      </c>
      <c r="S24" s="266" t="str">
        <f>_xlfn.XLOOKUP(F24,'All Products'!D:D,'All Products'!L:L,FALSE)</f>
        <v>-</v>
      </c>
      <c r="T24" s="266">
        <f>_xlfn.XLOOKUP(F24,'All Products'!D:D,'All Products'!M:M,FALSE)</f>
        <v>812361017128</v>
      </c>
      <c r="U24" s="265">
        <f>_xlfn.XLOOKUP(F24,'All Products'!D:D,'All Products'!N:N,FALSE)</f>
        <v>3.181</v>
      </c>
      <c r="V24" s="265">
        <f>_xlfn.XLOOKUP(F24,'All Products'!D:D,'All Products'!P:P,FALSE)</f>
        <v>349.91</v>
      </c>
      <c r="W24" s="265">
        <f>_xlfn.XLOOKUP(F24,'All Products'!D:D,'All Products'!Q:Q,FALSE)</f>
        <v>53.333269333358928</v>
      </c>
    </row>
    <row r="25" spans="1:23" ht="15.75" customHeight="1">
      <c r="A25" s="101" t="str">
        <f>IF(L25&gt;0,COUNT($A$8:A24)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25" s="615"/>
      <c r="C25" s="615"/>
      <c r="D25" s="103" t="s">
        <v>1310</v>
      </c>
      <c r="E25" s="51" t="str">
        <f>_xlfn.XLOOKUP(F25,'All Products'!D:D,'All Products'!C:C,FALSE)</f>
        <v>37-156</v>
      </c>
      <c r="F25" s="52">
        <v>100029301</v>
      </c>
      <c r="G25" s="53" t="str">
        <f>_xlfn.XLOOKUP(F25,'All Products'!D:D,'All Products'!E:E,FALSE)</f>
        <v>8 ELBOW 45 GXG SDR26</v>
      </c>
      <c r="H25" s="124">
        <f>_xlfn.XLOOKUP(F25,'All Products'!D:D,'All Products'!F:F,FALSE)</f>
        <v>1</v>
      </c>
      <c r="I25" s="124">
        <f>_xlfn.XLOOKUP(F25,'All Products'!D:D,'All Products'!G:G,FALSE)</f>
        <v>48</v>
      </c>
      <c r="J25" s="123">
        <f>_xlfn.XLOOKUP(F25,'All Products'!D:D,'All Products'!H:H,FALSE)</f>
        <v>571.75</v>
      </c>
      <c r="K25" s="197">
        <f>IFERROR(ROUNDUP(J25*Order_Quote!$L$16,2),0)</f>
        <v>571.75</v>
      </c>
      <c r="L25" s="118"/>
      <c r="M25" s="76"/>
      <c r="N25" s="115">
        <f t="shared" si="0"/>
        <v>0</v>
      </c>
      <c r="P25" s="215" t="str">
        <f>_xlfn.XLOOKUP(F25,'All Products'!D:D,'All Products'!I:I,FALSE)</f>
        <v>In Stock</v>
      </c>
      <c r="Q25" s="215" t="str">
        <f>_xlfn.XLOOKUP(F25,'All Products'!D:D,'All Products'!J:J,FALSE)</f>
        <v>Manufactured</v>
      </c>
      <c r="R25" s="266">
        <f>_xlfn.XLOOKUP(F25,'All Products'!D:D,'All Products'!K:K,FALSE)</f>
        <v>810673019007</v>
      </c>
      <c r="S25" s="266" t="str">
        <f>_xlfn.XLOOKUP(F25,'All Products'!D:D,'All Products'!L:L,FALSE)</f>
        <v>-</v>
      </c>
      <c r="T25" s="266">
        <f>_xlfn.XLOOKUP(F25,'All Products'!D:D,'All Products'!M:M,FALSE)</f>
        <v>812361015797</v>
      </c>
      <c r="U25" s="265">
        <f>_xlfn.XLOOKUP(F25,'All Products'!D:D,'All Products'!N:N,FALSE)</f>
        <v>6.7640000000000002</v>
      </c>
      <c r="V25" s="265">
        <f>_xlfn.XLOOKUP(F25,'All Products'!D:D,'All Products'!P:P,FALSE)</f>
        <v>324.67200000000003</v>
      </c>
      <c r="W25" s="265">
        <f>_xlfn.XLOOKUP(F25,'All Products'!D:D,'All Products'!Q:Q,FALSE)</f>
        <v>53.333269333358928</v>
      </c>
    </row>
    <row r="26" spans="1:23" ht="15.75" customHeight="1">
      <c r="A26" s="101" t="str">
        <f>IF(L26&gt;0,COUNT($A$8:A25)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26" s="615"/>
      <c r="C26" s="615"/>
      <c r="D26" s="103" t="s">
        <v>1310</v>
      </c>
      <c r="E26" s="51" t="str">
        <f>_xlfn.XLOOKUP(F26,'All Products'!D:D,'All Products'!C:C,FALSE)</f>
        <v>37-1014</v>
      </c>
      <c r="F26" s="52">
        <v>100029296</v>
      </c>
      <c r="G26" s="53" t="str">
        <f>_xlfn.XLOOKUP(F26,'All Products'!D:D,'All Products'!E:E,FALSE)</f>
        <v>4 ELBOW 45 GXS SDR26</v>
      </c>
      <c r="H26" s="124">
        <f>_xlfn.XLOOKUP(F26,'All Products'!D:D,'All Products'!F:F,FALSE)</f>
        <v>16</v>
      </c>
      <c r="I26" s="124">
        <f>_xlfn.XLOOKUP(F26,'All Products'!D:D,'All Products'!G:G,FALSE)</f>
        <v>384</v>
      </c>
      <c r="J26" s="123">
        <f>_xlfn.XLOOKUP(F26,'All Products'!D:D,'All Products'!H:H,FALSE)</f>
        <v>115.73</v>
      </c>
      <c r="K26" s="197">
        <f>IFERROR(ROUNDUP(J26*Order_Quote!$L$16,2),0)</f>
        <v>115.73</v>
      </c>
      <c r="L26" s="122"/>
      <c r="M26" s="76"/>
      <c r="N26" s="114">
        <f t="shared" si="0"/>
        <v>0</v>
      </c>
      <c r="P26" s="215" t="str">
        <f>_xlfn.XLOOKUP(F26,'All Products'!D:D,'All Products'!I:I,FALSE)</f>
        <v>In Stock</v>
      </c>
      <c r="Q26" s="215" t="str">
        <f>_xlfn.XLOOKUP(F26,'All Products'!D:D,'All Products'!J:J,FALSE)</f>
        <v>Manufactured</v>
      </c>
      <c r="R26" s="266">
        <f>_xlfn.XLOOKUP(F26,'All Products'!D:D,'All Products'!K:K,FALSE)</f>
        <v>810673019021</v>
      </c>
      <c r="S26" s="266" t="str">
        <f>_xlfn.XLOOKUP(F26,'All Products'!D:D,'All Products'!L:L,FALSE)</f>
        <v>-</v>
      </c>
      <c r="T26" s="266">
        <f>_xlfn.XLOOKUP(F26,'All Products'!D:D,'All Products'!M:M,FALSE)</f>
        <v>812361018668</v>
      </c>
      <c r="U26" s="265">
        <f>_xlfn.XLOOKUP(F26,'All Products'!D:D,'All Products'!N:N,FALSE)</f>
        <v>1.0409999999999999</v>
      </c>
      <c r="V26" s="265">
        <f>_xlfn.XLOOKUP(F26,'All Products'!D:D,'All Products'!P:P,FALSE)</f>
        <v>18.847999999999999</v>
      </c>
      <c r="W26" s="265">
        <f>_xlfn.XLOOKUP(F26,'All Products'!D:D,'All Products'!Q:Q,FALSE)</f>
        <v>1.8803145838984718</v>
      </c>
    </row>
    <row r="27" spans="1:23" ht="15.75" customHeight="1">
      <c r="A27" s="101" t="str">
        <f>IF(L27&gt;0,COUNT($A$8:A26)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27" s="615"/>
      <c r="C27" s="615"/>
      <c r="D27" s="103" t="s">
        <v>1310</v>
      </c>
      <c r="E27" s="51" t="str">
        <f>_xlfn.XLOOKUP(F27,'All Products'!D:D,'All Products'!C:C,FALSE)</f>
        <v>37-1015</v>
      </c>
      <c r="F27" s="52">
        <v>100029297</v>
      </c>
      <c r="G27" s="53" t="str">
        <f>_xlfn.XLOOKUP(F27,'All Products'!D:D,'All Products'!E:E,FALSE)</f>
        <v>6 ELBOW 45 GXS SDR26</v>
      </c>
      <c r="H27" s="124">
        <f>_xlfn.XLOOKUP(F27,'All Products'!D:D,'All Products'!F:F,FALSE)</f>
        <v>1</v>
      </c>
      <c r="I27" s="124">
        <f>_xlfn.XLOOKUP(F27,'All Products'!D:D,'All Products'!G:G,FALSE)</f>
        <v>120</v>
      </c>
      <c r="J27" s="123">
        <f>_xlfn.XLOOKUP(F27,'All Products'!D:D,'All Products'!H:H,FALSE)</f>
        <v>169.98</v>
      </c>
      <c r="K27" s="197">
        <f>IFERROR(ROUNDUP(J27*Order_Quote!$L$16,2),0)</f>
        <v>169.98</v>
      </c>
      <c r="L27" s="118"/>
      <c r="M27" s="76"/>
      <c r="N27" s="115">
        <f t="shared" si="0"/>
        <v>0</v>
      </c>
      <c r="P27" s="215" t="str">
        <f>_xlfn.XLOOKUP(F27,'All Products'!D:D,'All Products'!I:I,FALSE)</f>
        <v>In Stock</v>
      </c>
      <c r="Q27" s="215" t="str">
        <f>_xlfn.XLOOKUP(F27,'All Products'!D:D,'All Products'!J:J,FALSE)</f>
        <v>Manufactured</v>
      </c>
      <c r="R27" s="266">
        <f>_xlfn.XLOOKUP(F27,'All Products'!D:D,'All Products'!K:K,FALSE)</f>
        <v>810673019052</v>
      </c>
      <c r="S27" s="266" t="str">
        <f>_xlfn.XLOOKUP(F27,'All Products'!D:D,'All Products'!L:L,FALSE)</f>
        <v>-</v>
      </c>
      <c r="T27" s="266">
        <f>_xlfn.XLOOKUP(F27,'All Products'!D:D,'All Products'!M:M,FALSE)</f>
        <v>812361015650</v>
      </c>
      <c r="U27" s="265">
        <f>_xlfn.XLOOKUP(F27,'All Products'!D:D,'All Products'!N:N,FALSE)</f>
        <v>2.9289999999999998</v>
      </c>
      <c r="V27" s="265">
        <f>_xlfn.XLOOKUP(F27,'All Products'!D:D,'All Products'!P:P,FALSE)</f>
        <v>351.47999999999996</v>
      </c>
      <c r="W27" s="265">
        <f>_xlfn.XLOOKUP(F27,'All Products'!D:D,'All Products'!Q:Q,FALSE)</f>
        <v>53.333269333358928</v>
      </c>
    </row>
    <row r="28" spans="1:23" ht="15.75" customHeight="1">
      <c r="A28" s="101" t="str">
        <f>IF(L28&gt;0,COUNT($A$8:A27)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28" s="615"/>
      <c r="C28" s="615"/>
      <c r="D28" s="103" t="s">
        <v>1310</v>
      </c>
      <c r="E28" s="51" t="str">
        <f>_xlfn.XLOOKUP(F28,'All Products'!D:D,'All Products'!C:C,FALSE)</f>
        <v>37-175</v>
      </c>
      <c r="F28" s="52">
        <v>100029298</v>
      </c>
      <c r="G28" s="53" t="str">
        <f>_xlfn.XLOOKUP(F28,'All Products'!D:D,'All Products'!E:E,FALSE)</f>
        <v>8 ELBOW 45 GXS SDR26</v>
      </c>
      <c r="H28" s="124">
        <f>_xlfn.XLOOKUP(F28,'All Products'!D:D,'All Products'!F:F,FALSE)</f>
        <v>1</v>
      </c>
      <c r="I28" s="124">
        <f>_xlfn.XLOOKUP(F28,'All Products'!D:D,'All Products'!G:G,FALSE)</f>
        <v>48</v>
      </c>
      <c r="J28" s="123">
        <f>_xlfn.XLOOKUP(F28,'All Products'!D:D,'All Products'!H:H,FALSE)</f>
        <v>571.75</v>
      </c>
      <c r="K28" s="197">
        <f>IFERROR(ROUNDUP(J28*Order_Quote!$L$16,2),0)</f>
        <v>571.75</v>
      </c>
      <c r="L28" s="118"/>
      <c r="M28" s="76"/>
      <c r="N28" s="114">
        <f t="shared" si="0"/>
        <v>0</v>
      </c>
      <c r="P28" s="215" t="str">
        <f>_xlfn.XLOOKUP(F28,'All Products'!D:D,'All Products'!I:I,FALSE)</f>
        <v>Within 3 Weeks</v>
      </c>
      <c r="Q28" s="215" t="str">
        <f>_xlfn.XLOOKUP(F28,'All Products'!D:D,'All Products'!J:J,FALSE)</f>
        <v>Manufactured</v>
      </c>
      <c r="R28" s="266">
        <f>_xlfn.XLOOKUP(F28,'All Products'!D:D,'All Products'!K:K,FALSE)</f>
        <v>810673019076</v>
      </c>
      <c r="S28" s="266" t="str">
        <f>_xlfn.XLOOKUP(F28,'All Products'!D:D,'All Products'!L:L,FALSE)</f>
        <v>-</v>
      </c>
      <c r="T28" s="266">
        <f>_xlfn.XLOOKUP(F28,'All Products'!D:D,'All Products'!M:M,FALSE)</f>
        <v>812361015766</v>
      </c>
      <c r="U28" s="265">
        <f>_xlfn.XLOOKUP(F28,'All Products'!D:D,'All Products'!N:N,FALSE)</f>
        <v>6.274</v>
      </c>
      <c r="V28" s="265">
        <f>_xlfn.XLOOKUP(F28,'All Products'!D:D,'All Products'!P:P,FALSE)</f>
        <v>301.15199999999999</v>
      </c>
      <c r="W28" s="265">
        <f>_xlfn.XLOOKUP(F28,'All Products'!D:D,'All Products'!Q:Q,FALSE)</f>
        <v>53.333269333358928</v>
      </c>
    </row>
    <row r="29" spans="1:23" ht="15.75" customHeight="1">
      <c r="A29" s="101" t="str">
        <f>IF(L29&gt;0,COUNT($A$8:A28)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29" s="615"/>
      <c r="C29" s="615"/>
      <c r="D29" s="103" t="s">
        <v>1310</v>
      </c>
      <c r="E29" s="51" t="str">
        <f>_xlfn.XLOOKUP(F29,'All Products'!D:D,'All Products'!C:C,FALSE)</f>
        <v>37-1016</v>
      </c>
      <c r="F29" s="52">
        <v>100029295</v>
      </c>
      <c r="G29" s="53" t="str">
        <f>_xlfn.XLOOKUP(F29,'All Products'!D:D,'All Products'!E:E,FALSE)</f>
        <v>4 ELBOW 90 GXG SDR26</v>
      </c>
      <c r="H29" s="124">
        <f>_xlfn.XLOOKUP(F29,'All Products'!D:D,'All Products'!F:F,FALSE)</f>
        <v>10</v>
      </c>
      <c r="I29" s="124">
        <f>_xlfn.XLOOKUP(F29,'All Products'!D:D,'All Products'!G:G,FALSE)</f>
        <v>240</v>
      </c>
      <c r="J29" s="123">
        <f>_xlfn.XLOOKUP(F29,'All Products'!D:D,'All Products'!H:H,FALSE)</f>
        <v>222.71</v>
      </c>
      <c r="K29" s="197">
        <f>IFERROR(ROUNDUP(J29*Order_Quote!$L$16,2),0)</f>
        <v>222.71</v>
      </c>
      <c r="L29" s="122"/>
      <c r="M29" s="76"/>
      <c r="N29" s="115">
        <f t="shared" si="0"/>
        <v>0</v>
      </c>
      <c r="P29" s="215" t="str">
        <f>_xlfn.XLOOKUP(F29,'All Products'!D:D,'All Products'!I:I,FALSE)</f>
        <v>In Stock</v>
      </c>
      <c r="Q29" s="215" t="str">
        <f>_xlfn.XLOOKUP(F29,'All Products'!D:D,'All Products'!J:J,FALSE)</f>
        <v>Manufactured</v>
      </c>
      <c r="R29" s="266">
        <f>_xlfn.XLOOKUP(F29,'All Products'!D:D,'All Products'!K:K,FALSE)</f>
        <v>810673018840</v>
      </c>
      <c r="S29" s="266" t="str">
        <f>_xlfn.XLOOKUP(F29,'All Products'!D:D,'All Products'!L:L,FALSE)</f>
        <v>-</v>
      </c>
      <c r="T29" s="266">
        <f>_xlfn.XLOOKUP(F29,'All Products'!D:D,'All Products'!M:M,FALSE)</f>
        <v>810673018857</v>
      </c>
      <c r="U29" s="265">
        <f>_xlfn.XLOOKUP(F29,'All Products'!D:D,'All Products'!N:N,FALSE)</f>
        <v>1.452</v>
      </c>
      <c r="V29" s="265">
        <f>_xlfn.XLOOKUP(F29,'All Products'!D:D,'All Products'!P:P,FALSE)</f>
        <v>16.690000000000001</v>
      </c>
      <c r="W29" s="265">
        <f>_xlfn.XLOOKUP(F29,'All Products'!D:D,'All Products'!Q:Q,FALSE)</f>
        <v>1.8803145838984718</v>
      </c>
    </row>
    <row r="30" spans="1:23" ht="15.75" customHeight="1">
      <c r="A30" s="101" t="str">
        <f>IF(L30&gt;0,COUNT($A$8:A29)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30" s="615"/>
      <c r="C30" s="615"/>
      <c r="D30" s="103" t="s">
        <v>1310</v>
      </c>
      <c r="E30" s="51" t="str">
        <f>_xlfn.XLOOKUP(F30,'All Products'!D:D,'All Products'!C:C,FALSE)</f>
        <v>37-1017</v>
      </c>
      <c r="F30" s="52">
        <v>100029302</v>
      </c>
      <c r="G30" s="53" t="str">
        <f>_xlfn.XLOOKUP(F30,'All Products'!D:D,'All Products'!E:E,FALSE)</f>
        <v>6 ELBOW 90 GXG SDR26</v>
      </c>
      <c r="H30" s="124">
        <f>_xlfn.XLOOKUP(F30,'All Products'!D:D,'All Products'!F:F,FALSE)</f>
        <v>1</v>
      </c>
      <c r="I30" s="124">
        <f>_xlfn.XLOOKUP(F30,'All Products'!D:D,'All Products'!G:G,FALSE)</f>
        <v>100</v>
      </c>
      <c r="J30" s="123">
        <f>_xlfn.XLOOKUP(F30,'All Products'!D:D,'All Products'!H:H,FALSE)</f>
        <v>244.39</v>
      </c>
      <c r="K30" s="197">
        <f>IFERROR(ROUNDUP(J30*Order_Quote!$L$16,2),0)</f>
        <v>244.39</v>
      </c>
      <c r="L30" s="118"/>
      <c r="M30" s="76"/>
      <c r="N30" s="115">
        <f t="shared" si="0"/>
        <v>0</v>
      </c>
      <c r="P30" s="215" t="str">
        <f>_xlfn.XLOOKUP(F30,'All Products'!D:D,'All Products'!I:I,FALSE)</f>
        <v>In Stock</v>
      </c>
      <c r="Q30" s="215" t="str">
        <f>_xlfn.XLOOKUP(F30,'All Products'!D:D,'All Products'!J:J,FALSE)</f>
        <v>Manufactured</v>
      </c>
      <c r="R30" s="266">
        <f>_xlfn.XLOOKUP(F30,'All Products'!D:D,'All Products'!K:K,FALSE)</f>
        <v>810673018864</v>
      </c>
      <c r="S30" s="266" t="str">
        <f>_xlfn.XLOOKUP(F30,'All Products'!D:D,'All Products'!L:L,FALSE)</f>
        <v>-</v>
      </c>
      <c r="T30" s="266">
        <f>_xlfn.XLOOKUP(F30,'All Products'!D:D,'All Products'!M:M,FALSE)</f>
        <v>812361015636</v>
      </c>
      <c r="U30" s="265">
        <f>_xlfn.XLOOKUP(F30,'All Products'!D:D,'All Products'!N:N,FALSE)</f>
        <v>3.8</v>
      </c>
      <c r="V30" s="265">
        <f>_xlfn.XLOOKUP(F30,'All Products'!D:D,'All Products'!P:P,FALSE)</f>
        <v>380</v>
      </c>
      <c r="W30" s="265">
        <f>_xlfn.XLOOKUP(F30,'All Products'!D:D,'All Products'!Q:Q,FALSE)</f>
        <v>53.333269333358928</v>
      </c>
    </row>
    <row r="31" spans="1:23" ht="15.75" customHeight="1">
      <c r="A31" s="101" t="str">
        <f>IF(L31&gt;0,COUNT($A$8:A30)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31" s="615"/>
      <c r="C31" s="615"/>
      <c r="D31" s="103" t="s">
        <v>1310</v>
      </c>
      <c r="E31" s="51" t="str">
        <f>_xlfn.XLOOKUP(F31,'All Products'!D:D,'All Products'!C:C,FALSE)</f>
        <v>37-157</v>
      </c>
      <c r="F31" s="52">
        <v>300005842</v>
      </c>
      <c r="G31" s="53" t="str">
        <f>_xlfn.XLOOKUP(F31,'All Products'!D:D,'All Products'!E:E,FALSE)</f>
        <v>8 ELBOW 90 GXG SDR26</v>
      </c>
      <c r="H31" s="124">
        <f>_xlfn.XLOOKUP(F31,'All Products'!D:D,'All Products'!F:F,FALSE)</f>
        <v>1</v>
      </c>
      <c r="I31" s="124">
        <f>_xlfn.XLOOKUP(F31,'All Products'!D:D,'All Products'!G:G,FALSE)</f>
        <v>45</v>
      </c>
      <c r="J31" s="123" t="str">
        <f>_xlfn.XLOOKUP(F31,'All Products'!D:D,'All Products'!H:H,FALSE)</f>
        <v>Quote Required</v>
      </c>
      <c r="K31" s="197">
        <f>IFERROR(ROUNDUP(J31*Order_Quote!$L$16,2),0)</f>
        <v>0</v>
      </c>
      <c r="L31" s="118"/>
      <c r="M31" s="76"/>
      <c r="N31" s="114">
        <f t="shared" si="0"/>
        <v>0</v>
      </c>
      <c r="P31" s="215" t="str">
        <f>_xlfn.XLOOKUP(F31,'All Products'!D:D,'All Products'!I:I,FALSE)</f>
        <v>Within 6 Weeks</v>
      </c>
      <c r="Q31" s="215" t="str">
        <f>_xlfn.XLOOKUP(F31,'All Products'!D:D,'All Products'!J:J,FALSE)</f>
        <v>Sourced</v>
      </c>
      <c r="R31" s="266">
        <f>_xlfn.XLOOKUP(F31,'All Products'!D:D,'All Products'!K:K,FALSE)</f>
        <v>810673018888</v>
      </c>
      <c r="S31" s="266" t="str">
        <f>_xlfn.XLOOKUP(F31,'All Products'!D:D,'All Products'!L:L,FALSE)</f>
        <v>-</v>
      </c>
      <c r="T31" s="266" t="str">
        <f>_xlfn.XLOOKUP(F31,'All Products'!D:D,'All Products'!M:M,FALSE)</f>
        <v>-</v>
      </c>
      <c r="U31" s="265">
        <f>_xlfn.XLOOKUP(F31,'All Products'!D:D,'All Products'!N:N,FALSE)</f>
        <v>9.5</v>
      </c>
      <c r="V31" s="265">
        <f>_xlfn.XLOOKUP(F31,'All Products'!D:D,'All Products'!P:P,FALSE)</f>
        <v>9.5</v>
      </c>
      <c r="W31" s="265" t="str">
        <f>_xlfn.XLOOKUP(F31,'All Products'!D:D,'All Products'!Q:Q,FALSE)</f>
        <v>-</v>
      </c>
    </row>
    <row r="32" spans="1:23" ht="15.75" customHeight="1">
      <c r="A32" s="101" t="str">
        <f>IF(L32&gt;0,COUNT($A$8:A31)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32" s="610"/>
      <c r="C32" s="611"/>
      <c r="D32" s="103" t="s">
        <v>1310</v>
      </c>
      <c r="E32" s="51" t="str">
        <f>_xlfn.XLOOKUP(F32,'All Products'!D:D,'All Products'!C:C,FALSE)</f>
        <v>37-3690</v>
      </c>
      <c r="F32" s="52">
        <v>300003395</v>
      </c>
      <c r="G32" s="53" t="str">
        <f>_xlfn.XLOOKUP(F32,'All Products'!D:D,'All Products'!E:E,FALSE)</f>
        <v>6 ELBOW 90 LONG TURN GXG SDR26</v>
      </c>
      <c r="H32" s="124">
        <f>_xlfn.XLOOKUP(F32,'All Products'!D:D,'All Products'!F:F,FALSE)</f>
        <v>4</v>
      </c>
      <c r="I32" s="124">
        <f>_xlfn.XLOOKUP(F32,'All Products'!D:D,'All Products'!G:G,FALSE)</f>
        <v>24</v>
      </c>
      <c r="J32" s="123" t="str">
        <f>_xlfn.XLOOKUP(F32,'All Products'!D:D,'All Products'!H:H,FALSE)</f>
        <v>Quote Required</v>
      </c>
      <c r="K32" s="197">
        <f>IFERROR(ROUNDUP(J32*Order_Quote!$L$16,2),0)</f>
        <v>0</v>
      </c>
      <c r="L32" s="122"/>
      <c r="M32" s="76"/>
      <c r="N32" s="115">
        <f t="shared" si="0"/>
        <v>0</v>
      </c>
      <c r="P32" s="215" t="str">
        <f>_xlfn.XLOOKUP(F32,'All Products'!D:D,'All Products'!I:I,FALSE)</f>
        <v>Within 6 Weeks</v>
      </c>
      <c r="Q32" s="215" t="str">
        <f>_xlfn.XLOOKUP(F32,'All Products'!D:D,'All Products'!J:J,FALSE)</f>
        <v>Sourced</v>
      </c>
      <c r="R32" s="266">
        <f>_xlfn.XLOOKUP(F32,'All Products'!D:D,'All Products'!K:K,FALSE)</f>
        <v>810116843671</v>
      </c>
      <c r="S32" s="266" t="str">
        <f>_xlfn.XLOOKUP(F32,'All Products'!D:D,'All Products'!L:L,FALSE)</f>
        <v>-</v>
      </c>
      <c r="T32" s="266" t="str">
        <f>_xlfn.XLOOKUP(F32,'All Products'!D:D,'All Products'!M:M,FALSE)</f>
        <v>-</v>
      </c>
      <c r="U32" s="265">
        <f>_xlfn.XLOOKUP(F32,'All Products'!D:D,'All Products'!N:N,FALSE)</f>
        <v>5.29</v>
      </c>
      <c r="V32" s="265">
        <f>_xlfn.XLOOKUP(F32,'All Products'!D:D,'All Products'!P:P,FALSE)</f>
        <v>21.16</v>
      </c>
      <c r="W32" s="265" t="str">
        <f>_xlfn.XLOOKUP(F32,'All Products'!D:D,'All Products'!Q:Q,FALSE)</f>
        <v>-</v>
      </c>
    </row>
    <row r="33" spans="1:23" ht="15.75" customHeight="1">
      <c r="A33" s="101" t="str">
        <f>IF(L33&gt;0,COUNT($A$8:A32)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33" s="612"/>
      <c r="C33" s="613"/>
      <c r="D33" s="103" t="s">
        <v>1310</v>
      </c>
      <c r="E33" s="51" t="str">
        <f>_xlfn.XLOOKUP(F33,'All Products'!D:D,'All Products'!C:C,FALSE)</f>
        <v>37-781</v>
      </c>
      <c r="F33" s="52">
        <v>300003424</v>
      </c>
      <c r="G33" s="53" t="str">
        <f>_xlfn.XLOOKUP(F33,'All Products'!D:D,'All Products'!E:E,FALSE)</f>
        <v>8 ELBOW 90 LONG TURN GXG SDR26</v>
      </c>
      <c r="H33" s="124">
        <f>_xlfn.XLOOKUP(F33,'All Products'!D:D,'All Products'!F:F,FALSE)</f>
        <v>2</v>
      </c>
      <c r="I33" s="124">
        <f>_xlfn.XLOOKUP(F33,'All Products'!D:D,'All Products'!G:G,FALSE)</f>
        <v>12</v>
      </c>
      <c r="J33" s="123" t="str">
        <f>_xlfn.XLOOKUP(F33,'All Products'!D:D,'All Products'!H:H,FALSE)</f>
        <v>Quote Required</v>
      </c>
      <c r="K33" s="197">
        <f>IFERROR(ROUNDUP(J33*Order_Quote!$L$16,2),0)</f>
        <v>0</v>
      </c>
      <c r="L33" s="122"/>
      <c r="M33" s="76"/>
      <c r="N33" s="114">
        <f t="shared" si="0"/>
        <v>0</v>
      </c>
      <c r="P33" s="215" t="str">
        <f>_xlfn.XLOOKUP(F33,'All Products'!D:D,'All Products'!I:I,FALSE)</f>
        <v>Within 6 Weeks</v>
      </c>
      <c r="Q33" s="215" t="str">
        <f>_xlfn.XLOOKUP(F33,'All Products'!D:D,'All Products'!J:J,FALSE)</f>
        <v>Sourced</v>
      </c>
      <c r="R33" s="266">
        <f>_xlfn.XLOOKUP(F33,'All Products'!D:D,'All Products'!K:K,FALSE)</f>
        <v>812361011249</v>
      </c>
      <c r="S33" s="266" t="str">
        <f>_xlfn.XLOOKUP(F33,'All Products'!D:D,'All Products'!L:L,FALSE)</f>
        <v>-</v>
      </c>
      <c r="T33" s="266" t="str">
        <f>_xlfn.XLOOKUP(F33,'All Products'!D:D,'All Products'!M:M,FALSE)</f>
        <v>-</v>
      </c>
      <c r="U33" s="265">
        <f>_xlfn.XLOOKUP(F33,'All Products'!D:D,'All Products'!N:N,FALSE)</f>
        <v>11.609</v>
      </c>
      <c r="V33" s="265">
        <f>_xlfn.XLOOKUP(F33,'All Products'!D:D,'All Products'!P:P,FALSE)</f>
        <v>23.218</v>
      </c>
      <c r="W33" s="265" t="str">
        <f>_xlfn.XLOOKUP(F33,'All Products'!D:D,'All Products'!Q:Q,FALSE)</f>
        <v>-</v>
      </c>
    </row>
    <row r="34" spans="1:23" ht="15.75" customHeight="1">
      <c r="A34" s="101" t="str">
        <f>IF(L34&gt;0,COUNT($A$8:A33)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34" s="615"/>
      <c r="C34" s="615"/>
      <c r="D34" s="103" t="s">
        <v>1310</v>
      </c>
      <c r="E34" s="51" t="str">
        <f>_xlfn.XLOOKUP(F34,'All Products'!D:D,'All Products'!C:C,FALSE)</f>
        <v>37-1020</v>
      </c>
      <c r="F34" s="52">
        <v>300005840</v>
      </c>
      <c r="G34" s="53" t="str">
        <f>_xlfn.XLOOKUP(F34,'All Products'!D:D,'All Products'!E:E,FALSE)</f>
        <v>4 ELBOW 90 GXS SDR26</v>
      </c>
      <c r="H34" s="124">
        <f>_xlfn.XLOOKUP(F34,'All Products'!D:D,'All Products'!F:F,FALSE)</f>
        <v>10</v>
      </c>
      <c r="I34" s="124">
        <f>_xlfn.XLOOKUP(F34,'All Products'!D:D,'All Products'!G:G,FALSE)</f>
        <v>240</v>
      </c>
      <c r="J34" s="123" t="str">
        <f>_xlfn.XLOOKUP(F34,'All Products'!D:D,'All Products'!H:H,FALSE)</f>
        <v>Quote Required</v>
      </c>
      <c r="K34" s="197">
        <f>IFERROR(ROUNDUP(J34*Order_Quote!$L$16,2),0)</f>
        <v>0</v>
      </c>
      <c r="L34" s="122"/>
      <c r="M34" s="76"/>
      <c r="N34" s="114">
        <f t="shared" si="0"/>
        <v>0</v>
      </c>
      <c r="P34" s="215" t="str">
        <f>_xlfn.XLOOKUP(F34,'All Products'!D:D,'All Products'!I:I,FALSE)</f>
        <v>Within 6 Weeks</v>
      </c>
      <c r="Q34" s="215" t="str">
        <f>_xlfn.XLOOKUP(F34,'All Products'!D:D,'All Products'!J:J,FALSE)</f>
        <v>Sourced</v>
      </c>
      <c r="R34" s="266">
        <f>_xlfn.XLOOKUP(F34,'All Products'!D:D,'All Products'!K:K,FALSE)</f>
        <v>810673018901</v>
      </c>
      <c r="S34" s="266" t="str">
        <f>_xlfn.XLOOKUP(F34,'All Products'!D:D,'All Products'!L:L,FALSE)</f>
        <v>-</v>
      </c>
      <c r="T34" s="266" t="str">
        <f>_xlfn.XLOOKUP(F34,'All Products'!D:D,'All Products'!M:M,FALSE)</f>
        <v>-</v>
      </c>
      <c r="U34" s="265">
        <f>_xlfn.XLOOKUP(F34,'All Products'!D:D,'All Products'!N:N,FALSE)</f>
        <v>1.2070000000000001</v>
      </c>
      <c r="V34" s="265">
        <f>_xlfn.XLOOKUP(F34,'All Products'!D:D,'All Products'!P:P,FALSE)</f>
        <v>12.07</v>
      </c>
      <c r="W34" s="265" t="str">
        <f>_xlfn.XLOOKUP(F34,'All Products'!D:D,'All Products'!Q:Q,FALSE)</f>
        <v>-</v>
      </c>
    </row>
    <row r="35" spans="1:23" ht="15.75" customHeight="1">
      <c r="A35" s="101" t="str">
        <f>IF(L35&gt;0,COUNT($A$8:A34)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35" s="615"/>
      <c r="C35" s="615"/>
      <c r="D35" s="103" t="s">
        <v>1310</v>
      </c>
      <c r="E35" s="51" t="str">
        <f>_xlfn.XLOOKUP(F35,'All Products'!D:D,'All Products'!C:C,FALSE)</f>
        <v>37-1021</v>
      </c>
      <c r="F35" s="52">
        <v>300005758</v>
      </c>
      <c r="G35" s="53" t="str">
        <f>_xlfn.XLOOKUP(F35,'All Products'!D:D,'All Products'!E:E,FALSE)</f>
        <v>6 ELBOW 90 GXS SDR26</v>
      </c>
      <c r="H35" s="124">
        <f>_xlfn.XLOOKUP(F35,'All Products'!D:D,'All Products'!F:F,FALSE)</f>
        <v>4</v>
      </c>
      <c r="I35" s="124">
        <f>_xlfn.XLOOKUP(F35,'All Products'!D:D,'All Products'!G:G,FALSE)</f>
        <v>100</v>
      </c>
      <c r="J35" s="123" t="str">
        <f>_xlfn.XLOOKUP(F35,'All Products'!D:D,'All Products'!H:H,FALSE)</f>
        <v>Quote Required</v>
      </c>
      <c r="K35" s="197">
        <f>IFERROR(ROUNDUP(J35*Order_Quote!$L$16,2),0)</f>
        <v>0</v>
      </c>
      <c r="L35" s="118"/>
      <c r="M35" s="76"/>
      <c r="N35" s="115">
        <f t="shared" si="0"/>
        <v>0</v>
      </c>
      <c r="P35" s="215" t="str">
        <f>_xlfn.XLOOKUP(F35,'All Products'!D:D,'All Products'!I:I,FALSE)</f>
        <v>Within 6 Weeks</v>
      </c>
      <c r="Q35" s="215" t="str">
        <f>_xlfn.XLOOKUP(F35,'All Products'!D:D,'All Products'!J:J,FALSE)</f>
        <v>Sourced</v>
      </c>
      <c r="R35" s="266">
        <f>_xlfn.XLOOKUP(F35,'All Products'!D:D,'All Products'!K:K,FALSE)</f>
        <v>810673018925</v>
      </c>
      <c r="S35" s="266" t="str">
        <f>_xlfn.XLOOKUP(F35,'All Products'!D:D,'All Products'!L:L,FALSE)</f>
        <v>-</v>
      </c>
      <c r="T35" s="266" t="str">
        <f>_xlfn.XLOOKUP(F35,'All Products'!D:D,'All Products'!M:M,FALSE)</f>
        <v>-</v>
      </c>
      <c r="U35" s="265">
        <f>_xlfn.XLOOKUP(F35,'All Products'!D:D,'All Products'!N:N,FALSE)</f>
        <v>3.4460000000000002</v>
      </c>
      <c r="V35" s="265">
        <f>_xlfn.XLOOKUP(F35,'All Products'!D:D,'All Products'!P:P,FALSE)</f>
        <v>13.784000000000001</v>
      </c>
      <c r="W35" s="265" t="str">
        <f>_xlfn.XLOOKUP(F35,'All Products'!D:D,'All Products'!Q:Q,FALSE)</f>
        <v>-</v>
      </c>
    </row>
    <row r="36" spans="1:23" ht="15.75" customHeight="1">
      <c r="A36" s="101" t="str">
        <f>IF(L36&gt;0,COUNT($A$8:A35)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36" s="615"/>
      <c r="C36" s="615"/>
      <c r="D36" s="103" t="s">
        <v>1310</v>
      </c>
      <c r="E36" s="51" t="str">
        <f>_xlfn.XLOOKUP(F36,'All Products'!D:D,'All Products'!C:C,FALSE)</f>
        <v>37-176</v>
      </c>
      <c r="F36" s="52">
        <v>300005843</v>
      </c>
      <c r="G36" s="53" t="str">
        <f>_xlfn.XLOOKUP(F36,'All Products'!D:D,'All Products'!E:E,FALSE)</f>
        <v>8 ELBOW 90 GXS SDR26</v>
      </c>
      <c r="H36" s="124">
        <f>_xlfn.XLOOKUP(F36,'All Products'!D:D,'All Products'!F:F,FALSE)</f>
        <v>1</v>
      </c>
      <c r="I36" s="124">
        <f>_xlfn.XLOOKUP(F36,'All Products'!D:D,'All Products'!G:G,FALSE)</f>
        <v>45</v>
      </c>
      <c r="J36" s="123" t="str">
        <f>_xlfn.XLOOKUP(F36,'All Products'!D:D,'All Products'!H:H,FALSE)</f>
        <v>Quote Required</v>
      </c>
      <c r="K36" s="197">
        <f>IFERROR(ROUNDUP(J36*Order_Quote!$L$16,2),0)</f>
        <v>0</v>
      </c>
      <c r="L36" s="118"/>
      <c r="M36" s="76"/>
      <c r="N36" s="115">
        <f t="shared" si="0"/>
        <v>0</v>
      </c>
      <c r="P36" s="215" t="str">
        <f>_xlfn.XLOOKUP(F36,'All Products'!D:D,'All Products'!I:I,FALSE)</f>
        <v>Within 6 Weeks</v>
      </c>
      <c r="Q36" s="215" t="str">
        <f>_xlfn.XLOOKUP(F36,'All Products'!D:D,'All Products'!J:J,FALSE)</f>
        <v>Sourced</v>
      </c>
      <c r="R36" s="266">
        <f>_xlfn.XLOOKUP(F36,'All Products'!D:D,'All Products'!K:K,FALSE)</f>
        <v>810673018949</v>
      </c>
      <c r="S36" s="266" t="str">
        <f>_xlfn.XLOOKUP(F36,'All Products'!D:D,'All Products'!L:L,FALSE)</f>
        <v>-</v>
      </c>
      <c r="T36" s="266" t="str">
        <f>_xlfn.XLOOKUP(F36,'All Products'!D:D,'All Products'!M:M,FALSE)</f>
        <v>-</v>
      </c>
      <c r="U36" s="265">
        <f>_xlfn.XLOOKUP(F36,'All Products'!D:D,'All Products'!N:N,FALSE)</f>
        <v>7.3769999999999998</v>
      </c>
      <c r="V36" s="265">
        <f>_xlfn.XLOOKUP(F36,'All Products'!D:D,'All Products'!P:P,FALSE)</f>
        <v>7.3769999999999998</v>
      </c>
      <c r="W36" s="265" t="str">
        <f>_xlfn.XLOOKUP(F36,'All Products'!D:D,'All Products'!Q:Q,FALSE)</f>
        <v>-</v>
      </c>
    </row>
    <row r="37" spans="1:23" ht="43.5" customHeight="1" thickBot="1">
      <c r="A37" s="101" t="str">
        <f>IF(L37&gt;0,COUNT($A$8:A36)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37" s="608"/>
      <c r="C37" s="609"/>
      <c r="D37" s="103" t="s">
        <v>1310</v>
      </c>
      <c r="E37" s="51" t="str">
        <f>_xlfn.XLOOKUP(F37,'All Products'!D:D,'All Products'!C:C,FALSE)</f>
        <v>37-782</v>
      </c>
      <c r="F37" s="52">
        <v>300003373</v>
      </c>
      <c r="G37" s="53" t="str">
        <f>_xlfn.XLOOKUP(F37,'All Products'!D:D,'All Products'!E:E,FALSE)</f>
        <v>4 ELBOW 90 LONG TURN GXS SDR26</v>
      </c>
      <c r="H37" s="124">
        <f>_xlfn.XLOOKUP(F37,'All Products'!D:D,'All Products'!F:F,FALSE)</f>
        <v>6</v>
      </c>
      <c r="I37" s="124" t="str">
        <f>_xlfn.XLOOKUP(F37,'All Products'!D:D,'All Products'!G:G,FALSE)</f>
        <v>-</v>
      </c>
      <c r="J37" s="123" t="str">
        <f>_xlfn.XLOOKUP(F37,'All Products'!D:D,'All Products'!H:H,FALSE)</f>
        <v>Quote Required</v>
      </c>
      <c r="K37" s="197">
        <f>IFERROR(ROUNDUP(J37*Order_Quote!$L$16,2),0)</f>
        <v>0</v>
      </c>
      <c r="L37" s="122"/>
      <c r="M37" s="76"/>
      <c r="N37" s="595">
        <f t="shared" si="0"/>
        <v>0</v>
      </c>
      <c r="P37" s="567" t="str">
        <f>_xlfn.XLOOKUP(F37,'All Products'!D:D,'All Products'!I:I,FALSE)</f>
        <v>Within 6 Weeks</v>
      </c>
      <c r="Q37" s="567" t="str">
        <f>_xlfn.XLOOKUP(F37,'All Products'!D:D,'All Products'!J:J,FALSE)</f>
        <v>Sourced</v>
      </c>
      <c r="R37" s="569">
        <f>_xlfn.XLOOKUP(F37,'All Products'!D:D,'All Products'!K:K,FALSE)</f>
        <v>812361011263</v>
      </c>
      <c r="S37" s="569" t="str">
        <f>_xlfn.XLOOKUP(F37,'All Products'!D:D,'All Products'!L:L,FALSE)</f>
        <v>-</v>
      </c>
      <c r="T37" s="569" t="str">
        <f>_xlfn.XLOOKUP(F37,'All Products'!D:D,'All Products'!M:M,FALSE)</f>
        <v>-</v>
      </c>
      <c r="U37" s="570">
        <f>_xlfn.XLOOKUP(F37,'All Products'!D:D,'All Products'!N:N,FALSE)</f>
        <v>1.899</v>
      </c>
      <c r="V37" s="570">
        <f>_xlfn.XLOOKUP(F37,'All Products'!D:D,'All Products'!P:P,FALSE)</f>
        <v>11.394</v>
      </c>
      <c r="W37" s="570" t="str">
        <f>_xlfn.XLOOKUP(F37,'All Products'!D:D,'All Products'!Q:Q,FALSE)</f>
        <v>-</v>
      </c>
    </row>
    <row r="38" spans="1:23" ht="16.2" thickBot="1">
      <c r="A38" s="101" t="str">
        <f>IF(L38&gt;0,COUNT($A$8:A37)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38" s="446" t="s">
        <v>5861</v>
      </c>
      <c r="C38" s="151"/>
      <c r="D38" s="151"/>
      <c r="E38" s="459"/>
      <c r="F38" s="151"/>
      <c r="G38" s="468"/>
      <c r="H38" s="151"/>
      <c r="I38" s="472"/>
      <c r="J38" s="468"/>
      <c r="K38" s="477"/>
      <c r="L38" s="566"/>
      <c r="M38" s="20"/>
      <c r="N38" s="565"/>
      <c r="P38" s="357"/>
      <c r="Q38" s="493"/>
      <c r="R38" s="493"/>
      <c r="S38" s="493"/>
      <c r="T38" s="479"/>
      <c r="U38" s="459"/>
      <c r="V38" s="489"/>
      <c r="W38" s="582"/>
    </row>
    <row r="39" spans="1:23" ht="15.75" customHeight="1">
      <c r="A39" s="101" t="str">
        <f>IF(L39&gt;0,COUNT($A$8:A38)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39" s="615"/>
      <c r="C39" s="615"/>
      <c r="D39" s="103" t="s">
        <v>1310</v>
      </c>
      <c r="E39" s="51" t="str">
        <f>_xlfn.XLOOKUP(F39,'All Products'!D:D,'All Products'!C:C,FALSE)</f>
        <v>37-1022</v>
      </c>
      <c r="F39" s="52">
        <v>300003407</v>
      </c>
      <c r="G39" s="53" t="str">
        <f>_xlfn.XLOOKUP(F39,'All Products'!D:D,'All Products'!E:E,FALSE)</f>
        <v>6X4 INCR COUPLING CONC GXG SDR26</v>
      </c>
      <c r="H39" s="124">
        <f>_xlfn.XLOOKUP(F39,'All Products'!D:D,'All Products'!F:F,FALSE)</f>
        <v>4</v>
      </c>
      <c r="I39" s="124" t="str">
        <f>_xlfn.XLOOKUP(F39,'All Products'!D:D,'All Products'!G:G,FALSE)</f>
        <v>-</v>
      </c>
      <c r="J39" s="123" t="str">
        <f>_xlfn.XLOOKUP(F39,'All Products'!D:D,'All Products'!H:H,FALSE)</f>
        <v>Quote Required</v>
      </c>
      <c r="K39" s="197">
        <f>IFERROR(ROUNDUP(J39*Order_Quote!$L$16,2),0)</f>
        <v>0</v>
      </c>
      <c r="L39" s="122"/>
      <c r="M39" s="76"/>
      <c r="N39" s="115">
        <f t="shared" si="0"/>
        <v>0</v>
      </c>
      <c r="P39" s="215" t="str">
        <f>_xlfn.XLOOKUP(F39,'All Products'!D:D,'All Products'!I:I,FALSE)</f>
        <v>Within 6 Weeks</v>
      </c>
      <c r="Q39" s="215" t="str">
        <f>_xlfn.XLOOKUP(F39,'All Products'!D:D,'All Products'!J:J,FALSE)</f>
        <v>Sourced</v>
      </c>
      <c r="R39" s="266">
        <f>_xlfn.XLOOKUP(F39,'All Products'!D:D,'All Products'!K:K,FALSE)</f>
        <v>812361014875</v>
      </c>
      <c r="S39" s="266" t="str">
        <f>_xlfn.XLOOKUP(F39,'All Products'!D:D,'All Products'!L:L,FALSE)</f>
        <v>-</v>
      </c>
      <c r="T39" s="266" t="str">
        <f>_xlfn.XLOOKUP(F39,'All Products'!D:D,'All Products'!M:M,FALSE)</f>
        <v>-</v>
      </c>
      <c r="U39" s="265">
        <f>_xlfn.XLOOKUP(F39,'All Products'!D:D,'All Products'!N:N,FALSE)</f>
        <v>5.4560000000000004</v>
      </c>
      <c r="V39" s="265">
        <f>_xlfn.XLOOKUP(F39,'All Products'!D:D,'All Products'!P:P,FALSE)</f>
        <v>21.824000000000002</v>
      </c>
      <c r="W39" s="265" t="str">
        <f>_xlfn.XLOOKUP(F39,'All Products'!D:D,'All Products'!Q:Q,FALSE)</f>
        <v>-</v>
      </c>
    </row>
    <row r="40" spans="1:23" ht="15.75" customHeight="1">
      <c r="A40" s="101" t="str">
        <f>IF(L40&gt;0,COUNT($A$8:A39)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40" s="615"/>
      <c r="C40" s="615"/>
      <c r="D40" s="103" t="s">
        <v>1310</v>
      </c>
      <c r="E40" s="51" t="str">
        <f>_xlfn.XLOOKUP(F40,'All Products'!D:D,'All Products'!C:C,FALSE)</f>
        <v>37-55</v>
      </c>
      <c r="F40" s="103">
        <v>300003439</v>
      </c>
      <c r="G40" s="53" t="str">
        <f>_xlfn.XLOOKUP(F40,'All Products'!D:D,'All Products'!E:E,FALSE)</f>
        <v>8X4 INCR COUPLING CONC GXG SDR26</v>
      </c>
      <c r="H40" s="124">
        <f>_xlfn.XLOOKUP(F40,'All Products'!D:D,'All Products'!F:F,FALSE)</f>
        <v>4</v>
      </c>
      <c r="I40" s="124" t="str">
        <f>_xlfn.XLOOKUP(F40,'All Products'!D:D,'All Products'!G:G,FALSE)</f>
        <v>-</v>
      </c>
      <c r="J40" s="123" t="str">
        <f>_xlfn.XLOOKUP(F40,'All Products'!D:D,'All Products'!H:H,FALSE)</f>
        <v>Quote Required</v>
      </c>
      <c r="K40" s="197">
        <f>IFERROR(ROUNDUP(J40*Order_Quote!$L$16,2),0)</f>
        <v>0</v>
      </c>
      <c r="L40" s="118"/>
      <c r="M40" s="76"/>
      <c r="N40" s="114">
        <f t="shared" si="0"/>
        <v>0</v>
      </c>
      <c r="P40" s="215" t="str">
        <f>_xlfn.XLOOKUP(F40,'All Products'!D:D,'All Products'!I:I,FALSE)</f>
        <v>Within 6 Weeks</v>
      </c>
      <c r="Q40" s="215" t="str">
        <f>_xlfn.XLOOKUP(F40,'All Products'!D:D,'All Products'!J:J,FALSE)</f>
        <v>Sourced</v>
      </c>
      <c r="R40" s="266">
        <f>_xlfn.XLOOKUP(F40,'All Products'!D:D,'All Products'!K:K,FALSE)</f>
        <v>812361014899</v>
      </c>
      <c r="S40" s="266" t="str">
        <f>_xlfn.XLOOKUP(F40,'All Products'!D:D,'All Products'!L:L,FALSE)</f>
        <v>-</v>
      </c>
      <c r="T40" s="266" t="str">
        <f>_xlfn.XLOOKUP(F40,'All Products'!D:D,'All Products'!M:M,FALSE)</f>
        <v>-</v>
      </c>
      <c r="U40" s="265">
        <f>_xlfn.XLOOKUP(F40,'All Products'!D:D,'All Products'!N:N,FALSE)</f>
        <v>7.9749999999999996</v>
      </c>
      <c r="V40" s="265">
        <f>_xlfn.XLOOKUP(F40,'All Products'!D:D,'All Products'!P:P,FALSE)</f>
        <v>31.9</v>
      </c>
      <c r="W40" s="265" t="str">
        <f>_xlfn.XLOOKUP(F40,'All Products'!D:D,'All Products'!Q:Q,FALSE)</f>
        <v>-</v>
      </c>
    </row>
    <row r="41" spans="1:23" ht="15.75" customHeight="1">
      <c r="A41" s="101" t="str">
        <f>IF(L41&gt;0,COUNT($A$8:A40)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41" s="615"/>
      <c r="C41" s="615"/>
      <c r="D41" s="103" t="s">
        <v>1310</v>
      </c>
      <c r="E41" s="51" t="str">
        <f>_xlfn.XLOOKUP(F41,'All Products'!D:D,'All Products'!C:C,FALSE)</f>
        <v>37-59</v>
      </c>
      <c r="F41" s="52">
        <v>300003448</v>
      </c>
      <c r="G41" s="53" t="str">
        <f>_xlfn.XLOOKUP(F41,'All Products'!D:D,'All Products'!E:E,FALSE)</f>
        <v>8X6 INCR COUPLING CONC GXG SDR26</v>
      </c>
      <c r="H41" s="124">
        <f>_xlfn.XLOOKUP(F41,'All Products'!D:D,'All Products'!F:F,FALSE)</f>
        <v>4</v>
      </c>
      <c r="I41" s="124" t="str">
        <f>_xlfn.XLOOKUP(F41,'All Products'!D:D,'All Products'!G:G,FALSE)</f>
        <v>-</v>
      </c>
      <c r="J41" s="123" t="str">
        <f>_xlfn.XLOOKUP(F41,'All Products'!D:D,'All Products'!H:H,FALSE)</f>
        <v>Quote Required</v>
      </c>
      <c r="K41" s="197">
        <f>IFERROR(ROUNDUP(J41*Order_Quote!$L$16,2),0)</f>
        <v>0</v>
      </c>
      <c r="L41" s="118"/>
      <c r="M41" s="76"/>
      <c r="N41" s="114">
        <f t="shared" si="0"/>
        <v>0</v>
      </c>
      <c r="P41" s="215" t="str">
        <f>_xlfn.XLOOKUP(F41,'All Products'!D:D,'All Products'!I:I,FALSE)</f>
        <v>Within 6 Weeks</v>
      </c>
      <c r="Q41" s="215" t="str">
        <f>_xlfn.XLOOKUP(F41,'All Products'!D:D,'All Products'!J:J,FALSE)</f>
        <v>Sourced</v>
      </c>
      <c r="R41" s="266">
        <f>_xlfn.XLOOKUP(F41,'All Products'!D:D,'All Products'!K:K,FALSE)</f>
        <v>812361014912</v>
      </c>
      <c r="S41" s="266" t="str">
        <f>_xlfn.XLOOKUP(F41,'All Products'!D:D,'All Products'!L:L,FALSE)</f>
        <v>-</v>
      </c>
      <c r="T41" s="266" t="str">
        <f>_xlfn.XLOOKUP(F41,'All Products'!D:D,'All Products'!M:M,FALSE)</f>
        <v>-</v>
      </c>
      <c r="U41" s="265">
        <f>_xlfn.XLOOKUP(F41,'All Products'!D:D,'All Products'!N:N,FALSE)</f>
        <v>4.8</v>
      </c>
      <c r="V41" s="265">
        <f>_xlfn.XLOOKUP(F41,'All Products'!D:D,'All Products'!P:P,FALSE)</f>
        <v>19.2</v>
      </c>
      <c r="W41" s="265" t="str">
        <f>_xlfn.XLOOKUP(F41,'All Products'!D:D,'All Products'!Q:Q,FALSE)</f>
        <v>-</v>
      </c>
    </row>
    <row r="42" spans="1:23" ht="51" customHeight="1" thickBot="1">
      <c r="A42" s="101" t="str">
        <f>IF(L42&gt;0,COUNT($A$8:A41)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42" s="616"/>
      <c r="C42" s="617"/>
      <c r="D42" s="103" t="s">
        <v>1310</v>
      </c>
      <c r="E42" s="51" t="str">
        <f>_xlfn.XLOOKUP(F42,'All Products'!D:D,'All Products'!C:C,FALSE)</f>
        <v>37-2003</v>
      </c>
      <c r="F42" s="52">
        <v>300005760</v>
      </c>
      <c r="G42" s="53" t="str">
        <f>_xlfn.XLOOKUP(F42,'All Products'!D:D,'All Products'!E:E,FALSE)</f>
        <v>6X4 REDUCER BUSHING ECC SXG SDR26</v>
      </c>
      <c r="H42" s="124">
        <f>_xlfn.XLOOKUP(F42,'All Products'!D:D,'All Products'!F:F,FALSE)</f>
        <v>16</v>
      </c>
      <c r="I42" s="124">
        <f>_xlfn.XLOOKUP(F42,'All Products'!D:D,'All Products'!G:G,FALSE)</f>
        <v>288</v>
      </c>
      <c r="J42" s="123" t="str">
        <f>_xlfn.XLOOKUP(F42,'All Products'!D:D,'All Products'!H:H,FALSE)</f>
        <v>Quote Required</v>
      </c>
      <c r="K42" s="197">
        <f>IFERROR(ROUNDUP(J42*Order_Quote!$L$16,2),0)</f>
        <v>0</v>
      </c>
      <c r="L42" s="122"/>
      <c r="M42" s="76"/>
      <c r="N42" s="595">
        <f t="shared" si="0"/>
        <v>0</v>
      </c>
      <c r="P42" s="567" t="str">
        <f>_xlfn.XLOOKUP(F42,'All Products'!D:D,'All Products'!I:I,FALSE)</f>
        <v>Within 6 Weeks</v>
      </c>
      <c r="Q42" s="567" t="str">
        <f>_xlfn.XLOOKUP(F42,'All Products'!D:D,'All Products'!J:J,FALSE)</f>
        <v>Sourced</v>
      </c>
      <c r="R42" s="569">
        <f>_xlfn.XLOOKUP(F42,'All Products'!D:D,'All Products'!K:K,FALSE)</f>
        <v>812361019993</v>
      </c>
      <c r="S42" s="569" t="str">
        <f>_xlfn.XLOOKUP(F42,'All Products'!D:D,'All Products'!L:L,FALSE)</f>
        <v>-</v>
      </c>
      <c r="T42" s="569" t="str">
        <f>_xlfn.XLOOKUP(F42,'All Products'!D:D,'All Products'!M:M,FALSE)</f>
        <v>-</v>
      </c>
      <c r="U42" s="570">
        <f>_xlfn.XLOOKUP(F42,'All Products'!D:D,'All Products'!N:N,FALSE)</f>
        <v>1.98</v>
      </c>
      <c r="V42" s="570">
        <f>_xlfn.XLOOKUP(F42,'All Products'!D:D,'All Products'!P:P,FALSE)</f>
        <v>31.68</v>
      </c>
      <c r="W42" s="570" t="str">
        <f>_xlfn.XLOOKUP(F42,'All Products'!D:D,'All Products'!Q:Q,FALSE)</f>
        <v>-</v>
      </c>
    </row>
    <row r="43" spans="1:23" ht="16.2" thickBot="1">
      <c r="A43" s="101" t="str">
        <f>IF(L43&gt;0,COUNT($A$8:A42)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43" s="446" t="s">
        <v>5859</v>
      </c>
      <c r="C43" s="151"/>
      <c r="D43" s="151"/>
      <c r="E43" s="459"/>
      <c r="F43" s="151"/>
      <c r="G43" s="468"/>
      <c r="H43" s="151"/>
      <c r="I43" s="472"/>
      <c r="J43" s="468"/>
      <c r="K43" s="477"/>
      <c r="L43" s="566"/>
      <c r="M43" s="20"/>
      <c r="N43" s="565"/>
      <c r="P43" s="357"/>
      <c r="Q43" s="493"/>
      <c r="R43" s="493"/>
      <c r="S43" s="493"/>
      <c r="T43" s="479"/>
      <c r="U43" s="459"/>
      <c r="V43" s="489"/>
      <c r="W43" s="582"/>
    </row>
    <row r="44" spans="1:23">
      <c r="A44" s="101" t="str">
        <f>IF(L44&gt;0,COUNT($A$8:A43)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44" s="615"/>
      <c r="C44" s="615"/>
      <c r="D44" s="103" t="s">
        <v>1310</v>
      </c>
      <c r="E44" s="51" t="str">
        <f>_xlfn.XLOOKUP(F44,'All Products'!D:D,'All Products'!C:C,FALSE)</f>
        <v>37-1024</v>
      </c>
      <c r="F44" s="52">
        <v>100029262</v>
      </c>
      <c r="G44" s="53" t="str">
        <f>_xlfn.XLOOKUP(F44,'All Products'!D:D,'All Products'!E:E,FALSE)</f>
        <v>4 TEE GXGXG SDR26</v>
      </c>
      <c r="H44" s="124">
        <f>_xlfn.XLOOKUP(F44,'All Products'!D:D,'All Products'!F:F,FALSE)</f>
        <v>10</v>
      </c>
      <c r="I44" s="124">
        <f>_xlfn.XLOOKUP(F44,'All Products'!D:D,'All Products'!G:G,FALSE)</f>
        <v>180</v>
      </c>
      <c r="J44" s="123">
        <f>_xlfn.XLOOKUP(F44,'All Products'!D:D,'All Products'!H:H,FALSE)</f>
        <v>296.23</v>
      </c>
      <c r="K44" s="197">
        <f>IFERROR(ROUNDUP(J44*Order_Quote!$L$16,2),0)</f>
        <v>296.23</v>
      </c>
      <c r="L44" s="118"/>
      <c r="M44" s="76"/>
      <c r="N44" s="115">
        <f t="shared" si="0"/>
        <v>0</v>
      </c>
      <c r="P44" s="215" t="str">
        <f>_xlfn.XLOOKUP(F44,'All Products'!D:D,'All Products'!I:I,FALSE)</f>
        <v>Within 3 Weeks</v>
      </c>
      <c r="Q44" s="215" t="str">
        <f>_xlfn.XLOOKUP(F44,'All Products'!D:D,'All Products'!J:J,FALSE)</f>
        <v>Manufactured</v>
      </c>
      <c r="R44" s="266">
        <f>_xlfn.XLOOKUP(F44,'All Products'!D:D,'All Products'!K:K,FALSE)</f>
        <v>812361015117</v>
      </c>
      <c r="S44" s="266" t="str">
        <f>_xlfn.XLOOKUP(F44,'All Products'!D:D,'All Products'!L:L,FALSE)</f>
        <v>-</v>
      </c>
      <c r="T44" s="266">
        <f>_xlfn.XLOOKUP(F44,'All Products'!D:D,'All Products'!M:M,FALSE)</f>
        <v>816842021680</v>
      </c>
      <c r="U44" s="265">
        <f>_xlfn.XLOOKUP(F44,'All Products'!D:D,'All Products'!N:N,FALSE)</f>
        <v>1.94</v>
      </c>
      <c r="V44" s="265">
        <f>_xlfn.XLOOKUP(F44,'All Products'!D:D,'All Products'!P:P,FALSE)</f>
        <v>21.25</v>
      </c>
      <c r="W44" s="265">
        <f>_xlfn.XLOOKUP(F44,'All Products'!D:D,'All Products'!Q:Q,FALSE)</f>
        <v>2.361325291407383</v>
      </c>
    </row>
    <row r="45" spans="1:23">
      <c r="A45" s="101" t="str">
        <f>IF(L45&gt;0,COUNT($A$8:A44)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45" s="615"/>
      <c r="C45" s="615"/>
      <c r="D45" s="103" t="s">
        <v>1310</v>
      </c>
      <c r="E45" s="51" t="str">
        <f>_xlfn.XLOOKUP(F45,'All Products'!D:D,'All Products'!C:C,FALSE)</f>
        <v>37-1025</v>
      </c>
      <c r="F45" s="52">
        <v>300003409</v>
      </c>
      <c r="G45" s="53" t="str">
        <f>_xlfn.XLOOKUP(F45,'All Products'!D:D,'All Products'!E:E,FALSE)</f>
        <v>6X4 TEE GXGXG SDR26</v>
      </c>
      <c r="H45" s="124">
        <f>_xlfn.XLOOKUP(F45,'All Products'!D:D,'All Products'!F:F,FALSE)</f>
        <v>4</v>
      </c>
      <c r="I45" s="124">
        <f>_xlfn.XLOOKUP(F45,'All Products'!D:D,'All Products'!G:G,FALSE)</f>
        <v>54</v>
      </c>
      <c r="J45" s="123" t="str">
        <f>_xlfn.XLOOKUP(F45,'All Products'!D:D,'All Products'!H:H,FALSE)</f>
        <v>Quote Required</v>
      </c>
      <c r="K45" s="197">
        <f>IFERROR(ROUNDUP(J45*Order_Quote!$L$16,2),0)</f>
        <v>0</v>
      </c>
      <c r="L45" s="118"/>
      <c r="M45" s="76"/>
      <c r="N45" s="115">
        <f t="shared" ref="N45:N63" si="1">L45/H45</f>
        <v>0</v>
      </c>
      <c r="P45" s="215" t="str">
        <f>_xlfn.XLOOKUP(F45,'All Products'!D:D,'All Products'!I:I,FALSE)</f>
        <v>Within 6 Weeks</v>
      </c>
      <c r="Q45" s="215" t="str">
        <f>_xlfn.XLOOKUP(F45,'All Products'!D:D,'All Products'!J:J,FALSE)</f>
        <v>Sourced</v>
      </c>
      <c r="R45" s="266">
        <f>_xlfn.XLOOKUP(F45,'All Products'!D:D,'All Products'!K:K,FALSE)</f>
        <v>812361015131</v>
      </c>
      <c r="S45" s="266" t="str">
        <f>_xlfn.XLOOKUP(F45,'All Products'!D:D,'All Products'!L:L,FALSE)</f>
        <v>-</v>
      </c>
      <c r="T45" s="266" t="str">
        <f>_xlfn.XLOOKUP(F45,'All Products'!D:D,'All Products'!M:M,FALSE)</f>
        <v>-</v>
      </c>
      <c r="U45" s="265">
        <f>_xlfn.XLOOKUP(F45,'All Products'!D:D,'All Products'!N:N,FALSE)</f>
        <v>5.5979999999999999</v>
      </c>
      <c r="V45" s="265">
        <f>_xlfn.XLOOKUP(F45,'All Products'!D:D,'All Products'!P:P,FALSE)</f>
        <v>22.391999999999999</v>
      </c>
      <c r="W45" s="265" t="str">
        <f>_xlfn.XLOOKUP(F45,'All Products'!D:D,'All Products'!Q:Q,FALSE)</f>
        <v>-</v>
      </c>
    </row>
    <row r="46" spans="1:23">
      <c r="A46" s="101" t="str">
        <f>IF(L46&gt;0,COUNT($A$8:A45)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46" s="615"/>
      <c r="C46" s="615"/>
      <c r="D46" s="103" t="s">
        <v>1310</v>
      </c>
      <c r="E46" s="51" t="str">
        <f>_xlfn.XLOOKUP(F46,'All Products'!D:D,'All Products'!C:C,FALSE)</f>
        <v>37-1026</v>
      </c>
      <c r="F46" s="52">
        <v>100029261</v>
      </c>
      <c r="G46" s="53" t="str">
        <f>_xlfn.XLOOKUP(F46,'All Products'!D:D,'All Products'!E:E,FALSE)</f>
        <v>6 TEE GXGXG SDR26</v>
      </c>
      <c r="H46" s="124">
        <f>_xlfn.XLOOKUP(F46,'All Products'!D:D,'All Products'!F:F,FALSE)</f>
        <v>1</v>
      </c>
      <c r="I46" s="124">
        <f>_xlfn.XLOOKUP(F46,'All Products'!D:D,'All Products'!G:G,FALSE)</f>
        <v>75</v>
      </c>
      <c r="J46" s="123">
        <f>_xlfn.XLOOKUP(F46,'All Products'!D:D,'All Products'!H:H,FALSE)</f>
        <v>405.97</v>
      </c>
      <c r="K46" s="197">
        <f>IFERROR(ROUNDUP(J46*Order_Quote!$L$16,2),0)</f>
        <v>405.97</v>
      </c>
      <c r="L46" s="118"/>
      <c r="M46" s="76"/>
      <c r="N46" s="114">
        <f t="shared" si="1"/>
        <v>0</v>
      </c>
      <c r="P46" s="215" t="str">
        <f>_xlfn.XLOOKUP(F46,'All Products'!D:D,'All Products'!I:I,FALSE)</f>
        <v>In Stock</v>
      </c>
      <c r="Q46" s="215" t="str">
        <f>_xlfn.XLOOKUP(F46,'All Products'!D:D,'All Products'!J:J,FALSE)</f>
        <v>Manufactured</v>
      </c>
      <c r="R46" s="266">
        <f>_xlfn.XLOOKUP(F46,'All Products'!D:D,'All Products'!K:K,FALSE)</f>
        <v>812361015322</v>
      </c>
      <c r="S46" s="266" t="str">
        <f>_xlfn.XLOOKUP(F46,'All Products'!D:D,'All Products'!L:L,FALSE)</f>
        <v>-</v>
      </c>
      <c r="T46" s="266">
        <f>_xlfn.XLOOKUP(F46,'All Products'!D:D,'All Products'!M:M,FALSE)</f>
        <v>812361015667</v>
      </c>
      <c r="U46" s="265">
        <f>_xlfn.XLOOKUP(F46,'All Products'!D:D,'All Products'!N:N,FALSE)</f>
        <v>4.78</v>
      </c>
      <c r="V46" s="265">
        <f>_xlfn.XLOOKUP(F46,'All Products'!D:D,'All Products'!P:P,FALSE)</f>
        <v>469.27499999999998</v>
      </c>
      <c r="W46" s="265">
        <f>_xlfn.XLOOKUP(F46,'All Products'!D:D,'All Products'!Q:Q,FALSE)</f>
        <v>53.333269333358928</v>
      </c>
    </row>
    <row r="47" spans="1:23">
      <c r="A47" s="101" t="str">
        <f>IF(L47&gt;0,COUNT($A$8:A46)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47" s="615"/>
      <c r="C47" s="615"/>
      <c r="D47" s="103" t="s">
        <v>1310</v>
      </c>
      <c r="E47" s="51" t="str">
        <f>_xlfn.XLOOKUP(F47,'All Products'!D:D,'All Products'!C:C,FALSE)</f>
        <v>37-88</v>
      </c>
      <c r="F47" s="52">
        <v>100029278</v>
      </c>
      <c r="G47" s="53" t="str">
        <f>_xlfn.XLOOKUP(F47,'All Products'!D:D,'All Products'!E:E,FALSE)</f>
        <v>8X6 TEE GXGXG SDR26</v>
      </c>
      <c r="H47" s="124">
        <f>_xlfn.XLOOKUP(F47,'All Products'!D:D,'All Products'!F:F,FALSE)</f>
        <v>1</v>
      </c>
      <c r="I47" s="124">
        <f>_xlfn.XLOOKUP(F47,'All Products'!D:D,'All Products'!G:G,FALSE)</f>
        <v>41</v>
      </c>
      <c r="J47" s="123">
        <f>_xlfn.XLOOKUP(F47,'All Products'!D:D,'All Products'!H:H,FALSE)</f>
        <v>569.25</v>
      </c>
      <c r="K47" s="197">
        <f>IFERROR(ROUNDUP(J47*Order_Quote!$L$16,2),0)</f>
        <v>569.25</v>
      </c>
      <c r="L47" s="118"/>
      <c r="M47" s="76"/>
      <c r="N47" s="115">
        <f t="shared" si="1"/>
        <v>0</v>
      </c>
      <c r="P47" s="215" t="str">
        <f>_xlfn.XLOOKUP(F47,'All Products'!D:D,'All Products'!I:I,FALSE)</f>
        <v>Within 3 Weeks</v>
      </c>
      <c r="Q47" s="215" t="str">
        <f>_xlfn.XLOOKUP(F47,'All Products'!D:D,'All Products'!J:J,FALSE)</f>
        <v>Manufactured</v>
      </c>
      <c r="R47" s="266">
        <f>_xlfn.XLOOKUP(F47,'All Products'!D:D,'All Products'!K:K,FALSE)</f>
        <v>810673018789</v>
      </c>
      <c r="S47" s="266" t="str">
        <f>_xlfn.XLOOKUP(F47,'All Products'!D:D,'All Products'!L:L,FALSE)</f>
        <v>-</v>
      </c>
      <c r="T47" s="266">
        <f>_xlfn.XLOOKUP(F47,'All Products'!D:D,'All Products'!M:M,FALSE)</f>
        <v>812361015896</v>
      </c>
      <c r="U47" s="265">
        <f>_xlfn.XLOOKUP(F47,'All Products'!D:D,'All Products'!N:N,FALSE)</f>
        <v>9.43</v>
      </c>
      <c r="V47" s="265">
        <f>_xlfn.XLOOKUP(F47,'All Products'!D:D,'All Products'!P:P,FALSE)</f>
        <v>386.63</v>
      </c>
      <c r="W47" s="265">
        <f>_xlfn.XLOOKUP(F47,'All Products'!D:D,'All Products'!Q:Q,FALSE)</f>
        <v>53.333269333358928</v>
      </c>
    </row>
    <row r="48" spans="1:23">
      <c r="A48" s="101" t="str">
        <f>IF(L48&gt;0,COUNT($A$8:A47)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48" s="615"/>
      <c r="C48" s="615"/>
      <c r="D48" s="103" t="s">
        <v>1310</v>
      </c>
      <c r="E48" s="51" t="str">
        <f>_xlfn.XLOOKUP(F48,'All Products'!D:D,'All Products'!C:C,FALSE)</f>
        <v>37-89</v>
      </c>
      <c r="F48" s="52">
        <v>300003428</v>
      </c>
      <c r="G48" s="53" t="str">
        <f>_xlfn.XLOOKUP(F48,'All Products'!D:D,'All Products'!E:E,FALSE)</f>
        <v>8 TEE GXGXG SDR26</v>
      </c>
      <c r="H48" s="124">
        <f>_xlfn.XLOOKUP(F48,'All Products'!D:D,'All Products'!F:F,FALSE)</f>
        <v>2</v>
      </c>
      <c r="I48" s="124">
        <f>_xlfn.XLOOKUP(F48,'All Products'!D:D,'All Products'!G:G,FALSE)</f>
        <v>13</v>
      </c>
      <c r="J48" s="123" t="str">
        <f>_xlfn.XLOOKUP(F48,'All Products'!D:D,'All Products'!H:H,FALSE)</f>
        <v>Quote Required</v>
      </c>
      <c r="K48" s="197">
        <f>IFERROR(ROUNDUP(J48*Order_Quote!$L$16,2),0)</f>
        <v>0</v>
      </c>
      <c r="L48" s="118"/>
      <c r="M48" s="76"/>
      <c r="N48" s="115">
        <f t="shared" si="1"/>
        <v>0</v>
      </c>
      <c r="P48" s="215" t="str">
        <f>_xlfn.XLOOKUP(F48,'All Products'!D:D,'All Products'!I:I,FALSE)</f>
        <v>Within 6 Weeks</v>
      </c>
      <c r="Q48" s="215" t="str">
        <f>_xlfn.XLOOKUP(F48,'All Products'!D:D,'All Products'!J:J,FALSE)</f>
        <v>Sourced</v>
      </c>
      <c r="R48" s="266">
        <f>_xlfn.XLOOKUP(F48,'All Products'!D:D,'All Products'!K:K,FALSE)</f>
        <v>812361014790</v>
      </c>
      <c r="S48" s="266" t="str">
        <f>_xlfn.XLOOKUP(F48,'All Products'!D:D,'All Products'!L:L,FALSE)</f>
        <v>-</v>
      </c>
      <c r="T48" s="266" t="str">
        <f>_xlfn.XLOOKUP(F48,'All Products'!D:D,'All Products'!M:M,FALSE)</f>
        <v>-</v>
      </c>
      <c r="U48" s="265">
        <f>_xlfn.XLOOKUP(F48,'All Products'!D:D,'All Products'!N:N,FALSE)</f>
        <v>14.798</v>
      </c>
      <c r="V48" s="265">
        <f>_xlfn.XLOOKUP(F48,'All Products'!D:D,'All Products'!P:P,FALSE)</f>
        <v>29.596</v>
      </c>
      <c r="W48" s="265" t="str">
        <f>_xlfn.XLOOKUP(F48,'All Products'!D:D,'All Products'!Q:Q,FALSE)</f>
        <v>-</v>
      </c>
    </row>
    <row r="49" spans="1:23">
      <c r="A49" s="101" t="str">
        <f>IF(L49&gt;0,COUNT($A$8:A48)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49" s="615"/>
      <c r="C49" s="615"/>
      <c r="D49" s="103" t="s">
        <v>1395</v>
      </c>
      <c r="E49" s="51" t="str">
        <f>_xlfn.XLOOKUP(F49,'All Products'!D:D,'All Products'!C:C,FALSE)</f>
        <v>37-786</v>
      </c>
      <c r="F49" s="52">
        <v>300003442</v>
      </c>
      <c r="G49" s="53" t="str">
        <f>_xlfn.XLOOKUP(F49,'All Products'!D:D,'All Products'!E:E,FALSE)</f>
        <v>8X4 TEE SDR26 CLASS 160 X SCH40 GLUE</v>
      </c>
      <c r="H49" s="124">
        <f>_xlfn.XLOOKUP(F49,'All Products'!D:D,'All Products'!F:F,FALSE)</f>
        <v>1</v>
      </c>
      <c r="I49" s="124" t="str">
        <f>_xlfn.XLOOKUP(F49,'All Products'!D:D,'All Products'!G:G,FALSE)</f>
        <v>-</v>
      </c>
      <c r="J49" s="123" t="str">
        <f>_xlfn.XLOOKUP(F49,'All Products'!D:D,'All Products'!H:H,FALSE)</f>
        <v>Quote Required</v>
      </c>
      <c r="K49" s="197">
        <f>IFERROR(ROUNDUP(J49*Order_Quote!$L$16,2),0)</f>
        <v>0</v>
      </c>
      <c r="L49" s="122"/>
      <c r="M49" s="76"/>
      <c r="N49" s="114">
        <f>L49/H49</f>
        <v>0</v>
      </c>
      <c r="P49" s="215" t="str">
        <f>_xlfn.XLOOKUP(F49,'All Products'!D:D,'All Products'!I:I,FALSE)</f>
        <v>Within 6 Weeks</v>
      </c>
      <c r="Q49" s="215" t="str">
        <f>_xlfn.XLOOKUP(F49,'All Products'!D:D,'All Products'!J:J,FALSE)</f>
        <v>Sourced</v>
      </c>
      <c r="R49" s="266">
        <f>_xlfn.XLOOKUP(F49,'All Products'!D:D,'All Products'!K:K,FALSE)</f>
        <v>810116843756</v>
      </c>
      <c r="S49" s="266" t="str">
        <f>_xlfn.XLOOKUP(F49,'All Products'!D:D,'All Products'!L:L,FALSE)</f>
        <v>-</v>
      </c>
      <c r="T49" s="266" t="str">
        <f>_xlfn.XLOOKUP(F49,'All Products'!D:D,'All Products'!M:M,FALSE)</f>
        <v>-</v>
      </c>
      <c r="U49" s="265">
        <f>_xlfn.XLOOKUP(F49,'All Products'!D:D,'All Products'!N:N,FALSE)</f>
        <v>9.5549999999999997</v>
      </c>
      <c r="V49" s="265">
        <f>_xlfn.XLOOKUP(F49,'All Products'!D:D,'All Products'!P:P,FALSE)</f>
        <v>9.5549999999999997</v>
      </c>
      <c r="W49" s="265" t="str">
        <f>_xlfn.XLOOKUP(F49,'All Products'!D:D,'All Products'!Q:Q,FALSE)</f>
        <v>-</v>
      </c>
    </row>
    <row r="50" spans="1:23">
      <c r="A50" s="101" t="str">
        <f>IF(L50&gt;0,COUNT($A$8:A49)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50" s="615"/>
      <c r="C50" s="615"/>
      <c r="D50" s="103" t="s">
        <v>1310</v>
      </c>
      <c r="E50" s="51" t="str">
        <f>_xlfn.XLOOKUP(F50,'All Products'!D:D,'All Products'!C:C,FALSE)</f>
        <v>37-1028</v>
      </c>
      <c r="F50" s="52">
        <v>300003411</v>
      </c>
      <c r="G50" s="53" t="str">
        <f>_xlfn.XLOOKUP(F50,'All Products'!D:D,'All Products'!E:E,FALSE)</f>
        <v>6X4 TEE WYE GXGXG SDR26</v>
      </c>
      <c r="H50" s="124">
        <f>_xlfn.XLOOKUP(F50,'All Products'!D:D,'All Products'!F:F,FALSE)</f>
        <v>5</v>
      </c>
      <c r="I50" s="124">
        <f>_xlfn.XLOOKUP(F50,'All Products'!D:D,'All Products'!G:G,FALSE)</f>
        <v>56</v>
      </c>
      <c r="J50" s="123" t="str">
        <f>_xlfn.XLOOKUP(F50,'All Products'!D:D,'All Products'!H:H,FALSE)</f>
        <v>Quote Required</v>
      </c>
      <c r="K50" s="197">
        <f>IFERROR(ROUNDUP(J50*Order_Quote!$L$16,2),0)</f>
        <v>0</v>
      </c>
      <c r="L50" s="118"/>
      <c r="M50" s="76"/>
      <c r="N50" s="114">
        <f t="shared" si="1"/>
        <v>0</v>
      </c>
      <c r="P50" s="215" t="str">
        <f>_xlfn.XLOOKUP(F50,'All Products'!D:D,'All Products'!I:I,FALSE)</f>
        <v>Within 6 Weeks</v>
      </c>
      <c r="Q50" s="215" t="str">
        <f>_xlfn.XLOOKUP(F50,'All Products'!D:D,'All Products'!J:J,FALSE)</f>
        <v>Sourced</v>
      </c>
      <c r="R50" s="266">
        <f>_xlfn.XLOOKUP(F50,'All Products'!D:D,'All Products'!K:K,FALSE)</f>
        <v>810673019243</v>
      </c>
      <c r="S50" s="266" t="str">
        <f>_xlfn.XLOOKUP(F50,'All Products'!D:D,'All Products'!L:L,FALSE)</f>
        <v>-</v>
      </c>
      <c r="T50" s="266" t="str">
        <f>_xlfn.XLOOKUP(F50,'All Products'!D:D,'All Products'!M:M,FALSE)</f>
        <v>-</v>
      </c>
      <c r="U50" s="265">
        <f>_xlfn.XLOOKUP(F50,'All Products'!D:D,'All Products'!N:N,FALSE)</f>
        <v>5.84</v>
      </c>
      <c r="V50" s="265">
        <f>_xlfn.XLOOKUP(F50,'All Products'!D:D,'All Products'!P:P,FALSE)</f>
        <v>29.2</v>
      </c>
      <c r="W50" s="265" t="str">
        <f>_xlfn.XLOOKUP(F50,'All Products'!D:D,'All Products'!Q:Q,FALSE)</f>
        <v>-</v>
      </c>
    </row>
    <row r="51" spans="1:23">
      <c r="A51" s="101" t="str">
        <f>IF(L51&gt;0,COUNT($A$8:A50)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51" s="615"/>
      <c r="C51" s="615"/>
      <c r="D51" s="103" t="s">
        <v>1310</v>
      </c>
      <c r="E51" s="51" t="str">
        <f>_xlfn.XLOOKUP(F51,'All Products'!D:D,'All Products'!C:C,FALSE)</f>
        <v>37-1029</v>
      </c>
      <c r="F51" s="52">
        <v>100029328</v>
      </c>
      <c r="G51" s="53" t="str">
        <f>_xlfn.XLOOKUP(F51,'All Products'!D:D,'All Products'!E:E,FALSE)</f>
        <v>6 TEE WYE GXGXG SDR26</v>
      </c>
      <c r="H51" s="124">
        <f>_xlfn.XLOOKUP(F51,'All Products'!D:D,'All Products'!F:F,FALSE)</f>
        <v>1</v>
      </c>
      <c r="I51" s="124">
        <f>_xlfn.XLOOKUP(F51,'All Products'!D:D,'All Products'!G:G,FALSE)</f>
        <v>48</v>
      </c>
      <c r="J51" s="123">
        <f>_xlfn.XLOOKUP(F51,'All Products'!D:D,'All Products'!H:H,FALSE)</f>
        <v>529.6</v>
      </c>
      <c r="K51" s="197">
        <f>IFERROR(ROUNDUP(J51*Order_Quote!$L$16,2),0)</f>
        <v>529.6</v>
      </c>
      <c r="L51" s="118"/>
      <c r="M51" s="76"/>
      <c r="N51" s="115">
        <f t="shared" si="1"/>
        <v>0</v>
      </c>
      <c r="P51" s="215" t="str">
        <f>_xlfn.XLOOKUP(F51,'All Products'!D:D,'All Products'!I:I,FALSE)</f>
        <v>In Stock</v>
      </c>
      <c r="Q51" s="215" t="str">
        <f>_xlfn.XLOOKUP(F51,'All Products'!D:D,'All Products'!J:J,FALSE)</f>
        <v>Manufactured</v>
      </c>
      <c r="R51" s="266">
        <f>_xlfn.XLOOKUP(F51,'All Products'!D:D,'All Products'!K:K,FALSE)</f>
        <v>812361015056</v>
      </c>
      <c r="S51" s="266" t="str">
        <f>_xlfn.XLOOKUP(F51,'All Products'!D:D,'All Products'!L:L,FALSE)</f>
        <v>-</v>
      </c>
      <c r="T51" s="266">
        <f>_xlfn.XLOOKUP(F51,'All Products'!D:D,'All Products'!M:M,FALSE)</f>
        <v>812361018859</v>
      </c>
      <c r="U51" s="265">
        <f>_xlfn.XLOOKUP(F51,'All Products'!D:D,'All Products'!N:N,FALSE)</f>
        <v>6.194</v>
      </c>
      <c r="V51" s="265">
        <f>_xlfn.XLOOKUP(F51,'All Products'!D:D,'All Products'!P:P,FALSE)</f>
        <v>297.31200000000001</v>
      </c>
      <c r="W51" s="265">
        <f>_xlfn.XLOOKUP(F51,'All Products'!D:D,'All Products'!Q:Q,FALSE)</f>
        <v>53.333269333358928</v>
      </c>
    </row>
    <row r="52" spans="1:23">
      <c r="A52" s="101" t="str">
        <f>IF(L52&gt;0,COUNT($A$8:A51)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52" s="615"/>
      <c r="C52" s="615"/>
      <c r="D52" s="103" t="s">
        <v>1310</v>
      </c>
      <c r="E52" s="51" t="str">
        <f>_xlfn.XLOOKUP(F52,'All Products'!D:D,'All Products'!C:C,FALSE)</f>
        <v>37-808</v>
      </c>
      <c r="F52" s="52">
        <v>300005764</v>
      </c>
      <c r="G52" s="53" t="str">
        <f>_xlfn.XLOOKUP(F52,'All Products'!D:D,'All Products'!E:E,FALSE)</f>
        <v>8X4 TEE WYE GXGXG SDR26</v>
      </c>
      <c r="H52" s="124">
        <f>_xlfn.XLOOKUP(F52,'All Products'!D:D,'All Products'!F:F,FALSE)</f>
        <v>1</v>
      </c>
      <c r="I52" s="124">
        <f>_xlfn.XLOOKUP(F52,'All Products'!D:D,'All Products'!G:G,FALSE)</f>
        <v>41</v>
      </c>
      <c r="J52" s="123" t="str">
        <f>_xlfn.XLOOKUP(F52,'All Products'!D:D,'All Products'!H:H,FALSE)</f>
        <v>Quote Required</v>
      </c>
      <c r="K52" s="197">
        <f>IFERROR(ROUNDUP(J52*Order_Quote!$L$16,2),0)</f>
        <v>0</v>
      </c>
      <c r="L52" s="118"/>
      <c r="M52" s="76"/>
      <c r="N52" s="115">
        <f t="shared" si="1"/>
        <v>0</v>
      </c>
      <c r="P52" s="215" t="str">
        <f>_xlfn.XLOOKUP(F52,'All Products'!D:D,'All Products'!I:I,FALSE)</f>
        <v>Within 6 Weeks</v>
      </c>
      <c r="Q52" s="215" t="str">
        <f>_xlfn.XLOOKUP(F52,'All Products'!D:D,'All Products'!J:J,FALSE)</f>
        <v>Sourced</v>
      </c>
      <c r="R52" s="266">
        <f>_xlfn.XLOOKUP(F52,'All Products'!D:D,'All Products'!K:K,FALSE)</f>
        <v>810673018802</v>
      </c>
      <c r="S52" s="266" t="str">
        <f>_xlfn.XLOOKUP(F52,'All Products'!D:D,'All Products'!L:L,FALSE)</f>
        <v>-</v>
      </c>
      <c r="T52" s="266" t="str">
        <f>_xlfn.XLOOKUP(F52,'All Products'!D:D,'All Products'!M:M,FALSE)</f>
        <v>-</v>
      </c>
      <c r="U52" s="265">
        <f>_xlfn.XLOOKUP(F52,'All Products'!D:D,'All Products'!N:N,FALSE)</f>
        <v>8.16</v>
      </c>
      <c r="V52" s="265">
        <f>_xlfn.XLOOKUP(F52,'All Products'!D:D,'All Products'!P:P,FALSE)</f>
        <v>8.16</v>
      </c>
      <c r="W52" s="265" t="str">
        <f>_xlfn.XLOOKUP(F52,'All Products'!D:D,'All Products'!Q:Q,FALSE)</f>
        <v>-</v>
      </c>
    </row>
    <row r="53" spans="1:23">
      <c r="A53" s="101" t="str">
        <f>IF(L53&gt;0,COUNT($A$8:A52)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53" s="615"/>
      <c r="C53" s="615"/>
      <c r="D53" s="103" t="s">
        <v>1310</v>
      </c>
      <c r="E53" s="51" t="str">
        <f>_xlfn.XLOOKUP(F53,'All Products'!D:D,'All Products'!C:C,FALSE)</f>
        <v>37-809</v>
      </c>
      <c r="F53" s="52">
        <v>100029364</v>
      </c>
      <c r="G53" s="53" t="str">
        <f>_xlfn.XLOOKUP(F53,'All Products'!D:D,'All Products'!E:E,FALSE)</f>
        <v>8X6 TEE WYE GXGXG SDR26</v>
      </c>
      <c r="H53" s="124">
        <f>_xlfn.XLOOKUP(F53,'All Products'!D:D,'All Products'!F:F,FALSE)</f>
        <v>1</v>
      </c>
      <c r="I53" s="124">
        <f>_xlfn.XLOOKUP(F53,'All Products'!D:D,'All Products'!G:G,FALSE)</f>
        <v>39</v>
      </c>
      <c r="J53" s="123">
        <f>_xlfn.XLOOKUP(F53,'All Products'!D:D,'All Products'!H:H,FALSE)</f>
        <v>583.41999999999996</v>
      </c>
      <c r="K53" s="197">
        <f>IFERROR(ROUNDUP(J53*Order_Quote!$L$16,2),0)</f>
        <v>583.41999999999996</v>
      </c>
      <c r="L53" s="118"/>
      <c r="M53" s="76"/>
      <c r="N53" s="114">
        <f t="shared" si="1"/>
        <v>0</v>
      </c>
      <c r="P53" s="215" t="str">
        <f>_xlfn.XLOOKUP(F53,'All Products'!D:D,'All Products'!I:I,FALSE)</f>
        <v>In Stock</v>
      </c>
      <c r="Q53" s="215" t="str">
        <f>_xlfn.XLOOKUP(F53,'All Products'!D:D,'All Products'!J:J,FALSE)</f>
        <v>Manufactured</v>
      </c>
      <c r="R53" s="266">
        <f>_xlfn.XLOOKUP(F53,'All Products'!D:D,'All Products'!K:K,FALSE)</f>
        <v>810673018826</v>
      </c>
      <c r="S53" s="266" t="str">
        <f>_xlfn.XLOOKUP(F53,'All Products'!D:D,'All Products'!L:L,FALSE)</f>
        <v>-</v>
      </c>
      <c r="T53" s="266">
        <f>_xlfn.XLOOKUP(F53,'All Products'!D:D,'All Products'!M:M,FALSE)</f>
        <v>816842021871</v>
      </c>
      <c r="U53" s="265">
        <f>_xlfn.XLOOKUP(F53,'All Products'!D:D,'All Products'!N:N,FALSE)</f>
        <v>10.082000000000001</v>
      </c>
      <c r="V53" s="265">
        <f>_xlfn.XLOOKUP(F53,'All Products'!D:D,'All Products'!P:P,FALSE)</f>
        <v>393.19800000000004</v>
      </c>
      <c r="W53" s="265">
        <f>_xlfn.XLOOKUP(F53,'All Products'!D:D,'All Products'!Q:Q,FALSE)</f>
        <v>53.333269333358928</v>
      </c>
    </row>
    <row r="54" spans="1:23">
      <c r="A54" s="101" t="str">
        <f>IF(L54&gt;0,COUNT($A$8:A53)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54" s="615"/>
      <c r="C54" s="615"/>
      <c r="D54" s="103" t="s">
        <v>1310</v>
      </c>
      <c r="E54" s="51" t="str">
        <f>_xlfn.XLOOKUP(F54,'All Products'!D:D,'All Products'!C:C,FALSE)</f>
        <v>37-1033</v>
      </c>
      <c r="F54" s="52">
        <v>100029263</v>
      </c>
      <c r="G54" s="53" t="str">
        <f>_xlfn.XLOOKUP(F54,'All Products'!D:D,'All Products'!E:E,FALSE)</f>
        <v>4 WYE GXGXG SDR26</v>
      </c>
      <c r="H54" s="124">
        <f>_xlfn.XLOOKUP(F54,'All Products'!D:D,'All Products'!F:F,FALSE)</f>
        <v>10</v>
      </c>
      <c r="I54" s="124">
        <f>_xlfn.XLOOKUP(F54,'All Products'!D:D,'All Products'!G:G,FALSE)</f>
        <v>120</v>
      </c>
      <c r="J54" s="123">
        <f>_xlfn.XLOOKUP(F54,'All Products'!D:D,'All Products'!H:H,FALSE)</f>
        <v>283.73</v>
      </c>
      <c r="K54" s="197">
        <f>IFERROR(ROUNDUP(J54*Order_Quote!$L$16,2),0)</f>
        <v>283.73</v>
      </c>
      <c r="L54" s="118"/>
      <c r="M54" s="76"/>
      <c r="N54" s="114">
        <f t="shared" si="1"/>
        <v>0</v>
      </c>
      <c r="P54" s="215" t="str">
        <f>_xlfn.XLOOKUP(F54,'All Products'!D:D,'All Products'!I:I,FALSE)</f>
        <v>In Stock</v>
      </c>
      <c r="Q54" s="215" t="str">
        <f>_xlfn.XLOOKUP(F54,'All Products'!D:D,'All Products'!J:J,FALSE)</f>
        <v>Manufactured</v>
      </c>
      <c r="R54" s="266">
        <f>_xlfn.XLOOKUP(F54,'All Products'!D:D,'All Products'!K:K,FALSE)</f>
        <v>810673018642</v>
      </c>
      <c r="S54" s="266" t="str">
        <f>_xlfn.XLOOKUP(F54,'All Products'!D:D,'All Products'!L:L,FALSE)</f>
        <v>-</v>
      </c>
      <c r="T54" s="266">
        <f>_xlfn.XLOOKUP(F54,'All Products'!D:D,'All Products'!M:M,FALSE)</f>
        <v>810673018659</v>
      </c>
      <c r="U54" s="265">
        <f>_xlfn.XLOOKUP(F54,'All Products'!D:D,'All Products'!N:N,FALSE)</f>
        <v>2.3639999999999999</v>
      </c>
      <c r="V54" s="265">
        <f>_xlfn.XLOOKUP(F54,'All Products'!D:D,'All Products'!P:P,FALSE)</f>
        <v>25.54</v>
      </c>
      <c r="W54" s="265">
        <f>_xlfn.XLOOKUP(F54,'All Products'!D:D,'All Products'!Q:Q,FALSE)</f>
        <v>2.7986077527791204</v>
      </c>
    </row>
    <row r="55" spans="1:23">
      <c r="A55" s="101" t="str">
        <f>IF(L55&gt;0,COUNT($A$8:A54)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55" s="615"/>
      <c r="C55" s="615"/>
      <c r="D55" s="103" t="s">
        <v>1310</v>
      </c>
      <c r="E55" s="51" t="str">
        <f>_xlfn.XLOOKUP(F55,'All Products'!D:D,'All Products'!C:C,FALSE)</f>
        <v>37-1034</v>
      </c>
      <c r="F55" s="52">
        <v>100029279</v>
      </c>
      <c r="G55" s="53" t="str">
        <f>_xlfn.XLOOKUP(F55,'All Products'!D:D,'All Products'!E:E,FALSE)</f>
        <v>6X4 WYE GXGXG SDR26</v>
      </c>
      <c r="H55" s="124">
        <f>_xlfn.XLOOKUP(F55,'All Products'!D:D,'All Products'!F:F,FALSE)</f>
        <v>1</v>
      </c>
      <c r="I55" s="124">
        <f>_xlfn.XLOOKUP(F55,'All Products'!D:D,'All Products'!G:G,FALSE)</f>
        <v>75</v>
      </c>
      <c r="J55" s="123">
        <f>_xlfn.XLOOKUP(F55,'All Products'!D:D,'All Products'!H:H,FALSE)</f>
        <v>372.43</v>
      </c>
      <c r="K55" s="197">
        <f>IFERROR(ROUNDUP(J55*Order_Quote!$L$16,2),0)</f>
        <v>372.43</v>
      </c>
      <c r="L55" s="118"/>
      <c r="M55" s="76"/>
      <c r="N55" s="115">
        <f t="shared" si="1"/>
        <v>0</v>
      </c>
      <c r="P55" s="215" t="str">
        <f>_xlfn.XLOOKUP(F55,'All Products'!D:D,'All Products'!I:I,FALSE)</f>
        <v>In Stock</v>
      </c>
      <c r="Q55" s="215" t="str">
        <f>_xlfn.XLOOKUP(F55,'All Products'!D:D,'All Products'!J:J,FALSE)</f>
        <v>Manufactured</v>
      </c>
      <c r="R55" s="266">
        <f>_xlfn.XLOOKUP(F55,'All Products'!D:D,'All Products'!K:K,FALSE)</f>
        <v>810673018666</v>
      </c>
      <c r="S55" s="266" t="str">
        <f>_xlfn.XLOOKUP(F55,'All Products'!D:D,'All Products'!L:L,FALSE)</f>
        <v>-</v>
      </c>
      <c r="T55" s="266">
        <f>_xlfn.XLOOKUP(F55,'All Products'!D:D,'All Products'!M:M,FALSE)</f>
        <v>812361015827</v>
      </c>
      <c r="U55" s="265">
        <f>_xlfn.XLOOKUP(F55,'All Products'!D:D,'All Products'!N:N,FALSE)</f>
        <v>4.8460000000000001</v>
      </c>
      <c r="V55" s="265">
        <f>_xlfn.XLOOKUP(F55,'All Products'!D:D,'All Products'!P:P,FALSE)</f>
        <v>363.45</v>
      </c>
      <c r="W55" s="265">
        <f>_xlfn.XLOOKUP(F55,'All Products'!D:D,'All Products'!Q:Q,FALSE)</f>
        <v>53.333269333358928</v>
      </c>
    </row>
    <row r="56" spans="1:23">
      <c r="A56" s="101" t="str">
        <f>IF(L56&gt;0,COUNT($A$8:A55)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56" s="615"/>
      <c r="C56" s="615"/>
      <c r="D56" s="103" t="s">
        <v>1310</v>
      </c>
      <c r="E56" s="51" t="str">
        <f>_xlfn.XLOOKUP(F56,'All Products'!D:D,'All Products'!C:C,FALSE)</f>
        <v>37-1035</v>
      </c>
      <c r="F56" s="52">
        <v>100029264</v>
      </c>
      <c r="G56" s="53" t="str">
        <f>_xlfn.XLOOKUP(F56,'All Products'!D:D,'All Products'!E:E,FALSE)</f>
        <v>6 WYE GXGXG SDR26</v>
      </c>
      <c r="H56" s="124">
        <f>_xlfn.XLOOKUP(F56,'All Products'!D:D,'All Products'!F:F,FALSE)</f>
        <v>1</v>
      </c>
      <c r="I56" s="124">
        <f>_xlfn.XLOOKUP(F56,'All Products'!D:D,'All Products'!G:G,FALSE)</f>
        <v>50</v>
      </c>
      <c r="J56" s="123">
        <f>_xlfn.XLOOKUP(F56,'All Products'!D:D,'All Products'!H:H,FALSE)</f>
        <v>460.62</v>
      </c>
      <c r="K56" s="197">
        <f>IFERROR(ROUNDUP(J56*Order_Quote!$L$16,2),0)</f>
        <v>460.62</v>
      </c>
      <c r="L56" s="118"/>
      <c r="M56" s="76"/>
      <c r="N56" s="115">
        <f t="shared" si="1"/>
        <v>0</v>
      </c>
      <c r="P56" s="215" t="str">
        <f>_xlfn.XLOOKUP(F56,'All Products'!D:D,'All Products'!I:I,FALSE)</f>
        <v>In Stock</v>
      </c>
      <c r="Q56" s="215" t="str">
        <f>_xlfn.XLOOKUP(F56,'All Products'!D:D,'All Products'!J:J,FALSE)</f>
        <v>Manufactured</v>
      </c>
      <c r="R56" s="266">
        <f>_xlfn.XLOOKUP(F56,'All Products'!D:D,'All Products'!K:K,FALSE)</f>
        <v>812361012222</v>
      </c>
      <c r="S56" s="266" t="str">
        <f>_xlfn.XLOOKUP(F56,'All Products'!D:D,'All Products'!L:L,FALSE)</f>
        <v>-</v>
      </c>
      <c r="T56" s="266">
        <f>_xlfn.XLOOKUP(F56,'All Products'!D:D,'All Products'!M:M,FALSE)</f>
        <v>812361015674</v>
      </c>
      <c r="U56" s="265">
        <f>_xlfn.XLOOKUP(F56,'All Products'!D:D,'All Products'!N:N,FALSE)</f>
        <v>6.3120000000000003</v>
      </c>
      <c r="V56" s="265">
        <f>_xlfn.XLOOKUP(F56,'All Products'!D:D,'All Products'!P:P,FALSE)</f>
        <v>429.1</v>
      </c>
      <c r="W56" s="265">
        <f>_xlfn.XLOOKUP(F56,'All Products'!D:D,'All Products'!Q:Q,FALSE)</f>
        <v>53.333269333358928</v>
      </c>
    </row>
    <row r="57" spans="1:23">
      <c r="A57" s="101" t="str">
        <f>IF(L57&gt;0,COUNT($A$8:A56)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57" s="615"/>
      <c r="C57" s="615"/>
      <c r="D57" s="103" t="s">
        <v>1310</v>
      </c>
      <c r="E57" s="51" t="str">
        <f>_xlfn.XLOOKUP(F57,'All Products'!D:D,'All Products'!C:C,FALSE)</f>
        <v>37-1036</v>
      </c>
      <c r="F57" s="52">
        <v>100029280</v>
      </c>
      <c r="G57" s="53" t="str">
        <f>_xlfn.XLOOKUP(F57,'All Products'!D:D,'All Products'!E:E,FALSE)</f>
        <v>8X4 WYE GXGXG SDR26</v>
      </c>
      <c r="H57" s="124">
        <f>_xlfn.XLOOKUP(F57,'All Products'!D:D,'All Products'!F:F,FALSE)</f>
        <v>1</v>
      </c>
      <c r="I57" s="124">
        <f>_xlfn.XLOOKUP(F57,'All Products'!D:D,'All Products'!G:G,FALSE)</f>
        <v>45</v>
      </c>
      <c r="J57" s="123">
        <f>_xlfn.XLOOKUP(F57,'All Products'!D:D,'All Products'!H:H,FALSE)</f>
        <v>521.49</v>
      </c>
      <c r="K57" s="197">
        <f>IFERROR(ROUNDUP(J57*Order_Quote!$L$16,2),0)</f>
        <v>521.49</v>
      </c>
      <c r="L57" s="118"/>
      <c r="M57" s="76"/>
      <c r="N57" s="114">
        <f t="shared" si="1"/>
        <v>0</v>
      </c>
      <c r="P57" s="215" t="str">
        <f>_xlfn.XLOOKUP(F57,'All Products'!D:D,'All Products'!I:I,FALSE)</f>
        <v>In Stock</v>
      </c>
      <c r="Q57" s="215" t="str">
        <f>_xlfn.XLOOKUP(F57,'All Products'!D:D,'All Products'!J:J,FALSE)</f>
        <v>Manufactured</v>
      </c>
      <c r="R57" s="266">
        <f>_xlfn.XLOOKUP(F57,'All Products'!D:D,'All Products'!K:K,FALSE)</f>
        <v>810673018680</v>
      </c>
      <c r="S57" s="266" t="str">
        <f>_xlfn.XLOOKUP(F57,'All Products'!D:D,'All Products'!L:L,FALSE)</f>
        <v>-</v>
      </c>
      <c r="T57" s="266">
        <f>_xlfn.XLOOKUP(F57,'All Products'!D:D,'All Products'!M:M,FALSE)</f>
        <v>816842021642</v>
      </c>
      <c r="U57" s="265">
        <f>_xlfn.XLOOKUP(F57,'All Products'!D:D,'All Products'!N:N,FALSE)</f>
        <v>8.5060000000000002</v>
      </c>
      <c r="V57" s="265">
        <f>_xlfn.XLOOKUP(F57,'All Products'!D:D,'All Products'!P:P,FALSE)</f>
        <v>382.77</v>
      </c>
      <c r="W57" s="265">
        <f>_xlfn.XLOOKUP(F57,'All Products'!D:D,'All Products'!Q:Q,FALSE)</f>
        <v>53.333269333358928</v>
      </c>
    </row>
    <row r="58" spans="1:23">
      <c r="A58" s="101" t="str">
        <f>IF(L58&gt;0,COUNT($A$8:A57)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58" s="615"/>
      <c r="C58" s="615"/>
      <c r="D58" s="103" t="s">
        <v>1310</v>
      </c>
      <c r="E58" s="51" t="str">
        <f>_xlfn.XLOOKUP(F58,'All Products'!D:D,'All Products'!C:C,FALSE)</f>
        <v>37-1037</v>
      </c>
      <c r="F58" s="52">
        <v>100029281</v>
      </c>
      <c r="G58" s="53" t="str">
        <f>_xlfn.XLOOKUP(F58,'All Products'!D:D,'All Products'!E:E,FALSE)</f>
        <v>8X6 WYE GXGXG SDR26</v>
      </c>
      <c r="H58" s="124">
        <f>_xlfn.XLOOKUP(F58,'All Products'!D:D,'All Products'!F:F,FALSE)</f>
        <v>1</v>
      </c>
      <c r="I58" s="124">
        <f>_xlfn.XLOOKUP(F58,'All Products'!D:D,'All Products'!G:G,FALSE)</f>
        <v>34</v>
      </c>
      <c r="J58" s="123">
        <f>_xlfn.XLOOKUP(F58,'All Products'!D:D,'All Products'!H:H,FALSE)</f>
        <v>598.36</v>
      </c>
      <c r="K58" s="197">
        <f>IFERROR(ROUNDUP(J58*Order_Quote!$L$16,2),0)</f>
        <v>598.36</v>
      </c>
      <c r="L58" s="118"/>
      <c r="M58" s="76"/>
      <c r="N58" s="114">
        <f t="shared" si="1"/>
        <v>0</v>
      </c>
      <c r="P58" s="215" t="str">
        <f>_xlfn.XLOOKUP(F58,'All Products'!D:D,'All Products'!I:I,FALSE)</f>
        <v>Within 3 Weeks</v>
      </c>
      <c r="Q58" s="215" t="str">
        <f>_xlfn.XLOOKUP(F58,'All Products'!D:D,'All Products'!J:J,FALSE)</f>
        <v>Manufactured</v>
      </c>
      <c r="R58" s="266">
        <f>_xlfn.XLOOKUP(F58,'All Products'!D:D,'All Products'!K:K,FALSE)</f>
        <v>810673018703</v>
      </c>
      <c r="S58" s="266" t="str">
        <f>_xlfn.XLOOKUP(F58,'All Products'!D:D,'All Products'!L:L,FALSE)</f>
        <v>-</v>
      </c>
      <c r="T58" s="266">
        <f>_xlfn.XLOOKUP(F58,'All Products'!D:D,'All Products'!M:M,FALSE)</f>
        <v>816842021628</v>
      </c>
      <c r="U58" s="265">
        <f>_xlfn.XLOOKUP(F58,'All Products'!D:D,'All Products'!N:N,FALSE)</f>
        <v>11.082000000000001</v>
      </c>
      <c r="V58" s="265">
        <f>_xlfn.XLOOKUP(F58,'All Products'!D:D,'All Products'!P:P,FALSE)</f>
        <v>376.78800000000001</v>
      </c>
      <c r="W58" s="265">
        <f>_xlfn.XLOOKUP(F58,'All Products'!D:D,'All Products'!Q:Q,FALSE)</f>
        <v>53.333269333358928</v>
      </c>
    </row>
    <row r="59" spans="1:23">
      <c r="A59" s="101" t="str">
        <f>IF(L59&gt;0,COUNT($A$8:A58)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59" s="615"/>
      <c r="C59" s="615"/>
      <c r="D59" s="103" t="s">
        <v>1395</v>
      </c>
      <c r="E59" s="51" t="str">
        <f>_xlfn.XLOOKUP(F59,'All Products'!D:D,'All Products'!C:C,FALSE)</f>
        <v>37-1410</v>
      </c>
      <c r="F59" s="52">
        <v>300003434</v>
      </c>
      <c r="G59" s="53" t="str">
        <f>_xlfn.XLOOKUP(F59,'All Products'!D:D,'All Products'!E:E,FALSE)</f>
        <v>8 WYE GXGXG SDR26</v>
      </c>
      <c r="H59" s="124">
        <f>_xlfn.XLOOKUP(F59,'All Products'!D:D,'All Products'!F:F,FALSE)</f>
        <v>2</v>
      </c>
      <c r="I59" s="124">
        <f>_xlfn.XLOOKUP(F59,'All Products'!D:D,'All Products'!G:G,FALSE)</f>
        <v>10</v>
      </c>
      <c r="J59" s="123" t="str">
        <f>_xlfn.XLOOKUP(F59,'All Products'!D:D,'All Products'!H:H,FALSE)</f>
        <v>Quote Required</v>
      </c>
      <c r="K59" s="197">
        <f>IFERROR(ROUNDUP(J59*Order_Quote!$L$16,2),0)</f>
        <v>0</v>
      </c>
      <c r="L59" s="118"/>
      <c r="M59" s="76"/>
      <c r="N59" s="115">
        <f t="shared" si="1"/>
        <v>0</v>
      </c>
      <c r="P59" s="215" t="str">
        <f>_xlfn.XLOOKUP(F59,'All Products'!D:D,'All Products'!I:I,FALSE)</f>
        <v>Within 6 Weeks</v>
      </c>
      <c r="Q59" s="215" t="str">
        <f>_xlfn.XLOOKUP(F59,'All Products'!D:D,'All Products'!J:J,FALSE)</f>
        <v>Sourced</v>
      </c>
      <c r="R59" s="266">
        <f>_xlfn.XLOOKUP(F59,'All Products'!D:D,'All Products'!K:K,FALSE)</f>
        <v>812361017999</v>
      </c>
      <c r="S59" s="266" t="str">
        <f>_xlfn.XLOOKUP(F59,'All Products'!D:D,'All Products'!L:L,FALSE)</f>
        <v>-</v>
      </c>
      <c r="T59" s="266" t="str">
        <f>_xlfn.XLOOKUP(F59,'All Products'!D:D,'All Products'!M:M,FALSE)</f>
        <v>-</v>
      </c>
      <c r="U59" s="265">
        <f>_xlfn.XLOOKUP(F59,'All Products'!D:D,'All Products'!N:N,FALSE)</f>
        <v>8.5050000000000008</v>
      </c>
      <c r="V59" s="265">
        <f>_xlfn.XLOOKUP(F59,'All Products'!D:D,'All Products'!P:P,FALSE)</f>
        <v>17.010000000000002</v>
      </c>
      <c r="W59" s="265" t="str">
        <f>_xlfn.XLOOKUP(F59,'All Products'!D:D,'All Products'!Q:Q,FALSE)</f>
        <v>-</v>
      </c>
    </row>
    <row r="60" spans="1:23">
      <c r="A60" s="101" t="str">
        <f>IF(L60&gt;0,COUNT($A$8:A59)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60" s="615"/>
      <c r="C60" s="615"/>
      <c r="D60" s="103" t="s">
        <v>1310</v>
      </c>
      <c r="E60" s="51" t="str">
        <f>_xlfn.XLOOKUP(F60,'All Products'!D:D,'All Products'!C:C,FALSE)</f>
        <v>37-116</v>
      </c>
      <c r="F60" s="52">
        <v>300005836</v>
      </c>
      <c r="G60" s="53" t="str">
        <f>_xlfn.XLOOKUP(F60,'All Products'!D:D,'All Products'!E:E,FALSE)</f>
        <v>10X4 WYE GXGXG SDR26</v>
      </c>
      <c r="H60" s="124">
        <f>_xlfn.XLOOKUP(F60,'All Products'!D:D,'All Products'!F:F,FALSE)</f>
        <v>1</v>
      </c>
      <c r="I60" s="124">
        <f>_xlfn.XLOOKUP(F60,'All Products'!D:D,'All Products'!G:G,FALSE)</f>
        <v>28</v>
      </c>
      <c r="J60" s="123" t="str">
        <f>_xlfn.XLOOKUP(F60,'All Products'!D:D,'All Products'!H:H,FALSE)</f>
        <v>Quote Required</v>
      </c>
      <c r="K60" s="197">
        <f>IFERROR(ROUNDUP(J60*Order_Quote!$L$16,2),0)</f>
        <v>0</v>
      </c>
      <c r="L60" s="118"/>
      <c r="M60" s="76"/>
      <c r="N60" s="115">
        <f t="shared" si="1"/>
        <v>0</v>
      </c>
      <c r="P60" s="215" t="str">
        <f>_xlfn.XLOOKUP(F60,'All Products'!D:D,'All Products'!I:I,FALSE)</f>
        <v>Within 6 Weeks</v>
      </c>
      <c r="Q60" s="215" t="str">
        <f>_xlfn.XLOOKUP(F60,'All Products'!D:D,'All Products'!J:J,FALSE)</f>
        <v>Sourced</v>
      </c>
      <c r="R60" s="266">
        <f>_xlfn.XLOOKUP(F60,'All Products'!D:D,'All Products'!K:K,FALSE)</f>
        <v>810673018727</v>
      </c>
      <c r="S60" s="266" t="str">
        <f>_xlfn.XLOOKUP(F60,'All Products'!D:D,'All Products'!L:L,FALSE)</f>
        <v>-</v>
      </c>
      <c r="T60" s="266" t="str">
        <f>_xlfn.XLOOKUP(F60,'All Products'!D:D,'All Products'!M:M,FALSE)</f>
        <v>-</v>
      </c>
      <c r="U60" s="265">
        <f>_xlfn.XLOOKUP(F60,'All Products'!D:D,'All Products'!N:N,FALSE)</f>
        <v>10.75</v>
      </c>
      <c r="V60" s="265">
        <f>_xlfn.XLOOKUP(F60,'All Products'!D:D,'All Products'!P:P,FALSE)</f>
        <v>10.75</v>
      </c>
      <c r="W60" s="265" t="str">
        <f>_xlfn.XLOOKUP(F60,'All Products'!D:D,'All Products'!Q:Q,FALSE)</f>
        <v>-</v>
      </c>
    </row>
    <row r="61" spans="1:23">
      <c r="A61" s="101" t="str">
        <f>IF(L61&gt;0,COUNT($A$8:A60)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61" s="615"/>
      <c r="C61" s="615"/>
      <c r="D61" s="103" t="s">
        <v>1310</v>
      </c>
      <c r="E61" s="51" t="str">
        <f>_xlfn.XLOOKUP(F61,'All Products'!D:D,'All Products'!C:C,FALSE)</f>
        <v>37-117</v>
      </c>
      <c r="F61" s="52">
        <v>300005837</v>
      </c>
      <c r="G61" s="53" t="str">
        <f>_xlfn.XLOOKUP(F61,'All Products'!D:D,'All Products'!E:E,FALSE)</f>
        <v>10X6 WYE GXGXG SDR26</v>
      </c>
      <c r="H61" s="124">
        <f>_xlfn.XLOOKUP(F61,'All Products'!D:D,'All Products'!F:F,FALSE)</f>
        <v>1</v>
      </c>
      <c r="I61" s="124">
        <f>_xlfn.XLOOKUP(F61,'All Products'!D:D,'All Products'!G:G,FALSE)</f>
        <v>24</v>
      </c>
      <c r="J61" s="123" t="str">
        <f>_xlfn.XLOOKUP(F61,'All Products'!D:D,'All Products'!H:H,FALSE)</f>
        <v>Quote Required</v>
      </c>
      <c r="K61" s="197">
        <f>IFERROR(ROUNDUP(J61*Order_Quote!$L$16,2),0)</f>
        <v>0</v>
      </c>
      <c r="L61" s="118"/>
      <c r="M61" s="76"/>
      <c r="N61" s="114">
        <f t="shared" si="1"/>
        <v>0</v>
      </c>
      <c r="P61" s="215" t="str">
        <f>_xlfn.XLOOKUP(F61,'All Products'!D:D,'All Products'!I:I,FALSE)</f>
        <v>Within 6 Weeks</v>
      </c>
      <c r="Q61" s="215" t="str">
        <f>_xlfn.XLOOKUP(F61,'All Products'!D:D,'All Products'!J:J,FALSE)</f>
        <v>Sourced</v>
      </c>
      <c r="R61" s="266">
        <f>_xlfn.XLOOKUP(F61,'All Products'!D:D,'All Products'!K:K,FALSE)</f>
        <v>810673018734</v>
      </c>
      <c r="S61" s="266" t="str">
        <f>_xlfn.XLOOKUP(F61,'All Products'!D:D,'All Products'!L:L,FALSE)</f>
        <v>-</v>
      </c>
      <c r="T61" s="266" t="str">
        <f>_xlfn.XLOOKUP(F61,'All Products'!D:D,'All Products'!M:M,FALSE)</f>
        <v>-</v>
      </c>
      <c r="U61" s="265">
        <f>_xlfn.XLOOKUP(F61,'All Products'!D:D,'All Products'!N:N,FALSE)</f>
        <v>17.23</v>
      </c>
      <c r="V61" s="265">
        <f>_xlfn.XLOOKUP(F61,'All Products'!D:D,'All Products'!P:P,FALSE)</f>
        <v>17.23</v>
      </c>
      <c r="W61" s="265" t="str">
        <f>_xlfn.XLOOKUP(F61,'All Products'!D:D,'All Products'!Q:Q,FALSE)</f>
        <v>-</v>
      </c>
    </row>
    <row r="62" spans="1:23" ht="30" customHeight="1">
      <c r="A62" s="101" t="str">
        <f>IF(L62&gt;0,COUNT($A$8:A61)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62" s="608"/>
      <c r="C62" s="609"/>
      <c r="D62" s="103" t="s">
        <v>1310</v>
      </c>
      <c r="E62" s="51" t="str">
        <f>_xlfn.XLOOKUP(F62,'All Products'!D:D,'All Products'!C:C,FALSE)</f>
        <v>37-1038</v>
      </c>
      <c r="F62" s="52">
        <v>300003406</v>
      </c>
      <c r="G62" s="53" t="str">
        <f>_xlfn.XLOOKUP(F62,'All Products'!D:D,'All Products'!E:E,FALSE)</f>
        <v>6X4 DOUBLE WYE GXGXGXG SDR26</v>
      </c>
      <c r="H62" s="124">
        <f>_xlfn.XLOOKUP(F62,'All Products'!D:D,'All Products'!F:F,FALSE)</f>
        <v>3</v>
      </c>
      <c r="I62" s="124">
        <f>_xlfn.XLOOKUP(F62,'All Products'!D:D,'All Products'!G:G,FALSE)</f>
        <v>15</v>
      </c>
      <c r="J62" s="123" t="str">
        <f>_xlfn.XLOOKUP(F62,'All Products'!D:D,'All Products'!H:H,FALSE)</f>
        <v>Quote Required</v>
      </c>
      <c r="K62" s="197">
        <f>IFERROR(ROUNDUP(J62*Order_Quote!$L$16,2),0)</f>
        <v>0</v>
      </c>
      <c r="L62" s="122"/>
      <c r="M62" s="76"/>
      <c r="N62" s="115">
        <f t="shared" si="1"/>
        <v>0</v>
      </c>
      <c r="P62" s="215" t="str">
        <f>_xlfn.XLOOKUP(F62,'All Products'!D:D,'All Products'!I:I,FALSE)</f>
        <v>Within 3 Weeks</v>
      </c>
      <c r="Q62" s="215" t="str">
        <f>_xlfn.XLOOKUP(F62,'All Products'!D:D,'All Products'!J:J,FALSE)</f>
        <v>Sourced</v>
      </c>
      <c r="R62" s="266" t="str">
        <f>_xlfn.XLOOKUP(F62,'All Products'!D:D,'All Products'!K:K,FALSE)</f>
        <v>-</v>
      </c>
      <c r="S62" s="266" t="str">
        <f>_xlfn.XLOOKUP(F62,'All Products'!D:D,'All Products'!L:L,FALSE)</f>
        <v>-</v>
      </c>
      <c r="T62" s="266" t="str">
        <f>_xlfn.XLOOKUP(F62,'All Products'!D:D,'All Products'!M:M,FALSE)</f>
        <v>-</v>
      </c>
      <c r="U62" s="265">
        <f>_xlfn.XLOOKUP(F62,'All Products'!D:D,'All Products'!N:N,FALSE)</f>
        <v>7.9690000000000003</v>
      </c>
      <c r="V62" s="265">
        <f>_xlfn.XLOOKUP(F62,'All Products'!D:D,'All Products'!P:P,FALSE)</f>
        <v>23.907</v>
      </c>
      <c r="W62" s="265" t="str">
        <f>_xlfn.XLOOKUP(F62,'All Products'!D:D,'All Products'!Q:Q,FALSE)</f>
        <v>-</v>
      </c>
    </row>
    <row r="63" spans="1:23" ht="30" customHeight="1" thickBot="1">
      <c r="A63" s="101" t="str">
        <f>IF(L63&gt;0,COUNT($A$8:A62)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63" s="612"/>
      <c r="C63" s="613"/>
      <c r="D63" s="103" t="s">
        <v>1310</v>
      </c>
      <c r="E63" s="51" t="str">
        <f>_xlfn.XLOOKUP(F63,'All Products'!D:D,'All Products'!C:C,FALSE)</f>
        <v>37-1039</v>
      </c>
      <c r="F63" s="52">
        <v>300003390</v>
      </c>
      <c r="G63" s="53" t="str">
        <f>_xlfn.XLOOKUP(F63,'All Products'!D:D,'All Products'!E:E,FALSE)</f>
        <v>6 DOUBLE WYE GXGXGXG SDR26</v>
      </c>
      <c r="H63" s="124">
        <f>_xlfn.XLOOKUP(F63,'All Products'!D:D,'All Products'!F:F,FALSE)</f>
        <v>2</v>
      </c>
      <c r="I63" s="124">
        <f>_xlfn.XLOOKUP(F63,'All Products'!D:D,'All Products'!G:G,FALSE)</f>
        <v>12</v>
      </c>
      <c r="J63" s="123" t="str">
        <f>_xlfn.XLOOKUP(F63,'All Products'!D:D,'All Products'!H:H,FALSE)</f>
        <v>Quote Required</v>
      </c>
      <c r="K63" s="197">
        <f>IFERROR(ROUNDUP(J63*Order_Quote!$L$16,2),0)</f>
        <v>0</v>
      </c>
      <c r="L63" s="122"/>
      <c r="M63" s="76"/>
      <c r="N63" s="595">
        <f t="shared" si="1"/>
        <v>0</v>
      </c>
      <c r="P63" s="567" t="str">
        <f>_xlfn.XLOOKUP(F63,'All Products'!D:D,'All Products'!I:I,FALSE)</f>
        <v>Within 6 Weeks</v>
      </c>
      <c r="Q63" s="567" t="str">
        <f>_xlfn.XLOOKUP(F63,'All Products'!D:D,'All Products'!J:J,FALSE)</f>
        <v>Sourced</v>
      </c>
      <c r="R63" s="569" t="str">
        <f>_xlfn.XLOOKUP(F63,'All Products'!D:D,'All Products'!K:K,FALSE)</f>
        <v>-</v>
      </c>
      <c r="S63" s="569" t="str">
        <f>_xlfn.XLOOKUP(F63,'All Products'!D:D,'All Products'!L:L,FALSE)</f>
        <v>-</v>
      </c>
      <c r="T63" s="569" t="str">
        <f>_xlfn.XLOOKUP(F63,'All Products'!D:D,'All Products'!M:M,FALSE)</f>
        <v>-</v>
      </c>
      <c r="U63" s="570">
        <f>_xlfn.XLOOKUP(F63,'All Products'!D:D,'All Products'!N:N,FALSE)</f>
        <v>11.356999999999999</v>
      </c>
      <c r="V63" s="570">
        <f>_xlfn.XLOOKUP(F63,'All Products'!D:D,'All Products'!P:P,FALSE)</f>
        <v>22.713999999999999</v>
      </c>
      <c r="W63" s="570" t="str">
        <f>_xlfn.XLOOKUP(F63,'All Products'!D:D,'All Products'!Q:Q,FALSE)</f>
        <v>-</v>
      </c>
    </row>
    <row r="64" spans="1:23" ht="16.2" thickBot="1">
      <c r="A64" s="101" t="str">
        <f>IF(L64&gt;0,COUNT($A$8:A63)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64" s="446" t="s">
        <v>5813</v>
      </c>
      <c r="C64" s="151"/>
      <c r="D64" s="151"/>
      <c r="E64" s="459"/>
      <c r="F64" s="151"/>
      <c r="G64" s="468"/>
      <c r="H64" s="151"/>
      <c r="I64" s="472"/>
      <c r="J64" s="468"/>
      <c r="K64" s="477"/>
      <c r="L64" s="566"/>
      <c r="M64" s="20"/>
      <c r="N64" s="565"/>
      <c r="P64" s="357"/>
      <c r="Q64" s="493"/>
      <c r="R64" s="493"/>
      <c r="S64" s="493"/>
      <c r="T64" s="479"/>
      <c r="U64" s="459"/>
      <c r="V64" s="489"/>
      <c r="W64" s="582"/>
    </row>
    <row r="65" spans="1:23" ht="27.75" customHeight="1">
      <c r="A65" s="101" t="str">
        <f>IF(L65&gt;0,COUNT($A$8:A64)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65" s="608"/>
      <c r="C65" s="609"/>
      <c r="D65" s="103" t="s">
        <v>1310</v>
      </c>
      <c r="E65" s="51" t="str">
        <f>_xlfn.XLOOKUP(F65,'All Products'!D:D,'All Products'!C:C,FALSE)</f>
        <v>37-2004</v>
      </c>
      <c r="F65" s="52">
        <v>300003378</v>
      </c>
      <c r="G65" s="53" t="str">
        <f>_xlfn.XLOOKUP(F65,'All Products'!D:D,'All Products'!E:E,FALSE)</f>
        <v>4 TWO WAY CLEANOUT TEE GXGXG SDR 26</v>
      </c>
      <c r="H65" s="124">
        <f>_xlfn.XLOOKUP(F65,'All Products'!D:D,'All Products'!F:F,FALSE)</f>
        <v>6</v>
      </c>
      <c r="I65" s="124" t="str">
        <f>_xlfn.XLOOKUP(F65,'All Products'!D:D,'All Products'!G:G,FALSE)</f>
        <v>-</v>
      </c>
      <c r="J65" s="123" t="str">
        <f>_xlfn.XLOOKUP(F65,'All Products'!D:D,'All Products'!H:H,FALSE)</f>
        <v>Quote Required</v>
      </c>
      <c r="K65" s="197">
        <f>IFERROR(ROUNDUP(J65*Order_Quote!$L$16,2),0)</f>
        <v>0</v>
      </c>
      <c r="L65" s="122"/>
      <c r="M65" s="76"/>
      <c r="N65" s="115">
        <f>L65/H65</f>
        <v>0</v>
      </c>
      <c r="P65" s="215" t="str">
        <f>_xlfn.XLOOKUP(F65,'All Products'!D:D,'All Products'!I:I,FALSE)</f>
        <v>Within 6 Weeks</v>
      </c>
      <c r="Q65" s="215" t="str">
        <f>_xlfn.XLOOKUP(F65,'All Products'!D:D,'All Products'!J:J,FALSE)</f>
        <v>Sourced</v>
      </c>
      <c r="R65" s="266">
        <f>_xlfn.XLOOKUP(F65,'All Products'!D:D,'All Products'!K:K,FALSE)</f>
        <v>810116843664</v>
      </c>
      <c r="S65" s="266" t="str">
        <f>_xlfn.XLOOKUP(F65,'All Products'!D:D,'All Products'!L:L,FALSE)</f>
        <v>-</v>
      </c>
      <c r="T65" s="266" t="str">
        <f>_xlfn.XLOOKUP(F65,'All Products'!D:D,'All Products'!M:M,FALSE)</f>
        <v>-</v>
      </c>
      <c r="U65" s="265">
        <f>_xlfn.XLOOKUP(F65,'All Products'!D:D,'All Products'!N:N,FALSE)</f>
        <v>3.22</v>
      </c>
      <c r="V65" s="265">
        <f>_xlfn.XLOOKUP(F65,'All Products'!D:D,'All Products'!P:P,FALSE)</f>
        <v>19.32</v>
      </c>
      <c r="W65" s="265" t="str">
        <f>_xlfn.XLOOKUP(F65,'All Products'!D:D,'All Products'!Q:Q,FALSE)</f>
        <v>-</v>
      </c>
    </row>
    <row r="66" spans="1:23" ht="27.75" customHeight="1">
      <c r="A66" s="101" t="str">
        <f>IF(L66&gt;0,COUNT($A$8:A65)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+COUNT(SDR35G!$A$9:$A$150)+1,"")</f>
        <v/>
      </c>
      <c r="B66" s="612"/>
      <c r="C66" s="613"/>
      <c r="D66" s="103" t="s">
        <v>1310</v>
      </c>
      <c r="E66" s="51" t="str">
        <f>_xlfn.XLOOKUP(F66,'All Products'!D:D,'All Products'!C:C,FALSE)</f>
        <v>37-2001</v>
      </c>
      <c r="F66" s="52">
        <v>100029435</v>
      </c>
      <c r="G66" s="53" t="str">
        <f>_xlfn.XLOOKUP(F66,'All Products'!D:D,'All Products'!E:E,FALSE)</f>
        <v>6 TWO WAY CLEANOUT TEE GXGXG SDR 26</v>
      </c>
      <c r="H66" s="124">
        <f>_xlfn.XLOOKUP(F66,'All Products'!D:D,'All Products'!F:F,FALSE)</f>
        <v>1</v>
      </c>
      <c r="I66" s="124">
        <f>_xlfn.XLOOKUP(F66,'All Products'!D:D,'All Products'!G:G,FALSE)</f>
        <v>40</v>
      </c>
      <c r="J66" s="123">
        <f>_xlfn.XLOOKUP(F66,'All Products'!D:D,'All Products'!H:H,FALSE)</f>
        <v>1502.29</v>
      </c>
      <c r="K66" s="197">
        <f>IFERROR(ROUNDUP(J66*Order_Quote!$L$16,2),0)</f>
        <v>1502.29</v>
      </c>
      <c r="L66" s="122"/>
      <c r="M66" s="76"/>
      <c r="N66" s="115">
        <f>L66/H66</f>
        <v>0</v>
      </c>
      <c r="P66" s="215" t="str">
        <f>_xlfn.XLOOKUP(F66,'All Products'!D:D,'All Products'!I:I,FALSE)</f>
        <v>In Stock</v>
      </c>
      <c r="Q66" s="215" t="str">
        <f>_xlfn.XLOOKUP(F66,'All Products'!D:D,'All Products'!J:J,FALSE)</f>
        <v>Manufactured</v>
      </c>
      <c r="R66" s="266">
        <f>_xlfn.XLOOKUP(F66,'All Products'!D:D,'All Products'!K:K,FALSE)</f>
        <v>816842026050</v>
      </c>
      <c r="S66" s="266" t="str">
        <f>_xlfn.XLOOKUP(F66,'All Products'!D:D,'All Products'!L:L,FALSE)</f>
        <v>-</v>
      </c>
      <c r="T66" s="266">
        <f>_xlfn.XLOOKUP(F66,'All Products'!D:D,'All Products'!M:M,FALSE)</f>
        <v>816842027378</v>
      </c>
      <c r="U66" s="265">
        <f>_xlfn.XLOOKUP(F66,'All Products'!D:D,'All Products'!N:N,FALSE)</f>
        <v>7.17</v>
      </c>
      <c r="V66" s="265">
        <f>_xlfn.XLOOKUP(F66,'All Products'!D:D,'All Products'!P:P,FALSE)</f>
        <v>286.8</v>
      </c>
      <c r="W66" s="265">
        <f>_xlfn.XLOOKUP(F66,'All Products'!D:D,'All Products'!Q:Q,FALSE)</f>
        <v>53.333269333358928</v>
      </c>
    </row>
    <row r="67" spans="1:23">
      <c r="A67" s="101">
        <f>MAX(A9:A66)+1</f>
        <v>1</v>
      </c>
    </row>
    <row r="68" spans="1:23"/>
    <row r="69" spans="1:23"/>
    <row r="70" spans="1:23"/>
    <row r="71" spans="1:23"/>
    <row r="72" spans="1:23"/>
    <row r="73" spans="1:23"/>
    <row r="74" spans="1:23"/>
    <row r="75" spans="1:23"/>
    <row r="76" spans="1:23"/>
    <row r="77" spans="1:23"/>
    <row r="78" spans="1:23"/>
    <row r="79" spans="1:23"/>
    <row r="80" spans="1:23"/>
    <row r="81"/>
    <row r="82"/>
    <row r="83"/>
    <row r="84"/>
    <row r="85"/>
    <row r="86"/>
    <row r="87"/>
    <row r="88"/>
    <row r="89"/>
    <row r="90"/>
    <row r="91"/>
  </sheetData>
  <sheetProtection algorithmName="SHA-512" hashValue="ikoQbzkOdMuWtTN/Lms5jFotm+Jii26h1HTi9ovxogp/xqeQ+ufRo40acm6UU8P8RORa8lRN8/mWTviEY48FKg==" saltValue="NYIJuRQLx/jHMhyg0BF7EQ==" spinCount="100000" sheet="1" formatCells="0" formatColumns="0" formatRows="0" insertColumns="0" insertRows="0" insertHyperlinks="0" deleteColumns="0" deleteRows="0" sort="0" autoFilter="0" pivotTables="0"/>
  <mergeCells count="21">
    <mergeCell ref="R6:T6"/>
    <mergeCell ref="B65:C66"/>
    <mergeCell ref="B29:C31"/>
    <mergeCell ref="B34:C36"/>
    <mergeCell ref="B9:C9"/>
    <mergeCell ref="B11:C13"/>
    <mergeCell ref="B17:C19"/>
    <mergeCell ref="B14:C15"/>
    <mergeCell ref="B20:C22"/>
    <mergeCell ref="B62:C63"/>
    <mergeCell ref="K2:L3"/>
    <mergeCell ref="B39:C41"/>
    <mergeCell ref="B44:C48"/>
    <mergeCell ref="B50:C53"/>
    <mergeCell ref="B54:C61"/>
    <mergeCell ref="B23:C25"/>
    <mergeCell ref="B26:C28"/>
    <mergeCell ref="B32:C33"/>
    <mergeCell ref="B37:C37"/>
    <mergeCell ref="B42:C42"/>
    <mergeCell ref="B49:C49"/>
  </mergeCells>
  <dataValidations xWindow="919" yWindow="369" count="5">
    <dataValidation type="whole" operator="greaterThanOrEqual" allowBlank="1" showInputMessage="1" showErrorMessage="1" errorTitle="Invalid Entry!" error="An invalid quantity has been entered. Please enter only whole numbers. Click Retry to change entry or Cancel to clear entry." sqref="M1:M6 M65:M65499" xr:uid="{00000000-0002-0000-0600-000000000000}">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F2" xr:uid="{00000000-0002-0000-0600-000001000000}">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M7:M8 M10 M16 M38 M43 M64 K64 K43 K38 K16 K10 K8" xr:uid="{00000000-0002-0000-0600-000002000000}">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K10 M11:M15 K16 M17:M37 K38 M39:M42 M65:M66 M44:M63 M9" xr:uid="{00000000-0002-0000-0600-000003000000}">
      <formula1>1</formula1>
    </dataValidation>
    <dataValidation allowBlank="1" showErrorMessage="1" sqref="L1:L1048576" xr:uid="{ED7486AD-2DC9-47FB-91DD-55FFBC46076E}"/>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rowBreaks count="1" manualBreakCount="1">
    <brk id="38" max="9"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0"/>
    <pageSetUpPr fitToPage="1"/>
  </sheetPr>
  <dimension ref="A1:Y95"/>
  <sheetViews>
    <sheetView topLeftCell="G86" workbookViewId="0">
      <selection activeCell="O18" sqref="O18"/>
    </sheetView>
  </sheetViews>
  <sheetFormatPr defaultColWidth="9.109375" defaultRowHeight="15" customHeight="1"/>
  <cols>
    <col min="1" max="1" width="2.33203125" style="101" customWidth="1"/>
    <col min="2" max="3" width="8.6640625" style="17" customWidth="1"/>
    <col min="4" max="5" width="12.6640625" style="20" customWidth="1"/>
    <col min="6" max="6" width="40.6640625" style="184" customWidth="1"/>
    <col min="7" max="7" width="9.33203125" style="184" bestFit="1" customWidth="1"/>
    <col min="8" max="8" width="15.6640625" style="184" customWidth="1"/>
    <col min="9" max="9" width="10.33203125" style="184" bestFit="1" customWidth="1"/>
    <col min="10" max="10" width="13.44140625" style="184" bestFit="1" customWidth="1"/>
    <col min="11" max="12" width="10.6640625" style="20" customWidth="1"/>
    <col min="13" max="13" width="13.5546875" style="444" bestFit="1" customWidth="1"/>
    <col min="14" max="14" width="10.6640625" style="25" customWidth="1"/>
    <col min="15" max="15" width="10.6640625" style="20" customWidth="1"/>
    <col min="16" max="16" width="1.44140625" style="20" customWidth="1"/>
    <col min="17" max="17" width="10.6640625" style="20" customWidth="1"/>
    <col min="18" max="18" width="2.33203125" style="17" customWidth="1"/>
    <col min="19" max="19" width="12.6640625" style="20" customWidth="1"/>
    <col min="20" max="20" width="10.6640625" style="20" customWidth="1"/>
    <col min="21" max="21" width="17.44140625" style="17" customWidth="1"/>
    <col min="22" max="22" width="13.109375" style="17" bestFit="1" customWidth="1"/>
    <col min="23" max="16384" width="9.109375" style="17"/>
  </cols>
  <sheetData>
    <row r="1" spans="1:25" ht="15" customHeight="1">
      <c r="F1" s="155" t="s">
        <v>1416</v>
      </c>
      <c r="G1" s="198"/>
      <c r="H1" s="198"/>
      <c r="I1" s="198"/>
      <c r="J1" s="198"/>
      <c r="K1" s="198"/>
      <c r="L1" s="198"/>
      <c r="S1" s="155"/>
      <c r="T1" s="155"/>
    </row>
    <row r="2" spans="1:25" ht="15" customHeight="1">
      <c r="D2" s="200"/>
      <c r="E2" s="201"/>
      <c r="F2" s="20"/>
      <c r="N2" s="607" t="s">
        <v>59</v>
      </c>
      <c r="O2" s="607"/>
    </row>
    <row r="3" spans="1:25" ht="15" customHeight="1">
      <c r="F3" s="323" t="s">
        <v>1417</v>
      </c>
      <c r="G3" s="4"/>
      <c r="H3" s="4"/>
      <c r="I3" s="4"/>
      <c r="J3" s="4"/>
      <c r="K3" s="4"/>
      <c r="L3" s="4"/>
      <c r="N3" s="607"/>
      <c r="O3" s="607"/>
    </row>
    <row r="4" spans="1:25" ht="15" customHeight="1">
      <c r="E4" s="147" t="s">
        <v>5731</v>
      </c>
      <c r="F4" s="327" t="s">
        <v>5988</v>
      </c>
      <c r="G4" s="4"/>
      <c r="H4" s="4"/>
      <c r="I4" s="4"/>
      <c r="J4" s="4"/>
      <c r="K4" s="4"/>
      <c r="L4" s="4"/>
      <c r="N4" s="21"/>
      <c r="O4" s="17"/>
    </row>
    <row r="5" spans="1:25" ht="15" customHeight="1">
      <c r="E5" s="147" t="s">
        <v>1418</v>
      </c>
      <c r="F5" s="325" t="s">
        <v>5973</v>
      </c>
      <c r="G5" s="4"/>
      <c r="H5" s="4"/>
      <c r="I5" s="4"/>
      <c r="J5" s="4"/>
      <c r="K5" s="4"/>
      <c r="L5" s="4"/>
      <c r="N5" s="21"/>
      <c r="O5" s="17"/>
    </row>
    <row r="6" spans="1:25" ht="15" customHeight="1">
      <c r="G6" s="4"/>
      <c r="H6" s="4"/>
      <c r="I6" s="4"/>
      <c r="J6" s="4"/>
      <c r="K6" s="4"/>
      <c r="L6" s="4"/>
      <c r="N6" s="21"/>
      <c r="O6" s="17"/>
      <c r="U6" s="614" t="s">
        <v>64</v>
      </c>
      <c r="V6" s="614"/>
      <c r="W6" s="20"/>
      <c r="X6" s="20"/>
      <c r="Y6" s="20"/>
    </row>
    <row r="7" spans="1:25" ht="38.25" customHeight="1" thickBot="1">
      <c r="A7" s="43"/>
      <c r="B7" s="136"/>
      <c r="C7" s="136"/>
      <c r="D7" s="136" t="s">
        <v>48</v>
      </c>
      <c r="E7" s="136" t="s">
        <v>49</v>
      </c>
      <c r="F7" s="136" t="s">
        <v>50</v>
      </c>
      <c r="G7" s="136" t="s">
        <v>1419</v>
      </c>
      <c r="H7" s="136" t="s">
        <v>1420</v>
      </c>
      <c r="I7" s="136" t="s">
        <v>1421</v>
      </c>
      <c r="J7" s="136" t="s">
        <v>1422</v>
      </c>
      <c r="K7" s="136" t="s">
        <v>53</v>
      </c>
      <c r="L7" s="136" t="s">
        <v>1306</v>
      </c>
      <c r="M7" s="190" t="s">
        <v>51</v>
      </c>
      <c r="N7" s="157" t="s">
        <v>55</v>
      </c>
      <c r="O7" s="158" t="s">
        <v>52</v>
      </c>
      <c r="P7" s="159"/>
      <c r="Q7" s="143" t="s">
        <v>67</v>
      </c>
      <c r="S7" s="213" t="s">
        <v>68</v>
      </c>
      <c r="T7" s="213" t="s">
        <v>69</v>
      </c>
      <c r="U7" s="213" t="s">
        <v>70</v>
      </c>
      <c r="V7" s="213" t="s">
        <v>72</v>
      </c>
      <c r="W7" s="213" t="s">
        <v>73</v>
      </c>
      <c r="X7" s="213" t="s">
        <v>328</v>
      </c>
      <c r="Y7" s="213" t="s">
        <v>329</v>
      </c>
    </row>
    <row r="8" spans="1:25" ht="15" customHeight="1">
      <c r="A8" s="101" t="str">
        <f>IF(O8&gt;0,COUNT($A7:A$7)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8" s="608"/>
      <c r="C8" s="609"/>
      <c r="D8" s="142" t="str">
        <f>_xlfn.XLOOKUP(E8,'All Products'!D:D,'All Products'!C:C,FALSE)</f>
        <v>IFGA100</v>
      </c>
      <c r="E8" s="103">
        <v>300002361</v>
      </c>
      <c r="F8" s="195" t="str">
        <f>_xlfn.XLOOKUP(E8,'All Products'!D:D,'All Products'!E:E,FALSE)</f>
        <v>IFUSE IRR PVC GA CLR REGULAR</v>
      </c>
      <c r="G8" s="272" t="s">
        <v>1425</v>
      </c>
      <c r="H8" s="272" t="s">
        <v>1426</v>
      </c>
      <c r="I8" s="272" t="s">
        <v>1427</v>
      </c>
      <c r="J8" s="272" t="s">
        <v>1428</v>
      </c>
      <c r="K8" s="196">
        <f>_xlfn.XLOOKUP(E8,'All Products'!D:D,'All Products'!F:F,FALSE)</f>
        <v>6</v>
      </c>
      <c r="L8" s="196">
        <f>_xlfn.XLOOKUP(E8,'All Products'!D:D,'All Products'!G:G,FALSE)</f>
        <v>162</v>
      </c>
      <c r="M8" s="142" t="str">
        <f>_xlfn.XLOOKUP(E8,'All Products'!D:D,'All Products'!H:H,FALSE)</f>
        <v>Quote Required</v>
      </c>
      <c r="N8" s="197">
        <f>IFERROR(ROUNDUP(M8*Order_Quote!$L$17,2),0)</f>
        <v>0</v>
      </c>
      <c r="O8" s="172"/>
      <c r="P8" s="113"/>
      <c r="Q8" s="171">
        <f t="shared" ref="Q8:Q36" si="0">O8/K8</f>
        <v>0</v>
      </c>
      <c r="S8" s="215" t="str">
        <f>_xlfn.XLOOKUP(E8,'All Products'!D:D,'All Products'!I:I,FALSE)</f>
        <v>Within 3 Weeks</v>
      </c>
      <c r="T8" s="242" t="str">
        <f>_xlfn.XLOOKUP(E8,'All Products'!D:D,'All Products'!J:J,FALSE)</f>
        <v>Sourced</v>
      </c>
      <c r="U8" s="273">
        <f>_xlfn.XLOOKUP(E8,'All Products'!D:D,'All Products'!K:K,FALSE)</f>
        <v>810116842285</v>
      </c>
      <c r="V8" s="273">
        <f>_xlfn.XLOOKUP(E8,'All Products'!D:D,'All Products'!M:M,FALSE)</f>
        <v>10810116842282</v>
      </c>
      <c r="W8" s="264">
        <f>_xlfn.XLOOKUP(E8,'All Products'!D:D,'All Products'!N:N,FALSE)</f>
        <v>8.6669999999999998</v>
      </c>
      <c r="X8" s="265">
        <f>_xlfn.XLOOKUP(E8,'All Products'!D:D,'All Products'!P:P,FALSE)</f>
        <v>56</v>
      </c>
      <c r="Y8" s="265">
        <f>_xlfn.XLOOKUP(E8,'All Products'!D:D,'All Products'!Q:Q,FALSE)</f>
        <v>1.21</v>
      </c>
    </row>
    <row r="9" spans="1:25" ht="15" customHeight="1">
      <c r="A9" s="101" t="str">
        <f>IF(O9&gt;0,COUNT($A$7:A8)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9" s="610"/>
      <c r="C9" s="611"/>
      <c r="D9" s="142" t="str">
        <f>_xlfn.XLOOKUP(E9,'All Products'!D:D,'All Products'!C:C,FALSE)</f>
        <v>IFQT100</v>
      </c>
      <c r="E9" s="103">
        <v>300002313</v>
      </c>
      <c r="F9" s="195" t="str">
        <f>_xlfn.XLOOKUP(E9,'All Products'!D:D,'All Products'!E:E,FALSE)</f>
        <v>IFUSE IRR PVC QT CLR REGULAR</v>
      </c>
      <c r="G9" s="272" t="s">
        <v>1431</v>
      </c>
      <c r="H9" s="272" t="s">
        <v>1426</v>
      </c>
      <c r="I9" s="272" t="s">
        <v>1427</v>
      </c>
      <c r="J9" s="272" t="s">
        <v>1428</v>
      </c>
      <c r="K9" s="196">
        <f>_xlfn.XLOOKUP(E9,'All Products'!D:D,'All Products'!F:F,FALSE)</f>
        <v>12</v>
      </c>
      <c r="L9" s="196">
        <f>_xlfn.XLOOKUP(E9,'All Products'!D:D,'All Products'!G:G,FALSE)</f>
        <v>576</v>
      </c>
      <c r="M9" s="142" t="str">
        <f>_xlfn.XLOOKUP(E9,'All Products'!D:D,'All Products'!H:H,FALSE)</f>
        <v>Quote Required</v>
      </c>
      <c r="N9" s="197">
        <f>IFERROR(ROUNDUP(M9*Order_Quote!$L$17,2),0)</f>
        <v>0</v>
      </c>
      <c r="O9" s="75"/>
      <c r="P9" s="113"/>
      <c r="Q9" s="171">
        <f t="shared" si="0"/>
        <v>0</v>
      </c>
      <c r="S9" s="215" t="str">
        <f>_xlfn.XLOOKUP(E9,'All Products'!D:D,'All Products'!I:I,FALSE)</f>
        <v>Within 6 Weeks</v>
      </c>
      <c r="T9" s="242" t="str">
        <f>_xlfn.XLOOKUP(E9,'All Products'!D:D,'All Products'!J:J,FALSE)</f>
        <v>Sourced</v>
      </c>
      <c r="U9" s="273">
        <f>_xlfn.XLOOKUP(E9,'All Products'!D:D,'All Products'!K:K,FALSE)</f>
        <v>49081071004</v>
      </c>
      <c r="V9" s="273">
        <f>_xlfn.XLOOKUP(E9,'All Products'!D:D,'All Products'!M:M,FALSE)</f>
        <v>50049081071009</v>
      </c>
      <c r="W9" s="264">
        <f>_xlfn.XLOOKUP(E9,'All Products'!D:D,'All Products'!N:N,FALSE)</f>
        <v>2.25</v>
      </c>
      <c r="X9" s="265">
        <f>_xlfn.XLOOKUP(E9,'All Products'!D:D,'All Products'!P:P,FALSE)</f>
        <v>27</v>
      </c>
      <c r="Y9" s="265">
        <f>_xlfn.XLOOKUP(E9,'All Products'!D:D,'All Products'!Q:Q,FALSE)</f>
        <v>0.78</v>
      </c>
    </row>
    <row r="10" spans="1:25" ht="15" customHeight="1">
      <c r="A10" s="101" t="str">
        <f>IF(O10&gt;0,COUNT($A$7:A9)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10" s="610"/>
      <c r="C10" s="611"/>
      <c r="D10" s="142" t="str">
        <f>_xlfn.XLOOKUP(E10,'All Products'!D:D,'All Products'!C:C,FALSE)</f>
        <v>IFPT100</v>
      </c>
      <c r="E10" s="103">
        <v>300002274</v>
      </c>
      <c r="F10" s="195" t="str">
        <f>_xlfn.XLOOKUP(E10,'All Products'!D:D,'All Products'!E:E,FALSE)</f>
        <v>IFUSE IRR PVC PT CLR REGULAR</v>
      </c>
      <c r="G10" s="272" t="s">
        <v>1434</v>
      </c>
      <c r="H10" s="272" t="s">
        <v>1426</v>
      </c>
      <c r="I10" s="272" t="s">
        <v>1427</v>
      </c>
      <c r="J10" s="272" t="s">
        <v>1428</v>
      </c>
      <c r="K10" s="196">
        <f>_xlfn.XLOOKUP(E10,'All Products'!D:D,'All Products'!F:F,FALSE)</f>
        <v>12</v>
      </c>
      <c r="L10" s="196">
        <f>_xlfn.XLOOKUP(E10,'All Products'!D:D,'All Products'!G:G,FALSE)</f>
        <v>1008</v>
      </c>
      <c r="M10" s="142" t="str">
        <f>_xlfn.XLOOKUP(E10,'All Products'!D:D,'All Products'!H:H,FALSE)</f>
        <v>Quote Required</v>
      </c>
      <c r="N10" s="197">
        <f>IFERROR(ROUNDUP(M10*Order_Quote!$L$17,2),0)</f>
        <v>0</v>
      </c>
      <c r="O10" s="75"/>
      <c r="P10" s="113"/>
      <c r="Q10" s="171">
        <f t="shared" si="0"/>
        <v>0</v>
      </c>
      <c r="S10" s="215" t="str">
        <f>_xlfn.XLOOKUP(E10,'All Products'!D:D,'All Products'!I:I,FALSE)</f>
        <v>Within 3 Weeks</v>
      </c>
      <c r="T10" s="242" t="str">
        <f>_xlfn.XLOOKUP(E10,'All Products'!D:D,'All Products'!J:J,FALSE)</f>
        <v>Sourced</v>
      </c>
      <c r="U10" s="273">
        <f>_xlfn.XLOOKUP(E10,'All Products'!D:D,'All Products'!K:K,FALSE)</f>
        <v>49081071011</v>
      </c>
      <c r="V10" s="273">
        <f>_xlfn.XLOOKUP(E10,'All Products'!D:D,'All Products'!M:M,FALSE)</f>
        <v>50049081071016</v>
      </c>
      <c r="W10" s="264">
        <f>_xlfn.XLOOKUP(E10,'All Products'!D:D,'All Products'!N:N,FALSE)</f>
        <v>1.167</v>
      </c>
      <c r="X10" s="265">
        <f>_xlfn.XLOOKUP(E10,'All Products'!D:D,'All Products'!P:P,FALSE)</f>
        <v>14</v>
      </c>
      <c r="Y10" s="265">
        <f>_xlfn.XLOOKUP(E10,'All Products'!D:D,'All Products'!Q:Q,FALSE)</f>
        <v>0.42</v>
      </c>
    </row>
    <row r="11" spans="1:25" ht="15" customHeight="1">
      <c r="A11" s="101" t="str">
        <f>IF(O11&gt;0,COUNT($A$7:A10)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11" s="610"/>
      <c r="C11" s="611"/>
      <c r="D11" s="142" t="str">
        <f>_xlfn.XLOOKUP(E11,'All Products'!D:D,'All Products'!C:C,FALSE)</f>
        <v>IFHP100</v>
      </c>
      <c r="E11" s="103">
        <v>300002250</v>
      </c>
      <c r="F11" s="195" t="str">
        <f>_xlfn.XLOOKUP(E11,'All Products'!D:D,'All Products'!E:E,FALSE)</f>
        <v>IFUSE IRR PVC HP CLR REGULAR</v>
      </c>
      <c r="G11" s="272" t="s">
        <v>1437</v>
      </c>
      <c r="H11" s="272" t="s">
        <v>1426</v>
      </c>
      <c r="I11" s="272" t="s">
        <v>1427</v>
      </c>
      <c r="J11" s="272" t="s">
        <v>1428</v>
      </c>
      <c r="K11" s="196">
        <f>_xlfn.XLOOKUP(E11,'All Products'!D:D,'All Products'!F:F,FALSE)</f>
        <v>24</v>
      </c>
      <c r="L11" s="196">
        <f>_xlfn.XLOOKUP(E11,'All Products'!D:D,'All Products'!G:G,FALSE)</f>
        <v>1920</v>
      </c>
      <c r="M11" s="142" t="str">
        <f>_xlfn.XLOOKUP(E11,'All Products'!D:D,'All Products'!H:H,FALSE)</f>
        <v>Quote Required</v>
      </c>
      <c r="N11" s="197">
        <f>IFERROR(ROUNDUP(M11*Order_Quote!$L$17,2),0)</f>
        <v>0</v>
      </c>
      <c r="O11" s="75"/>
      <c r="P11" s="113"/>
      <c r="Q11" s="171">
        <f t="shared" si="0"/>
        <v>0</v>
      </c>
      <c r="S11" s="215" t="str">
        <f>_xlfn.XLOOKUP(E11,'All Products'!D:D,'All Products'!I:I,FALSE)</f>
        <v>Within 3 Weeks</v>
      </c>
      <c r="T11" s="242" t="str">
        <f>_xlfn.XLOOKUP(E11,'All Products'!D:D,'All Products'!J:J,FALSE)</f>
        <v>Sourced</v>
      </c>
      <c r="U11" s="273">
        <f>_xlfn.XLOOKUP(E11,'All Products'!D:D,'All Products'!K:K,FALSE)</f>
        <v>49081071028</v>
      </c>
      <c r="V11" s="273">
        <f>_xlfn.XLOOKUP(E11,'All Products'!D:D,'All Products'!M:M,FALSE)</f>
        <v>50049081071023</v>
      </c>
      <c r="W11" s="264">
        <f>_xlfn.XLOOKUP(E11,'All Products'!D:D,'All Products'!N:N,FALSE)</f>
        <v>0.625</v>
      </c>
      <c r="X11" s="265">
        <f>_xlfn.XLOOKUP(E11,'All Products'!D:D,'All Products'!P:P,FALSE)</f>
        <v>15</v>
      </c>
      <c r="Y11" s="265">
        <f>_xlfn.XLOOKUP(E11,'All Products'!D:D,'All Products'!Q:Q,FALSE)</f>
        <v>0.41</v>
      </c>
    </row>
    <row r="12" spans="1:25" ht="15" customHeight="1">
      <c r="A12" s="101" t="str">
        <f>IF(O12&gt;0,COUNT($A$7:A11)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12" s="612"/>
      <c r="C12" s="613"/>
      <c r="D12" s="142" t="str">
        <f>_xlfn.XLOOKUP(E12,'All Products'!D:D,'All Products'!C:C,FALSE)</f>
        <v>IFQP100</v>
      </c>
      <c r="E12" s="103">
        <v>300002296</v>
      </c>
      <c r="F12" s="195" t="str">
        <f>_xlfn.XLOOKUP(E12,'All Products'!D:D,'All Products'!E:E,FALSE)</f>
        <v>IFUSE IRR PVC QP CLR REGULAR</v>
      </c>
      <c r="G12" s="272" t="s">
        <v>1440</v>
      </c>
      <c r="H12" s="272" t="s">
        <v>1426</v>
      </c>
      <c r="I12" s="272" t="s">
        <v>1427</v>
      </c>
      <c r="J12" s="272" t="s">
        <v>1428</v>
      </c>
      <c r="K12" s="196">
        <f>_xlfn.XLOOKUP(E12,'All Products'!D:D,'All Products'!F:F,FALSE)</f>
        <v>24</v>
      </c>
      <c r="L12" s="196">
        <f>_xlfn.XLOOKUP(E12,'All Products'!D:D,'All Products'!G:G,FALSE)</f>
        <v>2808</v>
      </c>
      <c r="M12" s="142" t="str">
        <f>_xlfn.XLOOKUP(E12,'All Products'!D:D,'All Products'!H:H,FALSE)</f>
        <v>Quote Required</v>
      </c>
      <c r="N12" s="197">
        <f>IFERROR(ROUNDUP(M12*Order_Quote!$L$17,2),0)</f>
        <v>0</v>
      </c>
      <c r="O12" s="75"/>
      <c r="P12" s="113"/>
      <c r="Q12" s="171">
        <f t="shared" si="0"/>
        <v>0</v>
      </c>
      <c r="S12" s="215" t="str">
        <f>_xlfn.XLOOKUP(E12,'All Products'!D:D,'All Products'!I:I,FALSE)</f>
        <v>Within 3 Weeks</v>
      </c>
      <c r="T12" s="242" t="str">
        <f>_xlfn.XLOOKUP(E12,'All Products'!D:D,'All Products'!J:J,FALSE)</f>
        <v>Sourced</v>
      </c>
      <c r="U12" s="273">
        <f>_xlfn.XLOOKUP(E12,'All Products'!D:D,'All Products'!K:K,FALSE)</f>
        <v>49081071035</v>
      </c>
      <c r="V12" s="273">
        <f>_xlfn.XLOOKUP(E12,'All Products'!D:D,'All Products'!M:M,FALSE)</f>
        <v>50049081071030</v>
      </c>
      <c r="W12" s="264">
        <f>_xlfn.XLOOKUP(E12,'All Products'!D:D,'All Products'!N:N,FALSE)</f>
        <v>0.33300000000000002</v>
      </c>
      <c r="X12" s="265">
        <f>_xlfn.XLOOKUP(E12,'All Products'!D:D,'All Products'!P:P,FALSE)</f>
        <v>8</v>
      </c>
      <c r="Y12" s="265">
        <f>_xlfn.XLOOKUP(E12,'All Products'!D:D,'All Products'!Q:Q,FALSE)</f>
        <v>0.28999999999999998</v>
      </c>
    </row>
    <row r="13" spans="1:25" ht="15" customHeight="1">
      <c r="A13" s="101" t="str">
        <f>IF(O13&gt;0,COUNT($A$7:A12)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13" s="608"/>
      <c r="C13" s="609"/>
      <c r="D13" s="142" t="str">
        <f>_xlfn.XLOOKUP(E13,'All Products'!D:D,'All Products'!C:C,FALSE)</f>
        <v>IFGA170</v>
      </c>
      <c r="E13" s="103">
        <v>300002362</v>
      </c>
      <c r="F13" s="195" t="str">
        <f>_xlfn.XLOOKUP(E13,'All Products'!D:D,'All Products'!E:E,FALSE)</f>
        <v>IFUSE IRR PVC GA GRY REGULAR</v>
      </c>
      <c r="G13" s="272" t="s">
        <v>1425</v>
      </c>
      <c r="H13" s="272" t="s">
        <v>1426</v>
      </c>
      <c r="I13" s="272" t="s">
        <v>1443</v>
      </c>
      <c r="J13" s="272" t="s">
        <v>1428</v>
      </c>
      <c r="K13" s="196">
        <f>_xlfn.XLOOKUP(E13,'All Products'!D:D,'All Products'!F:F,FALSE)</f>
        <v>6</v>
      </c>
      <c r="L13" s="196">
        <f>_xlfn.XLOOKUP(E13,'All Products'!D:D,'All Products'!G:G,FALSE)</f>
        <v>162</v>
      </c>
      <c r="M13" s="142" t="str">
        <f>_xlfn.XLOOKUP(E13,'All Products'!D:D,'All Products'!H:H,FALSE)</f>
        <v>Quote Required</v>
      </c>
      <c r="N13" s="197">
        <f>IFERROR(ROUNDUP(M13*Order_Quote!$L$17,2),0)</f>
        <v>0</v>
      </c>
      <c r="O13" s="75"/>
      <c r="P13" s="113"/>
      <c r="Q13" s="171">
        <f t="shared" si="0"/>
        <v>0</v>
      </c>
      <c r="S13" s="215" t="str">
        <f>_xlfn.XLOOKUP(E13,'All Products'!D:D,'All Products'!I:I,FALSE)</f>
        <v>Within 6 Weeks</v>
      </c>
      <c r="T13" s="242" t="str">
        <f>_xlfn.XLOOKUP(E13,'All Products'!D:D,'All Products'!J:J,FALSE)</f>
        <v>Sourced</v>
      </c>
      <c r="U13" s="273">
        <f>_xlfn.XLOOKUP(E13,'All Products'!D:D,'All Products'!K:K,FALSE)</f>
        <v>810116842292</v>
      </c>
      <c r="V13" s="273">
        <f>_xlfn.XLOOKUP(E13,'All Products'!D:D,'All Products'!M:M,FALSE)</f>
        <v>10810116842299</v>
      </c>
      <c r="W13" s="264">
        <f>_xlfn.XLOOKUP(E13,'All Products'!D:D,'All Products'!N:N,FALSE)</f>
        <v>8.7149999999999999</v>
      </c>
      <c r="X13" s="265">
        <f>_xlfn.XLOOKUP(E13,'All Products'!D:D,'All Products'!P:P,FALSE)</f>
        <v>56</v>
      </c>
      <c r="Y13" s="265">
        <f>_xlfn.XLOOKUP(E13,'All Products'!D:D,'All Products'!Q:Q,FALSE)</f>
        <v>1.21</v>
      </c>
    </row>
    <row r="14" spans="1:25" ht="15" customHeight="1">
      <c r="A14" s="101" t="str">
        <f>IF(O14&gt;0,COUNT($A$7:A13)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14" s="610"/>
      <c r="C14" s="611"/>
      <c r="D14" s="142" t="str">
        <f>_xlfn.XLOOKUP(E14,'All Products'!D:D,'All Products'!C:C,FALSE)</f>
        <v>IFQT170</v>
      </c>
      <c r="E14" s="103">
        <v>300002376</v>
      </c>
      <c r="F14" s="195" t="str">
        <f>_xlfn.XLOOKUP(E14,'All Products'!D:D,'All Products'!E:E,FALSE)</f>
        <v>IFUSE IRR PVC QT GRY REGULAR</v>
      </c>
      <c r="G14" s="272" t="s">
        <v>1431</v>
      </c>
      <c r="H14" s="272" t="s">
        <v>1426</v>
      </c>
      <c r="I14" s="272" t="s">
        <v>1443</v>
      </c>
      <c r="J14" s="272" t="s">
        <v>1428</v>
      </c>
      <c r="K14" s="196">
        <f>_xlfn.XLOOKUP(E14,'All Products'!D:D,'All Products'!F:F,FALSE)</f>
        <v>12</v>
      </c>
      <c r="L14" s="196">
        <f>_xlfn.XLOOKUP(E14,'All Products'!D:D,'All Products'!G:G,FALSE)</f>
        <v>576</v>
      </c>
      <c r="M14" s="142" t="str">
        <f>_xlfn.XLOOKUP(E14,'All Products'!D:D,'All Products'!H:H,FALSE)</f>
        <v>Quote Required</v>
      </c>
      <c r="N14" s="197">
        <f>IFERROR(ROUNDUP(M14*Order_Quote!$L$17,2),0)</f>
        <v>0</v>
      </c>
      <c r="O14" s="75"/>
      <c r="P14" s="113"/>
      <c r="Q14" s="171">
        <f t="shared" si="0"/>
        <v>0</v>
      </c>
      <c r="S14" s="215" t="str">
        <f>_xlfn.XLOOKUP(E14,'All Products'!D:D,'All Products'!I:I,FALSE)</f>
        <v>Within 6 Weeks</v>
      </c>
      <c r="T14" s="242" t="str">
        <f>_xlfn.XLOOKUP(E14,'All Products'!D:D,'All Products'!J:J,FALSE)</f>
        <v>Sourced</v>
      </c>
      <c r="U14" s="273">
        <f>_xlfn.XLOOKUP(E14,'All Products'!D:D,'All Products'!K:K,FALSE)</f>
        <v>810116842308</v>
      </c>
      <c r="V14" s="273">
        <f>_xlfn.XLOOKUP(E14,'All Products'!D:D,'All Products'!M:M,FALSE)</f>
        <v>10810116842305</v>
      </c>
      <c r="W14" s="264">
        <f>_xlfn.XLOOKUP(E14,'All Products'!D:D,'All Products'!N:N,FALSE)</f>
        <v>2.2839999999999998</v>
      </c>
      <c r="X14" s="265">
        <f>_xlfn.XLOOKUP(E14,'All Products'!D:D,'All Products'!P:P,FALSE)</f>
        <v>30</v>
      </c>
      <c r="Y14" s="265">
        <f>_xlfn.XLOOKUP(E14,'All Products'!D:D,'All Products'!Q:Q,FALSE)</f>
        <v>0.78</v>
      </c>
    </row>
    <row r="15" spans="1:25" ht="15" customHeight="1">
      <c r="A15" s="101" t="str">
        <f>IF(O15&gt;0,COUNT($A$7:A14)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15" s="610"/>
      <c r="C15" s="611"/>
      <c r="D15" s="142" t="str">
        <f>_xlfn.XLOOKUP(E15,'All Products'!D:D,'All Products'!C:C,FALSE)</f>
        <v>IFPT170</v>
      </c>
      <c r="E15" s="103">
        <v>300002368</v>
      </c>
      <c r="F15" s="195" t="str">
        <f>_xlfn.XLOOKUP(E15,'All Products'!D:D,'All Products'!E:E,FALSE)</f>
        <v>IFUSE IRR PVC PT GRY REGULAR</v>
      </c>
      <c r="G15" s="272" t="s">
        <v>1434</v>
      </c>
      <c r="H15" s="272" t="s">
        <v>1426</v>
      </c>
      <c r="I15" s="272" t="s">
        <v>1443</v>
      </c>
      <c r="J15" s="272" t="s">
        <v>1428</v>
      </c>
      <c r="K15" s="196">
        <f>_xlfn.XLOOKUP(E15,'All Products'!D:D,'All Products'!F:F,FALSE)</f>
        <v>12</v>
      </c>
      <c r="L15" s="196">
        <f>_xlfn.XLOOKUP(E15,'All Products'!D:D,'All Products'!G:G,FALSE)</f>
        <v>1008</v>
      </c>
      <c r="M15" s="142" t="str">
        <f>_xlfn.XLOOKUP(E15,'All Products'!D:D,'All Products'!H:H,FALSE)</f>
        <v>Quote Required</v>
      </c>
      <c r="N15" s="197">
        <f>IFERROR(ROUNDUP(M15*Order_Quote!$L$17,2),0)</f>
        <v>0</v>
      </c>
      <c r="O15" s="75"/>
      <c r="P15" s="113"/>
      <c r="Q15" s="171">
        <f t="shared" si="0"/>
        <v>0</v>
      </c>
      <c r="S15" s="215" t="str">
        <f>_xlfn.XLOOKUP(E15,'All Products'!D:D,'All Products'!I:I,FALSE)</f>
        <v>Within 3 Weeks</v>
      </c>
      <c r="T15" s="242" t="str">
        <f>_xlfn.XLOOKUP(E15,'All Products'!D:D,'All Products'!J:J,FALSE)</f>
        <v>Sourced</v>
      </c>
      <c r="U15" s="273">
        <f>_xlfn.XLOOKUP(E15,'All Products'!D:D,'All Products'!K:K,FALSE)</f>
        <v>810116842315</v>
      </c>
      <c r="V15" s="273">
        <f>_xlfn.XLOOKUP(E15,'All Products'!D:D,'All Products'!M:M,FALSE)</f>
        <v>10810116842312</v>
      </c>
      <c r="W15" s="264">
        <f>_xlfn.XLOOKUP(E15,'All Products'!D:D,'All Products'!N:N,FALSE)</f>
        <v>1.1759999999999999</v>
      </c>
      <c r="X15" s="265">
        <f>_xlfn.XLOOKUP(E15,'All Products'!D:D,'All Products'!P:P,FALSE)</f>
        <v>16</v>
      </c>
      <c r="Y15" s="265">
        <f>_xlfn.XLOOKUP(E15,'All Products'!D:D,'All Products'!Q:Q,FALSE)</f>
        <v>0.42</v>
      </c>
    </row>
    <row r="16" spans="1:25" ht="15" customHeight="1">
      <c r="A16" s="101" t="str">
        <f>IF(O16&gt;0,COUNT($A$7:A15)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16" s="610"/>
      <c r="C16" s="611"/>
      <c r="D16" s="142" t="str">
        <f>_xlfn.XLOOKUP(E16,'All Products'!D:D,'All Products'!C:C,FALSE)</f>
        <v>IFHP170</v>
      </c>
      <c r="E16" s="103">
        <v>300002365</v>
      </c>
      <c r="F16" s="195" t="str">
        <f>_xlfn.XLOOKUP(E16,'All Products'!D:D,'All Products'!E:E,FALSE)</f>
        <v>IFUSE IRR PVC HP GRY REGULAR</v>
      </c>
      <c r="G16" s="272" t="s">
        <v>1437</v>
      </c>
      <c r="H16" s="272" t="s">
        <v>1426</v>
      </c>
      <c r="I16" s="272" t="s">
        <v>1443</v>
      </c>
      <c r="J16" s="272" t="s">
        <v>1428</v>
      </c>
      <c r="K16" s="196">
        <f>_xlfn.XLOOKUP(E16,'All Products'!D:D,'All Products'!F:F,FALSE)</f>
        <v>24</v>
      </c>
      <c r="L16" s="196">
        <f>_xlfn.XLOOKUP(E16,'All Products'!D:D,'All Products'!G:G,FALSE)</f>
        <v>1920</v>
      </c>
      <c r="M16" s="142" t="str">
        <f>_xlfn.XLOOKUP(E16,'All Products'!D:D,'All Products'!H:H,FALSE)</f>
        <v>Quote Required</v>
      </c>
      <c r="N16" s="197">
        <f>IFERROR(ROUNDUP(M16*Order_Quote!$L$17,2),0)</f>
        <v>0</v>
      </c>
      <c r="O16" s="75"/>
      <c r="P16" s="113"/>
      <c r="Q16" s="171">
        <f t="shared" si="0"/>
        <v>0</v>
      </c>
      <c r="S16" s="215" t="str">
        <f>_xlfn.XLOOKUP(E16,'All Products'!D:D,'All Products'!I:I,FALSE)</f>
        <v>Within 6 Weeks</v>
      </c>
      <c r="T16" s="242" t="str">
        <f>_xlfn.XLOOKUP(E16,'All Products'!D:D,'All Products'!J:J,FALSE)</f>
        <v>Sourced</v>
      </c>
      <c r="U16" s="273">
        <f>_xlfn.XLOOKUP(E16,'All Products'!D:D,'All Products'!K:K,FALSE)</f>
        <v>810116842322</v>
      </c>
      <c r="V16" s="273">
        <f>_xlfn.XLOOKUP(E16,'All Products'!D:D,'All Products'!M:M,FALSE)</f>
        <v>10810116842329</v>
      </c>
      <c r="W16" s="264">
        <f>_xlfn.XLOOKUP(E16,'All Products'!D:D,'All Products'!N:N,FALSE)</f>
        <v>0.67100000000000004</v>
      </c>
      <c r="X16" s="265">
        <f>_xlfn.XLOOKUP(E16,'All Products'!D:D,'All Products'!P:P,FALSE)</f>
        <v>18</v>
      </c>
      <c r="Y16" s="265">
        <f>_xlfn.XLOOKUP(E16,'All Products'!D:D,'All Products'!Q:Q,FALSE)</f>
        <v>0.41</v>
      </c>
    </row>
    <row r="17" spans="1:25" ht="15" customHeight="1">
      <c r="A17" s="101" t="str">
        <f>IF(O17&gt;0,COUNT($A$7:A16)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17" s="612"/>
      <c r="C17" s="613"/>
      <c r="D17" s="142" t="str">
        <f>_xlfn.XLOOKUP(E17,'All Products'!D:D,'All Products'!C:C,FALSE)</f>
        <v>IFQP170</v>
      </c>
      <c r="E17" s="103">
        <v>300002373</v>
      </c>
      <c r="F17" s="195" t="str">
        <f>_xlfn.XLOOKUP(E17,'All Products'!D:D,'All Products'!E:E,FALSE)</f>
        <v>IFUSE IRR PVC QP GRY REGULAR</v>
      </c>
      <c r="G17" s="272" t="s">
        <v>1440</v>
      </c>
      <c r="H17" s="272" t="s">
        <v>1426</v>
      </c>
      <c r="I17" s="272" t="s">
        <v>1443</v>
      </c>
      <c r="J17" s="272" t="s">
        <v>1428</v>
      </c>
      <c r="K17" s="196">
        <f>_xlfn.XLOOKUP(E17,'All Products'!D:D,'All Products'!F:F,FALSE)</f>
        <v>24</v>
      </c>
      <c r="L17" s="196">
        <f>_xlfn.XLOOKUP(E17,'All Products'!D:D,'All Products'!G:G,FALSE)</f>
        <v>2808</v>
      </c>
      <c r="M17" s="142" t="str">
        <f>_xlfn.XLOOKUP(E17,'All Products'!D:D,'All Products'!H:H,FALSE)</f>
        <v>Quote Required</v>
      </c>
      <c r="N17" s="197">
        <f>IFERROR(ROUNDUP(M17*Order_Quote!$L$17,2),0)</f>
        <v>0</v>
      </c>
      <c r="O17" s="75"/>
      <c r="P17" s="113"/>
      <c r="Q17" s="171">
        <f t="shared" si="0"/>
        <v>0</v>
      </c>
      <c r="S17" s="215" t="str">
        <f>_xlfn.XLOOKUP(E17,'All Products'!D:D,'All Products'!I:I,FALSE)</f>
        <v>Within 6 Weeks</v>
      </c>
      <c r="T17" s="242" t="str">
        <f>_xlfn.XLOOKUP(E17,'All Products'!D:D,'All Products'!J:J,FALSE)</f>
        <v>Sourced</v>
      </c>
      <c r="U17" s="273">
        <f>_xlfn.XLOOKUP(E17,'All Products'!D:D,'All Products'!K:K,FALSE)</f>
        <v>810116842339</v>
      </c>
      <c r="V17" s="273">
        <f>_xlfn.XLOOKUP(E17,'All Products'!D:D,'All Products'!M:M,FALSE)</f>
        <v>10810116842336</v>
      </c>
      <c r="W17" s="264">
        <f>_xlfn.XLOOKUP(E17,'All Products'!D:D,'All Products'!N:N,FALSE)</f>
        <v>0.34399999999999997</v>
      </c>
      <c r="X17" s="265">
        <f>_xlfn.XLOOKUP(E17,'All Products'!D:D,'All Products'!P:P,FALSE)</f>
        <v>9</v>
      </c>
      <c r="Y17" s="265">
        <f>_xlfn.XLOOKUP(E17,'All Products'!D:D,'All Products'!Q:Q,FALSE)</f>
        <v>0.28999999999999998</v>
      </c>
    </row>
    <row r="18" spans="1:25" ht="15" customHeight="1">
      <c r="A18" s="101" t="str">
        <f>IF(O18&gt;0,COUNT($A$7:A17)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18" s="608"/>
      <c r="C18" s="609"/>
      <c r="D18" s="142" t="str">
        <f>_xlfn.XLOOKUP(E18,'All Products'!D:D,'All Products'!C:C,FALSE)</f>
        <v>IFGA105</v>
      </c>
      <c r="E18" s="103">
        <v>300002229</v>
      </c>
      <c r="F18" s="195" t="str">
        <f>_xlfn.XLOOKUP(E18,'All Products'!D:D,'All Products'!E:E,FALSE)</f>
        <v>IFUSE IRR PVC GA CLR MEDIUM</v>
      </c>
      <c r="G18" s="272" t="s">
        <v>1425</v>
      </c>
      <c r="H18" s="272" t="s">
        <v>1454</v>
      </c>
      <c r="I18" s="272" t="s">
        <v>1427</v>
      </c>
      <c r="J18" s="272" t="s">
        <v>1428</v>
      </c>
      <c r="K18" s="196">
        <f>_xlfn.XLOOKUP(E18,'All Products'!D:D,'All Products'!F:F,FALSE)</f>
        <v>6</v>
      </c>
      <c r="L18" s="196">
        <f>_xlfn.XLOOKUP(E18,'All Products'!D:D,'All Products'!G:G,FALSE)</f>
        <v>162</v>
      </c>
      <c r="M18" s="142" t="str">
        <f>_xlfn.XLOOKUP(E18,'All Products'!D:D,'All Products'!H:H,FALSE)</f>
        <v>Quote Required</v>
      </c>
      <c r="N18" s="197">
        <f>IFERROR(ROUNDUP(M18*Order_Quote!$L$17,2),0)</f>
        <v>0</v>
      </c>
      <c r="O18" s="75"/>
      <c r="P18" s="113"/>
      <c r="Q18" s="171">
        <f t="shared" si="0"/>
        <v>0</v>
      </c>
      <c r="S18" s="215" t="str">
        <f>_xlfn.XLOOKUP(E18,'All Products'!D:D,'All Products'!I:I,FALSE)</f>
        <v>Within 3 Weeks</v>
      </c>
      <c r="T18" s="242" t="str">
        <f>_xlfn.XLOOKUP(E18,'All Products'!D:D,'All Products'!J:J,FALSE)</f>
        <v>Sourced</v>
      </c>
      <c r="U18" s="273">
        <f>_xlfn.XLOOKUP(E18,'All Products'!D:D,'All Products'!K:K,FALSE)</f>
        <v>49081071042</v>
      </c>
      <c r="V18" s="273">
        <f>_xlfn.XLOOKUP(E18,'All Products'!D:D,'All Products'!M:M,FALSE)</f>
        <v>50049081071047</v>
      </c>
      <c r="W18" s="264">
        <f>_xlfn.XLOOKUP(E18,'All Products'!D:D,'All Products'!N:N,FALSE)</f>
        <v>8.6669999999999998</v>
      </c>
      <c r="X18" s="265">
        <f>_xlfn.XLOOKUP(E18,'All Products'!D:D,'All Products'!P:P,FALSE)</f>
        <v>52</v>
      </c>
      <c r="Y18" s="265">
        <f>_xlfn.XLOOKUP(E18,'All Products'!D:D,'All Products'!Q:Q,FALSE)</f>
        <v>1.21</v>
      </c>
    </row>
    <row r="19" spans="1:25" ht="15" customHeight="1">
      <c r="A19" s="101" t="str">
        <f>IF(O19&gt;0,COUNT($A$7:A18)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19" s="610"/>
      <c r="C19" s="611"/>
      <c r="D19" s="142" t="str">
        <f>_xlfn.XLOOKUP(E19,'All Products'!D:D,'All Products'!C:C,FALSE)</f>
        <v>IFQT105</v>
      </c>
      <c r="E19" s="103">
        <v>300002314</v>
      </c>
      <c r="F19" s="195" t="str">
        <f>_xlfn.XLOOKUP(E19,'All Products'!D:D,'All Products'!E:E,FALSE)</f>
        <v>IFUSE IRR PVC QT CLR MEDIUM</v>
      </c>
      <c r="G19" s="272" t="s">
        <v>1431</v>
      </c>
      <c r="H19" s="272" t="s">
        <v>1454</v>
      </c>
      <c r="I19" s="272" t="s">
        <v>1427</v>
      </c>
      <c r="J19" s="272" t="s">
        <v>1428</v>
      </c>
      <c r="K19" s="196">
        <f>_xlfn.XLOOKUP(E19,'All Products'!D:D,'All Products'!F:F,FALSE)</f>
        <v>12</v>
      </c>
      <c r="L19" s="196">
        <f>_xlfn.XLOOKUP(E19,'All Products'!D:D,'All Products'!G:G,FALSE)</f>
        <v>576</v>
      </c>
      <c r="M19" s="142" t="str">
        <f>_xlfn.XLOOKUP(E19,'All Products'!D:D,'All Products'!H:H,FALSE)</f>
        <v>Quote Required</v>
      </c>
      <c r="N19" s="197">
        <f>IFERROR(ROUNDUP(M19*Order_Quote!$L$17,2),0)</f>
        <v>0</v>
      </c>
      <c r="O19" s="75"/>
      <c r="P19" s="113"/>
      <c r="Q19" s="171">
        <f t="shared" si="0"/>
        <v>0</v>
      </c>
      <c r="S19" s="215" t="str">
        <f>_xlfn.XLOOKUP(E19,'All Products'!D:D,'All Products'!I:I,FALSE)</f>
        <v>Within 6 Weeks</v>
      </c>
      <c r="T19" s="242" t="str">
        <f>_xlfn.XLOOKUP(E19,'All Products'!D:D,'All Products'!J:J,FALSE)</f>
        <v>Sourced</v>
      </c>
      <c r="U19" s="273">
        <f>_xlfn.XLOOKUP(E19,'All Products'!D:D,'All Products'!K:K,FALSE)</f>
        <v>49081071059</v>
      </c>
      <c r="V19" s="273">
        <f>_xlfn.XLOOKUP(E19,'All Products'!D:D,'All Products'!M:M,FALSE)</f>
        <v>50049081071054</v>
      </c>
      <c r="W19" s="264">
        <f>_xlfn.XLOOKUP(E19,'All Products'!D:D,'All Products'!N:N,FALSE)</f>
        <v>2.25</v>
      </c>
      <c r="X19" s="265">
        <f>_xlfn.XLOOKUP(E19,'All Products'!D:D,'All Products'!P:P,FALSE)</f>
        <v>27</v>
      </c>
      <c r="Y19" s="265">
        <f>_xlfn.XLOOKUP(E19,'All Products'!D:D,'All Products'!Q:Q,FALSE)</f>
        <v>0.78</v>
      </c>
    </row>
    <row r="20" spans="1:25" ht="15" customHeight="1">
      <c r="A20" s="101" t="str">
        <f>IF(O20&gt;0,COUNT($A$7:A19)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20" s="610"/>
      <c r="C20" s="611"/>
      <c r="D20" s="142" t="str">
        <f>_xlfn.XLOOKUP(E20,'All Products'!D:D,'All Products'!C:C,FALSE)</f>
        <v>IFPT105</v>
      </c>
      <c r="E20" s="103">
        <v>300002275</v>
      </c>
      <c r="F20" s="195" t="str">
        <f>_xlfn.XLOOKUP(E20,'All Products'!D:D,'All Products'!E:E,FALSE)</f>
        <v>IFUSE IRR PVC PT CLR MEDIUM</v>
      </c>
      <c r="G20" s="272" t="s">
        <v>1434</v>
      </c>
      <c r="H20" s="272" t="s">
        <v>1454</v>
      </c>
      <c r="I20" s="272" t="s">
        <v>1427</v>
      </c>
      <c r="J20" s="272" t="s">
        <v>1428</v>
      </c>
      <c r="K20" s="196">
        <f>_xlfn.XLOOKUP(E20,'All Products'!D:D,'All Products'!F:F,FALSE)</f>
        <v>12</v>
      </c>
      <c r="L20" s="196">
        <f>_xlfn.XLOOKUP(E20,'All Products'!D:D,'All Products'!G:G,FALSE)</f>
        <v>1008</v>
      </c>
      <c r="M20" s="142" t="str">
        <f>_xlfn.XLOOKUP(E20,'All Products'!D:D,'All Products'!H:H,FALSE)</f>
        <v>Quote Required</v>
      </c>
      <c r="N20" s="197">
        <f>IFERROR(ROUNDUP(M20*Order_Quote!$L$17,2),0)</f>
        <v>0</v>
      </c>
      <c r="O20" s="75"/>
      <c r="P20" s="113"/>
      <c r="Q20" s="171">
        <f t="shared" si="0"/>
        <v>0</v>
      </c>
      <c r="S20" s="215" t="str">
        <f>_xlfn.XLOOKUP(E20,'All Products'!D:D,'All Products'!I:I,FALSE)</f>
        <v>Within 6 Weeks</v>
      </c>
      <c r="T20" s="242" t="str">
        <f>_xlfn.XLOOKUP(E20,'All Products'!D:D,'All Products'!J:J,FALSE)</f>
        <v>Sourced</v>
      </c>
      <c r="U20" s="273">
        <f>_xlfn.XLOOKUP(E20,'All Products'!D:D,'All Products'!K:K,FALSE)</f>
        <v>49081071066</v>
      </c>
      <c r="V20" s="273">
        <f>_xlfn.XLOOKUP(E20,'All Products'!D:D,'All Products'!M:M,FALSE)</f>
        <v>50049081071061</v>
      </c>
      <c r="W20" s="264">
        <f>_xlfn.XLOOKUP(E20,'All Products'!D:D,'All Products'!N:N,FALSE)</f>
        <v>1.167</v>
      </c>
      <c r="X20" s="265">
        <f>_xlfn.XLOOKUP(E20,'All Products'!D:D,'All Products'!P:P,FALSE)</f>
        <v>14</v>
      </c>
      <c r="Y20" s="265">
        <f>_xlfn.XLOOKUP(E20,'All Products'!D:D,'All Products'!Q:Q,FALSE)</f>
        <v>0.42</v>
      </c>
    </row>
    <row r="21" spans="1:25" ht="15" customHeight="1">
      <c r="A21" s="101" t="str">
        <f>IF(O21&gt;0,COUNT($A$7:A20)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21" s="610"/>
      <c r="C21" s="611"/>
      <c r="D21" s="142" t="str">
        <f>_xlfn.XLOOKUP(E21,'All Products'!D:D,'All Products'!C:C,FALSE)</f>
        <v>IFHP105</v>
      </c>
      <c r="E21" s="103">
        <v>300002251</v>
      </c>
      <c r="F21" s="195" t="str">
        <f>_xlfn.XLOOKUP(E21,'All Products'!D:D,'All Products'!E:E,FALSE)</f>
        <v>IFUSE IRR PVC HP CLR MEDIUM</v>
      </c>
      <c r="G21" s="272" t="s">
        <v>1437</v>
      </c>
      <c r="H21" s="272" t="s">
        <v>1454</v>
      </c>
      <c r="I21" s="272" t="s">
        <v>1427</v>
      </c>
      <c r="J21" s="272" t="s">
        <v>1428</v>
      </c>
      <c r="K21" s="196">
        <f>_xlfn.XLOOKUP(E21,'All Products'!D:D,'All Products'!F:F,FALSE)</f>
        <v>24</v>
      </c>
      <c r="L21" s="196">
        <f>_xlfn.XLOOKUP(E21,'All Products'!D:D,'All Products'!G:G,FALSE)</f>
        <v>1920</v>
      </c>
      <c r="M21" s="142" t="str">
        <f>_xlfn.XLOOKUP(E21,'All Products'!D:D,'All Products'!H:H,FALSE)</f>
        <v>Quote Required</v>
      </c>
      <c r="N21" s="197">
        <f>IFERROR(ROUNDUP(M21*Order_Quote!$L$17,2),0)</f>
        <v>0</v>
      </c>
      <c r="O21" s="75"/>
      <c r="P21" s="113"/>
      <c r="Q21" s="171">
        <f t="shared" si="0"/>
        <v>0</v>
      </c>
      <c r="S21" s="215" t="str">
        <f>_xlfn.XLOOKUP(E21,'All Products'!D:D,'All Products'!I:I,FALSE)</f>
        <v>Within 6 Weeks</v>
      </c>
      <c r="T21" s="242" t="str">
        <f>_xlfn.XLOOKUP(E21,'All Products'!D:D,'All Products'!J:J,FALSE)</f>
        <v>Sourced</v>
      </c>
      <c r="U21" s="273">
        <f>_xlfn.XLOOKUP(E21,'All Products'!D:D,'All Products'!K:K,FALSE)</f>
        <v>49081071073</v>
      </c>
      <c r="V21" s="273">
        <f>_xlfn.XLOOKUP(E21,'All Products'!D:D,'All Products'!M:M,FALSE)</f>
        <v>50049081071078</v>
      </c>
      <c r="W21" s="264">
        <f>_xlfn.XLOOKUP(E21,'All Products'!D:D,'All Products'!N:N,FALSE)</f>
        <v>0.625</v>
      </c>
      <c r="X21" s="265">
        <f>_xlfn.XLOOKUP(E21,'All Products'!D:D,'All Products'!P:P,FALSE)</f>
        <v>15</v>
      </c>
      <c r="Y21" s="265">
        <f>_xlfn.XLOOKUP(E21,'All Products'!D:D,'All Products'!Q:Q,FALSE)</f>
        <v>0.41</v>
      </c>
    </row>
    <row r="22" spans="1:25" ht="15" customHeight="1">
      <c r="A22" s="101" t="str">
        <f>IF(O22&gt;0,COUNT($A$7:A21)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22" s="612"/>
      <c r="C22" s="613"/>
      <c r="D22" s="142" t="str">
        <f>_xlfn.XLOOKUP(E22,'All Products'!D:D,'All Products'!C:C,FALSE)</f>
        <v>IFQP105</v>
      </c>
      <c r="E22" s="103">
        <v>300002297</v>
      </c>
      <c r="F22" s="195" t="str">
        <f>_xlfn.XLOOKUP(E22,'All Products'!D:D,'All Products'!E:E,FALSE)</f>
        <v>IFUSE IRR PVC QP CLR MEDIUM</v>
      </c>
      <c r="G22" s="272" t="s">
        <v>1440</v>
      </c>
      <c r="H22" s="272" t="s">
        <v>1454</v>
      </c>
      <c r="I22" s="272" t="s">
        <v>1427</v>
      </c>
      <c r="J22" s="272" t="s">
        <v>1428</v>
      </c>
      <c r="K22" s="196">
        <f>_xlfn.XLOOKUP(E22,'All Products'!D:D,'All Products'!F:F,FALSE)</f>
        <v>24</v>
      </c>
      <c r="L22" s="196">
        <f>_xlfn.XLOOKUP(E22,'All Products'!D:D,'All Products'!G:G,FALSE)</f>
        <v>2808</v>
      </c>
      <c r="M22" s="142" t="str">
        <f>_xlfn.XLOOKUP(E22,'All Products'!D:D,'All Products'!H:H,FALSE)</f>
        <v>Quote Required</v>
      </c>
      <c r="N22" s="197">
        <f>IFERROR(ROUNDUP(M22*Order_Quote!$L$17,2),0)</f>
        <v>0</v>
      </c>
      <c r="O22" s="75"/>
      <c r="P22" s="113"/>
      <c r="Q22" s="171">
        <f t="shared" si="0"/>
        <v>0</v>
      </c>
      <c r="S22" s="215" t="str">
        <f>_xlfn.XLOOKUP(E22,'All Products'!D:D,'All Products'!I:I,FALSE)</f>
        <v>Within 6 Weeks</v>
      </c>
      <c r="T22" s="242" t="str">
        <f>_xlfn.XLOOKUP(E22,'All Products'!D:D,'All Products'!J:J,FALSE)</f>
        <v>Sourced</v>
      </c>
      <c r="U22" s="273">
        <f>_xlfn.XLOOKUP(E22,'All Products'!D:D,'All Products'!K:K,FALSE)</f>
        <v>49081071080</v>
      </c>
      <c r="V22" s="273">
        <f>_xlfn.XLOOKUP(E22,'All Products'!D:D,'All Products'!M:M,FALSE)</f>
        <v>50049081071085</v>
      </c>
      <c r="W22" s="264">
        <f>_xlfn.XLOOKUP(E22,'All Products'!D:D,'All Products'!N:N,FALSE)</f>
        <v>0.33300000000000002</v>
      </c>
      <c r="X22" s="265">
        <f>_xlfn.XLOOKUP(E22,'All Products'!D:D,'All Products'!P:P,FALSE)</f>
        <v>8</v>
      </c>
      <c r="Y22" s="265">
        <f>_xlfn.XLOOKUP(E22,'All Products'!D:D,'All Products'!Q:Q,FALSE)</f>
        <v>0.28999999999999998</v>
      </c>
    </row>
    <row r="23" spans="1:25" ht="15" customHeight="1">
      <c r="A23" s="101" t="str">
        <f>IF(O23&gt;0,COUNT($A$7:A22)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23" s="608"/>
      <c r="C23" s="609"/>
      <c r="D23" s="142" t="str">
        <f>_xlfn.XLOOKUP(E23,'All Products'!D:D,'All Products'!C:C,FALSE)</f>
        <v>IFGA110</v>
      </c>
      <c r="E23" s="103">
        <v>300002230</v>
      </c>
      <c r="F23" s="195" t="str">
        <f>_xlfn.XLOOKUP(E23,'All Products'!D:D,'All Products'!E:E,FALSE)</f>
        <v>IFUSE IRR PVC GA GRY MEDIUM</v>
      </c>
      <c r="G23" s="272" t="s">
        <v>1425</v>
      </c>
      <c r="H23" s="272" t="s">
        <v>1454</v>
      </c>
      <c r="I23" s="272" t="s">
        <v>1443</v>
      </c>
      <c r="J23" s="272" t="s">
        <v>1428</v>
      </c>
      <c r="K23" s="196">
        <f>_xlfn.XLOOKUP(E23,'All Products'!D:D,'All Products'!F:F,FALSE)</f>
        <v>6</v>
      </c>
      <c r="L23" s="196">
        <f>_xlfn.XLOOKUP(E23,'All Products'!D:D,'All Products'!G:G,FALSE)</f>
        <v>162</v>
      </c>
      <c r="M23" s="142" t="str">
        <f>_xlfn.XLOOKUP(E23,'All Products'!D:D,'All Products'!H:H,FALSE)</f>
        <v>Quote Required</v>
      </c>
      <c r="N23" s="197">
        <f>IFERROR(ROUNDUP(M23*Order_Quote!$L$17,2),0)</f>
        <v>0</v>
      </c>
      <c r="O23" s="75"/>
      <c r="P23" s="113"/>
      <c r="Q23" s="171">
        <f t="shared" si="0"/>
        <v>0</v>
      </c>
      <c r="S23" s="215" t="str">
        <f>_xlfn.XLOOKUP(E23,'All Products'!D:D,'All Products'!I:I,FALSE)</f>
        <v>Within 6 Weeks</v>
      </c>
      <c r="T23" s="242" t="str">
        <f>_xlfn.XLOOKUP(E23,'All Products'!D:D,'All Products'!J:J,FALSE)</f>
        <v>Sourced</v>
      </c>
      <c r="U23" s="273">
        <f>_xlfn.XLOOKUP(E23,'All Products'!D:D,'All Products'!K:K,FALSE)</f>
        <v>49081071097</v>
      </c>
      <c r="V23" s="273">
        <f>_xlfn.XLOOKUP(E23,'All Products'!D:D,'All Products'!M:M,FALSE)</f>
        <v>50049081071092</v>
      </c>
      <c r="W23" s="264">
        <f>_xlfn.XLOOKUP(E23,'All Products'!D:D,'All Products'!N:N,FALSE)</f>
        <v>8.6669999999999998</v>
      </c>
      <c r="X23" s="265">
        <f>_xlfn.XLOOKUP(E23,'All Products'!D:D,'All Products'!P:P,FALSE)</f>
        <v>52</v>
      </c>
      <c r="Y23" s="265">
        <f>_xlfn.XLOOKUP(E23,'All Products'!D:D,'All Products'!Q:Q,FALSE)</f>
        <v>1.21</v>
      </c>
    </row>
    <row r="24" spans="1:25" ht="15" customHeight="1">
      <c r="A24" s="101" t="str">
        <f>IF(O24&gt;0,COUNT($A$7:A23)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24" s="610"/>
      <c r="C24" s="611"/>
      <c r="D24" s="142" t="str">
        <f>_xlfn.XLOOKUP(E24,'All Products'!D:D,'All Products'!C:C,FALSE)</f>
        <v>IFQT110</v>
      </c>
      <c r="E24" s="103">
        <v>300002315</v>
      </c>
      <c r="F24" s="195" t="str">
        <f>_xlfn.XLOOKUP(E24,'All Products'!D:D,'All Products'!E:E,FALSE)</f>
        <v>IFUSE IRR PVC QT GRY MEDIUM</v>
      </c>
      <c r="G24" s="272" t="s">
        <v>1431</v>
      </c>
      <c r="H24" s="272" t="s">
        <v>1454</v>
      </c>
      <c r="I24" s="272" t="s">
        <v>1443</v>
      </c>
      <c r="J24" s="272" t="s">
        <v>1428</v>
      </c>
      <c r="K24" s="196">
        <f>_xlfn.XLOOKUP(E24,'All Products'!D:D,'All Products'!F:F,FALSE)</f>
        <v>12</v>
      </c>
      <c r="L24" s="196">
        <f>_xlfn.XLOOKUP(E24,'All Products'!D:D,'All Products'!G:G,FALSE)</f>
        <v>576</v>
      </c>
      <c r="M24" s="142" t="str">
        <f>_xlfn.XLOOKUP(E24,'All Products'!D:D,'All Products'!H:H,FALSE)</f>
        <v>Quote Required</v>
      </c>
      <c r="N24" s="197">
        <f>IFERROR(ROUNDUP(M24*Order_Quote!$L$17,2),0)</f>
        <v>0</v>
      </c>
      <c r="O24" s="75"/>
      <c r="P24" s="113"/>
      <c r="Q24" s="171">
        <f t="shared" si="0"/>
        <v>0</v>
      </c>
      <c r="S24" s="215" t="str">
        <f>_xlfn.XLOOKUP(E24,'All Products'!D:D,'All Products'!I:I,FALSE)</f>
        <v>Within 3 Weeks</v>
      </c>
      <c r="T24" s="242" t="str">
        <f>_xlfn.XLOOKUP(E24,'All Products'!D:D,'All Products'!J:J,FALSE)</f>
        <v>Sourced</v>
      </c>
      <c r="U24" s="273">
        <f>_xlfn.XLOOKUP(E24,'All Products'!D:D,'All Products'!K:K,FALSE)</f>
        <v>49081071103</v>
      </c>
      <c r="V24" s="273">
        <f>_xlfn.XLOOKUP(E24,'All Products'!D:D,'All Products'!M:M,FALSE)</f>
        <v>50049081071108</v>
      </c>
      <c r="W24" s="264">
        <f>_xlfn.XLOOKUP(E24,'All Products'!D:D,'All Products'!N:N,FALSE)</f>
        <v>2.25</v>
      </c>
      <c r="X24" s="265">
        <f>_xlfn.XLOOKUP(E24,'All Products'!D:D,'All Products'!P:P,FALSE)</f>
        <v>27</v>
      </c>
      <c r="Y24" s="265">
        <f>_xlfn.XLOOKUP(E24,'All Products'!D:D,'All Products'!Q:Q,FALSE)</f>
        <v>0.78</v>
      </c>
    </row>
    <row r="25" spans="1:25" ht="15" customHeight="1">
      <c r="A25" s="101" t="str">
        <f>IF(O25&gt;0,COUNT($A$7:A24)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25" s="610"/>
      <c r="C25" s="611"/>
      <c r="D25" s="142" t="str">
        <f>_xlfn.XLOOKUP(E25,'All Products'!D:D,'All Products'!C:C,FALSE)</f>
        <v>IFPT110</v>
      </c>
      <c r="E25" s="103">
        <v>300002276</v>
      </c>
      <c r="F25" s="195" t="str">
        <f>_xlfn.XLOOKUP(E25,'All Products'!D:D,'All Products'!E:E,FALSE)</f>
        <v>IFUSE IRR PVC PT GRY MEDIUM</v>
      </c>
      <c r="G25" s="272" t="s">
        <v>1434</v>
      </c>
      <c r="H25" s="272" t="s">
        <v>1454</v>
      </c>
      <c r="I25" s="272" t="s">
        <v>1443</v>
      </c>
      <c r="J25" s="272" t="s">
        <v>1428</v>
      </c>
      <c r="K25" s="196">
        <f>_xlfn.XLOOKUP(E25,'All Products'!D:D,'All Products'!F:F,FALSE)</f>
        <v>12</v>
      </c>
      <c r="L25" s="196">
        <f>_xlfn.XLOOKUP(E25,'All Products'!D:D,'All Products'!G:G,FALSE)</f>
        <v>1008</v>
      </c>
      <c r="M25" s="142" t="str">
        <f>_xlfn.XLOOKUP(E25,'All Products'!D:D,'All Products'!H:H,FALSE)</f>
        <v>Quote Required</v>
      </c>
      <c r="N25" s="197">
        <f>IFERROR(ROUNDUP(M25*Order_Quote!$L$17,2),0)</f>
        <v>0</v>
      </c>
      <c r="O25" s="75"/>
      <c r="P25" s="113"/>
      <c r="Q25" s="171">
        <f t="shared" si="0"/>
        <v>0</v>
      </c>
      <c r="S25" s="215" t="str">
        <f>_xlfn.XLOOKUP(E25,'All Products'!D:D,'All Products'!I:I,FALSE)</f>
        <v>Within 3 Weeks</v>
      </c>
      <c r="T25" s="242" t="str">
        <f>_xlfn.XLOOKUP(E25,'All Products'!D:D,'All Products'!J:J,FALSE)</f>
        <v>Sourced</v>
      </c>
      <c r="U25" s="273">
        <f>_xlfn.XLOOKUP(E25,'All Products'!D:D,'All Products'!K:K,FALSE)</f>
        <v>49081071110</v>
      </c>
      <c r="V25" s="273">
        <f>_xlfn.XLOOKUP(E25,'All Products'!D:D,'All Products'!M:M,FALSE)</f>
        <v>50049081071115</v>
      </c>
      <c r="W25" s="264">
        <f>_xlfn.XLOOKUP(E25,'All Products'!D:D,'All Products'!N:N,FALSE)</f>
        <v>1.167</v>
      </c>
      <c r="X25" s="265">
        <f>_xlfn.XLOOKUP(E25,'All Products'!D:D,'All Products'!P:P,FALSE)</f>
        <v>14</v>
      </c>
      <c r="Y25" s="265">
        <f>_xlfn.XLOOKUP(E25,'All Products'!D:D,'All Products'!Q:Q,FALSE)</f>
        <v>0.42</v>
      </c>
    </row>
    <row r="26" spans="1:25" ht="15" customHeight="1">
      <c r="A26" s="101" t="str">
        <f>IF(O26&gt;0,COUNT($A$7:A25)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26" s="610"/>
      <c r="C26" s="611"/>
      <c r="D26" s="142" t="str">
        <f>_xlfn.XLOOKUP(E26,'All Products'!D:D,'All Products'!C:C,FALSE)</f>
        <v>IFHP110</v>
      </c>
      <c r="E26" s="103">
        <v>300002252</v>
      </c>
      <c r="F26" s="195" t="str">
        <f>_xlfn.XLOOKUP(E26,'All Products'!D:D,'All Products'!E:E,FALSE)</f>
        <v>IFUSE IRR PVC HP GRY MEDIUM</v>
      </c>
      <c r="G26" s="272" t="s">
        <v>1437</v>
      </c>
      <c r="H26" s="272" t="s">
        <v>1454</v>
      </c>
      <c r="I26" s="272" t="s">
        <v>1443</v>
      </c>
      <c r="J26" s="272" t="s">
        <v>1428</v>
      </c>
      <c r="K26" s="196">
        <f>_xlfn.XLOOKUP(E26,'All Products'!D:D,'All Products'!F:F,FALSE)</f>
        <v>24</v>
      </c>
      <c r="L26" s="196">
        <f>_xlfn.XLOOKUP(E26,'All Products'!D:D,'All Products'!G:G,FALSE)</f>
        <v>1920</v>
      </c>
      <c r="M26" s="142" t="str">
        <f>_xlfn.XLOOKUP(E26,'All Products'!D:D,'All Products'!H:H,FALSE)</f>
        <v>Quote Required</v>
      </c>
      <c r="N26" s="197">
        <f>IFERROR(ROUNDUP(M26*Order_Quote!$L$17,2),0)</f>
        <v>0</v>
      </c>
      <c r="O26" s="75"/>
      <c r="P26" s="113"/>
      <c r="Q26" s="171">
        <f t="shared" si="0"/>
        <v>0</v>
      </c>
      <c r="S26" s="215" t="str">
        <f>_xlfn.XLOOKUP(E26,'All Products'!D:D,'All Products'!I:I,FALSE)</f>
        <v>Within 6 Weeks</v>
      </c>
      <c r="T26" s="242" t="str">
        <f>_xlfn.XLOOKUP(E26,'All Products'!D:D,'All Products'!J:J,FALSE)</f>
        <v>Sourced</v>
      </c>
      <c r="U26" s="273">
        <f>_xlfn.XLOOKUP(E26,'All Products'!D:D,'All Products'!K:K,FALSE)</f>
        <v>49081071127</v>
      </c>
      <c r="V26" s="273">
        <f>_xlfn.XLOOKUP(E26,'All Products'!D:D,'All Products'!M:M,FALSE)</f>
        <v>50049081071122</v>
      </c>
      <c r="W26" s="264">
        <f>_xlfn.XLOOKUP(E26,'All Products'!D:D,'All Products'!N:N,FALSE)</f>
        <v>0.625</v>
      </c>
      <c r="X26" s="265">
        <f>_xlfn.XLOOKUP(E26,'All Products'!D:D,'All Products'!P:P,FALSE)</f>
        <v>15</v>
      </c>
      <c r="Y26" s="265">
        <f>_xlfn.XLOOKUP(E26,'All Products'!D:D,'All Products'!Q:Q,FALSE)</f>
        <v>0.41</v>
      </c>
    </row>
    <row r="27" spans="1:25" ht="15" customHeight="1">
      <c r="A27" s="101" t="str">
        <f>IF(O27&gt;0,COUNT($A$7:A26)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27" s="612"/>
      <c r="C27" s="613"/>
      <c r="D27" s="142" t="str">
        <f>_xlfn.XLOOKUP(E27,'All Products'!D:D,'All Products'!C:C,FALSE)</f>
        <v>IFQP110</v>
      </c>
      <c r="E27" s="103">
        <v>300002298</v>
      </c>
      <c r="F27" s="195" t="str">
        <f>_xlfn.XLOOKUP(E27,'All Products'!D:D,'All Products'!E:E,FALSE)</f>
        <v>IFUSE IRR PVC QP GRY MEDIUM</v>
      </c>
      <c r="G27" s="272" t="s">
        <v>1440</v>
      </c>
      <c r="H27" s="272" t="s">
        <v>1454</v>
      </c>
      <c r="I27" s="272" t="s">
        <v>1443</v>
      </c>
      <c r="J27" s="272" t="s">
        <v>1428</v>
      </c>
      <c r="K27" s="196">
        <f>_xlfn.XLOOKUP(E27,'All Products'!D:D,'All Products'!F:F,FALSE)</f>
        <v>24</v>
      </c>
      <c r="L27" s="196">
        <f>_xlfn.XLOOKUP(E27,'All Products'!D:D,'All Products'!G:G,FALSE)</f>
        <v>2808</v>
      </c>
      <c r="M27" s="142" t="str">
        <f>_xlfn.XLOOKUP(E27,'All Products'!D:D,'All Products'!H:H,FALSE)</f>
        <v>Quote Required</v>
      </c>
      <c r="N27" s="197">
        <f>IFERROR(ROUNDUP(M27*Order_Quote!$L$17,2),0)</f>
        <v>0</v>
      </c>
      <c r="O27" s="75"/>
      <c r="P27" s="113"/>
      <c r="Q27" s="171">
        <f t="shared" si="0"/>
        <v>0</v>
      </c>
      <c r="S27" s="215" t="str">
        <f>_xlfn.XLOOKUP(E27,'All Products'!D:D,'All Products'!I:I,FALSE)</f>
        <v>Within 3 Weeks</v>
      </c>
      <c r="T27" s="242" t="str">
        <f>_xlfn.XLOOKUP(E27,'All Products'!D:D,'All Products'!J:J,FALSE)</f>
        <v>Sourced</v>
      </c>
      <c r="U27" s="273">
        <f>_xlfn.XLOOKUP(E27,'All Products'!D:D,'All Products'!K:K,FALSE)</f>
        <v>49081071134</v>
      </c>
      <c r="V27" s="273">
        <f>_xlfn.XLOOKUP(E27,'All Products'!D:D,'All Products'!M:M,FALSE)</f>
        <v>50049081071139</v>
      </c>
      <c r="W27" s="264">
        <f>_xlfn.XLOOKUP(E27,'All Products'!D:D,'All Products'!N:N,FALSE)</f>
        <v>0.33300000000000002</v>
      </c>
      <c r="X27" s="265">
        <f>_xlfn.XLOOKUP(E27,'All Products'!D:D,'All Products'!P:P,FALSE)</f>
        <v>8</v>
      </c>
      <c r="Y27" s="265">
        <f>_xlfn.XLOOKUP(E27,'All Products'!D:D,'All Products'!Q:Q,FALSE)</f>
        <v>0.28999999999999998</v>
      </c>
    </row>
    <row r="28" spans="1:25" ht="15" customHeight="1">
      <c r="A28" s="101" t="str">
        <f>IF(O28&gt;0,COUNT($A$7:A27)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28" s="610"/>
      <c r="C28" s="611"/>
      <c r="D28" s="142" t="str">
        <f>_xlfn.XLOOKUP(E28,'All Products'!D:D,'All Products'!C:C,FALSE)</f>
        <v>IFQT115</v>
      </c>
      <c r="E28" s="103">
        <v>300002316</v>
      </c>
      <c r="F28" s="195" t="str">
        <f>_xlfn.XLOOKUP(E28,'All Products'!D:D,'All Products'!E:E,FALSE)</f>
        <v>IFUSE IRR PVC QT CLR HV</v>
      </c>
      <c r="G28" s="272" t="s">
        <v>1431</v>
      </c>
      <c r="H28" s="272" t="s">
        <v>1473</v>
      </c>
      <c r="I28" s="272" t="s">
        <v>1427</v>
      </c>
      <c r="J28" s="272" t="s">
        <v>1474</v>
      </c>
      <c r="K28" s="196">
        <f>_xlfn.XLOOKUP(E28,'All Products'!D:D,'All Products'!F:F,FALSE)</f>
        <v>12</v>
      </c>
      <c r="L28" s="196">
        <f>_xlfn.XLOOKUP(E28,'All Products'!D:D,'All Products'!G:G,FALSE)</f>
        <v>576</v>
      </c>
      <c r="M28" s="142" t="str">
        <f>_xlfn.XLOOKUP(E28,'All Products'!D:D,'All Products'!H:H,FALSE)</f>
        <v>Quote Required</v>
      </c>
      <c r="N28" s="197">
        <f>IFERROR(ROUNDUP(M28*Order_Quote!$L$17,2),0)</f>
        <v>0</v>
      </c>
      <c r="O28" s="75"/>
      <c r="P28" s="113"/>
      <c r="Q28" s="171">
        <f t="shared" si="0"/>
        <v>0</v>
      </c>
      <c r="S28" s="215" t="str">
        <f>_xlfn.XLOOKUP(E28,'All Products'!D:D,'All Products'!I:I,FALSE)</f>
        <v>Within 3 Weeks</v>
      </c>
      <c r="T28" s="242" t="str">
        <f>_xlfn.XLOOKUP(E28,'All Products'!D:D,'All Products'!J:J,FALSE)</f>
        <v>Sourced</v>
      </c>
      <c r="U28" s="273">
        <f>_xlfn.XLOOKUP(E28,'All Products'!D:D,'All Products'!K:K,FALSE)</f>
        <v>49081071158</v>
      </c>
      <c r="V28" s="273" t="str">
        <f>_xlfn.XLOOKUP(E28,'All Products'!D:D,'All Products'!M:M,FALSE)</f>
        <v>-</v>
      </c>
      <c r="W28" s="264">
        <f>_xlfn.XLOOKUP(E28,'All Products'!D:D,'All Products'!N:N,FALSE)</f>
        <v>2.25</v>
      </c>
      <c r="X28" s="265">
        <f>_xlfn.XLOOKUP(E28,'All Products'!D:D,'All Products'!P:P,FALSE)</f>
        <v>28</v>
      </c>
      <c r="Y28" s="265">
        <f>_xlfn.XLOOKUP(E28,'All Products'!D:D,'All Products'!Q:Q,FALSE)</f>
        <v>0.78</v>
      </c>
    </row>
    <row r="29" spans="1:25" ht="15" customHeight="1">
      <c r="A29" s="101" t="str">
        <f>IF(O29&gt;0,COUNT($A$7:A28)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29" s="608"/>
      <c r="C29" s="609"/>
      <c r="D29" s="142" t="str">
        <f>_xlfn.XLOOKUP(E29,'All Products'!D:D,'All Products'!C:C,FALSE)</f>
        <v>IFGA120</v>
      </c>
      <c r="E29" s="103">
        <v>300002232</v>
      </c>
      <c r="F29" s="195" t="str">
        <f>_xlfn.XLOOKUP(E29,'All Products'!D:D,'All Products'!E:E,FALSE)</f>
        <v>IFUSE IRR PVC GA GRY HV</v>
      </c>
      <c r="G29" s="272" t="s">
        <v>1425</v>
      </c>
      <c r="H29" s="272" t="s">
        <v>1473</v>
      </c>
      <c r="I29" s="272" t="s">
        <v>1443</v>
      </c>
      <c r="J29" s="272" t="s">
        <v>1474</v>
      </c>
      <c r="K29" s="196">
        <f>_xlfn.XLOOKUP(E29,'All Products'!D:D,'All Products'!F:F,FALSE)</f>
        <v>6</v>
      </c>
      <c r="L29" s="196">
        <f>_xlfn.XLOOKUP(E29,'All Products'!D:D,'All Products'!G:G,FALSE)</f>
        <v>162</v>
      </c>
      <c r="M29" s="142" t="str">
        <f>_xlfn.XLOOKUP(E29,'All Products'!D:D,'All Products'!H:H,FALSE)</f>
        <v>Quote Required</v>
      </c>
      <c r="N29" s="197">
        <f>IFERROR(ROUNDUP(M29*Order_Quote!$L$17,2),0)</f>
        <v>0</v>
      </c>
      <c r="O29" s="75"/>
      <c r="P29" s="113"/>
      <c r="Q29" s="171">
        <f t="shared" si="0"/>
        <v>0</v>
      </c>
      <c r="S29" s="215" t="str">
        <f>_xlfn.XLOOKUP(E29,'All Products'!D:D,'All Products'!I:I,FALSE)</f>
        <v>Within 3 Weeks</v>
      </c>
      <c r="T29" s="242" t="str">
        <f>_xlfn.XLOOKUP(E29,'All Products'!D:D,'All Products'!J:J,FALSE)</f>
        <v>Sourced</v>
      </c>
      <c r="U29" s="273">
        <f>_xlfn.XLOOKUP(E29,'All Products'!D:D,'All Products'!K:K,FALSE)</f>
        <v>49091071196</v>
      </c>
      <c r="V29" s="273">
        <f>_xlfn.XLOOKUP(E29,'All Products'!D:D,'All Products'!M:M,FALSE)</f>
        <v>50049081071191</v>
      </c>
      <c r="W29" s="264">
        <f>_xlfn.XLOOKUP(E29,'All Products'!D:D,'All Products'!N:N,FALSE)</f>
        <v>8.8330000000000002</v>
      </c>
      <c r="X29" s="265">
        <f>_xlfn.XLOOKUP(E29,'All Products'!D:D,'All Products'!P:P,FALSE)</f>
        <v>9</v>
      </c>
      <c r="Y29" s="265">
        <f>_xlfn.XLOOKUP(E29,'All Products'!D:D,'All Products'!Q:Q,FALSE)</f>
        <v>0.28999999999999998</v>
      </c>
    </row>
    <row r="30" spans="1:25" ht="15" customHeight="1">
      <c r="A30" s="101" t="str">
        <f>IF(O30&gt;0,COUNT($A$7:A29)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30" s="610"/>
      <c r="C30" s="611"/>
      <c r="D30" s="142" t="str">
        <f>_xlfn.XLOOKUP(E30,'All Products'!D:D,'All Products'!C:C,FALSE)</f>
        <v>IFQT120</v>
      </c>
      <c r="E30" s="103">
        <v>300002317</v>
      </c>
      <c r="F30" s="195" t="str">
        <f>_xlfn.XLOOKUP(E30,'All Products'!D:D,'All Products'!E:E,FALSE)</f>
        <v>IFUSE IRR PVC QT GRY HV</v>
      </c>
      <c r="G30" s="272" t="s">
        <v>1431</v>
      </c>
      <c r="H30" s="272" t="s">
        <v>1473</v>
      </c>
      <c r="I30" s="272" t="s">
        <v>1443</v>
      </c>
      <c r="J30" s="272" t="s">
        <v>1474</v>
      </c>
      <c r="K30" s="196">
        <f>_xlfn.XLOOKUP(E30,'All Products'!D:D,'All Products'!F:F,FALSE)</f>
        <v>12</v>
      </c>
      <c r="L30" s="196">
        <f>_xlfn.XLOOKUP(E30,'All Products'!D:D,'All Products'!G:G,FALSE)</f>
        <v>576</v>
      </c>
      <c r="M30" s="142" t="str">
        <f>_xlfn.XLOOKUP(E30,'All Products'!D:D,'All Products'!H:H,FALSE)</f>
        <v>Quote Required</v>
      </c>
      <c r="N30" s="197">
        <f>IFERROR(ROUNDUP(M30*Order_Quote!$L$17,2),0)</f>
        <v>0</v>
      </c>
      <c r="O30" s="75"/>
      <c r="P30" s="113"/>
      <c r="Q30" s="171">
        <f t="shared" si="0"/>
        <v>0</v>
      </c>
      <c r="S30" s="215" t="str">
        <f>_xlfn.XLOOKUP(E30,'All Products'!D:D,'All Products'!I:I,FALSE)</f>
        <v>Within 3 Weeks</v>
      </c>
      <c r="T30" s="242" t="str">
        <f>_xlfn.XLOOKUP(E30,'All Products'!D:D,'All Products'!J:J,FALSE)</f>
        <v>Sourced</v>
      </c>
      <c r="U30" s="273">
        <f>_xlfn.XLOOKUP(E30,'All Products'!D:D,'All Products'!K:K,FALSE)</f>
        <v>49081071202</v>
      </c>
      <c r="V30" s="273">
        <f>_xlfn.XLOOKUP(E30,'All Products'!D:D,'All Products'!M:M,FALSE)</f>
        <v>50049081071207</v>
      </c>
      <c r="W30" s="264">
        <f>_xlfn.XLOOKUP(E30,'All Products'!D:D,'All Products'!N:N,FALSE)</f>
        <v>2.3969999999999998</v>
      </c>
      <c r="X30" s="265">
        <f>_xlfn.XLOOKUP(E30,'All Products'!D:D,'All Products'!P:P,FALSE)</f>
        <v>28</v>
      </c>
      <c r="Y30" s="265">
        <f>_xlfn.XLOOKUP(E30,'All Products'!D:D,'All Products'!Q:Q,FALSE)</f>
        <v>0.78</v>
      </c>
    </row>
    <row r="31" spans="1:25" ht="15" customHeight="1">
      <c r="A31" s="101" t="str">
        <f>IF(O31&gt;0,COUNT($A$7:A30)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31" s="610"/>
      <c r="C31" s="611"/>
      <c r="D31" s="142" t="str">
        <f>_xlfn.XLOOKUP(E31,'All Products'!D:D,'All Products'!C:C,FALSE)</f>
        <v>IFPT120</v>
      </c>
      <c r="E31" s="103">
        <v>300002278</v>
      </c>
      <c r="F31" s="195" t="str">
        <f>_xlfn.XLOOKUP(E31,'All Products'!D:D,'All Products'!E:E,FALSE)</f>
        <v>IFUSE IRR PVC PT GRY HV</v>
      </c>
      <c r="G31" s="272" t="s">
        <v>1434</v>
      </c>
      <c r="H31" s="272" t="s">
        <v>1473</v>
      </c>
      <c r="I31" s="272" t="s">
        <v>1443</v>
      </c>
      <c r="J31" s="272" t="s">
        <v>1474</v>
      </c>
      <c r="K31" s="196">
        <f>_xlfn.XLOOKUP(E31,'All Products'!D:D,'All Products'!F:F,FALSE)</f>
        <v>12</v>
      </c>
      <c r="L31" s="196">
        <f>_xlfn.XLOOKUP(E31,'All Products'!D:D,'All Products'!G:G,FALSE)</f>
        <v>1008</v>
      </c>
      <c r="M31" s="142" t="str">
        <f>_xlfn.XLOOKUP(E31,'All Products'!D:D,'All Products'!H:H,FALSE)</f>
        <v>Quote Required</v>
      </c>
      <c r="N31" s="197">
        <f>IFERROR(ROUNDUP(M31*Order_Quote!$L$17,2),0)</f>
        <v>0</v>
      </c>
      <c r="O31" s="75"/>
      <c r="P31" s="113"/>
      <c r="Q31" s="171">
        <f t="shared" si="0"/>
        <v>0</v>
      </c>
      <c r="S31" s="215" t="str">
        <f>_xlfn.XLOOKUP(E31,'All Products'!D:D,'All Products'!I:I,FALSE)</f>
        <v>Within 3 Weeks</v>
      </c>
      <c r="T31" s="242" t="str">
        <f>_xlfn.XLOOKUP(E31,'All Products'!D:D,'All Products'!J:J,FALSE)</f>
        <v>Sourced</v>
      </c>
      <c r="U31" s="273">
        <f>_xlfn.XLOOKUP(E31,'All Products'!D:D,'All Products'!K:K,FALSE)</f>
        <v>49081071219</v>
      </c>
      <c r="V31" s="273">
        <f>_xlfn.XLOOKUP(E31,'All Products'!D:D,'All Products'!M:M,FALSE)</f>
        <v>50049081071214</v>
      </c>
      <c r="W31" s="264">
        <f>_xlfn.XLOOKUP(E31,'All Products'!D:D,'All Products'!N:N,FALSE)</f>
        <v>1.2330000000000001</v>
      </c>
      <c r="X31" s="265">
        <f>_xlfn.XLOOKUP(E31,'All Products'!D:D,'All Products'!P:P,FALSE)</f>
        <v>14</v>
      </c>
      <c r="Y31" s="265">
        <f>_xlfn.XLOOKUP(E31,'All Products'!D:D,'All Products'!Q:Q,FALSE)</f>
        <v>0.42</v>
      </c>
    </row>
    <row r="32" spans="1:25" ht="15" customHeight="1">
      <c r="A32" s="101" t="str">
        <f>IF(O32&gt;0,COUNT($A$7:A31)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32" s="610"/>
      <c r="C32" s="611"/>
      <c r="D32" s="142" t="str">
        <f>_xlfn.XLOOKUP(E32,'All Products'!D:D,'All Products'!C:C,FALSE)</f>
        <v>IFHP120</v>
      </c>
      <c r="E32" s="103">
        <v>300002254</v>
      </c>
      <c r="F32" s="195" t="str">
        <f>_xlfn.XLOOKUP(E32,'All Products'!D:D,'All Products'!E:E,FALSE)</f>
        <v>IFUSE IRR PVC HP GRY HV</v>
      </c>
      <c r="G32" s="272" t="s">
        <v>1437</v>
      </c>
      <c r="H32" s="272" t="s">
        <v>1473</v>
      </c>
      <c r="I32" s="272" t="s">
        <v>1443</v>
      </c>
      <c r="J32" s="272" t="s">
        <v>1474</v>
      </c>
      <c r="K32" s="196">
        <f>_xlfn.XLOOKUP(E32,'All Products'!D:D,'All Products'!F:F,FALSE)</f>
        <v>24</v>
      </c>
      <c r="L32" s="196">
        <f>_xlfn.XLOOKUP(E32,'All Products'!D:D,'All Products'!G:G,FALSE)</f>
        <v>1920</v>
      </c>
      <c r="M32" s="142" t="str">
        <f>_xlfn.XLOOKUP(E32,'All Products'!D:D,'All Products'!H:H,FALSE)</f>
        <v>Quote Required</v>
      </c>
      <c r="N32" s="197">
        <f>IFERROR(ROUNDUP(M32*Order_Quote!$L$17,2),0)</f>
        <v>0</v>
      </c>
      <c r="O32" s="75"/>
      <c r="P32" s="113"/>
      <c r="Q32" s="171">
        <f t="shared" si="0"/>
        <v>0</v>
      </c>
      <c r="S32" s="215" t="str">
        <f>_xlfn.XLOOKUP(E32,'All Products'!D:D,'All Products'!I:I,FALSE)</f>
        <v>Within 3 Weeks</v>
      </c>
      <c r="T32" s="242" t="str">
        <f>_xlfn.XLOOKUP(E32,'All Products'!D:D,'All Products'!J:J,FALSE)</f>
        <v>Sourced</v>
      </c>
      <c r="U32" s="273">
        <f>_xlfn.XLOOKUP(E32,'All Products'!D:D,'All Products'!K:K,FALSE)</f>
        <v>49081071226</v>
      </c>
      <c r="V32" s="273">
        <f>_xlfn.XLOOKUP(E32,'All Products'!D:D,'All Products'!M:M,FALSE)</f>
        <v>50049081071221</v>
      </c>
      <c r="W32" s="264">
        <f>_xlfn.XLOOKUP(E32,'All Products'!D:D,'All Products'!N:N,FALSE)</f>
        <v>0.65700000000000003</v>
      </c>
      <c r="X32" s="265">
        <f>_xlfn.XLOOKUP(E32,'All Products'!D:D,'All Products'!P:P,FALSE)</f>
        <v>15</v>
      </c>
      <c r="Y32" s="265">
        <f>_xlfn.XLOOKUP(E32,'All Products'!D:D,'All Products'!Q:Q,FALSE)</f>
        <v>0.41</v>
      </c>
    </row>
    <row r="33" spans="1:25" ht="15" customHeight="1">
      <c r="A33" s="101" t="str">
        <f>IF(O33&gt;0,COUNT($A$7:A32)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33" s="610"/>
      <c r="C33" s="611"/>
      <c r="D33" s="142" t="str">
        <f>_xlfn.XLOOKUP(E33,'All Products'!D:D,'All Products'!C:C,FALSE)</f>
        <v>IFQP120</v>
      </c>
      <c r="E33" s="103">
        <v>300002371</v>
      </c>
      <c r="F33" s="195" t="str">
        <f>_xlfn.XLOOKUP(E33,'All Products'!D:D,'All Products'!E:E,FALSE)</f>
        <v>IFUSE IRR PVC QP GRY HV</v>
      </c>
      <c r="G33" s="272" t="s">
        <v>1440</v>
      </c>
      <c r="H33" s="272" t="s">
        <v>1473</v>
      </c>
      <c r="I33" s="272" t="s">
        <v>1443</v>
      </c>
      <c r="J33" s="272" t="s">
        <v>1474</v>
      </c>
      <c r="K33" s="196">
        <f>_xlfn.XLOOKUP(E33,'All Products'!D:D,'All Products'!F:F,FALSE)</f>
        <v>24</v>
      </c>
      <c r="L33" s="196">
        <f>_xlfn.XLOOKUP(E33,'All Products'!D:D,'All Products'!G:G,FALSE)</f>
        <v>2808</v>
      </c>
      <c r="M33" s="142" t="str">
        <f>_xlfn.XLOOKUP(E33,'All Products'!D:D,'All Products'!H:H,FALSE)</f>
        <v>Quote Required</v>
      </c>
      <c r="N33" s="197">
        <f>IFERROR(ROUNDUP(M33*Order_Quote!$L$17,2),0)</f>
        <v>0</v>
      </c>
      <c r="O33" s="75"/>
      <c r="P33" s="113"/>
      <c r="Q33" s="171">
        <f t="shared" si="0"/>
        <v>0</v>
      </c>
      <c r="S33" s="215" t="str">
        <f>_xlfn.XLOOKUP(E33,'All Products'!D:D,'All Products'!I:I,FALSE)</f>
        <v>Within 6 Weeks</v>
      </c>
      <c r="T33" s="242" t="str">
        <f>_xlfn.XLOOKUP(E33,'All Products'!D:D,'All Products'!J:J,FALSE)</f>
        <v>Sourced</v>
      </c>
      <c r="U33" s="273">
        <f>_xlfn.XLOOKUP(E33,'All Products'!D:D,'All Products'!K:K,FALSE)</f>
        <v>810116842346</v>
      </c>
      <c r="V33" s="273">
        <f>_xlfn.XLOOKUP(E33,'All Products'!D:D,'All Products'!M:M,FALSE)</f>
        <v>10810116842343</v>
      </c>
      <c r="W33" s="264">
        <f>_xlfn.XLOOKUP(E33,'All Products'!D:D,'All Products'!N:N,FALSE)</f>
        <v>0.35399999999999998</v>
      </c>
      <c r="X33" s="265">
        <f>_xlfn.XLOOKUP(E33,'All Products'!D:D,'All Products'!P:P,FALSE)</f>
        <v>9</v>
      </c>
      <c r="Y33" s="265">
        <f>_xlfn.XLOOKUP(E33,'All Products'!D:D,'All Products'!Q:Q,FALSE)</f>
        <v>0.28999999999999998</v>
      </c>
    </row>
    <row r="34" spans="1:25" ht="15" customHeight="1">
      <c r="A34" s="101" t="str">
        <f>IF(O34&gt;0,COUNT($A$7:A33)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34" s="608"/>
      <c r="C34" s="609"/>
      <c r="D34" s="142" t="str">
        <f>_xlfn.XLOOKUP(E34,'All Products'!D:D,'All Products'!C:C,FALSE)</f>
        <v>IFGA125</v>
      </c>
      <c r="E34" s="103">
        <v>300002233</v>
      </c>
      <c r="F34" s="195" t="str">
        <f>_xlfn.XLOOKUP(E34,'All Products'!D:D,'All Products'!E:E,FALSE)</f>
        <v>IFUSE IRR HOT PRO GA</v>
      </c>
      <c r="G34" s="272" t="s">
        <v>1425</v>
      </c>
      <c r="H34" s="272" t="s">
        <v>1454</v>
      </c>
      <c r="I34" s="272" t="s">
        <v>1490</v>
      </c>
      <c r="J34" s="272" t="s">
        <v>1491</v>
      </c>
      <c r="K34" s="196">
        <f>_xlfn.XLOOKUP(E34,'All Products'!D:D,'All Products'!F:F,FALSE)</f>
        <v>6</v>
      </c>
      <c r="L34" s="196">
        <f>_xlfn.XLOOKUP(E34,'All Products'!D:D,'All Products'!G:G,FALSE)</f>
        <v>162</v>
      </c>
      <c r="M34" s="142" t="str">
        <f>_xlfn.XLOOKUP(E34,'All Products'!D:D,'All Products'!H:H,FALSE)</f>
        <v>Quote Required</v>
      </c>
      <c r="N34" s="197">
        <f>IFERROR(ROUNDUP(M34*Order_Quote!$L$17,2),0)</f>
        <v>0</v>
      </c>
      <c r="O34" s="75"/>
      <c r="P34" s="113"/>
      <c r="Q34" s="171">
        <f t="shared" si="0"/>
        <v>0</v>
      </c>
      <c r="S34" s="215" t="str">
        <f>_xlfn.XLOOKUP(E34,'All Products'!D:D,'All Products'!I:I,FALSE)</f>
        <v>Within 3 Weeks</v>
      </c>
      <c r="T34" s="242" t="str">
        <f>_xlfn.XLOOKUP(E34,'All Products'!D:D,'All Products'!J:J,FALSE)</f>
        <v>Sourced</v>
      </c>
      <c r="U34" s="273">
        <f>_xlfn.XLOOKUP(E34,'All Products'!D:D,'All Products'!K:K,FALSE)</f>
        <v>49081071233</v>
      </c>
      <c r="V34" s="273">
        <f>_xlfn.XLOOKUP(E34,'All Products'!D:D,'All Products'!M:M,FALSE)</f>
        <v>50049081071238</v>
      </c>
      <c r="W34" s="264">
        <f>_xlfn.XLOOKUP(E34,'All Products'!D:D,'All Products'!N:N,FALSE)</f>
        <v>9.1669999999999998</v>
      </c>
      <c r="X34" s="265">
        <f>_xlfn.XLOOKUP(E34,'All Products'!D:D,'All Products'!P:P,FALSE)</f>
        <v>53</v>
      </c>
      <c r="Y34" s="265">
        <f>_xlfn.XLOOKUP(E34,'All Products'!D:D,'All Products'!Q:Q,FALSE)</f>
        <v>1.21</v>
      </c>
    </row>
    <row r="35" spans="1:25" ht="15" customHeight="1">
      <c r="A35" s="101" t="str">
        <f>IF(O35&gt;0,COUNT($A$7:A34)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35" s="610"/>
      <c r="C35" s="611"/>
      <c r="D35" s="142" t="str">
        <f>_xlfn.XLOOKUP(E35,'All Products'!D:D,'All Products'!C:C,FALSE)</f>
        <v>IFQT125</v>
      </c>
      <c r="E35" s="103">
        <v>300002318</v>
      </c>
      <c r="F35" s="195" t="str">
        <f>_xlfn.XLOOKUP(E35,'All Products'!D:D,'All Products'!E:E,FALSE)</f>
        <v>IFUSE IRR HOT PRO QT</v>
      </c>
      <c r="G35" s="272" t="s">
        <v>1431</v>
      </c>
      <c r="H35" s="272" t="s">
        <v>1454</v>
      </c>
      <c r="I35" s="272" t="s">
        <v>1490</v>
      </c>
      <c r="J35" s="272" t="s">
        <v>1491</v>
      </c>
      <c r="K35" s="196">
        <f>_xlfn.XLOOKUP(E35,'All Products'!D:D,'All Products'!F:F,FALSE)</f>
        <v>12</v>
      </c>
      <c r="L35" s="196">
        <f>_xlfn.XLOOKUP(E35,'All Products'!D:D,'All Products'!G:G,FALSE)</f>
        <v>576</v>
      </c>
      <c r="M35" s="142" t="str">
        <f>_xlfn.XLOOKUP(E35,'All Products'!D:D,'All Products'!H:H,FALSE)</f>
        <v>Quote Required</v>
      </c>
      <c r="N35" s="197">
        <f>IFERROR(ROUNDUP(M35*Order_Quote!$L$17,2),0)</f>
        <v>0</v>
      </c>
      <c r="O35" s="75"/>
      <c r="P35" s="113"/>
      <c r="Q35" s="171">
        <f t="shared" si="0"/>
        <v>0</v>
      </c>
      <c r="S35" s="215" t="str">
        <f>_xlfn.XLOOKUP(E35,'All Products'!D:D,'All Products'!I:I,FALSE)</f>
        <v>Within 3 Weeks</v>
      </c>
      <c r="T35" s="242" t="str">
        <f>_xlfn.XLOOKUP(E35,'All Products'!D:D,'All Products'!J:J,FALSE)</f>
        <v>Sourced</v>
      </c>
      <c r="U35" s="273">
        <f>_xlfn.XLOOKUP(E35,'All Products'!D:D,'All Products'!K:K,FALSE)</f>
        <v>49081071240</v>
      </c>
      <c r="V35" s="273">
        <f>_xlfn.XLOOKUP(E35,'All Products'!D:D,'All Products'!M:M,FALSE)</f>
        <v>50049081071245</v>
      </c>
      <c r="W35" s="264">
        <f>_xlfn.XLOOKUP(E35,'All Products'!D:D,'All Products'!N:N,FALSE)</f>
        <v>2.5</v>
      </c>
      <c r="X35" s="265">
        <f>_xlfn.XLOOKUP(E35,'All Products'!D:D,'All Products'!P:P,FALSE)</f>
        <v>27</v>
      </c>
      <c r="Y35" s="265">
        <f>_xlfn.XLOOKUP(E35,'All Products'!D:D,'All Products'!Q:Q,FALSE)</f>
        <v>0.78</v>
      </c>
    </row>
    <row r="36" spans="1:25" ht="15" customHeight="1">
      <c r="A36" s="101" t="str">
        <f>IF(O36&gt;0,COUNT($A$7:A35)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36" s="610"/>
      <c r="C36" s="611"/>
      <c r="D36" s="142" t="str">
        <f>_xlfn.XLOOKUP(E36,'All Products'!D:D,'All Products'!C:C,FALSE)</f>
        <v>IFPT125</v>
      </c>
      <c r="E36" s="103">
        <v>300002279</v>
      </c>
      <c r="F36" s="195" t="str">
        <f>_xlfn.XLOOKUP(E36,'All Products'!D:D,'All Products'!E:E,FALSE)</f>
        <v>IFUSE IRR HOT PRO PT</v>
      </c>
      <c r="G36" s="272" t="s">
        <v>1434</v>
      </c>
      <c r="H36" s="272" t="s">
        <v>1454</v>
      </c>
      <c r="I36" s="272" t="s">
        <v>1490</v>
      </c>
      <c r="J36" s="272" t="s">
        <v>1491</v>
      </c>
      <c r="K36" s="196">
        <f>_xlfn.XLOOKUP(E36,'All Products'!D:D,'All Products'!F:F,FALSE)</f>
        <v>12</v>
      </c>
      <c r="L36" s="196">
        <f>_xlfn.XLOOKUP(E36,'All Products'!D:D,'All Products'!G:G,FALSE)</f>
        <v>1008</v>
      </c>
      <c r="M36" s="142" t="str">
        <f>_xlfn.XLOOKUP(E36,'All Products'!D:D,'All Products'!H:H,FALSE)</f>
        <v>Quote Required</v>
      </c>
      <c r="N36" s="197">
        <f>IFERROR(ROUNDUP(M36*Order_Quote!$L$17,2),0)</f>
        <v>0</v>
      </c>
      <c r="O36" s="75"/>
      <c r="P36" s="113"/>
      <c r="Q36" s="171">
        <f t="shared" si="0"/>
        <v>0</v>
      </c>
      <c r="S36" s="215" t="str">
        <f>_xlfn.XLOOKUP(E36,'All Products'!D:D,'All Products'!I:I,FALSE)</f>
        <v>Within 3 Weeks</v>
      </c>
      <c r="T36" s="242" t="str">
        <f>_xlfn.XLOOKUP(E36,'All Products'!D:D,'All Products'!J:J,FALSE)</f>
        <v>Sourced</v>
      </c>
      <c r="U36" s="273">
        <f>_xlfn.XLOOKUP(E36,'All Products'!D:D,'All Products'!K:K,FALSE)</f>
        <v>49081071257</v>
      </c>
      <c r="V36" s="273">
        <f>_xlfn.XLOOKUP(E36,'All Products'!D:D,'All Products'!M:M,FALSE)</f>
        <v>50049081071252</v>
      </c>
      <c r="W36" s="264">
        <f>_xlfn.XLOOKUP(E36,'All Products'!D:D,'All Products'!N:N,FALSE)</f>
        <v>1.25</v>
      </c>
      <c r="X36" s="265">
        <f>_xlfn.XLOOKUP(E36,'All Products'!D:D,'All Products'!P:P,FALSE)</f>
        <v>14</v>
      </c>
      <c r="Y36" s="265">
        <f>_xlfn.XLOOKUP(E36,'All Products'!D:D,'All Products'!Q:Q,FALSE)</f>
        <v>0.42</v>
      </c>
    </row>
    <row r="37" spans="1:25" ht="15" customHeight="1">
      <c r="A37" s="101" t="str">
        <f>IF(O37&gt;0,COUNT($A$7:A36)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37" s="610"/>
      <c r="C37" s="611"/>
      <c r="D37" s="142" t="str">
        <f>_xlfn.XLOOKUP(E37,'All Products'!D:D,'All Products'!C:C,FALSE)</f>
        <v>IFHP125</v>
      </c>
      <c r="E37" s="103">
        <v>300002255</v>
      </c>
      <c r="F37" s="195" t="str">
        <f>_xlfn.XLOOKUP(E37,'All Products'!D:D,'All Products'!E:E,FALSE)</f>
        <v>IFUSE IRR HOT PRO HP</v>
      </c>
      <c r="G37" s="272" t="s">
        <v>1437</v>
      </c>
      <c r="H37" s="272" t="s">
        <v>1454</v>
      </c>
      <c r="I37" s="272" t="s">
        <v>1490</v>
      </c>
      <c r="J37" s="272" t="s">
        <v>1491</v>
      </c>
      <c r="K37" s="196">
        <f>_xlfn.XLOOKUP(E37,'All Products'!D:D,'All Products'!F:F,FALSE)</f>
        <v>24</v>
      </c>
      <c r="L37" s="196">
        <f>_xlfn.XLOOKUP(E37,'All Products'!D:D,'All Products'!G:G,FALSE)</f>
        <v>1920</v>
      </c>
      <c r="M37" s="142" t="str">
        <f>_xlfn.XLOOKUP(E37,'All Products'!D:D,'All Products'!H:H,FALSE)</f>
        <v>Quote Required</v>
      </c>
      <c r="N37" s="197">
        <f>IFERROR(ROUNDUP(M37*Order_Quote!$L$17,2),0)</f>
        <v>0</v>
      </c>
      <c r="O37" s="75"/>
      <c r="P37" s="113"/>
      <c r="Q37" s="171">
        <f t="shared" ref="Q37:Q68" si="1">O37/K37</f>
        <v>0</v>
      </c>
      <c r="S37" s="215" t="str">
        <f>_xlfn.XLOOKUP(E37,'All Products'!D:D,'All Products'!I:I,FALSE)</f>
        <v>Within 3 Weeks</v>
      </c>
      <c r="T37" s="242" t="str">
        <f>_xlfn.XLOOKUP(E37,'All Products'!D:D,'All Products'!J:J,FALSE)</f>
        <v>Sourced</v>
      </c>
      <c r="U37" s="273">
        <f>_xlfn.XLOOKUP(E37,'All Products'!D:D,'All Products'!K:K,FALSE)</f>
        <v>49081071264</v>
      </c>
      <c r="V37" s="273">
        <f>_xlfn.XLOOKUP(E37,'All Products'!D:D,'All Products'!M:M,FALSE)</f>
        <v>50049081071269</v>
      </c>
      <c r="W37" s="264">
        <f>_xlfn.XLOOKUP(E37,'All Products'!D:D,'All Products'!N:N,FALSE)</f>
        <v>0.625</v>
      </c>
      <c r="X37" s="265">
        <f>_xlfn.XLOOKUP(E37,'All Products'!D:D,'All Products'!P:P,FALSE)</f>
        <v>15</v>
      </c>
      <c r="Y37" s="265">
        <f>_xlfn.XLOOKUP(E37,'All Products'!D:D,'All Products'!Q:Q,FALSE)</f>
        <v>0.41</v>
      </c>
    </row>
    <row r="38" spans="1:25" ht="15" customHeight="1">
      <c r="A38" s="101" t="str">
        <f>IF(O38&gt;0,COUNT($A$7:A37)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38" s="612"/>
      <c r="C38" s="613"/>
      <c r="D38" s="142" t="str">
        <f>_xlfn.XLOOKUP(E38,'All Products'!D:D,'All Products'!C:C,FALSE)</f>
        <v>IFQP125</v>
      </c>
      <c r="E38" s="103">
        <v>300002300</v>
      </c>
      <c r="F38" s="195" t="str">
        <f>_xlfn.XLOOKUP(E38,'All Products'!D:D,'All Products'!E:E,FALSE)</f>
        <v>IFUSE IRR HOT PRO QP</v>
      </c>
      <c r="G38" s="272" t="s">
        <v>1440</v>
      </c>
      <c r="H38" s="272" t="s">
        <v>1454</v>
      </c>
      <c r="I38" s="272" t="s">
        <v>1490</v>
      </c>
      <c r="J38" s="272" t="s">
        <v>1491</v>
      </c>
      <c r="K38" s="196">
        <f>_xlfn.XLOOKUP(E38,'All Products'!D:D,'All Products'!F:F,FALSE)</f>
        <v>24</v>
      </c>
      <c r="L38" s="196">
        <f>_xlfn.XLOOKUP(E38,'All Products'!D:D,'All Products'!G:G,FALSE)</f>
        <v>2808</v>
      </c>
      <c r="M38" s="142" t="str">
        <f>_xlfn.XLOOKUP(E38,'All Products'!D:D,'All Products'!H:H,FALSE)</f>
        <v>Quote Required</v>
      </c>
      <c r="N38" s="197">
        <f>IFERROR(ROUNDUP(M38*Order_Quote!$L$17,2),0)</f>
        <v>0</v>
      </c>
      <c r="O38" s="75"/>
      <c r="P38" s="113"/>
      <c r="Q38" s="171">
        <f t="shared" si="1"/>
        <v>0</v>
      </c>
      <c r="S38" s="215" t="str">
        <f>_xlfn.XLOOKUP(E38,'All Products'!D:D,'All Products'!I:I,FALSE)</f>
        <v>Within 3 Weeks</v>
      </c>
      <c r="T38" s="242" t="str">
        <f>_xlfn.XLOOKUP(E38,'All Products'!D:D,'All Products'!J:J,FALSE)</f>
        <v>Sourced</v>
      </c>
      <c r="U38" s="273">
        <f>_xlfn.XLOOKUP(E38,'All Products'!D:D,'All Products'!K:K,FALSE)</f>
        <v>49081071271</v>
      </c>
      <c r="V38" s="273">
        <f>_xlfn.XLOOKUP(E38,'All Products'!D:D,'All Products'!M:M,FALSE)</f>
        <v>50049081071276</v>
      </c>
      <c r="W38" s="264">
        <f>_xlfn.XLOOKUP(E38,'All Products'!D:D,'All Products'!N:N,FALSE)</f>
        <v>0.375</v>
      </c>
      <c r="X38" s="265">
        <f>_xlfn.XLOOKUP(E38,'All Products'!D:D,'All Products'!P:P,FALSE)</f>
        <v>8</v>
      </c>
      <c r="Y38" s="265">
        <f>_xlfn.XLOOKUP(E38,'All Products'!D:D,'All Products'!Q:Q,FALSE)</f>
        <v>0.28999999999999998</v>
      </c>
    </row>
    <row r="39" spans="1:25" ht="15" customHeight="1">
      <c r="A39" s="101" t="str">
        <f>IF(O39&gt;0,COUNT($A$7:A38)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39" s="608"/>
      <c r="C39" s="609"/>
      <c r="D39" s="142" t="str">
        <f>_xlfn.XLOOKUP(E39,'All Products'!D:D,'All Products'!C:C,FALSE)</f>
        <v>IFGA130</v>
      </c>
      <c r="E39" s="103">
        <v>300002234</v>
      </c>
      <c r="F39" s="195" t="str">
        <f>_xlfn.XLOOKUP(E39,'All Products'!D:D,'All Products'!E:E,FALSE)</f>
        <v>IFUSE IRR WET R DRY GA</v>
      </c>
      <c r="G39" s="272" t="s">
        <v>1425</v>
      </c>
      <c r="H39" s="272" t="s">
        <v>1454</v>
      </c>
      <c r="I39" s="272" t="s">
        <v>1502</v>
      </c>
      <c r="J39" s="272" t="s">
        <v>1503</v>
      </c>
      <c r="K39" s="196">
        <f>_xlfn.XLOOKUP(E39,'All Products'!D:D,'All Products'!F:F,FALSE)</f>
        <v>6</v>
      </c>
      <c r="L39" s="196">
        <f>_xlfn.XLOOKUP(E39,'All Products'!D:D,'All Products'!G:G,FALSE)</f>
        <v>162</v>
      </c>
      <c r="M39" s="142" t="str">
        <f>_xlfn.XLOOKUP(E39,'All Products'!D:D,'All Products'!H:H,FALSE)</f>
        <v>Quote Required</v>
      </c>
      <c r="N39" s="197">
        <f>IFERROR(ROUNDUP(M39*Order_Quote!$L$17,2),0)</f>
        <v>0</v>
      </c>
      <c r="O39" s="75"/>
      <c r="P39" s="113"/>
      <c r="Q39" s="171">
        <f t="shared" si="1"/>
        <v>0</v>
      </c>
      <c r="S39" s="215" t="str">
        <f>_xlfn.XLOOKUP(E39,'All Products'!D:D,'All Products'!I:I,FALSE)</f>
        <v>Within 6 Weeks</v>
      </c>
      <c r="T39" s="242" t="str">
        <f>_xlfn.XLOOKUP(E39,'All Products'!D:D,'All Products'!J:J,FALSE)</f>
        <v>Sourced</v>
      </c>
      <c r="U39" s="273">
        <f>_xlfn.XLOOKUP(E39,'All Products'!D:D,'All Products'!K:K,FALSE)</f>
        <v>49081071288</v>
      </c>
      <c r="V39" s="273">
        <f>_xlfn.XLOOKUP(E39,'All Products'!D:D,'All Products'!M:M,FALSE)</f>
        <v>50049081071283</v>
      </c>
      <c r="W39" s="264">
        <f>_xlfn.XLOOKUP(E39,'All Products'!D:D,'All Products'!N:N,FALSE)</f>
        <v>9.1669999999999998</v>
      </c>
      <c r="X39" s="265">
        <f>_xlfn.XLOOKUP(E39,'All Products'!D:D,'All Products'!P:P,FALSE)</f>
        <v>53</v>
      </c>
      <c r="Y39" s="265">
        <f>_xlfn.XLOOKUP(E39,'All Products'!D:D,'All Products'!Q:Q,FALSE)</f>
        <v>1.21</v>
      </c>
    </row>
    <row r="40" spans="1:25" ht="15" customHeight="1">
      <c r="A40" s="101" t="str">
        <f>IF(O40&gt;0,COUNT($A$7:A39)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40" s="610"/>
      <c r="C40" s="611"/>
      <c r="D40" s="142" t="str">
        <f>_xlfn.XLOOKUP(E40,'All Products'!D:D,'All Products'!C:C,FALSE)</f>
        <v>IFQT130</v>
      </c>
      <c r="E40" s="103">
        <v>300002319</v>
      </c>
      <c r="F40" s="195" t="str">
        <f>_xlfn.XLOOKUP(E40,'All Products'!D:D,'All Products'!E:E,FALSE)</f>
        <v>IFUSE IRR WET R DRY QT</v>
      </c>
      <c r="G40" s="272" t="s">
        <v>1431</v>
      </c>
      <c r="H40" s="272" t="s">
        <v>1454</v>
      </c>
      <c r="I40" s="272" t="s">
        <v>1502</v>
      </c>
      <c r="J40" s="272" t="s">
        <v>1503</v>
      </c>
      <c r="K40" s="196">
        <f>_xlfn.XLOOKUP(E40,'All Products'!D:D,'All Products'!F:F,FALSE)</f>
        <v>12</v>
      </c>
      <c r="L40" s="196">
        <f>_xlfn.XLOOKUP(E40,'All Products'!D:D,'All Products'!G:G,FALSE)</f>
        <v>576</v>
      </c>
      <c r="M40" s="142" t="str">
        <f>_xlfn.XLOOKUP(E40,'All Products'!D:D,'All Products'!H:H,FALSE)</f>
        <v>Quote Required</v>
      </c>
      <c r="N40" s="197">
        <f>IFERROR(ROUNDUP(M40*Order_Quote!$L$17,2),0)</f>
        <v>0</v>
      </c>
      <c r="O40" s="75"/>
      <c r="P40" s="113"/>
      <c r="Q40" s="171">
        <f t="shared" si="1"/>
        <v>0</v>
      </c>
      <c r="S40" s="215" t="str">
        <f>_xlfn.XLOOKUP(E40,'All Products'!D:D,'All Products'!I:I,FALSE)</f>
        <v>Within 3 Weeks</v>
      </c>
      <c r="T40" s="242" t="str">
        <f>_xlfn.XLOOKUP(E40,'All Products'!D:D,'All Products'!J:J,FALSE)</f>
        <v>Sourced</v>
      </c>
      <c r="U40" s="273">
        <f>_xlfn.XLOOKUP(E40,'All Products'!D:D,'All Products'!K:K,FALSE)</f>
        <v>49081071295</v>
      </c>
      <c r="V40" s="273">
        <f>_xlfn.XLOOKUP(E40,'All Products'!D:D,'All Products'!M:M,FALSE)</f>
        <v>50049081071290</v>
      </c>
      <c r="W40" s="264">
        <f>_xlfn.XLOOKUP(E40,'All Products'!D:D,'All Products'!N:N,FALSE)</f>
        <v>2.331</v>
      </c>
      <c r="X40" s="265">
        <f>_xlfn.XLOOKUP(E40,'All Products'!D:D,'All Products'!P:P,FALSE)</f>
        <v>27</v>
      </c>
      <c r="Y40" s="265">
        <f>_xlfn.XLOOKUP(E40,'All Products'!D:D,'All Products'!Q:Q,FALSE)</f>
        <v>0.78</v>
      </c>
    </row>
    <row r="41" spans="1:25" ht="15" customHeight="1">
      <c r="A41" s="101" t="str">
        <f>IF(O41&gt;0,COUNT($A$7:A40)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41" s="610"/>
      <c r="C41" s="611"/>
      <c r="D41" s="142" t="str">
        <f>_xlfn.XLOOKUP(E41,'All Products'!D:D,'All Products'!C:C,FALSE)</f>
        <v>IFPT130</v>
      </c>
      <c r="E41" s="103">
        <v>300002280</v>
      </c>
      <c r="F41" s="195" t="str">
        <f>_xlfn.XLOOKUP(E41,'All Products'!D:D,'All Products'!E:E,FALSE)</f>
        <v>IFUSE IRR WET R DRY PT</v>
      </c>
      <c r="G41" s="272" t="s">
        <v>1434</v>
      </c>
      <c r="H41" s="272" t="s">
        <v>1454</v>
      </c>
      <c r="I41" s="272" t="s">
        <v>1502</v>
      </c>
      <c r="J41" s="272" t="s">
        <v>1503</v>
      </c>
      <c r="K41" s="196">
        <f>_xlfn.XLOOKUP(E41,'All Products'!D:D,'All Products'!F:F,FALSE)</f>
        <v>12</v>
      </c>
      <c r="L41" s="196">
        <f>_xlfn.XLOOKUP(E41,'All Products'!D:D,'All Products'!G:G,FALSE)</f>
        <v>1008</v>
      </c>
      <c r="M41" s="142" t="str">
        <f>_xlfn.XLOOKUP(E41,'All Products'!D:D,'All Products'!H:H,FALSE)</f>
        <v>Quote Required</v>
      </c>
      <c r="N41" s="197">
        <f>IFERROR(ROUNDUP(M41*Order_Quote!$L$17,2),0)</f>
        <v>0</v>
      </c>
      <c r="O41" s="75"/>
      <c r="P41" s="113"/>
      <c r="Q41" s="171">
        <f t="shared" si="1"/>
        <v>0</v>
      </c>
      <c r="S41" s="215" t="str">
        <f>_xlfn.XLOOKUP(E41,'All Products'!D:D,'All Products'!I:I,FALSE)</f>
        <v>Within 3 Weeks</v>
      </c>
      <c r="T41" s="242" t="str">
        <f>_xlfn.XLOOKUP(E41,'All Products'!D:D,'All Products'!J:J,FALSE)</f>
        <v>Sourced</v>
      </c>
      <c r="U41" s="273">
        <f>_xlfn.XLOOKUP(E41,'All Products'!D:D,'All Products'!K:K,FALSE)</f>
        <v>49081071301</v>
      </c>
      <c r="V41" s="273">
        <f>_xlfn.XLOOKUP(E41,'All Products'!D:D,'All Products'!M:M,FALSE)</f>
        <v>50049081071306</v>
      </c>
      <c r="W41" s="264">
        <f>_xlfn.XLOOKUP(E41,'All Products'!D:D,'All Products'!N:N,FALSE)</f>
        <v>1.1919999999999999</v>
      </c>
      <c r="X41" s="265">
        <f>_xlfn.XLOOKUP(E41,'All Products'!D:D,'All Products'!P:P,FALSE)</f>
        <v>14</v>
      </c>
      <c r="Y41" s="265">
        <f>_xlfn.XLOOKUP(E41,'All Products'!D:D,'All Products'!Q:Q,FALSE)</f>
        <v>0.42</v>
      </c>
    </row>
    <row r="42" spans="1:25" ht="15" customHeight="1">
      <c r="A42" s="101" t="str">
        <f>IF(O42&gt;0,COUNT($A$7:A41)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42" s="610"/>
      <c r="C42" s="611"/>
      <c r="D42" s="142" t="str">
        <f>_xlfn.XLOOKUP(E42,'All Products'!D:D,'All Products'!C:C,FALSE)</f>
        <v>IFHP130</v>
      </c>
      <c r="E42" s="103">
        <v>300002256</v>
      </c>
      <c r="F42" s="195" t="str">
        <f>_xlfn.XLOOKUP(E42,'All Products'!D:D,'All Products'!E:E,FALSE)</f>
        <v>IFUSE IRR WET R DRY HP</v>
      </c>
      <c r="G42" s="272" t="s">
        <v>1437</v>
      </c>
      <c r="H42" s="272" t="s">
        <v>1454</v>
      </c>
      <c r="I42" s="272" t="s">
        <v>1502</v>
      </c>
      <c r="J42" s="272" t="s">
        <v>1503</v>
      </c>
      <c r="K42" s="196">
        <f>_xlfn.XLOOKUP(E42,'All Products'!D:D,'All Products'!F:F,FALSE)</f>
        <v>24</v>
      </c>
      <c r="L42" s="196">
        <f>_xlfn.XLOOKUP(E42,'All Products'!D:D,'All Products'!G:G,FALSE)</f>
        <v>1920</v>
      </c>
      <c r="M42" s="142" t="str">
        <f>_xlfn.XLOOKUP(E42,'All Products'!D:D,'All Products'!H:H,FALSE)</f>
        <v>Quote Required</v>
      </c>
      <c r="N42" s="197">
        <f>IFERROR(ROUNDUP(M42*Order_Quote!$L$17,2),0)</f>
        <v>0</v>
      </c>
      <c r="O42" s="75"/>
      <c r="P42" s="113"/>
      <c r="Q42" s="171">
        <f t="shared" si="1"/>
        <v>0</v>
      </c>
      <c r="S42" s="215" t="str">
        <f>_xlfn.XLOOKUP(E42,'All Products'!D:D,'All Products'!I:I,FALSE)</f>
        <v>Within 3 Weeks</v>
      </c>
      <c r="T42" s="242" t="str">
        <f>_xlfn.XLOOKUP(E42,'All Products'!D:D,'All Products'!J:J,FALSE)</f>
        <v>Sourced</v>
      </c>
      <c r="U42" s="273">
        <f>_xlfn.XLOOKUP(E42,'All Products'!D:D,'All Products'!K:K,FALSE)</f>
        <v>49081071318</v>
      </c>
      <c r="V42" s="273">
        <f>_xlfn.XLOOKUP(E42,'All Products'!D:D,'All Products'!M:M,FALSE)</f>
        <v>50049081071313</v>
      </c>
      <c r="W42" s="264">
        <f>_xlfn.XLOOKUP(E42,'All Products'!D:D,'All Products'!N:N,FALSE)</f>
        <v>0.63600000000000001</v>
      </c>
      <c r="X42" s="265">
        <f>_xlfn.XLOOKUP(E42,'All Products'!D:D,'All Products'!P:P,FALSE)</f>
        <v>15</v>
      </c>
      <c r="Y42" s="265">
        <f>_xlfn.XLOOKUP(E42,'All Products'!D:D,'All Products'!Q:Q,FALSE)</f>
        <v>0.41</v>
      </c>
    </row>
    <row r="43" spans="1:25" ht="15" customHeight="1">
      <c r="A43" s="101" t="str">
        <f>IF(O43&gt;0,COUNT($A$7:A42)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43" s="612"/>
      <c r="C43" s="613"/>
      <c r="D43" s="142" t="str">
        <f>_xlfn.XLOOKUP(E43,'All Products'!D:D,'All Products'!C:C,FALSE)</f>
        <v>IFQP130</v>
      </c>
      <c r="E43" s="103">
        <v>300002301</v>
      </c>
      <c r="F43" s="195" t="str">
        <f>_xlfn.XLOOKUP(E43,'All Products'!D:D,'All Products'!E:E,FALSE)</f>
        <v>IFUSE IRR WET R DRY QP</v>
      </c>
      <c r="G43" s="272" t="s">
        <v>1440</v>
      </c>
      <c r="H43" s="272" t="s">
        <v>1454</v>
      </c>
      <c r="I43" s="272" t="s">
        <v>1502</v>
      </c>
      <c r="J43" s="272" t="s">
        <v>1503</v>
      </c>
      <c r="K43" s="196">
        <f>_xlfn.XLOOKUP(E43,'All Products'!D:D,'All Products'!F:F,FALSE)</f>
        <v>24</v>
      </c>
      <c r="L43" s="196">
        <f>_xlfn.XLOOKUP(E43,'All Products'!D:D,'All Products'!G:G,FALSE)</f>
        <v>2808</v>
      </c>
      <c r="M43" s="142" t="str">
        <f>_xlfn.XLOOKUP(E43,'All Products'!D:D,'All Products'!H:H,FALSE)</f>
        <v>Quote Required</v>
      </c>
      <c r="N43" s="197">
        <f>IFERROR(ROUNDUP(M43*Order_Quote!$L$17,2),0)</f>
        <v>0</v>
      </c>
      <c r="O43" s="75"/>
      <c r="P43" s="113"/>
      <c r="Q43" s="171">
        <f t="shared" si="1"/>
        <v>0</v>
      </c>
      <c r="S43" s="215" t="str">
        <f>_xlfn.XLOOKUP(E43,'All Products'!D:D,'All Products'!I:I,FALSE)</f>
        <v>Within 3 Weeks</v>
      </c>
      <c r="T43" s="242" t="str">
        <f>_xlfn.XLOOKUP(E43,'All Products'!D:D,'All Products'!J:J,FALSE)</f>
        <v>Sourced</v>
      </c>
      <c r="U43" s="273">
        <f>_xlfn.XLOOKUP(E43,'All Products'!D:D,'All Products'!K:K,FALSE)</f>
        <v>49081071325</v>
      </c>
      <c r="V43" s="273">
        <f>_xlfn.XLOOKUP(E43,'All Products'!D:D,'All Products'!M:M,FALSE)</f>
        <v>50049081071320</v>
      </c>
      <c r="W43" s="264">
        <f>_xlfn.XLOOKUP(E43,'All Products'!D:D,'All Products'!N:N,FALSE)</f>
        <v>0.35899999999999999</v>
      </c>
      <c r="X43" s="265">
        <f>_xlfn.XLOOKUP(E43,'All Products'!D:D,'All Products'!P:P,FALSE)</f>
        <v>8</v>
      </c>
      <c r="Y43" s="265">
        <f>_xlfn.XLOOKUP(E43,'All Products'!D:D,'All Products'!Q:Q,FALSE)</f>
        <v>0.28999999999999998</v>
      </c>
    </row>
    <row r="44" spans="1:25" ht="15" customHeight="1">
      <c r="A44" s="101" t="str">
        <f>IF(O44&gt;0,COUNT($A$7:A43)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44" s="608"/>
      <c r="C44" s="609"/>
      <c r="D44" s="142" t="str">
        <f>_xlfn.XLOOKUP(E44,'All Products'!D:D,'All Products'!C:C,FALSE)</f>
        <v>IFGA160</v>
      </c>
      <c r="E44" s="103">
        <v>300002239</v>
      </c>
      <c r="F44" s="195" t="str">
        <f>_xlfn.XLOOKUP(E44,'All Products'!D:D,'All Products'!E:E,FALSE)</f>
        <v>ifuse IRR FLEX PRO CLR GA</v>
      </c>
      <c r="G44" s="272" t="s">
        <v>1425</v>
      </c>
      <c r="H44" s="272" t="s">
        <v>1454</v>
      </c>
      <c r="I44" s="272" t="s">
        <v>1427</v>
      </c>
      <c r="J44" s="272" t="s">
        <v>1428</v>
      </c>
      <c r="K44" s="196">
        <f>_xlfn.XLOOKUP(E44,'All Products'!D:D,'All Products'!F:F,FALSE)</f>
        <v>6</v>
      </c>
      <c r="L44" s="196">
        <f>_xlfn.XLOOKUP(E44,'All Products'!D:D,'All Products'!G:G,FALSE)</f>
        <v>162</v>
      </c>
      <c r="M44" s="142" t="str">
        <f>_xlfn.XLOOKUP(E44,'All Products'!D:D,'All Products'!H:H,FALSE)</f>
        <v>Quote Required</v>
      </c>
      <c r="N44" s="197">
        <f>IFERROR(ROUNDUP(M44*Order_Quote!$L$17,2),0)</f>
        <v>0</v>
      </c>
      <c r="O44" s="75"/>
      <c r="P44" s="113"/>
      <c r="Q44" s="171">
        <f t="shared" si="1"/>
        <v>0</v>
      </c>
      <c r="S44" s="215" t="str">
        <f>_xlfn.XLOOKUP(E44,'All Products'!D:D,'All Products'!I:I,FALSE)</f>
        <v>Within 3 Weeks</v>
      </c>
      <c r="T44" s="242" t="str">
        <f>_xlfn.XLOOKUP(E44,'All Products'!D:D,'All Products'!J:J,FALSE)</f>
        <v>Sourced</v>
      </c>
      <c r="U44" s="273">
        <f>_xlfn.XLOOKUP(E44,'All Products'!D:D,'All Products'!K:K,FALSE)</f>
        <v>49081071981</v>
      </c>
      <c r="V44" s="273" t="str">
        <f>_xlfn.XLOOKUP(E44,'All Products'!D:D,'All Products'!M:M,FALSE)</f>
        <v>-</v>
      </c>
      <c r="W44" s="264">
        <f>_xlfn.XLOOKUP(E44,'All Products'!D:D,'All Products'!N:N,FALSE)</f>
        <v>8.5</v>
      </c>
      <c r="X44" s="265">
        <f>_xlfn.XLOOKUP(E44,'All Products'!D:D,'All Products'!P:P,FALSE)</f>
        <v>51</v>
      </c>
      <c r="Y44" s="265">
        <f>_xlfn.XLOOKUP(E44,'All Products'!D:D,'All Products'!Q:Q,FALSE)</f>
        <v>1.07</v>
      </c>
    </row>
    <row r="45" spans="1:25" ht="15" customHeight="1">
      <c r="A45" s="101" t="str">
        <f>IF(O45&gt;0,COUNT($A$7:A44)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45" s="610"/>
      <c r="C45" s="611"/>
      <c r="D45" s="142" t="str">
        <f>_xlfn.XLOOKUP(E45,'All Products'!D:D,'All Products'!C:C,FALSE)</f>
        <v>IFQT160</v>
      </c>
      <c r="E45" s="103">
        <v>300002325</v>
      </c>
      <c r="F45" s="195" t="str">
        <f>_xlfn.XLOOKUP(E45,'All Products'!D:D,'All Products'!E:E,FALSE)</f>
        <v>IFUSE IRR FLEX PRO CLR QT</v>
      </c>
      <c r="G45" s="272" t="s">
        <v>1431</v>
      </c>
      <c r="H45" s="272" t="s">
        <v>1454</v>
      </c>
      <c r="I45" s="272" t="s">
        <v>1427</v>
      </c>
      <c r="J45" s="272" t="s">
        <v>1428</v>
      </c>
      <c r="K45" s="196">
        <f>_xlfn.XLOOKUP(E45,'All Products'!D:D,'All Products'!F:F,FALSE)</f>
        <v>12</v>
      </c>
      <c r="L45" s="196">
        <f>_xlfn.XLOOKUP(E45,'All Products'!D:D,'All Products'!G:G,FALSE)</f>
        <v>576</v>
      </c>
      <c r="M45" s="142" t="str">
        <f>_xlfn.XLOOKUP(E45,'All Products'!D:D,'All Products'!H:H,FALSE)</f>
        <v>Quote Required</v>
      </c>
      <c r="N45" s="197">
        <f>IFERROR(ROUNDUP(M45*Order_Quote!$L$17,2),0)</f>
        <v>0</v>
      </c>
      <c r="O45" s="75"/>
      <c r="P45" s="113"/>
      <c r="Q45" s="171">
        <f t="shared" si="1"/>
        <v>0</v>
      </c>
      <c r="S45" s="215" t="str">
        <f>_xlfn.XLOOKUP(E45,'All Products'!D:D,'All Products'!I:I,FALSE)</f>
        <v>Within 3 Weeks</v>
      </c>
      <c r="T45" s="242" t="str">
        <f>_xlfn.XLOOKUP(E45,'All Products'!D:D,'All Products'!J:J,FALSE)</f>
        <v>Sourced</v>
      </c>
      <c r="U45" s="273">
        <f>_xlfn.XLOOKUP(E45,'All Products'!D:D,'All Products'!K:K,FALSE)</f>
        <v>49081071998</v>
      </c>
      <c r="V45" s="273" t="str">
        <f>_xlfn.XLOOKUP(E45,'All Products'!D:D,'All Products'!M:M,FALSE)</f>
        <v>-</v>
      </c>
      <c r="W45" s="264">
        <f>_xlfn.XLOOKUP(E45,'All Products'!D:D,'All Products'!N:N,FALSE)</f>
        <v>2.25</v>
      </c>
      <c r="X45" s="265">
        <f>_xlfn.XLOOKUP(E45,'All Products'!D:D,'All Products'!P:P,FALSE)</f>
        <v>27</v>
      </c>
      <c r="Y45" s="265">
        <f>_xlfn.XLOOKUP(E45,'All Products'!D:D,'All Products'!Q:Q,FALSE)</f>
        <v>0.67</v>
      </c>
    </row>
    <row r="46" spans="1:25" ht="15" customHeight="1">
      <c r="A46" s="101" t="str">
        <f>IF(O46&gt;0,COUNT($A$7:A45)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46" s="610"/>
      <c r="C46" s="611"/>
      <c r="D46" s="142" t="str">
        <f>_xlfn.XLOOKUP(E46,'All Products'!D:D,'All Products'!C:C,FALSE)</f>
        <v>IFPT160</v>
      </c>
      <c r="E46" s="103">
        <v>300002286</v>
      </c>
      <c r="F46" s="195" t="str">
        <f>_xlfn.XLOOKUP(E46,'All Products'!D:D,'All Products'!E:E,FALSE)</f>
        <v>IFUSE IRR FLEX PRO CLR PT</v>
      </c>
      <c r="G46" s="272" t="s">
        <v>1434</v>
      </c>
      <c r="H46" s="272" t="s">
        <v>1454</v>
      </c>
      <c r="I46" s="272" t="s">
        <v>1427</v>
      </c>
      <c r="J46" s="272" t="s">
        <v>1428</v>
      </c>
      <c r="K46" s="196">
        <f>_xlfn.XLOOKUP(E46,'All Products'!D:D,'All Products'!F:F,FALSE)</f>
        <v>12</v>
      </c>
      <c r="L46" s="196">
        <f>_xlfn.XLOOKUP(E46,'All Products'!D:D,'All Products'!G:G,FALSE)</f>
        <v>1008</v>
      </c>
      <c r="M46" s="142" t="str">
        <f>_xlfn.XLOOKUP(E46,'All Products'!D:D,'All Products'!H:H,FALSE)</f>
        <v>Quote Required</v>
      </c>
      <c r="N46" s="197">
        <f>IFERROR(ROUNDUP(M46*Order_Quote!$L$17,2),0)</f>
        <v>0</v>
      </c>
      <c r="O46" s="75"/>
      <c r="P46" s="113"/>
      <c r="Q46" s="171">
        <f t="shared" si="1"/>
        <v>0</v>
      </c>
      <c r="S46" s="215" t="str">
        <f>_xlfn.XLOOKUP(E46,'All Products'!D:D,'All Products'!I:I,FALSE)</f>
        <v>Within 3 Weeks</v>
      </c>
      <c r="T46" s="242" t="str">
        <f>_xlfn.XLOOKUP(E46,'All Products'!D:D,'All Products'!J:J,FALSE)</f>
        <v>Sourced</v>
      </c>
      <c r="U46" s="273">
        <f>_xlfn.XLOOKUP(E46,'All Products'!D:D,'All Products'!K:K,FALSE)</f>
        <v>49081072001</v>
      </c>
      <c r="V46" s="273" t="str">
        <f>_xlfn.XLOOKUP(E46,'All Products'!D:D,'All Products'!M:M,FALSE)</f>
        <v>-</v>
      </c>
      <c r="W46" s="264">
        <f>_xlfn.XLOOKUP(E46,'All Products'!D:D,'All Products'!N:N,FALSE)</f>
        <v>1.167</v>
      </c>
      <c r="X46" s="265">
        <f>_xlfn.XLOOKUP(E46,'All Products'!D:D,'All Products'!P:P,FALSE)</f>
        <v>14</v>
      </c>
      <c r="Y46" s="265">
        <f>_xlfn.XLOOKUP(E46,'All Products'!D:D,'All Products'!Q:Q,FALSE)</f>
        <v>0.36</v>
      </c>
    </row>
    <row r="47" spans="1:25" ht="15" customHeight="1">
      <c r="A47" s="101" t="str">
        <f>IF(O47&gt;0,COUNT($A$7:A46)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47" s="610"/>
      <c r="C47" s="611"/>
      <c r="D47" s="142" t="str">
        <f>_xlfn.XLOOKUP(E47,'All Products'!D:D,'All Products'!C:C,FALSE)</f>
        <v>IFHP160</v>
      </c>
      <c r="E47" s="103">
        <v>300002262</v>
      </c>
      <c r="F47" s="195" t="str">
        <f>_xlfn.XLOOKUP(E47,'All Products'!D:D,'All Products'!E:E,FALSE)</f>
        <v>IFUSE IRR FLEX PRO CLR HP</v>
      </c>
      <c r="G47" s="272" t="s">
        <v>1437</v>
      </c>
      <c r="H47" s="272" t="s">
        <v>1454</v>
      </c>
      <c r="I47" s="272" t="s">
        <v>1427</v>
      </c>
      <c r="J47" s="272" t="s">
        <v>1428</v>
      </c>
      <c r="K47" s="196">
        <f>_xlfn.XLOOKUP(E47,'All Products'!D:D,'All Products'!F:F,FALSE)</f>
        <v>24</v>
      </c>
      <c r="L47" s="196">
        <f>_xlfn.XLOOKUP(E47,'All Products'!D:D,'All Products'!G:G,FALSE)</f>
        <v>1920</v>
      </c>
      <c r="M47" s="142" t="str">
        <f>_xlfn.XLOOKUP(E47,'All Products'!D:D,'All Products'!H:H,FALSE)</f>
        <v>Quote Required</v>
      </c>
      <c r="N47" s="197">
        <f>IFERROR(ROUNDUP(M47*Order_Quote!$L$17,2),0)</f>
        <v>0</v>
      </c>
      <c r="O47" s="75"/>
      <c r="P47" s="113"/>
      <c r="Q47" s="171">
        <f t="shared" si="1"/>
        <v>0</v>
      </c>
      <c r="S47" s="215" t="str">
        <f>_xlfn.XLOOKUP(E47,'All Products'!D:D,'All Products'!I:I,FALSE)</f>
        <v>Within 3 Weeks</v>
      </c>
      <c r="T47" s="242" t="str">
        <f>_xlfn.XLOOKUP(E47,'All Products'!D:D,'All Products'!J:J,FALSE)</f>
        <v>Sourced</v>
      </c>
      <c r="U47" s="273">
        <f>_xlfn.XLOOKUP(E47,'All Products'!D:D,'All Products'!K:K,FALSE)</f>
        <v>49081072018</v>
      </c>
      <c r="V47" s="273">
        <f>_xlfn.XLOOKUP(E47,'All Products'!D:D,'All Products'!M:M,FALSE)</f>
        <v>50049081072013</v>
      </c>
      <c r="W47" s="264">
        <f>_xlfn.XLOOKUP(E47,'All Products'!D:D,'All Products'!N:N,FALSE)</f>
        <v>0.625</v>
      </c>
      <c r="X47" s="265">
        <f>_xlfn.XLOOKUP(E47,'All Products'!D:D,'All Products'!P:P,FALSE)</f>
        <v>15</v>
      </c>
      <c r="Y47" s="265">
        <f>_xlfn.XLOOKUP(E47,'All Products'!D:D,'All Products'!Q:Q,FALSE)</f>
        <v>0.37</v>
      </c>
    </row>
    <row r="48" spans="1:25" ht="15" customHeight="1">
      <c r="A48" s="101" t="str">
        <f>IF(O48&gt;0,COUNT($A$7:A47)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48" s="612"/>
      <c r="C48" s="613"/>
      <c r="D48" s="142" t="str">
        <f>_xlfn.XLOOKUP(E48,'All Products'!D:D,'All Products'!C:C,FALSE)</f>
        <v>IFQP160</v>
      </c>
      <c r="E48" s="103">
        <v>300002306</v>
      </c>
      <c r="F48" s="195" t="str">
        <f>_xlfn.XLOOKUP(E48,'All Products'!D:D,'All Products'!E:E,FALSE)</f>
        <v>IFUSE IRR FLEX PRO CLR QP</v>
      </c>
      <c r="G48" s="272" t="s">
        <v>1440</v>
      </c>
      <c r="H48" s="272" t="s">
        <v>1454</v>
      </c>
      <c r="I48" s="272" t="s">
        <v>1427</v>
      </c>
      <c r="J48" s="272" t="s">
        <v>1428</v>
      </c>
      <c r="K48" s="196">
        <f>_xlfn.XLOOKUP(E48,'All Products'!D:D,'All Products'!F:F,FALSE)</f>
        <v>24</v>
      </c>
      <c r="L48" s="196">
        <f>_xlfn.XLOOKUP(E48,'All Products'!D:D,'All Products'!G:G,FALSE)</f>
        <v>2808</v>
      </c>
      <c r="M48" s="142" t="str">
        <f>_xlfn.XLOOKUP(E48,'All Products'!D:D,'All Products'!H:H,FALSE)</f>
        <v>Quote Required</v>
      </c>
      <c r="N48" s="197">
        <f>IFERROR(ROUNDUP(M48*Order_Quote!$L$17,2),0)</f>
        <v>0</v>
      </c>
      <c r="O48" s="75"/>
      <c r="P48" s="113"/>
      <c r="Q48" s="171">
        <f t="shared" si="1"/>
        <v>0</v>
      </c>
      <c r="S48" s="215" t="str">
        <f>_xlfn.XLOOKUP(E48,'All Products'!D:D,'All Products'!I:I,FALSE)</f>
        <v>Within 3 Weeks</v>
      </c>
      <c r="T48" s="242" t="str">
        <f>_xlfn.XLOOKUP(E48,'All Products'!D:D,'All Products'!J:J,FALSE)</f>
        <v>Sourced</v>
      </c>
      <c r="U48" s="273">
        <f>_xlfn.XLOOKUP(E48,'All Products'!D:D,'All Products'!K:K,FALSE)</f>
        <v>49081072025</v>
      </c>
      <c r="V48" s="273">
        <f>_xlfn.XLOOKUP(E48,'All Products'!D:D,'All Products'!M:M,FALSE)</f>
        <v>50049081072020</v>
      </c>
      <c r="W48" s="264">
        <f>_xlfn.XLOOKUP(E48,'All Products'!D:D,'All Products'!N:N,FALSE)</f>
        <v>0.33300000000000002</v>
      </c>
      <c r="X48" s="265">
        <f>_xlfn.XLOOKUP(E48,'All Products'!D:D,'All Products'!P:P,FALSE)</f>
        <v>8</v>
      </c>
      <c r="Y48" s="265">
        <f>_xlfn.XLOOKUP(E48,'All Products'!D:D,'All Products'!Q:Q,FALSE)</f>
        <v>0.22</v>
      </c>
    </row>
    <row r="49" spans="1:25" ht="15" customHeight="1">
      <c r="A49" s="101" t="str">
        <f>IF(O49&gt;0,COUNT($A$7:A48)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49" s="608"/>
      <c r="C49" s="609"/>
      <c r="D49" s="142" t="str">
        <f>_xlfn.XLOOKUP(E49,'All Products'!D:D,'All Products'!C:C,FALSE)</f>
        <v>IFQT225</v>
      </c>
      <c r="E49" s="103">
        <v>300002331</v>
      </c>
      <c r="F49" s="195" t="str">
        <f>_xlfn.XLOOKUP(E49,'All Products'!D:D,'All Products'!E:E,FALSE)</f>
        <v>IFUSE POOL PRO PVC QT</v>
      </c>
      <c r="G49" s="272" t="s">
        <v>1431</v>
      </c>
      <c r="H49" s="272" t="s">
        <v>1524</v>
      </c>
      <c r="I49" s="272" t="s">
        <v>1490</v>
      </c>
      <c r="J49" s="272" t="s">
        <v>1503</v>
      </c>
      <c r="K49" s="196">
        <f>_xlfn.XLOOKUP(E49,'All Products'!D:D,'All Products'!F:F,FALSE)</f>
        <v>12</v>
      </c>
      <c r="L49" s="196">
        <f>_xlfn.XLOOKUP(E49,'All Products'!D:D,'All Products'!G:G,FALSE)</f>
        <v>576</v>
      </c>
      <c r="M49" s="142" t="str">
        <f>_xlfn.XLOOKUP(E49,'All Products'!D:D,'All Products'!H:H,FALSE)</f>
        <v>Quote Required</v>
      </c>
      <c r="N49" s="197">
        <f>IFERROR(ROUNDUP(M49*Order_Quote!$L$17,2),0)</f>
        <v>0</v>
      </c>
      <c r="O49" s="75"/>
      <c r="P49" s="113"/>
      <c r="Q49" s="171">
        <f t="shared" si="1"/>
        <v>0</v>
      </c>
      <c r="S49" s="215" t="str">
        <f>_xlfn.XLOOKUP(E49,'All Products'!D:D,'All Products'!I:I,FALSE)</f>
        <v>Within 3 Weeks</v>
      </c>
      <c r="T49" s="242" t="str">
        <f>_xlfn.XLOOKUP(E49,'All Products'!D:D,'All Products'!J:J,FALSE)</f>
        <v>Sourced</v>
      </c>
      <c r="U49" s="273">
        <f>_xlfn.XLOOKUP(E49,'All Products'!D:D,'All Products'!K:K,FALSE)</f>
        <v>49081071783</v>
      </c>
      <c r="V49" s="273">
        <f>_xlfn.XLOOKUP(E49,'All Products'!D:D,'All Products'!M:M,FALSE)</f>
        <v>50049081071788</v>
      </c>
      <c r="W49" s="264">
        <f>_xlfn.XLOOKUP(E49,'All Products'!D:D,'All Products'!N:N,FALSE)</f>
        <v>2.5</v>
      </c>
      <c r="X49" s="265">
        <f>_xlfn.XLOOKUP(E49,'All Products'!D:D,'All Products'!P:P,FALSE)</f>
        <v>28</v>
      </c>
      <c r="Y49" s="265">
        <f>_xlfn.XLOOKUP(E49,'All Products'!D:D,'All Products'!Q:Q,FALSE)</f>
        <v>0.67</v>
      </c>
    </row>
    <row r="50" spans="1:25" ht="15" customHeight="1">
      <c r="A50" s="101" t="str">
        <f>IF(O50&gt;0,COUNT($A$7:A49)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50" s="610"/>
      <c r="C50" s="611"/>
      <c r="D50" s="142" t="str">
        <f>_xlfn.XLOOKUP(E50,'All Products'!D:D,'All Products'!C:C,FALSE)</f>
        <v>IFPT225</v>
      </c>
      <c r="E50" s="103">
        <v>300002292</v>
      </c>
      <c r="F50" s="195" t="str">
        <f>_xlfn.XLOOKUP(E50,'All Products'!D:D,'All Products'!E:E,FALSE)</f>
        <v>IFUSE POOL PRO PVC PT</v>
      </c>
      <c r="G50" s="272" t="s">
        <v>1434</v>
      </c>
      <c r="H50" s="272" t="s">
        <v>1524</v>
      </c>
      <c r="I50" s="272" t="s">
        <v>1490</v>
      </c>
      <c r="J50" s="272" t="s">
        <v>1503</v>
      </c>
      <c r="K50" s="196">
        <f>_xlfn.XLOOKUP(E50,'All Products'!D:D,'All Products'!F:F,FALSE)</f>
        <v>12</v>
      </c>
      <c r="L50" s="196">
        <f>_xlfn.XLOOKUP(E50,'All Products'!D:D,'All Products'!G:G,FALSE)</f>
        <v>1008</v>
      </c>
      <c r="M50" s="142" t="str">
        <f>_xlfn.XLOOKUP(E50,'All Products'!D:D,'All Products'!H:H,FALSE)</f>
        <v>Quote Required</v>
      </c>
      <c r="N50" s="197">
        <f>IFERROR(ROUNDUP(M50*Order_Quote!$L$17,2),0)</f>
        <v>0</v>
      </c>
      <c r="O50" s="75"/>
      <c r="P50" s="113"/>
      <c r="Q50" s="171">
        <f t="shared" si="1"/>
        <v>0</v>
      </c>
      <c r="S50" s="215" t="str">
        <f>_xlfn.XLOOKUP(E50,'All Products'!D:D,'All Products'!I:I,FALSE)</f>
        <v>Within 3 Weeks</v>
      </c>
      <c r="T50" s="242" t="str">
        <f>_xlfn.XLOOKUP(E50,'All Products'!D:D,'All Products'!J:J,FALSE)</f>
        <v>Sourced</v>
      </c>
      <c r="U50" s="273">
        <f>_xlfn.XLOOKUP(E50,'All Products'!D:D,'All Products'!K:K,FALSE)</f>
        <v>49081071790</v>
      </c>
      <c r="V50" s="273">
        <f>_xlfn.XLOOKUP(E50,'All Products'!D:D,'All Products'!M:M,FALSE)</f>
        <v>50049081071795</v>
      </c>
      <c r="W50" s="264">
        <f>_xlfn.XLOOKUP(E50,'All Products'!D:D,'All Products'!N:N,FALSE)</f>
        <v>1.202</v>
      </c>
      <c r="X50" s="265">
        <f>_xlfn.XLOOKUP(E50,'All Products'!D:D,'All Products'!P:P,FALSE)</f>
        <v>14</v>
      </c>
      <c r="Y50" s="265">
        <f>_xlfn.XLOOKUP(E50,'All Products'!D:D,'All Products'!Q:Q,FALSE)</f>
        <v>0.36</v>
      </c>
    </row>
    <row r="51" spans="1:25" ht="15" customHeight="1">
      <c r="A51" s="101" t="str">
        <f>IF(O51&gt;0,COUNT($A$7:A50)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51" s="610"/>
      <c r="C51" s="611"/>
      <c r="D51" s="142" t="str">
        <f>_xlfn.XLOOKUP(E51,'All Products'!D:D,'All Products'!C:C,FALSE)</f>
        <v>IFHP225</v>
      </c>
      <c r="E51" s="103">
        <v>300002268</v>
      </c>
      <c r="F51" s="195" t="str">
        <f>_xlfn.XLOOKUP(E51,'All Products'!D:D,'All Products'!E:E,FALSE)</f>
        <v>ifuse POOL PRO PVC HP</v>
      </c>
      <c r="G51" s="272" t="s">
        <v>1437</v>
      </c>
      <c r="H51" s="272" t="s">
        <v>1524</v>
      </c>
      <c r="I51" s="272" t="s">
        <v>1490</v>
      </c>
      <c r="J51" s="272" t="s">
        <v>1503</v>
      </c>
      <c r="K51" s="196">
        <f>_xlfn.XLOOKUP(E51,'All Products'!D:D,'All Products'!F:F,FALSE)</f>
        <v>24</v>
      </c>
      <c r="L51" s="196">
        <f>_xlfn.XLOOKUP(E51,'All Products'!D:D,'All Products'!G:G,FALSE)</f>
        <v>1920</v>
      </c>
      <c r="M51" s="142" t="str">
        <f>_xlfn.XLOOKUP(E51,'All Products'!D:D,'All Products'!H:H,FALSE)</f>
        <v>Quote Required</v>
      </c>
      <c r="N51" s="197">
        <f>IFERROR(ROUNDUP(M51*Order_Quote!$L$17,2),0)</f>
        <v>0</v>
      </c>
      <c r="O51" s="75"/>
      <c r="P51" s="113"/>
      <c r="Q51" s="171">
        <f t="shared" si="1"/>
        <v>0</v>
      </c>
      <c r="S51" s="215" t="str">
        <f>_xlfn.XLOOKUP(E51,'All Products'!D:D,'All Products'!I:I,FALSE)</f>
        <v>Within 6 Weeks</v>
      </c>
      <c r="T51" s="242" t="str">
        <f>_xlfn.XLOOKUP(E51,'All Products'!D:D,'All Products'!J:J,FALSE)</f>
        <v>Sourced</v>
      </c>
      <c r="U51" s="273">
        <f>_xlfn.XLOOKUP(E51,'All Products'!D:D,'All Products'!K:K,FALSE)</f>
        <v>49081071806</v>
      </c>
      <c r="V51" s="273" t="str">
        <f>_xlfn.XLOOKUP(E51,'All Products'!D:D,'All Products'!M:M,FALSE)</f>
        <v>-</v>
      </c>
      <c r="W51" s="264">
        <f>_xlfn.XLOOKUP(E51,'All Products'!D:D,'All Products'!N:N,FALSE)</f>
        <v>0.63700000000000001</v>
      </c>
      <c r="X51" s="265">
        <f>_xlfn.XLOOKUP(E51,'All Products'!D:D,'All Products'!P:P,FALSE)</f>
        <v>15</v>
      </c>
      <c r="Y51" s="265">
        <f>_xlfn.XLOOKUP(E51,'All Products'!D:D,'All Products'!Q:Q,FALSE)</f>
        <v>0.37</v>
      </c>
    </row>
    <row r="52" spans="1:25" ht="15" customHeight="1">
      <c r="A52" s="101" t="str">
        <f>IF(O52&gt;0,COUNT($A$7:A51)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52" s="612"/>
      <c r="C52" s="613"/>
      <c r="D52" s="142" t="str">
        <f>_xlfn.XLOOKUP(E52,'All Products'!D:D,'All Products'!C:C,FALSE)</f>
        <v>IFQP225</v>
      </c>
      <c r="E52" s="103">
        <v>300002309</v>
      </c>
      <c r="F52" s="195" t="str">
        <f>_xlfn.XLOOKUP(E52,'All Products'!D:D,'All Products'!E:E,FALSE)</f>
        <v>IFUSE POOL PRO PVC QP</v>
      </c>
      <c r="G52" s="272" t="s">
        <v>1440</v>
      </c>
      <c r="H52" s="272" t="s">
        <v>1524</v>
      </c>
      <c r="I52" s="272" t="s">
        <v>1490</v>
      </c>
      <c r="J52" s="272" t="s">
        <v>1503</v>
      </c>
      <c r="K52" s="196">
        <f>_xlfn.XLOOKUP(E52,'All Products'!D:D,'All Products'!F:F,FALSE)</f>
        <v>24</v>
      </c>
      <c r="L52" s="196">
        <f>_xlfn.XLOOKUP(E52,'All Products'!D:D,'All Products'!G:G,FALSE)</f>
        <v>2808</v>
      </c>
      <c r="M52" s="142" t="str">
        <f>_xlfn.XLOOKUP(E52,'All Products'!D:D,'All Products'!H:H,FALSE)</f>
        <v>Quote Required</v>
      </c>
      <c r="N52" s="197">
        <f>IFERROR(ROUNDUP(M52*Order_Quote!$L$17,2),0)</f>
        <v>0</v>
      </c>
      <c r="O52" s="75"/>
      <c r="P52" s="113"/>
      <c r="Q52" s="171">
        <f t="shared" si="1"/>
        <v>0</v>
      </c>
      <c r="S52" s="215" t="str">
        <f>_xlfn.XLOOKUP(E52,'All Products'!D:D,'All Products'!I:I,FALSE)</f>
        <v>Within 6 Weeks</v>
      </c>
      <c r="T52" s="242" t="str">
        <f>_xlfn.XLOOKUP(E52,'All Products'!D:D,'All Products'!J:J,FALSE)</f>
        <v>Sourced</v>
      </c>
      <c r="U52" s="273">
        <f>_xlfn.XLOOKUP(E52,'All Products'!D:D,'All Products'!K:K,FALSE)</f>
        <v>49081071813</v>
      </c>
      <c r="V52" s="273" t="str">
        <f>_xlfn.XLOOKUP(E52,'All Products'!D:D,'All Products'!M:M,FALSE)</f>
        <v>-</v>
      </c>
      <c r="W52" s="264">
        <f>_xlfn.XLOOKUP(E52,'All Products'!D:D,'All Products'!N:N,FALSE)</f>
        <v>0.375</v>
      </c>
      <c r="X52" s="265">
        <f>_xlfn.XLOOKUP(E52,'All Products'!D:D,'All Products'!P:P,FALSE)</f>
        <v>8</v>
      </c>
      <c r="Y52" s="265">
        <f>_xlfn.XLOOKUP(E52,'All Products'!D:D,'All Products'!Q:Q,FALSE)</f>
        <v>0.22</v>
      </c>
    </row>
    <row r="53" spans="1:25" ht="15" customHeight="1">
      <c r="A53" s="101" t="str">
        <f>IF(O53&gt;0,COUNT($A$7:A52)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53" s="608"/>
      <c r="C53" s="609"/>
      <c r="D53" s="142" t="str">
        <f>_xlfn.XLOOKUP(E53,'All Products'!D:D,'All Products'!C:C,FALSE)</f>
        <v>IFQT135</v>
      </c>
      <c r="E53" s="103">
        <v>300002320</v>
      </c>
      <c r="F53" s="195" t="str">
        <f>_xlfn.XLOOKUP(E53,'All Products'!D:D,'All Products'!E:E,FALSE)</f>
        <v>IFUSE IRR HOTNCOLD CPVC QT</v>
      </c>
      <c r="G53" s="272" t="s">
        <v>1431</v>
      </c>
      <c r="H53" s="272" t="s">
        <v>1533</v>
      </c>
      <c r="I53" s="272" t="s">
        <v>1534</v>
      </c>
      <c r="J53" s="272" t="s">
        <v>1428</v>
      </c>
      <c r="K53" s="196">
        <f>_xlfn.XLOOKUP(E53,'All Products'!D:D,'All Products'!F:F,FALSE)</f>
        <v>12</v>
      </c>
      <c r="L53" s="196">
        <f>_xlfn.XLOOKUP(E53,'All Products'!D:D,'All Products'!G:G,FALSE)</f>
        <v>576</v>
      </c>
      <c r="M53" s="142" t="str">
        <f>_xlfn.XLOOKUP(E53,'All Products'!D:D,'All Products'!H:H,FALSE)</f>
        <v>Quote Required</v>
      </c>
      <c r="N53" s="197">
        <f>IFERROR(ROUNDUP(M53*Order_Quote!$L$17,2),0)</f>
        <v>0</v>
      </c>
      <c r="O53" s="75"/>
      <c r="P53" s="113"/>
      <c r="Q53" s="171">
        <f t="shared" si="1"/>
        <v>0</v>
      </c>
      <c r="S53" s="215" t="str">
        <f>_xlfn.XLOOKUP(E53,'All Products'!D:D,'All Products'!I:I,FALSE)</f>
        <v>Within 6 Weeks</v>
      </c>
      <c r="T53" s="242" t="str">
        <f>_xlfn.XLOOKUP(E53,'All Products'!D:D,'All Products'!J:J,FALSE)</f>
        <v>Sourced</v>
      </c>
      <c r="U53" s="273">
        <f>_xlfn.XLOOKUP(E53,'All Products'!D:D,'All Products'!K:K,FALSE)</f>
        <v>49081071349</v>
      </c>
      <c r="V53" s="273">
        <f>_xlfn.XLOOKUP(E53,'All Products'!D:D,'All Products'!M:M,FALSE)</f>
        <v>50049081071344</v>
      </c>
      <c r="W53" s="264">
        <f>_xlfn.XLOOKUP(E53,'All Products'!D:D,'All Products'!N:N,FALSE)</f>
        <v>2.5</v>
      </c>
      <c r="X53" s="265">
        <f>_xlfn.XLOOKUP(E53,'All Products'!D:D,'All Products'!P:P,FALSE)</f>
        <v>29</v>
      </c>
      <c r="Y53" s="265">
        <f>_xlfn.XLOOKUP(E53,'All Products'!D:D,'All Products'!Q:Q,FALSE)</f>
        <v>0.78</v>
      </c>
    </row>
    <row r="54" spans="1:25" ht="15" customHeight="1">
      <c r="A54" s="101" t="str">
        <f>IF(O54&gt;0,COUNT($A$7:A53)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54" s="610"/>
      <c r="C54" s="611"/>
      <c r="D54" s="142" t="str">
        <f>_xlfn.XLOOKUP(E54,'All Products'!D:D,'All Products'!C:C,FALSE)</f>
        <v>IFPT135</v>
      </c>
      <c r="E54" s="103">
        <v>300002281</v>
      </c>
      <c r="F54" s="195" t="str">
        <f>_xlfn.XLOOKUP(E54,'All Products'!D:D,'All Products'!E:E,FALSE)</f>
        <v>IFUSE IRR HOTNCOLD CPVC PT</v>
      </c>
      <c r="G54" s="272" t="s">
        <v>1434</v>
      </c>
      <c r="H54" s="272" t="s">
        <v>1533</v>
      </c>
      <c r="I54" s="272" t="s">
        <v>1534</v>
      </c>
      <c r="J54" s="272" t="s">
        <v>1428</v>
      </c>
      <c r="K54" s="196">
        <f>_xlfn.XLOOKUP(E54,'All Products'!D:D,'All Products'!F:F,FALSE)</f>
        <v>12</v>
      </c>
      <c r="L54" s="196">
        <f>_xlfn.XLOOKUP(E54,'All Products'!D:D,'All Products'!G:G,FALSE)</f>
        <v>1008</v>
      </c>
      <c r="M54" s="142" t="str">
        <f>_xlfn.XLOOKUP(E54,'All Products'!D:D,'All Products'!H:H,FALSE)</f>
        <v>Quote Required</v>
      </c>
      <c r="N54" s="197">
        <f>IFERROR(ROUNDUP(M54*Order_Quote!$L$17,2),0)</f>
        <v>0</v>
      </c>
      <c r="O54" s="75"/>
      <c r="P54" s="113"/>
      <c r="Q54" s="171">
        <f t="shared" si="1"/>
        <v>0</v>
      </c>
      <c r="S54" s="215" t="str">
        <f>_xlfn.XLOOKUP(E54,'All Products'!D:D,'All Products'!I:I,FALSE)</f>
        <v>Within 6 Weeks</v>
      </c>
      <c r="T54" s="242" t="str">
        <f>_xlfn.XLOOKUP(E54,'All Products'!D:D,'All Products'!J:J,FALSE)</f>
        <v>Sourced</v>
      </c>
      <c r="U54" s="273">
        <f>_xlfn.XLOOKUP(E54,'All Products'!D:D,'All Products'!K:K,FALSE)</f>
        <v>49081071356</v>
      </c>
      <c r="V54" s="273">
        <f>_xlfn.XLOOKUP(E54,'All Products'!D:D,'All Products'!M:M,FALSE)</f>
        <v>50049081071351</v>
      </c>
      <c r="W54" s="264">
        <f>_xlfn.XLOOKUP(E54,'All Products'!D:D,'All Products'!N:N,FALSE)</f>
        <v>1.272</v>
      </c>
      <c r="X54" s="265">
        <f>_xlfn.XLOOKUP(E54,'All Products'!D:D,'All Products'!P:P,FALSE)</f>
        <v>15</v>
      </c>
      <c r="Y54" s="265">
        <f>_xlfn.XLOOKUP(E54,'All Products'!D:D,'All Products'!Q:Q,FALSE)</f>
        <v>0.42</v>
      </c>
    </row>
    <row r="55" spans="1:25" ht="15" customHeight="1">
      <c r="A55" s="101" t="str">
        <f>IF(O55&gt;0,COUNT($A$7:A54)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55" s="610"/>
      <c r="C55" s="611"/>
      <c r="D55" s="142" t="str">
        <f>_xlfn.XLOOKUP(E55,'All Products'!D:D,'All Products'!C:C,FALSE)</f>
        <v>IFHP135</v>
      </c>
      <c r="E55" s="103">
        <v>300002257</v>
      </c>
      <c r="F55" s="195" t="str">
        <f>_xlfn.XLOOKUP(E55,'All Products'!D:D,'All Products'!E:E,FALSE)</f>
        <v>IFUSE IRR HOTNCOLD CPVC HP</v>
      </c>
      <c r="G55" s="272" t="s">
        <v>1437</v>
      </c>
      <c r="H55" s="272" t="s">
        <v>1533</v>
      </c>
      <c r="I55" s="272" t="s">
        <v>1534</v>
      </c>
      <c r="J55" s="272" t="s">
        <v>1428</v>
      </c>
      <c r="K55" s="196">
        <f>_xlfn.XLOOKUP(E55,'All Products'!D:D,'All Products'!F:F,FALSE)</f>
        <v>24</v>
      </c>
      <c r="L55" s="196">
        <f>_xlfn.XLOOKUP(E55,'All Products'!D:D,'All Products'!G:G,FALSE)</f>
        <v>1920</v>
      </c>
      <c r="M55" s="142" t="str">
        <f>_xlfn.XLOOKUP(E55,'All Products'!D:D,'All Products'!H:H,FALSE)</f>
        <v>Quote Required</v>
      </c>
      <c r="N55" s="197">
        <f>IFERROR(ROUNDUP(M55*Order_Quote!$L$17,2),0)</f>
        <v>0</v>
      </c>
      <c r="O55" s="75"/>
      <c r="P55" s="113"/>
      <c r="Q55" s="171">
        <f t="shared" si="1"/>
        <v>0</v>
      </c>
      <c r="S55" s="215" t="str">
        <f>_xlfn.XLOOKUP(E55,'All Products'!D:D,'All Products'!I:I,FALSE)</f>
        <v>Within 6 Weeks</v>
      </c>
      <c r="T55" s="242" t="str">
        <f>_xlfn.XLOOKUP(E55,'All Products'!D:D,'All Products'!J:J,FALSE)</f>
        <v>Sourced</v>
      </c>
      <c r="U55" s="273">
        <f>_xlfn.XLOOKUP(E55,'All Products'!D:D,'All Products'!K:K,FALSE)</f>
        <v>49081071363</v>
      </c>
      <c r="V55" s="273">
        <f>_xlfn.XLOOKUP(E55,'All Products'!D:D,'All Products'!M:M,FALSE)</f>
        <v>50049081071368</v>
      </c>
      <c r="W55" s="264">
        <f>_xlfn.XLOOKUP(E55,'All Products'!D:D,'All Products'!N:N,FALSE)</f>
        <v>0.67</v>
      </c>
      <c r="X55" s="265">
        <f>_xlfn.XLOOKUP(E55,'All Products'!D:D,'All Products'!P:P,FALSE)</f>
        <v>16</v>
      </c>
      <c r="Y55" s="265">
        <f>_xlfn.XLOOKUP(E55,'All Products'!D:D,'All Products'!Q:Q,FALSE)</f>
        <v>0.41</v>
      </c>
    </row>
    <row r="56" spans="1:25" ht="15" customHeight="1">
      <c r="A56" s="101" t="str">
        <f>IF(O56&gt;0,COUNT($A$7:A55)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56" s="612"/>
      <c r="C56" s="613"/>
      <c r="D56" s="142" t="str">
        <f>_xlfn.XLOOKUP(E56,'All Products'!D:D,'All Products'!C:C,FALSE)</f>
        <v>IFQP135</v>
      </c>
      <c r="E56" s="103">
        <v>300002302</v>
      </c>
      <c r="F56" s="195" t="str">
        <f>_xlfn.XLOOKUP(E56,'All Products'!D:D,'All Products'!E:E,FALSE)</f>
        <v>IFUSE IRR HOTNCOLD CPVC QP</v>
      </c>
      <c r="G56" s="272" t="s">
        <v>1440</v>
      </c>
      <c r="H56" s="272" t="s">
        <v>1533</v>
      </c>
      <c r="I56" s="272" t="s">
        <v>1534</v>
      </c>
      <c r="J56" s="272" t="s">
        <v>1428</v>
      </c>
      <c r="K56" s="196">
        <f>_xlfn.XLOOKUP(E56,'All Products'!D:D,'All Products'!F:F,FALSE)</f>
        <v>24</v>
      </c>
      <c r="L56" s="196">
        <f>_xlfn.XLOOKUP(E56,'All Products'!D:D,'All Products'!G:G,FALSE)</f>
        <v>2808</v>
      </c>
      <c r="M56" s="142" t="str">
        <f>_xlfn.XLOOKUP(E56,'All Products'!D:D,'All Products'!H:H,FALSE)</f>
        <v>Quote Required</v>
      </c>
      <c r="N56" s="197">
        <f>IFERROR(ROUNDUP(M56*Order_Quote!$L$17,2),0)</f>
        <v>0</v>
      </c>
      <c r="O56" s="75"/>
      <c r="P56" s="113"/>
      <c r="Q56" s="171">
        <f t="shared" si="1"/>
        <v>0</v>
      </c>
      <c r="S56" s="215" t="str">
        <f>_xlfn.XLOOKUP(E56,'All Products'!D:D,'All Products'!I:I,FALSE)</f>
        <v>Within 6 Weeks</v>
      </c>
      <c r="T56" s="242" t="str">
        <f>_xlfn.XLOOKUP(E56,'All Products'!D:D,'All Products'!J:J,FALSE)</f>
        <v>Sourced</v>
      </c>
      <c r="U56" s="273">
        <f>_xlfn.XLOOKUP(E56,'All Products'!D:D,'All Products'!K:K,FALSE)</f>
        <v>49081071370</v>
      </c>
      <c r="V56" s="273">
        <f>_xlfn.XLOOKUP(E56,'All Products'!D:D,'All Products'!M:M,FALSE)</f>
        <v>50049081071375</v>
      </c>
      <c r="W56" s="264">
        <f>_xlfn.XLOOKUP(E56,'All Products'!D:D,'All Products'!N:N,FALSE)</f>
        <v>0.376</v>
      </c>
      <c r="X56" s="265">
        <f>_xlfn.XLOOKUP(E56,'All Products'!D:D,'All Products'!P:P,FALSE)</f>
        <v>8</v>
      </c>
      <c r="Y56" s="265">
        <f>_xlfn.XLOOKUP(E56,'All Products'!D:D,'All Products'!Q:Q,FALSE)</f>
        <v>0.28999999999999998</v>
      </c>
    </row>
    <row r="57" spans="1:25" ht="15" customHeight="1">
      <c r="A57" s="101" t="str">
        <f>IF(O57&gt;0,COUNT($A$7:A56)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57" s="608"/>
      <c r="C57" s="609"/>
      <c r="D57" s="142" t="str">
        <f>_xlfn.XLOOKUP(E57,'All Products'!D:D,'All Products'!C:C,FALSE)</f>
        <v>IFQT140</v>
      </c>
      <c r="E57" s="103">
        <v>300002321</v>
      </c>
      <c r="F57" s="195" t="str">
        <f>_xlfn.XLOOKUP(E57,'All Products'!D:D,'All Products'!E:E,FALSE)</f>
        <v>IFUSE IRR CPVC QT HV ORG</v>
      </c>
      <c r="G57" s="272" t="s">
        <v>1431</v>
      </c>
      <c r="H57" s="272" t="s">
        <v>1543</v>
      </c>
      <c r="I57" s="272" t="s">
        <v>1544</v>
      </c>
      <c r="J57" s="272" t="s">
        <v>1474</v>
      </c>
      <c r="K57" s="196">
        <f>_xlfn.XLOOKUP(E57,'All Products'!D:D,'All Products'!F:F,FALSE)</f>
        <v>12</v>
      </c>
      <c r="L57" s="196">
        <f>_xlfn.XLOOKUP(E57,'All Products'!D:D,'All Products'!G:G,FALSE)</f>
        <v>576</v>
      </c>
      <c r="M57" s="142" t="str">
        <f>_xlfn.XLOOKUP(E57,'All Products'!D:D,'All Products'!H:H,FALSE)</f>
        <v>Quote Required</v>
      </c>
      <c r="N57" s="197">
        <f>IFERROR(ROUNDUP(M57*Order_Quote!$L$17,2),0)</f>
        <v>0</v>
      </c>
      <c r="O57" s="75"/>
      <c r="P57" s="113"/>
      <c r="Q57" s="171">
        <f t="shared" si="1"/>
        <v>0</v>
      </c>
      <c r="S57" s="215" t="str">
        <f>_xlfn.XLOOKUP(E57,'All Products'!D:D,'All Products'!I:I,FALSE)</f>
        <v>Within 6 Weeks</v>
      </c>
      <c r="T57" s="242" t="str">
        <f>_xlfn.XLOOKUP(E57,'All Products'!D:D,'All Products'!J:J,FALSE)</f>
        <v>Sourced</v>
      </c>
      <c r="U57" s="273">
        <f>_xlfn.XLOOKUP(E57,'All Products'!D:D,'All Products'!K:K,FALSE)</f>
        <v>49081071387</v>
      </c>
      <c r="V57" s="273">
        <f>_xlfn.XLOOKUP(E57,'All Products'!D:D,'All Products'!M:M,FALSE)</f>
        <v>50049081071382</v>
      </c>
      <c r="W57" s="264">
        <f>_xlfn.XLOOKUP(E57,'All Products'!D:D,'All Products'!N:N,FALSE)</f>
        <v>2.5</v>
      </c>
      <c r="X57" s="265">
        <f>_xlfn.XLOOKUP(E57,'All Products'!D:D,'All Products'!P:P,FALSE)</f>
        <v>29</v>
      </c>
      <c r="Y57" s="265">
        <f>_xlfn.XLOOKUP(E57,'All Products'!D:D,'All Products'!Q:Q,FALSE)</f>
        <v>0.78</v>
      </c>
    </row>
    <row r="58" spans="1:25" ht="15" customHeight="1">
      <c r="A58" s="101" t="str">
        <f>IF(O58&gt;0,COUNT($A$7:A57)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58" s="610"/>
      <c r="C58" s="611"/>
      <c r="D58" s="142" t="str">
        <f>_xlfn.XLOOKUP(E58,'All Products'!D:D,'All Products'!C:C,FALSE)</f>
        <v>IFPT140</v>
      </c>
      <c r="E58" s="103">
        <v>300002282</v>
      </c>
      <c r="F58" s="195" t="str">
        <f>_xlfn.XLOOKUP(E58,'All Products'!D:D,'All Products'!E:E,FALSE)</f>
        <v>IFUSE IRR CPVC PT HV ORG</v>
      </c>
      <c r="G58" s="272" t="s">
        <v>1434</v>
      </c>
      <c r="H58" s="272" t="s">
        <v>1543</v>
      </c>
      <c r="I58" s="272" t="s">
        <v>1544</v>
      </c>
      <c r="J58" s="272" t="s">
        <v>1474</v>
      </c>
      <c r="K58" s="196">
        <f>_xlfn.XLOOKUP(E58,'All Products'!D:D,'All Products'!F:F,FALSE)</f>
        <v>12</v>
      </c>
      <c r="L58" s="196">
        <f>_xlfn.XLOOKUP(E58,'All Products'!D:D,'All Products'!G:G,FALSE)</f>
        <v>1008</v>
      </c>
      <c r="M58" s="142" t="str">
        <f>_xlfn.XLOOKUP(E58,'All Products'!D:D,'All Products'!H:H,FALSE)</f>
        <v>Quote Required</v>
      </c>
      <c r="N58" s="197">
        <f>IFERROR(ROUNDUP(M58*Order_Quote!$L$17,2),0)</f>
        <v>0</v>
      </c>
      <c r="O58" s="75"/>
      <c r="P58" s="113"/>
      <c r="Q58" s="171">
        <f t="shared" si="1"/>
        <v>0</v>
      </c>
      <c r="S58" s="215" t="str">
        <f>_xlfn.XLOOKUP(E58,'All Products'!D:D,'All Products'!I:I,FALSE)</f>
        <v>Within 3 Weeks</v>
      </c>
      <c r="T58" s="242" t="str">
        <f>_xlfn.XLOOKUP(E58,'All Products'!D:D,'All Products'!J:J,FALSE)</f>
        <v>Sourced</v>
      </c>
      <c r="U58" s="273">
        <f>_xlfn.XLOOKUP(E58,'All Products'!D:D,'All Products'!K:K,FALSE)</f>
        <v>49081071394</v>
      </c>
      <c r="V58" s="273">
        <f>_xlfn.XLOOKUP(E58,'All Products'!D:D,'All Products'!M:M,FALSE)</f>
        <v>50049081071399</v>
      </c>
      <c r="W58" s="264">
        <f>_xlfn.XLOOKUP(E58,'All Products'!D:D,'All Products'!N:N,FALSE)</f>
        <v>1.25</v>
      </c>
      <c r="X58" s="265">
        <f>_xlfn.XLOOKUP(E58,'All Products'!D:D,'All Products'!P:P,FALSE)</f>
        <v>14</v>
      </c>
      <c r="Y58" s="265">
        <f>_xlfn.XLOOKUP(E58,'All Products'!D:D,'All Products'!Q:Q,FALSE)</f>
        <v>0.42</v>
      </c>
    </row>
    <row r="59" spans="1:25" ht="15" customHeight="1">
      <c r="A59" s="101" t="str">
        <f>IF(O59&gt;0,COUNT($A$7:A58)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59" s="610"/>
      <c r="C59" s="611"/>
      <c r="D59" s="142" t="str">
        <f>_xlfn.XLOOKUP(E59,'All Products'!D:D,'All Products'!C:C,FALSE)</f>
        <v>IFHP140</v>
      </c>
      <c r="E59" s="103">
        <v>300002258</v>
      </c>
      <c r="F59" s="195" t="str">
        <f>_xlfn.XLOOKUP(E59,'All Products'!D:D,'All Products'!E:E,FALSE)</f>
        <v>IFUSE IRR CPVC HP HV ORG</v>
      </c>
      <c r="G59" s="272" t="s">
        <v>1437</v>
      </c>
      <c r="H59" s="272" t="s">
        <v>1543</v>
      </c>
      <c r="I59" s="272" t="s">
        <v>1544</v>
      </c>
      <c r="J59" s="272" t="s">
        <v>1474</v>
      </c>
      <c r="K59" s="196">
        <f>_xlfn.XLOOKUP(E59,'All Products'!D:D,'All Products'!F:F,FALSE)</f>
        <v>24</v>
      </c>
      <c r="L59" s="196">
        <f>_xlfn.XLOOKUP(E59,'All Products'!D:D,'All Products'!G:G,FALSE)</f>
        <v>1920</v>
      </c>
      <c r="M59" s="142" t="str">
        <f>_xlfn.XLOOKUP(E59,'All Products'!D:D,'All Products'!H:H,FALSE)</f>
        <v>Quote Required</v>
      </c>
      <c r="N59" s="197">
        <f>IFERROR(ROUNDUP(M59*Order_Quote!$L$17,2),0)</f>
        <v>0</v>
      </c>
      <c r="O59" s="75"/>
      <c r="P59" s="113"/>
      <c r="Q59" s="171">
        <f t="shared" si="1"/>
        <v>0</v>
      </c>
      <c r="S59" s="215" t="str">
        <f>_xlfn.XLOOKUP(E59,'All Products'!D:D,'All Products'!I:I,FALSE)</f>
        <v>Within 6 Weeks</v>
      </c>
      <c r="T59" s="242" t="str">
        <f>_xlfn.XLOOKUP(E59,'All Products'!D:D,'All Products'!J:J,FALSE)</f>
        <v>Sourced</v>
      </c>
      <c r="U59" s="273">
        <f>_xlfn.XLOOKUP(E59,'All Products'!D:D,'All Products'!K:K,FALSE)</f>
        <v>49081071400</v>
      </c>
      <c r="V59" s="273">
        <f>_xlfn.XLOOKUP(E59,'All Products'!D:D,'All Products'!M:M,FALSE)</f>
        <v>50049081071405</v>
      </c>
      <c r="W59" s="264">
        <f>_xlfn.XLOOKUP(E59,'All Products'!D:D,'All Products'!N:N,FALSE)</f>
        <v>0.66800000000000004</v>
      </c>
      <c r="X59" s="265">
        <f>_xlfn.XLOOKUP(E59,'All Products'!D:D,'All Products'!P:P,FALSE)</f>
        <v>15</v>
      </c>
      <c r="Y59" s="265">
        <f>_xlfn.XLOOKUP(E59,'All Products'!D:D,'All Products'!Q:Q,FALSE)</f>
        <v>0.41</v>
      </c>
    </row>
    <row r="60" spans="1:25" ht="15" customHeight="1">
      <c r="A60" s="101" t="str">
        <f>IF(O60&gt;0,COUNT($A$7:A59)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60" s="612"/>
      <c r="C60" s="613"/>
      <c r="D60" s="142" t="str">
        <f>_xlfn.XLOOKUP(E60,'All Products'!D:D,'All Products'!C:C,FALSE)</f>
        <v>IFQP140</v>
      </c>
      <c r="E60" s="103">
        <v>300002372</v>
      </c>
      <c r="F60" s="195" t="str">
        <f>_xlfn.XLOOKUP(E60,'All Products'!D:D,'All Products'!E:E,FALSE)</f>
        <v>IFUSE IRR CPVC QP HV ORG</v>
      </c>
      <c r="G60" s="272" t="s">
        <v>1440</v>
      </c>
      <c r="H60" s="272" t="s">
        <v>1543</v>
      </c>
      <c r="I60" s="272" t="s">
        <v>1544</v>
      </c>
      <c r="J60" s="272" t="s">
        <v>1474</v>
      </c>
      <c r="K60" s="196">
        <f>_xlfn.XLOOKUP(E60,'All Products'!D:D,'All Products'!F:F,FALSE)</f>
        <v>24</v>
      </c>
      <c r="L60" s="196">
        <f>_xlfn.XLOOKUP(E60,'All Products'!D:D,'All Products'!G:G,FALSE)</f>
        <v>2808</v>
      </c>
      <c r="M60" s="142" t="str">
        <f>_xlfn.XLOOKUP(E60,'All Products'!D:D,'All Products'!H:H,FALSE)</f>
        <v>Quote Required</v>
      </c>
      <c r="N60" s="197">
        <f>IFERROR(ROUNDUP(M60*Order_Quote!$L$17,2),0)</f>
        <v>0</v>
      </c>
      <c r="O60" s="75"/>
      <c r="P60" s="113"/>
      <c r="Q60" s="171">
        <f t="shared" si="1"/>
        <v>0</v>
      </c>
      <c r="S60" s="215" t="str">
        <f>_xlfn.XLOOKUP(E60,'All Products'!D:D,'All Products'!I:I,FALSE)</f>
        <v>Within 6 Weeks</v>
      </c>
      <c r="T60" s="242" t="str">
        <f>_xlfn.XLOOKUP(E60,'All Products'!D:D,'All Products'!J:J,FALSE)</f>
        <v>Sourced</v>
      </c>
      <c r="U60" s="273">
        <f>_xlfn.XLOOKUP(E60,'All Products'!D:D,'All Products'!K:K,FALSE)</f>
        <v>810116842452</v>
      </c>
      <c r="V60" s="273">
        <f>_xlfn.XLOOKUP(E60,'All Products'!D:D,'All Products'!M:M,FALSE)</f>
        <v>10810116842459</v>
      </c>
      <c r="W60" s="264">
        <f>_xlfn.XLOOKUP(E60,'All Products'!D:D,'All Products'!N:N,FALSE)</f>
        <v>0.62</v>
      </c>
      <c r="X60" s="265">
        <f>_xlfn.XLOOKUP(E60,'All Products'!D:D,'All Products'!P:P,FALSE)</f>
        <v>9</v>
      </c>
      <c r="Y60" s="265">
        <f>_xlfn.XLOOKUP(E60,'All Products'!D:D,'All Products'!Q:Q,FALSE)</f>
        <v>0.28999999999999998</v>
      </c>
    </row>
    <row r="61" spans="1:25" ht="15" customHeight="1">
      <c r="A61" s="101" t="str">
        <f>IF(O61&gt;0,COUNT($A$7:A60)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61" s="608"/>
      <c r="C61" s="609"/>
      <c r="D61" s="142" t="str">
        <f>_xlfn.XLOOKUP(E61,'All Products'!D:D,'All Products'!C:C,FALSE)</f>
        <v>IFGA175</v>
      </c>
      <c r="E61" s="103">
        <v>300002363</v>
      </c>
      <c r="F61" s="195" t="str">
        <f>_xlfn.XLOOKUP(E61,'All Products'!D:D,'All Products'!E:E,FALSE)</f>
        <v>IFUSE IRR ABS GA YLW MEDIUM</v>
      </c>
      <c r="G61" s="272" t="s">
        <v>1425</v>
      </c>
      <c r="H61" s="272" t="s">
        <v>1553</v>
      </c>
      <c r="I61" s="272" t="s">
        <v>1534</v>
      </c>
      <c r="J61" s="272" t="s">
        <v>1428</v>
      </c>
      <c r="K61" s="196">
        <f>_xlfn.XLOOKUP(E61,'All Products'!D:D,'All Products'!F:F,FALSE)</f>
        <v>6</v>
      </c>
      <c r="L61" s="196">
        <f>_xlfn.XLOOKUP(E61,'All Products'!D:D,'All Products'!G:G,FALSE)</f>
        <v>162</v>
      </c>
      <c r="M61" s="142" t="str">
        <f>_xlfn.XLOOKUP(E61,'All Products'!D:D,'All Products'!H:H,FALSE)</f>
        <v>Quote Required</v>
      </c>
      <c r="N61" s="197">
        <f>IFERROR(ROUNDUP(M61*Order_Quote!$L$17,2),0)</f>
        <v>0</v>
      </c>
      <c r="O61" s="75"/>
      <c r="P61" s="113"/>
      <c r="Q61" s="171">
        <f t="shared" si="1"/>
        <v>0</v>
      </c>
      <c r="S61" s="215" t="str">
        <f>_xlfn.XLOOKUP(E61,'All Products'!D:D,'All Products'!I:I,FALSE)</f>
        <v>Within 6 Weeks</v>
      </c>
      <c r="T61" s="242" t="str">
        <f>_xlfn.XLOOKUP(E61,'All Products'!D:D,'All Products'!J:J,FALSE)</f>
        <v>Sourced</v>
      </c>
      <c r="U61" s="273">
        <f>_xlfn.XLOOKUP(E61,'All Products'!D:D,'All Products'!K:K,FALSE)</f>
        <v>810116842353</v>
      </c>
      <c r="V61" s="273">
        <f>_xlfn.XLOOKUP(E61,'All Products'!D:D,'All Products'!M:M,FALSE)</f>
        <v>10810116842350</v>
      </c>
      <c r="W61" s="264">
        <f>_xlfn.XLOOKUP(E61,'All Products'!D:D,'All Products'!N:N,FALSE)</f>
        <v>8.3309999999999995</v>
      </c>
      <c r="X61" s="265">
        <f>_xlfn.XLOOKUP(E61,'All Products'!D:D,'All Products'!P:P,FALSE)</f>
        <v>56</v>
      </c>
      <c r="Y61" s="265">
        <f>_xlfn.XLOOKUP(E61,'All Products'!D:D,'All Products'!Q:Q,FALSE)</f>
        <v>1.21</v>
      </c>
    </row>
    <row r="62" spans="1:25" ht="15" customHeight="1">
      <c r="A62" s="101" t="str">
        <f>IF(O62&gt;0,COUNT($A$7:A61)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62" s="610"/>
      <c r="C62" s="611"/>
      <c r="D62" s="142" t="str">
        <f>_xlfn.XLOOKUP(E62,'All Products'!D:D,'All Products'!C:C,FALSE)</f>
        <v>IFQT175</v>
      </c>
      <c r="E62" s="103">
        <v>300002377</v>
      </c>
      <c r="F62" s="195" t="str">
        <f>_xlfn.XLOOKUP(E62,'All Products'!D:D,'All Products'!E:E,FALSE)</f>
        <v>IFUSE IRR ABS QT YLW MEDIUM</v>
      </c>
      <c r="G62" s="272" t="s">
        <v>1431</v>
      </c>
      <c r="H62" s="272" t="s">
        <v>1553</v>
      </c>
      <c r="I62" s="272" t="s">
        <v>1534</v>
      </c>
      <c r="J62" s="272" t="s">
        <v>1428</v>
      </c>
      <c r="K62" s="196">
        <f>_xlfn.XLOOKUP(E62,'All Products'!D:D,'All Products'!F:F,FALSE)</f>
        <v>12</v>
      </c>
      <c r="L62" s="196">
        <f>_xlfn.XLOOKUP(E62,'All Products'!D:D,'All Products'!G:G,FALSE)</f>
        <v>576</v>
      </c>
      <c r="M62" s="142" t="str">
        <f>_xlfn.XLOOKUP(E62,'All Products'!D:D,'All Products'!H:H,FALSE)</f>
        <v>Quote Required</v>
      </c>
      <c r="N62" s="197">
        <f>IFERROR(ROUNDUP(M62*Order_Quote!$L$17,2),0)</f>
        <v>0</v>
      </c>
      <c r="O62" s="75"/>
      <c r="P62" s="113"/>
      <c r="Q62" s="171">
        <f t="shared" si="1"/>
        <v>0</v>
      </c>
      <c r="S62" s="215" t="str">
        <f>_xlfn.XLOOKUP(E62,'All Products'!D:D,'All Products'!I:I,FALSE)</f>
        <v>Within 6 Weeks</v>
      </c>
      <c r="T62" s="242" t="str">
        <f>_xlfn.XLOOKUP(E62,'All Products'!D:D,'All Products'!J:J,FALSE)</f>
        <v>Sourced</v>
      </c>
      <c r="U62" s="273">
        <f>_xlfn.XLOOKUP(E62,'All Products'!D:D,'All Products'!K:K,FALSE)</f>
        <v>810116842360</v>
      </c>
      <c r="V62" s="273">
        <f>_xlfn.XLOOKUP(E62,'All Products'!D:D,'All Products'!M:M,FALSE)</f>
        <v>10810116842367</v>
      </c>
      <c r="W62" s="264">
        <f>_xlfn.XLOOKUP(E62,'All Products'!D:D,'All Products'!N:N,FALSE)</f>
        <v>2.1880000000000002</v>
      </c>
      <c r="X62" s="265">
        <f>_xlfn.XLOOKUP(E62,'All Products'!D:D,'All Products'!P:P,FALSE)</f>
        <v>30</v>
      </c>
      <c r="Y62" s="265">
        <f>_xlfn.XLOOKUP(E62,'All Products'!D:D,'All Products'!Q:Q,FALSE)</f>
        <v>0.78</v>
      </c>
    </row>
    <row r="63" spans="1:25" ht="15" customHeight="1">
      <c r="A63" s="101" t="str">
        <f>IF(O63&gt;0,COUNT($A$7:A62)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63" s="610"/>
      <c r="C63" s="611"/>
      <c r="D63" s="142" t="str">
        <f>_xlfn.XLOOKUP(E63,'All Products'!D:D,'All Products'!C:C,FALSE)</f>
        <v>IFPT175</v>
      </c>
      <c r="E63" s="103">
        <v>300002369</v>
      </c>
      <c r="F63" s="195" t="str">
        <f>_xlfn.XLOOKUP(E63,'All Products'!D:D,'All Products'!E:E,FALSE)</f>
        <v>IFUSE IRR ABS PT YLW MEDIUM</v>
      </c>
      <c r="G63" s="272" t="s">
        <v>1434</v>
      </c>
      <c r="H63" s="272" t="s">
        <v>1553</v>
      </c>
      <c r="I63" s="272" t="s">
        <v>1534</v>
      </c>
      <c r="J63" s="272" t="s">
        <v>1428</v>
      </c>
      <c r="K63" s="196">
        <f>_xlfn.XLOOKUP(E63,'All Products'!D:D,'All Products'!F:F,FALSE)</f>
        <v>12</v>
      </c>
      <c r="L63" s="196">
        <f>_xlfn.XLOOKUP(E63,'All Products'!D:D,'All Products'!G:G,FALSE)</f>
        <v>1008</v>
      </c>
      <c r="M63" s="142" t="str">
        <f>_xlfn.XLOOKUP(E63,'All Products'!D:D,'All Products'!H:H,FALSE)</f>
        <v>Quote Required</v>
      </c>
      <c r="N63" s="197">
        <f>IFERROR(ROUNDUP(M63*Order_Quote!$L$17,2),0)</f>
        <v>0</v>
      </c>
      <c r="O63" s="75"/>
      <c r="P63" s="113"/>
      <c r="Q63" s="171">
        <f t="shared" si="1"/>
        <v>0</v>
      </c>
      <c r="S63" s="215" t="str">
        <f>_xlfn.XLOOKUP(E63,'All Products'!D:D,'All Products'!I:I,FALSE)</f>
        <v>Within 6 Weeks</v>
      </c>
      <c r="T63" s="242" t="str">
        <f>_xlfn.XLOOKUP(E63,'All Products'!D:D,'All Products'!J:J,FALSE)</f>
        <v>Sourced</v>
      </c>
      <c r="U63" s="273">
        <f>_xlfn.XLOOKUP(E63,'All Products'!D:D,'All Products'!K:K,FALSE)</f>
        <v>810116842377</v>
      </c>
      <c r="V63" s="273">
        <f>_xlfn.XLOOKUP(E63,'All Products'!D:D,'All Products'!M:M,FALSE)</f>
        <v>10810116842374</v>
      </c>
      <c r="W63" s="264">
        <f>_xlfn.XLOOKUP(E63,'All Products'!D:D,'All Products'!N:N,FALSE)</f>
        <v>1.1279999999999999</v>
      </c>
      <c r="X63" s="265">
        <f>_xlfn.XLOOKUP(E63,'All Products'!D:D,'All Products'!P:P,FALSE)</f>
        <v>16</v>
      </c>
      <c r="Y63" s="265">
        <f>_xlfn.XLOOKUP(E63,'All Products'!D:D,'All Products'!Q:Q,FALSE)</f>
        <v>0.42</v>
      </c>
    </row>
    <row r="64" spans="1:25" ht="15" customHeight="1">
      <c r="A64" s="101" t="str">
        <f>IF(O64&gt;0,COUNT($A$7:A63)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64" s="610"/>
      <c r="C64" s="611"/>
      <c r="D64" s="142" t="str">
        <f>_xlfn.XLOOKUP(E64,'All Products'!D:D,'All Products'!C:C,FALSE)</f>
        <v>IFHP175</v>
      </c>
      <c r="E64" s="103">
        <v>300002366</v>
      </c>
      <c r="F64" s="195" t="str">
        <f>_xlfn.XLOOKUP(E64,'All Products'!D:D,'All Products'!E:E,FALSE)</f>
        <v>IFUSE IRR ABS HP YLW MEDIUM</v>
      </c>
      <c r="G64" s="272" t="s">
        <v>1437</v>
      </c>
      <c r="H64" s="272" t="s">
        <v>1553</v>
      </c>
      <c r="I64" s="272" t="s">
        <v>1534</v>
      </c>
      <c r="J64" s="272" t="s">
        <v>1428</v>
      </c>
      <c r="K64" s="196">
        <f>_xlfn.XLOOKUP(E64,'All Products'!D:D,'All Products'!F:F,FALSE)</f>
        <v>24</v>
      </c>
      <c r="L64" s="196">
        <f>_xlfn.XLOOKUP(E64,'All Products'!D:D,'All Products'!G:G,FALSE)</f>
        <v>1920</v>
      </c>
      <c r="M64" s="142" t="str">
        <f>_xlfn.XLOOKUP(E64,'All Products'!D:D,'All Products'!H:H,FALSE)</f>
        <v>Quote Required</v>
      </c>
      <c r="N64" s="197">
        <f>IFERROR(ROUNDUP(M64*Order_Quote!$L$17,2),0)</f>
        <v>0</v>
      </c>
      <c r="O64" s="75"/>
      <c r="P64" s="113"/>
      <c r="Q64" s="171">
        <f t="shared" si="1"/>
        <v>0</v>
      </c>
      <c r="S64" s="215" t="str">
        <f>_xlfn.XLOOKUP(E64,'All Products'!D:D,'All Products'!I:I,FALSE)</f>
        <v>Within 6 Weeks</v>
      </c>
      <c r="T64" s="242" t="str">
        <f>_xlfn.XLOOKUP(E64,'All Products'!D:D,'All Products'!J:J,FALSE)</f>
        <v>Sourced</v>
      </c>
      <c r="U64" s="273">
        <f>_xlfn.XLOOKUP(E64,'All Products'!D:D,'All Products'!K:K,FALSE)</f>
        <v>810116842384</v>
      </c>
      <c r="V64" s="273">
        <f>_xlfn.XLOOKUP(E64,'All Products'!D:D,'All Products'!M:M,FALSE)</f>
        <v>10810116842381</v>
      </c>
      <c r="W64" s="264">
        <f>_xlfn.XLOOKUP(E64,'All Products'!D:D,'All Products'!N:N,FALSE)</f>
        <v>0.60499999999999998</v>
      </c>
      <c r="X64" s="265">
        <f>_xlfn.XLOOKUP(E64,'All Products'!D:D,'All Products'!P:P,FALSE)</f>
        <v>18</v>
      </c>
      <c r="Y64" s="265">
        <f>_xlfn.XLOOKUP(E64,'All Products'!D:D,'All Products'!Q:Q,FALSE)</f>
        <v>0.41</v>
      </c>
    </row>
    <row r="65" spans="1:25" ht="15" customHeight="1">
      <c r="A65" s="101" t="str">
        <f>IF(O65&gt;0,COUNT($A$7:A64)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65" s="612"/>
      <c r="C65" s="613"/>
      <c r="D65" s="142" t="str">
        <f>_xlfn.XLOOKUP(E65,'All Products'!D:D,'All Products'!C:C,FALSE)</f>
        <v>IFQP175</v>
      </c>
      <c r="E65" s="103">
        <v>300002374</v>
      </c>
      <c r="F65" s="195" t="str">
        <f>_xlfn.XLOOKUP(E65,'All Products'!D:D,'All Products'!E:E,FALSE)</f>
        <v>IFUSE IRR ABS QP YLW MEDIUM</v>
      </c>
      <c r="G65" s="272" t="s">
        <v>1440</v>
      </c>
      <c r="H65" s="272" t="s">
        <v>1553</v>
      </c>
      <c r="I65" s="272" t="s">
        <v>1534</v>
      </c>
      <c r="J65" s="272" t="s">
        <v>1428</v>
      </c>
      <c r="K65" s="196">
        <f>_xlfn.XLOOKUP(E65,'All Products'!D:D,'All Products'!F:F,FALSE)</f>
        <v>24</v>
      </c>
      <c r="L65" s="196">
        <f>_xlfn.XLOOKUP(E65,'All Products'!D:D,'All Products'!G:G,FALSE)</f>
        <v>2808</v>
      </c>
      <c r="M65" s="142" t="str">
        <f>_xlfn.XLOOKUP(E65,'All Products'!D:D,'All Products'!H:H,FALSE)</f>
        <v>Quote Required</v>
      </c>
      <c r="N65" s="197">
        <f>IFERROR(ROUNDUP(M65*Order_Quote!$L$17,2),0)</f>
        <v>0</v>
      </c>
      <c r="O65" s="75"/>
      <c r="P65" s="113"/>
      <c r="Q65" s="171">
        <f t="shared" si="1"/>
        <v>0</v>
      </c>
      <c r="S65" s="215" t="str">
        <f>_xlfn.XLOOKUP(E65,'All Products'!D:D,'All Products'!I:I,FALSE)</f>
        <v>Within 6 Weeks</v>
      </c>
      <c r="T65" s="242" t="str">
        <f>_xlfn.XLOOKUP(E65,'All Products'!D:D,'All Products'!J:J,FALSE)</f>
        <v>Sourced</v>
      </c>
      <c r="U65" s="273">
        <f>_xlfn.XLOOKUP(E65,'All Products'!D:D,'All Products'!K:K,FALSE)</f>
        <v>810116842391</v>
      </c>
      <c r="V65" s="273">
        <f>_xlfn.XLOOKUP(E65,'All Products'!D:D,'All Products'!M:M,FALSE)</f>
        <v>10810116842398</v>
      </c>
      <c r="W65" s="264">
        <f>_xlfn.XLOOKUP(E65,'All Products'!D:D,'All Products'!N:N,FALSE)</f>
        <v>0.33200000000000002</v>
      </c>
      <c r="X65" s="265">
        <f>_xlfn.XLOOKUP(E65,'All Products'!D:D,'All Products'!P:P,FALSE)</f>
        <v>9</v>
      </c>
      <c r="Y65" s="265">
        <f>_xlfn.XLOOKUP(E65,'All Products'!D:D,'All Products'!Q:Q,FALSE)</f>
        <v>0.28999999999999998</v>
      </c>
    </row>
    <row r="66" spans="1:25" ht="15" customHeight="1">
      <c r="A66" s="101" t="str">
        <f>IF(O66&gt;0,COUNT($A$7:A65)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66" s="608"/>
      <c r="C66" s="609"/>
      <c r="D66" s="142" t="str">
        <f>_xlfn.XLOOKUP(E66,'All Products'!D:D,'All Products'!C:C,FALSE)</f>
        <v>IFGA180</v>
      </c>
      <c r="E66" s="103">
        <v>300002364</v>
      </c>
      <c r="F66" s="195" t="str">
        <f>_xlfn.XLOOKUP(E66,'All Products'!D:D,'All Products'!E:E,FALSE)</f>
        <v>IFUSE IRR ABS GA BLK MEDIUM</v>
      </c>
      <c r="G66" s="272" t="s">
        <v>1425</v>
      </c>
      <c r="H66" s="272" t="s">
        <v>1553</v>
      </c>
      <c r="I66" s="272" t="s">
        <v>1564</v>
      </c>
      <c r="J66" s="272" t="s">
        <v>1428</v>
      </c>
      <c r="K66" s="196">
        <f>_xlfn.XLOOKUP(E66,'All Products'!D:D,'All Products'!F:F,FALSE)</f>
        <v>6</v>
      </c>
      <c r="L66" s="196">
        <f>_xlfn.XLOOKUP(E66,'All Products'!D:D,'All Products'!G:G,FALSE)</f>
        <v>162</v>
      </c>
      <c r="M66" s="142" t="str">
        <f>_xlfn.XLOOKUP(E66,'All Products'!D:D,'All Products'!H:H,FALSE)</f>
        <v>Quote Required</v>
      </c>
      <c r="N66" s="197">
        <f>IFERROR(ROUNDUP(M66*Order_Quote!$L$17,2),0)</f>
        <v>0</v>
      </c>
      <c r="O66" s="75"/>
      <c r="P66" s="113"/>
      <c r="Q66" s="171">
        <f t="shared" si="1"/>
        <v>0</v>
      </c>
      <c r="S66" s="215" t="str">
        <f>_xlfn.XLOOKUP(E66,'All Products'!D:D,'All Products'!I:I,FALSE)</f>
        <v>Within 6 Weeks</v>
      </c>
      <c r="T66" s="242" t="str">
        <f>_xlfn.XLOOKUP(E66,'All Products'!D:D,'All Products'!J:J,FALSE)</f>
        <v>Sourced</v>
      </c>
      <c r="U66" s="273">
        <f>_xlfn.XLOOKUP(E66,'All Products'!D:D,'All Products'!K:K,FALSE)</f>
        <v>810116842407</v>
      </c>
      <c r="V66" s="273">
        <f>_xlfn.XLOOKUP(E66,'All Products'!D:D,'All Products'!M:M,FALSE)</f>
        <v>10810116842404</v>
      </c>
      <c r="W66" s="264">
        <f>_xlfn.XLOOKUP(E66,'All Products'!D:D,'All Products'!N:N,FALSE)</f>
        <v>8.4309999999999992</v>
      </c>
      <c r="X66" s="265">
        <f>_xlfn.XLOOKUP(E66,'All Products'!D:D,'All Products'!P:P,FALSE)</f>
        <v>56</v>
      </c>
      <c r="Y66" s="265">
        <f>_xlfn.XLOOKUP(E66,'All Products'!D:D,'All Products'!Q:Q,FALSE)</f>
        <v>1.21</v>
      </c>
    </row>
    <row r="67" spans="1:25" ht="15" customHeight="1">
      <c r="A67" s="101" t="str">
        <f>IF(O67&gt;0,COUNT($A$7:A66)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67" s="610"/>
      <c r="C67" s="611"/>
      <c r="D67" s="142" t="str">
        <f>_xlfn.XLOOKUP(E67,'All Products'!D:D,'All Products'!C:C,FALSE)</f>
        <v>IFQT180</v>
      </c>
      <c r="E67" s="103">
        <v>300002378</v>
      </c>
      <c r="F67" s="195" t="str">
        <f>_xlfn.XLOOKUP(E67,'All Products'!D:D,'All Products'!E:E,FALSE)</f>
        <v>IFUSE IRR ABS QT BLK MEDIUM</v>
      </c>
      <c r="G67" s="272" t="s">
        <v>1431</v>
      </c>
      <c r="H67" s="272" t="s">
        <v>1553</v>
      </c>
      <c r="I67" s="272" t="s">
        <v>1564</v>
      </c>
      <c r="J67" s="272" t="s">
        <v>1428</v>
      </c>
      <c r="K67" s="196">
        <f>_xlfn.XLOOKUP(E67,'All Products'!D:D,'All Products'!F:F,FALSE)</f>
        <v>12</v>
      </c>
      <c r="L67" s="196">
        <f>_xlfn.XLOOKUP(E67,'All Products'!D:D,'All Products'!G:G,FALSE)</f>
        <v>576</v>
      </c>
      <c r="M67" s="142" t="str">
        <f>_xlfn.XLOOKUP(E67,'All Products'!D:D,'All Products'!H:H,FALSE)</f>
        <v>Quote Required</v>
      </c>
      <c r="N67" s="197">
        <f>IFERROR(ROUNDUP(M67*Order_Quote!$L$17,2),0)</f>
        <v>0</v>
      </c>
      <c r="O67" s="75"/>
      <c r="P67" s="113"/>
      <c r="Q67" s="171">
        <f t="shared" si="1"/>
        <v>0</v>
      </c>
      <c r="S67" s="215" t="str">
        <f>_xlfn.XLOOKUP(E67,'All Products'!D:D,'All Products'!I:I,FALSE)</f>
        <v>Within 6 Weeks</v>
      </c>
      <c r="T67" s="242" t="str">
        <f>_xlfn.XLOOKUP(E67,'All Products'!D:D,'All Products'!J:J,FALSE)</f>
        <v>Sourced</v>
      </c>
      <c r="U67" s="273">
        <f>_xlfn.XLOOKUP(E67,'All Products'!D:D,'All Products'!K:K,FALSE)</f>
        <v>810116842414</v>
      </c>
      <c r="V67" s="273">
        <f>_xlfn.XLOOKUP(E67,'All Products'!D:D,'All Products'!M:M,FALSE)</f>
        <v>10810116842411</v>
      </c>
      <c r="W67" s="264">
        <f>_xlfn.XLOOKUP(E67,'All Products'!D:D,'All Products'!N:N,FALSE)</f>
        <v>2.1749999999999998</v>
      </c>
      <c r="X67" s="265">
        <f>_xlfn.XLOOKUP(E67,'All Products'!D:D,'All Products'!P:P,FALSE)</f>
        <v>30</v>
      </c>
      <c r="Y67" s="265">
        <f>_xlfn.XLOOKUP(E67,'All Products'!D:D,'All Products'!Q:Q,FALSE)</f>
        <v>0.78</v>
      </c>
    </row>
    <row r="68" spans="1:25" ht="15" customHeight="1">
      <c r="A68" s="101" t="str">
        <f>IF(O68&gt;0,COUNT($A$7:A67)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68" s="610"/>
      <c r="C68" s="611"/>
      <c r="D68" s="142" t="str">
        <f>_xlfn.XLOOKUP(E68,'All Products'!D:D,'All Products'!C:C,FALSE)</f>
        <v>IFPT180</v>
      </c>
      <c r="E68" s="103">
        <v>300002370</v>
      </c>
      <c r="F68" s="195" t="str">
        <f>_xlfn.XLOOKUP(E68,'All Products'!D:D,'All Products'!E:E,FALSE)</f>
        <v>IFUSE IRR ABS PT BLK MEDIUM</v>
      </c>
      <c r="G68" s="272" t="s">
        <v>1434</v>
      </c>
      <c r="H68" s="272" t="s">
        <v>1553</v>
      </c>
      <c r="I68" s="272" t="s">
        <v>1564</v>
      </c>
      <c r="J68" s="272" t="s">
        <v>1428</v>
      </c>
      <c r="K68" s="196">
        <f>_xlfn.XLOOKUP(E68,'All Products'!D:D,'All Products'!F:F,FALSE)</f>
        <v>12</v>
      </c>
      <c r="L68" s="196">
        <f>_xlfn.XLOOKUP(E68,'All Products'!D:D,'All Products'!G:G,FALSE)</f>
        <v>1008</v>
      </c>
      <c r="M68" s="142" t="str">
        <f>_xlfn.XLOOKUP(E68,'All Products'!D:D,'All Products'!H:H,FALSE)</f>
        <v>Quote Required</v>
      </c>
      <c r="N68" s="197">
        <f>IFERROR(ROUNDUP(M68*Order_Quote!$L$17,2),0)</f>
        <v>0</v>
      </c>
      <c r="O68" s="75"/>
      <c r="P68" s="113"/>
      <c r="Q68" s="171">
        <f t="shared" si="1"/>
        <v>0</v>
      </c>
      <c r="S68" s="215" t="str">
        <f>_xlfn.XLOOKUP(E68,'All Products'!D:D,'All Products'!I:I,FALSE)</f>
        <v>Within 6 Weeks</v>
      </c>
      <c r="T68" s="242" t="str">
        <f>_xlfn.XLOOKUP(E68,'All Products'!D:D,'All Products'!J:J,FALSE)</f>
        <v>Sourced</v>
      </c>
      <c r="U68" s="273">
        <f>_xlfn.XLOOKUP(E68,'All Products'!D:D,'All Products'!K:K,FALSE)</f>
        <v>810116842421</v>
      </c>
      <c r="V68" s="273">
        <f>_xlfn.XLOOKUP(E68,'All Products'!D:D,'All Products'!M:M,FALSE)</f>
        <v>10810116842428</v>
      </c>
      <c r="W68" s="264">
        <f>_xlfn.XLOOKUP(E68,'All Products'!D:D,'All Products'!N:N,FALSE)</f>
        <v>1.141</v>
      </c>
      <c r="X68" s="265">
        <f>_xlfn.XLOOKUP(E68,'All Products'!D:D,'All Products'!P:P,FALSE)</f>
        <v>16</v>
      </c>
      <c r="Y68" s="265">
        <f>_xlfn.XLOOKUP(E68,'All Products'!D:D,'All Products'!Q:Q,FALSE)</f>
        <v>0.42</v>
      </c>
    </row>
    <row r="69" spans="1:25" ht="15" customHeight="1">
      <c r="A69" s="101" t="str">
        <f>IF(O69&gt;0,COUNT($A$7:A68)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69" s="610"/>
      <c r="C69" s="611"/>
      <c r="D69" s="142" t="str">
        <f>_xlfn.XLOOKUP(E69,'All Products'!D:D,'All Products'!C:C,FALSE)</f>
        <v>IFHP180</v>
      </c>
      <c r="E69" s="103">
        <v>300002367</v>
      </c>
      <c r="F69" s="195" t="str">
        <f>_xlfn.XLOOKUP(E69,'All Products'!D:D,'All Products'!E:E,FALSE)</f>
        <v>IFUSE IRR ABS HP BLK MEDIUM</v>
      </c>
      <c r="G69" s="272" t="s">
        <v>1437</v>
      </c>
      <c r="H69" s="272" t="s">
        <v>1553</v>
      </c>
      <c r="I69" s="272" t="s">
        <v>1564</v>
      </c>
      <c r="J69" s="272" t="s">
        <v>1428</v>
      </c>
      <c r="K69" s="196">
        <f>_xlfn.XLOOKUP(E69,'All Products'!D:D,'All Products'!F:F,FALSE)</f>
        <v>24</v>
      </c>
      <c r="L69" s="196">
        <f>_xlfn.XLOOKUP(E69,'All Products'!D:D,'All Products'!G:G,FALSE)</f>
        <v>1920</v>
      </c>
      <c r="M69" s="142" t="str">
        <f>_xlfn.XLOOKUP(E69,'All Products'!D:D,'All Products'!H:H,FALSE)</f>
        <v>Quote Required</v>
      </c>
      <c r="N69" s="197">
        <f>IFERROR(ROUNDUP(M69*Order_Quote!$L$17,2),0)</f>
        <v>0</v>
      </c>
      <c r="O69" s="75"/>
      <c r="P69" s="113"/>
      <c r="Q69" s="171">
        <f t="shared" ref="Q69:Q94" si="2">O69/K69</f>
        <v>0</v>
      </c>
      <c r="S69" s="215" t="str">
        <f>_xlfn.XLOOKUP(E69,'All Products'!D:D,'All Products'!I:I,FALSE)</f>
        <v>Within 6 Weeks</v>
      </c>
      <c r="T69" s="242" t="str">
        <f>_xlfn.XLOOKUP(E69,'All Products'!D:D,'All Products'!J:J,FALSE)</f>
        <v>Sourced</v>
      </c>
      <c r="U69" s="273">
        <f>_xlfn.XLOOKUP(E69,'All Products'!D:D,'All Products'!K:K,FALSE)</f>
        <v>810116842438</v>
      </c>
      <c r="V69" s="273">
        <f>_xlfn.XLOOKUP(E69,'All Products'!D:D,'All Products'!M:M,FALSE)</f>
        <v>10810116842435</v>
      </c>
      <c r="W69" s="264">
        <f>_xlfn.XLOOKUP(E69,'All Products'!D:D,'All Products'!N:N,FALSE)</f>
        <v>0.61099999999999999</v>
      </c>
      <c r="X69" s="265">
        <f>_xlfn.XLOOKUP(E69,'All Products'!D:D,'All Products'!P:P,FALSE)</f>
        <v>18</v>
      </c>
      <c r="Y69" s="265">
        <f>_xlfn.XLOOKUP(E69,'All Products'!D:D,'All Products'!Q:Q,FALSE)</f>
        <v>0.41</v>
      </c>
    </row>
    <row r="70" spans="1:25" ht="15" customHeight="1">
      <c r="A70" s="101" t="str">
        <f>IF(O70&gt;0,COUNT($A$7:A69)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70" s="612"/>
      <c r="C70" s="613"/>
      <c r="D70" s="142" t="str">
        <f>_xlfn.XLOOKUP(E70,'All Products'!D:D,'All Products'!C:C,FALSE)</f>
        <v>IFQP180</v>
      </c>
      <c r="E70" s="103">
        <v>300002375</v>
      </c>
      <c r="F70" s="195" t="str">
        <f>_xlfn.XLOOKUP(E70,'All Products'!D:D,'All Products'!E:E,FALSE)</f>
        <v>IFUSE IRR ABS QP BLK MEDIUM</v>
      </c>
      <c r="G70" s="272" t="s">
        <v>1440</v>
      </c>
      <c r="H70" s="272" t="s">
        <v>1553</v>
      </c>
      <c r="I70" s="272" t="s">
        <v>1564</v>
      </c>
      <c r="J70" s="272" t="s">
        <v>1428</v>
      </c>
      <c r="K70" s="196">
        <f>_xlfn.XLOOKUP(E70,'All Products'!D:D,'All Products'!F:F,FALSE)</f>
        <v>24</v>
      </c>
      <c r="L70" s="196">
        <f>_xlfn.XLOOKUP(E70,'All Products'!D:D,'All Products'!G:G,FALSE)</f>
        <v>2808</v>
      </c>
      <c r="M70" s="142" t="str">
        <f>_xlfn.XLOOKUP(E70,'All Products'!D:D,'All Products'!H:H,FALSE)</f>
        <v>Quote Required</v>
      </c>
      <c r="N70" s="197">
        <f>IFERROR(ROUNDUP(M70*Order_Quote!$L$17,2),0)</f>
        <v>0</v>
      </c>
      <c r="O70" s="75"/>
      <c r="P70" s="113"/>
      <c r="Q70" s="171">
        <f t="shared" si="2"/>
        <v>0</v>
      </c>
      <c r="S70" s="215" t="str">
        <f>_xlfn.XLOOKUP(E70,'All Products'!D:D,'All Products'!I:I,FALSE)</f>
        <v>Within 6 Weeks</v>
      </c>
      <c r="T70" s="242" t="str">
        <f>_xlfn.XLOOKUP(E70,'All Products'!D:D,'All Products'!J:J,FALSE)</f>
        <v>Sourced</v>
      </c>
      <c r="U70" s="273">
        <f>_xlfn.XLOOKUP(E70,'All Products'!D:D,'All Products'!K:K,FALSE)</f>
        <v>810116842445</v>
      </c>
      <c r="V70" s="273">
        <f>_xlfn.XLOOKUP(E70,'All Products'!D:D,'All Products'!M:M,FALSE)</f>
        <v>10810116842442</v>
      </c>
      <c r="W70" s="264">
        <f>_xlfn.XLOOKUP(E70,'All Products'!D:D,'All Products'!N:N,FALSE)</f>
        <v>0.33600000000000002</v>
      </c>
      <c r="X70" s="265">
        <f>_xlfn.XLOOKUP(E70,'All Products'!D:D,'All Products'!P:P,FALSE)</f>
        <v>9</v>
      </c>
      <c r="Y70" s="265">
        <f>_xlfn.XLOOKUP(E70,'All Products'!D:D,'All Products'!Q:Q,FALSE)</f>
        <v>0.28999999999999998</v>
      </c>
    </row>
    <row r="71" spans="1:25" ht="15" customHeight="1">
      <c r="A71" s="101" t="str">
        <f>IF(O71&gt;0,COUNT($A$7:A70)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71" s="608"/>
      <c r="C71" s="609"/>
      <c r="D71" s="142" t="str">
        <f>_xlfn.XLOOKUP(E71,'All Products'!D:D,'All Products'!C:C,FALSE)</f>
        <v>IFGA150</v>
      </c>
      <c r="E71" s="103">
        <v>300002237</v>
      </c>
      <c r="F71" s="195" t="str">
        <f>_xlfn.XLOOKUP(E71,'All Products'!D:D,'All Products'!E:E,FALSE)</f>
        <v>IFUSE IRR PRM PUR GA</v>
      </c>
      <c r="G71" s="272" t="s">
        <v>1425</v>
      </c>
      <c r="H71" s="272" t="s">
        <v>1575</v>
      </c>
      <c r="I71" s="272" t="s">
        <v>1576</v>
      </c>
      <c r="J71" s="272" t="s">
        <v>1475</v>
      </c>
      <c r="K71" s="196">
        <f>_xlfn.XLOOKUP(E71,'All Products'!D:D,'All Products'!F:F,FALSE)</f>
        <v>6</v>
      </c>
      <c r="L71" s="196">
        <f>_xlfn.XLOOKUP(E71,'All Products'!D:D,'All Products'!G:G,FALSE)</f>
        <v>162</v>
      </c>
      <c r="M71" s="142" t="str">
        <f>_xlfn.XLOOKUP(E71,'All Products'!D:D,'All Products'!H:H,FALSE)</f>
        <v>Quote Required</v>
      </c>
      <c r="N71" s="197">
        <f>IFERROR(ROUNDUP(M71*Order_Quote!$L$17,2),0)</f>
        <v>0</v>
      </c>
      <c r="O71" s="75"/>
      <c r="P71" s="113"/>
      <c r="Q71" s="171">
        <f t="shared" si="2"/>
        <v>0</v>
      </c>
      <c r="S71" s="215" t="str">
        <f>_xlfn.XLOOKUP(E71,'All Products'!D:D,'All Products'!I:I,FALSE)</f>
        <v>Within 3 Weeks</v>
      </c>
      <c r="T71" s="242" t="str">
        <f>_xlfn.XLOOKUP(E71,'All Products'!D:D,'All Products'!J:J,FALSE)</f>
        <v>Sourced</v>
      </c>
      <c r="U71" s="273">
        <f>_xlfn.XLOOKUP(E71,'All Products'!D:D,'All Products'!K:K,FALSE)</f>
        <v>49081071462</v>
      </c>
      <c r="V71" s="273">
        <f>_xlfn.XLOOKUP(E71,'All Products'!D:D,'All Products'!M:M,FALSE)</f>
        <v>50049081071467</v>
      </c>
      <c r="W71" s="264">
        <f>_xlfn.XLOOKUP(E71,'All Products'!D:D,'All Products'!N:N,FALSE)</f>
        <v>8.1669999999999998</v>
      </c>
      <c r="X71" s="265">
        <f>_xlfn.XLOOKUP(E71,'All Products'!D:D,'All Products'!P:P,FALSE)</f>
        <v>49</v>
      </c>
      <c r="Y71" s="265">
        <f>_xlfn.XLOOKUP(E71,'All Products'!D:D,'All Products'!Q:Q,FALSE)</f>
        <v>1.21</v>
      </c>
    </row>
    <row r="72" spans="1:25" ht="15" customHeight="1">
      <c r="A72" s="101" t="str">
        <f>IF(O72&gt;0,COUNT($A$7:A71)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72" s="610"/>
      <c r="C72" s="611"/>
      <c r="D72" s="142" t="str">
        <f>_xlfn.XLOOKUP(E72,'All Products'!D:D,'All Products'!C:C,FALSE)</f>
        <v>IFQT150</v>
      </c>
      <c r="E72" s="103">
        <v>300002323</v>
      </c>
      <c r="F72" s="195" t="str">
        <f>_xlfn.XLOOKUP(E72,'All Products'!D:D,'All Products'!E:E,FALSE)</f>
        <v>IFUSE IRR PRM PUR QT</v>
      </c>
      <c r="G72" s="272" t="s">
        <v>1431</v>
      </c>
      <c r="H72" s="272" t="s">
        <v>1575</v>
      </c>
      <c r="I72" s="272" t="s">
        <v>1576</v>
      </c>
      <c r="J72" s="272" t="s">
        <v>1475</v>
      </c>
      <c r="K72" s="196">
        <f>_xlfn.XLOOKUP(E72,'All Products'!D:D,'All Products'!F:F,FALSE)</f>
        <v>12</v>
      </c>
      <c r="L72" s="196">
        <f>_xlfn.XLOOKUP(E72,'All Products'!D:D,'All Products'!G:G,FALSE)</f>
        <v>576</v>
      </c>
      <c r="M72" s="142" t="str">
        <f>_xlfn.XLOOKUP(E72,'All Products'!D:D,'All Products'!H:H,FALSE)</f>
        <v>Quote Required</v>
      </c>
      <c r="N72" s="197">
        <f>IFERROR(ROUNDUP(M72*Order_Quote!$L$17,2),0)</f>
        <v>0</v>
      </c>
      <c r="O72" s="75"/>
      <c r="P72" s="113"/>
      <c r="Q72" s="171">
        <f t="shared" si="2"/>
        <v>0</v>
      </c>
      <c r="S72" s="215" t="str">
        <f>_xlfn.XLOOKUP(E72,'All Products'!D:D,'All Products'!I:I,FALSE)</f>
        <v>Within 6 Weeks</v>
      </c>
      <c r="T72" s="242" t="str">
        <f>_xlfn.XLOOKUP(E72,'All Products'!D:D,'All Products'!J:J,FALSE)</f>
        <v>Sourced</v>
      </c>
      <c r="U72" s="273">
        <f>_xlfn.XLOOKUP(E72,'All Products'!D:D,'All Products'!K:K,FALSE)</f>
        <v>49081071479</v>
      </c>
      <c r="V72" s="273">
        <f>_xlfn.XLOOKUP(E72,'All Products'!D:D,'All Products'!M:M,FALSE)</f>
        <v>50049081071474</v>
      </c>
      <c r="W72" s="264">
        <f>_xlfn.XLOOKUP(E72,'All Products'!D:D,'All Products'!N:N,FALSE)</f>
        <v>2.169</v>
      </c>
      <c r="X72" s="265">
        <f>_xlfn.XLOOKUP(E72,'All Products'!D:D,'All Products'!P:P,FALSE)</f>
        <v>25</v>
      </c>
      <c r="Y72" s="265">
        <f>_xlfn.XLOOKUP(E72,'All Products'!D:D,'All Products'!Q:Q,FALSE)</f>
        <v>0.78</v>
      </c>
    </row>
    <row r="73" spans="1:25" ht="15" customHeight="1">
      <c r="A73" s="101" t="str">
        <f>IF(O73&gt;0,COUNT($A$7:A72)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73" s="610"/>
      <c r="C73" s="611"/>
      <c r="D73" s="142" t="str">
        <f>_xlfn.XLOOKUP(E73,'All Products'!D:D,'All Products'!C:C,FALSE)</f>
        <v>IFPT150</v>
      </c>
      <c r="E73" s="103">
        <v>300002284</v>
      </c>
      <c r="F73" s="195" t="str">
        <f>_xlfn.XLOOKUP(E73,'All Products'!D:D,'All Products'!E:E,FALSE)</f>
        <v>IFUSE IRR PRM PUR PT</v>
      </c>
      <c r="G73" s="272" t="s">
        <v>1434</v>
      </c>
      <c r="H73" s="272" t="s">
        <v>1575</v>
      </c>
      <c r="I73" s="272" t="s">
        <v>1576</v>
      </c>
      <c r="J73" s="272" t="s">
        <v>1475</v>
      </c>
      <c r="K73" s="196">
        <f>_xlfn.XLOOKUP(E73,'All Products'!D:D,'All Products'!F:F,FALSE)</f>
        <v>12</v>
      </c>
      <c r="L73" s="196">
        <f>_xlfn.XLOOKUP(E73,'All Products'!D:D,'All Products'!G:G,FALSE)</f>
        <v>1008</v>
      </c>
      <c r="M73" s="142" t="str">
        <f>_xlfn.XLOOKUP(E73,'All Products'!D:D,'All Products'!H:H,FALSE)</f>
        <v>Quote Required</v>
      </c>
      <c r="N73" s="197">
        <f>IFERROR(ROUNDUP(M73*Order_Quote!$L$17,2),0)</f>
        <v>0</v>
      </c>
      <c r="O73" s="75"/>
      <c r="P73" s="113"/>
      <c r="Q73" s="171">
        <f t="shared" si="2"/>
        <v>0</v>
      </c>
      <c r="S73" s="215" t="str">
        <f>_xlfn.XLOOKUP(E73,'All Products'!D:D,'All Products'!I:I,FALSE)</f>
        <v>Within 3 Weeks</v>
      </c>
      <c r="T73" s="242" t="str">
        <f>_xlfn.XLOOKUP(E73,'All Products'!D:D,'All Products'!J:J,FALSE)</f>
        <v>Sourced</v>
      </c>
      <c r="U73" s="273">
        <f>_xlfn.XLOOKUP(E73,'All Products'!D:D,'All Products'!K:K,FALSE)</f>
        <v>49081071486</v>
      </c>
      <c r="V73" s="273">
        <f>_xlfn.XLOOKUP(E73,'All Products'!D:D,'All Products'!M:M,FALSE)</f>
        <v>50049081071481</v>
      </c>
      <c r="W73" s="264">
        <f>_xlfn.XLOOKUP(E73,'All Products'!D:D,'All Products'!N:N,FALSE)</f>
        <v>1.083</v>
      </c>
      <c r="X73" s="265">
        <f>_xlfn.XLOOKUP(E73,'All Products'!D:D,'All Products'!P:P,FALSE)</f>
        <v>13</v>
      </c>
      <c r="Y73" s="265">
        <f>_xlfn.XLOOKUP(E73,'All Products'!D:D,'All Products'!Q:Q,FALSE)</f>
        <v>0.42</v>
      </c>
    </row>
    <row r="74" spans="1:25" ht="15" customHeight="1">
      <c r="A74" s="101" t="str">
        <f>IF(O74&gt;0,COUNT($A$7:A73)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74" s="610"/>
      <c r="C74" s="611"/>
      <c r="D74" s="142" t="str">
        <f>_xlfn.XLOOKUP(E74,'All Products'!D:D,'All Products'!C:C,FALSE)</f>
        <v>IFHP150</v>
      </c>
      <c r="E74" s="103">
        <v>300002260</v>
      </c>
      <c r="F74" s="195" t="str">
        <f>_xlfn.XLOOKUP(E74,'All Products'!D:D,'All Products'!E:E,FALSE)</f>
        <v>IFUSE IRR PRM PUR HP</v>
      </c>
      <c r="G74" s="272" t="s">
        <v>1437</v>
      </c>
      <c r="H74" s="272" t="s">
        <v>1575</v>
      </c>
      <c r="I74" s="272" t="s">
        <v>1576</v>
      </c>
      <c r="J74" s="272" t="s">
        <v>1475</v>
      </c>
      <c r="K74" s="196">
        <f>_xlfn.XLOOKUP(E74,'All Products'!D:D,'All Products'!F:F,FALSE)</f>
        <v>24</v>
      </c>
      <c r="L74" s="196">
        <f>_xlfn.XLOOKUP(E74,'All Products'!D:D,'All Products'!G:G,FALSE)</f>
        <v>1920</v>
      </c>
      <c r="M74" s="142" t="str">
        <f>_xlfn.XLOOKUP(E74,'All Products'!D:D,'All Products'!H:H,FALSE)</f>
        <v>Quote Required</v>
      </c>
      <c r="N74" s="197">
        <f>IFERROR(ROUNDUP(M74*Order_Quote!$L$17,2),0)</f>
        <v>0</v>
      </c>
      <c r="O74" s="75"/>
      <c r="P74" s="113"/>
      <c r="Q74" s="171">
        <f t="shared" si="2"/>
        <v>0</v>
      </c>
      <c r="S74" s="215" t="str">
        <f>_xlfn.XLOOKUP(E74,'All Products'!D:D,'All Products'!I:I,FALSE)</f>
        <v>Within 3 Weeks</v>
      </c>
      <c r="T74" s="242" t="str">
        <f>_xlfn.XLOOKUP(E74,'All Products'!D:D,'All Products'!J:J,FALSE)</f>
        <v>Sourced</v>
      </c>
      <c r="U74" s="273">
        <f>_xlfn.XLOOKUP(E74,'All Products'!D:D,'All Products'!K:K,FALSE)</f>
        <v>49081071493</v>
      </c>
      <c r="V74" s="273">
        <f>_xlfn.XLOOKUP(E74,'All Products'!D:D,'All Products'!M:M,FALSE)</f>
        <v>50049081071498</v>
      </c>
      <c r="W74" s="264">
        <f>_xlfn.XLOOKUP(E74,'All Products'!D:D,'All Products'!N:N,FALSE)</f>
        <v>0.58299999999999996</v>
      </c>
      <c r="X74" s="265">
        <f>_xlfn.XLOOKUP(E74,'All Products'!D:D,'All Products'!P:P,FALSE)</f>
        <v>14</v>
      </c>
      <c r="Y74" s="265">
        <f>_xlfn.XLOOKUP(E74,'All Products'!D:D,'All Products'!Q:Q,FALSE)</f>
        <v>0.41</v>
      </c>
    </row>
    <row r="75" spans="1:25" ht="15" customHeight="1">
      <c r="A75" s="101" t="str">
        <f>IF(O75&gt;0,COUNT($A$7:A74)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75" s="612"/>
      <c r="C75" s="613"/>
      <c r="D75" s="142" t="str">
        <f>_xlfn.XLOOKUP(E75,'All Products'!D:D,'All Products'!C:C,FALSE)</f>
        <v>IFQP150</v>
      </c>
      <c r="E75" s="103">
        <v>300002304</v>
      </c>
      <c r="F75" s="195" t="str">
        <f>_xlfn.XLOOKUP(E75,'All Products'!D:D,'All Products'!E:E,FALSE)</f>
        <v>IFUSE IRR PRM PUR QP</v>
      </c>
      <c r="G75" s="272" t="s">
        <v>1440</v>
      </c>
      <c r="H75" s="272" t="s">
        <v>1575</v>
      </c>
      <c r="I75" s="272" t="s">
        <v>1576</v>
      </c>
      <c r="J75" s="272" t="s">
        <v>1475</v>
      </c>
      <c r="K75" s="196">
        <f>_xlfn.XLOOKUP(E75,'All Products'!D:D,'All Products'!F:F,FALSE)</f>
        <v>24</v>
      </c>
      <c r="L75" s="196">
        <f>_xlfn.XLOOKUP(E75,'All Products'!D:D,'All Products'!G:G,FALSE)</f>
        <v>2808</v>
      </c>
      <c r="M75" s="142" t="str">
        <f>_xlfn.XLOOKUP(E75,'All Products'!D:D,'All Products'!H:H,FALSE)</f>
        <v>Quote Required</v>
      </c>
      <c r="N75" s="197">
        <f>IFERROR(ROUNDUP(M75*Order_Quote!$L$17,2),0)</f>
        <v>0</v>
      </c>
      <c r="O75" s="75"/>
      <c r="P75" s="113"/>
      <c r="Q75" s="171">
        <f t="shared" si="2"/>
        <v>0</v>
      </c>
      <c r="S75" s="215" t="str">
        <f>_xlfn.XLOOKUP(E75,'All Products'!D:D,'All Products'!I:I,FALSE)</f>
        <v>Within 3 Weeks</v>
      </c>
      <c r="T75" s="242" t="str">
        <f>_xlfn.XLOOKUP(E75,'All Products'!D:D,'All Products'!J:J,FALSE)</f>
        <v>Sourced</v>
      </c>
      <c r="U75" s="273">
        <f>_xlfn.XLOOKUP(E75,'All Products'!D:D,'All Products'!K:K,FALSE)</f>
        <v>49081071509</v>
      </c>
      <c r="V75" s="273">
        <f>_xlfn.XLOOKUP(E75,'All Products'!D:D,'All Products'!M:M,FALSE)</f>
        <v>50049081071504</v>
      </c>
      <c r="W75" s="264">
        <f>_xlfn.XLOOKUP(E75,'All Products'!D:D,'All Products'!N:N,FALSE)</f>
        <v>0.29199999999999998</v>
      </c>
      <c r="X75" s="265">
        <f>_xlfn.XLOOKUP(E75,'All Products'!D:D,'All Products'!P:P,FALSE)</f>
        <v>7</v>
      </c>
      <c r="Y75" s="265">
        <f>_xlfn.XLOOKUP(E75,'All Products'!D:D,'All Products'!Q:Q,FALSE)</f>
        <v>0.28999999999999998</v>
      </c>
    </row>
    <row r="76" spans="1:25" ht="15" customHeight="1">
      <c r="A76" s="101" t="str">
        <f>IF(O76&gt;0,COUNT($A$7:A75)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76" s="608"/>
      <c r="C76" s="609"/>
      <c r="D76" s="142" t="str">
        <f>_xlfn.XLOOKUP(E76,'All Products'!D:D,'All Products'!C:C,FALSE)</f>
        <v>IFGA145</v>
      </c>
      <c r="E76" s="274">
        <v>300002236</v>
      </c>
      <c r="F76" s="195" t="str">
        <f>_xlfn.XLOOKUP(E76,'All Products'!D:D,'All Products'!E:E,FALSE)</f>
        <v>IFUSE IRR PRM CLR GA</v>
      </c>
      <c r="G76" s="272" t="s">
        <v>1425</v>
      </c>
      <c r="H76" s="272" t="s">
        <v>1575</v>
      </c>
      <c r="I76" s="272" t="s">
        <v>1427</v>
      </c>
      <c r="J76" s="272" t="s">
        <v>1475</v>
      </c>
      <c r="K76" s="196">
        <f>_xlfn.XLOOKUP(E76,'All Products'!D:D,'All Products'!F:F,FALSE)</f>
        <v>6</v>
      </c>
      <c r="L76" s="196">
        <f>_xlfn.XLOOKUP(E76,'All Products'!D:D,'All Products'!G:G,FALSE)</f>
        <v>162</v>
      </c>
      <c r="M76" s="142" t="str">
        <f>_xlfn.XLOOKUP(E76,'All Products'!D:D,'All Products'!H:H,FALSE)</f>
        <v>Quote Required</v>
      </c>
      <c r="N76" s="197">
        <f>IFERROR(ROUNDUP(M76*Order_Quote!$L$17,2),0)</f>
        <v>0</v>
      </c>
      <c r="O76" s="75"/>
      <c r="P76" s="113"/>
      <c r="Q76" s="171">
        <f t="shared" si="2"/>
        <v>0</v>
      </c>
      <c r="S76" s="215" t="str">
        <f>_xlfn.XLOOKUP(E76,'All Products'!D:D,'All Products'!I:I,FALSE)</f>
        <v>Within 3 Weeks</v>
      </c>
      <c r="T76" s="242" t="str">
        <f>_xlfn.XLOOKUP(E76,'All Products'!D:D,'All Products'!J:J,FALSE)</f>
        <v>Sourced</v>
      </c>
      <c r="U76" s="273">
        <f>_xlfn.XLOOKUP(E76,'All Products'!D:D,'All Products'!K:K,FALSE)</f>
        <v>49081071417</v>
      </c>
      <c r="V76" s="273" t="str">
        <f>_xlfn.XLOOKUP(E76,'All Products'!D:D,'All Products'!M:M,FALSE)</f>
        <v>-</v>
      </c>
      <c r="W76" s="264">
        <f>_xlfn.XLOOKUP(E76,'All Products'!D:D,'All Products'!N:N,FALSE)</f>
        <v>8.1669999999999998</v>
      </c>
      <c r="X76" s="265">
        <f>_xlfn.XLOOKUP(E76,'All Products'!D:D,'All Products'!P:P,FALSE)</f>
        <v>49</v>
      </c>
      <c r="Y76" s="265">
        <f>_xlfn.XLOOKUP(E76,'All Products'!D:D,'All Products'!Q:Q,FALSE)</f>
        <v>1.21</v>
      </c>
    </row>
    <row r="77" spans="1:25" ht="15" customHeight="1">
      <c r="A77" s="101" t="str">
        <f>IF(O77&gt;0,COUNT($A$7:A76)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77" s="610"/>
      <c r="C77" s="611"/>
      <c r="D77" s="142" t="str">
        <f>_xlfn.XLOOKUP(E77,'All Products'!D:D,'All Products'!C:C,FALSE)</f>
        <v>IFQT145</v>
      </c>
      <c r="E77" s="274">
        <v>300002322</v>
      </c>
      <c r="F77" s="195" t="str">
        <f>_xlfn.XLOOKUP(E77,'All Products'!D:D,'All Products'!E:E,FALSE)</f>
        <v>IFUSE IRR PRM CLR QT</v>
      </c>
      <c r="G77" s="272" t="s">
        <v>1431</v>
      </c>
      <c r="H77" s="272" t="s">
        <v>1575</v>
      </c>
      <c r="I77" s="272" t="s">
        <v>1427</v>
      </c>
      <c r="J77" s="272" t="s">
        <v>1475</v>
      </c>
      <c r="K77" s="196">
        <f>_xlfn.XLOOKUP(E77,'All Products'!D:D,'All Products'!F:F,FALSE)</f>
        <v>12</v>
      </c>
      <c r="L77" s="196">
        <f>_xlfn.XLOOKUP(E77,'All Products'!D:D,'All Products'!G:G,FALSE)</f>
        <v>576</v>
      </c>
      <c r="M77" s="142" t="str">
        <f>_xlfn.XLOOKUP(E77,'All Products'!D:D,'All Products'!H:H,FALSE)</f>
        <v>Quote Required</v>
      </c>
      <c r="N77" s="197">
        <f>IFERROR(ROUNDUP(M77*Order_Quote!$L$17,2),0)</f>
        <v>0</v>
      </c>
      <c r="O77" s="75"/>
      <c r="P77" s="113"/>
      <c r="Q77" s="171">
        <f t="shared" si="2"/>
        <v>0</v>
      </c>
      <c r="S77" s="215" t="str">
        <f>_xlfn.XLOOKUP(E77,'All Products'!D:D,'All Products'!I:I,FALSE)</f>
        <v>Within 6 Weeks</v>
      </c>
      <c r="T77" s="242" t="str">
        <f>_xlfn.XLOOKUP(E77,'All Products'!D:D,'All Products'!J:J,FALSE)</f>
        <v>Sourced</v>
      </c>
      <c r="U77" s="273">
        <f>_xlfn.XLOOKUP(E77,'All Products'!D:D,'All Products'!K:K,FALSE)</f>
        <v>49081071424</v>
      </c>
      <c r="V77" s="273" t="str">
        <f>_xlfn.XLOOKUP(E77,'All Products'!D:D,'All Products'!M:M,FALSE)</f>
        <v>-</v>
      </c>
      <c r="W77" s="264">
        <f>_xlfn.XLOOKUP(E77,'All Products'!D:D,'All Products'!N:N,FALSE)</f>
        <v>2.2309999999999999</v>
      </c>
      <c r="X77" s="265">
        <f>_xlfn.XLOOKUP(E77,'All Products'!D:D,'All Products'!P:P,FALSE)</f>
        <v>25</v>
      </c>
      <c r="Y77" s="265">
        <f>_xlfn.XLOOKUP(E77,'All Products'!D:D,'All Products'!Q:Q,FALSE)</f>
        <v>0.78</v>
      </c>
    </row>
    <row r="78" spans="1:25" ht="15" customHeight="1">
      <c r="A78" s="101" t="str">
        <f>IF(O78&gt;0,COUNT($A$7:A77)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78" s="610"/>
      <c r="C78" s="611"/>
      <c r="D78" s="142" t="str">
        <f>_xlfn.XLOOKUP(E78,'All Products'!D:D,'All Products'!C:C,FALSE)</f>
        <v>IFPT145</v>
      </c>
      <c r="E78" s="274">
        <v>300002283</v>
      </c>
      <c r="F78" s="195" t="str">
        <f>_xlfn.XLOOKUP(E78,'All Products'!D:D,'All Products'!E:E,FALSE)</f>
        <v>IFUSE IRR PRM CLR PT</v>
      </c>
      <c r="G78" s="272" t="s">
        <v>1434</v>
      </c>
      <c r="H78" s="272" t="s">
        <v>1575</v>
      </c>
      <c r="I78" s="272" t="s">
        <v>1427</v>
      </c>
      <c r="J78" s="272" t="s">
        <v>1475</v>
      </c>
      <c r="K78" s="196">
        <f>_xlfn.XLOOKUP(E78,'All Products'!D:D,'All Products'!F:F,FALSE)</f>
        <v>12</v>
      </c>
      <c r="L78" s="196">
        <f>_xlfn.XLOOKUP(E78,'All Products'!D:D,'All Products'!G:G,FALSE)</f>
        <v>1008</v>
      </c>
      <c r="M78" s="142" t="str">
        <f>_xlfn.XLOOKUP(E78,'All Products'!D:D,'All Products'!H:H,FALSE)</f>
        <v>Quote Required</v>
      </c>
      <c r="N78" s="197">
        <f>IFERROR(ROUNDUP(M78*Order_Quote!$L$17,2),0)</f>
        <v>0</v>
      </c>
      <c r="O78" s="75"/>
      <c r="P78" s="113"/>
      <c r="Q78" s="171">
        <f t="shared" si="2"/>
        <v>0</v>
      </c>
      <c r="S78" s="215" t="str">
        <f>_xlfn.XLOOKUP(E78,'All Products'!D:D,'All Products'!I:I,FALSE)</f>
        <v>Within 6 Weeks</v>
      </c>
      <c r="T78" s="242" t="str">
        <f>_xlfn.XLOOKUP(E78,'All Products'!D:D,'All Products'!J:J,FALSE)</f>
        <v>Sourced</v>
      </c>
      <c r="U78" s="273">
        <f>_xlfn.XLOOKUP(E78,'All Products'!D:D,'All Products'!K:K,FALSE)</f>
        <v>49081071431</v>
      </c>
      <c r="V78" s="273" t="str">
        <f>_xlfn.XLOOKUP(E78,'All Products'!D:D,'All Products'!M:M,FALSE)</f>
        <v>-</v>
      </c>
      <c r="W78" s="264">
        <f>_xlfn.XLOOKUP(E78,'All Products'!D:D,'All Products'!N:N,FALSE)</f>
        <v>1.1890000000000001</v>
      </c>
      <c r="X78" s="265">
        <f>_xlfn.XLOOKUP(E78,'All Products'!D:D,'All Products'!P:P,FALSE)</f>
        <v>13</v>
      </c>
      <c r="Y78" s="265">
        <f>_xlfn.XLOOKUP(E78,'All Products'!D:D,'All Products'!Q:Q,FALSE)</f>
        <v>0.42</v>
      </c>
    </row>
    <row r="79" spans="1:25" ht="15" customHeight="1">
      <c r="A79" s="101" t="str">
        <f>IF(O79&gt;0,COUNT($A$7:A78)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79" s="610"/>
      <c r="C79" s="611"/>
      <c r="D79" s="142" t="str">
        <f>_xlfn.XLOOKUP(E79,'All Products'!D:D,'All Products'!C:C,FALSE)</f>
        <v>IFHP145</v>
      </c>
      <c r="E79" s="274">
        <v>300002259</v>
      </c>
      <c r="F79" s="195" t="str">
        <f>_xlfn.XLOOKUP(E79,'All Products'!D:D,'All Products'!E:E,FALSE)</f>
        <v>IFUSE IRR PRM CLR HP</v>
      </c>
      <c r="G79" s="272" t="s">
        <v>1437</v>
      </c>
      <c r="H79" s="272" t="s">
        <v>1575</v>
      </c>
      <c r="I79" s="272" t="s">
        <v>1427</v>
      </c>
      <c r="J79" s="272" t="s">
        <v>1475</v>
      </c>
      <c r="K79" s="196">
        <f>_xlfn.XLOOKUP(E79,'All Products'!D:D,'All Products'!F:F,FALSE)</f>
        <v>24</v>
      </c>
      <c r="L79" s="196">
        <f>_xlfn.XLOOKUP(E79,'All Products'!D:D,'All Products'!G:G,FALSE)</f>
        <v>1920</v>
      </c>
      <c r="M79" s="142" t="str">
        <f>_xlfn.XLOOKUP(E79,'All Products'!D:D,'All Products'!H:H,FALSE)</f>
        <v>Quote Required</v>
      </c>
      <c r="N79" s="197">
        <f>IFERROR(ROUNDUP(M79*Order_Quote!$L$17,2),0)</f>
        <v>0</v>
      </c>
      <c r="O79" s="75"/>
      <c r="P79" s="113"/>
      <c r="Q79" s="171">
        <f t="shared" si="2"/>
        <v>0</v>
      </c>
      <c r="S79" s="215" t="str">
        <f>_xlfn.XLOOKUP(E79,'All Products'!D:D,'All Products'!I:I,FALSE)</f>
        <v>Within 6 Weeks</v>
      </c>
      <c r="T79" s="242" t="str">
        <f>_xlfn.XLOOKUP(E79,'All Products'!D:D,'All Products'!J:J,FALSE)</f>
        <v>Sourced</v>
      </c>
      <c r="U79" s="273">
        <f>_xlfn.XLOOKUP(E79,'All Products'!D:D,'All Products'!K:K,FALSE)</f>
        <v>49081071448</v>
      </c>
      <c r="V79" s="273" t="str">
        <f>_xlfn.XLOOKUP(E79,'All Products'!D:D,'All Products'!M:M,FALSE)</f>
        <v>-</v>
      </c>
      <c r="W79" s="264">
        <f>_xlfn.XLOOKUP(E79,'All Products'!D:D,'All Products'!N:N,FALSE)</f>
        <v>0.59599999999999997</v>
      </c>
      <c r="X79" s="265">
        <f>_xlfn.XLOOKUP(E79,'All Products'!D:D,'All Products'!P:P,FALSE)</f>
        <v>14</v>
      </c>
      <c r="Y79" s="265">
        <f>_xlfn.XLOOKUP(E79,'All Products'!D:D,'All Products'!Q:Q,FALSE)</f>
        <v>0.41</v>
      </c>
    </row>
    <row r="80" spans="1:25" ht="15" customHeight="1">
      <c r="A80" s="101" t="str">
        <f>IF(O80&gt;0,COUNT($A$7:A79)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80" s="612"/>
      <c r="C80" s="613"/>
      <c r="D80" s="142" t="str">
        <f>_xlfn.XLOOKUP(E80,'All Products'!D:D,'All Products'!C:C,FALSE)</f>
        <v>IFQP145</v>
      </c>
      <c r="E80" s="274">
        <v>300002303</v>
      </c>
      <c r="F80" s="195" t="str">
        <f>_xlfn.XLOOKUP(E80,'All Products'!D:D,'All Products'!E:E,FALSE)</f>
        <v>IFUSE IRR PRM CLR QP</v>
      </c>
      <c r="G80" s="272" t="s">
        <v>1440</v>
      </c>
      <c r="H80" s="272" t="s">
        <v>1575</v>
      </c>
      <c r="I80" s="272" t="s">
        <v>1427</v>
      </c>
      <c r="J80" s="272" t="s">
        <v>1475</v>
      </c>
      <c r="K80" s="196">
        <f>_xlfn.XLOOKUP(E80,'All Products'!D:D,'All Products'!F:F,FALSE)</f>
        <v>24</v>
      </c>
      <c r="L80" s="196">
        <f>_xlfn.XLOOKUP(E80,'All Products'!D:D,'All Products'!G:G,FALSE)</f>
        <v>2808</v>
      </c>
      <c r="M80" s="142" t="str">
        <f>_xlfn.XLOOKUP(E80,'All Products'!D:D,'All Products'!H:H,FALSE)</f>
        <v>Quote Required</v>
      </c>
      <c r="N80" s="197">
        <f>IFERROR(ROUNDUP(M80*Order_Quote!$L$17,2),0)</f>
        <v>0</v>
      </c>
      <c r="O80" s="75"/>
      <c r="P80" s="113"/>
      <c r="Q80" s="171">
        <f t="shared" si="2"/>
        <v>0</v>
      </c>
      <c r="S80" s="215" t="str">
        <f>_xlfn.XLOOKUP(E80,'All Products'!D:D,'All Products'!I:I,FALSE)</f>
        <v>Within 6 Weeks</v>
      </c>
      <c r="T80" s="242" t="str">
        <f>_xlfn.XLOOKUP(E80,'All Products'!D:D,'All Products'!J:J,FALSE)</f>
        <v>Sourced</v>
      </c>
      <c r="U80" s="273">
        <f>_xlfn.XLOOKUP(E80,'All Products'!D:D,'All Products'!K:K,FALSE)</f>
        <v>49081071455</v>
      </c>
      <c r="V80" s="273" t="str">
        <f>_xlfn.XLOOKUP(E80,'All Products'!D:D,'All Products'!M:M,FALSE)</f>
        <v>-</v>
      </c>
      <c r="W80" s="264">
        <f>_xlfn.XLOOKUP(E80,'All Products'!D:D,'All Products'!N:N,FALSE)</f>
        <v>0.34699999999999998</v>
      </c>
      <c r="X80" s="265">
        <f>_xlfn.XLOOKUP(E80,'All Products'!D:D,'All Products'!P:P,FALSE)</f>
        <v>7</v>
      </c>
      <c r="Y80" s="265">
        <f>_xlfn.XLOOKUP(E80,'All Products'!D:D,'All Products'!Q:Q,FALSE)</f>
        <v>0.28999999999999998</v>
      </c>
    </row>
    <row r="81" spans="1:25" ht="15" customHeight="1">
      <c r="A81" s="101" t="str">
        <f>IF(O81&gt;0,COUNT($A$7:A80)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81" s="608"/>
      <c r="C81" s="609"/>
      <c r="D81" s="142" t="str">
        <f>_xlfn.XLOOKUP(E81,'All Products'!D:D,'All Products'!C:C,FALSE)</f>
        <v>IFGA155</v>
      </c>
      <c r="E81" s="103">
        <v>300002238</v>
      </c>
      <c r="F81" s="195" t="str">
        <f>_xlfn.XLOOKUP(E81,'All Products'!D:D,'All Products'!E:E,FALSE)</f>
        <v>IFUSE IRR CLEANER GA</v>
      </c>
      <c r="G81" s="272" t="s">
        <v>1425</v>
      </c>
      <c r="H81" s="272" t="s">
        <v>1597</v>
      </c>
      <c r="I81" s="272" t="s">
        <v>1427</v>
      </c>
      <c r="J81" s="272" t="s">
        <v>1475</v>
      </c>
      <c r="K81" s="196">
        <f>_xlfn.XLOOKUP(E81,'All Products'!D:D,'All Products'!F:F,FALSE)</f>
        <v>6</v>
      </c>
      <c r="L81" s="196">
        <f>_xlfn.XLOOKUP(E81,'All Products'!D:D,'All Products'!G:G,FALSE)</f>
        <v>162</v>
      </c>
      <c r="M81" s="142" t="str">
        <f>_xlfn.XLOOKUP(E81,'All Products'!D:D,'All Products'!H:H,FALSE)</f>
        <v>Quote Required</v>
      </c>
      <c r="N81" s="197">
        <f>IFERROR(ROUNDUP(M81*Order_Quote!$L$17,2),0)</f>
        <v>0</v>
      </c>
      <c r="O81" s="75"/>
      <c r="P81" s="113"/>
      <c r="Q81" s="171">
        <f t="shared" si="2"/>
        <v>0</v>
      </c>
      <c r="S81" s="215" t="str">
        <f>_xlfn.XLOOKUP(E81,'All Products'!D:D,'All Products'!I:I,FALSE)</f>
        <v>Within 3 Weeks</v>
      </c>
      <c r="T81" s="242" t="str">
        <f>_xlfn.XLOOKUP(E81,'All Products'!D:D,'All Products'!J:J,FALSE)</f>
        <v>Sourced</v>
      </c>
      <c r="U81" s="273">
        <f>_xlfn.XLOOKUP(E81,'All Products'!D:D,'All Products'!K:K,FALSE)</f>
        <v>49081071516</v>
      </c>
      <c r="V81" s="273">
        <f>_xlfn.XLOOKUP(E81,'All Products'!D:D,'All Products'!M:M,FALSE)</f>
        <v>50049081071511</v>
      </c>
      <c r="W81" s="264">
        <f>_xlfn.XLOOKUP(E81,'All Products'!D:D,'All Products'!N:N,FALSE)</f>
        <v>8.1669999999999998</v>
      </c>
      <c r="X81" s="265">
        <f>_xlfn.XLOOKUP(E81,'All Products'!D:D,'All Products'!P:P,FALSE)</f>
        <v>46</v>
      </c>
      <c r="Y81" s="265">
        <f>_xlfn.XLOOKUP(E81,'All Products'!D:D,'All Products'!Q:Q,FALSE)</f>
        <v>1.21</v>
      </c>
    </row>
    <row r="82" spans="1:25" ht="15" customHeight="1">
      <c r="A82" s="101" t="str">
        <f>IF(O82&gt;0,COUNT($A$7:A81)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82" s="610"/>
      <c r="C82" s="611"/>
      <c r="D82" s="142" t="str">
        <f>_xlfn.XLOOKUP(E82,'All Products'!D:D,'All Products'!C:C,FALSE)</f>
        <v>IFQT155</v>
      </c>
      <c r="E82" s="103">
        <v>300002324</v>
      </c>
      <c r="F82" s="195" t="str">
        <f>_xlfn.XLOOKUP(E82,'All Products'!D:D,'All Products'!E:E,FALSE)</f>
        <v>IFUSE IRR CLEANER QT</v>
      </c>
      <c r="G82" s="272" t="s">
        <v>1431</v>
      </c>
      <c r="H82" s="272" t="s">
        <v>1597</v>
      </c>
      <c r="I82" s="272" t="s">
        <v>1427</v>
      </c>
      <c r="J82" s="272" t="s">
        <v>1475</v>
      </c>
      <c r="K82" s="196">
        <f>_xlfn.XLOOKUP(E82,'All Products'!D:D,'All Products'!F:F,FALSE)</f>
        <v>12</v>
      </c>
      <c r="L82" s="196">
        <f>_xlfn.XLOOKUP(E82,'All Products'!D:D,'All Products'!G:G,FALSE)</f>
        <v>576</v>
      </c>
      <c r="M82" s="142" t="str">
        <f>_xlfn.XLOOKUP(E82,'All Products'!D:D,'All Products'!H:H,FALSE)</f>
        <v>Quote Required</v>
      </c>
      <c r="N82" s="197">
        <f>IFERROR(ROUNDUP(M82*Order_Quote!$L$17,2),0)</f>
        <v>0</v>
      </c>
      <c r="O82" s="75"/>
      <c r="P82" s="113"/>
      <c r="Q82" s="171">
        <f t="shared" si="2"/>
        <v>0</v>
      </c>
      <c r="S82" s="215" t="str">
        <f>_xlfn.XLOOKUP(E82,'All Products'!D:D,'All Products'!I:I,FALSE)</f>
        <v>Within 6 Weeks</v>
      </c>
      <c r="T82" s="242" t="str">
        <f>_xlfn.XLOOKUP(E82,'All Products'!D:D,'All Products'!J:J,FALSE)</f>
        <v>Sourced</v>
      </c>
      <c r="U82" s="273">
        <f>_xlfn.XLOOKUP(E82,'All Products'!D:D,'All Products'!K:K,FALSE)</f>
        <v>49081071523</v>
      </c>
      <c r="V82" s="273">
        <f>_xlfn.XLOOKUP(E82,'All Products'!D:D,'All Products'!M:M,FALSE)</f>
        <v>50049081071528</v>
      </c>
      <c r="W82" s="264">
        <f>_xlfn.XLOOKUP(E82,'All Products'!D:D,'All Products'!N:N,FALSE)</f>
        <v>2.0830000000000002</v>
      </c>
      <c r="X82" s="265">
        <f>_xlfn.XLOOKUP(E82,'All Products'!D:D,'All Products'!P:P,FALSE)</f>
        <v>24</v>
      </c>
      <c r="Y82" s="265">
        <f>_xlfn.XLOOKUP(E82,'All Products'!D:D,'All Products'!Q:Q,FALSE)</f>
        <v>0.78</v>
      </c>
    </row>
    <row r="83" spans="1:25" ht="15" customHeight="1">
      <c r="A83" s="101" t="str">
        <f>IF(O83&gt;0,COUNT($A$7:A82)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83" s="610"/>
      <c r="C83" s="611"/>
      <c r="D83" s="142" t="str">
        <f>_xlfn.XLOOKUP(E83,'All Products'!D:D,'All Products'!C:C,FALSE)</f>
        <v>IFPT155</v>
      </c>
      <c r="E83" s="103">
        <v>300002285</v>
      </c>
      <c r="F83" s="195" t="str">
        <f>_xlfn.XLOOKUP(E83,'All Products'!D:D,'All Products'!E:E,FALSE)</f>
        <v>IFUSE IRR CLEANER PT</v>
      </c>
      <c r="G83" s="272" t="s">
        <v>1434</v>
      </c>
      <c r="H83" s="272" t="s">
        <v>1597</v>
      </c>
      <c r="I83" s="272" t="s">
        <v>1427</v>
      </c>
      <c r="J83" s="272" t="s">
        <v>1475</v>
      </c>
      <c r="K83" s="196">
        <f>_xlfn.XLOOKUP(E83,'All Products'!D:D,'All Products'!F:F,FALSE)</f>
        <v>12</v>
      </c>
      <c r="L83" s="196">
        <f>_xlfn.XLOOKUP(E83,'All Products'!D:D,'All Products'!G:G,FALSE)</f>
        <v>1008</v>
      </c>
      <c r="M83" s="142" t="str">
        <f>_xlfn.XLOOKUP(E83,'All Products'!D:D,'All Products'!H:H,FALSE)</f>
        <v>Quote Required</v>
      </c>
      <c r="N83" s="197">
        <f>IFERROR(ROUNDUP(M83*Order_Quote!$L$17,2),0)</f>
        <v>0</v>
      </c>
      <c r="O83" s="75"/>
      <c r="P83" s="113"/>
      <c r="Q83" s="171">
        <f t="shared" si="2"/>
        <v>0</v>
      </c>
      <c r="S83" s="215" t="str">
        <f>_xlfn.XLOOKUP(E83,'All Products'!D:D,'All Products'!I:I,FALSE)</f>
        <v>Within 6 Weeks</v>
      </c>
      <c r="T83" s="242" t="str">
        <f>_xlfn.XLOOKUP(E83,'All Products'!D:D,'All Products'!J:J,FALSE)</f>
        <v>Sourced</v>
      </c>
      <c r="U83" s="273">
        <f>_xlfn.XLOOKUP(E83,'All Products'!D:D,'All Products'!K:K,FALSE)</f>
        <v>49081071530</v>
      </c>
      <c r="V83" s="273">
        <f>_xlfn.XLOOKUP(E83,'All Products'!D:D,'All Products'!M:M,FALSE)</f>
        <v>50049081071535</v>
      </c>
      <c r="W83" s="264">
        <f>_xlfn.XLOOKUP(E83,'All Products'!D:D,'All Products'!N:N,FALSE)</f>
        <v>1.083</v>
      </c>
      <c r="X83" s="265">
        <f>_xlfn.XLOOKUP(E83,'All Products'!D:D,'All Products'!P:P,FALSE)</f>
        <v>12</v>
      </c>
      <c r="Y83" s="265">
        <f>_xlfn.XLOOKUP(E83,'All Products'!D:D,'All Products'!Q:Q,FALSE)</f>
        <v>0.42</v>
      </c>
    </row>
    <row r="84" spans="1:25" ht="15" customHeight="1">
      <c r="A84" s="101" t="str">
        <f>IF(O84&gt;0,COUNT($A$7:A83)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84" s="610"/>
      <c r="C84" s="611"/>
      <c r="D84" s="142" t="str">
        <f>_xlfn.XLOOKUP(E84,'All Products'!D:D,'All Products'!C:C,FALSE)</f>
        <v>IFHP155</v>
      </c>
      <c r="E84" s="103">
        <v>300002261</v>
      </c>
      <c r="F84" s="195" t="str">
        <f>_xlfn.XLOOKUP(E84,'All Products'!D:D,'All Products'!E:E,FALSE)</f>
        <v>IFUSE IRR CLEANER HP</v>
      </c>
      <c r="G84" s="272" t="s">
        <v>1437</v>
      </c>
      <c r="H84" s="272" t="s">
        <v>1597</v>
      </c>
      <c r="I84" s="272" t="s">
        <v>1427</v>
      </c>
      <c r="J84" s="272" t="s">
        <v>1475</v>
      </c>
      <c r="K84" s="196">
        <f>_xlfn.XLOOKUP(E84,'All Products'!D:D,'All Products'!F:F,FALSE)</f>
        <v>24</v>
      </c>
      <c r="L84" s="196">
        <f>_xlfn.XLOOKUP(E84,'All Products'!D:D,'All Products'!G:G,FALSE)</f>
        <v>1920</v>
      </c>
      <c r="M84" s="142" t="str">
        <f>_xlfn.XLOOKUP(E84,'All Products'!D:D,'All Products'!H:H,FALSE)</f>
        <v>Quote Required</v>
      </c>
      <c r="N84" s="197">
        <f>IFERROR(ROUNDUP(M84*Order_Quote!$L$17,2),0)</f>
        <v>0</v>
      </c>
      <c r="O84" s="75"/>
      <c r="P84" s="113"/>
      <c r="Q84" s="171">
        <f t="shared" si="2"/>
        <v>0</v>
      </c>
      <c r="S84" s="215" t="str">
        <f>_xlfn.XLOOKUP(E84,'All Products'!D:D,'All Products'!I:I,FALSE)</f>
        <v>Within 3 Weeks</v>
      </c>
      <c r="T84" s="242" t="str">
        <f>_xlfn.XLOOKUP(E84,'All Products'!D:D,'All Products'!J:J,FALSE)</f>
        <v>Sourced</v>
      </c>
      <c r="U84" s="273">
        <f>_xlfn.XLOOKUP(E84,'All Products'!D:D,'All Products'!K:K,FALSE)</f>
        <v>49081071547</v>
      </c>
      <c r="V84" s="273">
        <f>_xlfn.XLOOKUP(E84,'All Products'!D:D,'All Products'!M:M,FALSE)</f>
        <v>50049081071542</v>
      </c>
      <c r="W84" s="264">
        <f>_xlfn.XLOOKUP(E84,'All Products'!D:D,'All Products'!N:N,FALSE)</f>
        <v>0.58299999999999996</v>
      </c>
      <c r="X84" s="265">
        <f>_xlfn.XLOOKUP(E84,'All Products'!D:D,'All Products'!P:P,FALSE)</f>
        <v>13</v>
      </c>
      <c r="Y84" s="265">
        <f>_xlfn.XLOOKUP(E84,'All Products'!D:D,'All Products'!Q:Q,FALSE)</f>
        <v>0.41</v>
      </c>
    </row>
    <row r="85" spans="1:25" ht="15" customHeight="1">
      <c r="A85" s="101" t="str">
        <f>IF(O85&gt;0,COUNT($A$7:A84)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85" s="612"/>
      <c r="C85" s="613"/>
      <c r="D85" s="142" t="str">
        <f>_xlfn.XLOOKUP(E85,'All Products'!D:D,'All Products'!C:C,FALSE)</f>
        <v>IFQP155</v>
      </c>
      <c r="E85" s="103">
        <v>300002305</v>
      </c>
      <c r="F85" s="195" t="str">
        <f>_xlfn.XLOOKUP(E85,'All Products'!D:D,'All Products'!E:E,FALSE)</f>
        <v>IFUSE IRR CLEANER QP</v>
      </c>
      <c r="G85" s="272" t="s">
        <v>1440</v>
      </c>
      <c r="H85" s="272" t="s">
        <v>1597</v>
      </c>
      <c r="I85" s="272" t="s">
        <v>1427</v>
      </c>
      <c r="J85" s="272" t="s">
        <v>1475</v>
      </c>
      <c r="K85" s="196">
        <f>_xlfn.XLOOKUP(E85,'All Products'!D:D,'All Products'!F:F,FALSE)</f>
        <v>24</v>
      </c>
      <c r="L85" s="196">
        <f>_xlfn.XLOOKUP(E85,'All Products'!D:D,'All Products'!G:G,FALSE)</f>
        <v>2808</v>
      </c>
      <c r="M85" s="142" t="str">
        <f>_xlfn.XLOOKUP(E85,'All Products'!D:D,'All Products'!H:H,FALSE)</f>
        <v>Quote Required</v>
      </c>
      <c r="N85" s="197">
        <f>IFERROR(ROUNDUP(M85*Order_Quote!$L$17,2),0)</f>
        <v>0</v>
      </c>
      <c r="O85" s="75"/>
      <c r="P85" s="113"/>
      <c r="Q85" s="171">
        <f t="shared" si="2"/>
        <v>0</v>
      </c>
      <c r="S85" s="215" t="str">
        <f>_xlfn.XLOOKUP(E85,'All Products'!D:D,'All Products'!I:I,FALSE)</f>
        <v>Within 6 Weeks</v>
      </c>
      <c r="T85" s="242" t="str">
        <f>_xlfn.XLOOKUP(E85,'All Products'!D:D,'All Products'!J:J,FALSE)</f>
        <v>Sourced</v>
      </c>
      <c r="U85" s="273">
        <f>_xlfn.XLOOKUP(E85,'All Products'!D:D,'All Products'!K:K,FALSE)</f>
        <v>49081071554</v>
      </c>
      <c r="V85" s="273">
        <f>_xlfn.XLOOKUP(E85,'All Products'!D:D,'All Products'!M:M,FALSE)</f>
        <v>50049081071559</v>
      </c>
      <c r="W85" s="264">
        <f>_xlfn.XLOOKUP(E85,'All Products'!D:D,'All Products'!N:N,FALSE)</f>
        <v>0.29199999999999998</v>
      </c>
      <c r="X85" s="265">
        <f>_xlfn.XLOOKUP(E85,'All Products'!D:D,'All Products'!P:P,FALSE)</f>
        <v>7</v>
      </c>
      <c r="Y85" s="265">
        <f>_xlfn.XLOOKUP(E85,'All Products'!D:D,'All Products'!Q:Q,FALSE)</f>
        <v>0.28999999999999998</v>
      </c>
    </row>
    <row r="86" spans="1:25" ht="60" customHeight="1">
      <c r="A86" s="101" t="str">
        <f>IF(O86&gt;0,COUNT($A$7:A85)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86" s="615"/>
      <c r="C86" s="615"/>
      <c r="D86" s="142" t="str">
        <f>_xlfn.XLOOKUP(E86,'All Products'!D:D,'All Products'!C:C,FALSE)</f>
        <v>IFHP-TS</v>
      </c>
      <c r="E86" s="103">
        <v>300002272</v>
      </c>
      <c r="F86" s="195" t="str">
        <f>_xlfn.XLOOKUP(E86,'All Products'!D:D,'All Products'!E:E,FALSE)</f>
        <v>IFUSE THREAD SEALANT HP</v>
      </c>
      <c r="G86" s="328" t="s">
        <v>1608</v>
      </c>
      <c r="H86" s="328" t="s">
        <v>1608</v>
      </c>
      <c r="I86" s="272" t="s">
        <v>1475</v>
      </c>
      <c r="J86" s="272" t="s">
        <v>1475</v>
      </c>
      <c r="K86" s="196">
        <f>_xlfn.XLOOKUP(E86,'All Products'!D:D,'All Products'!F:F,FALSE)</f>
        <v>24</v>
      </c>
      <c r="L86" s="196" t="str">
        <f>_xlfn.XLOOKUP(E86,'All Products'!D:D,'All Products'!G:G,FALSE)</f>
        <v>-</v>
      </c>
      <c r="M86" s="142" t="str">
        <f>_xlfn.XLOOKUP(E86,'All Products'!D:D,'All Products'!H:H,FALSE)</f>
        <v>Quote Required</v>
      </c>
      <c r="N86" s="197">
        <f>IFERROR(ROUNDUP(M86*Order_Quote!$L$17,2),0)</f>
        <v>0</v>
      </c>
      <c r="O86" s="75"/>
      <c r="P86" s="113"/>
      <c r="Q86" s="171">
        <f t="shared" si="2"/>
        <v>0</v>
      </c>
      <c r="S86" s="215" t="str">
        <f>_xlfn.XLOOKUP(E86,'All Products'!D:D,'All Products'!I:I,FALSE)</f>
        <v>Within 3 Weeks</v>
      </c>
      <c r="T86" s="242" t="str">
        <f>_xlfn.XLOOKUP(E86,'All Products'!D:D,'All Products'!J:J,FALSE)</f>
        <v>Sourced</v>
      </c>
      <c r="U86" s="273">
        <f>_xlfn.XLOOKUP(E86,'All Products'!D:D,'All Products'!K:K,FALSE)</f>
        <v>49081072186</v>
      </c>
      <c r="V86" s="273">
        <f>_xlfn.XLOOKUP(E86,'All Products'!D:D,'All Products'!M:M,FALSE)</f>
        <v>50049081072181</v>
      </c>
      <c r="W86" s="264">
        <f>_xlfn.XLOOKUP(E86,'All Products'!D:D,'All Products'!N:N,FALSE)</f>
        <v>0.83299999999999996</v>
      </c>
      <c r="X86" s="265">
        <f>_xlfn.XLOOKUP(E86,'All Products'!D:D,'All Products'!P:P,FALSE)</f>
        <v>20</v>
      </c>
      <c r="Y86" s="265">
        <f>_xlfn.XLOOKUP(E86,'All Products'!D:D,'All Products'!Q:Q,FALSE)</f>
        <v>0.38600000000000001</v>
      </c>
    </row>
    <row r="87" spans="1:25" ht="60" customHeight="1" thickBot="1">
      <c r="A87" s="101" t="str">
        <f>IF(O87&gt;0,COUNT($A$7:A86)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87" s="615"/>
      <c r="C87" s="615"/>
      <c r="D87" s="142" t="str">
        <f>_xlfn.XLOOKUP(E87,'All Products'!D:D,'All Products'!C:C,FALSE)</f>
        <v>IFQT-E</v>
      </c>
      <c r="E87" s="103">
        <v>300002336</v>
      </c>
      <c r="F87" s="195" t="str">
        <f>_xlfn.XLOOKUP(E87,'All Products'!D:D,'All Products'!E:E,FALSE)</f>
        <v>IFUSE EMPTY CAN QUART</v>
      </c>
      <c r="G87" s="272" t="s">
        <v>1611</v>
      </c>
      <c r="H87" s="272" t="s">
        <v>1611</v>
      </c>
      <c r="I87" s="272" t="s">
        <v>1475</v>
      </c>
      <c r="J87" s="272" t="s">
        <v>1475</v>
      </c>
      <c r="K87" s="196">
        <f>_xlfn.XLOOKUP(E87,'All Products'!D:D,'All Products'!F:F,FALSE)</f>
        <v>12</v>
      </c>
      <c r="L87" s="196" t="str">
        <f>_xlfn.XLOOKUP(E87,'All Products'!D:D,'All Products'!G:G,FALSE)</f>
        <v>-</v>
      </c>
      <c r="M87" s="142" t="str">
        <f>_xlfn.XLOOKUP(E87,'All Products'!D:D,'All Products'!H:H,FALSE)</f>
        <v>Quote Required</v>
      </c>
      <c r="N87" s="197">
        <f>IFERROR(ROUNDUP(M87*Order_Quote!$L$17,2),0)</f>
        <v>0</v>
      </c>
      <c r="O87" s="275"/>
      <c r="P87" s="113"/>
      <c r="Q87" s="171">
        <f t="shared" si="2"/>
        <v>0</v>
      </c>
      <c r="S87" s="215" t="str">
        <f>_xlfn.XLOOKUP(E87,'All Products'!D:D,'All Products'!I:I,FALSE)</f>
        <v>Within 6 Weeks</v>
      </c>
      <c r="T87" s="242" t="str">
        <f>_xlfn.XLOOKUP(E87,'All Products'!D:D,'All Products'!J:J,FALSE)</f>
        <v>Sourced</v>
      </c>
      <c r="U87" s="273">
        <f>_xlfn.XLOOKUP(E87,'All Products'!D:D,'All Products'!K:K,FALSE)</f>
        <v>49081072162</v>
      </c>
      <c r="V87" s="273">
        <f>_xlfn.XLOOKUP(E87,'All Products'!D:D,'All Products'!M:M,FALSE)</f>
        <v>50049081072167</v>
      </c>
      <c r="W87" s="264">
        <f>_xlfn.XLOOKUP(E87,'All Products'!D:D,'All Products'!N:N,FALSE)</f>
        <v>0.25</v>
      </c>
      <c r="X87" s="265">
        <f>_xlfn.XLOOKUP(E87,'All Products'!D:D,'All Products'!P:P,FALSE)</f>
        <v>3</v>
      </c>
      <c r="Y87" s="265">
        <f>_xlfn.XLOOKUP(E87,'All Products'!D:D,'All Products'!Q:Q,FALSE)</f>
        <v>0.67</v>
      </c>
    </row>
    <row r="88" spans="1:25" ht="15" customHeight="1">
      <c r="A88" s="101" t="str">
        <f>IF(O88&gt;0,COUNT($A$7:A87)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88" s="686"/>
      <c r="C88" s="687"/>
      <c r="D88" s="142" t="str">
        <f>_xlfn.XLOOKUP(E88,'All Products'!D:D,'All Products'!C:C,FALSE)</f>
        <v>GD-200</v>
      </c>
      <c r="E88" s="103">
        <v>300002219</v>
      </c>
      <c r="F88" s="195" t="str">
        <f>_xlfn.XLOOKUP(E88,'All Products'!D:D,'All Products'!E:E,FALSE)</f>
        <v>IFUSE 3/4" SCREW CAP DAUBER PINT</v>
      </c>
      <c r="G88" s="272" t="s">
        <v>1475</v>
      </c>
      <c r="H88" s="272" t="s">
        <v>1614</v>
      </c>
      <c r="I88" s="272" t="s">
        <v>1475</v>
      </c>
      <c r="J88" s="272" t="s">
        <v>1475</v>
      </c>
      <c r="K88" s="196">
        <f>_xlfn.XLOOKUP(E88,'All Products'!D:D,'All Products'!F:F,FALSE)</f>
        <v>50</v>
      </c>
      <c r="L88" s="196" t="str">
        <f>_xlfn.XLOOKUP(E88,'All Products'!D:D,'All Products'!G:G,FALSE)</f>
        <v>-</v>
      </c>
      <c r="M88" s="142" t="str">
        <f>_xlfn.XLOOKUP(E88,'All Products'!D:D,'All Products'!H:H,FALSE)</f>
        <v>Quote Required</v>
      </c>
      <c r="N88" s="197">
        <f>IFERROR(ROUNDUP(M88*Order_Quote!$L$17,2),0)</f>
        <v>0</v>
      </c>
      <c r="O88" s="75"/>
      <c r="P88" s="113"/>
      <c r="Q88" s="171">
        <f t="shared" si="2"/>
        <v>0</v>
      </c>
      <c r="S88" s="215" t="str">
        <f>_xlfn.XLOOKUP(E88,'All Products'!D:D,'All Products'!I:I,FALSE)</f>
        <v>Within 3 Weeks</v>
      </c>
      <c r="T88" s="242" t="str">
        <f>_xlfn.XLOOKUP(E88,'All Products'!D:D,'All Products'!J:J,FALSE)</f>
        <v>Sourced</v>
      </c>
      <c r="U88" s="273">
        <f>_xlfn.XLOOKUP(E88,'All Products'!D:D,'All Products'!K:K,FALSE)</f>
        <v>49081070113</v>
      </c>
      <c r="V88" s="273">
        <f>_xlfn.XLOOKUP(E88,'All Products'!D:D,'All Products'!M:M,FALSE)</f>
        <v>50049081070118</v>
      </c>
      <c r="W88" s="264">
        <f>_xlfn.XLOOKUP(E88,'All Products'!D:D,'All Products'!N:N,FALSE)</f>
        <v>0.03</v>
      </c>
      <c r="X88" s="265">
        <f>_xlfn.XLOOKUP(E88,'All Products'!D:D,'All Products'!P:P,FALSE)</f>
        <v>1.5</v>
      </c>
      <c r="Y88" s="265">
        <f>_xlfn.XLOOKUP(E88,'All Products'!D:D,'All Products'!Q:Q,FALSE)</f>
        <v>0.2</v>
      </c>
    </row>
    <row r="89" spans="1:25" ht="15" customHeight="1">
      <c r="A89" s="101" t="str">
        <f>IF(O89&gt;0,COUNT($A$7:A88)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89" s="686"/>
      <c r="C89" s="687"/>
      <c r="D89" s="142" t="str">
        <f>_xlfn.XLOOKUP(E89,'All Products'!D:D,'All Products'!C:C,FALSE)</f>
        <v>GD-300</v>
      </c>
      <c r="E89" s="103">
        <v>300002220</v>
      </c>
      <c r="F89" s="195" t="str">
        <f>_xlfn.XLOOKUP(E89,'All Products'!D:D,'All Products'!E:E,FALSE)</f>
        <v>IFUSE 1.1/2" SCREW CAP DAUBER PINT</v>
      </c>
      <c r="G89" s="272" t="s">
        <v>1475</v>
      </c>
      <c r="H89" s="272" t="s">
        <v>1614</v>
      </c>
      <c r="I89" s="272" t="s">
        <v>1475</v>
      </c>
      <c r="J89" s="272" t="s">
        <v>1475</v>
      </c>
      <c r="K89" s="196">
        <f>_xlfn.XLOOKUP(E89,'All Products'!D:D,'All Products'!F:F,FALSE)</f>
        <v>50</v>
      </c>
      <c r="L89" s="196" t="str">
        <f>_xlfn.XLOOKUP(E89,'All Products'!D:D,'All Products'!G:G,FALSE)</f>
        <v>-</v>
      </c>
      <c r="M89" s="142" t="str">
        <f>_xlfn.XLOOKUP(E89,'All Products'!D:D,'All Products'!H:H,FALSE)</f>
        <v>Quote Required</v>
      </c>
      <c r="N89" s="197">
        <f>IFERROR(ROUNDUP(M89*Order_Quote!$L$17,2),0)</f>
        <v>0</v>
      </c>
      <c r="O89" s="75"/>
      <c r="P89" s="113"/>
      <c r="Q89" s="171">
        <f t="shared" si="2"/>
        <v>0</v>
      </c>
      <c r="S89" s="215" t="str">
        <f>_xlfn.XLOOKUP(E89,'All Products'!D:D,'All Products'!I:I,FALSE)</f>
        <v>Within 3 Weeks</v>
      </c>
      <c r="T89" s="242" t="str">
        <f>_xlfn.XLOOKUP(E89,'All Products'!D:D,'All Products'!J:J,FALSE)</f>
        <v>Sourced</v>
      </c>
      <c r="U89" s="273">
        <f>_xlfn.XLOOKUP(E89,'All Products'!D:D,'All Products'!K:K,FALSE)</f>
        <v>49081070120</v>
      </c>
      <c r="V89" s="273">
        <f>_xlfn.XLOOKUP(E89,'All Products'!D:D,'All Products'!M:M,FALSE)</f>
        <v>50049081070125</v>
      </c>
      <c r="W89" s="264">
        <f>_xlfn.XLOOKUP(E89,'All Products'!D:D,'All Products'!N:N,FALSE)</f>
        <v>0.03</v>
      </c>
      <c r="X89" s="265">
        <f>_xlfn.XLOOKUP(E89,'All Products'!D:D,'All Products'!P:P,FALSE)</f>
        <v>1.5</v>
      </c>
      <c r="Y89" s="265">
        <f>_xlfn.XLOOKUP(E89,'All Products'!D:D,'All Products'!Q:Q,FALSE)</f>
        <v>0.2</v>
      </c>
    </row>
    <row r="90" spans="1:25" ht="15" customHeight="1">
      <c r="A90" s="101" t="str">
        <f>IF(O90&gt;0,COUNT($A$7:A89)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90" s="686"/>
      <c r="C90" s="687"/>
      <c r="D90" s="142" t="str">
        <f>_xlfn.XLOOKUP(E90,'All Products'!D:D,'All Products'!C:C,FALSE)</f>
        <v>GD-400</v>
      </c>
      <c r="E90" s="103">
        <v>300002221</v>
      </c>
      <c r="F90" s="195" t="str">
        <f>_xlfn.XLOOKUP(E90,'All Products'!D:D,'All Products'!E:E,FALSE)</f>
        <v>IFUSE 3/4" SCREW CAP DAUBER QUART</v>
      </c>
      <c r="G90" s="272" t="s">
        <v>1475</v>
      </c>
      <c r="H90" s="272" t="s">
        <v>1614</v>
      </c>
      <c r="I90" s="272" t="s">
        <v>1475</v>
      </c>
      <c r="J90" s="272" t="s">
        <v>1475</v>
      </c>
      <c r="K90" s="196">
        <f>_xlfn.XLOOKUP(E90,'All Products'!D:D,'All Products'!F:F,FALSE)</f>
        <v>50</v>
      </c>
      <c r="L90" s="196" t="str">
        <f>_xlfn.XLOOKUP(E90,'All Products'!D:D,'All Products'!G:G,FALSE)</f>
        <v>-</v>
      </c>
      <c r="M90" s="142" t="str">
        <f>_xlfn.XLOOKUP(E90,'All Products'!D:D,'All Products'!H:H,FALSE)</f>
        <v>Quote Required</v>
      </c>
      <c r="N90" s="197">
        <f>IFERROR(ROUNDUP(M90*Order_Quote!$L$17,2),0)</f>
        <v>0</v>
      </c>
      <c r="O90" s="75"/>
      <c r="P90" s="113"/>
      <c r="Q90" s="171">
        <f t="shared" si="2"/>
        <v>0</v>
      </c>
      <c r="S90" s="215" t="str">
        <f>_xlfn.XLOOKUP(E90,'All Products'!D:D,'All Products'!I:I,FALSE)</f>
        <v>Within 6 Weeks</v>
      </c>
      <c r="T90" s="242" t="str">
        <f>_xlfn.XLOOKUP(E90,'All Products'!D:D,'All Products'!J:J,FALSE)</f>
        <v>Sourced</v>
      </c>
      <c r="U90" s="273">
        <f>_xlfn.XLOOKUP(E90,'All Products'!D:D,'All Products'!K:K,FALSE)</f>
        <v>49081070137</v>
      </c>
      <c r="V90" s="273">
        <f>_xlfn.XLOOKUP(E90,'All Products'!D:D,'All Products'!M:M,FALSE)</f>
        <v>50049081070132</v>
      </c>
      <c r="W90" s="264">
        <f>_xlfn.XLOOKUP(E90,'All Products'!D:D,'All Products'!N:N,FALSE)</f>
        <v>0.03</v>
      </c>
      <c r="X90" s="265">
        <f>_xlfn.XLOOKUP(E90,'All Products'!D:D,'All Products'!P:P,FALSE)</f>
        <v>1.5</v>
      </c>
      <c r="Y90" s="265">
        <f>_xlfn.XLOOKUP(E90,'All Products'!D:D,'All Products'!Q:Q,FALSE)</f>
        <v>0.2</v>
      </c>
    </row>
    <row r="91" spans="1:25" ht="39.9" customHeight="1">
      <c r="A91" s="101" t="str">
        <f>IF(O91&gt;0,COUNT($A$7:A90)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91" s="270"/>
      <c r="C91" s="271"/>
      <c r="D91" s="142" t="str">
        <f>_xlfn.XLOOKUP(E91,'All Products'!D:D,'All Products'!C:C,FALSE)</f>
        <v>GD-560</v>
      </c>
      <c r="E91" s="103">
        <v>300002224</v>
      </c>
      <c r="F91" s="195" t="str">
        <f>_xlfn.XLOOKUP(E91,'All Products'!D:D,'All Products'!E:E,FALSE)</f>
        <v>IFUSE 7 CAP ROLLER GALLON</v>
      </c>
      <c r="G91" s="272" t="s">
        <v>1475</v>
      </c>
      <c r="H91" s="272" t="s">
        <v>1621</v>
      </c>
      <c r="I91" s="272" t="s">
        <v>1475</v>
      </c>
      <c r="J91" s="272" t="s">
        <v>1475</v>
      </c>
      <c r="K91" s="196">
        <f>_xlfn.XLOOKUP(E91,'All Products'!D:D,'All Products'!F:F,FALSE)</f>
        <v>20</v>
      </c>
      <c r="L91" s="196" t="str">
        <f>_xlfn.XLOOKUP(E91,'All Products'!D:D,'All Products'!G:G,FALSE)</f>
        <v>-</v>
      </c>
      <c r="M91" s="142" t="str">
        <f>_xlfn.XLOOKUP(E91,'All Products'!D:D,'All Products'!H:H,FALSE)</f>
        <v>Quote Required</v>
      </c>
      <c r="N91" s="197">
        <f>IFERROR(ROUNDUP(M91*Order_Quote!$L$17,2),0)</f>
        <v>0</v>
      </c>
      <c r="O91" s="75"/>
      <c r="P91" s="113"/>
      <c r="Q91" s="171">
        <f t="shared" si="2"/>
        <v>0</v>
      </c>
      <c r="S91" s="215" t="str">
        <f>_xlfn.XLOOKUP(E91,'All Products'!D:D,'All Products'!I:I,FALSE)</f>
        <v>Within 6 Weeks</v>
      </c>
      <c r="T91" s="242" t="str">
        <f>_xlfn.XLOOKUP(E91,'All Products'!D:D,'All Products'!J:J,FALSE)</f>
        <v>Sourced</v>
      </c>
      <c r="U91" s="273">
        <f>_xlfn.XLOOKUP(E91,'All Products'!D:D,'All Products'!K:K,FALSE)</f>
        <v>49081070182</v>
      </c>
      <c r="V91" s="273">
        <f>_xlfn.XLOOKUP(E91,'All Products'!D:D,'All Products'!M:M,FALSE)</f>
        <v>50049081070187</v>
      </c>
      <c r="W91" s="264">
        <f>_xlfn.XLOOKUP(E91,'All Products'!D:D,'All Products'!N:N,FALSE)</f>
        <v>0.35</v>
      </c>
      <c r="X91" s="265">
        <f>_xlfn.XLOOKUP(E91,'All Products'!D:D,'All Products'!P:P,FALSE)</f>
        <v>7</v>
      </c>
      <c r="Y91" s="265">
        <f>_xlfn.XLOOKUP(E91,'All Products'!D:D,'All Products'!Q:Q,FALSE)</f>
        <v>0.93</v>
      </c>
    </row>
    <row r="92" spans="1:25" ht="24.9" customHeight="1">
      <c r="A92" s="101" t="str">
        <f>IF(O92&gt;0,COUNT($A$7:A91)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92" s="688"/>
      <c r="C92" s="689"/>
      <c r="D92" s="142" t="str">
        <f>_xlfn.XLOOKUP(E92,'All Products'!D:D,'All Products'!C:C,FALSE)</f>
        <v>GD-600</v>
      </c>
      <c r="E92" s="103">
        <v>300002225</v>
      </c>
      <c r="F92" s="195" t="str">
        <f>_xlfn.XLOOKUP(E92,'All Products'!D:D,'All Products'!E:E,FALSE)</f>
        <v>IFUSE 4 QUART SWAB</v>
      </c>
      <c r="G92" s="272" t="s">
        <v>1475</v>
      </c>
      <c r="H92" s="272" t="s">
        <v>1624</v>
      </c>
      <c r="I92" s="272" t="s">
        <v>1475</v>
      </c>
      <c r="J92" s="272" t="s">
        <v>1475</v>
      </c>
      <c r="K92" s="196">
        <f>_xlfn.XLOOKUP(E92,'All Products'!D:D,'All Products'!F:F,FALSE)</f>
        <v>24</v>
      </c>
      <c r="L92" s="196" t="str">
        <f>_xlfn.XLOOKUP(E92,'All Products'!D:D,'All Products'!G:G,FALSE)</f>
        <v>-</v>
      </c>
      <c r="M92" s="142" t="str">
        <f>_xlfn.XLOOKUP(E92,'All Products'!D:D,'All Products'!H:H,FALSE)</f>
        <v>Quote Required</v>
      </c>
      <c r="N92" s="197">
        <f>IFERROR(ROUNDUP(M92*Order_Quote!$L$17,2),0)</f>
        <v>0</v>
      </c>
      <c r="O92" s="75"/>
      <c r="P92" s="113"/>
      <c r="Q92" s="171">
        <f t="shared" si="2"/>
        <v>0</v>
      </c>
      <c r="S92" s="215" t="str">
        <f>_xlfn.XLOOKUP(E92,'All Products'!D:D,'All Products'!I:I,FALSE)</f>
        <v>Within 3 Weeks</v>
      </c>
      <c r="T92" s="242" t="str">
        <f>_xlfn.XLOOKUP(E92,'All Products'!D:D,'All Products'!J:J,FALSE)</f>
        <v>Sourced</v>
      </c>
      <c r="U92" s="273">
        <f>_xlfn.XLOOKUP(E92,'All Products'!D:D,'All Products'!K:K,FALSE)</f>
        <v>49081070151</v>
      </c>
      <c r="V92" s="273">
        <f>_xlfn.XLOOKUP(E92,'All Products'!D:D,'All Products'!M:M,FALSE)</f>
        <v>50049081070156</v>
      </c>
      <c r="W92" s="264">
        <f>_xlfn.XLOOKUP(E92,'All Products'!D:D,'All Products'!N:N,FALSE)</f>
        <v>0.16700000000000001</v>
      </c>
      <c r="X92" s="265">
        <f>_xlfn.XLOOKUP(E92,'All Products'!D:D,'All Products'!P:P,FALSE)</f>
        <v>4</v>
      </c>
      <c r="Y92" s="265">
        <f>_xlfn.XLOOKUP(E92,'All Products'!D:D,'All Products'!Q:Q,FALSE)</f>
        <v>0.93</v>
      </c>
    </row>
    <row r="93" spans="1:25" ht="24.9" customHeight="1">
      <c r="A93" s="101" t="str">
        <f>IF(O93&gt;0,COUNT($A$7:A92)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93" s="690"/>
      <c r="C93" s="691"/>
      <c r="D93" s="142" t="str">
        <f>_xlfn.XLOOKUP(E93,'All Products'!D:D,'All Products'!C:C,FALSE)</f>
        <v>GD-700</v>
      </c>
      <c r="E93" s="103">
        <v>300002226</v>
      </c>
      <c r="F93" s="195" t="str">
        <f>_xlfn.XLOOKUP(E93,'All Products'!D:D,'All Products'!E:E,FALSE)</f>
        <v>IFUSE 4 GALLON SWAB</v>
      </c>
      <c r="G93" s="272" t="s">
        <v>1475</v>
      </c>
      <c r="H93" s="272" t="s">
        <v>1624</v>
      </c>
      <c r="I93" s="272" t="s">
        <v>1475</v>
      </c>
      <c r="J93" s="272" t="s">
        <v>1475</v>
      </c>
      <c r="K93" s="196">
        <f>_xlfn.XLOOKUP(E93,'All Products'!D:D,'All Products'!F:F,FALSE)</f>
        <v>24</v>
      </c>
      <c r="L93" s="196" t="str">
        <f>_xlfn.XLOOKUP(E93,'All Products'!D:D,'All Products'!G:G,FALSE)</f>
        <v>-</v>
      </c>
      <c r="M93" s="142" t="str">
        <f>_xlfn.XLOOKUP(E93,'All Products'!D:D,'All Products'!H:H,FALSE)</f>
        <v>Quote Required</v>
      </c>
      <c r="N93" s="197">
        <f>IFERROR(ROUNDUP(M93*Order_Quote!$L$17,2),0)</f>
        <v>0</v>
      </c>
      <c r="O93" s="75"/>
      <c r="P93" s="113"/>
      <c r="Q93" s="171">
        <f t="shared" si="2"/>
        <v>0</v>
      </c>
      <c r="S93" s="215" t="str">
        <f>_xlfn.XLOOKUP(E93,'All Products'!D:D,'All Products'!I:I,FALSE)</f>
        <v>Within 3 Weeks</v>
      </c>
      <c r="T93" s="242" t="str">
        <f>_xlfn.XLOOKUP(E93,'All Products'!D:D,'All Products'!J:J,FALSE)</f>
        <v>Sourced</v>
      </c>
      <c r="U93" s="273">
        <f>_xlfn.XLOOKUP(E93,'All Products'!D:D,'All Products'!K:K,FALSE)</f>
        <v>49081070168</v>
      </c>
      <c r="V93" s="273">
        <f>_xlfn.XLOOKUP(E93,'All Products'!D:D,'All Products'!M:M,FALSE)</f>
        <v>50049081070163</v>
      </c>
      <c r="W93" s="264">
        <f>_xlfn.XLOOKUP(E93,'All Products'!D:D,'All Products'!N:N,FALSE)</f>
        <v>0.20799999999999999</v>
      </c>
      <c r="X93" s="265">
        <f>_xlfn.XLOOKUP(E93,'All Products'!D:D,'All Products'!P:P,FALSE)</f>
        <v>5</v>
      </c>
      <c r="Y93" s="265">
        <f>_xlfn.XLOOKUP(E93,'All Products'!D:D,'All Products'!Q:Q,FALSE)</f>
        <v>0.93</v>
      </c>
    </row>
    <row r="94" spans="1:25" ht="40.200000000000003" customHeight="1">
      <c r="A94" s="101" t="str">
        <f>IF(O94&gt;0,COUNT($A$7:A93)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+COUNT(SDR26G!$A$9:$A$66)+1,"")</f>
        <v/>
      </c>
      <c r="B94" s="692"/>
      <c r="C94" s="693"/>
      <c r="D94" s="142" t="str">
        <f>_xlfn.XLOOKUP(E94,'All Products'!D:D,'All Products'!C:C,FALSE)</f>
        <v>GD-800</v>
      </c>
      <c r="E94" s="103">
        <v>300002227</v>
      </c>
      <c r="F94" s="195" t="str">
        <f>_xlfn.XLOOKUP(E94,'All Products'!D:D,'All Products'!E:E,FALSE)</f>
        <v>IFUSE 3/4" EXPAND DAUBER STEM, PINT/QT</v>
      </c>
      <c r="G94" s="272" t="s">
        <v>1475</v>
      </c>
      <c r="H94" s="328" t="s">
        <v>1629</v>
      </c>
      <c r="I94" s="272" t="s">
        <v>1475</v>
      </c>
      <c r="J94" s="272" t="s">
        <v>1475</v>
      </c>
      <c r="K94" s="196">
        <f>_xlfn.XLOOKUP(E94,'All Products'!D:D,'All Products'!F:F,FALSE)</f>
        <v>50</v>
      </c>
      <c r="L94" s="196" t="str">
        <f>_xlfn.XLOOKUP(E94,'All Products'!D:D,'All Products'!G:G,FALSE)</f>
        <v>-</v>
      </c>
      <c r="M94" s="142" t="str">
        <f>_xlfn.XLOOKUP(E94,'All Products'!D:D,'All Products'!H:H,FALSE)</f>
        <v>Quote Required</v>
      </c>
      <c r="N94" s="197">
        <f>IFERROR(ROUNDUP(M94*Order_Quote!$L$17,2),0)</f>
        <v>0</v>
      </c>
      <c r="O94" s="75"/>
      <c r="P94" s="113"/>
      <c r="Q94" s="171">
        <f t="shared" si="2"/>
        <v>0</v>
      </c>
      <c r="S94" s="215" t="str">
        <f>_xlfn.XLOOKUP(E94,'All Products'!D:D,'All Products'!I:I,FALSE)</f>
        <v>Within 6 Weeks</v>
      </c>
      <c r="T94" s="242" t="str">
        <f>_xlfn.XLOOKUP(E94,'All Products'!D:D,'All Products'!J:J,FALSE)</f>
        <v>Sourced</v>
      </c>
      <c r="U94" s="273">
        <f>_xlfn.XLOOKUP(E94,'All Products'!D:D,'All Products'!K:K,FALSE)</f>
        <v>49081070199</v>
      </c>
      <c r="V94" s="273">
        <f>_xlfn.XLOOKUP(E94,'All Products'!D:D,'All Products'!M:M,FALSE)</f>
        <v>50049081070194</v>
      </c>
      <c r="W94" s="264">
        <f>_xlfn.XLOOKUP(E94,'All Products'!D:D,'All Products'!N:N,FALSE)</f>
        <v>0.04</v>
      </c>
      <c r="X94" s="265">
        <f>_xlfn.XLOOKUP(E94,'All Products'!D:D,'All Products'!P:P,FALSE)</f>
        <v>2</v>
      </c>
      <c r="Y94" s="265">
        <f>_xlfn.XLOOKUP(E94,'All Products'!D:D,'All Products'!Q:Q,FALSE)</f>
        <v>0.2</v>
      </c>
    </row>
    <row r="95" spans="1:25" ht="15" customHeight="1">
      <c r="A95" s="101">
        <f>MAX(A8:A94)+1</f>
        <v>1</v>
      </c>
    </row>
  </sheetData>
  <sheetProtection algorithmName="SHA-512" hashValue="pdlBAZbOM2FEyNS252f3hQh3UBWGZzQOTW6/kL1E1DlKMqT8YXu6Y2iBM5wztezYvyfAzO8W27nEbzrjydkd5Q==" saltValue="Xf88JUJuAcvPYPX/FBIGSA==" spinCount="100000" sheet="1" formatCells="0" formatColumns="0" formatRows="0" insertColumns="0" insertRows="0" insertHyperlinks="0" deleteColumns="0" deleteRows="0" sort="0" autoFilter="0" pivotTables="0"/>
  <mergeCells count="24">
    <mergeCell ref="B92:C93"/>
    <mergeCell ref="B94:C94"/>
    <mergeCell ref="B86:C86"/>
    <mergeCell ref="B53:C56"/>
    <mergeCell ref="B57:C60"/>
    <mergeCell ref="B71:C75"/>
    <mergeCell ref="B81:C85"/>
    <mergeCell ref="U6:V6"/>
    <mergeCell ref="B49:C52"/>
    <mergeCell ref="B76:C80"/>
    <mergeCell ref="B87:C87"/>
    <mergeCell ref="B88:C90"/>
    <mergeCell ref="B44:C48"/>
    <mergeCell ref="B29:C33"/>
    <mergeCell ref="B39:C43"/>
    <mergeCell ref="B28:C28"/>
    <mergeCell ref="B34:C38"/>
    <mergeCell ref="B61:C65"/>
    <mergeCell ref="B66:C70"/>
    <mergeCell ref="N2:O3"/>
    <mergeCell ref="B8:C12"/>
    <mergeCell ref="B13:C17"/>
    <mergeCell ref="B18:C22"/>
    <mergeCell ref="B23:C27"/>
  </mergeCells>
  <dataValidations xWindow="1215" yWindow="270" count="6">
    <dataValidation type="decimal" operator="lessThanOrEqual" allowBlank="1" showInputMessage="1" showErrorMessage="1" errorTitle="Invalid Entry!" error="An invalid quantity has been entered. Please enter only decimal numbers. Click Retry to change entry or Cancel to clear entry." sqref="E2" xr:uid="{00000000-0002-0000-0900-000001000000}">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P1:P6 P95" xr:uid="{00000000-0002-0000-0900-000002000000}">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P7" xr:uid="{00000000-0002-0000-0900-000003000000}">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P8:P94" xr:uid="{00000000-0002-0000-0900-000000000000}">
      <formula1>1</formula1>
    </dataValidation>
    <dataValidation type="whole" operator="greaterThanOrEqual" allowBlank="1" showErrorMessage="1" errorTitle="Invalid entry!" error="An invalid quantity has been entered. Please enter only whole numbers. Click Retry to change entry or Cancel to clear entry." sqref="N2:N7" xr:uid="{CA9210E0-DB30-449B-9BAD-EBBC5DB7C16C}">
      <formula1>1</formula1>
    </dataValidation>
    <dataValidation allowBlank="1" showErrorMessage="1" sqref="O1:O1048576" xr:uid="{530E5E5C-9683-4F92-BEC6-416B5B26FE45}"/>
  </dataValidations>
  <printOptions horizontalCentered="1"/>
  <pageMargins left="0.7" right="0.7" top="0.75" bottom="0.75" header="0.3" footer="0.3"/>
  <pageSetup scale="54" fitToHeight="0" orientation="portrait" horizontalDpi="4294967292" r:id="rId1"/>
  <headerFooter>
    <oddFooter>&amp;L&amp;8V06032014&amp;CCopyright 2014
All rights reserved
For Tigre-ADS USA customer and rep use only_x000D_&amp;1#&amp;"Aptos"&amp;11&amp;K000000 TIGRE:Internal&amp;R&amp;P</oddFooter>
  </headerFooter>
  <rowBreaks count="2" manualBreakCount="2">
    <brk id="48" max="12" man="1"/>
    <brk id="94" max="12"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A5F6A-4F71-4B38-9E5A-E0172B44C228}">
  <sheetPr codeName="Sheet21">
    <tabColor theme="0"/>
    <pageSetUpPr fitToPage="1"/>
  </sheetPr>
  <dimension ref="A1:V124"/>
  <sheetViews>
    <sheetView workbookViewId="0">
      <selection activeCell="M9" sqref="M9"/>
    </sheetView>
  </sheetViews>
  <sheetFormatPr defaultColWidth="9.109375" defaultRowHeight="14.4"/>
  <cols>
    <col min="1" max="1" width="4.33203125" style="101" customWidth="1"/>
    <col min="2" max="3" width="8.6640625" style="17" customWidth="1"/>
    <col min="4" max="5" width="12.6640625" style="20" customWidth="1"/>
    <col min="6" max="6" width="44.33203125" style="184" customWidth="1"/>
    <col min="7" max="7" width="8.88671875" style="20" customWidth="1"/>
    <col min="8" max="8" width="8.33203125" style="20" customWidth="1"/>
    <col min="9" max="9" width="23.109375" style="202" bestFit="1" customWidth="1"/>
    <col min="10" max="10" width="7.6640625" style="20" customWidth="1"/>
    <col min="11" max="11" width="7.6640625" style="444" customWidth="1"/>
    <col min="12" max="12" width="10.44140625" style="199" customWidth="1"/>
    <col min="13" max="13" width="10.44140625" style="20" customWidth="1"/>
    <col min="14" max="14" width="1.44140625" style="20" customWidth="1"/>
    <col min="15" max="15" width="10.6640625" style="25" customWidth="1"/>
    <col min="16" max="16" width="2.6640625" style="17" customWidth="1"/>
    <col min="17" max="17" width="14.44140625" style="202" bestFit="1" customWidth="1"/>
    <col min="18" max="18" width="12.33203125" style="202" customWidth="1"/>
    <col min="19" max="21" width="14.44140625" style="515" bestFit="1" customWidth="1"/>
    <col min="22" max="22" width="10.6640625" style="25" customWidth="1"/>
    <col min="23" max="16384" width="9.109375" style="17"/>
  </cols>
  <sheetData>
    <row r="1" spans="1:22" ht="18">
      <c r="F1" s="447" t="s">
        <v>1630</v>
      </c>
      <c r="H1" s="198"/>
      <c r="I1" s="198"/>
      <c r="J1" s="198"/>
      <c r="Q1" s="198"/>
      <c r="R1" s="198"/>
      <c r="S1" s="389"/>
      <c r="T1" s="389"/>
      <c r="U1" s="389"/>
    </row>
    <row r="2" spans="1:22" ht="15.6">
      <c r="D2" s="441"/>
      <c r="E2" s="201"/>
      <c r="L2" s="607" t="s">
        <v>59</v>
      </c>
      <c r="M2" s="607"/>
    </row>
    <row r="3" spans="1:22">
      <c r="F3" s="448" t="s">
        <v>1631</v>
      </c>
      <c r="G3" s="4"/>
      <c r="H3" s="4"/>
      <c r="J3" s="202"/>
      <c r="L3" s="607"/>
      <c r="M3" s="607"/>
    </row>
    <row r="4" spans="1:22">
      <c r="E4" s="147" t="s">
        <v>5732</v>
      </c>
      <c r="F4" s="327" t="s">
        <v>5989</v>
      </c>
      <c r="G4" s="4"/>
      <c r="H4" s="4"/>
      <c r="J4" s="202"/>
      <c r="M4" s="17"/>
    </row>
    <row r="5" spans="1:22">
      <c r="F5" s="449" t="s">
        <v>5973</v>
      </c>
      <c r="G5" s="4"/>
      <c r="H5" s="4"/>
      <c r="J5" s="202"/>
      <c r="M5" s="17"/>
    </row>
    <row r="6" spans="1:22">
      <c r="L6" s="182"/>
      <c r="M6" s="17"/>
      <c r="S6" s="698" t="s">
        <v>64</v>
      </c>
      <c r="T6" s="698"/>
      <c r="U6" s="698"/>
    </row>
    <row r="7" spans="1:22" ht="43.8" thickBot="1">
      <c r="B7" s="136"/>
      <c r="C7" s="136"/>
      <c r="D7" s="136" t="s">
        <v>1632</v>
      </c>
      <c r="E7" s="136" t="s">
        <v>49</v>
      </c>
      <c r="F7" s="136" t="s">
        <v>1305</v>
      </c>
      <c r="G7" s="136" t="s">
        <v>1633</v>
      </c>
      <c r="H7" s="136" t="s">
        <v>1634</v>
      </c>
      <c r="I7" s="136" t="s">
        <v>1420</v>
      </c>
      <c r="J7" s="136" t="s">
        <v>66</v>
      </c>
      <c r="K7" s="190" t="s">
        <v>51</v>
      </c>
      <c r="L7" s="157" t="s">
        <v>55</v>
      </c>
      <c r="M7" s="158" t="s">
        <v>52</v>
      </c>
      <c r="N7" s="17"/>
      <c r="O7" s="445" t="s">
        <v>5770</v>
      </c>
      <c r="Q7" s="203" t="s">
        <v>68</v>
      </c>
      <c r="R7" s="203" t="s">
        <v>69</v>
      </c>
      <c r="S7" s="516" t="s">
        <v>70</v>
      </c>
      <c r="T7" s="516" t="s">
        <v>71</v>
      </c>
      <c r="U7" s="516" t="s">
        <v>72</v>
      </c>
      <c r="V7" s="157" t="s">
        <v>73</v>
      </c>
    </row>
    <row r="8" spans="1:22" ht="16.2" thickBot="1">
      <c r="B8" s="446" t="s">
        <v>1635</v>
      </c>
      <c r="C8" s="151"/>
      <c r="D8" s="151"/>
      <c r="E8" s="151"/>
      <c r="F8" s="450"/>
      <c r="G8" s="151"/>
      <c r="H8" s="151"/>
      <c r="I8" s="151"/>
      <c r="J8" s="151"/>
      <c r="K8" s="192"/>
      <c r="L8" s="151"/>
      <c r="M8" s="358"/>
      <c r="N8" s="17"/>
      <c r="O8" s="545"/>
      <c r="Q8" s="150"/>
      <c r="R8" s="151"/>
      <c r="S8" s="459"/>
      <c r="T8" s="459"/>
      <c r="U8" s="459"/>
      <c r="V8" s="358"/>
    </row>
    <row r="9" spans="1:22">
      <c r="A9" s="101" t="str">
        <f>IF(M9&gt;0,COUNT($A$8:A8)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9" s="694"/>
      <c r="C9" s="683"/>
      <c r="D9" s="137">
        <f>_xlfn.XLOOKUP(E9,'All Products'!D:D,'All Products'!C:C,FALSE)</f>
        <v>60</v>
      </c>
      <c r="E9" s="137">
        <v>100025676</v>
      </c>
      <c r="F9" s="160" t="str">
        <f>_xlfn.XLOOKUP(E9,'All Products'!D:D,'All Products'!E:E,FALSE)</f>
        <v>6" RND VLV BOX W/LID BLK/GRN</v>
      </c>
      <c r="G9" s="137" t="s">
        <v>1564</v>
      </c>
      <c r="H9" s="137" t="s">
        <v>1637</v>
      </c>
      <c r="I9" s="204" t="s">
        <v>1638</v>
      </c>
      <c r="J9" s="137">
        <f>_xlfn.XLOOKUP(E9,'All Products'!D:D,'All Products'!G:G,FALSE)</f>
        <v>570</v>
      </c>
      <c r="K9" s="452">
        <f>_xlfn.XLOOKUP(E9,'All Products'!D:D,'All Products'!H:H,FALSE)</f>
        <v>17.46</v>
      </c>
      <c r="L9" s="180">
        <f>ROUND(K9*Order_Quote!$L$18,2)</f>
        <v>17.46</v>
      </c>
      <c r="M9" s="175"/>
      <c r="N9" s="113"/>
      <c r="O9" s="171">
        <f t="shared" ref="O9:O18" si="0">M9/J9</f>
        <v>0</v>
      </c>
      <c r="Q9" s="359" t="str">
        <f>_xlfn.XLOOKUP(E9,'All Products'!D:D,'All Products'!I:I,FALSE)</f>
        <v>In Stock</v>
      </c>
      <c r="R9" s="204" t="str">
        <f>_xlfn.XLOOKUP(E9,'All Products'!D:D,'All Products'!J:J,FALSE)</f>
        <v>Manufactured</v>
      </c>
      <c r="S9" s="517">
        <f>_xlfn.XLOOKUP(E9,'All Products'!D:D,'All Products'!K:K,FALSE)</f>
        <v>49081801540</v>
      </c>
      <c r="T9" s="517" t="str">
        <f>_xlfn.XLOOKUP(E9,'All Products'!D:D,'All Products'!L:L,FALSE)</f>
        <v>-</v>
      </c>
      <c r="U9" s="517" t="str">
        <f>_xlfn.XLOOKUP(E9,'All Products'!D:D,'All Products'!M:M,FALSE)</f>
        <v>-</v>
      </c>
      <c r="V9" s="454">
        <f>_xlfn.XLOOKUP(E9,'All Products'!D:D,'All Products'!N:N,FALSE)</f>
        <v>1.07</v>
      </c>
    </row>
    <row r="10" spans="1:22">
      <c r="A10" s="101" t="str">
        <f>IF(M10&gt;0,COUNT($A$8:A9)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0" s="695"/>
      <c r="C10" s="611"/>
      <c r="D10" s="103">
        <f>_xlfn.XLOOKUP(E10,'All Products'!D:D,'All Products'!C:C,FALSE)</f>
        <v>61</v>
      </c>
      <c r="E10" s="103">
        <v>100028499</v>
      </c>
      <c r="F10" s="144" t="str">
        <f>_xlfn.XLOOKUP(E10,'All Products'!D:D,'All Products'!E:E,FALSE)</f>
        <v>6" RND VLV BOX W/LID GRN/GRN</v>
      </c>
      <c r="G10" s="103" t="s">
        <v>1637</v>
      </c>
      <c r="H10" s="103" t="s">
        <v>1637</v>
      </c>
      <c r="I10" s="206" t="s">
        <v>1638</v>
      </c>
      <c r="J10" s="103">
        <f>_xlfn.XLOOKUP(E10,'All Products'!D:D,'All Products'!G:G,FALSE)</f>
        <v>570</v>
      </c>
      <c r="K10" s="142">
        <f>_xlfn.XLOOKUP(E10,'All Products'!D:D,'All Products'!H:H,FALSE)</f>
        <v>17.46</v>
      </c>
      <c r="L10" s="173">
        <f>ROUND(K10*Order_Quote!$L$18,2)</f>
        <v>17.46</v>
      </c>
      <c r="M10" s="75"/>
      <c r="N10" s="113"/>
      <c r="O10" s="171">
        <f t="shared" si="0"/>
        <v>0</v>
      </c>
      <c r="Q10" s="360" t="str">
        <f>_xlfn.XLOOKUP(E10,'All Products'!D:D,'All Products'!I:I,FALSE)</f>
        <v>In Stock</v>
      </c>
      <c r="R10" s="206" t="str">
        <f>_xlfn.XLOOKUP(E10,'All Products'!D:D,'All Products'!J:J,FALSE)</f>
        <v>Manufactured</v>
      </c>
      <c r="S10" s="518">
        <f>_xlfn.XLOOKUP(E10,'All Products'!D:D,'All Products'!K:K,FALSE)</f>
        <v>49081801588</v>
      </c>
      <c r="T10" s="518" t="str">
        <f>_xlfn.XLOOKUP(E10,'All Products'!D:D,'All Products'!L:L,FALSE)</f>
        <v>-</v>
      </c>
      <c r="U10" s="518" t="str">
        <f>_xlfn.XLOOKUP(E10,'All Products'!D:D,'All Products'!M:M,FALSE)</f>
        <v>-</v>
      </c>
      <c r="V10" s="455">
        <f>_xlfn.XLOOKUP(E10,'All Products'!D:D,'All Products'!N:N,FALSE)</f>
        <v>1.07</v>
      </c>
    </row>
    <row r="11" spans="1:22">
      <c r="A11" s="101" t="str">
        <f>IF(M11&gt;0,COUNT($A$8:A10)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1" s="695"/>
      <c r="C11" s="611"/>
      <c r="D11" s="103">
        <f>_xlfn.XLOOKUP(E11,'All Products'!D:D,'All Products'!C:C,FALSE)</f>
        <v>62</v>
      </c>
      <c r="E11" s="103">
        <v>100028500</v>
      </c>
      <c r="F11" s="144" t="str">
        <f>_xlfn.XLOOKUP(E11,'All Products'!D:D,'All Products'!E:E,FALSE)</f>
        <v>6" RND VLV BOX W/LID TAN/TAN</v>
      </c>
      <c r="G11" s="103" t="s">
        <v>1641</v>
      </c>
      <c r="H11" s="103" t="s">
        <v>1641</v>
      </c>
      <c r="I11" s="206" t="s">
        <v>1638</v>
      </c>
      <c r="J11" s="103">
        <f>_xlfn.XLOOKUP(E11,'All Products'!D:D,'All Products'!G:G,FALSE)</f>
        <v>570</v>
      </c>
      <c r="K11" s="142">
        <f>_xlfn.XLOOKUP(E11,'All Products'!D:D,'All Products'!H:H,FALSE)</f>
        <v>17.46</v>
      </c>
      <c r="L11" s="173">
        <f>ROUND(K11*Order_Quote!$L$18,2)</f>
        <v>17.46</v>
      </c>
      <c r="M11" s="75"/>
      <c r="N11" s="113"/>
      <c r="O11" s="171">
        <f t="shared" si="0"/>
        <v>0</v>
      </c>
      <c r="Q11" s="360" t="str">
        <f>_xlfn.XLOOKUP(E11,'All Products'!D:D,'All Products'!I:I,FALSE)</f>
        <v>In Stock</v>
      </c>
      <c r="R11" s="206" t="str">
        <f>_xlfn.XLOOKUP(E11,'All Products'!D:D,'All Products'!J:J,FALSE)</f>
        <v>Manufactured</v>
      </c>
      <c r="S11" s="518">
        <f>_xlfn.XLOOKUP(E11,'All Products'!D:D,'All Products'!K:K,FALSE)</f>
        <v>49081801625</v>
      </c>
      <c r="T11" s="518" t="str">
        <f>_xlfn.XLOOKUP(E11,'All Products'!D:D,'All Products'!L:L,FALSE)</f>
        <v>-</v>
      </c>
      <c r="U11" s="518" t="str">
        <f>_xlfn.XLOOKUP(E11,'All Products'!D:D,'All Products'!M:M,FALSE)</f>
        <v>-</v>
      </c>
      <c r="V11" s="455">
        <f>_xlfn.XLOOKUP(E11,'All Products'!D:D,'All Products'!N:N,FALSE)</f>
        <v>1.07</v>
      </c>
    </row>
    <row r="12" spans="1:22">
      <c r="A12" s="101" t="str">
        <f>IF(M12&gt;0,COUNT($A$8:A11)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2" s="695"/>
      <c r="C12" s="611"/>
      <c r="D12" s="103">
        <f>_xlfn.XLOOKUP(E12,'All Products'!D:D,'All Products'!C:C,FALSE)</f>
        <v>64</v>
      </c>
      <c r="E12" s="103">
        <v>100028502</v>
      </c>
      <c r="F12" s="144" t="str">
        <f>_xlfn.XLOOKUP(E12,'All Products'!D:D,'All Products'!E:E,FALSE)</f>
        <v>6" RND VLV BOX W/LID BLK/BLK</v>
      </c>
      <c r="G12" s="103" t="s">
        <v>1564</v>
      </c>
      <c r="H12" s="103" t="s">
        <v>1564</v>
      </c>
      <c r="I12" s="206" t="s">
        <v>1638</v>
      </c>
      <c r="J12" s="103">
        <f>_xlfn.XLOOKUP(E12,'All Products'!D:D,'All Products'!G:G,FALSE)</f>
        <v>570</v>
      </c>
      <c r="K12" s="142">
        <f>_xlfn.XLOOKUP(E12,'All Products'!D:D,'All Products'!H:H,FALSE)</f>
        <v>17.46</v>
      </c>
      <c r="L12" s="173">
        <f>ROUND(K12*Order_Quote!$L$18,2)</f>
        <v>17.46</v>
      </c>
      <c r="M12" s="75"/>
      <c r="N12" s="113"/>
      <c r="O12" s="171">
        <f t="shared" si="0"/>
        <v>0</v>
      </c>
      <c r="Q12" s="360" t="str">
        <f>_xlfn.XLOOKUP(E12,'All Products'!D:D,'All Products'!I:I,FALSE)</f>
        <v>Within 3 Weeks</v>
      </c>
      <c r="R12" s="206" t="str">
        <f>_xlfn.XLOOKUP(E12,'All Products'!D:D,'All Products'!J:J,FALSE)</f>
        <v>Manufactured</v>
      </c>
      <c r="S12" s="518">
        <f>_xlfn.XLOOKUP(E12,'All Products'!D:D,'All Products'!K:K,FALSE)</f>
        <v>49081804442</v>
      </c>
      <c r="T12" s="518" t="str">
        <f>_xlfn.XLOOKUP(E12,'All Products'!D:D,'All Products'!L:L,FALSE)</f>
        <v>-</v>
      </c>
      <c r="U12" s="518" t="str">
        <f>_xlfn.XLOOKUP(E12,'All Products'!D:D,'All Products'!M:M,FALSE)</f>
        <v>-</v>
      </c>
      <c r="V12" s="455">
        <f>_xlfn.XLOOKUP(E12,'All Products'!D:D,'All Products'!N:N,FALSE)</f>
        <v>1.07</v>
      </c>
    </row>
    <row r="13" spans="1:22">
      <c r="A13" s="101" t="str">
        <f>IF(M13&gt;0,COUNT($A$8:A12)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3" s="695"/>
      <c r="C13" s="611"/>
      <c r="D13" s="103">
        <f>_xlfn.XLOOKUP(E13,'All Products'!D:D,'All Products'!C:C,FALSE)</f>
        <v>63</v>
      </c>
      <c r="E13" s="103">
        <v>100028501</v>
      </c>
      <c r="F13" s="144" t="str">
        <f>_xlfn.XLOOKUP(E13,'All Products'!D:D,'All Products'!E:E,FALSE)</f>
        <v>6" RND VLV BOX W/LID PRP/PRP</v>
      </c>
      <c r="G13" s="103" t="s">
        <v>1576</v>
      </c>
      <c r="H13" s="103" t="s">
        <v>1576</v>
      </c>
      <c r="I13" s="206" t="s">
        <v>1644</v>
      </c>
      <c r="J13" s="103">
        <f>_xlfn.XLOOKUP(E13,'All Products'!D:D,'All Products'!G:G,FALSE)</f>
        <v>570</v>
      </c>
      <c r="K13" s="142">
        <f>_xlfn.XLOOKUP(E13,'All Products'!D:D,'All Products'!H:H,FALSE)</f>
        <v>17.46</v>
      </c>
      <c r="L13" s="173">
        <f>ROUND(K13*Order_Quote!$L$18,2)</f>
        <v>17.46</v>
      </c>
      <c r="M13" s="75"/>
      <c r="N13" s="113"/>
      <c r="O13" s="171">
        <f t="shared" si="0"/>
        <v>0</v>
      </c>
      <c r="Q13" s="360" t="str">
        <f>_xlfn.XLOOKUP(E13,'All Products'!D:D,'All Products'!I:I,FALSE)</f>
        <v>Within 3 Weeks</v>
      </c>
      <c r="R13" s="206" t="str">
        <f>_xlfn.XLOOKUP(E13,'All Products'!D:D,'All Products'!J:J,FALSE)</f>
        <v>Manufactured</v>
      </c>
      <c r="S13" s="518">
        <f>_xlfn.XLOOKUP(E13,'All Products'!D:D,'All Products'!K:K,FALSE)</f>
        <v>49081801663</v>
      </c>
      <c r="T13" s="518" t="str">
        <f>_xlfn.XLOOKUP(E13,'All Products'!D:D,'All Products'!L:L,FALSE)</f>
        <v>-</v>
      </c>
      <c r="U13" s="518" t="str">
        <f>_xlfn.XLOOKUP(E13,'All Products'!D:D,'All Products'!M:M,FALSE)</f>
        <v>-</v>
      </c>
      <c r="V13" s="455">
        <f>_xlfn.XLOOKUP(E13,'All Products'!D:D,'All Products'!N:N,FALSE)</f>
        <v>1.07</v>
      </c>
    </row>
    <row r="14" spans="1:22">
      <c r="A14" s="101" t="str">
        <f>IF(M14&gt;0,COUNT($A$8:A13)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4" s="695"/>
      <c r="C14" s="611"/>
      <c r="D14" s="103" t="str">
        <f>_xlfn.XLOOKUP(E14,'All Products'!D:D,'All Products'!C:C,FALSE)</f>
        <v>60-S</v>
      </c>
      <c r="E14" s="103">
        <v>100025804</v>
      </c>
      <c r="F14" s="144" t="str">
        <f>_xlfn.XLOOKUP(E14,'All Products'!D:D,'All Products'!E:E,FALSE)</f>
        <v>6" RD VLV BX W/LID SWR, BLK/GRN</v>
      </c>
      <c r="G14" s="103" t="s">
        <v>1564</v>
      </c>
      <c r="H14" s="103" t="s">
        <v>1637</v>
      </c>
      <c r="I14" s="206" t="s">
        <v>1647</v>
      </c>
      <c r="J14" s="103">
        <f>_xlfn.XLOOKUP(E14,'All Products'!D:D,'All Products'!G:G,FALSE)</f>
        <v>570</v>
      </c>
      <c r="K14" s="142">
        <f>_xlfn.XLOOKUP(E14,'All Products'!D:D,'All Products'!H:H,FALSE)</f>
        <v>17.46</v>
      </c>
      <c r="L14" s="173">
        <f>ROUND(K14*Order_Quote!$L$18,2)</f>
        <v>17.46</v>
      </c>
      <c r="M14" s="75"/>
      <c r="N14" s="113"/>
      <c r="O14" s="171">
        <f t="shared" si="0"/>
        <v>0</v>
      </c>
      <c r="Q14" s="360" t="str">
        <f>_xlfn.XLOOKUP(E14,'All Products'!D:D,'All Products'!I:I,FALSE)</f>
        <v>In Stock</v>
      </c>
      <c r="R14" s="206" t="str">
        <f>_xlfn.XLOOKUP(E14,'All Products'!D:D,'All Products'!J:J,FALSE)</f>
        <v>Manufactured</v>
      </c>
      <c r="S14" s="518">
        <f>_xlfn.XLOOKUP(E14,'All Products'!D:D,'All Products'!K:K,FALSE)</f>
        <v>49081804657</v>
      </c>
      <c r="T14" s="518" t="str">
        <f>_xlfn.XLOOKUP(E14,'All Products'!D:D,'All Products'!L:L,FALSE)</f>
        <v>-</v>
      </c>
      <c r="U14" s="518" t="str">
        <f>_xlfn.XLOOKUP(E14,'All Products'!D:D,'All Products'!M:M,FALSE)</f>
        <v>-</v>
      </c>
      <c r="V14" s="455">
        <f>_xlfn.XLOOKUP(E14,'All Products'!D:D,'All Products'!N:N,FALSE)</f>
        <v>1.07</v>
      </c>
    </row>
    <row r="15" spans="1:22">
      <c r="A15" s="101" t="str">
        <f>IF(M15&gt;0,COUNT($A$8:A14)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5" s="695"/>
      <c r="C15" s="611"/>
      <c r="D15" s="103" t="str">
        <f>_xlfn.XLOOKUP(E15,'All Products'!D:D,'All Products'!C:C,FALSE)</f>
        <v>61-S</v>
      </c>
      <c r="E15" s="103">
        <v>100025809</v>
      </c>
      <c r="F15" s="144" t="str">
        <f>_xlfn.XLOOKUP(E15,'All Products'!D:D,'All Products'!E:E,FALSE)</f>
        <v>6" RND VLV BOX SWR LID GRN/GRN</v>
      </c>
      <c r="G15" s="103" t="s">
        <v>1637</v>
      </c>
      <c r="H15" s="103" t="s">
        <v>1637</v>
      </c>
      <c r="I15" s="206" t="s">
        <v>1647</v>
      </c>
      <c r="J15" s="103">
        <f>_xlfn.XLOOKUP(E15,'All Products'!D:D,'All Products'!G:G,FALSE)</f>
        <v>570</v>
      </c>
      <c r="K15" s="142">
        <f>_xlfn.XLOOKUP(E15,'All Products'!D:D,'All Products'!H:H,FALSE)</f>
        <v>17.46</v>
      </c>
      <c r="L15" s="173">
        <f>ROUND(K15*Order_Quote!$L$18,2)</f>
        <v>17.46</v>
      </c>
      <c r="M15" s="75"/>
      <c r="N15" s="113"/>
      <c r="O15" s="171">
        <f t="shared" si="0"/>
        <v>0</v>
      </c>
      <c r="Q15" s="360" t="str">
        <f>_xlfn.XLOOKUP(E15,'All Products'!D:D,'All Products'!I:I,FALSE)</f>
        <v>Within 3 Weeks</v>
      </c>
      <c r="R15" s="206" t="str">
        <f>_xlfn.XLOOKUP(E15,'All Products'!D:D,'All Products'!J:J,FALSE)</f>
        <v>Manufactured</v>
      </c>
      <c r="S15" s="518">
        <f>_xlfn.XLOOKUP(E15,'All Products'!D:D,'All Products'!K:K,FALSE)</f>
        <v>49081804435</v>
      </c>
      <c r="T15" s="518" t="str">
        <f>_xlfn.XLOOKUP(E15,'All Products'!D:D,'All Products'!L:L,FALSE)</f>
        <v>-</v>
      </c>
      <c r="U15" s="518" t="str">
        <f>_xlfn.XLOOKUP(E15,'All Products'!D:D,'All Products'!M:M,FALSE)</f>
        <v>-</v>
      </c>
      <c r="V15" s="455">
        <f>_xlfn.XLOOKUP(E15,'All Products'!D:D,'All Products'!N:N,FALSE)</f>
        <v>1.07</v>
      </c>
    </row>
    <row r="16" spans="1:22">
      <c r="A16" s="101" t="str">
        <f>IF(M16&gt;0,COUNT($A$8:A15)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6" s="695"/>
      <c r="C16" s="611"/>
      <c r="D16" s="103" t="str">
        <f>_xlfn.XLOOKUP(E16,'All Products'!D:D,'All Products'!C:C,FALSE)</f>
        <v>60-W</v>
      </c>
      <c r="E16" s="103">
        <v>100025806</v>
      </c>
      <c r="F16" s="144" t="str">
        <f>_xlfn.XLOOKUP(E16,'All Products'!D:D,'All Products'!E:E,FALSE)</f>
        <v>6" RND VLV BOX W/LID WTR BLK/GR</v>
      </c>
      <c r="G16" s="103" t="s">
        <v>1564</v>
      </c>
      <c r="H16" s="103" t="s">
        <v>1637</v>
      </c>
      <c r="I16" s="206" t="s">
        <v>1652</v>
      </c>
      <c r="J16" s="103">
        <f>_xlfn.XLOOKUP(E16,'All Products'!D:D,'All Products'!G:G,FALSE)</f>
        <v>570</v>
      </c>
      <c r="K16" s="142">
        <f>_xlfn.XLOOKUP(E16,'All Products'!D:D,'All Products'!H:H,FALSE)</f>
        <v>17.46</v>
      </c>
      <c r="L16" s="173">
        <f>ROUND(K16*Order_Quote!$L$18,2)</f>
        <v>17.46</v>
      </c>
      <c r="M16" s="75"/>
      <c r="N16" s="113"/>
      <c r="O16" s="171">
        <f t="shared" si="0"/>
        <v>0</v>
      </c>
      <c r="Q16" s="360" t="str">
        <f>_xlfn.XLOOKUP(E16,'All Products'!D:D,'All Products'!I:I,FALSE)</f>
        <v>In Stock</v>
      </c>
      <c r="R16" s="206" t="str">
        <f>_xlfn.XLOOKUP(E16,'All Products'!D:D,'All Products'!J:J,FALSE)</f>
        <v>Manufactured</v>
      </c>
      <c r="S16" s="518">
        <f>_xlfn.XLOOKUP(E16,'All Products'!D:D,'All Products'!K:K,FALSE)</f>
        <v>49081807252</v>
      </c>
      <c r="T16" s="518" t="str">
        <f>_xlfn.XLOOKUP(E16,'All Products'!D:D,'All Products'!L:L,FALSE)</f>
        <v>-</v>
      </c>
      <c r="U16" s="518" t="str">
        <f>_xlfn.XLOOKUP(E16,'All Products'!D:D,'All Products'!M:M,FALSE)</f>
        <v>-</v>
      </c>
      <c r="V16" s="455">
        <f>_xlfn.XLOOKUP(E16,'All Products'!D:D,'All Products'!N:N,FALSE)</f>
        <v>1.07</v>
      </c>
    </row>
    <row r="17" spans="1:22">
      <c r="A17" s="101" t="str">
        <f>IF(M17&gt;0,COUNT($A$8:A16)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7" s="695"/>
      <c r="C17" s="611"/>
      <c r="D17" s="103" t="str">
        <f>_xlfn.XLOOKUP(E17,'All Products'!D:D,'All Products'!C:C,FALSE)</f>
        <v>60-E</v>
      </c>
      <c r="E17" s="103">
        <v>100025269</v>
      </c>
      <c r="F17" s="144" t="str">
        <f>_xlfn.XLOOKUP(E17,'All Products'!D:D,'All Products'!E:E,FALSE)</f>
        <v>6" RND VLV BOX W/ELECT LID B/G</v>
      </c>
      <c r="G17" s="103" t="s">
        <v>1564</v>
      </c>
      <c r="H17" s="103" t="s">
        <v>1637</v>
      </c>
      <c r="I17" s="206" t="s">
        <v>1655</v>
      </c>
      <c r="J17" s="103">
        <f>_xlfn.XLOOKUP(E17,'All Products'!D:D,'All Products'!G:G,FALSE)</f>
        <v>570</v>
      </c>
      <c r="K17" s="142">
        <f>_xlfn.XLOOKUP(E17,'All Products'!D:D,'All Products'!H:H,FALSE)</f>
        <v>17.46</v>
      </c>
      <c r="L17" s="173">
        <f>ROUND(K17*Order_Quote!$L$18,2)</f>
        <v>17.46</v>
      </c>
      <c r="M17" s="75"/>
      <c r="N17" s="113"/>
      <c r="O17" s="171">
        <f t="shared" si="0"/>
        <v>0</v>
      </c>
      <c r="Q17" s="360" t="str">
        <f>_xlfn.XLOOKUP(E17,'All Products'!D:D,'All Products'!I:I,FALSE)</f>
        <v>In Stock</v>
      </c>
      <c r="R17" s="206" t="str">
        <f>_xlfn.XLOOKUP(E17,'All Products'!D:D,'All Products'!J:J,FALSE)</f>
        <v>Manufactured</v>
      </c>
      <c r="S17" s="518">
        <f>_xlfn.XLOOKUP(E17,'All Products'!D:D,'All Products'!K:K,FALSE)</f>
        <v>49081801557</v>
      </c>
      <c r="T17" s="518" t="str">
        <f>_xlfn.XLOOKUP(E17,'All Products'!D:D,'All Products'!L:L,FALSE)</f>
        <v>-</v>
      </c>
      <c r="U17" s="518" t="str">
        <f>_xlfn.XLOOKUP(E17,'All Products'!D:D,'All Products'!M:M,FALSE)</f>
        <v>-</v>
      </c>
      <c r="V17" s="455">
        <f>_xlfn.XLOOKUP(E17,'All Products'!D:D,'All Products'!N:N,FALSE)</f>
        <v>1.07</v>
      </c>
    </row>
    <row r="18" spans="1:22" ht="15" thickBot="1">
      <c r="A18" s="101" t="str">
        <f>IF(M18&gt;0,COUNT($A$8:A17)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8" s="696"/>
      <c r="C18" s="697"/>
      <c r="D18" s="138" t="str">
        <f>_xlfn.XLOOKUP(E18,'All Products'!D:D,'All Products'!C:C,FALSE)</f>
        <v>61-E</v>
      </c>
      <c r="E18" s="138">
        <v>100025807</v>
      </c>
      <c r="F18" s="162" t="str">
        <f>_xlfn.XLOOKUP(E18,'All Products'!D:D,'All Products'!E:E,FALSE)</f>
        <v>6" RND VLV BOX ELECT JUNCT GRN</v>
      </c>
      <c r="G18" s="138" t="s">
        <v>1637</v>
      </c>
      <c r="H18" s="138" t="s">
        <v>1637</v>
      </c>
      <c r="I18" s="207" t="s">
        <v>1655</v>
      </c>
      <c r="J18" s="138">
        <f>_xlfn.XLOOKUP(E18,'All Products'!D:D,'All Products'!G:G,FALSE)</f>
        <v>570</v>
      </c>
      <c r="K18" s="453">
        <f>_xlfn.XLOOKUP(E18,'All Products'!D:D,'All Products'!H:H,FALSE)</f>
        <v>17.46</v>
      </c>
      <c r="L18" s="181">
        <f>ROUND(K18*Order_Quote!$L$18,2)</f>
        <v>17.46</v>
      </c>
      <c r="M18" s="163"/>
      <c r="N18" s="113"/>
      <c r="O18" s="171">
        <f t="shared" si="0"/>
        <v>0</v>
      </c>
      <c r="Q18" s="361" t="str">
        <f>_xlfn.XLOOKUP(E18,'All Products'!D:D,'All Products'!I:I,FALSE)</f>
        <v>In Stock</v>
      </c>
      <c r="R18" s="207" t="str">
        <f>_xlfn.XLOOKUP(E18,'All Products'!D:D,'All Products'!J:J,FALSE)</f>
        <v>Manufactured</v>
      </c>
      <c r="S18" s="519">
        <f>_xlfn.XLOOKUP(E18,'All Products'!D:D,'All Products'!K:K,FALSE)</f>
        <v>49081801595</v>
      </c>
      <c r="T18" s="519" t="str">
        <f>_xlfn.XLOOKUP(E18,'All Products'!D:D,'All Products'!L:L,FALSE)</f>
        <v>-</v>
      </c>
      <c r="U18" s="519" t="str">
        <f>_xlfn.XLOOKUP(E18,'All Products'!D:D,'All Products'!M:M,FALSE)</f>
        <v>-</v>
      </c>
      <c r="V18" s="456">
        <f>_xlfn.XLOOKUP(E18,'All Products'!D:D,'All Products'!N:N,FALSE)</f>
        <v>1.07</v>
      </c>
    </row>
    <row r="19" spans="1:22" ht="16.2" thickBot="1">
      <c r="A19" s="101" t="str">
        <f>IF(M19&gt;0,COUNT($A$8:A18)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9" s="446" t="s">
        <v>1658</v>
      </c>
      <c r="C19" s="151"/>
      <c r="D19" s="151"/>
      <c r="E19" s="151"/>
      <c r="F19" s="450"/>
      <c r="G19" s="151"/>
      <c r="H19" s="151"/>
      <c r="I19" s="151"/>
      <c r="J19" s="151"/>
      <c r="K19" s="192"/>
      <c r="L19" s="192"/>
      <c r="M19" s="358"/>
      <c r="O19" s="545"/>
      <c r="Q19" s="357"/>
      <c r="R19" s="145"/>
      <c r="S19" s="493"/>
      <c r="T19" s="493"/>
      <c r="U19" s="493"/>
      <c r="V19" s="358"/>
    </row>
    <row r="20" spans="1:22">
      <c r="A20" s="101" t="str">
        <f>IF(M20&gt;0,COUNT($A$8:A19)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20" s="694"/>
      <c r="C20" s="683"/>
      <c r="D20" s="137">
        <f>_xlfn.XLOOKUP(E20,'All Products'!D:D,'All Products'!C:C,FALSE)</f>
        <v>70</v>
      </c>
      <c r="E20" s="137">
        <v>100028506</v>
      </c>
      <c r="F20" s="160" t="str">
        <f>_xlfn.XLOOKUP(E20,'All Products'!D:D,'All Products'!E:E,FALSE)</f>
        <v>7" RND VLV BOX W/LID BLK/GRN</v>
      </c>
      <c r="G20" s="137" t="s">
        <v>1564</v>
      </c>
      <c r="H20" s="137" t="s">
        <v>1637</v>
      </c>
      <c r="I20" s="204" t="s">
        <v>1638</v>
      </c>
      <c r="J20" s="137">
        <f>_xlfn.XLOOKUP(E20,'All Products'!D:D,'All Products'!G:G,FALSE)</f>
        <v>240</v>
      </c>
      <c r="K20" s="452">
        <f>_xlfn.XLOOKUP(E20,'All Products'!D:D,'All Products'!H:H,FALSE)</f>
        <v>39.03</v>
      </c>
      <c r="L20" s="180">
        <f>ROUND(K20*Order_Quote!$L$18,2)</f>
        <v>39.03</v>
      </c>
      <c r="M20" s="165"/>
      <c r="N20" s="113"/>
      <c r="O20" s="171">
        <f t="shared" ref="O20:O25" si="1">M20/J20</f>
        <v>0</v>
      </c>
      <c r="Q20" s="359" t="str">
        <f>_xlfn.XLOOKUP(E20,'All Products'!D:D,'All Products'!I:I,FALSE)</f>
        <v>Within 3 Weeks</v>
      </c>
      <c r="R20" s="204" t="str">
        <f>_xlfn.XLOOKUP(E20,'All Products'!D:D,'All Products'!J:J,FALSE)</f>
        <v>Manufactured</v>
      </c>
      <c r="S20" s="517">
        <f>_xlfn.XLOOKUP(E20,'All Products'!D:D,'All Products'!K:K,FALSE)</f>
        <v>49081801670</v>
      </c>
      <c r="T20" s="517" t="str">
        <f>_xlfn.XLOOKUP(E20,'All Products'!D:D,'All Products'!L:L,FALSE)</f>
        <v>-</v>
      </c>
      <c r="U20" s="517" t="str">
        <f>_xlfn.XLOOKUP(E20,'All Products'!D:D,'All Products'!M:M,FALSE)</f>
        <v>-</v>
      </c>
      <c r="V20" s="454">
        <f>_xlfn.XLOOKUP(E20,'All Products'!D:D,'All Products'!N:N,FALSE)</f>
        <v>1.07</v>
      </c>
    </row>
    <row r="21" spans="1:22">
      <c r="A21" s="101" t="str">
        <f>IF(M21&gt;0,COUNT($A$8:A20)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21" s="695"/>
      <c r="C21" s="611"/>
      <c r="D21" s="103">
        <f>_xlfn.XLOOKUP(E21,'All Products'!D:D,'All Products'!C:C,FALSE)</f>
        <v>71</v>
      </c>
      <c r="E21" s="103">
        <v>100028507</v>
      </c>
      <c r="F21" s="144" t="str">
        <f>_xlfn.XLOOKUP(E21,'All Products'!D:D,'All Products'!E:E,FALSE)</f>
        <v>7" RND VLV BOX W/LID GRN/GRN</v>
      </c>
      <c r="G21" s="103" t="s">
        <v>1637</v>
      </c>
      <c r="H21" s="103" t="s">
        <v>1637</v>
      </c>
      <c r="I21" s="206" t="s">
        <v>1638</v>
      </c>
      <c r="J21" s="103">
        <f>_xlfn.XLOOKUP(E21,'All Products'!D:D,'All Products'!G:G,FALSE)</f>
        <v>240</v>
      </c>
      <c r="K21" s="142">
        <f>_xlfn.XLOOKUP(E21,'All Products'!D:D,'All Products'!H:H,FALSE)</f>
        <v>39.03</v>
      </c>
      <c r="L21" s="173">
        <f>ROUND(K21*Order_Quote!$L$18,2)</f>
        <v>39.03</v>
      </c>
      <c r="M21" s="75"/>
      <c r="N21" s="113"/>
      <c r="O21" s="171">
        <f t="shared" si="1"/>
        <v>0</v>
      </c>
      <c r="Q21" s="360" t="str">
        <f>_xlfn.XLOOKUP(E21,'All Products'!D:D,'All Products'!I:I,FALSE)</f>
        <v>In Stock</v>
      </c>
      <c r="R21" s="206">
        <f>_xlfn.XLOOKUP(E21,'All Products'!D:D,'All Products'!J:J,FALSE)</f>
        <v>6</v>
      </c>
      <c r="S21" s="518">
        <f>_xlfn.XLOOKUP(E21,'All Products'!D:D,'All Products'!K:K,FALSE)</f>
        <v>49081801717</v>
      </c>
      <c r="T21" s="518" t="str">
        <f>_xlfn.XLOOKUP(E21,'All Products'!D:D,'All Products'!L:L,FALSE)</f>
        <v>-</v>
      </c>
      <c r="U21" s="518" t="str">
        <f>_xlfn.XLOOKUP(E21,'All Products'!D:D,'All Products'!M:M,FALSE)</f>
        <v>-</v>
      </c>
      <c r="V21" s="455">
        <f>_xlfn.XLOOKUP(E21,'All Products'!D:D,'All Products'!N:N,FALSE)</f>
        <v>1.07</v>
      </c>
    </row>
    <row r="22" spans="1:22">
      <c r="A22" s="101" t="str">
        <f>IF(M22&gt;0,COUNT($A$8:A21)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22" s="695"/>
      <c r="C22" s="611"/>
      <c r="D22" s="103">
        <f>_xlfn.XLOOKUP(E22,'All Products'!D:D,'All Products'!C:C,FALSE)</f>
        <v>74</v>
      </c>
      <c r="E22" s="103">
        <v>100028510</v>
      </c>
      <c r="F22" s="144" t="str">
        <f>_xlfn.XLOOKUP(E22,'All Products'!D:D,'All Products'!E:E,FALSE)</f>
        <v>7" RND VLV BOX W/LID BLK/BLK</v>
      </c>
      <c r="G22" s="103" t="s">
        <v>1564</v>
      </c>
      <c r="H22" s="103" t="s">
        <v>1564</v>
      </c>
      <c r="I22" s="206" t="s">
        <v>1638</v>
      </c>
      <c r="J22" s="103">
        <f>_xlfn.XLOOKUP(E22,'All Products'!D:D,'All Products'!G:G,FALSE)</f>
        <v>240</v>
      </c>
      <c r="K22" s="142">
        <f>_xlfn.XLOOKUP(E22,'All Products'!D:D,'All Products'!H:H,FALSE)</f>
        <v>39.03</v>
      </c>
      <c r="L22" s="173">
        <f>ROUND(K22*Order_Quote!$L$18,2)</f>
        <v>39.03</v>
      </c>
      <c r="M22" s="75"/>
      <c r="N22" s="113"/>
      <c r="O22" s="171">
        <f t="shared" si="1"/>
        <v>0</v>
      </c>
      <c r="Q22" s="360" t="str">
        <f>_xlfn.XLOOKUP(E22,'All Products'!D:D,'All Products'!I:I,FALSE)</f>
        <v>Within 3 Weeks</v>
      </c>
      <c r="R22" s="206" t="str">
        <f>_xlfn.XLOOKUP(E22,'All Products'!D:D,'All Products'!J:J,FALSE)</f>
        <v>Manufactured</v>
      </c>
      <c r="S22" s="518">
        <f>_xlfn.XLOOKUP(E22,'All Products'!D:D,'All Products'!K:K,FALSE)</f>
        <v>49081801809</v>
      </c>
      <c r="T22" s="518" t="str">
        <f>_xlfn.XLOOKUP(E22,'All Products'!D:D,'All Products'!L:L,FALSE)</f>
        <v>-</v>
      </c>
      <c r="U22" s="518" t="str">
        <f>_xlfn.XLOOKUP(E22,'All Products'!D:D,'All Products'!M:M,FALSE)</f>
        <v>-</v>
      </c>
      <c r="V22" s="455">
        <f>_xlfn.XLOOKUP(E22,'All Products'!D:D,'All Products'!N:N,FALSE)</f>
        <v>1.07</v>
      </c>
    </row>
    <row r="23" spans="1:22">
      <c r="A23" s="101" t="str">
        <f>IF(M23&gt;0,COUNT($A$8:A22)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23" s="695"/>
      <c r="C23" s="611"/>
      <c r="D23" s="103">
        <f>_xlfn.XLOOKUP(E23,'All Products'!D:D,'All Products'!C:C,FALSE)</f>
        <v>73</v>
      </c>
      <c r="E23" s="103">
        <v>100028509</v>
      </c>
      <c r="F23" s="144" t="str">
        <f>_xlfn.XLOOKUP(E23,'All Products'!D:D,'All Products'!E:E,FALSE)</f>
        <v>7" RND VLV BOX W/LID PRP/PRP</v>
      </c>
      <c r="G23" s="103" t="s">
        <v>1576</v>
      </c>
      <c r="H23" s="103" t="s">
        <v>1576</v>
      </c>
      <c r="I23" s="206" t="s">
        <v>1644</v>
      </c>
      <c r="J23" s="103">
        <f>_xlfn.XLOOKUP(E23,'All Products'!D:D,'All Products'!G:G,FALSE)</f>
        <v>240</v>
      </c>
      <c r="K23" s="142">
        <f>_xlfn.XLOOKUP(E23,'All Products'!D:D,'All Products'!H:H,FALSE)</f>
        <v>39.03</v>
      </c>
      <c r="L23" s="173">
        <f>ROUND(K23*Order_Quote!$L$18,2)</f>
        <v>39.03</v>
      </c>
      <c r="M23" s="75"/>
      <c r="N23" s="113"/>
      <c r="O23" s="171">
        <f t="shared" si="1"/>
        <v>0</v>
      </c>
      <c r="Q23" s="360" t="str">
        <f>_xlfn.XLOOKUP(E23,'All Products'!D:D,'All Products'!I:I,FALSE)</f>
        <v>In Stock</v>
      </c>
      <c r="R23" s="206" t="str">
        <f>_xlfn.XLOOKUP(E23,'All Products'!D:D,'All Products'!J:J,FALSE)</f>
        <v>Manufactured</v>
      </c>
      <c r="S23" s="518">
        <f>_xlfn.XLOOKUP(E23,'All Products'!D:D,'All Products'!K:K,FALSE)</f>
        <v>49081801793</v>
      </c>
      <c r="T23" s="518" t="str">
        <f>_xlfn.XLOOKUP(E23,'All Products'!D:D,'All Products'!L:L,FALSE)</f>
        <v>-</v>
      </c>
      <c r="U23" s="518" t="str">
        <f>_xlfn.XLOOKUP(E23,'All Products'!D:D,'All Products'!M:M,FALSE)</f>
        <v>-</v>
      </c>
      <c r="V23" s="455">
        <f>_xlfn.XLOOKUP(E23,'All Products'!D:D,'All Products'!N:N,FALSE)</f>
        <v>1.07</v>
      </c>
    </row>
    <row r="24" spans="1:22">
      <c r="A24" s="101" t="str">
        <f>IF(M24&gt;0,COUNT($A$8:A23)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24" s="695"/>
      <c r="C24" s="611"/>
      <c r="D24" s="103" t="str">
        <f>_xlfn.XLOOKUP(E24,'All Products'!D:D,'All Products'!C:C,FALSE)</f>
        <v>74-E</v>
      </c>
      <c r="E24" s="103">
        <v>100025825</v>
      </c>
      <c r="F24" s="144" t="str">
        <f>_xlfn.XLOOKUP(E24,'All Products'!D:D,'All Products'!E:E,FALSE)</f>
        <v>7" RND VLV BOX W/ELECT LID B/B</v>
      </c>
      <c r="G24" s="103" t="s">
        <v>1564</v>
      </c>
      <c r="H24" s="103" t="s">
        <v>1564</v>
      </c>
      <c r="I24" s="206" t="s">
        <v>1655</v>
      </c>
      <c r="J24" s="103">
        <f>_xlfn.XLOOKUP(E24,'All Products'!D:D,'All Products'!G:G,FALSE)</f>
        <v>240</v>
      </c>
      <c r="K24" s="142">
        <f>_xlfn.XLOOKUP(E24,'All Products'!D:D,'All Products'!H:H,FALSE)</f>
        <v>39.03</v>
      </c>
      <c r="L24" s="173">
        <f>ROUND(K24*Order_Quote!$L$18,2)</f>
        <v>39.03</v>
      </c>
      <c r="M24" s="75"/>
      <c r="N24" s="113"/>
      <c r="O24" s="171">
        <f t="shared" si="1"/>
        <v>0</v>
      </c>
      <c r="Q24" s="360" t="str">
        <f>_xlfn.XLOOKUP(E24,'All Products'!D:D,'All Products'!I:I,FALSE)</f>
        <v>Within 3 Weeks</v>
      </c>
      <c r="R24" s="206" t="str">
        <f>_xlfn.XLOOKUP(E24,'All Products'!D:D,'All Products'!J:J,FALSE)</f>
        <v>Manufactured</v>
      </c>
      <c r="S24" s="518">
        <f>_xlfn.XLOOKUP(E24,'All Products'!D:D,'All Products'!K:K,FALSE)</f>
        <v>49081801816</v>
      </c>
      <c r="T24" s="518" t="str">
        <f>_xlfn.XLOOKUP(E24,'All Products'!D:D,'All Products'!L:L,FALSE)</f>
        <v>-</v>
      </c>
      <c r="U24" s="518" t="str">
        <f>_xlfn.XLOOKUP(E24,'All Products'!D:D,'All Products'!M:M,FALSE)</f>
        <v>-</v>
      </c>
      <c r="V24" s="455">
        <f>_xlfn.XLOOKUP(E24,'All Products'!D:D,'All Products'!N:N,FALSE)</f>
        <v>1.07</v>
      </c>
    </row>
    <row r="25" spans="1:22" ht="15" thickBot="1">
      <c r="A25" s="101" t="str">
        <f>IF(M25&gt;0,COUNT($A$8:A24)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25" s="696"/>
      <c r="C25" s="697"/>
      <c r="D25" s="103" t="str">
        <f>_xlfn.XLOOKUP(E25,'All Products'!D:D,'All Products'!C:C,FALSE)</f>
        <v>74-L</v>
      </c>
      <c r="E25" s="138">
        <v>100025302</v>
      </c>
      <c r="F25" s="144" t="str">
        <f>_xlfn.XLOOKUP(E25,'All Products'!D:D,'All Products'!E:E,FALSE)</f>
        <v>7" RND LOW VOLTAGE LANDSCPE BLK</v>
      </c>
      <c r="G25" s="138" t="s">
        <v>1564</v>
      </c>
      <c r="H25" s="138" t="s">
        <v>1564</v>
      </c>
      <c r="I25" s="207" t="s">
        <v>1667</v>
      </c>
      <c r="J25" s="103">
        <f>_xlfn.XLOOKUP(E25,'All Products'!D:D,'All Products'!G:G,FALSE)</f>
        <v>240</v>
      </c>
      <c r="K25" s="142">
        <f>_xlfn.XLOOKUP(E25,'All Products'!D:D,'All Products'!H:H,FALSE)</f>
        <v>39.03</v>
      </c>
      <c r="L25" s="181">
        <f>ROUND(K25*Order_Quote!$L$18,2)</f>
        <v>39.03</v>
      </c>
      <c r="M25" s="163"/>
      <c r="N25" s="113"/>
      <c r="O25" s="171">
        <f t="shared" si="1"/>
        <v>0</v>
      </c>
      <c r="Q25" s="360" t="str">
        <f>_xlfn.XLOOKUP(E25,'All Products'!D:D,'All Products'!I:I,FALSE)</f>
        <v>Within 3 Weeks</v>
      </c>
      <c r="R25" s="206" t="str">
        <f>_xlfn.XLOOKUP(E25,'All Products'!D:D,'All Products'!J:J,FALSE)</f>
        <v>Manufactured</v>
      </c>
      <c r="S25" s="518">
        <f>_xlfn.XLOOKUP(E25,'All Products'!D:D,'All Products'!K:K,FALSE)</f>
        <v>49081801823</v>
      </c>
      <c r="T25" s="518" t="str">
        <f>_xlfn.XLOOKUP(E25,'All Products'!D:D,'All Products'!L:L,FALSE)</f>
        <v>-</v>
      </c>
      <c r="U25" s="518" t="str">
        <f>_xlfn.XLOOKUP(E25,'All Products'!D:D,'All Products'!M:M,FALSE)</f>
        <v>-</v>
      </c>
      <c r="V25" s="455">
        <f>_xlfn.XLOOKUP(E25,'All Products'!D:D,'All Products'!N:N,FALSE)</f>
        <v>1.07</v>
      </c>
    </row>
    <row r="26" spans="1:22" ht="16.2" thickBot="1">
      <c r="A26" s="101" t="str">
        <f>IF(M26&gt;0,COUNT($A$8:A25)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26" s="446" t="s">
        <v>1668</v>
      </c>
      <c r="C26" s="151"/>
      <c r="D26" s="151"/>
      <c r="E26" s="151"/>
      <c r="F26" s="450"/>
      <c r="G26" s="151"/>
      <c r="H26" s="151"/>
      <c r="I26" s="151"/>
      <c r="J26" s="151"/>
      <c r="K26" s="192"/>
      <c r="L26" s="192"/>
      <c r="M26" s="358"/>
      <c r="O26" s="545"/>
      <c r="Q26" s="357"/>
      <c r="R26" s="145"/>
      <c r="S26" s="493"/>
      <c r="T26" s="493"/>
      <c r="U26" s="493"/>
      <c r="V26" s="358"/>
    </row>
    <row r="27" spans="1:22">
      <c r="A27" s="101" t="str">
        <f>IF(M27&gt;0,COUNT($A$8:A26)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27" s="694"/>
      <c r="C27" s="683"/>
      <c r="D27" s="103">
        <f>_xlfn.XLOOKUP(E27,'All Products'!D:D,'All Products'!C:C,FALSE)</f>
        <v>100</v>
      </c>
      <c r="E27" s="137">
        <v>100028513</v>
      </c>
      <c r="F27" s="144" t="str">
        <f>_xlfn.XLOOKUP(E27,'All Products'!D:D,'All Products'!E:E,FALSE)</f>
        <v>10" RND VLV BOX W/LID BLK/GRN</v>
      </c>
      <c r="G27" s="137" t="s">
        <v>1564</v>
      </c>
      <c r="H27" s="137" t="s">
        <v>1637</v>
      </c>
      <c r="I27" s="204" t="s">
        <v>1638</v>
      </c>
      <c r="J27" s="103">
        <f>_xlfn.XLOOKUP(E27,'All Products'!D:D,'All Products'!G:G,FALSE)</f>
        <v>156</v>
      </c>
      <c r="K27" s="142">
        <f>_xlfn.XLOOKUP(E27,'All Products'!D:D,'All Products'!H:H,FALSE)</f>
        <v>47.82</v>
      </c>
      <c r="L27" s="180">
        <f>ROUND(K27*Order_Quote!$L$18,2)</f>
        <v>47.82</v>
      </c>
      <c r="M27" s="165"/>
      <c r="N27" s="113"/>
      <c r="O27" s="171">
        <f t="shared" ref="O27:O46" si="2">M27/J27</f>
        <v>0</v>
      </c>
      <c r="Q27" s="360" t="str">
        <f>_xlfn.XLOOKUP(E27,'All Products'!D:D,'All Products'!I:I,FALSE)</f>
        <v>In Stock</v>
      </c>
      <c r="R27" s="206" t="str">
        <f>_xlfn.XLOOKUP(E27,'All Products'!D:D,'All Products'!J:J,FALSE)</f>
        <v>Manufactured</v>
      </c>
      <c r="S27" s="518">
        <f>_xlfn.XLOOKUP(E27,'All Products'!D:D,'All Products'!K:K,FALSE)</f>
        <v>49081801885</v>
      </c>
      <c r="T27" s="518" t="str">
        <f>_xlfn.XLOOKUP(E27,'All Products'!D:D,'All Products'!L:L,FALSE)</f>
        <v>-</v>
      </c>
      <c r="U27" s="518" t="str">
        <f>_xlfn.XLOOKUP(E27,'All Products'!D:D,'All Products'!M:M,FALSE)</f>
        <v>-</v>
      </c>
      <c r="V27" s="455">
        <f>_xlfn.XLOOKUP(E27,'All Products'!D:D,'All Products'!N:N,FALSE)</f>
        <v>3.39</v>
      </c>
    </row>
    <row r="28" spans="1:22">
      <c r="A28" s="101" t="str">
        <f>IF(M28&gt;0,COUNT($A$8:A27)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28" s="695"/>
      <c r="C28" s="611"/>
      <c r="D28" s="103">
        <f>_xlfn.XLOOKUP(E28,'All Products'!D:D,'All Products'!C:C,FALSE)</f>
        <v>101</v>
      </c>
      <c r="E28" s="103">
        <v>100028514</v>
      </c>
      <c r="F28" s="144" t="str">
        <f>_xlfn.XLOOKUP(E28,'All Products'!D:D,'All Products'!E:E,FALSE)</f>
        <v>10" RND VLV BOX W/LID GRN/GRN</v>
      </c>
      <c r="G28" s="103" t="s">
        <v>1637</v>
      </c>
      <c r="H28" s="103" t="s">
        <v>1637</v>
      </c>
      <c r="I28" s="206" t="s">
        <v>1638</v>
      </c>
      <c r="J28" s="103">
        <f>_xlfn.XLOOKUP(E28,'All Products'!D:D,'All Products'!G:G,FALSE)</f>
        <v>156</v>
      </c>
      <c r="K28" s="142">
        <f>_xlfn.XLOOKUP(E28,'All Products'!D:D,'All Products'!H:H,FALSE)</f>
        <v>47.82</v>
      </c>
      <c r="L28" s="173">
        <f>ROUND(K28*Order_Quote!$L$18,2)</f>
        <v>47.82</v>
      </c>
      <c r="M28" s="75"/>
      <c r="N28" s="113"/>
      <c r="O28" s="171">
        <f t="shared" si="2"/>
        <v>0</v>
      </c>
      <c r="Q28" s="360" t="str">
        <f>_xlfn.XLOOKUP(E28,'All Products'!D:D,'All Products'!I:I,FALSE)</f>
        <v>In Stock</v>
      </c>
      <c r="R28" s="206" t="str">
        <f>_xlfn.XLOOKUP(E28,'All Products'!D:D,'All Products'!J:J,FALSE)</f>
        <v>Manufactured</v>
      </c>
      <c r="S28" s="518">
        <f>_xlfn.XLOOKUP(E28,'All Products'!D:D,'All Products'!K:K,FALSE)</f>
        <v>49081801946</v>
      </c>
      <c r="T28" s="518" t="str">
        <f>_xlfn.XLOOKUP(E28,'All Products'!D:D,'All Products'!L:L,FALSE)</f>
        <v>-</v>
      </c>
      <c r="U28" s="518" t="str">
        <f>_xlfn.XLOOKUP(E28,'All Products'!D:D,'All Products'!M:M,FALSE)</f>
        <v>-</v>
      </c>
      <c r="V28" s="455">
        <f>_xlfn.XLOOKUP(E28,'All Products'!D:D,'All Products'!N:N,FALSE)</f>
        <v>3.39</v>
      </c>
    </row>
    <row r="29" spans="1:22">
      <c r="A29" s="101" t="str">
        <f>IF(M29&gt;0,COUNT($A$8:A28)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29" s="695"/>
      <c r="C29" s="611"/>
      <c r="D29" s="103">
        <f>_xlfn.XLOOKUP(E29,'All Products'!D:D,'All Products'!C:C,FALSE)</f>
        <v>102</v>
      </c>
      <c r="E29" s="103">
        <v>100028515</v>
      </c>
      <c r="F29" s="144" t="str">
        <f>_xlfn.XLOOKUP(E29,'All Products'!D:D,'All Products'!E:E,FALSE)</f>
        <v>10" RND VLV BOX W/LID TAN/TAN</v>
      </c>
      <c r="G29" s="103" t="s">
        <v>1641</v>
      </c>
      <c r="H29" s="103" t="s">
        <v>1641</v>
      </c>
      <c r="I29" s="206" t="s">
        <v>1638</v>
      </c>
      <c r="J29" s="103">
        <f>_xlfn.XLOOKUP(E29,'All Products'!D:D,'All Products'!G:G,FALSE)</f>
        <v>156</v>
      </c>
      <c r="K29" s="142">
        <f>_xlfn.XLOOKUP(E29,'All Products'!D:D,'All Products'!H:H,FALSE)</f>
        <v>47.82</v>
      </c>
      <c r="L29" s="173">
        <f>ROUND(K29*Order_Quote!$L$18,2)</f>
        <v>47.82</v>
      </c>
      <c r="M29" s="75"/>
      <c r="N29" s="113"/>
      <c r="O29" s="171">
        <f t="shared" si="2"/>
        <v>0</v>
      </c>
      <c r="Q29" s="360" t="str">
        <f>_xlfn.XLOOKUP(E29,'All Products'!D:D,'All Products'!I:I,FALSE)</f>
        <v>In Stock</v>
      </c>
      <c r="R29" s="206" t="str">
        <f>_xlfn.XLOOKUP(E29,'All Products'!D:D,'All Products'!J:J,FALSE)</f>
        <v>Manufactured</v>
      </c>
      <c r="S29" s="518">
        <f>_xlfn.XLOOKUP(E29,'All Products'!D:D,'All Products'!K:K,FALSE)</f>
        <v>49081802004</v>
      </c>
      <c r="T29" s="518" t="str">
        <f>_xlfn.XLOOKUP(E29,'All Products'!D:D,'All Products'!L:L,FALSE)</f>
        <v>-</v>
      </c>
      <c r="U29" s="518" t="str">
        <f>_xlfn.XLOOKUP(E29,'All Products'!D:D,'All Products'!M:M,FALSE)</f>
        <v>-</v>
      </c>
      <c r="V29" s="455">
        <f>_xlfn.XLOOKUP(E29,'All Products'!D:D,'All Products'!N:N,FALSE)</f>
        <v>3.39</v>
      </c>
    </row>
    <row r="30" spans="1:22">
      <c r="A30" s="101" t="str">
        <f>IF(M30&gt;0,COUNT($A$8:A29)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30" s="695"/>
      <c r="C30" s="611"/>
      <c r="D30" s="103">
        <f>_xlfn.XLOOKUP(E30,'All Products'!D:D,'All Products'!C:C,FALSE)</f>
        <v>104</v>
      </c>
      <c r="E30" s="103">
        <v>100028517</v>
      </c>
      <c r="F30" s="144" t="str">
        <f>_xlfn.XLOOKUP(E30,'All Products'!D:D,'All Products'!E:E,FALSE)</f>
        <v>10" RND VLV BOX W/LID BLK/BLK</v>
      </c>
      <c r="G30" s="103" t="s">
        <v>1564</v>
      </c>
      <c r="H30" s="103" t="s">
        <v>1564</v>
      </c>
      <c r="I30" s="206" t="s">
        <v>1638</v>
      </c>
      <c r="J30" s="103">
        <f>_xlfn.XLOOKUP(E30,'All Products'!D:D,'All Products'!G:G,FALSE)</f>
        <v>156</v>
      </c>
      <c r="K30" s="142">
        <f>_xlfn.XLOOKUP(E30,'All Products'!D:D,'All Products'!H:H,FALSE)</f>
        <v>47.82</v>
      </c>
      <c r="L30" s="173">
        <f>ROUND(K30*Order_Quote!$L$18,2)</f>
        <v>47.82</v>
      </c>
      <c r="M30" s="75"/>
      <c r="N30" s="113"/>
      <c r="O30" s="171">
        <f t="shared" si="2"/>
        <v>0</v>
      </c>
      <c r="Q30" s="360" t="str">
        <f>_xlfn.XLOOKUP(E30,'All Products'!D:D,'All Products'!I:I,FALSE)</f>
        <v>In Stock</v>
      </c>
      <c r="R30" s="206" t="str">
        <f>_xlfn.XLOOKUP(E30,'All Products'!D:D,'All Products'!J:J,FALSE)</f>
        <v>Manufactured</v>
      </c>
      <c r="S30" s="518">
        <f>_xlfn.XLOOKUP(E30,'All Products'!D:D,'All Products'!K:K,FALSE)</f>
        <v>49081802073</v>
      </c>
      <c r="T30" s="518" t="str">
        <f>_xlfn.XLOOKUP(E30,'All Products'!D:D,'All Products'!L:L,FALSE)</f>
        <v>-</v>
      </c>
      <c r="U30" s="518" t="str">
        <f>_xlfn.XLOOKUP(E30,'All Products'!D:D,'All Products'!M:M,FALSE)</f>
        <v>-</v>
      </c>
      <c r="V30" s="455">
        <f>_xlfn.XLOOKUP(E30,'All Products'!D:D,'All Products'!N:N,FALSE)</f>
        <v>3.39</v>
      </c>
    </row>
    <row r="31" spans="1:22" ht="24">
      <c r="A31" s="101" t="str">
        <f>IF(M31&gt;0,COUNT($A$8:A30)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31" s="695"/>
      <c r="C31" s="611"/>
      <c r="D31" s="103" t="str">
        <f>_xlfn.XLOOKUP(E31,'All Products'!D:D,'All Products'!C:C,FALSE)</f>
        <v>100-NMH</v>
      </c>
      <c r="E31" s="103">
        <v>100025678</v>
      </c>
      <c r="F31" s="144" t="str">
        <f>_xlfn.XLOOKUP(E31,'All Products'!D:D,'All Products'!E:E,FALSE)</f>
        <v>10" RND VLV BOX W/LID B/G NMH</v>
      </c>
      <c r="G31" s="103" t="s">
        <v>1564</v>
      </c>
      <c r="H31" s="103" t="s">
        <v>1637</v>
      </c>
      <c r="I31" s="146" t="s">
        <v>1675</v>
      </c>
      <c r="J31" s="103">
        <f>_xlfn.XLOOKUP(E31,'All Products'!D:D,'All Products'!G:G,FALSE)</f>
        <v>156</v>
      </c>
      <c r="K31" s="142">
        <f>_xlfn.XLOOKUP(E31,'All Products'!D:D,'All Products'!H:H,FALSE)</f>
        <v>47.82</v>
      </c>
      <c r="L31" s="173">
        <f>ROUND(K31*Order_Quote!$L$18,2)</f>
        <v>47.82</v>
      </c>
      <c r="M31" s="75"/>
      <c r="N31" s="113"/>
      <c r="O31" s="171">
        <f t="shared" si="2"/>
        <v>0</v>
      </c>
      <c r="Q31" s="360" t="str">
        <f>_xlfn.XLOOKUP(E31,'All Products'!D:D,'All Products'!I:I,FALSE)</f>
        <v>Within 3 Weeks</v>
      </c>
      <c r="R31" s="206" t="str">
        <f>_xlfn.XLOOKUP(E31,'All Products'!D:D,'All Products'!J:J,FALSE)</f>
        <v>Manufactured</v>
      </c>
      <c r="S31" s="518">
        <f>_xlfn.XLOOKUP(E31,'All Products'!D:D,'All Products'!K:K,FALSE)</f>
        <v>49081807344</v>
      </c>
      <c r="T31" s="518" t="str">
        <f>_xlfn.XLOOKUP(E31,'All Products'!D:D,'All Products'!L:L,FALSE)</f>
        <v>-</v>
      </c>
      <c r="U31" s="518" t="str">
        <f>_xlfn.XLOOKUP(E31,'All Products'!D:D,'All Products'!M:M,FALSE)</f>
        <v>-</v>
      </c>
      <c r="V31" s="455">
        <f>_xlfn.XLOOKUP(E31,'All Products'!D:D,'All Products'!N:N,FALSE)</f>
        <v>3.2850000000000001</v>
      </c>
    </row>
    <row r="32" spans="1:22" ht="24">
      <c r="A32" s="101" t="str">
        <f>IF(M32&gt;0,COUNT($A$8:A31)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32" s="695"/>
      <c r="C32" s="611"/>
      <c r="D32" s="103" t="str">
        <f>_xlfn.XLOOKUP(E32,'All Products'!D:D,'All Products'!C:C,FALSE)</f>
        <v>101-NMH</v>
      </c>
      <c r="E32" s="103">
        <v>100025685</v>
      </c>
      <c r="F32" s="144" t="str">
        <f>_xlfn.XLOOKUP(E32,'All Products'!D:D,'All Products'!E:E,FALSE)</f>
        <v>10" RND BOX W/LID GRN/GRN NHM</v>
      </c>
      <c r="G32" s="103" t="s">
        <v>1637</v>
      </c>
      <c r="H32" s="103" t="s">
        <v>1637</v>
      </c>
      <c r="I32" s="146" t="s">
        <v>1675</v>
      </c>
      <c r="J32" s="103">
        <f>_xlfn.XLOOKUP(E32,'All Products'!D:D,'All Products'!G:G,FALSE)</f>
        <v>156</v>
      </c>
      <c r="K32" s="142">
        <f>_xlfn.XLOOKUP(E32,'All Products'!D:D,'All Products'!H:H,FALSE)</f>
        <v>47.82</v>
      </c>
      <c r="L32" s="173">
        <f>ROUND(K32*Order_Quote!$L$18,2)</f>
        <v>47.82</v>
      </c>
      <c r="M32" s="75"/>
      <c r="N32" s="113"/>
      <c r="O32" s="171">
        <f t="shared" si="2"/>
        <v>0</v>
      </c>
      <c r="Q32" s="360" t="str">
        <f>_xlfn.XLOOKUP(E32,'All Products'!D:D,'All Products'!I:I,FALSE)</f>
        <v>In Stock</v>
      </c>
      <c r="R32" s="206" t="str">
        <f>_xlfn.XLOOKUP(E32,'All Products'!D:D,'All Products'!J:J,FALSE)</f>
        <v>Manufactured</v>
      </c>
      <c r="S32" s="518">
        <f>_xlfn.XLOOKUP(E32,'All Products'!D:D,'All Products'!K:K,FALSE)</f>
        <v>49081804404</v>
      </c>
      <c r="T32" s="518" t="str">
        <f>_xlfn.XLOOKUP(E32,'All Products'!D:D,'All Products'!L:L,FALSE)</f>
        <v>-</v>
      </c>
      <c r="U32" s="518" t="str">
        <f>_xlfn.XLOOKUP(E32,'All Products'!D:D,'All Products'!M:M,FALSE)</f>
        <v>-</v>
      </c>
      <c r="V32" s="455">
        <f>_xlfn.XLOOKUP(E32,'All Products'!D:D,'All Products'!N:N,FALSE)</f>
        <v>3.19</v>
      </c>
    </row>
    <row r="33" spans="1:22">
      <c r="A33" s="101" t="str">
        <f>IF(M33&gt;0,COUNT($A$8:A32)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33" s="695"/>
      <c r="C33" s="611"/>
      <c r="D33" s="103">
        <f>_xlfn.XLOOKUP(E33,'All Products'!D:D,'All Products'!C:C,FALSE)</f>
        <v>103</v>
      </c>
      <c r="E33" s="103">
        <v>100028516</v>
      </c>
      <c r="F33" s="144" t="str">
        <f>_xlfn.XLOOKUP(E33,'All Products'!D:D,'All Products'!E:E,FALSE)</f>
        <v>10" RND VLV BOX W/LID PRP/PRP</v>
      </c>
      <c r="G33" s="103" t="s">
        <v>1576</v>
      </c>
      <c r="H33" s="103" t="s">
        <v>1576</v>
      </c>
      <c r="I33" s="206" t="s">
        <v>1644</v>
      </c>
      <c r="J33" s="103">
        <f>_xlfn.XLOOKUP(E33,'All Products'!D:D,'All Products'!G:G,FALSE)</f>
        <v>156</v>
      </c>
      <c r="K33" s="142">
        <f>_xlfn.XLOOKUP(E33,'All Products'!D:D,'All Products'!H:H,FALSE)</f>
        <v>47.82</v>
      </c>
      <c r="L33" s="173">
        <f>ROUND(K33*Order_Quote!$L$18,2)</f>
        <v>47.82</v>
      </c>
      <c r="M33" s="75"/>
      <c r="N33" s="113"/>
      <c r="O33" s="171">
        <f t="shared" si="2"/>
        <v>0</v>
      </c>
      <c r="Q33" s="360" t="str">
        <f>_xlfn.XLOOKUP(E33,'All Products'!D:D,'All Products'!I:I,FALSE)</f>
        <v>Within 3 Weeks</v>
      </c>
      <c r="R33" s="206" t="str">
        <f>_xlfn.XLOOKUP(E33,'All Products'!D:D,'All Products'!J:J,FALSE)</f>
        <v>Manufactured</v>
      </c>
      <c r="S33" s="518">
        <f>_xlfn.XLOOKUP(E33,'All Products'!D:D,'All Products'!K:K,FALSE)</f>
        <v>49081802066</v>
      </c>
      <c r="T33" s="518" t="str">
        <f>_xlfn.XLOOKUP(E33,'All Products'!D:D,'All Products'!L:L,FALSE)</f>
        <v>-</v>
      </c>
      <c r="U33" s="518" t="str">
        <f>_xlfn.XLOOKUP(E33,'All Products'!D:D,'All Products'!M:M,FALSE)</f>
        <v>-</v>
      </c>
      <c r="V33" s="455">
        <f>_xlfn.XLOOKUP(E33,'All Products'!D:D,'All Products'!N:N,FALSE)</f>
        <v>3.39</v>
      </c>
    </row>
    <row r="34" spans="1:22">
      <c r="A34" s="101" t="str">
        <f>IF(M34&gt;0,COUNT($A$8:A33)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34" s="695"/>
      <c r="C34" s="611"/>
      <c r="D34" s="103" t="str">
        <f>_xlfn.XLOOKUP(E34,'All Products'!D:D,'All Products'!C:C,FALSE)</f>
        <v>100-S</v>
      </c>
      <c r="E34" s="103">
        <v>100025679</v>
      </c>
      <c r="F34" s="144" t="str">
        <f>_xlfn.XLOOKUP(E34,'All Products'!D:D,'All Products'!E:E,FALSE)</f>
        <v>10" R VLV BX W-SWR LID/BLK-GRN</v>
      </c>
      <c r="G34" s="103" t="s">
        <v>1564</v>
      </c>
      <c r="H34" s="103" t="s">
        <v>1637</v>
      </c>
      <c r="I34" s="206" t="s">
        <v>1647</v>
      </c>
      <c r="J34" s="103">
        <f>_xlfn.XLOOKUP(E34,'All Products'!D:D,'All Products'!G:G,FALSE)</f>
        <v>156</v>
      </c>
      <c r="K34" s="142">
        <f>_xlfn.XLOOKUP(E34,'All Products'!D:D,'All Products'!H:H,FALSE)</f>
        <v>47.82</v>
      </c>
      <c r="L34" s="173">
        <f>ROUND(K34*Order_Quote!$L$18,2)</f>
        <v>47.82</v>
      </c>
      <c r="M34" s="75"/>
      <c r="N34" s="113"/>
      <c r="O34" s="171">
        <f t="shared" si="2"/>
        <v>0</v>
      </c>
      <c r="Q34" s="360" t="str">
        <f>_xlfn.XLOOKUP(E34,'All Products'!D:D,'All Products'!I:I,FALSE)</f>
        <v>In Stock</v>
      </c>
      <c r="R34" s="206" t="str">
        <f>_xlfn.XLOOKUP(E34,'All Products'!D:D,'All Products'!J:J,FALSE)</f>
        <v>Manufactured</v>
      </c>
      <c r="S34" s="518">
        <f>_xlfn.XLOOKUP(E34,'All Products'!D:D,'All Products'!K:K,FALSE)</f>
        <v>49081801915</v>
      </c>
      <c r="T34" s="518" t="str">
        <f>_xlfn.XLOOKUP(E34,'All Products'!D:D,'All Products'!L:L,FALSE)</f>
        <v>-</v>
      </c>
      <c r="U34" s="518" t="str">
        <f>_xlfn.XLOOKUP(E34,'All Products'!D:D,'All Products'!M:M,FALSE)</f>
        <v>-</v>
      </c>
      <c r="V34" s="455">
        <f>_xlfn.XLOOKUP(E34,'All Products'!D:D,'All Products'!N:N,FALSE)</f>
        <v>3.39</v>
      </c>
    </row>
    <row r="35" spans="1:22">
      <c r="A35" s="101" t="str">
        <f>IF(M35&gt;0,COUNT($A$8:A34)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35" s="695"/>
      <c r="C35" s="611"/>
      <c r="D35" s="103" t="str">
        <f>_xlfn.XLOOKUP(E35,'All Products'!D:D,'All Products'!C:C,FALSE)</f>
        <v>101-S</v>
      </c>
      <c r="E35" s="103">
        <v>100025688</v>
      </c>
      <c r="F35" s="144" t="str">
        <f>_xlfn.XLOOKUP(E35,'All Products'!D:D,'All Products'!E:E,FALSE)</f>
        <v>10" RND VLV BOX W/SEWER LID GRN</v>
      </c>
      <c r="G35" s="103" t="s">
        <v>1637</v>
      </c>
      <c r="H35" s="103" t="s">
        <v>1637</v>
      </c>
      <c r="I35" s="206" t="s">
        <v>1647</v>
      </c>
      <c r="J35" s="103">
        <f>_xlfn.XLOOKUP(E35,'All Products'!D:D,'All Products'!G:G,FALSE)</f>
        <v>156</v>
      </c>
      <c r="K35" s="142">
        <f>_xlfn.XLOOKUP(E35,'All Products'!D:D,'All Products'!H:H,FALSE)</f>
        <v>47.82</v>
      </c>
      <c r="L35" s="173">
        <f>ROUND(K35*Order_Quote!$L$18,2)</f>
        <v>47.82</v>
      </c>
      <c r="M35" s="75"/>
      <c r="N35" s="113"/>
      <c r="O35" s="171">
        <f t="shared" si="2"/>
        <v>0</v>
      </c>
      <c r="Q35" s="360" t="str">
        <f>_xlfn.XLOOKUP(E35,'All Products'!D:D,'All Products'!I:I,FALSE)</f>
        <v>In Stock</v>
      </c>
      <c r="R35" s="206" t="str">
        <f>_xlfn.XLOOKUP(E35,'All Products'!D:D,'All Products'!J:J,FALSE)</f>
        <v>Manufactured</v>
      </c>
      <c r="S35" s="518">
        <f>_xlfn.XLOOKUP(E35,'All Products'!D:D,'All Products'!K:K,FALSE)</f>
        <v>49081801977</v>
      </c>
      <c r="T35" s="518" t="str">
        <f>_xlfn.XLOOKUP(E35,'All Products'!D:D,'All Products'!L:L,FALSE)</f>
        <v>-</v>
      </c>
      <c r="U35" s="518" t="str">
        <f>_xlfn.XLOOKUP(E35,'All Products'!D:D,'All Products'!M:M,FALSE)</f>
        <v>-</v>
      </c>
      <c r="V35" s="455">
        <f>_xlfn.XLOOKUP(E35,'All Products'!D:D,'All Products'!N:N,FALSE)</f>
        <v>3.39</v>
      </c>
    </row>
    <row r="36" spans="1:22">
      <c r="A36" s="101" t="str">
        <f>IF(M36&gt;0,COUNT($A$8:A35)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36" s="695"/>
      <c r="C36" s="611"/>
      <c r="D36" s="103" t="str">
        <f>_xlfn.XLOOKUP(E36,'All Products'!D:D,'All Products'!C:C,FALSE)</f>
        <v>100-W</v>
      </c>
      <c r="E36" s="103">
        <v>100025681</v>
      </c>
      <c r="F36" s="144" t="str">
        <f>_xlfn.XLOOKUP(E36,'All Products'!D:D,'All Products'!E:E,FALSE)</f>
        <v>10" R VLV BX W-WTR LID/BLK-GRN</v>
      </c>
      <c r="G36" s="103" t="s">
        <v>1564</v>
      </c>
      <c r="H36" s="103" t="s">
        <v>1637</v>
      </c>
      <c r="I36" s="206" t="s">
        <v>1652</v>
      </c>
      <c r="J36" s="103">
        <f>_xlfn.XLOOKUP(E36,'All Products'!D:D,'All Products'!G:G,FALSE)</f>
        <v>156</v>
      </c>
      <c r="K36" s="142">
        <f>_xlfn.XLOOKUP(E36,'All Products'!D:D,'All Products'!H:H,FALSE)</f>
        <v>47.82</v>
      </c>
      <c r="L36" s="173">
        <f>ROUND(K36*Order_Quote!$L$18,2)</f>
        <v>47.82</v>
      </c>
      <c r="M36" s="75"/>
      <c r="N36" s="113"/>
      <c r="O36" s="171">
        <f t="shared" si="2"/>
        <v>0</v>
      </c>
      <c r="Q36" s="360" t="str">
        <f>_xlfn.XLOOKUP(E36,'All Products'!D:D,'All Products'!I:I,FALSE)</f>
        <v>In Stock</v>
      </c>
      <c r="R36" s="206" t="str">
        <f>_xlfn.XLOOKUP(E36,'All Products'!D:D,'All Products'!J:J,FALSE)</f>
        <v>Manufactured</v>
      </c>
      <c r="S36" s="518">
        <f>_xlfn.XLOOKUP(E36,'All Products'!D:D,'All Products'!K:K,FALSE)</f>
        <v>49081801939</v>
      </c>
      <c r="T36" s="518" t="str">
        <f>_xlfn.XLOOKUP(E36,'All Products'!D:D,'All Products'!L:L,FALSE)</f>
        <v>-</v>
      </c>
      <c r="U36" s="518" t="str">
        <f>_xlfn.XLOOKUP(E36,'All Products'!D:D,'All Products'!M:M,FALSE)</f>
        <v>-</v>
      </c>
      <c r="V36" s="455">
        <f>_xlfn.XLOOKUP(E36,'All Products'!D:D,'All Products'!N:N,FALSE)</f>
        <v>3.39</v>
      </c>
    </row>
    <row r="37" spans="1:22">
      <c r="A37" s="101" t="str">
        <f>IF(M37&gt;0,COUNT($A$8:A36)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37" s="695"/>
      <c r="C37" s="611"/>
      <c r="D37" s="103" t="str">
        <f>_xlfn.XLOOKUP(E37,'All Products'!D:D,'All Products'!C:C,FALSE)</f>
        <v>101-W</v>
      </c>
      <c r="E37" s="103">
        <v>100025102</v>
      </c>
      <c r="F37" s="144" t="str">
        <f>_xlfn.XLOOKUP(E37,'All Products'!D:D,'All Products'!E:E,FALSE)</f>
        <v>10" RND VLV BX W-WATER LID/GRN</v>
      </c>
      <c r="G37" s="103" t="s">
        <v>1637</v>
      </c>
      <c r="H37" s="103" t="s">
        <v>1637</v>
      </c>
      <c r="I37" s="206" t="s">
        <v>1652</v>
      </c>
      <c r="J37" s="103">
        <f>_xlfn.XLOOKUP(E37,'All Products'!D:D,'All Products'!G:G,FALSE)</f>
        <v>156</v>
      </c>
      <c r="K37" s="142">
        <f>_xlfn.XLOOKUP(E37,'All Products'!D:D,'All Products'!H:H,FALSE)</f>
        <v>47.82</v>
      </c>
      <c r="L37" s="173">
        <f>ROUND(K37*Order_Quote!$L$18,2)</f>
        <v>47.82</v>
      </c>
      <c r="M37" s="75"/>
      <c r="N37" s="113"/>
      <c r="O37" s="171">
        <f t="shared" si="2"/>
        <v>0</v>
      </c>
      <c r="Q37" s="360" t="str">
        <f>_xlfn.XLOOKUP(E37,'All Products'!D:D,'All Products'!I:I,FALSE)</f>
        <v>Within 3 Weeks</v>
      </c>
      <c r="R37" s="206" t="str">
        <f>_xlfn.XLOOKUP(E37,'All Products'!D:D,'All Products'!J:J,FALSE)</f>
        <v>Manufactured</v>
      </c>
      <c r="S37" s="518">
        <f>_xlfn.XLOOKUP(E37,'All Products'!D:D,'All Products'!K:K,FALSE)</f>
        <v>49081801991</v>
      </c>
      <c r="T37" s="518" t="str">
        <f>_xlfn.XLOOKUP(E37,'All Products'!D:D,'All Products'!L:L,FALSE)</f>
        <v>-</v>
      </c>
      <c r="U37" s="518" t="str">
        <f>_xlfn.XLOOKUP(E37,'All Products'!D:D,'All Products'!M:M,FALSE)</f>
        <v>-</v>
      </c>
      <c r="V37" s="455">
        <f>_xlfn.XLOOKUP(E37,'All Products'!D:D,'All Products'!N:N,FALSE)</f>
        <v>3.39</v>
      </c>
    </row>
    <row r="38" spans="1:22">
      <c r="A38" s="101" t="str">
        <f>IF(M38&gt;0,COUNT($A$8:A37)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38" s="695"/>
      <c r="C38" s="611"/>
      <c r="D38" s="103" t="str">
        <f>_xlfn.XLOOKUP(E38,'All Products'!D:D,'All Products'!C:C,FALSE)</f>
        <v>104-W</v>
      </c>
      <c r="E38" s="103">
        <v>100025114</v>
      </c>
      <c r="F38" s="144" t="str">
        <f>_xlfn.XLOOKUP(E38,'All Products'!D:D,'All Products'!E:E,FALSE)</f>
        <v>10" RND VLV BX W-WATER LID/BLK</v>
      </c>
      <c r="G38" s="103" t="s">
        <v>1564</v>
      </c>
      <c r="H38" s="103" t="s">
        <v>1564</v>
      </c>
      <c r="I38" s="206" t="s">
        <v>1652</v>
      </c>
      <c r="J38" s="103">
        <f>_xlfn.XLOOKUP(E38,'All Products'!D:D,'All Products'!G:G,FALSE)</f>
        <v>156</v>
      </c>
      <c r="K38" s="142">
        <f>_xlfn.XLOOKUP(E38,'All Products'!D:D,'All Products'!H:H,FALSE)</f>
        <v>47.82</v>
      </c>
      <c r="L38" s="173">
        <f>ROUND(K38*Order_Quote!$L$18,2)</f>
        <v>47.82</v>
      </c>
      <c r="M38" s="75"/>
      <c r="N38" s="113"/>
      <c r="O38" s="171">
        <f t="shared" si="2"/>
        <v>0</v>
      </c>
      <c r="Q38" s="360" t="str">
        <f>_xlfn.XLOOKUP(E38,'All Products'!D:D,'All Products'!I:I,FALSE)</f>
        <v>Within 3 Weeks</v>
      </c>
      <c r="R38" s="206" t="str">
        <f>_xlfn.XLOOKUP(E38,'All Products'!D:D,'All Products'!J:J,FALSE)</f>
        <v>Manufactured</v>
      </c>
      <c r="S38" s="518">
        <f>_xlfn.XLOOKUP(E38,'All Products'!D:D,'All Products'!K:K,FALSE)</f>
        <v>49081802127</v>
      </c>
      <c r="T38" s="518" t="str">
        <f>_xlfn.XLOOKUP(E38,'All Products'!D:D,'All Products'!L:L,FALSE)</f>
        <v>-</v>
      </c>
      <c r="U38" s="518" t="str">
        <f>_xlfn.XLOOKUP(E38,'All Products'!D:D,'All Products'!M:M,FALSE)</f>
        <v>-</v>
      </c>
      <c r="V38" s="455">
        <f>_xlfn.XLOOKUP(E38,'All Products'!D:D,'All Products'!N:N,FALSE)</f>
        <v>3.39</v>
      </c>
    </row>
    <row r="39" spans="1:22">
      <c r="A39" s="101" t="str">
        <f>IF(M39&gt;0,COUNT($A$8:A38)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39" s="695"/>
      <c r="C39" s="611"/>
      <c r="D39" s="103" t="str">
        <f>_xlfn.XLOOKUP(E39,'All Products'!D:D,'All Products'!C:C,FALSE)</f>
        <v>101-NMH-W</v>
      </c>
      <c r="E39" s="103">
        <v>100025099</v>
      </c>
      <c r="F39" s="144" t="str">
        <f>_xlfn.XLOOKUP(E39,'All Products'!D:D,'All Products'!E:E,FALSE)</f>
        <v>10" RND BOX W/WATER LID G/G NMH</v>
      </c>
      <c r="G39" s="103" t="s">
        <v>1637</v>
      </c>
      <c r="H39" s="103" t="s">
        <v>1637</v>
      </c>
      <c r="I39" s="206" t="s">
        <v>1691</v>
      </c>
      <c r="J39" s="103">
        <f>_xlfn.XLOOKUP(E39,'All Products'!D:D,'All Products'!G:G,FALSE)</f>
        <v>156</v>
      </c>
      <c r="K39" s="142">
        <f>_xlfn.XLOOKUP(E39,'All Products'!D:D,'All Products'!H:H,FALSE)</f>
        <v>47.82</v>
      </c>
      <c r="L39" s="173">
        <f>ROUND(K39*Order_Quote!$L$18,2)</f>
        <v>47.82</v>
      </c>
      <c r="M39" s="75"/>
      <c r="N39" s="113"/>
      <c r="O39" s="171">
        <f t="shared" si="2"/>
        <v>0</v>
      </c>
      <c r="Q39" s="360" t="str">
        <f>_xlfn.XLOOKUP(E39,'All Products'!D:D,'All Products'!I:I,FALSE)</f>
        <v>Within 3 Weeks</v>
      </c>
      <c r="R39" s="206" t="str">
        <f>_xlfn.XLOOKUP(E39,'All Products'!D:D,'All Products'!J:J,FALSE)</f>
        <v>Manufactured</v>
      </c>
      <c r="S39" s="518">
        <f>_xlfn.XLOOKUP(E39,'All Products'!D:D,'All Products'!K:K,FALSE)</f>
        <v>49081804817</v>
      </c>
      <c r="T39" s="518" t="str">
        <f>_xlfn.XLOOKUP(E39,'All Products'!D:D,'All Products'!L:L,FALSE)</f>
        <v>-</v>
      </c>
      <c r="U39" s="518" t="str">
        <f>_xlfn.XLOOKUP(E39,'All Products'!D:D,'All Products'!M:M,FALSE)</f>
        <v>-</v>
      </c>
      <c r="V39" s="455">
        <f>_xlfn.XLOOKUP(E39,'All Products'!D:D,'All Products'!N:N,FALSE)</f>
        <v>3.19</v>
      </c>
    </row>
    <row r="40" spans="1:22">
      <c r="A40" s="101" t="str">
        <f>IF(M40&gt;0,COUNT($A$8:A39)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40" s="695"/>
      <c r="C40" s="611"/>
      <c r="D40" s="103" t="str">
        <f>_xlfn.XLOOKUP(E40,'All Products'!D:D,'All Products'!C:C,FALSE)</f>
        <v>104-M</v>
      </c>
      <c r="E40" s="103">
        <v>100025112</v>
      </c>
      <c r="F40" s="144" t="str">
        <f>_xlfn.XLOOKUP(E40,'All Products'!D:D,'All Products'!E:E,FALSE)</f>
        <v>10" ROUND MTR BOX/LID BL</v>
      </c>
      <c r="G40" s="103" t="s">
        <v>1564</v>
      </c>
      <c r="H40" s="103" t="s">
        <v>1564</v>
      </c>
      <c r="I40" s="206" t="s">
        <v>1694</v>
      </c>
      <c r="J40" s="103">
        <f>_xlfn.XLOOKUP(E40,'All Products'!D:D,'All Products'!G:G,FALSE)</f>
        <v>156</v>
      </c>
      <c r="K40" s="142">
        <f>_xlfn.XLOOKUP(E40,'All Products'!D:D,'All Products'!H:H,FALSE)</f>
        <v>47.82</v>
      </c>
      <c r="L40" s="173">
        <f>ROUND(K40*Order_Quote!$L$18,2)</f>
        <v>47.82</v>
      </c>
      <c r="M40" s="75"/>
      <c r="N40" s="113"/>
      <c r="O40" s="171">
        <f t="shared" si="2"/>
        <v>0</v>
      </c>
      <c r="Q40" s="360" t="str">
        <f>_xlfn.XLOOKUP(E40,'All Products'!D:D,'All Products'!I:I,FALSE)</f>
        <v>Within 3 Weeks</v>
      </c>
      <c r="R40" s="206" t="str">
        <f>_xlfn.XLOOKUP(E40,'All Products'!D:D,'All Products'!J:J,FALSE)</f>
        <v>Manufactured</v>
      </c>
      <c r="S40" s="518">
        <f>_xlfn.XLOOKUP(E40,'All Products'!D:D,'All Products'!K:K,FALSE)</f>
        <v>49081804770</v>
      </c>
      <c r="T40" s="518" t="str">
        <f>_xlfn.XLOOKUP(E40,'All Products'!D:D,'All Products'!L:L,FALSE)</f>
        <v>-</v>
      </c>
      <c r="U40" s="518" t="str">
        <f>_xlfn.XLOOKUP(E40,'All Products'!D:D,'All Products'!M:M,FALSE)</f>
        <v>-</v>
      </c>
      <c r="V40" s="455">
        <f>_xlfn.XLOOKUP(E40,'All Products'!D:D,'All Products'!N:N,FALSE)</f>
        <v>3.39</v>
      </c>
    </row>
    <row r="41" spans="1:22">
      <c r="A41" s="101" t="str">
        <f>IF(M41&gt;0,COUNT($A$8:A40)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41" s="695"/>
      <c r="C41" s="611"/>
      <c r="D41" s="103" t="str">
        <f>_xlfn.XLOOKUP(E41,'All Products'!D:D,'All Products'!C:C,FALSE)</f>
        <v>100-E</v>
      </c>
      <c r="E41" s="103">
        <v>100025086</v>
      </c>
      <c r="F41" s="144" t="str">
        <f>_xlfn.XLOOKUP(E41,'All Products'!D:D,'All Products'!E:E,FALSE)</f>
        <v>10" RND VLV BOX W/ELECT LID B/G</v>
      </c>
      <c r="G41" s="103" t="s">
        <v>1564</v>
      </c>
      <c r="H41" s="103" t="s">
        <v>1637</v>
      </c>
      <c r="I41" s="206" t="s">
        <v>1655</v>
      </c>
      <c r="J41" s="103">
        <f>_xlfn.XLOOKUP(E41,'All Products'!D:D,'All Products'!G:G,FALSE)</f>
        <v>156</v>
      </c>
      <c r="K41" s="142">
        <f>_xlfn.XLOOKUP(E41,'All Products'!D:D,'All Products'!H:H,FALSE)</f>
        <v>47.82</v>
      </c>
      <c r="L41" s="173">
        <f>ROUND(K41*Order_Quote!$L$18,2)</f>
        <v>47.82</v>
      </c>
      <c r="M41" s="75"/>
      <c r="N41" s="113"/>
      <c r="O41" s="171">
        <f t="shared" si="2"/>
        <v>0</v>
      </c>
      <c r="Q41" s="360" t="str">
        <f>_xlfn.XLOOKUP(E41,'All Products'!D:D,'All Products'!I:I,FALSE)</f>
        <v>In Stock</v>
      </c>
      <c r="R41" s="206" t="str">
        <f>_xlfn.XLOOKUP(E41,'All Products'!D:D,'All Products'!J:J,FALSE)</f>
        <v>Manufactured</v>
      </c>
      <c r="S41" s="518">
        <f>_xlfn.XLOOKUP(E41,'All Products'!D:D,'All Products'!K:K,FALSE)</f>
        <v>49081801892</v>
      </c>
      <c r="T41" s="518" t="str">
        <f>_xlfn.XLOOKUP(E41,'All Products'!D:D,'All Products'!L:L,FALSE)</f>
        <v>-</v>
      </c>
      <c r="U41" s="518" t="str">
        <f>_xlfn.XLOOKUP(E41,'All Products'!D:D,'All Products'!M:M,FALSE)</f>
        <v>-</v>
      </c>
      <c r="V41" s="455">
        <f>_xlfn.XLOOKUP(E41,'All Products'!D:D,'All Products'!N:N,FALSE)</f>
        <v>3.39</v>
      </c>
    </row>
    <row r="42" spans="1:22">
      <c r="A42" s="101" t="str">
        <f>IF(M42&gt;0,COUNT($A$8:A41)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42" s="695"/>
      <c r="C42" s="611"/>
      <c r="D42" s="103" t="str">
        <f>_xlfn.XLOOKUP(E42,'All Products'!D:D,'All Products'!C:C,FALSE)</f>
        <v>101-E</v>
      </c>
      <c r="E42" s="103">
        <v>100025683</v>
      </c>
      <c r="F42" s="144" t="str">
        <f>_xlfn.XLOOKUP(E42,'All Products'!D:D,'All Products'!E:E,FALSE)</f>
        <v>10" RND VLV BOX/ ELECTRIC GRN</v>
      </c>
      <c r="G42" s="103" t="s">
        <v>1637</v>
      </c>
      <c r="H42" s="103" t="s">
        <v>1637</v>
      </c>
      <c r="I42" s="206" t="s">
        <v>1655</v>
      </c>
      <c r="J42" s="103">
        <f>_xlfn.XLOOKUP(E42,'All Products'!D:D,'All Products'!G:G,FALSE)</f>
        <v>156</v>
      </c>
      <c r="K42" s="142">
        <f>_xlfn.XLOOKUP(E42,'All Products'!D:D,'All Products'!H:H,FALSE)</f>
        <v>47.82</v>
      </c>
      <c r="L42" s="173">
        <f>ROUND(K42*Order_Quote!$L$18,2)</f>
        <v>47.82</v>
      </c>
      <c r="M42" s="75"/>
      <c r="N42" s="113"/>
      <c r="O42" s="171">
        <f t="shared" si="2"/>
        <v>0</v>
      </c>
      <c r="Q42" s="360" t="str">
        <f>_xlfn.XLOOKUP(E42,'All Products'!D:D,'All Products'!I:I,FALSE)</f>
        <v>Within 3 Weeks</v>
      </c>
      <c r="R42" s="206" t="str">
        <f>_xlfn.XLOOKUP(E42,'All Products'!D:D,'All Products'!J:J,FALSE)</f>
        <v>Manufactured</v>
      </c>
      <c r="S42" s="518">
        <f>_xlfn.XLOOKUP(E42,'All Products'!D:D,'All Products'!K:K,FALSE)</f>
        <v>49081801953</v>
      </c>
      <c r="T42" s="518" t="str">
        <f>_xlfn.XLOOKUP(E42,'All Products'!D:D,'All Products'!L:L,FALSE)</f>
        <v>-</v>
      </c>
      <c r="U42" s="518" t="str">
        <f>_xlfn.XLOOKUP(E42,'All Products'!D:D,'All Products'!M:M,FALSE)</f>
        <v>-</v>
      </c>
      <c r="V42" s="455">
        <f>_xlfn.XLOOKUP(E42,'All Products'!D:D,'All Products'!N:N,FALSE)</f>
        <v>3.39</v>
      </c>
    </row>
    <row r="43" spans="1:22">
      <c r="A43" s="101" t="str">
        <f>IF(M43&gt;0,COUNT($A$8:A42)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43" s="695"/>
      <c r="C43" s="611"/>
      <c r="D43" s="103" t="str">
        <f>_xlfn.XLOOKUP(E43,'All Products'!D:D,'All Products'!C:C,FALSE)</f>
        <v>104-E</v>
      </c>
      <c r="E43" s="103">
        <v>100025693</v>
      </c>
      <c r="F43" s="144" t="str">
        <f>_xlfn.XLOOKUP(E43,'All Products'!D:D,'All Products'!E:E,FALSE)</f>
        <v>10" RND ELECTRIC JUNCTION BLK</v>
      </c>
      <c r="G43" s="103" t="s">
        <v>1564</v>
      </c>
      <c r="H43" s="103" t="s">
        <v>1564</v>
      </c>
      <c r="I43" s="206" t="s">
        <v>1655</v>
      </c>
      <c r="J43" s="103">
        <f>_xlfn.XLOOKUP(E43,'All Products'!D:D,'All Products'!G:G,FALSE)</f>
        <v>156</v>
      </c>
      <c r="K43" s="142">
        <f>_xlfn.XLOOKUP(E43,'All Products'!D:D,'All Products'!H:H,FALSE)</f>
        <v>47.82</v>
      </c>
      <c r="L43" s="173">
        <f>ROUND(K43*Order_Quote!$L$18,2)</f>
        <v>47.82</v>
      </c>
      <c r="M43" s="75"/>
      <c r="N43" s="113"/>
      <c r="O43" s="171">
        <f t="shared" si="2"/>
        <v>0</v>
      </c>
      <c r="Q43" s="360" t="str">
        <f>_xlfn.XLOOKUP(E43,'All Products'!D:D,'All Products'!I:I,FALSE)</f>
        <v>Within 3 Weeks</v>
      </c>
      <c r="R43" s="206" t="str">
        <f>_xlfn.XLOOKUP(E43,'All Products'!D:D,'All Products'!J:J,FALSE)</f>
        <v>Manufactured</v>
      </c>
      <c r="S43" s="518">
        <f>_xlfn.XLOOKUP(E43,'All Products'!D:D,'All Products'!K:K,FALSE)</f>
        <v>49081802080</v>
      </c>
      <c r="T43" s="518" t="str">
        <f>_xlfn.XLOOKUP(E43,'All Products'!D:D,'All Products'!L:L,FALSE)</f>
        <v>-</v>
      </c>
      <c r="U43" s="518" t="str">
        <f>_xlfn.XLOOKUP(E43,'All Products'!D:D,'All Products'!M:M,FALSE)</f>
        <v>-</v>
      </c>
      <c r="V43" s="455">
        <f>_xlfn.XLOOKUP(E43,'All Products'!D:D,'All Products'!N:N,FALSE)</f>
        <v>3.39</v>
      </c>
    </row>
    <row r="44" spans="1:22">
      <c r="A44" s="101" t="str">
        <f>IF(M44&gt;0,COUNT($A$8:A43)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44" s="695"/>
      <c r="C44" s="611"/>
      <c r="D44" s="103" t="str">
        <f>_xlfn.XLOOKUP(E44,'All Products'!D:D,'All Products'!C:C,FALSE)</f>
        <v>100-L</v>
      </c>
      <c r="E44" s="103">
        <v>100025088</v>
      </c>
      <c r="F44" s="144" t="str">
        <f>_xlfn.XLOOKUP(E44,'All Products'!D:D,'All Products'!E:E,FALSE)</f>
        <v>10" R VLV BX W-L VLT,LL BLK/GRN</v>
      </c>
      <c r="G44" s="103" t="s">
        <v>1564</v>
      </c>
      <c r="H44" s="103" t="s">
        <v>1637</v>
      </c>
      <c r="I44" s="206" t="s">
        <v>1667</v>
      </c>
      <c r="J44" s="103">
        <f>_xlfn.XLOOKUP(E44,'All Products'!D:D,'All Products'!G:G,FALSE)</f>
        <v>156</v>
      </c>
      <c r="K44" s="142">
        <f>_xlfn.XLOOKUP(E44,'All Products'!D:D,'All Products'!H:H,FALSE)</f>
        <v>47.82</v>
      </c>
      <c r="L44" s="173">
        <f>ROUND(K44*Order_Quote!$L$18,2)</f>
        <v>47.82</v>
      </c>
      <c r="M44" s="75"/>
      <c r="N44" s="113"/>
      <c r="O44" s="171">
        <f t="shared" si="2"/>
        <v>0</v>
      </c>
      <c r="Q44" s="360" t="str">
        <f>_xlfn.XLOOKUP(E44,'All Products'!D:D,'All Products'!I:I,FALSE)</f>
        <v>Within 3 Weeks</v>
      </c>
      <c r="R44" s="206" t="str">
        <f>_xlfn.XLOOKUP(E44,'All Products'!D:D,'All Products'!J:J,FALSE)</f>
        <v>Manufactured</v>
      </c>
      <c r="S44" s="518">
        <f>_xlfn.XLOOKUP(E44,'All Products'!D:D,'All Products'!K:K,FALSE)</f>
        <v>49081801908</v>
      </c>
      <c r="T44" s="518" t="str">
        <f>_xlfn.XLOOKUP(E44,'All Products'!D:D,'All Products'!L:L,FALSE)</f>
        <v>-</v>
      </c>
      <c r="U44" s="518" t="str">
        <f>_xlfn.XLOOKUP(E44,'All Products'!D:D,'All Products'!M:M,FALSE)</f>
        <v>-</v>
      </c>
      <c r="V44" s="455">
        <f>_xlfn.XLOOKUP(E44,'All Products'!D:D,'All Products'!N:N,FALSE)</f>
        <v>3.39</v>
      </c>
    </row>
    <row r="45" spans="1:22">
      <c r="A45" s="101" t="str">
        <f>IF(M45&gt;0,COUNT($A$8:A44)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45" s="695"/>
      <c r="C45" s="611"/>
      <c r="D45" s="103" t="str">
        <f>_xlfn.XLOOKUP(E45,'All Products'!D:D,'All Products'!C:C,FALSE)</f>
        <v>101-L</v>
      </c>
      <c r="E45" s="103">
        <v>100025097</v>
      </c>
      <c r="F45" s="144" t="str">
        <f>_xlfn.XLOOKUP(E45,'All Products'!D:D,'All Products'!E:E,FALSE)</f>
        <v>10" RND VLV BOX/ L VLT,LL  GRN</v>
      </c>
      <c r="G45" s="103" t="s">
        <v>1637</v>
      </c>
      <c r="H45" s="103" t="s">
        <v>1637</v>
      </c>
      <c r="I45" s="206" t="s">
        <v>1667</v>
      </c>
      <c r="J45" s="103">
        <f>_xlfn.XLOOKUP(E45,'All Products'!D:D,'All Products'!G:G,FALSE)</f>
        <v>156</v>
      </c>
      <c r="K45" s="142">
        <f>_xlfn.XLOOKUP(E45,'All Products'!D:D,'All Products'!H:H,FALSE)</f>
        <v>47.82</v>
      </c>
      <c r="L45" s="173">
        <f>ROUND(K45*Order_Quote!$L$18,2)</f>
        <v>47.82</v>
      </c>
      <c r="M45" s="75"/>
      <c r="N45" s="113"/>
      <c r="O45" s="171">
        <f t="shared" si="2"/>
        <v>0</v>
      </c>
      <c r="Q45" s="360" t="str">
        <f>_xlfn.XLOOKUP(E45,'All Products'!D:D,'All Products'!I:I,FALSE)</f>
        <v>Within 3 Weeks</v>
      </c>
      <c r="R45" s="206" t="str">
        <f>_xlfn.XLOOKUP(E45,'All Products'!D:D,'All Products'!J:J,FALSE)</f>
        <v>Manufactured</v>
      </c>
      <c r="S45" s="518">
        <f>_xlfn.XLOOKUP(E45,'All Products'!D:D,'All Products'!K:K,FALSE)</f>
        <v>49081801960</v>
      </c>
      <c r="T45" s="518" t="str">
        <f>_xlfn.XLOOKUP(E45,'All Products'!D:D,'All Products'!L:L,FALSE)</f>
        <v>-</v>
      </c>
      <c r="U45" s="518" t="str">
        <f>_xlfn.XLOOKUP(E45,'All Products'!D:D,'All Products'!M:M,FALSE)</f>
        <v>-</v>
      </c>
      <c r="V45" s="455">
        <f>_xlfn.XLOOKUP(E45,'All Products'!D:D,'All Products'!N:N,FALSE)</f>
        <v>3.39</v>
      </c>
    </row>
    <row r="46" spans="1:22" ht="15" thickBot="1">
      <c r="A46" s="101" t="str">
        <f>IF(M46&gt;0,COUNT($A$8:A45)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46" s="696"/>
      <c r="C46" s="697"/>
      <c r="D46" s="103" t="str">
        <f>_xlfn.XLOOKUP(E46,'All Products'!D:D,'All Products'!C:C,FALSE)</f>
        <v>101-T</v>
      </c>
      <c r="E46" s="138">
        <v>100025101</v>
      </c>
      <c r="F46" s="144" t="str">
        <f>_xlfn.XLOOKUP(E46,'All Products'!D:D,'All Products'!E:E,FALSE)</f>
        <v>10" RND VLV BOX TELEPHONE/GRN</v>
      </c>
      <c r="G46" s="138" t="s">
        <v>1637</v>
      </c>
      <c r="H46" s="138" t="s">
        <v>1637</v>
      </c>
      <c r="I46" s="207" t="s">
        <v>1707</v>
      </c>
      <c r="J46" s="103">
        <f>_xlfn.XLOOKUP(E46,'All Products'!D:D,'All Products'!G:G,FALSE)</f>
        <v>156</v>
      </c>
      <c r="K46" s="142">
        <f>_xlfn.XLOOKUP(E46,'All Products'!D:D,'All Products'!H:H,FALSE)</f>
        <v>47.82</v>
      </c>
      <c r="L46" s="181">
        <f>ROUND(K46*Order_Quote!$L$18,2)</f>
        <v>47.82</v>
      </c>
      <c r="M46" s="163"/>
      <c r="N46" s="113"/>
      <c r="O46" s="171">
        <f t="shared" si="2"/>
        <v>0</v>
      </c>
      <c r="Q46" s="360" t="str">
        <f>_xlfn.XLOOKUP(E46,'All Products'!D:D,'All Products'!I:I,FALSE)</f>
        <v>Within 3 Weeks</v>
      </c>
      <c r="R46" s="206" t="str">
        <f>_xlfn.XLOOKUP(E46,'All Products'!D:D,'All Products'!J:J,FALSE)</f>
        <v>Manufactured</v>
      </c>
      <c r="S46" s="518">
        <f>_xlfn.XLOOKUP(E46,'All Products'!D:D,'All Products'!K:K,FALSE)</f>
        <v>49081801984</v>
      </c>
      <c r="T46" s="518" t="str">
        <f>_xlfn.XLOOKUP(E46,'All Products'!D:D,'All Products'!L:L,FALSE)</f>
        <v>-</v>
      </c>
      <c r="U46" s="518" t="str">
        <f>_xlfn.XLOOKUP(E46,'All Products'!D:D,'All Products'!M:M,FALSE)</f>
        <v>-</v>
      </c>
      <c r="V46" s="455">
        <f>_xlfn.XLOOKUP(E46,'All Products'!D:D,'All Products'!N:N,FALSE)</f>
        <v>3.39</v>
      </c>
    </row>
    <row r="47" spans="1:22" ht="16.2" thickBot="1">
      <c r="A47" s="101" t="str">
        <f>IF(M47&gt;0,COUNT($A$8:A46)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47" s="446" t="s">
        <v>1708</v>
      </c>
      <c r="C47" s="150"/>
      <c r="D47" s="151"/>
      <c r="E47" s="151"/>
      <c r="F47" s="450"/>
      <c r="G47" s="151"/>
      <c r="H47" s="151"/>
      <c r="I47" s="151"/>
      <c r="J47" s="151"/>
      <c r="K47" s="192"/>
      <c r="L47" s="192"/>
      <c r="M47" s="358"/>
      <c r="O47" s="545"/>
      <c r="Q47" s="357"/>
      <c r="R47" s="145"/>
      <c r="S47" s="493"/>
      <c r="T47" s="493"/>
      <c r="U47" s="493"/>
      <c r="V47" s="358"/>
    </row>
    <row r="48" spans="1:22">
      <c r="A48" s="101" t="str">
        <f>IF(M48&gt;0,COUNT($A$8:A47)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48" s="694"/>
      <c r="C48" s="683"/>
      <c r="D48" s="103" t="str">
        <f>_xlfn.XLOOKUP(E48,'All Products'!D:D,'All Products'!C:C,FALSE)</f>
        <v>1200-R-DB</v>
      </c>
      <c r="E48" s="137">
        <v>100025700</v>
      </c>
      <c r="F48" s="144" t="str">
        <f>_xlfn.XLOOKUP(E48,'All Products'!D:D,'All Products'!E:E,FALSE)</f>
        <v>12" RND DRY BOX BLK/GRN</v>
      </c>
      <c r="G48" s="137" t="s">
        <v>1564</v>
      </c>
      <c r="H48" s="137" t="s">
        <v>1637</v>
      </c>
      <c r="I48" s="204" t="s">
        <v>1638</v>
      </c>
      <c r="J48" s="103">
        <f>_xlfn.XLOOKUP(E48,'All Products'!D:D,'All Products'!G:G,FALSE)</f>
        <v>1</v>
      </c>
      <c r="K48" s="142">
        <f>_xlfn.XLOOKUP(E48,'All Products'!D:D,'All Products'!H:H,FALSE)</f>
        <v>173.8</v>
      </c>
      <c r="L48" s="180">
        <f>ROUND(K48*Order_Quote!$L$18,2)</f>
        <v>173.8</v>
      </c>
      <c r="M48" s="165"/>
      <c r="N48" s="113"/>
      <c r="O48" s="171">
        <f t="shared" ref="O48:O53" si="3">M48/J48</f>
        <v>0</v>
      </c>
      <c r="Q48" s="360" t="str">
        <f>_xlfn.XLOOKUP(E48,'All Products'!D:D,'All Products'!I:I,FALSE)</f>
        <v>Within 3 Weeks</v>
      </c>
      <c r="R48" s="206" t="str">
        <f>_xlfn.XLOOKUP(E48,'All Products'!D:D,'All Products'!J:J,FALSE)</f>
        <v>Manufactured</v>
      </c>
      <c r="S48" s="518" t="str">
        <f>_xlfn.XLOOKUP(E48,'All Products'!D:D,'All Products'!K:K,FALSE)</f>
        <v>-</v>
      </c>
      <c r="T48" s="518" t="str">
        <f>_xlfn.XLOOKUP(E48,'All Products'!D:D,'All Products'!L:L,FALSE)</f>
        <v>-</v>
      </c>
      <c r="U48" s="518" t="str">
        <f>_xlfn.XLOOKUP(E48,'All Products'!D:D,'All Products'!M:M,FALSE)</f>
        <v>-</v>
      </c>
      <c r="V48" s="455">
        <f>_xlfn.XLOOKUP(E48,'All Products'!D:D,'All Products'!N:N,FALSE)</f>
        <v>6.2949999999999999</v>
      </c>
    </row>
    <row r="49" spans="1:22">
      <c r="A49" s="101" t="str">
        <f>IF(M49&gt;0,COUNT($A$8:A48)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49" s="695"/>
      <c r="C49" s="611"/>
      <c r="D49" s="103" t="str">
        <f>_xlfn.XLOOKUP(E49,'All Products'!D:D,'All Products'!C:C,FALSE)</f>
        <v>1201-R-DB</v>
      </c>
      <c r="E49" s="103">
        <v>100025701</v>
      </c>
      <c r="F49" s="144" t="str">
        <f>_xlfn.XLOOKUP(E49,'All Products'!D:D,'All Products'!E:E,FALSE)</f>
        <v>12" RND DRY BOX GRN/GRN</v>
      </c>
      <c r="G49" s="103" t="s">
        <v>1637</v>
      </c>
      <c r="H49" s="103" t="s">
        <v>1637</v>
      </c>
      <c r="I49" s="206" t="s">
        <v>1638</v>
      </c>
      <c r="J49" s="103">
        <f>_xlfn.XLOOKUP(E49,'All Products'!D:D,'All Products'!G:G,FALSE)</f>
        <v>1</v>
      </c>
      <c r="K49" s="142">
        <f>_xlfn.XLOOKUP(E49,'All Products'!D:D,'All Products'!H:H,FALSE)</f>
        <v>173.8</v>
      </c>
      <c r="L49" s="173">
        <f>ROUND(K49*Order_Quote!$L$18,2)</f>
        <v>173.8</v>
      </c>
      <c r="M49" s="75"/>
      <c r="N49" s="113"/>
      <c r="O49" s="171">
        <f t="shared" si="3"/>
        <v>0</v>
      </c>
      <c r="Q49" s="360" t="str">
        <f>_xlfn.XLOOKUP(E49,'All Products'!D:D,'All Products'!I:I,FALSE)</f>
        <v>In Stock</v>
      </c>
      <c r="R49" s="206" t="str">
        <f>_xlfn.XLOOKUP(E49,'All Products'!D:D,'All Products'!J:J,FALSE)</f>
        <v>Manufactured</v>
      </c>
      <c r="S49" s="518" t="str">
        <f>_xlfn.XLOOKUP(E49,'All Products'!D:D,'All Products'!K:K,FALSE)</f>
        <v>-</v>
      </c>
      <c r="T49" s="518" t="str">
        <f>_xlfn.XLOOKUP(E49,'All Products'!D:D,'All Products'!L:L,FALSE)</f>
        <v>-</v>
      </c>
      <c r="U49" s="518" t="str">
        <f>_xlfn.XLOOKUP(E49,'All Products'!D:D,'All Products'!M:M,FALSE)</f>
        <v>-</v>
      </c>
      <c r="V49" s="455">
        <f>_xlfn.XLOOKUP(E49,'All Products'!D:D,'All Products'!N:N,FALSE)</f>
        <v>6.2949999999999999</v>
      </c>
    </row>
    <row r="50" spans="1:22">
      <c r="A50" s="101" t="str">
        <f>IF(M50&gt;0,COUNT($A$8:A49)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50" s="695"/>
      <c r="C50" s="611"/>
      <c r="D50" s="103" t="str">
        <f>_xlfn.XLOOKUP(E50,'All Products'!D:D,'All Products'!C:C,FALSE)</f>
        <v>1204-R-DB</v>
      </c>
      <c r="E50" s="103">
        <v>100025125</v>
      </c>
      <c r="F50" s="144" t="str">
        <f>_xlfn.XLOOKUP(E50,'All Products'!D:D,'All Products'!E:E,FALSE)</f>
        <v>12" RND DRY BOX BLK/BLK</v>
      </c>
      <c r="G50" s="103" t="s">
        <v>1564</v>
      </c>
      <c r="H50" s="103" t="s">
        <v>1564</v>
      </c>
      <c r="I50" s="206" t="s">
        <v>1638</v>
      </c>
      <c r="J50" s="103">
        <f>_xlfn.XLOOKUP(E50,'All Products'!D:D,'All Products'!G:G,FALSE)</f>
        <v>1</v>
      </c>
      <c r="K50" s="142">
        <f>_xlfn.XLOOKUP(E50,'All Products'!D:D,'All Products'!H:H,FALSE)</f>
        <v>173.8</v>
      </c>
      <c r="L50" s="173">
        <f>ROUND(K50*Order_Quote!$L$18,2)</f>
        <v>173.8</v>
      </c>
      <c r="M50" s="75"/>
      <c r="N50" s="113"/>
      <c r="O50" s="171">
        <f t="shared" si="3"/>
        <v>0</v>
      </c>
      <c r="Q50" s="360" t="str">
        <f>_xlfn.XLOOKUP(E50,'All Products'!D:D,'All Products'!I:I,FALSE)</f>
        <v>In Stock</v>
      </c>
      <c r="R50" s="206" t="str">
        <f>_xlfn.XLOOKUP(E50,'All Products'!D:D,'All Products'!J:J,FALSE)</f>
        <v>Manufactured</v>
      </c>
      <c r="S50" s="518" t="str">
        <f>_xlfn.XLOOKUP(E50,'All Products'!D:D,'All Products'!K:K,FALSE)</f>
        <v>-</v>
      </c>
      <c r="T50" s="518" t="str">
        <f>_xlfn.XLOOKUP(E50,'All Products'!D:D,'All Products'!L:L,FALSE)</f>
        <v>-</v>
      </c>
      <c r="U50" s="518" t="str">
        <f>_xlfn.XLOOKUP(E50,'All Products'!D:D,'All Products'!M:M,FALSE)</f>
        <v>-</v>
      </c>
      <c r="V50" s="455">
        <f>_xlfn.XLOOKUP(E50,'All Products'!D:D,'All Products'!N:N,FALSE)</f>
        <v>6.2949999999999999</v>
      </c>
    </row>
    <row r="51" spans="1:22">
      <c r="A51" s="101" t="str">
        <f>IF(M51&gt;0,COUNT($A$8:A50)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51" s="695"/>
      <c r="C51" s="611"/>
      <c r="D51" s="103" t="str">
        <f>_xlfn.XLOOKUP(E51,'All Products'!D:D,'All Products'!C:C,FALSE)</f>
        <v>1203-R-DB</v>
      </c>
      <c r="E51" s="103">
        <v>100025124</v>
      </c>
      <c r="F51" s="144" t="str">
        <f>_xlfn.XLOOKUP(E51,'All Products'!D:D,'All Products'!E:E,FALSE)</f>
        <v>12" RND DRY BOX PRP/PRP</v>
      </c>
      <c r="G51" s="103" t="s">
        <v>1576</v>
      </c>
      <c r="H51" s="103" t="s">
        <v>1576</v>
      </c>
      <c r="I51" s="206" t="s">
        <v>1644</v>
      </c>
      <c r="J51" s="103">
        <f>_xlfn.XLOOKUP(E51,'All Products'!D:D,'All Products'!G:G,FALSE)</f>
        <v>1</v>
      </c>
      <c r="K51" s="142">
        <f>_xlfn.XLOOKUP(E51,'All Products'!D:D,'All Products'!H:H,FALSE)</f>
        <v>173.8</v>
      </c>
      <c r="L51" s="173">
        <f>ROUND(K51*Order_Quote!$L$18,2)</f>
        <v>173.8</v>
      </c>
      <c r="M51" s="75"/>
      <c r="N51" s="113"/>
      <c r="O51" s="171">
        <f t="shared" si="3"/>
        <v>0</v>
      </c>
      <c r="Q51" s="360" t="str">
        <f>_xlfn.XLOOKUP(E51,'All Products'!D:D,'All Products'!I:I,FALSE)</f>
        <v>Within 3 Weeks</v>
      </c>
      <c r="R51" s="206" t="str">
        <f>_xlfn.XLOOKUP(E51,'All Products'!D:D,'All Products'!J:J,FALSE)</f>
        <v>Manufactured</v>
      </c>
      <c r="S51" s="518" t="str">
        <f>_xlfn.XLOOKUP(E51,'All Products'!D:D,'All Products'!K:K,FALSE)</f>
        <v>-</v>
      </c>
      <c r="T51" s="518" t="str">
        <f>_xlfn.XLOOKUP(E51,'All Products'!D:D,'All Products'!L:L,FALSE)</f>
        <v>-</v>
      </c>
      <c r="U51" s="518" t="str">
        <f>_xlfn.XLOOKUP(E51,'All Products'!D:D,'All Products'!M:M,FALSE)</f>
        <v>-</v>
      </c>
      <c r="V51" s="455">
        <f>_xlfn.XLOOKUP(E51,'All Products'!D:D,'All Products'!N:N,FALSE)</f>
        <v>6.2949999999999999</v>
      </c>
    </row>
    <row r="52" spans="1:22">
      <c r="A52" s="101" t="str">
        <f>IF(M52&gt;0,COUNT($A$8:A51)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52" s="695"/>
      <c r="C52" s="611"/>
      <c r="D52" s="103" t="str">
        <f>_xlfn.XLOOKUP(E52,'All Products'!D:D,'All Products'!C:C,FALSE)</f>
        <v>1200-R-DB-E</v>
      </c>
      <c r="E52" s="103">
        <v>100025120</v>
      </c>
      <c r="F52" s="144" t="str">
        <f>_xlfn.XLOOKUP(E52,'All Products'!D:D,'All Products'!E:E,FALSE)</f>
        <v>12" RND DRY BOX W/ELECT LID B/G</v>
      </c>
      <c r="G52" s="103" t="s">
        <v>1564</v>
      </c>
      <c r="H52" s="103" t="s">
        <v>1637</v>
      </c>
      <c r="I52" s="206" t="s">
        <v>1719</v>
      </c>
      <c r="J52" s="103">
        <f>_xlfn.XLOOKUP(E52,'All Products'!D:D,'All Products'!G:G,FALSE)</f>
        <v>1</v>
      </c>
      <c r="K52" s="142">
        <f>_xlfn.XLOOKUP(E52,'All Products'!D:D,'All Products'!H:H,FALSE)</f>
        <v>173.8</v>
      </c>
      <c r="L52" s="173">
        <f>ROUND(K52*Order_Quote!$L$18,2)</f>
        <v>173.8</v>
      </c>
      <c r="M52" s="75"/>
      <c r="N52" s="113"/>
      <c r="O52" s="171">
        <f t="shared" si="3"/>
        <v>0</v>
      </c>
      <c r="Q52" s="360" t="str">
        <f>_xlfn.XLOOKUP(E52,'All Products'!D:D,'All Products'!I:I,FALSE)</f>
        <v>Within 3 Weeks</v>
      </c>
      <c r="R52" s="206" t="str">
        <f>_xlfn.XLOOKUP(E52,'All Products'!D:D,'All Products'!J:J,FALSE)</f>
        <v>Manufactured</v>
      </c>
      <c r="S52" s="518" t="str">
        <f>_xlfn.XLOOKUP(E52,'All Products'!D:D,'All Products'!K:K,FALSE)</f>
        <v>-</v>
      </c>
      <c r="T52" s="518" t="str">
        <f>_xlfn.XLOOKUP(E52,'All Products'!D:D,'All Products'!L:L,FALSE)</f>
        <v>-</v>
      </c>
      <c r="U52" s="518" t="str">
        <f>_xlfn.XLOOKUP(E52,'All Products'!D:D,'All Products'!M:M,FALSE)</f>
        <v>-</v>
      </c>
      <c r="V52" s="455">
        <f>_xlfn.XLOOKUP(E52,'All Products'!D:D,'All Products'!N:N,FALSE)</f>
        <v>6.2949999999999999</v>
      </c>
    </row>
    <row r="53" spans="1:22" ht="15" thickBot="1">
      <c r="A53" s="101" t="str">
        <f>IF(M53&gt;0,COUNT($A$8:A52)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53" s="696"/>
      <c r="C53" s="697"/>
      <c r="D53" s="103" t="str">
        <f>_xlfn.XLOOKUP(E53,'All Products'!D:D,'All Products'!C:C,FALSE)</f>
        <v>1205-R-DB-E</v>
      </c>
      <c r="E53" s="138">
        <v>100025705</v>
      </c>
      <c r="F53" s="144" t="str">
        <f>_xlfn.XLOOKUP(E53,'All Products'!D:D,'All Products'!E:E,FALSE)</f>
        <v>12" RND DRY BOX W/ELECT LID GRY</v>
      </c>
      <c r="G53" s="138" t="s">
        <v>1722</v>
      </c>
      <c r="H53" s="138" t="s">
        <v>1722</v>
      </c>
      <c r="I53" s="207" t="s">
        <v>1719</v>
      </c>
      <c r="J53" s="103">
        <f>_xlfn.XLOOKUP(E53,'All Products'!D:D,'All Products'!G:G,FALSE)</f>
        <v>1</v>
      </c>
      <c r="K53" s="142">
        <f>_xlfn.XLOOKUP(E53,'All Products'!D:D,'All Products'!H:H,FALSE)</f>
        <v>173.8</v>
      </c>
      <c r="L53" s="181">
        <f>ROUND(K53*Order_Quote!$L$18,2)</f>
        <v>173.8</v>
      </c>
      <c r="M53" s="163"/>
      <c r="N53" s="113"/>
      <c r="O53" s="171">
        <f t="shared" si="3"/>
        <v>0</v>
      </c>
      <c r="Q53" s="360" t="str">
        <f>_xlfn.XLOOKUP(E53,'All Products'!D:D,'All Products'!I:I,FALSE)</f>
        <v>In Stock</v>
      </c>
      <c r="R53" s="206" t="str">
        <f>_xlfn.XLOOKUP(E53,'All Products'!D:D,'All Products'!J:J,FALSE)</f>
        <v>Manufactured</v>
      </c>
      <c r="S53" s="518" t="str">
        <f>_xlfn.XLOOKUP(E53,'All Products'!D:D,'All Products'!K:K,FALSE)</f>
        <v>-</v>
      </c>
      <c r="T53" s="518" t="str">
        <f>_xlfn.XLOOKUP(E53,'All Products'!D:D,'All Products'!L:L,FALSE)</f>
        <v>-</v>
      </c>
      <c r="U53" s="518" t="str">
        <f>_xlfn.XLOOKUP(E53,'All Products'!D:D,'All Products'!M:M,FALSE)</f>
        <v>-</v>
      </c>
      <c r="V53" s="455">
        <f>_xlfn.XLOOKUP(E53,'All Products'!D:D,'All Products'!N:N,FALSE)</f>
        <v>6.2949999999999999</v>
      </c>
    </row>
    <row r="54" spans="1:22" ht="16.2" thickBot="1">
      <c r="A54" s="101" t="str">
        <f>IF(M54&gt;0,COUNT($A$8:A53)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54" s="446" t="s">
        <v>5771</v>
      </c>
      <c r="C54" s="151"/>
      <c r="D54" s="151"/>
      <c r="E54" s="151"/>
      <c r="F54" s="450"/>
      <c r="G54" s="151"/>
      <c r="H54" s="151"/>
      <c r="I54" s="151"/>
      <c r="J54" s="151"/>
      <c r="K54" s="192"/>
      <c r="L54" s="192"/>
      <c r="M54" s="358"/>
      <c r="O54" s="545"/>
      <c r="Q54" s="357"/>
      <c r="R54" s="145"/>
      <c r="S54" s="493"/>
      <c r="T54" s="493"/>
      <c r="U54" s="493"/>
      <c r="V54" s="358"/>
    </row>
    <row r="55" spans="1:22">
      <c r="A55" s="101" t="str">
        <f>IF(M55&gt;0,COUNT($A$8:A54)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55" s="694"/>
      <c r="C55" s="683"/>
      <c r="D55" s="103">
        <f>_xlfn.XLOOKUP(E55,'All Products'!D:D,'All Products'!C:C,FALSE)</f>
        <v>10150</v>
      </c>
      <c r="E55" s="137">
        <v>100031059</v>
      </c>
      <c r="F55" s="144" t="str">
        <f>_xlfn.XLOOKUP(E55,'All Products'!D:D,'All Products'!E:E,FALSE)</f>
        <v>10 X 15 X 10" RCT BOX W/LID BLK/GRN</v>
      </c>
      <c r="G55" s="137" t="s">
        <v>1564</v>
      </c>
      <c r="H55" s="137" t="s">
        <v>1637</v>
      </c>
      <c r="I55" s="204" t="s">
        <v>1638</v>
      </c>
      <c r="J55" s="103">
        <f>_xlfn.XLOOKUP(E55,'All Products'!D:D,'All Products'!G:G,FALSE)</f>
        <v>126</v>
      </c>
      <c r="K55" s="142">
        <f>_xlfn.XLOOKUP(E55,'All Products'!D:D,'All Products'!H:H,FALSE)</f>
        <v>71.209999999999994</v>
      </c>
      <c r="L55" s="180">
        <f>ROUND(K55*Order_Quote!$L$18,2)</f>
        <v>71.209999999999994</v>
      </c>
      <c r="M55" s="165"/>
      <c r="N55" s="113"/>
      <c r="O55" s="171">
        <f>M55/J55</f>
        <v>0</v>
      </c>
      <c r="Q55" s="360" t="str">
        <f>_xlfn.XLOOKUP(E55,'All Products'!D:D,'All Products'!I:I,FALSE)</f>
        <v>In Stock</v>
      </c>
      <c r="R55" s="206" t="str">
        <f>_xlfn.XLOOKUP(E55,'All Products'!D:D,'All Products'!J:J,FALSE)</f>
        <v>Manufactured</v>
      </c>
      <c r="S55" s="518" t="str">
        <f>_xlfn.XLOOKUP(E55,'All Products'!D:D,'All Products'!K:K,FALSE)</f>
        <v>-</v>
      </c>
      <c r="T55" s="518" t="str">
        <f>_xlfn.XLOOKUP(E55,'All Products'!D:D,'All Products'!L:L,FALSE)</f>
        <v>-</v>
      </c>
      <c r="U55" s="518" t="str">
        <f>_xlfn.XLOOKUP(E55,'All Products'!D:D,'All Products'!M:M,FALSE)</f>
        <v>-</v>
      </c>
      <c r="V55" s="455">
        <f>_xlfn.XLOOKUP(E55,'All Products'!D:D,'All Products'!N:N,FALSE)</f>
        <v>4.1399999999999997</v>
      </c>
    </row>
    <row r="56" spans="1:22">
      <c r="A56" s="101" t="str">
        <f>IF(M56&gt;0,COUNT($A$8:A55)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56" s="695"/>
      <c r="C56" s="611"/>
      <c r="D56" s="103">
        <f>_xlfn.XLOOKUP(E56,'All Products'!D:D,'All Products'!C:C,FALSE)</f>
        <v>10151</v>
      </c>
      <c r="E56" s="103">
        <v>100031060</v>
      </c>
      <c r="F56" s="144" t="str">
        <f>_xlfn.XLOOKUP(E56,'All Products'!D:D,'All Products'!E:E,FALSE)</f>
        <v>10 X 15 X 10" RCT BOX W/LID GRN/GRN</v>
      </c>
      <c r="G56" s="103" t="s">
        <v>1637</v>
      </c>
      <c r="H56" s="103" t="s">
        <v>1637</v>
      </c>
      <c r="I56" s="206" t="s">
        <v>1638</v>
      </c>
      <c r="J56" s="103">
        <f>_xlfn.XLOOKUP(E56,'All Products'!D:D,'All Products'!G:G,FALSE)</f>
        <v>126</v>
      </c>
      <c r="K56" s="142">
        <f>_xlfn.XLOOKUP(E56,'All Products'!D:D,'All Products'!H:H,FALSE)</f>
        <v>71.209999999999994</v>
      </c>
      <c r="L56" s="173">
        <f>ROUND(K56*Order_Quote!$L$18,2)</f>
        <v>71.209999999999994</v>
      </c>
      <c r="M56" s="75"/>
      <c r="N56" s="113"/>
      <c r="O56" s="171">
        <f t="shared" ref="O56:O57" si="4">M56/J56</f>
        <v>0</v>
      </c>
      <c r="Q56" s="360" t="str">
        <f>_xlfn.XLOOKUP(E56,'All Products'!D:D,'All Products'!I:I,FALSE)</f>
        <v>Within 3 Weeks</v>
      </c>
      <c r="R56" s="206" t="str">
        <f>_xlfn.XLOOKUP(E56,'All Products'!D:D,'All Products'!J:J,FALSE)</f>
        <v>Manufactured</v>
      </c>
      <c r="S56" s="518" t="str">
        <f>_xlfn.XLOOKUP(E56,'All Products'!D:D,'All Products'!K:K,FALSE)</f>
        <v>-</v>
      </c>
      <c r="T56" s="518" t="str">
        <f>_xlfn.XLOOKUP(E56,'All Products'!D:D,'All Products'!L:L,FALSE)</f>
        <v>-</v>
      </c>
      <c r="U56" s="518" t="str">
        <f>_xlfn.XLOOKUP(E56,'All Products'!D:D,'All Products'!M:M,FALSE)</f>
        <v>-</v>
      </c>
      <c r="V56" s="455">
        <f>_xlfn.XLOOKUP(E56,'All Products'!D:D,'All Products'!N:N,FALSE)</f>
        <v>4.1399999999999997</v>
      </c>
    </row>
    <row r="57" spans="1:22" ht="15" thickBot="1">
      <c r="A57" s="101" t="str">
        <f>IF(M57&gt;0,COUNT($A$8:A56)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57" s="696"/>
      <c r="C57" s="697"/>
      <c r="D57" s="103">
        <f>_xlfn.XLOOKUP(E57,'All Products'!D:D,'All Products'!C:C,FALSE)</f>
        <v>10153</v>
      </c>
      <c r="E57" s="138">
        <v>100031062</v>
      </c>
      <c r="F57" s="144" t="str">
        <f>_xlfn.XLOOKUP(E57,'All Products'!D:D,'All Products'!E:E,FALSE)</f>
        <v>10 X 15 X 10" RCT BOX W/LID PRP/PRP</v>
      </c>
      <c r="G57" s="138" t="s">
        <v>1576</v>
      </c>
      <c r="H57" s="138" t="s">
        <v>1576</v>
      </c>
      <c r="I57" s="207" t="s">
        <v>1638</v>
      </c>
      <c r="J57" s="103">
        <f>_xlfn.XLOOKUP(E57,'All Products'!D:D,'All Products'!G:G,FALSE)</f>
        <v>126</v>
      </c>
      <c r="K57" s="142">
        <f>_xlfn.XLOOKUP(E57,'All Products'!D:D,'All Products'!H:H,FALSE)</f>
        <v>71.209999999999994</v>
      </c>
      <c r="L57" s="181">
        <f>ROUND(K57*Order_Quote!$L$18,2)</f>
        <v>71.209999999999994</v>
      </c>
      <c r="M57" s="163"/>
      <c r="N57" s="113"/>
      <c r="O57" s="171">
        <f t="shared" si="4"/>
        <v>0</v>
      </c>
      <c r="Q57" s="360" t="str">
        <f>_xlfn.XLOOKUP(E57,'All Products'!D:D,'All Products'!I:I,FALSE)</f>
        <v>Within 3 Weeks</v>
      </c>
      <c r="R57" s="206" t="str">
        <f>_xlfn.XLOOKUP(E57,'All Products'!D:D,'All Products'!J:J,FALSE)</f>
        <v>Manufactured</v>
      </c>
      <c r="S57" s="518" t="str">
        <f>_xlfn.XLOOKUP(E57,'All Products'!D:D,'All Products'!K:K,FALSE)</f>
        <v>-</v>
      </c>
      <c r="T57" s="518" t="str">
        <f>_xlfn.XLOOKUP(E57,'All Products'!D:D,'All Products'!L:L,FALSE)</f>
        <v>-</v>
      </c>
      <c r="U57" s="518" t="str">
        <f>_xlfn.XLOOKUP(E57,'All Products'!D:D,'All Products'!M:M,FALSE)</f>
        <v>-</v>
      </c>
      <c r="V57" s="455">
        <f>_xlfn.XLOOKUP(E57,'All Products'!D:D,'All Products'!N:N,FALSE)</f>
        <v>4.1399999999999997</v>
      </c>
    </row>
    <row r="58" spans="1:22" ht="16.2" thickBot="1">
      <c r="A58" s="101" t="str">
        <f>IF(M58&gt;0,COUNT($A$8:A57)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58" s="446" t="s">
        <v>5773</v>
      </c>
      <c r="C58" s="151"/>
      <c r="D58" s="151"/>
      <c r="E58" s="151"/>
      <c r="F58" s="450"/>
      <c r="G58" s="151"/>
      <c r="H58" s="151"/>
      <c r="I58" s="151"/>
      <c r="J58" s="151"/>
      <c r="K58" s="192"/>
      <c r="L58" s="192"/>
      <c r="M58" s="358"/>
      <c r="O58" s="358"/>
      <c r="Q58" s="357"/>
      <c r="R58" s="145"/>
      <c r="S58" s="493"/>
      <c r="T58" s="493"/>
      <c r="U58" s="493"/>
      <c r="V58" s="358"/>
    </row>
    <row r="59" spans="1:22">
      <c r="A59" s="101" t="str">
        <f>IF(M59&gt;0,COUNT($A$8:A58)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59" s="694"/>
      <c r="C59" s="683"/>
      <c r="D59" s="103" t="str">
        <f>_xlfn.XLOOKUP(E59,'All Products'!D:D,'All Products'!C:C,FALSE)</f>
        <v>120-6</v>
      </c>
      <c r="E59" s="137">
        <v>100025707</v>
      </c>
      <c r="F59" s="144" t="str">
        <f>_xlfn.XLOOKUP(E59,'All Products'!D:D,'All Products'!E:E,FALSE)</f>
        <v>12X17X6 RCT BOX W/LID BLK/GRN</v>
      </c>
      <c r="G59" s="137" t="s">
        <v>1564</v>
      </c>
      <c r="H59" s="137" t="s">
        <v>1637</v>
      </c>
      <c r="I59" s="204" t="s">
        <v>1638</v>
      </c>
      <c r="J59" s="103">
        <f>_xlfn.XLOOKUP(E59,'All Products'!D:D,'All Products'!G:G,FALSE)</f>
        <v>98</v>
      </c>
      <c r="K59" s="142">
        <f>_xlfn.XLOOKUP(E59,'All Products'!D:D,'All Products'!H:H,FALSE)</f>
        <v>82.86</v>
      </c>
      <c r="L59" s="180">
        <f>ROUND(K59*Order_Quote!$L$18,2)</f>
        <v>82.86</v>
      </c>
      <c r="M59" s="165"/>
      <c r="N59" s="113"/>
      <c r="O59" s="171">
        <f t="shared" ref="O59:O69" si="5">M59/J59</f>
        <v>0</v>
      </c>
      <c r="Q59" s="360" t="str">
        <f>_xlfn.XLOOKUP(E59,'All Products'!D:D,'All Products'!I:I,FALSE)</f>
        <v>In Stock</v>
      </c>
      <c r="R59" s="206" t="str">
        <f>_xlfn.XLOOKUP(E59,'All Products'!D:D,'All Products'!J:J,FALSE)</f>
        <v>Manufactured</v>
      </c>
      <c r="S59" s="518">
        <f>_xlfn.XLOOKUP(E59,'All Products'!D:D,'All Products'!K:K,FALSE)</f>
        <v>49081802554</v>
      </c>
      <c r="T59" s="518" t="str">
        <f>_xlfn.XLOOKUP(E59,'All Products'!D:D,'All Products'!L:L,FALSE)</f>
        <v>-</v>
      </c>
      <c r="U59" s="518">
        <f>_xlfn.XLOOKUP(E59,'All Products'!D:D,'All Products'!M:M,FALSE)</f>
        <v>50049081802559</v>
      </c>
      <c r="V59" s="455">
        <f>_xlfn.XLOOKUP(E59,'All Products'!D:D,'All Products'!N:N,FALSE)</f>
        <v>6.56</v>
      </c>
    </row>
    <row r="60" spans="1:22">
      <c r="A60" s="101" t="str">
        <f>IF(M60&gt;0,COUNT($A$8:A59)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60" s="695"/>
      <c r="C60" s="611"/>
      <c r="D60" s="103" t="str">
        <f>_xlfn.XLOOKUP(E60,'All Products'!D:D,'All Products'!C:C,FALSE)</f>
        <v>121-6</v>
      </c>
      <c r="E60" s="103">
        <v>100025722</v>
      </c>
      <c r="F60" s="144" t="str">
        <f>_xlfn.XLOOKUP(E60,'All Products'!D:D,'All Products'!E:E,FALSE)</f>
        <v>12X17X6 RCT BOX W/LID GRN/GRN</v>
      </c>
      <c r="G60" s="103" t="s">
        <v>1637</v>
      </c>
      <c r="H60" s="103" t="s">
        <v>1637</v>
      </c>
      <c r="I60" s="206" t="s">
        <v>1638</v>
      </c>
      <c r="J60" s="103">
        <f>_xlfn.XLOOKUP(E60,'All Products'!D:D,'All Products'!G:G,FALSE)</f>
        <v>98</v>
      </c>
      <c r="K60" s="142">
        <f>_xlfn.XLOOKUP(E60,'All Products'!D:D,'All Products'!H:H,FALSE)</f>
        <v>82.86</v>
      </c>
      <c r="L60" s="173">
        <f>ROUND(K60*Order_Quote!$L$18,2)</f>
        <v>82.86</v>
      </c>
      <c r="M60" s="75"/>
      <c r="N60" s="113"/>
      <c r="O60" s="171">
        <f t="shared" si="5"/>
        <v>0</v>
      </c>
      <c r="Q60" s="360" t="str">
        <f>_xlfn.XLOOKUP(E60,'All Products'!D:D,'All Products'!I:I,FALSE)</f>
        <v>In Stock</v>
      </c>
      <c r="R60" s="206" t="str">
        <f>_xlfn.XLOOKUP(E60,'All Products'!D:D,'All Products'!J:J,FALSE)</f>
        <v>Manufactured</v>
      </c>
      <c r="S60" s="518">
        <f>_xlfn.XLOOKUP(E60,'All Products'!D:D,'All Products'!K:K,FALSE)</f>
        <v>49081802622</v>
      </c>
      <c r="T60" s="518" t="str">
        <f>_xlfn.XLOOKUP(E60,'All Products'!D:D,'All Products'!L:L,FALSE)</f>
        <v>-</v>
      </c>
      <c r="U60" s="518">
        <f>_xlfn.XLOOKUP(E60,'All Products'!D:D,'All Products'!M:M,FALSE)</f>
        <v>50049081802627</v>
      </c>
      <c r="V60" s="455">
        <f>_xlfn.XLOOKUP(E60,'All Products'!D:D,'All Products'!N:N,FALSE)</f>
        <v>6.56</v>
      </c>
    </row>
    <row r="61" spans="1:22">
      <c r="A61" s="101" t="str">
        <f>IF(M61&gt;0,COUNT($A$8:A60)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61" s="695"/>
      <c r="C61" s="611"/>
      <c r="D61" s="103" t="str">
        <f>_xlfn.XLOOKUP(E61,'All Products'!D:D,'All Products'!C:C,FALSE)</f>
        <v>122-6</v>
      </c>
      <c r="E61" s="103">
        <v>100025742</v>
      </c>
      <c r="F61" s="144" t="str">
        <f>_xlfn.XLOOKUP(E61,'All Products'!D:D,'All Products'!E:E,FALSE)</f>
        <v>12X17X6 RCT BOX W/LID TAN/TAN</v>
      </c>
      <c r="G61" s="103" t="s">
        <v>1641</v>
      </c>
      <c r="H61" s="103" t="s">
        <v>1641</v>
      </c>
      <c r="I61" s="206" t="s">
        <v>1638</v>
      </c>
      <c r="J61" s="103">
        <f>_xlfn.XLOOKUP(E61,'All Products'!D:D,'All Products'!G:G,FALSE)</f>
        <v>98</v>
      </c>
      <c r="K61" s="142">
        <f>_xlfn.XLOOKUP(E61,'All Products'!D:D,'All Products'!H:H,FALSE)</f>
        <v>82.86</v>
      </c>
      <c r="L61" s="173">
        <f>ROUND(K61*Order_Quote!$L$18,2)</f>
        <v>82.86</v>
      </c>
      <c r="M61" s="75"/>
      <c r="N61" s="113"/>
      <c r="O61" s="171">
        <f t="shared" si="5"/>
        <v>0</v>
      </c>
      <c r="Q61" s="360" t="str">
        <f>_xlfn.XLOOKUP(E61,'All Products'!D:D,'All Products'!I:I,FALSE)</f>
        <v>In Stock</v>
      </c>
      <c r="R61" s="206" t="str">
        <f>_xlfn.XLOOKUP(E61,'All Products'!D:D,'All Products'!J:J,FALSE)</f>
        <v>Manufactured</v>
      </c>
      <c r="S61" s="518">
        <f>_xlfn.XLOOKUP(E61,'All Products'!D:D,'All Products'!K:K,FALSE)</f>
        <v>49081802691</v>
      </c>
      <c r="T61" s="518" t="str">
        <f>_xlfn.XLOOKUP(E61,'All Products'!D:D,'All Products'!L:L,FALSE)</f>
        <v>-</v>
      </c>
      <c r="U61" s="518">
        <f>_xlfn.XLOOKUP(E61,'All Products'!D:D,'All Products'!M:M,FALSE)</f>
        <v>50049081802696</v>
      </c>
      <c r="V61" s="455">
        <f>_xlfn.XLOOKUP(E61,'All Products'!D:D,'All Products'!N:N,FALSE)</f>
        <v>6.56</v>
      </c>
    </row>
    <row r="62" spans="1:22">
      <c r="A62" s="101" t="str">
        <f>IF(M62&gt;0,COUNT($A$8:A61)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62" s="695"/>
      <c r="C62" s="611"/>
      <c r="D62" s="103" t="str">
        <f>_xlfn.XLOOKUP(E62,'All Products'!D:D,'All Products'!C:C,FALSE)</f>
        <v>123-6</v>
      </c>
      <c r="E62" s="103">
        <v>100025750</v>
      </c>
      <c r="F62" s="144" t="str">
        <f>_xlfn.XLOOKUP(E62,'All Products'!D:D,'All Products'!E:E,FALSE)</f>
        <v>12X17X6 RCT BOX W/LID PRP/PRP</v>
      </c>
      <c r="G62" s="103" t="s">
        <v>1576</v>
      </c>
      <c r="H62" s="103" t="s">
        <v>1576</v>
      </c>
      <c r="I62" s="206" t="s">
        <v>1644</v>
      </c>
      <c r="J62" s="103">
        <f>_xlfn.XLOOKUP(E62,'All Products'!D:D,'All Products'!G:G,FALSE)</f>
        <v>98</v>
      </c>
      <c r="K62" s="142">
        <f>_xlfn.XLOOKUP(E62,'All Products'!D:D,'All Products'!H:H,FALSE)</f>
        <v>82.86</v>
      </c>
      <c r="L62" s="173">
        <f>ROUND(K62*Order_Quote!$L$18,2)</f>
        <v>82.86</v>
      </c>
      <c r="M62" s="75"/>
      <c r="N62" s="113"/>
      <c r="O62" s="171">
        <f t="shared" si="5"/>
        <v>0</v>
      </c>
      <c r="Q62" s="360" t="str">
        <f>_xlfn.XLOOKUP(E62,'All Products'!D:D,'All Products'!I:I,FALSE)</f>
        <v>Within 3 Weeks</v>
      </c>
      <c r="R62" s="206" t="str">
        <f>_xlfn.XLOOKUP(E62,'All Products'!D:D,'All Products'!J:J,FALSE)</f>
        <v>Manufactured</v>
      </c>
      <c r="S62" s="518">
        <f>_xlfn.XLOOKUP(E62,'All Products'!D:D,'All Products'!K:K,FALSE)</f>
        <v>49081802769</v>
      </c>
      <c r="T62" s="518" t="str">
        <f>_xlfn.XLOOKUP(E62,'All Products'!D:D,'All Products'!L:L,FALSE)</f>
        <v>-</v>
      </c>
      <c r="U62" s="518">
        <f>_xlfn.XLOOKUP(E62,'All Products'!D:D,'All Products'!M:M,FALSE)</f>
        <v>50049081802764</v>
      </c>
      <c r="V62" s="455">
        <f>_xlfn.XLOOKUP(E62,'All Products'!D:D,'All Products'!N:N,FALSE)</f>
        <v>6.56</v>
      </c>
    </row>
    <row r="63" spans="1:22">
      <c r="A63" s="101" t="str">
        <f>IF(M63&gt;0,COUNT($A$8:A62)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63" s="695"/>
      <c r="C63" s="611"/>
      <c r="D63" s="103" t="str">
        <f>_xlfn.XLOOKUP(E63,'All Products'!D:D,'All Products'!C:C,FALSE)</f>
        <v>124-6</v>
      </c>
      <c r="E63" s="103">
        <v>100025754</v>
      </c>
      <c r="F63" s="144" t="str">
        <f>_xlfn.XLOOKUP(E63,'All Products'!D:D,'All Products'!E:E,FALSE)</f>
        <v>12X17X6 RCT BOX W/LID BLK/BLK</v>
      </c>
      <c r="G63" s="103" t="s">
        <v>1564</v>
      </c>
      <c r="H63" s="103" t="s">
        <v>1564</v>
      </c>
      <c r="I63" s="206" t="s">
        <v>1638</v>
      </c>
      <c r="J63" s="103">
        <f>_xlfn.XLOOKUP(E63,'All Products'!D:D,'All Products'!G:G,FALSE)</f>
        <v>98</v>
      </c>
      <c r="K63" s="142">
        <f>_xlfn.XLOOKUP(E63,'All Products'!D:D,'All Products'!H:H,FALSE)</f>
        <v>82.86</v>
      </c>
      <c r="L63" s="173">
        <f>ROUND(K63*Order_Quote!$L$18,2)</f>
        <v>82.86</v>
      </c>
      <c r="M63" s="75"/>
      <c r="N63" s="113"/>
      <c r="O63" s="171">
        <f t="shared" si="5"/>
        <v>0</v>
      </c>
      <c r="Q63" s="360" t="str">
        <f>_xlfn.XLOOKUP(E63,'All Products'!D:D,'All Products'!I:I,FALSE)</f>
        <v>In Stock</v>
      </c>
      <c r="R63" s="206" t="str">
        <f>_xlfn.XLOOKUP(E63,'All Products'!D:D,'All Products'!J:J,FALSE)</f>
        <v>Manufactured</v>
      </c>
      <c r="S63" s="518">
        <f>_xlfn.XLOOKUP(E63,'All Products'!D:D,'All Products'!K:K,FALSE)</f>
        <v>49081802776</v>
      </c>
      <c r="T63" s="518" t="str">
        <f>_xlfn.XLOOKUP(E63,'All Products'!D:D,'All Products'!L:L,FALSE)</f>
        <v>-</v>
      </c>
      <c r="U63" s="518">
        <f>_xlfn.XLOOKUP(E63,'All Products'!D:D,'All Products'!M:M,FALSE)</f>
        <v>50049081802771</v>
      </c>
      <c r="V63" s="455">
        <f>_xlfn.XLOOKUP(E63,'All Products'!D:D,'All Products'!N:N,FALSE)</f>
        <v>6.56</v>
      </c>
    </row>
    <row r="64" spans="1:22">
      <c r="A64" s="101" t="str">
        <f>IF(M64&gt;0,COUNT($A$8:A63)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64" s="695"/>
      <c r="C64" s="611"/>
      <c r="D64" s="103" t="str">
        <f>_xlfn.XLOOKUP(E64,'All Products'!D:D,'All Products'!C:C,FALSE)</f>
        <v>120-6-MR</v>
      </c>
      <c r="E64" s="103">
        <v>100025131</v>
      </c>
      <c r="F64" s="144" t="str">
        <f>_xlfn.XLOOKUP(E64,'All Products'!D:D,'All Products'!E:E,FALSE)</f>
        <v>12X17X6 RCT MTR RDR BOX/LID</v>
      </c>
      <c r="G64" s="103" t="s">
        <v>1564</v>
      </c>
      <c r="H64" s="103" t="s">
        <v>1637</v>
      </c>
      <c r="I64" s="206" t="s">
        <v>1738</v>
      </c>
      <c r="J64" s="103">
        <f>_xlfn.XLOOKUP(E64,'All Products'!D:D,'All Products'!G:G,FALSE)</f>
        <v>98</v>
      </c>
      <c r="K64" s="142">
        <f>_xlfn.XLOOKUP(E64,'All Products'!D:D,'All Products'!H:H,FALSE)</f>
        <v>82.86</v>
      </c>
      <c r="L64" s="173">
        <f>ROUND(K64*Order_Quote!$L$18,2)</f>
        <v>82.86</v>
      </c>
      <c r="M64" s="75"/>
      <c r="N64" s="113"/>
      <c r="O64" s="171">
        <f t="shared" si="5"/>
        <v>0</v>
      </c>
      <c r="Q64" s="360" t="str">
        <f>_xlfn.XLOOKUP(E64,'All Products'!D:D,'All Products'!I:I,FALSE)</f>
        <v>Within 3 Weeks</v>
      </c>
      <c r="R64" s="206" t="str">
        <f>_xlfn.XLOOKUP(E64,'All Products'!D:D,'All Products'!J:J,FALSE)</f>
        <v>Manufactured</v>
      </c>
      <c r="S64" s="518">
        <f>_xlfn.XLOOKUP(E64,'All Products'!D:D,'All Products'!K:K,FALSE)</f>
        <v>49081804602</v>
      </c>
      <c r="T64" s="518" t="str">
        <f>_xlfn.XLOOKUP(E64,'All Products'!D:D,'All Products'!L:L,FALSE)</f>
        <v>-</v>
      </c>
      <c r="U64" s="518" t="str">
        <f>_xlfn.XLOOKUP(E64,'All Products'!D:D,'All Products'!M:M,FALSE)</f>
        <v>-</v>
      </c>
      <c r="V64" s="455">
        <f>_xlfn.XLOOKUP(E64,'All Products'!D:D,'All Products'!N:N,FALSE)</f>
        <v>7.14</v>
      </c>
    </row>
    <row r="65" spans="1:22">
      <c r="A65" s="101" t="str">
        <f>IF(M65&gt;0,COUNT($A$8:A64)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65" s="695"/>
      <c r="C65" s="611"/>
      <c r="D65" s="103" t="str">
        <f>_xlfn.XLOOKUP(E65,'All Products'!D:D,'All Products'!C:C,FALSE)</f>
        <v>124-6-MR</v>
      </c>
      <c r="E65" s="103">
        <v>100025182</v>
      </c>
      <c r="F65" s="144" t="str">
        <f>_xlfn.XLOOKUP(E65,'All Products'!D:D,'All Products'!E:E,FALSE)</f>
        <v>12X17X6 RCT MTR RDR BOX/LID BLK</v>
      </c>
      <c r="G65" s="103" t="s">
        <v>1564</v>
      </c>
      <c r="H65" s="103" t="s">
        <v>1564</v>
      </c>
      <c r="I65" s="206" t="s">
        <v>1738</v>
      </c>
      <c r="J65" s="103">
        <f>_xlfn.XLOOKUP(E65,'All Products'!D:D,'All Products'!G:G,FALSE)</f>
        <v>98</v>
      </c>
      <c r="K65" s="142">
        <f>_xlfn.XLOOKUP(E65,'All Products'!D:D,'All Products'!H:H,FALSE)</f>
        <v>82.86</v>
      </c>
      <c r="L65" s="173">
        <f>ROUND(K65*Order_Quote!$L$18,2)</f>
        <v>82.86</v>
      </c>
      <c r="M65" s="75"/>
      <c r="N65" s="113"/>
      <c r="O65" s="171">
        <f t="shared" si="5"/>
        <v>0</v>
      </c>
      <c r="Q65" s="360" t="str">
        <f>_xlfn.XLOOKUP(E65,'All Products'!D:D,'All Products'!I:I,FALSE)</f>
        <v>Within 3 Weeks</v>
      </c>
      <c r="R65" s="206" t="str">
        <f>_xlfn.XLOOKUP(E65,'All Products'!D:D,'All Products'!J:J,FALSE)</f>
        <v>Manufactured</v>
      </c>
      <c r="S65" s="518">
        <f>_xlfn.XLOOKUP(E65,'All Products'!D:D,'All Products'!K:K,FALSE)</f>
        <v>49081804633</v>
      </c>
      <c r="T65" s="518" t="str">
        <f>_xlfn.XLOOKUP(E65,'All Products'!D:D,'All Products'!L:L,FALSE)</f>
        <v>-</v>
      </c>
      <c r="U65" s="518" t="str">
        <f>_xlfn.XLOOKUP(E65,'All Products'!D:D,'All Products'!M:M,FALSE)</f>
        <v>-</v>
      </c>
      <c r="V65" s="455">
        <f>_xlfn.XLOOKUP(E65,'All Products'!D:D,'All Products'!N:N,FALSE)</f>
        <v>7.3</v>
      </c>
    </row>
    <row r="66" spans="1:22">
      <c r="A66" s="101" t="str">
        <f>IF(M66&gt;0,COUNT($A$8:A65)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66" s="695"/>
      <c r="C66" s="611"/>
      <c r="D66" s="103" t="str">
        <f>_xlfn.XLOOKUP(E66,'All Products'!D:D,'All Products'!C:C,FALSE)</f>
        <v>121-6-E</v>
      </c>
      <c r="E66" s="103">
        <v>100025144</v>
      </c>
      <c r="F66" s="144" t="str">
        <f>_xlfn.XLOOKUP(E66,'All Products'!D:D,'All Products'!E:E,FALSE)</f>
        <v>12X17X6 RCT BOX W/ELECT LID G/G</v>
      </c>
      <c r="G66" s="103" t="s">
        <v>1637</v>
      </c>
      <c r="H66" s="103" t="s">
        <v>1637</v>
      </c>
      <c r="I66" s="206" t="s">
        <v>1655</v>
      </c>
      <c r="J66" s="103">
        <f>_xlfn.XLOOKUP(E66,'All Products'!D:D,'All Products'!G:G,FALSE)</f>
        <v>98</v>
      </c>
      <c r="K66" s="142">
        <f>_xlfn.XLOOKUP(E66,'All Products'!D:D,'All Products'!H:H,FALSE)</f>
        <v>82.86</v>
      </c>
      <c r="L66" s="173">
        <f>ROUND(K66*Order_Quote!$L$18,2)</f>
        <v>82.86</v>
      </c>
      <c r="M66" s="75"/>
      <c r="N66" s="113"/>
      <c r="O66" s="171">
        <f t="shared" si="5"/>
        <v>0</v>
      </c>
      <c r="Q66" s="360" t="str">
        <f>_xlfn.XLOOKUP(E66,'All Products'!D:D,'All Products'!I:I,FALSE)</f>
        <v>Within 3 Weeks</v>
      </c>
      <c r="R66" s="206" t="str">
        <f>_xlfn.XLOOKUP(E66,'All Products'!D:D,'All Products'!J:J,FALSE)</f>
        <v>Manufactured</v>
      </c>
      <c r="S66" s="518">
        <f>_xlfn.XLOOKUP(E66,'All Products'!D:D,'All Products'!K:K,FALSE)</f>
        <v>49081802639</v>
      </c>
      <c r="T66" s="518" t="str">
        <f>_xlfn.XLOOKUP(E66,'All Products'!D:D,'All Products'!L:L,FALSE)</f>
        <v>-</v>
      </c>
      <c r="U66" s="518">
        <f>_xlfn.XLOOKUP(E66,'All Products'!D:D,'All Products'!M:M,FALSE)</f>
        <v>50049081802634</v>
      </c>
      <c r="V66" s="455">
        <f>_xlfn.XLOOKUP(E66,'All Products'!D:D,'All Products'!N:N,FALSE)</f>
        <v>6.56</v>
      </c>
    </row>
    <row r="67" spans="1:22">
      <c r="A67" s="101" t="str">
        <f>IF(M67&gt;0,COUNT($A$8:A66)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67" s="695"/>
      <c r="C67" s="611"/>
      <c r="D67" s="103" t="str">
        <f>_xlfn.XLOOKUP(E67,'All Products'!D:D,'All Products'!C:C,FALSE)</f>
        <v>124-6-E</v>
      </c>
      <c r="E67" s="103">
        <v>100025181</v>
      </c>
      <c r="F67" s="144" t="str">
        <f>_xlfn.XLOOKUP(E67,'All Products'!D:D,'All Products'!E:E,FALSE)</f>
        <v>12X17X6 BOX W/ELECT LID BLK/BLK</v>
      </c>
      <c r="G67" s="103" t="s">
        <v>1564</v>
      </c>
      <c r="H67" s="103" t="s">
        <v>1564</v>
      </c>
      <c r="I67" s="206" t="s">
        <v>1655</v>
      </c>
      <c r="J67" s="103">
        <f>_xlfn.XLOOKUP(E67,'All Products'!D:D,'All Products'!G:G,FALSE)</f>
        <v>98</v>
      </c>
      <c r="K67" s="142">
        <f>_xlfn.XLOOKUP(E67,'All Products'!D:D,'All Products'!H:H,FALSE)</f>
        <v>82.86</v>
      </c>
      <c r="L67" s="173">
        <f>ROUND(K67*Order_Quote!$L$18,2)</f>
        <v>82.86</v>
      </c>
      <c r="M67" s="75"/>
      <c r="N67" s="113"/>
      <c r="O67" s="171">
        <f t="shared" si="5"/>
        <v>0</v>
      </c>
      <c r="Q67" s="360" t="str">
        <f>_xlfn.XLOOKUP(E67,'All Products'!D:D,'All Products'!I:I,FALSE)</f>
        <v>Within 3 Weeks</v>
      </c>
      <c r="R67" s="206" t="str">
        <f>_xlfn.XLOOKUP(E67,'All Products'!D:D,'All Products'!J:J,FALSE)</f>
        <v>Manufactured</v>
      </c>
      <c r="S67" s="518">
        <f>_xlfn.XLOOKUP(E67,'All Products'!D:D,'All Products'!K:K,FALSE)</f>
        <v>49081802783</v>
      </c>
      <c r="T67" s="518" t="str">
        <f>_xlfn.XLOOKUP(E67,'All Products'!D:D,'All Products'!L:L,FALSE)</f>
        <v>-</v>
      </c>
      <c r="U67" s="518">
        <f>_xlfn.XLOOKUP(E67,'All Products'!D:D,'All Products'!M:M,FALSE)</f>
        <v>50049081802788</v>
      </c>
      <c r="V67" s="455">
        <f>_xlfn.XLOOKUP(E67,'All Products'!D:D,'All Products'!N:N,FALSE)</f>
        <v>6.56</v>
      </c>
    </row>
    <row r="68" spans="1:22">
      <c r="A68" s="101" t="str">
        <f>IF(M68&gt;0,COUNT($A$8:A67)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68" s="695"/>
      <c r="C68" s="611"/>
      <c r="D68" s="103" t="str">
        <f>_xlfn.XLOOKUP(E68,'All Products'!D:D,'All Products'!C:C,FALSE)</f>
        <v>121-6-T</v>
      </c>
      <c r="E68" s="103">
        <v>100025146</v>
      </c>
      <c r="F68" s="144" t="str">
        <f>_xlfn.XLOOKUP(E68,'All Products'!D:D,'All Products'!E:E,FALSE)</f>
        <v>12X17X6 RCT BOX W/TELEPHONE LID</v>
      </c>
      <c r="G68" s="103" t="s">
        <v>1637</v>
      </c>
      <c r="H68" s="103" t="s">
        <v>1637</v>
      </c>
      <c r="I68" s="206" t="s">
        <v>1707</v>
      </c>
      <c r="J68" s="103">
        <f>_xlfn.XLOOKUP(E68,'All Products'!D:D,'All Products'!G:G,FALSE)</f>
        <v>98</v>
      </c>
      <c r="K68" s="142">
        <f>_xlfn.XLOOKUP(E68,'All Products'!D:D,'All Products'!H:H,FALSE)</f>
        <v>82.86</v>
      </c>
      <c r="L68" s="173">
        <f>ROUND(K68*Order_Quote!$L$18,2)</f>
        <v>82.86</v>
      </c>
      <c r="M68" s="75"/>
      <c r="N68" s="113"/>
      <c r="O68" s="171">
        <f t="shared" si="5"/>
        <v>0</v>
      </c>
      <c r="Q68" s="360" t="str">
        <f>_xlfn.XLOOKUP(E68,'All Products'!D:D,'All Products'!I:I,FALSE)</f>
        <v>Within 3 Weeks</v>
      </c>
      <c r="R68" s="206" t="str">
        <f>_xlfn.XLOOKUP(E68,'All Products'!D:D,'All Products'!J:J,FALSE)</f>
        <v>Manufactured</v>
      </c>
      <c r="S68" s="518">
        <f>_xlfn.XLOOKUP(E68,'All Products'!D:D,'All Products'!K:K,FALSE)</f>
        <v>49081802677</v>
      </c>
      <c r="T68" s="518" t="str">
        <f>_xlfn.XLOOKUP(E68,'All Products'!D:D,'All Products'!L:L,FALSE)</f>
        <v>-</v>
      </c>
      <c r="U68" s="518">
        <f>_xlfn.XLOOKUP(E68,'All Products'!D:D,'All Products'!M:M,FALSE)</f>
        <v>50049081802672</v>
      </c>
      <c r="V68" s="455">
        <f>_xlfn.XLOOKUP(E68,'All Products'!D:D,'All Products'!N:N,FALSE)</f>
        <v>6.56</v>
      </c>
    </row>
    <row r="69" spans="1:22" ht="15" thickBot="1">
      <c r="A69" s="101" t="str">
        <f>IF(M69&gt;0,COUNT($A$8:A68)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69" s="696"/>
      <c r="C69" s="697"/>
      <c r="D69" s="103" t="str">
        <f>_xlfn.XLOOKUP(E69,'All Products'!D:D,'All Products'!C:C,FALSE)</f>
        <v>DS120-6</v>
      </c>
      <c r="E69" s="138">
        <v>100025350</v>
      </c>
      <c r="F69" s="144" t="str">
        <f>_xlfn.XLOOKUP(E69,'All Products'!D:D,'All Products'!E:E,FALSE)</f>
        <v>12X17X6 RCT BOX W/LID B/G + DS</v>
      </c>
      <c r="G69" s="138" t="s">
        <v>1564</v>
      </c>
      <c r="H69" s="138" t="s">
        <v>1637</v>
      </c>
      <c r="I69" s="207" t="s">
        <v>1638</v>
      </c>
      <c r="J69" s="103">
        <f>_xlfn.XLOOKUP(E69,'All Products'!D:D,'All Products'!G:G,FALSE)</f>
        <v>98</v>
      </c>
      <c r="K69" s="142">
        <f>_xlfn.XLOOKUP(E69,'All Products'!D:D,'All Products'!H:H,FALSE)</f>
        <v>175.68</v>
      </c>
      <c r="L69" s="181">
        <f>ROUND(K69*Order_Quote!$L$18,2)</f>
        <v>175.68</v>
      </c>
      <c r="M69" s="163"/>
      <c r="N69" s="113"/>
      <c r="O69" s="171">
        <f t="shared" si="5"/>
        <v>0</v>
      </c>
      <c r="Q69" s="360" t="str">
        <f>_xlfn.XLOOKUP(E69,'All Products'!D:D,'All Products'!I:I,FALSE)</f>
        <v>Within 3 Weeks</v>
      </c>
      <c r="R69" s="206" t="str">
        <f>_xlfn.XLOOKUP(E69,'All Products'!D:D,'All Products'!J:J,FALSE)</f>
        <v>Manufactured</v>
      </c>
      <c r="S69" s="518">
        <f>_xlfn.XLOOKUP(E69,'All Products'!D:D,'All Products'!K:K,FALSE)</f>
        <v>49081806675</v>
      </c>
      <c r="T69" s="518" t="str">
        <f>_xlfn.XLOOKUP(E69,'All Products'!D:D,'All Products'!L:L,FALSE)</f>
        <v>-</v>
      </c>
      <c r="U69" s="518" t="str">
        <f>_xlfn.XLOOKUP(E69,'All Products'!D:D,'All Products'!M:M,FALSE)</f>
        <v>-</v>
      </c>
      <c r="V69" s="455">
        <f>_xlfn.XLOOKUP(E69,'All Products'!D:D,'All Products'!N:N,FALSE)</f>
        <v>10.8</v>
      </c>
    </row>
    <row r="70" spans="1:22" ht="16.2" thickBot="1">
      <c r="A70" s="101" t="str">
        <f>IF(M70&gt;0,COUNT($A$8:A69)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70" s="446" t="s">
        <v>5772</v>
      </c>
      <c r="C70" s="151"/>
      <c r="D70" s="151"/>
      <c r="E70" s="151"/>
      <c r="F70" s="450"/>
      <c r="G70" s="151"/>
      <c r="H70" s="151"/>
      <c r="I70" s="151"/>
      <c r="J70" s="151"/>
      <c r="K70" s="192"/>
      <c r="L70" s="192"/>
      <c r="M70" s="358"/>
      <c r="O70" s="545"/>
      <c r="Q70" s="357"/>
      <c r="R70" s="145"/>
      <c r="S70" s="493"/>
      <c r="T70" s="493"/>
      <c r="U70" s="493"/>
      <c r="V70" s="358"/>
    </row>
    <row r="71" spans="1:22">
      <c r="A71" s="101" t="str">
        <f>IF(M71&gt;0,COUNT($A$8:A70)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71" s="695"/>
      <c r="C71" s="611"/>
      <c r="D71" s="153">
        <f>_xlfn.XLOOKUP(E71,'All Products'!D:D,'All Products'!C:C,FALSE)</f>
        <v>120</v>
      </c>
      <c r="E71" s="153">
        <v>100028520</v>
      </c>
      <c r="F71" s="236" t="str">
        <f>_xlfn.XLOOKUP(E71,'All Products'!D:D,'All Products'!E:E,FALSE)</f>
        <v>12X17X12 RCT BOX W/LID BLK/GRN</v>
      </c>
      <c r="G71" s="153" t="s">
        <v>1564</v>
      </c>
      <c r="H71" s="153" t="s">
        <v>1637</v>
      </c>
      <c r="I71" s="543" t="s">
        <v>1638</v>
      </c>
      <c r="J71" s="153">
        <f>_xlfn.XLOOKUP(E71,'All Products'!D:D,'All Products'!G:G,FALSE)</f>
        <v>72</v>
      </c>
      <c r="K71" s="544">
        <f>_xlfn.XLOOKUP(E71,'All Products'!D:D,'All Products'!H:H,FALSE)</f>
        <v>108.36</v>
      </c>
      <c r="L71" s="255">
        <f>ROUND(K71*Order_Quote!$L$18,2)</f>
        <v>108.36</v>
      </c>
      <c r="M71" s="161"/>
      <c r="N71" s="113"/>
      <c r="O71" s="243">
        <f t="shared" ref="O71:O93" si="6">M71/J71</f>
        <v>0</v>
      </c>
      <c r="Q71" s="547" t="str">
        <f>_xlfn.XLOOKUP(E71,'All Products'!D:D,'All Products'!I:I,FALSE)</f>
        <v>In Stock</v>
      </c>
      <c r="R71" s="543" t="str">
        <f>_xlfn.XLOOKUP(E71,'All Products'!D:D,'All Products'!J:J,FALSE)</f>
        <v>Manufactured</v>
      </c>
      <c r="S71" s="548">
        <f>_xlfn.XLOOKUP(E71,'All Products'!D:D,'All Products'!K:K,FALSE)</f>
        <v>49081802196</v>
      </c>
      <c r="T71" s="548" t="str">
        <f>_xlfn.XLOOKUP(E71,'All Products'!D:D,'All Products'!L:L,FALSE)</f>
        <v>-</v>
      </c>
      <c r="U71" s="548">
        <f>_xlfn.XLOOKUP(E71,'All Products'!D:D,'All Products'!M:M,FALSE)</f>
        <v>50049081802191</v>
      </c>
      <c r="V71" s="549">
        <f>_xlfn.XLOOKUP(E71,'All Products'!D:D,'All Products'!N:N,FALSE)</f>
        <v>9.0500000000000007</v>
      </c>
    </row>
    <row r="72" spans="1:22">
      <c r="A72" s="101" t="str">
        <f>IF(M72&gt;0,COUNT($A$8:A71)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72" s="695"/>
      <c r="C72" s="611"/>
      <c r="D72" s="103">
        <f>_xlfn.XLOOKUP(E72,'All Products'!D:D,'All Products'!C:C,FALSE)</f>
        <v>121</v>
      </c>
      <c r="E72" s="103">
        <v>100028521</v>
      </c>
      <c r="F72" s="144" t="str">
        <f>_xlfn.XLOOKUP(E72,'All Products'!D:D,'All Products'!E:E,FALSE)</f>
        <v>12X17X12 RCT BOX W/LID GRN/GRN</v>
      </c>
      <c r="G72" s="103" t="s">
        <v>1637</v>
      </c>
      <c r="H72" s="103" t="s">
        <v>1637</v>
      </c>
      <c r="I72" s="206" t="s">
        <v>1638</v>
      </c>
      <c r="J72" s="103">
        <f>_xlfn.XLOOKUP(E72,'All Products'!D:D,'All Products'!G:G,FALSE)</f>
        <v>72</v>
      </c>
      <c r="K72" s="142">
        <f>_xlfn.XLOOKUP(E72,'All Products'!D:D,'All Products'!H:H,FALSE)</f>
        <v>108.36</v>
      </c>
      <c r="L72" s="173">
        <f>ROUND(K72*Order_Quote!$L$18,2)</f>
        <v>108.36</v>
      </c>
      <c r="M72" s="75"/>
      <c r="N72" s="113"/>
      <c r="O72" s="171">
        <f t="shared" si="6"/>
        <v>0</v>
      </c>
      <c r="Q72" s="360" t="str">
        <f>_xlfn.XLOOKUP(E72,'All Products'!D:D,'All Products'!I:I,FALSE)</f>
        <v>In Stock</v>
      </c>
      <c r="R72" s="206" t="str">
        <f>_xlfn.XLOOKUP(E72,'All Products'!D:D,'All Products'!J:J,FALSE)</f>
        <v>Manufactured</v>
      </c>
      <c r="S72" s="518">
        <f>_xlfn.XLOOKUP(E72,'All Products'!D:D,'All Products'!K:K,FALSE)</f>
        <v>49081802264</v>
      </c>
      <c r="T72" s="518" t="str">
        <f>_xlfn.XLOOKUP(E72,'All Products'!D:D,'All Products'!L:L,FALSE)</f>
        <v>-</v>
      </c>
      <c r="U72" s="518">
        <f>_xlfn.XLOOKUP(E72,'All Products'!D:D,'All Products'!M:M,FALSE)</f>
        <v>50049081802269</v>
      </c>
      <c r="V72" s="455">
        <f>_xlfn.XLOOKUP(E72,'All Products'!D:D,'All Products'!N:N,FALSE)</f>
        <v>9.0500000000000007</v>
      </c>
    </row>
    <row r="73" spans="1:22">
      <c r="A73" s="101" t="str">
        <f>IF(M73&gt;0,COUNT($A$8:A72)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73" s="695"/>
      <c r="C73" s="611"/>
      <c r="D73" s="103">
        <f>_xlfn.XLOOKUP(E73,'All Products'!D:D,'All Products'!C:C,FALSE)</f>
        <v>122</v>
      </c>
      <c r="E73" s="103">
        <v>100028522</v>
      </c>
      <c r="F73" s="144" t="str">
        <f>_xlfn.XLOOKUP(E73,'All Products'!D:D,'All Products'!E:E,FALSE)</f>
        <v>12X17X12 RCT BOX W/LID TAN/TAN</v>
      </c>
      <c r="G73" s="103" t="s">
        <v>1641</v>
      </c>
      <c r="H73" s="103" t="s">
        <v>1641</v>
      </c>
      <c r="I73" s="206" t="s">
        <v>1638</v>
      </c>
      <c r="J73" s="103">
        <f>_xlfn.XLOOKUP(E73,'All Products'!D:D,'All Products'!G:G,FALSE)</f>
        <v>72</v>
      </c>
      <c r="K73" s="142">
        <f>_xlfn.XLOOKUP(E73,'All Products'!D:D,'All Products'!H:H,FALSE)</f>
        <v>108.36</v>
      </c>
      <c r="L73" s="173">
        <f>ROUND(K73*Order_Quote!$L$18,2)</f>
        <v>108.36</v>
      </c>
      <c r="M73" s="75"/>
      <c r="N73" s="113"/>
      <c r="O73" s="171">
        <f t="shared" si="6"/>
        <v>0</v>
      </c>
      <c r="Q73" s="360" t="str">
        <f>_xlfn.XLOOKUP(E73,'All Products'!D:D,'All Products'!I:I,FALSE)</f>
        <v>In Stock</v>
      </c>
      <c r="R73" s="206" t="str">
        <f>_xlfn.XLOOKUP(E73,'All Products'!D:D,'All Products'!J:J,FALSE)</f>
        <v>Manufactured</v>
      </c>
      <c r="S73" s="518">
        <f>_xlfn.XLOOKUP(E73,'All Products'!D:D,'All Products'!K:K,FALSE)</f>
        <v>49081802332</v>
      </c>
      <c r="T73" s="518" t="str">
        <f>_xlfn.XLOOKUP(E73,'All Products'!D:D,'All Products'!L:L,FALSE)</f>
        <v>-</v>
      </c>
      <c r="U73" s="518">
        <f>_xlfn.XLOOKUP(E73,'All Products'!D:D,'All Products'!M:M,FALSE)</f>
        <v>50049081802337</v>
      </c>
      <c r="V73" s="455">
        <f>_xlfn.XLOOKUP(E73,'All Products'!D:D,'All Products'!N:N,FALSE)</f>
        <v>9.0500000000000007</v>
      </c>
    </row>
    <row r="74" spans="1:22">
      <c r="A74" s="101" t="str">
        <f>IF(M74&gt;0,COUNT($A$8:A73)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74" s="695"/>
      <c r="C74" s="611"/>
      <c r="D74" s="103">
        <f>_xlfn.XLOOKUP(E74,'All Products'!D:D,'All Products'!C:C,FALSE)</f>
        <v>124</v>
      </c>
      <c r="E74" s="103">
        <v>100028524</v>
      </c>
      <c r="F74" s="144" t="str">
        <f>_xlfn.XLOOKUP(E74,'All Products'!D:D,'All Products'!E:E,FALSE)</f>
        <v>12X17X12 RCT BOX W/LID BLK/BLK</v>
      </c>
      <c r="G74" s="103" t="s">
        <v>1564</v>
      </c>
      <c r="H74" s="103" t="s">
        <v>1564</v>
      </c>
      <c r="I74" s="206" t="s">
        <v>1638</v>
      </c>
      <c r="J74" s="103">
        <f>_xlfn.XLOOKUP(E74,'All Products'!D:D,'All Products'!G:G,FALSE)</f>
        <v>72</v>
      </c>
      <c r="K74" s="142">
        <f>_xlfn.XLOOKUP(E74,'All Products'!D:D,'All Products'!H:H,FALSE)</f>
        <v>108.36</v>
      </c>
      <c r="L74" s="173">
        <f>ROUND(K74*Order_Quote!$L$18,2)</f>
        <v>108.36</v>
      </c>
      <c r="M74" s="75"/>
      <c r="N74" s="113"/>
      <c r="O74" s="171">
        <f t="shared" si="6"/>
        <v>0</v>
      </c>
      <c r="Q74" s="360" t="str">
        <f>_xlfn.XLOOKUP(E74,'All Products'!D:D,'All Products'!I:I,FALSE)</f>
        <v>In Stock</v>
      </c>
      <c r="R74" s="206" t="str">
        <f>_xlfn.XLOOKUP(E74,'All Products'!D:D,'All Products'!J:J,FALSE)</f>
        <v>Manufactured</v>
      </c>
      <c r="S74" s="518">
        <f>_xlfn.XLOOKUP(E74,'All Products'!D:D,'All Products'!K:K,FALSE)</f>
        <v>49081802417</v>
      </c>
      <c r="T74" s="518" t="str">
        <f>_xlfn.XLOOKUP(E74,'All Products'!D:D,'All Products'!L:L,FALSE)</f>
        <v>-</v>
      </c>
      <c r="U74" s="518">
        <f>_xlfn.XLOOKUP(E74,'All Products'!D:D,'All Products'!M:M,FALSE)</f>
        <v>50049081802412</v>
      </c>
      <c r="V74" s="455">
        <f>_xlfn.XLOOKUP(E74,'All Products'!D:D,'All Products'!N:N,FALSE)</f>
        <v>9.0500000000000007</v>
      </c>
    </row>
    <row r="75" spans="1:22" ht="24">
      <c r="A75" s="101" t="str">
        <f>IF(M75&gt;0,COUNT($A$8:A74)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75" s="695"/>
      <c r="C75" s="611"/>
      <c r="D75" s="103" t="str">
        <f>_xlfn.XLOOKUP(E75,'All Products'!D:D,'All Products'!C:C,FALSE)</f>
        <v>121-NMH</v>
      </c>
      <c r="E75" s="103">
        <v>100025733</v>
      </c>
      <c r="F75" s="144" t="str">
        <f>_xlfn.XLOOKUP(E75,'All Products'!D:D,'All Products'!E:E,FALSE)</f>
        <v>12X17X12 RCT BOX W/LID G/G NMH</v>
      </c>
      <c r="G75" s="103" t="s">
        <v>1637</v>
      </c>
      <c r="H75" s="103" t="s">
        <v>1637</v>
      </c>
      <c r="I75" s="146" t="s">
        <v>1675</v>
      </c>
      <c r="J75" s="103">
        <f>_xlfn.XLOOKUP(E75,'All Products'!D:D,'All Products'!G:G,FALSE)</f>
        <v>72</v>
      </c>
      <c r="K75" s="142">
        <f>_xlfn.XLOOKUP(E75,'All Products'!D:D,'All Products'!H:H,FALSE)</f>
        <v>108.36</v>
      </c>
      <c r="L75" s="173">
        <f>ROUND(K75*Order_Quote!$L$18,2)</f>
        <v>108.36</v>
      </c>
      <c r="M75" s="75"/>
      <c r="N75" s="113"/>
      <c r="O75" s="171">
        <f t="shared" si="6"/>
        <v>0</v>
      </c>
      <c r="Q75" s="360" t="str">
        <f>_xlfn.XLOOKUP(E75,'All Products'!D:D,'All Products'!I:I,FALSE)</f>
        <v>In Stock</v>
      </c>
      <c r="R75" s="206" t="str">
        <f>_xlfn.XLOOKUP(E75,'All Products'!D:D,'All Products'!J:J,FALSE)</f>
        <v>Manufactured</v>
      </c>
      <c r="S75" s="518">
        <f>_xlfn.XLOOKUP(E75,'All Products'!D:D,'All Products'!K:K,FALSE)</f>
        <v>49081804626</v>
      </c>
      <c r="T75" s="518" t="str">
        <f>_xlfn.XLOOKUP(E75,'All Products'!D:D,'All Products'!L:L,FALSE)</f>
        <v>-</v>
      </c>
      <c r="U75" s="518" t="str">
        <f>_xlfn.XLOOKUP(E75,'All Products'!D:D,'All Products'!M:M,FALSE)</f>
        <v>-</v>
      </c>
      <c r="V75" s="455">
        <f>_xlfn.XLOOKUP(E75,'All Products'!D:D,'All Products'!N:N,FALSE)</f>
        <v>8.83</v>
      </c>
    </row>
    <row r="76" spans="1:22">
      <c r="A76" s="101" t="str">
        <f>IF(M76&gt;0,COUNT($A$8:A75)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76" s="695"/>
      <c r="C76" s="611"/>
      <c r="D76" s="103">
        <f>_xlfn.XLOOKUP(E76,'All Products'!D:D,'All Products'!C:C,FALSE)</f>
        <v>123</v>
      </c>
      <c r="E76" s="103">
        <v>100028523</v>
      </c>
      <c r="F76" s="144" t="str">
        <f>_xlfn.XLOOKUP(E76,'All Products'!D:D,'All Products'!E:E,FALSE)</f>
        <v>12X17X12 RCT BOX W/LID PRP/PRP</v>
      </c>
      <c r="G76" s="103" t="s">
        <v>1576</v>
      </c>
      <c r="H76" s="103" t="s">
        <v>1576</v>
      </c>
      <c r="I76" s="206" t="s">
        <v>1644</v>
      </c>
      <c r="J76" s="103">
        <f>_xlfn.XLOOKUP(E76,'All Products'!D:D,'All Products'!G:G,FALSE)</f>
        <v>72</v>
      </c>
      <c r="K76" s="142">
        <f>_xlfn.XLOOKUP(E76,'All Products'!D:D,'All Products'!H:H,FALSE)</f>
        <v>108.36</v>
      </c>
      <c r="L76" s="173">
        <f>ROUND(K76*Order_Quote!$L$18,2)</f>
        <v>108.36</v>
      </c>
      <c r="M76" s="75"/>
      <c r="N76" s="113"/>
      <c r="O76" s="171">
        <f t="shared" si="6"/>
        <v>0</v>
      </c>
      <c r="Q76" s="360" t="str">
        <f>_xlfn.XLOOKUP(E76,'All Products'!D:D,'All Products'!I:I,FALSE)</f>
        <v>Within 3 Weeks</v>
      </c>
      <c r="R76" s="206" t="str">
        <f>_xlfn.XLOOKUP(E76,'All Products'!D:D,'All Products'!J:J,FALSE)</f>
        <v>Manufactured</v>
      </c>
      <c r="S76" s="518">
        <f>_xlfn.XLOOKUP(E76,'All Products'!D:D,'All Products'!K:K,FALSE)</f>
        <v>49081802400</v>
      </c>
      <c r="T76" s="518" t="str">
        <f>_xlfn.XLOOKUP(E76,'All Products'!D:D,'All Products'!L:L,FALSE)</f>
        <v>-</v>
      </c>
      <c r="U76" s="518">
        <f>_xlfn.XLOOKUP(E76,'All Products'!D:D,'All Products'!M:M,FALSE)</f>
        <v>50049081802405</v>
      </c>
      <c r="V76" s="455">
        <f>_xlfn.XLOOKUP(E76,'All Products'!D:D,'All Products'!N:N,FALSE)</f>
        <v>9.0500000000000007</v>
      </c>
    </row>
    <row r="77" spans="1:22">
      <c r="A77" s="101" t="str">
        <f>IF(M77&gt;0,COUNT($A$8:A76)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77" s="695"/>
      <c r="C77" s="611"/>
      <c r="D77" s="103" t="str">
        <f>_xlfn.XLOOKUP(E77,'All Products'!D:D,'All Products'!C:C,FALSE)</f>
        <v>120-W</v>
      </c>
      <c r="E77" s="103">
        <v>100025718</v>
      </c>
      <c r="F77" s="144" t="str">
        <f>_xlfn.XLOOKUP(E77,'All Products'!D:D,'All Products'!E:E,FALSE)</f>
        <v>12X17X12 BOX W-WTR LID/GRN-BLK</v>
      </c>
      <c r="G77" s="103" t="s">
        <v>1637</v>
      </c>
      <c r="H77" s="103" t="s">
        <v>1564</v>
      </c>
      <c r="I77" s="206" t="s">
        <v>1652</v>
      </c>
      <c r="J77" s="103">
        <f>_xlfn.XLOOKUP(E77,'All Products'!D:D,'All Products'!G:G,FALSE)</f>
        <v>72</v>
      </c>
      <c r="K77" s="142">
        <f>_xlfn.XLOOKUP(E77,'All Products'!D:D,'All Products'!H:H,FALSE)</f>
        <v>108.36</v>
      </c>
      <c r="L77" s="173">
        <f>ROUND(K77*Order_Quote!$L$18,2)</f>
        <v>108.36</v>
      </c>
      <c r="M77" s="75"/>
      <c r="N77" s="113"/>
      <c r="O77" s="171">
        <f t="shared" si="6"/>
        <v>0</v>
      </c>
      <c r="Q77" s="360" t="str">
        <f>_xlfn.XLOOKUP(E77,'All Products'!D:D,'All Products'!I:I,FALSE)</f>
        <v>In Stock</v>
      </c>
      <c r="R77" s="206" t="str">
        <f>_xlfn.XLOOKUP(E77,'All Products'!D:D,'All Products'!J:J,FALSE)</f>
        <v>Manufactured</v>
      </c>
      <c r="S77" s="518">
        <f>_xlfn.XLOOKUP(E77,'All Products'!D:D,'All Products'!K:K,FALSE)</f>
        <v>49081802257</v>
      </c>
      <c r="T77" s="518" t="str">
        <f>_xlfn.XLOOKUP(E77,'All Products'!D:D,'All Products'!L:L,FALSE)</f>
        <v>-</v>
      </c>
      <c r="U77" s="518">
        <f>_xlfn.XLOOKUP(E77,'All Products'!D:D,'All Products'!M:M,FALSE)</f>
        <v>50049081802252</v>
      </c>
      <c r="V77" s="455">
        <f>_xlfn.XLOOKUP(E77,'All Products'!D:D,'All Products'!N:N,FALSE)</f>
        <v>9.0500000000000007</v>
      </c>
    </row>
    <row r="78" spans="1:22">
      <c r="A78" s="101" t="str">
        <f>IF(M78&gt;0,COUNT($A$8:A77)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78" s="695"/>
      <c r="C78" s="611"/>
      <c r="D78" s="103" t="str">
        <f>_xlfn.XLOOKUP(E78,'All Products'!D:D,'All Products'!C:C,FALSE)</f>
        <v>121-W</v>
      </c>
      <c r="E78" s="103">
        <v>100025737</v>
      </c>
      <c r="F78" s="144" t="str">
        <f>_xlfn.XLOOKUP(E78,'All Products'!D:D,'All Products'!E:E,FALSE)</f>
        <v>12X17X12 RCT BOX W/WTR LID GRN</v>
      </c>
      <c r="G78" s="103" t="s">
        <v>1637</v>
      </c>
      <c r="H78" s="103" t="s">
        <v>1637</v>
      </c>
      <c r="I78" s="206" t="s">
        <v>1652</v>
      </c>
      <c r="J78" s="103">
        <f>_xlfn.XLOOKUP(E78,'All Products'!D:D,'All Products'!G:G,FALSE)</f>
        <v>72</v>
      </c>
      <c r="K78" s="142">
        <f>_xlfn.XLOOKUP(E78,'All Products'!D:D,'All Products'!H:H,FALSE)</f>
        <v>108.36</v>
      </c>
      <c r="L78" s="173">
        <f>ROUND(K78*Order_Quote!$L$18,2)</f>
        <v>108.36</v>
      </c>
      <c r="M78" s="75"/>
      <c r="N78" s="113"/>
      <c r="O78" s="171">
        <f t="shared" si="6"/>
        <v>0</v>
      </c>
      <c r="Q78" s="360" t="str">
        <f>_xlfn.XLOOKUP(E78,'All Products'!D:D,'All Products'!I:I,FALSE)</f>
        <v>In Stock</v>
      </c>
      <c r="R78" s="206" t="str">
        <f>_xlfn.XLOOKUP(E78,'All Products'!D:D,'All Products'!J:J,FALSE)</f>
        <v>Manufactured</v>
      </c>
      <c r="S78" s="518">
        <f>_xlfn.XLOOKUP(E78,'All Products'!D:D,'All Products'!K:K,FALSE)</f>
        <v>49081802325</v>
      </c>
      <c r="T78" s="518" t="str">
        <f>_xlfn.XLOOKUP(E78,'All Products'!D:D,'All Products'!L:L,FALSE)</f>
        <v>-</v>
      </c>
      <c r="U78" s="518">
        <f>_xlfn.XLOOKUP(E78,'All Products'!D:D,'All Products'!M:M,FALSE)</f>
        <v>50049081802320</v>
      </c>
      <c r="V78" s="455">
        <f>_xlfn.XLOOKUP(E78,'All Products'!D:D,'All Products'!N:N,FALSE)</f>
        <v>9.0500000000000007</v>
      </c>
    </row>
    <row r="79" spans="1:22">
      <c r="A79" s="101" t="str">
        <f>IF(M79&gt;0,COUNT($A$8:A78)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79" s="695"/>
      <c r="C79" s="611"/>
      <c r="D79" s="103" t="str">
        <f>_xlfn.XLOOKUP(E79,'All Products'!D:D,'All Products'!C:C,FALSE)</f>
        <v>120-M</v>
      </c>
      <c r="E79" s="103">
        <v>100025712</v>
      </c>
      <c r="F79" s="144" t="str">
        <f>_xlfn.XLOOKUP(E79,'All Products'!D:D,'All Products'!E:E,FALSE)</f>
        <v>12X17X12 MTR BOX W/LID, BLK/GRN</v>
      </c>
      <c r="G79" s="103" t="s">
        <v>1564</v>
      </c>
      <c r="H79" s="103" t="s">
        <v>1637</v>
      </c>
      <c r="I79" s="206" t="s">
        <v>1694</v>
      </c>
      <c r="J79" s="103">
        <f>_xlfn.XLOOKUP(E79,'All Products'!D:D,'All Products'!G:G,FALSE)</f>
        <v>72</v>
      </c>
      <c r="K79" s="142">
        <f>_xlfn.XLOOKUP(E79,'All Products'!D:D,'All Products'!H:H,FALSE)</f>
        <v>108.36</v>
      </c>
      <c r="L79" s="173">
        <f>ROUND(K79*Order_Quote!$L$18,2)</f>
        <v>108.36</v>
      </c>
      <c r="M79" s="75"/>
      <c r="N79" s="113"/>
      <c r="O79" s="171">
        <f t="shared" si="6"/>
        <v>0</v>
      </c>
      <c r="Q79" s="360" t="str">
        <f>_xlfn.XLOOKUP(E79,'All Products'!D:D,'All Products'!I:I,FALSE)</f>
        <v>In Stock</v>
      </c>
      <c r="R79" s="206" t="str">
        <f>_xlfn.XLOOKUP(E79,'All Products'!D:D,'All Products'!J:J,FALSE)</f>
        <v>Manufactured</v>
      </c>
      <c r="S79" s="518">
        <f>_xlfn.XLOOKUP(E79,'All Products'!D:D,'All Products'!K:K,FALSE)</f>
        <v>49081802226</v>
      </c>
      <c r="T79" s="518" t="str">
        <f>_xlfn.XLOOKUP(E79,'All Products'!D:D,'All Products'!L:L,FALSE)</f>
        <v>-</v>
      </c>
      <c r="U79" s="518">
        <f>_xlfn.XLOOKUP(E79,'All Products'!D:D,'All Products'!M:M,FALSE)</f>
        <v>50049081802221</v>
      </c>
      <c r="V79" s="455">
        <f>_xlfn.XLOOKUP(E79,'All Products'!D:D,'All Products'!N:N,FALSE)</f>
        <v>9.0500000000000007</v>
      </c>
    </row>
    <row r="80" spans="1:22">
      <c r="A80" s="101" t="str">
        <f>IF(M80&gt;0,COUNT($A$8:A79)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80" s="695"/>
      <c r="C80" s="611"/>
      <c r="D80" s="103" t="str">
        <f>_xlfn.XLOOKUP(E80,'All Products'!D:D,'All Products'!C:C,FALSE)</f>
        <v>121-M</v>
      </c>
      <c r="E80" s="103">
        <v>100025731</v>
      </c>
      <c r="F80" s="144" t="str">
        <f>_xlfn.XLOOKUP(E80,'All Products'!D:D,'All Products'!E:E,FALSE)</f>
        <v>12X17X12 MTR BOX W/LID, GRN/GRN</v>
      </c>
      <c r="G80" s="103" t="s">
        <v>1637</v>
      </c>
      <c r="H80" s="103" t="s">
        <v>1637</v>
      </c>
      <c r="I80" s="206" t="s">
        <v>1694</v>
      </c>
      <c r="J80" s="103">
        <f>_xlfn.XLOOKUP(E80,'All Products'!D:D,'All Products'!G:G,FALSE)</f>
        <v>72</v>
      </c>
      <c r="K80" s="142">
        <f>_xlfn.XLOOKUP(E80,'All Products'!D:D,'All Products'!H:H,FALSE)</f>
        <v>108.36</v>
      </c>
      <c r="L80" s="173">
        <f>ROUND(K80*Order_Quote!$L$18,2)</f>
        <v>108.36</v>
      </c>
      <c r="M80" s="75"/>
      <c r="N80" s="113"/>
      <c r="O80" s="171">
        <f t="shared" si="6"/>
        <v>0</v>
      </c>
      <c r="Q80" s="360" t="str">
        <f>_xlfn.XLOOKUP(E80,'All Products'!D:D,'All Products'!I:I,FALSE)</f>
        <v>Within 3 Weeks</v>
      </c>
      <c r="R80" s="206" t="str">
        <f>_xlfn.XLOOKUP(E80,'All Products'!D:D,'All Products'!J:J,FALSE)</f>
        <v>Manufactured</v>
      </c>
      <c r="S80" s="518">
        <f>_xlfn.XLOOKUP(E80,'All Products'!D:D,'All Products'!K:K,FALSE)</f>
        <v>49081802295</v>
      </c>
      <c r="T80" s="518" t="str">
        <f>_xlfn.XLOOKUP(E80,'All Products'!D:D,'All Products'!L:L,FALSE)</f>
        <v>-</v>
      </c>
      <c r="U80" s="518">
        <f>_xlfn.XLOOKUP(E80,'All Products'!D:D,'All Products'!M:M,FALSE)</f>
        <v>50049081802290</v>
      </c>
      <c r="V80" s="455">
        <f>_xlfn.XLOOKUP(E80,'All Products'!D:D,'All Products'!N:N,FALSE)</f>
        <v>9.0500000000000007</v>
      </c>
    </row>
    <row r="81" spans="1:22">
      <c r="A81" s="101" t="str">
        <f>IF(M81&gt;0,COUNT($A$8:A80)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81" s="695"/>
      <c r="C81" s="611"/>
      <c r="D81" s="103" t="str">
        <f>_xlfn.XLOOKUP(E81,'All Products'!D:D,'All Products'!C:C,FALSE)</f>
        <v>124-M</v>
      </c>
      <c r="E81" s="103">
        <v>100025192</v>
      </c>
      <c r="F81" s="144" t="str">
        <f>_xlfn.XLOOKUP(E81,'All Products'!D:D,'All Products'!E:E,FALSE)</f>
        <v>12X17X12 MTR BOX W/LID, BLK/BLK</v>
      </c>
      <c r="G81" s="103" t="s">
        <v>1564</v>
      </c>
      <c r="H81" s="103" t="s">
        <v>1564</v>
      </c>
      <c r="I81" s="206" t="s">
        <v>1694</v>
      </c>
      <c r="J81" s="103">
        <f>_xlfn.XLOOKUP(E81,'All Products'!D:D,'All Products'!G:G,FALSE)</f>
        <v>72</v>
      </c>
      <c r="K81" s="142">
        <f>_xlfn.XLOOKUP(E81,'All Products'!D:D,'All Products'!H:H,FALSE)</f>
        <v>108.36</v>
      </c>
      <c r="L81" s="173">
        <f>ROUND(K81*Order_Quote!$L$18,2)</f>
        <v>108.36</v>
      </c>
      <c r="M81" s="75"/>
      <c r="N81" s="113"/>
      <c r="O81" s="171">
        <f t="shared" si="6"/>
        <v>0</v>
      </c>
      <c r="Q81" s="360" t="str">
        <f>_xlfn.XLOOKUP(E81,'All Products'!D:D,'All Products'!I:I,FALSE)</f>
        <v>Within 3 Weeks</v>
      </c>
      <c r="R81" s="206" t="str">
        <f>_xlfn.XLOOKUP(E81,'All Products'!D:D,'All Products'!J:J,FALSE)</f>
        <v>Manufactured</v>
      </c>
      <c r="S81" s="518">
        <f>_xlfn.XLOOKUP(E81,'All Products'!D:D,'All Products'!K:K,FALSE)</f>
        <v>49081802448</v>
      </c>
      <c r="T81" s="518" t="str">
        <f>_xlfn.XLOOKUP(E81,'All Products'!D:D,'All Products'!L:L,FALSE)</f>
        <v>-</v>
      </c>
      <c r="U81" s="518">
        <f>_xlfn.XLOOKUP(E81,'All Products'!D:D,'All Products'!M:M,FALSE)</f>
        <v>50049081802443</v>
      </c>
      <c r="V81" s="455">
        <f>_xlfn.XLOOKUP(E81,'All Products'!D:D,'All Products'!N:N,FALSE)</f>
        <v>9.0500000000000007</v>
      </c>
    </row>
    <row r="82" spans="1:22">
      <c r="A82" s="101" t="str">
        <f>IF(M82&gt;0,COUNT($A$8:A81)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82" s="695"/>
      <c r="C82" s="611"/>
      <c r="D82" s="103" t="str">
        <f>_xlfn.XLOOKUP(E82,'All Products'!D:D,'All Products'!C:C,FALSE)</f>
        <v>120-MR</v>
      </c>
      <c r="E82" s="103">
        <v>100025713</v>
      </c>
      <c r="F82" s="144" t="str">
        <f>_xlfn.XLOOKUP(E82,'All Products'!D:D,'All Products'!E:E,FALSE)</f>
        <v>12X17X12 MTR RDR BOX W/LID BL/G</v>
      </c>
      <c r="G82" s="103" t="s">
        <v>1564</v>
      </c>
      <c r="H82" s="103" t="s">
        <v>1637</v>
      </c>
      <c r="I82" s="206" t="s">
        <v>1738</v>
      </c>
      <c r="J82" s="103">
        <f>_xlfn.XLOOKUP(E82,'All Products'!D:D,'All Products'!G:G,FALSE)</f>
        <v>72</v>
      </c>
      <c r="K82" s="142">
        <f>_xlfn.XLOOKUP(E82,'All Products'!D:D,'All Products'!H:H,FALSE)</f>
        <v>108.36</v>
      </c>
      <c r="L82" s="173">
        <f>ROUND(K82*Order_Quote!$L$18,2)</f>
        <v>108.36</v>
      </c>
      <c r="M82" s="75"/>
      <c r="N82" s="113"/>
      <c r="O82" s="171">
        <f t="shared" si="6"/>
        <v>0</v>
      </c>
      <c r="Q82" s="360" t="str">
        <f>_xlfn.XLOOKUP(E82,'All Products'!D:D,'All Products'!I:I,FALSE)</f>
        <v>Within 3 Weeks</v>
      </c>
      <c r="R82" s="206" t="str">
        <f>_xlfn.XLOOKUP(E82,'All Products'!D:D,'All Products'!J:J,FALSE)</f>
        <v>Manufactured</v>
      </c>
      <c r="S82" s="518">
        <f>_xlfn.XLOOKUP(E82,'All Products'!D:D,'All Products'!K:K,FALSE)</f>
        <v>49081805005</v>
      </c>
      <c r="T82" s="518" t="str">
        <f>_xlfn.XLOOKUP(E82,'All Products'!D:D,'All Products'!L:L,FALSE)</f>
        <v>-</v>
      </c>
      <c r="U82" s="518">
        <f>_xlfn.XLOOKUP(E82,'All Products'!D:D,'All Products'!M:M,FALSE)</f>
        <v>50049081805000</v>
      </c>
      <c r="V82" s="455">
        <f>_xlfn.XLOOKUP(E82,'All Products'!D:D,'All Products'!N:N,FALSE)</f>
        <v>9.0500000000000007</v>
      </c>
    </row>
    <row r="83" spans="1:22">
      <c r="A83" s="101" t="str">
        <f>IF(M83&gt;0,COUNT($A$8:A82)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83" s="695"/>
      <c r="C83" s="611"/>
      <c r="D83" s="103" t="str">
        <f>_xlfn.XLOOKUP(E83,'All Products'!D:D,'All Products'!C:C,FALSE)</f>
        <v>121-MR</v>
      </c>
      <c r="E83" s="103">
        <v>100025732</v>
      </c>
      <c r="F83" s="144" t="str">
        <f>_xlfn.XLOOKUP(E83,'All Products'!D:D,'All Products'!E:E,FALSE)</f>
        <v>12X17X12 RCT MTR RDR BOX/LID GR</v>
      </c>
      <c r="G83" s="103" t="s">
        <v>1637</v>
      </c>
      <c r="H83" s="103" t="s">
        <v>1637</v>
      </c>
      <c r="I83" s="206" t="s">
        <v>1738</v>
      </c>
      <c r="J83" s="103">
        <f>_xlfn.XLOOKUP(E83,'All Products'!D:D,'All Products'!G:G,FALSE)</f>
        <v>72</v>
      </c>
      <c r="K83" s="142">
        <f>_xlfn.XLOOKUP(E83,'All Products'!D:D,'All Products'!H:H,FALSE)</f>
        <v>108.36</v>
      </c>
      <c r="L83" s="173">
        <f>ROUND(K83*Order_Quote!$L$18,2)</f>
        <v>108.36</v>
      </c>
      <c r="M83" s="75"/>
      <c r="N83" s="113"/>
      <c r="O83" s="171">
        <f t="shared" si="6"/>
        <v>0</v>
      </c>
      <c r="Q83" s="360" t="str">
        <f>_xlfn.XLOOKUP(E83,'All Products'!D:D,'All Products'!I:I,FALSE)</f>
        <v>In Stock</v>
      </c>
      <c r="R83" s="206" t="str">
        <f>_xlfn.XLOOKUP(E83,'All Products'!D:D,'All Products'!J:J,FALSE)</f>
        <v>Manufactured</v>
      </c>
      <c r="S83" s="518">
        <f>_xlfn.XLOOKUP(E83,'All Products'!D:D,'All Products'!K:K,FALSE)</f>
        <v>49081804411</v>
      </c>
      <c r="T83" s="518" t="str">
        <f>_xlfn.XLOOKUP(E83,'All Products'!D:D,'All Products'!L:L,FALSE)</f>
        <v>-</v>
      </c>
      <c r="U83" s="518" t="str">
        <f>_xlfn.XLOOKUP(E83,'All Products'!D:D,'All Products'!M:M,FALSE)</f>
        <v>-</v>
      </c>
      <c r="V83" s="455">
        <f>_xlfn.XLOOKUP(E83,'All Products'!D:D,'All Products'!N:N,FALSE)</f>
        <v>9.0500000000000007</v>
      </c>
    </row>
    <row r="84" spans="1:22">
      <c r="A84" s="101" t="str">
        <f>IF(M84&gt;0,COUNT($A$8:A83)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84" s="695"/>
      <c r="C84" s="611"/>
      <c r="D84" s="103" t="str">
        <f>_xlfn.XLOOKUP(E84,'All Products'!D:D,'All Products'!C:C,FALSE)</f>
        <v>124-MR</v>
      </c>
      <c r="E84" s="103">
        <v>100025758</v>
      </c>
      <c r="F84" s="144" t="str">
        <f>_xlfn.XLOOKUP(E84,'All Products'!D:D,'All Products'!E:E,FALSE)</f>
        <v>12X17X12 RCT MTR RDR BOX/LID BL</v>
      </c>
      <c r="G84" s="103" t="s">
        <v>1564</v>
      </c>
      <c r="H84" s="103" t="s">
        <v>1564</v>
      </c>
      <c r="I84" s="206" t="s">
        <v>1738</v>
      </c>
      <c r="J84" s="103">
        <f>_xlfn.XLOOKUP(E84,'All Products'!D:D,'All Products'!G:G,FALSE)</f>
        <v>72</v>
      </c>
      <c r="K84" s="142">
        <f>_xlfn.XLOOKUP(E84,'All Products'!D:D,'All Products'!H:H,FALSE)</f>
        <v>108.36</v>
      </c>
      <c r="L84" s="173">
        <f>ROUND(K84*Order_Quote!$L$18,2)</f>
        <v>108.36</v>
      </c>
      <c r="M84" s="75"/>
      <c r="N84" s="113"/>
      <c r="O84" s="171">
        <f t="shared" si="6"/>
        <v>0</v>
      </c>
      <c r="Q84" s="360" t="str">
        <f>_xlfn.XLOOKUP(E84,'All Products'!D:D,'All Products'!I:I,FALSE)</f>
        <v>In Stock</v>
      </c>
      <c r="R84" s="206" t="str">
        <f>_xlfn.XLOOKUP(E84,'All Products'!D:D,'All Products'!J:J,FALSE)</f>
        <v>Manufactured</v>
      </c>
      <c r="S84" s="518">
        <f>_xlfn.XLOOKUP(E84,'All Products'!D:D,'All Products'!K:K,FALSE)</f>
        <v>49081804428</v>
      </c>
      <c r="T84" s="518" t="str">
        <f>_xlfn.XLOOKUP(E84,'All Products'!D:D,'All Products'!L:L,FALSE)</f>
        <v>-</v>
      </c>
      <c r="U84" s="518" t="str">
        <f>_xlfn.XLOOKUP(E84,'All Products'!D:D,'All Products'!M:M,FALSE)</f>
        <v>-</v>
      </c>
      <c r="V84" s="455">
        <f>_xlfn.XLOOKUP(E84,'All Products'!D:D,'All Products'!N:N,FALSE)</f>
        <v>9.6300000000000008</v>
      </c>
    </row>
    <row r="85" spans="1:22">
      <c r="A85" s="101" t="str">
        <f>IF(M85&gt;0,COUNT($A$8:A84)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85" s="695"/>
      <c r="C85" s="611"/>
      <c r="D85" s="103" t="str">
        <f>_xlfn.XLOOKUP(E85,'All Products'!D:D,'All Products'!C:C,FALSE)</f>
        <v>120-S</v>
      </c>
      <c r="E85" s="103">
        <v>100025715</v>
      </c>
      <c r="F85" s="144" t="str">
        <f>_xlfn.XLOOKUP(E85,'All Products'!D:D,'All Products'!E:E,FALSE)</f>
        <v>12X17X12 BOX W-SWR LID/BLK-GRN</v>
      </c>
      <c r="G85" s="103" t="s">
        <v>1564</v>
      </c>
      <c r="H85" s="103" t="s">
        <v>1637</v>
      </c>
      <c r="I85" s="206" t="s">
        <v>1647</v>
      </c>
      <c r="J85" s="103">
        <f>_xlfn.XLOOKUP(E85,'All Products'!D:D,'All Products'!G:G,FALSE)</f>
        <v>72</v>
      </c>
      <c r="K85" s="142">
        <f>_xlfn.XLOOKUP(E85,'All Products'!D:D,'All Products'!H:H,FALSE)</f>
        <v>108.36</v>
      </c>
      <c r="L85" s="173">
        <f>ROUND(K85*Order_Quote!$L$18,2)</f>
        <v>108.36</v>
      </c>
      <c r="M85" s="75"/>
      <c r="N85" s="113"/>
      <c r="O85" s="171">
        <f t="shared" si="6"/>
        <v>0</v>
      </c>
      <c r="Q85" s="360" t="str">
        <f>_xlfn.XLOOKUP(E85,'All Products'!D:D,'All Products'!I:I,FALSE)</f>
        <v>In Stock</v>
      </c>
      <c r="R85" s="206" t="str">
        <f>_xlfn.XLOOKUP(E85,'All Products'!D:D,'All Products'!J:J,FALSE)</f>
        <v>Manufactured</v>
      </c>
      <c r="S85" s="518">
        <f>_xlfn.XLOOKUP(E85,'All Products'!D:D,'All Products'!K:K,FALSE)</f>
        <v>49081802233</v>
      </c>
      <c r="T85" s="518" t="str">
        <f>_xlfn.XLOOKUP(E85,'All Products'!D:D,'All Products'!L:L,FALSE)</f>
        <v>-</v>
      </c>
      <c r="U85" s="518">
        <f>_xlfn.XLOOKUP(E85,'All Products'!D:D,'All Products'!M:M,FALSE)</f>
        <v>50049081802238</v>
      </c>
      <c r="V85" s="455">
        <f>_xlfn.XLOOKUP(E85,'All Products'!D:D,'All Products'!N:N,FALSE)</f>
        <v>9.0500000000000007</v>
      </c>
    </row>
    <row r="86" spans="1:22">
      <c r="A86" s="101" t="str">
        <f>IF(M86&gt;0,COUNT($A$8:A85)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86" s="695"/>
      <c r="C86" s="611"/>
      <c r="D86" s="103" t="str">
        <f>_xlfn.XLOOKUP(E86,'All Products'!D:D,'All Products'!C:C,FALSE)</f>
        <v>121-S</v>
      </c>
      <c r="E86" s="103">
        <v>100025160</v>
      </c>
      <c r="F86" s="144" t="str">
        <f>_xlfn.XLOOKUP(E86,'All Products'!D:D,'All Products'!E:E,FALSE)</f>
        <v>12X17X12 RCT BX SWR LID/GRN/GRN</v>
      </c>
      <c r="G86" s="103" t="s">
        <v>1637</v>
      </c>
      <c r="H86" s="103" t="s">
        <v>1637</v>
      </c>
      <c r="I86" s="206" t="s">
        <v>1647</v>
      </c>
      <c r="J86" s="103">
        <f>_xlfn.XLOOKUP(E86,'All Products'!D:D,'All Products'!G:G,FALSE)</f>
        <v>72</v>
      </c>
      <c r="K86" s="142">
        <f>_xlfn.XLOOKUP(E86,'All Products'!D:D,'All Products'!H:H,FALSE)</f>
        <v>108.36</v>
      </c>
      <c r="L86" s="173">
        <f>ROUND(K86*Order_Quote!$L$18,2)</f>
        <v>108.36</v>
      </c>
      <c r="M86" s="75"/>
      <c r="N86" s="113"/>
      <c r="O86" s="171">
        <f t="shared" si="6"/>
        <v>0</v>
      </c>
      <c r="Q86" s="360" t="str">
        <f>_xlfn.XLOOKUP(E86,'All Products'!D:D,'All Products'!I:I,FALSE)</f>
        <v>Within 3 Weeks</v>
      </c>
      <c r="R86" s="206" t="str">
        <f>_xlfn.XLOOKUP(E86,'All Products'!D:D,'All Products'!J:J,FALSE)</f>
        <v>Manufactured</v>
      </c>
      <c r="S86" s="518">
        <f>_xlfn.XLOOKUP(E86,'All Products'!D:D,'All Products'!K:K,FALSE)</f>
        <v>49081802301</v>
      </c>
      <c r="T86" s="518" t="str">
        <f>_xlfn.XLOOKUP(E86,'All Products'!D:D,'All Products'!L:L,FALSE)</f>
        <v>-</v>
      </c>
      <c r="U86" s="518">
        <f>_xlfn.XLOOKUP(E86,'All Products'!D:D,'All Products'!M:M,FALSE)</f>
        <v>50049081802306</v>
      </c>
      <c r="V86" s="455">
        <f>_xlfn.XLOOKUP(E86,'All Products'!D:D,'All Products'!N:N,FALSE)</f>
        <v>9.0500000000000007</v>
      </c>
    </row>
    <row r="87" spans="1:22">
      <c r="A87" s="101" t="str">
        <f>IF(M87&gt;0,COUNT($A$8:A86)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87" s="695"/>
      <c r="C87" s="611"/>
      <c r="D87" s="103" t="str">
        <f>_xlfn.XLOOKUP(E87,'All Products'!D:D,'All Products'!C:C,FALSE)</f>
        <v>120-E</v>
      </c>
      <c r="E87" s="103">
        <v>100025710</v>
      </c>
      <c r="F87" s="144" t="str">
        <f>_xlfn.XLOOKUP(E87,'All Products'!D:D,'All Products'!E:E,FALSE)</f>
        <v>12X17X12 RCT BOX W/ELCT LID B/G</v>
      </c>
      <c r="G87" s="103" t="s">
        <v>1564</v>
      </c>
      <c r="H87" s="103" t="s">
        <v>1637</v>
      </c>
      <c r="I87" s="206" t="s">
        <v>1655</v>
      </c>
      <c r="J87" s="103">
        <f>_xlfn.XLOOKUP(E87,'All Products'!D:D,'All Products'!G:G,FALSE)</f>
        <v>72</v>
      </c>
      <c r="K87" s="142">
        <f>_xlfn.XLOOKUP(E87,'All Products'!D:D,'All Products'!H:H,FALSE)</f>
        <v>108.36</v>
      </c>
      <c r="L87" s="173">
        <f>ROUND(K87*Order_Quote!$L$18,2)</f>
        <v>108.36</v>
      </c>
      <c r="M87" s="75"/>
      <c r="N87" s="113"/>
      <c r="O87" s="171">
        <f t="shared" si="6"/>
        <v>0</v>
      </c>
      <c r="Q87" s="360" t="str">
        <f>_xlfn.XLOOKUP(E87,'All Products'!D:D,'All Products'!I:I,FALSE)</f>
        <v>In Stock</v>
      </c>
      <c r="R87" s="206" t="str">
        <f>_xlfn.XLOOKUP(E87,'All Products'!D:D,'All Products'!J:J,FALSE)</f>
        <v>Manufactured</v>
      </c>
      <c r="S87" s="518">
        <f>_xlfn.XLOOKUP(E87,'All Products'!D:D,'All Products'!K:K,FALSE)</f>
        <v>49081802202</v>
      </c>
      <c r="T87" s="518" t="str">
        <f>_xlfn.XLOOKUP(E87,'All Products'!D:D,'All Products'!L:L,FALSE)</f>
        <v>-</v>
      </c>
      <c r="U87" s="518">
        <f>_xlfn.XLOOKUP(E87,'All Products'!D:D,'All Products'!M:M,FALSE)</f>
        <v>50049081802207</v>
      </c>
      <c r="V87" s="455">
        <f>_xlfn.XLOOKUP(E87,'All Products'!D:D,'All Products'!N:N,FALSE)</f>
        <v>9.0500000000000007</v>
      </c>
    </row>
    <row r="88" spans="1:22">
      <c r="A88" s="101" t="str">
        <f>IF(M88&gt;0,COUNT($A$8:A87)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88" s="695"/>
      <c r="C88" s="611"/>
      <c r="D88" s="103" t="str">
        <f>_xlfn.XLOOKUP(E88,'All Products'!D:D,'All Products'!C:C,FALSE)</f>
        <v>121-E</v>
      </c>
      <c r="E88" s="103">
        <v>100025728</v>
      </c>
      <c r="F88" s="144" t="str">
        <f>_xlfn.XLOOKUP(E88,'All Products'!D:D,'All Products'!E:E,FALSE)</f>
        <v>12X17X12 RCT BOX W/ELECT LID GR</v>
      </c>
      <c r="G88" s="103" t="s">
        <v>1637</v>
      </c>
      <c r="H88" s="103" t="s">
        <v>1637</v>
      </c>
      <c r="I88" s="206" t="s">
        <v>1655</v>
      </c>
      <c r="J88" s="103">
        <f>_xlfn.XLOOKUP(E88,'All Products'!D:D,'All Products'!G:G,FALSE)</f>
        <v>72</v>
      </c>
      <c r="K88" s="142">
        <f>_xlfn.XLOOKUP(E88,'All Products'!D:D,'All Products'!H:H,FALSE)</f>
        <v>108.36</v>
      </c>
      <c r="L88" s="173">
        <f>ROUND(K88*Order_Quote!$L$18,2)</f>
        <v>108.36</v>
      </c>
      <c r="M88" s="75"/>
      <c r="N88" s="113"/>
      <c r="O88" s="171">
        <f t="shared" si="6"/>
        <v>0</v>
      </c>
      <c r="Q88" s="360" t="str">
        <f>_xlfn.XLOOKUP(E88,'All Products'!D:D,'All Products'!I:I,FALSE)</f>
        <v>In Stock</v>
      </c>
      <c r="R88" s="206" t="str">
        <f>_xlfn.XLOOKUP(E88,'All Products'!D:D,'All Products'!J:J,FALSE)</f>
        <v>Manufactured</v>
      </c>
      <c r="S88" s="518">
        <f>_xlfn.XLOOKUP(E88,'All Products'!D:D,'All Products'!K:K,FALSE)</f>
        <v>49081802271</v>
      </c>
      <c r="T88" s="518" t="str">
        <f>_xlfn.XLOOKUP(E88,'All Products'!D:D,'All Products'!L:L,FALSE)</f>
        <v>-</v>
      </c>
      <c r="U88" s="518">
        <f>_xlfn.XLOOKUP(E88,'All Products'!D:D,'All Products'!M:M,FALSE)</f>
        <v>50049081802276</v>
      </c>
      <c r="V88" s="455">
        <f>_xlfn.XLOOKUP(E88,'All Products'!D:D,'All Products'!N:N,FALSE)</f>
        <v>9.0500000000000007</v>
      </c>
    </row>
    <row r="89" spans="1:22">
      <c r="A89" s="101" t="str">
        <f>IF(M89&gt;0,COUNT($A$8:A88)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89" s="695"/>
      <c r="C89" s="611"/>
      <c r="D89" s="103" t="str">
        <f>_xlfn.XLOOKUP(E89,'All Products'!D:D,'All Products'!C:C,FALSE)</f>
        <v>124-E</v>
      </c>
      <c r="E89" s="103">
        <v>100025757</v>
      </c>
      <c r="F89" s="144" t="str">
        <f>_xlfn.XLOOKUP(E89,'All Products'!D:D,'All Products'!E:E,FALSE)</f>
        <v>12X17X12 VLV BX ELECT JUNCT BLK</v>
      </c>
      <c r="G89" s="103" t="s">
        <v>1564</v>
      </c>
      <c r="H89" s="103" t="s">
        <v>1564</v>
      </c>
      <c r="I89" s="206" t="s">
        <v>1655</v>
      </c>
      <c r="J89" s="103">
        <f>_xlfn.XLOOKUP(E89,'All Products'!D:D,'All Products'!G:G,FALSE)</f>
        <v>72</v>
      </c>
      <c r="K89" s="142">
        <f>_xlfn.XLOOKUP(E89,'All Products'!D:D,'All Products'!H:H,FALSE)</f>
        <v>108.36</v>
      </c>
      <c r="L89" s="173">
        <f>ROUND(K89*Order_Quote!$L$18,2)</f>
        <v>108.36</v>
      </c>
      <c r="M89" s="75"/>
      <c r="N89" s="113"/>
      <c r="O89" s="171">
        <f t="shared" si="6"/>
        <v>0</v>
      </c>
      <c r="Q89" s="360" t="str">
        <f>_xlfn.XLOOKUP(E89,'All Products'!D:D,'All Products'!I:I,FALSE)</f>
        <v>In Stock</v>
      </c>
      <c r="R89" s="206" t="str">
        <f>_xlfn.XLOOKUP(E89,'All Products'!D:D,'All Products'!J:J,FALSE)</f>
        <v>Manufactured</v>
      </c>
      <c r="S89" s="518">
        <f>_xlfn.XLOOKUP(E89,'All Products'!D:D,'All Products'!K:K,FALSE)</f>
        <v>49081802424</v>
      </c>
      <c r="T89" s="518" t="str">
        <f>_xlfn.XLOOKUP(E89,'All Products'!D:D,'All Products'!L:L,FALSE)</f>
        <v>-</v>
      </c>
      <c r="U89" s="518">
        <f>_xlfn.XLOOKUP(E89,'All Products'!D:D,'All Products'!M:M,FALSE)</f>
        <v>50049081802429</v>
      </c>
      <c r="V89" s="455">
        <f>_xlfn.XLOOKUP(E89,'All Products'!D:D,'All Products'!N:N,FALSE)</f>
        <v>9.0500000000000007</v>
      </c>
    </row>
    <row r="90" spans="1:22">
      <c r="A90" s="101" t="str">
        <f>IF(M90&gt;0,COUNT($A$8:A89)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90" s="695"/>
      <c r="C90" s="611"/>
      <c r="D90" s="103" t="str">
        <f>_xlfn.XLOOKUP(E90,'All Products'!D:D,'All Products'!C:C,FALSE)</f>
        <v>125-E</v>
      </c>
      <c r="E90" s="103">
        <v>100025767</v>
      </c>
      <c r="F90" s="144" t="str">
        <f>_xlfn.XLOOKUP(E90,'All Products'!D:D,'All Products'!E:E,FALSE)</f>
        <v>12X17X12 VLV BX ELECT JUNCT GRY</v>
      </c>
      <c r="G90" s="103" t="s">
        <v>1722</v>
      </c>
      <c r="H90" s="103" t="s">
        <v>1722</v>
      </c>
      <c r="I90" s="206" t="s">
        <v>1655</v>
      </c>
      <c r="J90" s="103">
        <f>_xlfn.XLOOKUP(E90,'All Products'!D:D,'All Products'!G:G,FALSE)</f>
        <v>72</v>
      </c>
      <c r="K90" s="142">
        <f>_xlfn.XLOOKUP(E90,'All Products'!D:D,'All Products'!H:H,FALSE)</f>
        <v>108.36</v>
      </c>
      <c r="L90" s="173">
        <f>ROUND(K90*Order_Quote!$L$18,2)</f>
        <v>108.36</v>
      </c>
      <c r="M90" s="75"/>
      <c r="N90" s="113"/>
      <c r="O90" s="171">
        <f t="shared" si="6"/>
        <v>0</v>
      </c>
      <c r="Q90" s="360" t="str">
        <f>_xlfn.XLOOKUP(E90,'All Products'!D:D,'All Products'!I:I,FALSE)</f>
        <v>In Stock</v>
      </c>
      <c r="R90" s="206" t="str">
        <f>_xlfn.XLOOKUP(E90,'All Products'!D:D,'All Products'!J:J,FALSE)</f>
        <v>Manufactured</v>
      </c>
      <c r="S90" s="518">
        <f>_xlfn.XLOOKUP(E90,'All Products'!D:D,'All Products'!K:K,FALSE)</f>
        <v>49081802493</v>
      </c>
      <c r="T90" s="518" t="str">
        <f>_xlfn.XLOOKUP(E90,'All Products'!D:D,'All Products'!L:L,FALSE)</f>
        <v>-</v>
      </c>
      <c r="U90" s="518">
        <f>_xlfn.XLOOKUP(E90,'All Products'!D:D,'All Products'!M:M,FALSE)</f>
        <v>50049081802498</v>
      </c>
      <c r="V90" s="455">
        <f>_xlfn.XLOOKUP(E90,'All Products'!D:D,'All Products'!N:N,FALSE)</f>
        <v>9.0500000000000007</v>
      </c>
    </row>
    <row r="91" spans="1:22">
      <c r="A91" s="101" t="str">
        <f>IF(M91&gt;0,COUNT($A$8:A90)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91" s="695"/>
      <c r="C91" s="611"/>
      <c r="D91" s="103" t="str">
        <f>_xlfn.XLOOKUP(E91,'All Products'!D:D,'All Products'!C:C,FALSE)</f>
        <v>121-L</v>
      </c>
      <c r="E91" s="103">
        <v>100025155</v>
      </c>
      <c r="F91" s="144" t="str">
        <f>_xlfn.XLOOKUP(E91,'All Products'!D:D,'All Products'!E:E,FALSE)</f>
        <v>12X17X12 RCT BOX W/LANDS LID GR</v>
      </c>
      <c r="G91" s="103" t="s">
        <v>1637</v>
      </c>
      <c r="H91" s="103" t="s">
        <v>1637</v>
      </c>
      <c r="I91" s="206" t="s">
        <v>1786</v>
      </c>
      <c r="J91" s="103">
        <f>_xlfn.XLOOKUP(E91,'All Products'!D:D,'All Products'!G:G,FALSE)</f>
        <v>72</v>
      </c>
      <c r="K91" s="142">
        <f>_xlfn.XLOOKUP(E91,'All Products'!D:D,'All Products'!H:H,FALSE)</f>
        <v>108.36</v>
      </c>
      <c r="L91" s="173">
        <f>ROUND(K91*Order_Quote!$L$18,2)</f>
        <v>108.36</v>
      </c>
      <c r="M91" s="75"/>
      <c r="N91" s="113"/>
      <c r="O91" s="171">
        <f t="shared" si="6"/>
        <v>0</v>
      </c>
      <c r="Q91" s="360" t="str">
        <f>_xlfn.XLOOKUP(E91,'All Products'!D:D,'All Products'!I:I,FALSE)</f>
        <v>In Stock</v>
      </c>
      <c r="R91" s="206" t="str">
        <f>_xlfn.XLOOKUP(E91,'All Products'!D:D,'All Products'!J:J,FALSE)</f>
        <v>Manufactured</v>
      </c>
      <c r="S91" s="518">
        <f>_xlfn.XLOOKUP(E91,'All Products'!D:D,'All Products'!K:K,FALSE)</f>
        <v>49081802288</v>
      </c>
      <c r="T91" s="518" t="str">
        <f>_xlfn.XLOOKUP(E91,'All Products'!D:D,'All Products'!L:L,FALSE)</f>
        <v>-</v>
      </c>
      <c r="U91" s="518">
        <f>_xlfn.XLOOKUP(E91,'All Products'!D:D,'All Products'!M:M,FALSE)</f>
        <v>50049081802283</v>
      </c>
      <c r="V91" s="455">
        <f>_xlfn.XLOOKUP(E91,'All Products'!D:D,'All Products'!N:N,FALSE)</f>
        <v>9.0500000000000007</v>
      </c>
    </row>
    <row r="92" spans="1:22">
      <c r="A92" s="101" t="str">
        <f>IF(M92&gt;0,COUNT($A$8:A91)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92" s="695"/>
      <c r="C92" s="611"/>
      <c r="D92" s="103" t="str">
        <f>_xlfn.XLOOKUP(E92,'All Products'!D:D,'All Products'!C:C,FALSE)</f>
        <v>124-L</v>
      </c>
      <c r="E92" s="103">
        <v>100025191</v>
      </c>
      <c r="F92" s="144" t="str">
        <f>_xlfn.XLOOKUP(E92,'All Products'!D:D,'All Products'!E:E,FALSE)</f>
        <v>12X17X12 VLV BX LOW VOLTAGE BLK</v>
      </c>
      <c r="G92" s="103" t="s">
        <v>1564</v>
      </c>
      <c r="H92" s="103" t="s">
        <v>1564</v>
      </c>
      <c r="I92" s="206" t="s">
        <v>1786</v>
      </c>
      <c r="J92" s="103">
        <f>_xlfn.XLOOKUP(E92,'All Products'!D:D,'All Products'!G:G,FALSE)</f>
        <v>72</v>
      </c>
      <c r="K92" s="142">
        <f>_xlfn.XLOOKUP(E92,'All Products'!D:D,'All Products'!H:H,FALSE)</f>
        <v>108.36</v>
      </c>
      <c r="L92" s="173">
        <f>ROUND(K92*Order_Quote!$L$18,2)</f>
        <v>108.36</v>
      </c>
      <c r="M92" s="75"/>
      <c r="N92" s="113"/>
      <c r="O92" s="171">
        <f t="shared" si="6"/>
        <v>0</v>
      </c>
      <c r="Q92" s="360" t="str">
        <f>_xlfn.XLOOKUP(E92,'All Products'!D:D,'All Products'!I:I,FALSE)</f>
        <v>Within 3 Weeks</v>
      </c>
      <c r="R92" s="206" t="str">
        <f>_xlfn.XLOOKUP(E92,'All Products'!D:D,'All Products'!J:J,FALSE)</f>
        <v>Manufactured</v>
      </c>
      <c r="S92" s="518">
        <f>_xlfn.XLOOKUP(E92,'All Products'!D:D,'All Products'!K:K,FALSE)</f>
        <v>49081802431</v>
      </c>
      <c r="T92" s="518" t="str">
        <f>_xlfn.XLOOKUP(E92,'All Products'!D:D,'All Products'!L:L,FALSE)</f>
        <v>-</v>
      </c>
      <c r="U92" s="518">
        <f>_xlfn.XLOOKUP(E92,'All Products'!D:D,'All Products'!M:M,FALSE)</f>
        <v>50049081802436</v>
      </c>
      <c r="V92" s="455">
        <f>_xlfn.XLOOKUP(E92,'All Products'!D:D,'All Products'!N:N,FALSE)</f>
        <v>9.0500000000000007</v>
      </c>
    </row>
    <row r="93" spans="1:22" ht="15" thickBot="1">
      <c r="A93" s="101" t="str">
        <f>IF(M93&gt;0,COUNT($A$8:A92)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93" s="696"/>
      <c r="C93" s="697"/>
      <c r="D93" s="103" t="str">
        <f>_xlfn.XLOOKUP(E93,'All Products'!D:D,'All Products'!C:C,FALSE)</f>
        <v>121-T</v>
      </c>
      <c r="E93" s="138">
        <v>100025735</v>
      </c>
      <c r="F93" s="144" t="str">
        <f>_xlfn.XLOOKUP(E93,'All Products'!D:D,'All Products'!E:E,FALSE)</f>
        <v>12X17X12 RCT BOX W/TELE LID GR</v>
      </c>
      <c r="G93" s="138" t="s">
        <v>1637</v>
      </c>
      <c r="H93" s="138" t="s">
        <v>1637</v>
      </c>
      <c r="I93" s="207" t="s">
        <v>1707</v>
      </c>
      <c r="J93" s="103">
        <f>_xlfn.XLOOKUP(E93,'All Products'!D:D,'All Products'!G:G,FALSE)</f>
        <v>72</v>
      </c>
      <c r="K93" s="142">
        <f>_xlfn.XLOOKUP(E93,'All Products'!D:D,'All Products'!H:H,FALSE)</f>
        <v>108.36</v>
      </c>
      <c r="L93" s="181">
        <f>ROUND(K93*Order_Quote!$L$18,2)</f>
        <v>108.36</v>
      </c>
      <c r="M93" s="163"/>
      <c r="N93" s="113"/>
      <c r="O93" s="171">
        <f t="shared" si="6"/>
        <v>0</v>
      </c>
      <c r="Q93" s="360" t="str">
        <f>_xlfn.XLOOKUP(E93,'All Products'!D:D,'All Products'!I:I,FALSE)</f>
        <v>In Stock</v>
      </c>
      <c r="R93" s="206" t="str">
        <f>_xlfn.XLOOKUP(E93,'All Products'!D:D,'All Products'!J:J,FALSE)</f>
        <v>Manufactured</v>
      </c>
      <c r="S93" s="518">
        <f>_xlfn.XLOOKUP(E93,'All Products'!D:D,'All Products'!K:K,FALSE)</f>
        <v>49081802318</v>
      </c>
      <c r="T93" s="518" t="str">
        <f>_xlfn.XLOOKUP(E93,'All Products'!D:D,'All Products'!L:L,FALSE)</f>
        <v>-</v>
      </c>
      <c r="U93" s="518">
        <f>_xlfn.XLOOKUP(E93,'All Products'!D:D,'All Products'!M:M,FALSE)</f>
        <v>50049081802313</v>
      </c>
      <c r="V93" s="455">
        <f>_xlfn.XLOOKUP(E93,'All Products'!D:D,'All Products'!N:N,FALSE)</f>
        <v>9.0500000000000007</v>
      </c>
    </row>
    <row r="94" spans="1:22" ht="16.2" thickBot="1">
      <c r="A94" s="101" t="str">
        <f>IF(M94&gt;0,COUNT($A$8:A93)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94" s="446" t="s">
        <v>5774</v>
      </c>
      <c r="C94" s="151"/>
      <c r="D94" s="151"/>
      <c r="E94" s="151"/>
      <c r="F94" s="450"/>
      <c r="G94" s="151"/>
      <c r="H94" s="151"/>
      <c r="I94" s="151"/>
      <c r="J94" s="151"/>
      <c r="K94" s="192"/>
      <c r="L94" s="192"/>
      <c r="M94" s="358"/>
      <c r="O94" s="545"/>
      <c r="Q94" s="357"/>
      <c r="R94" s="145"/>
      <c r="S94" s="493"/>
      <c r="T94" s="493"/>
      <c r="U94" s="493"/>
      <c r="V94" s="358"/>
    </row>
    <row r="95" spans="1:22">
      <c r="A95" s="101" t="str">
        <f>IF(M95&gt;0,COUNT($A$8:A94)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95" s="694"/>
      <c r="C95" s="683"/>
      <c r="D95" s="103" t="str">
        <f>_xlfn.XLOOKUP(E95,'All Products'!D:D,'All Products'!C:C,FALSE)</f>
        <v>120-X</v>
      </c>
      <c r="E95" s="137">
        <v>100025720</v>
      </c>
      <c r="F95" s="144" t="str">
        <f>_xlfn.XLOOKUP(E95,'All Products'!D:D,'All Products'!E:E,FALSE)</f>
        <v>12X17X6 EXT BOX W/LID BLK/GRN</v>
      </c>
      <c r="G95" s="137" t="s">
        <v>1564</v>
      </c>
      <c r="H95" s="137" t="s">
        <v>1637</v>
      </c>
      <c r="I95" s="204" t="s">
        <v>1638</v>
      </c>
      <c r="J95" s="103">
        <f>_xlfn.XLOOKUP(E95,'All Products'!D:D,'All Products'!G:G,FALSE)</f>
        <v>49</v>
      </c>
      <c r="K95" s="142">
        <f>_xlfn.XLOOKUP(E95,'All Products'!D:D,'All Products'!H:H,FALSE)</f>
        <v>99.47</v>
      </c>
      <c r="L95" s="180">
        <f>ROUND(K95*Order_Quote!$L$18,2)</f>
        <v>99.47</v>
      </c>
      <c r="M95" s="165"/>
      <c r="N95" s="113"/>
      <c r="O95" s="171">
        <f>M95/J95</f>
        <v>0</v>
      </c>
      <c r="Q95" s="360" t="str">
        <f>_xlfn.XLOOKUP(E95,'All Products'!D:D,'All Products'!I:I,FALSE)</f>
        <v>Within 3 Weeks</v>
      </c>
      <c r="R95" s="206" t="str">
        <f>_xlfn.XLOOKUP(E95,'All Products'!D:D,'All Products'!J:J,FALSE)</f>
        <v>Manufactured</v>
      </c>
      <c r="S95" s="518">
        <f>_xlfn.XLOOKUP(E95,'All Products'!D:D,'All Products'!K:K,FALSE)</f>
        <v>49081802912</v>
      </c>
      <c r="T95" s="518" t="str">
        <f>_xlfn.XLOOKUP(E95,'All Products'!D:D,'All Products'!L:L,FALSE)</f>
        <v>-</v>
      </c>
      <c r="U95" s="518">
        <f>_xlfn.XLOOKUP(E95,'All Products'!D:D,'All Products'!M:M,FALSE)</f>
        <v>50049081802917</v>
      </c>
      <c r="V95" s="455">
        <f>_xlfn.XLOOKUP(E95,'All Products'!D:D,'All Products'!N:N,FALSE)</f>
        <v>6.7050000000000001</v>
      </c>
    </row>
    <row r="96" spans="1:22">
      <c r="A96" s="101" t="str">
        <f>IF(M96&gt;0,COUNT($A$8:A95)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96" s="695"/>
      <c r="C96" s="611"/>
      <c r="D96" s="103" t="str">
        <f>_xlfn.XLOOKUP(E96,'All Products'!D:D,'All Products'!C:C,FALSE)</f>
        <v>121-X</v>
      </c>
      <c r="E96" s="103">
        <v>100025739</v>
      </c>
      <c r="F96" s="144" t="str">
        <f>_xlfn.XLOOKUP(E96,'All Products'!D:D,'All Products'!E:E,FALSE)</f>
        <v>12X17X6 EXT BOX W/LID GRN/GRN</v>
      </c>
      <c r="G96" s="103" t="s">
        <v>1637</v>
      </c>
      <c r="H96" s="103" t="s">
        <v>1637</v>
      </c>
      <c r="I96" s="206" t="s">
        <v>1638</v>
      </c>
      <c r="J96" s="103">
        <f>_xlfn.XLOOKUP(E96,'All Products'!D:D,'All Products'!G:G,FALSE)</f>
        <v>49</v>
      </c>
      <c r="K96" s="142">
        <f>_xlfn.XLOOKUP(E96,'All Products'!D:D,'All Products'!H:H,FALSE)</f>
        <v>99.47</v>
      </c>
      <c r="L96" s="173">
        <f>ROUND(K96*Order_Quote!$L$18,2)</f>
        <v>99.47</v>
      </c>
      <c r="M96" s="75"/>
      <c r="N96" s="113"/>
      <c r="O96" s="171">
        <f t="shared" ref="O96:O98" si="7">M96/J96</f>
        <v>0</v>
      </c>
      <c r="Q96" s="360" t="str">
        <f>_xlfn.XLOOKUP(E96,'All Products'!D:D,'All Products'!I:I,FALSE)</f>
        <v>In Stock</v>
      </c>
      <c r="R96" s="206" t="str">
        <f>_xlfn.XLOOKUP(E96,'All Products'!D:D,'All Products'!J:J,FALSE)</f>
        <v>Manufactured</v>
      </c>
      <c r="S96" s="518">
        <f>_xlfn.XLOOKUP(E96,'All Products'!D:D,'All Products'!K:K,FALSE)</f>
        <v>49081802981</v>
      </c>
      <c r="T96" s="518" t="str">
        <f>_xlfn.XLOOKUP(E96,'All Products'!D:D,'All Products'!L:L,FALSE)</f>
        <v>-</v>
      </c>
      <c r="U96" s="518">
        <f>_xlfn.XLOOKUP(E96,'All Products'!D:D,'All Products'!M:M,FALSE)</f>
        <v>50049081802986</v>
      </c>
      <c r="V96" s="455">
        <f>_xlfn.XLOOKUP(E96,'All Products'!D:D,'All Products'!N:N,FALSE)</f>
        <v>6.7050000000000001</v>
      </c>
    </row>
    <row r="97" spans="1:22">
      <c r="A97" s="101" t="str">
        <f>IF(M97&gt;0,COUNT($A$8:A96)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97" s="695"/>
      <c r="C97" s="611"/>
      <c r="D97" s="103" t="str">
        <f>_xlfn.XLOOKUP(E97,'All Products'!D:D,'All Products'!C:C,FALSE)</f>
        <v>122-X</v>
      </c>
      <c r="E97" s="103">
        <v>100025748</v>
      </c>
      <c r="F97" s="144" t="str">
        <f>_xlfn.XLOOKUP(E97,'All Products'!D:D,'All Products'!E:E,FALSE)</f>
        <v>12X17X6 EXT BOX W/LID TAN/TAN</v>
      </c>
      <c r="G97" s="103" t="s">
        <v>1641</v>
      </c>
      <c r="H97" s="103" t="s">
        <v>1641</v>
      </c>
      <c r="I97" s="206" t="s">
        <v>1638</v>
      </c>
      <c r="J97" s="103">
        <f>_xlfn.XLOOKUP(E97,'All Products'!D:D,'All Products'!G:G,FALSE)</f>
        <v>49</v>
      </c>
      <c r="K97" s="142">
        <f>_xlfn.XLOOKUP(E97,'All Products'!D:D,'All Products'!H:H,FALSE)</f>
        <v>99.47</v>
      </c>
      <c r="L97" s="173">
        <f>ROUND(K97*Order_Quote!$L$18,2)</f>
        <v>99.47</v>
      </c>
      <c r="M97" s="75"/>
      <c r="N97" s="113"/>
      <c r="O97" s="171">
        <f t="shared" si="7"/>
        <v>0</v>
      </c>
      <c r="Q97" s="360" t="str">
        <f>_xlfn.XLOOKUP(E97,'All Products'!D:D,'All Products'!I:I,FALSE)</f>
        <v>In Stock</v>
      </c>
      <c r="R97" s="206" t="str">
        <f>_xlfn.XLOOKUP(E97,'All Products'!D:D,'All Products'!J:J,FALSE)</f>
        <v>Manufactured</v>
      </c>
      <c r="S97" s="518">
        <f>_xlfn.XLOOKUP(E97,'All Products'!D:D,'All Products'!K:K,FALSE)</f>
        <v>49081803056</v>
      </c>
      <c r="T97" s="518" t="str">
        <f>_xlfn.XLOOKUP(E97,'All Products'!D:D,'All Products'!L:L,FALSE)</f>
        <v>-</v>
      </c>
      <c r="U97" s="518">
        <f>_xlfn.XLOOKUP(E97,'All Products'!D:D,'All Products'!M:M,FALSE)</f>
        <v>50049081803051</v>
      </c>
      <c r="V97" s="455">
        <f>_xlfn.XLOOKUP(E97,'All Products'!D:D,'All Products'!N:N,FALSE)</f>
        <v>6.7050000000000001</v>
      </c>
    </row>
    <row r="98" spans="1:22" ht="15" thickBot="1">
      <c r="A98" s="101" t="str">
        <f>IF(M98&gt;0,COUNT($A$8:A97)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98" s="696"/>
      <c r="C98" s="697"/>
      <c r="D98" s="103" t="str">
        <f>_xlfn.XLOOKUP(E98,'All Products'!D:D,'All Products'!C:C,FALSE)</f>
        <v>123-X</v>
      </c>
      <c r="E98" s="138">
        <v>100025179</v>
      </c>
      <c r="F98" s="144" t="str">
        <f>_xlfn.XLOOKUP(E98,'All Products'!D:D,'All Products'!E:E,FALSE)</f>
        <v>12X17X6 EXT BOX W/LID PRP/PRP</v>
      </c>
      <c r="G98" s="138" t="s">
        <v>1576</v>
      </c>
      <c r="H98" s="138" t="s">
        <v>1576</v>
      </c>
      <c r="I98" s="207" t="s">
        <v>1644</v>
      </c>
      <c r="J98" s="103">
        <f>_xlfn.XLOOKUP(E98,'All Products'!D:D,'All Products'!G:G,FALSE)</f>
        <v>49</v>
      </c>
      <c r="K98" s="142">
        <f>_xlfn.XLOOKUP(E98,'All Products'!D:D,'All Products'!H:H,FALSE)</f>
        <v>99.47</v>
      </c>
      <c r="L98" s="181">
        <f>ROUND(K98*Order_Quote!$L$18,2)</f>
        <v>99.47</v>
      </c>
      <c r="M98" s="163"/>
      <c r="N98" s="113"/>
      <c r="O98" s="171">
        <f t="shared" si="7"/>
        <v>0</v>
      </c>
      <c r="Q98" s="360" t="str">
        <f>_xlfn.XLOOKUP(E98,'All Products'!D:D,'All Products'!I:I,FALSE)</f>
        <v>Within 3 Weeks</v>
      </c>
      <c r="R98" s="206" t="str">
        <f>_xlfn.XLOOKUP(E98,'All Products'!D:D,'All Products'!J:J,FALSE)</f>
        <v>Manufactured</v>
      </c>
      <c r="S98" s="518">
        <f>_xlfn.XLOOKUP(E98,'All Products'!D:D,'All Products'!K:K,FALSE)</f>
        <v>49081803124</v>
      </c>
      <c r="T98" s="518" t="str">
        <f>_xlfn.XLOOKUP(E98,'All Products'!D:D,'All Products'!L:L,FALSE)</f>
        <v>-</v>
      </c>
      <c r="U98" s="518">
        <f>_xlfn.XLOOKUP(E98,'All Products'!D:D,'All Products'!M:M,FALSE)</f>
        <v>50049081803129</v>
      </c>
      <c r="V98" s="455">
        <f>_xlfn.XLOOKUP(E98,'All Products'!D:D,'All Products'!N:N,FALSE)</f>
        <v>6.7050000000000001</v>
      </c>
    </row>
    <row r="99" spans="1:22" ht="16.2" thickBot="1">
      <c r="A99" s="101" t="str">
        <f>IF(M99&gt;0,COUNT($A$8:A98)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99" s="446" t="s">
        <v>5775</v>
      </c>
      <c r="C99" s="151"/>
      <c r="D99" s="151"/>
      <c r="E99" s="151"/>
      <c r="F99" s="450"/>
      <c r="G99" s="151"/>
      <c r="H99" s="151"/>
      <c r="I99" s="151"/>
      <c r="J99" s="151"/>
      <c r="K99" s="192"/>
      <c r="L99" s="192"/>
      <c r="M99" s="358"/>
      <c r="O99" s="545"/>
      <c r="Q99" s="357"/>
      <c r="R99" s="145"/>
      <c r="S99" s="493"/>
      <c r="T99" s="493"/>
      <c r="U99" s="493"/>
      <c r="V99" s="358"/>
    </row>
    <row r="100" spans="1:22">
      <c r="A100" s="101" t="str">
        <f>IF(M100&gt;0,COUNT($A$8:A99)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00" s="694"/>
      <c r="C100" s="683"/>
      <c r="D100" s="103" t="str">
        <f>_xlfn.XLOOKUP(E100,'All Products'!D:D,'All Products'!C:C,FALSE)</f>
        <v>120-DB-2</v>
      </c>
      <c r="E100" s="137">
        <v>100025136</v>
      </c>
      <c r="F100" s="144" t="str">
        <f>_xlfn.XLOOKUP(E100,'All Products'!D:D,'All Products'!E:E,FALSE)</f>
        <v>12X17X12 RCT DRY BOX(B) W/L B/G</v>
      </c>
      <c r="G100" s="137" t="s">
        <v>1564</v>
      </c>
      <c r="H100" s="137" t="s">
        <v>1637</v>
      </c>
      <c r="I100" s="204" t="s">
        <v>1638</v>
      </c>
      <c r="J100" s="103">
        <f>_xlfn.XLOOKUP(E100,'All Products'!D:D,'All Products'!G:G,FALSE)</f>
        <v>1</v>
      </c>
      <c r="K100" s="142">
        <f>_xlfn.XLOOKUP(E100,'All Products'!D:D,'All Products'!H:H,FALSE)</f>
        <v>184.21</v>
      </c>
      <c r="L100" s="180">
        <f>ROUND(K100*Order_Quote!$L$18,2)</f>
        <v>184.21</v>
      </c>
      <c r="M100" s="165"/>
      <c r="N100" s="113"/>
      <c r="O100" s="171">
        <f t="shared" ref="O100:O106" si="8">M100/J100</f>
        <v>0</v>
      </c>
      <c r="Q100" s="360" t="str">
        <f>_xlfn.XLOOKUP(E100,'All Products'!D:D,'All Products'!I:I,FALSE)</f>
        <v>In Stock</v>
      </c>
      <c r="R100" s="206" t="str">
        <f>_xlfn.XLOOKUP(E100,'All Products'!D:D,'All Products'!J:J,FALSE)</f>
        <v>Manufactured</v>
      </c>
      <c r="S100" s="518">
        <f>_xlfn.XLOOKUP(E100,'All Products'!D:D,'All Products'!K:K,FALSE)</f>
        <v>49081806064</v>
      </c>
      <c r="T100" s="518" t="str">
        <f>_xlfn.XLOOKUP(E100,'All Products'!D:D,'All Products'!L:L,FALSE)</f>
        <v>-</v>
      </c>
      <c r="U100" s="518" t="str">
        <f>_xlfn.XLOOKUP(E100,'All Products'!D:D,'All Products'!M:M,FALSE)</f>
        <v>-</v>
      </c>
      <c r="V100" s="455">
        <f>_xlfn.XLOOKUP(E100,'All Products'!D:D,'All Products'!N:N,FALSE)</f>
        <v>12.814</v>
      </c>
    </row>
    <row r="101" spans="1:22">
      <c r="A101" s="101" t="str">
        <f>IF(M101&gt;0,COUNT($A$8:A100)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01" s="695"/>
      <c r="C101" s="611"/>
      <c r="D101" s="103" t="str">
        <f>_xlfn.XLOOKUP(E101,'All Products'!D:D,'All Products'!C:C,FALSE)</f>
        <v>124-DB-2</v>
      </c>
      <c r="E101" s="103">
        <v>100025755</v>
      </c>
      <c r="F101" s="144" t="str">
        <f>_xlfn.XLOOKUP(E101,'All Products'!D:D,'All Products'!E:E,FALSE)</f>
        <v>12X17X12 RCT DRY BOX (B) BLACK</v>
      </c>
      <c r="G101" s="103" t="s">
        <v>1564</v>
      </c>
      <c r="H101" s="103" t="s">
        <v>1564</v>
      </c>
      <c r="I101" s="206" t="s">
        <v>1638</v>
      </c>
      <c r="J101" s="103">
        <f>_xlfn.XLOOKUP(E101,'All Products'!D:D,'All Products'!G:G,FALSE)</f>
        <v>1</v>
      </c>
      <c r="K101" s="142">
        <f>_xlfn.XLOOKUP(E101,'All Products'!D:D,'All Products'!H:H,FALSE)</f>
        <v>243.93</v>
      </c>
      <c r="L101" s="173">
        <f>ROUND(K101*Order_Quote!$L$18,2)</f>
        <v>243.93</v>
      </c>
      <c r="M101" s="75"/>
      <c r="N101" s="113"/>
      <c r="O101" s="171">
        <f t="shared" si="8"/>
        <v>0</v>
      </c>
      <c r="Q101" s="360" t="str">
        <f>_xlfn.XLOOKUP(E101,'All Products'!D:D,'All Products'!I:I,FALSE)</f>
        <v>In Stock</v>
      </c>
      <c r="R101" s="206" t="str">
        <f>_xlfn.XLOOKUP(E101,'All Products'!D:D,'All Products'!J:J,FALSE)</f>
        <v>Manufactured</v>
      </c>
      <c r="S101" s="518">
        <f>_xlfn.XLOOKUP(E101,'All Products'!D:D,'All Products'!K:K,FALSE)</f>
        <v>49081808501</v>
      </c>
      <c r="T101" s="518" t="str">
        <f>_xlfn.XLOOKUP(E101,'All Products'!D:D,'All Products'!L:L,FALSE)</f>
        <v>-</v>
      </c>
      <c r="U101" s="518" t="str">
        <f>_xlfn.XLOOKUP(E101,'All Products'!D:D,'All Products'!M:M,FALSE)</f>
        <v>-</v>
      </c>
      <c r="V101" s="455">
        <f>_xlfn.XLOOKUP(E101,'All Products'!D:D,'All Products'!N:N,FALSE)</f>
        <v>12.814</v>
      </c>
    </row>
    <row r="102" spans="1:22">
      <c r="A102" s="101" t="str">
        <f>IF(M102&gt;0,COUNT($A$8:A101)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02" s="695"/>
      <c r="C102" s="611"/>
      <c r="D102" s="103" t="str">
        <f>_xlfn.XLOOKUP(E102,'All Products'!D:D,'All Products'!C:C,FALSE)</f>
        <v>123-DB-2</v>
      </c>
      <c r="E102" s="103">
        <v>100025751</v>
      </c>
      <c r="F102" s="144" t="str">
        <f>_xlfn.XLOOKUP(E102,'All Products'!D:D,'All Products'!E:E,FALSE)</f>
        <v>12X17X12 RCT DRY BOX(B) W/L PRP</v>
      </c>
      <c r="G102" s="103" t="s">
        <v>1564</v>
      </c>
      <c r="H102" s="103" t="s">
        <v>1576</v>
      </c>
      <c r="I102" s="206" t="s">
        <v>1644</v>
      </c>
      <c r="J102" s="103">
        <f>_xlfn.XLOOKUP(E102,'All Products'!D:D,'All Products'!G:G,FALSE)</f>
        <v>1</v>
      </c>
      <c r="K102" s="142">
        <f>_xlfn.XLOOKUP(E102,'All Products'!D:D,'All Products'!H:H,FALSE)</f>
        <v>243.93</v>
      </c>
      <c r="L102" s="173">
        <f>ROUND(K102*Order_Quote!$L$18,2)</f>
        <v>243.93</v>
      </c>
      <c r="M102" s="75"/>
      <c r="N102" s="113"/>
      <c r="O102" s="171">
        <f t="shared" si="8"/>
        <v>0</v>
      </c>
      <c r="Q102" s="360" t="str">
        <f>_xlfn.XLOOKUP(E102,'All Products'!D:D,'All Products'!I:I,FALSE)</f>
        <v>Within 3 Weeks</v>
      </c>
      <c r="R102" s="206" t="str">
        <f>_xlfn.XLOOKUP(E102,'All Products'!D:D,'All Products'!J:J,FALSE)</f>
        <v>Manufactured</v>
      </c>
      <c r="S102" s="518">
        <f>_xlfn.XLOOKUP(E102,'All Products'!D:D,'All Products'!K:K,FALSE)</f>
        <v>49081806033</v>
      </c>
      <c r="T102" s="518" t="str">
        <f>_xlfn.XLOOKUP(E102,'All Products'!D:D,'All Products'!L:L,FALSE)</f>
        <v>-</v>
      </c>
      <c r="U102" s="518" t="str">
        <f>_xlfn.XLOOKUP(E102,'All Products'!D:D,'All Products'!M:M,FALSE)</f>
        <v>-</v>
      </c>
      <c r="V102" s="455">
        <f>_xlfn.XLOOKUP(E102,'All Products'!D:D,'All Products'!N:N,FALSE)</f>
        <v>12.814</v>
      </c>
    </row>
    <row r="103" spans="1:22">
      <c r="A103" s="101" t="str">
        <f>IF(M103&gt;0,COUNT($A$8:A102)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03" s="695"/>
      <c r="C103" s="611"/>
      <c r="D103" s="103" t="str">
        <f>_xlfn.XLOOKUP(E103,'All Products'!D:D,'All Products'!C:C,FALSE)</f>
        <v>120-DB-2-DS</v>
      </c>
      <c r="E103" s="103">
        <v>100025708</v>
      </c>
      <c r="F103" s="144" t="str">
        <f>_xlfn.XLOOKUP(E103,'All Products'!D:D,'All Products'!E:E,FALSE)</f>
        <v>12X17X12 DRY BOX/LID (B) B/G DS</v>
      </c>
      <c r="G103" s="103" t="s">
        <v>1564</v>
      </c>
      <c r="H103" s="103" t="s">
        <v>1637</v>
      </c>
      <c r="I103" s="206" t="s">
        <v>1638</v>
      </c>
      <c r="J103" s="103">
        <f>_xlfn.XLOOKUP(E103,'All Products'!D:D,'All Products'!G:G,FALSE)</f>
        <v>1</v>
      </c>
      <c r="K103" s="142">
        <f>_xlfn.XLOOKUP(E103,'All Products'!D:D,'All Products'!H:H,FALSE)</f>
        <v>304.93</v>
      </c>
      <c r="L103" s="173">
        <f>ROUND(K103*Order_Quote!$L$18,2)</f>
        <v>304.93</v>
      </c>
      <c r="M103" s="75"/>
      <c r="N103" s="113"/>
      <c r="O103" s="171">
        <f t="shared" si="8"/>
        <v>0</v>
      </c>
      <c r="Q103" s="360" t="str">
        <f>_xlfn.XLOOKUP(E103,'All Products'!D:D,'All Products'!I:I,FALSE)</f>
        <v>Within 3 Weeks</v>
      </c>
      <c r="R103" s="206" t="str">
        <f>_xlfn.XLOOKUP(E103,'All Products'!D:D,'All Products'!J:J,FALSE)</f>
        <v>Manufactured</v>
      </c>
      <c r="S103" s="518">
        <f>_xlfn.XLOOKUP(E103,'All Products'!D:D,'All Products'!K:K,FALSE)</f>
        <v>49081806125</v>
      </c>
      <c r="T103" s="518" t="str">
        <f>_xlfn.XLOOKUP(E103,'All Products'!D:D,'All Products'!L:L,FALSE)</f>
        <v>-</v>
      </c>
      <c r="U103" s="518" t="str">
        <f>_xlfn.XLOOKUP(E103,'All Products'!D:D,'All Products'!M:M,FALSE)</f>
        <v>-</v>
      </c>
      <c r="V103" s="455">
        <f>_xlfn.XLOOKUP(E103,'All Products'!D:D,'All Products'!N:N,FALSE)</f>
        <v>12.814</v>
      </c>
    </row>
    <row r="104" spans="1:22">
      <c r="A104" s="101" t="str">
        <f>IF(M104&gt;0,COUNT($A$8:A103)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04" s="695"/>
      <c r="C104" s="611"/>
      <c r="D104" s="103" t="str">
        <f>_xlfn.XLOOKUP(E104,'All Products'!D:D,'All Products'!C:C,FALSE)</f>
        <v>123-DB-2-DS</v>
      </c>
      <c r="E104" s="103">
        <v>100025172</v>
      </c>
      <c r="F104" s="144" t="str">
        <f>_xlfn.XLOOKUP(E104,'All Products'!D:D,'All Products'!E:E,FALSE)</f>
        <v>12X17X12 DRY BOX/LID (B) P/P DS</v>
      </c>
      <c r="G104" s="103" t="s">
        <v>1576</v>
      </c>
      <c r="H104" s="103" t="s">
        <v>1576</v>
      </c>
      <c r="I104" s="206" t="s">
        <v>1644</v>
      </c>
      <c r="J104" s="103">
        <f>_xlfn.XLOOKUP(E104,'All Products'!D:D,'All Products'!G:G,FALSE)</f>
        <v>1</v>
      </c>
      <c r="K104" s="142">
        <f>_xlfn.XLOOKUP(E104,'All Products'!D:D,'All Products'!H:H,FALSE)</f>
        <v>304.93</v>
      </c>
      <c r="L104" s="173">
        <f>ROUND(K104*Order_Quote!$L$18,2)</f>
        <v>304.93</v>
      </c>
      <c r="M104" s="75"/>
      <c r="N104" s="113"/>
      <c r="O104" s="171">
        <f t="shared" si="8"/>
        <v>0</v>
      </c>
      <c r="Q104" s="360" t="str">
        <f>_xlfn.XLOOKUP(E104,'All Products'!D:D,'All Products'!I:I,FALSE)</f>
        <v>Within 3 Weeks</v>
      </c>
      <c r="R104" s="206" t="str">
        <f>_xlfn.XLOOKUP(E104,'All Products'!D:D,'All Products'!J:J,FALSE)</f>
        <v>Manufactured</v>
      </c>
      <c r="S104" s="518">
        <f>_xlfn.XLOOKUP(E104,'All Products'!D:D,'All Products'!K:K,FALSE)</f>
        <v>49081808495</v>
      </c>
      <c r="T104" s="518" t="str">
        <f>_xlfn.XLOOKUP(E104,'All Products'!D:D,'All Products'!L:L,FALSE)</f>
        <v>-</v>
      </c>
      <c r="U104" s="518" t="str">
        <f>_xlfn.XLOOKUP(E104,'All Products'!D:D,'All Products'!M:M,FALSE)</f>
        <v>-</v>
      </c>
      <c r="V104" s="455">
        <f>_xlfn.XLOOKUP(E104,'All Products'!D:D,'All Products'!N:N,FALSE)</f>
        <v>12.814</v>
      </c>
    </row>
    <row r="105" spans="1:22">
      <c r="A105" s="101" t="str">
        <f>IF(M105&gt;0,COUNT($A$8:A104)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05" s="695"/>
      <c r="C105" s="611"/>
      <c r="D105" s="103" t="str">
        <f>_xlfn.XLOOKUP(E105,'All Products'!D:D,'All Products'!C:C,FALSE)</f>
        <v>124-DB-2-DS</v>
      </c>
      <c r="E105" s="103">
        <v>100025185</v>
      </c>
      <c r="F105" s="144" t="str">
        <f>_xlfn.XLOOKUP(E105,'All Products'!D:D,'All Products'!E:E,FALSE)</f>
        <v>12X17X12 DRY BOX/LID (B) B/B DS</v>
      </c>
      <c r="G105" s="103" t="s">
        <v>1564</v>
      </c>
      <c r="H105" s="103" t="s">
        <v>1564</v>
      </c>
      <c r="I105" s="206" t="s">
        <v>1638</v>
      </c>
      <c r="J105" s="103">
        <f>_xlfn.XLOOKUP(E105,'All Products'!D:D,'All Products'!G:G,FALSE)</f>
        <v>1</v>
      </c>
      <c r="K105" s="142">
        <f>_xlfn.XLOOKUP(E105,'All Products'!D:D,'All Products'!H:H,FALSE)</f>
        <v>304.93</v>
      </c>
      <c r="L105" s="173">
        <f>ROUND(K105*Order_Quote!$L$18,2)</f>
        <v>304.93</v>
      </c>
      <c r="M105" s="75"/>
      <c r="N105" s="113"/>
      <c r="O105" s="171">
        <f t="shared" si="8"/>
        <v>0</v>
      </c>
      <c r="Q105" s="360" t="str">
        <f>_xlfn.XLOOKUP(E105,'All Products'!D:D,'All Products'!I:I,FALSE)</f>
        <v>In Stock</v>
      </c>
      <c r="R105" s="206" t="str">
        <f>_xlfn.XLOOKUP(E105,'All Products'!D:D,'All Products'!J:J,FALSE)</f>
        <v>Manufactured</v>
      </c>
      <c r="S105" s="518">
        <f>_xlfn.XLOOKUP(E105,'All Products'!D:D,'All Products'!K:K,FALSE)</f>
        <v>49081808518</v>
      </c>
      <c r="T105" s="518" t="str">
        <f>_xlfn.XLOOKUP(E105,'All Products'!D:D,'All Products'!L:L,FALSE)</f>
        <v>-</v>
      </c>
      <c r="U105" s="518" t="str">
        <f>_xlfn.XLOOKUP(E105,'All Products'!D:D,'All Products'!M:M,FALSE)</f>
        <v>-</v>
      </c>
      <c r="V105" s="455">
        <f>_xlfn.XLOOKUP(E105,'All Products'!D:D,'All Products'!N:N,FALSE)</f>
        <v>12.814</v>
      </c>
    </row>
    <row r="106" spans="1:22" ht="15" thickBot="1">
      <c r="A106" s="101" t="str">
        <f>IF(M106&gt;0,COUNT($A$8:A105)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06" s="696"/>
      <c r="C106" s="697"/>
      <c r="D106" s="103" t="str">
        <f>_xlfn.XLOOKUP(E106,'All Products'!D:D,'All Products'!C:C,FALSE)</f>
        <v>124-DB-2-DS-E</v>
      </c>
      <c r="E106" s="138">
        <v>100025186</v>
      </c>
      <c r="F106" s="144" t="str">
        <f>_xlfn.XLOOKUP(E106,'All Products'!D:D,'All Products'!E:E,FALSE)</f>
        <v>12X17X12 DRY BX/LD(B)ELCT BK DS</v>
      </c>
      <c r="G106" s="138" t="s">
        <v>1564</v>
      </c>
      <c r="H106" s="138" t="s">
        <v>1564</v>
      </c>
      <c r="I106" s="207" t="s">
        <v>1813</v>
      </c>
      <c r="J106" s="103">
        <f>_xlfn.XLOOKUP(E106,'All Products'!D:D,'All Products'!G:G,FALSE)</f>
        <v>1</v>
      </c>
      <c r="K106" s="142">
        <f>_xlfn.XLOOKUP(E106,'All Products'!D:D,'All Products'!H:H,FALSE)</f>
        <v>304.93</v>
      </c>
      <c r="L106" s="181">
        <f>ROUND(K106*Order_Quote!$L$18,2)</f>
        <v>304.93</v>
      </c>
      <c r="M106" s="163"/>
      <c r="N106" s="113"/>
      <c r="O106" s="171">
        <f t="shared" si="8"/>
        <v>0</v>
      </c>
      <c r="Q106" s="360" t="str">
        <f>_xlfn.XLOOKUP(E106,'All Products'!D:D,'All Products'!I:I,FALSE)</f>
        <v>Within 3 Weeks</v>
      </c>
      <c r="R106" s="206" t="str">
        <f>_xlfn.XLOOKUP(E106,'All Products'!D:D,'All Products'!J:J,FALSE)</f>
        <v>Manufactured</v>
      </c>
      <c r="S106" s="518">
        <f>_xlfn.XLOOKUP(E106,'All Products'!D:D,'All Products'!K:K,FALSE)</f>
        <v>49081806156</v>
      </c>
      <c r="T106" s="518" t="str">
        <f>_xlfn.XLOOKUP(E106,'All Products'!D:D,'All Products'!L:L,FALSE)</f>
        <v>-</v>
      </c>
      <c r="U106" s="518" t="str">
        <f>_xlfn.XLOOKUP(E106,'All Products'!D:D,'All Products'!M:M,FALSE)</f>
        <v>-</v>
      </c>
      <c r="V106" s="455">
        <f>_xlfn.XLOOKUP(E106,'All Products'!D:D,'All Products'!N:N,FALSE)</f>
        <v>12.814</v>
      </c>
    </row>
    <row r="107" spans="1:22" ht="16.2" thickBot="1">
      <c r="A107" s="101" t="str">
        <f>IF(M107&gt;0,COUNT($A$8:A106)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07" s="446" t="s">
        <v>5776</v>
      </c>
      <c r="C107" s="151"/>
      <c r="D107" s="151"/>
      <c r="E107" s="151"/>
      <c r="F107" s="450"/>
      <c r="G107" s="151"/>
      <c r="H107" s="151"/>
      <c r="I107" s="151"/>
      <c r="J107" s="151"/>
      <c r="K107" s="192"/>
      <c r="L107" s="192"/>
      <c r="M107" s="358"/>
      <c r="O107" s="545"/>
      <c r="Q107" s="357"/>
      <c r="R107" s="145"/>
      <c r="S107" s="493"/>
      <c r="T107" s="493"/>
      <c r="U107" s="493"/>
      <c r="V107" s="358"/>
    </row>
    <row r="108" spans="1:22">
      <c r="A108" s="101" t="str">
        <f>IF(M108&gt;0,COUNT($A$8:A107)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08" s="694"/>
      <c r="C108" s="683"/>
      <c r="D108" s="103" t="str">
        <f>_xlfn.XLOOKUP(E108,'All Products'!D:D,'All Products'!C:C,FALSE)</f>
        <v>150-6</v>
      </c>
      <c r="E108" s="137">
        <v>100025771</v>
      </c>
      <c r="F108" s="144" t="str">
        <f>_xlfn.XLOOKUP(E108,'All Products'!D:D,'All Products'!E:E,FALSE)</f>
        <v>15X21X6 RCT BOX W/LID BLK/GRN</v>
      </c>
      <c r="G108" s="137" t="s">
        <v>1564</v>
      </c>
      <c r="H108" s="137" t="s">
        <v>1637</v>
      </c>
      <c r="I108" s="204" t="s">
        <v>1638</v>
      </c>
      <c r="J108" s="103">
        <f>_xlfn.XLOOKUP(E108,'All Products'!D:D,'All Products'!G:G,FALSE)</f>
        <v>56</v>
      </c>
      <c r="K108" s="205">
        <f>VLOOKUP(E108,'All Products'!$D:$H,5,0)</f>
        <v>156.16</v>
      </c>
      <c r="L108" s="180">
        <f>ROUND(K108*Order_Quote!$L$18,2)</f>
        <v>156.16</v>
      </c>
      <c r="M108" s="165"/>
      <c r="N108" s="113"/>
      <c r="O108" s="171">
        <f>M108/J108</f>
        <v>0</v>
      </c>
      <c r="Q108" s="360" t="str">
        <f>_xlfn.XLOOKUP(E108,'All Products'!D:D,'All Products'!I:I,FALSE)</f>
        <v>In Stock</v>
      </c>
      <c r="R108" s="206" t="str">
        <f>_xlfn.XLOOKUP(E108,'All Products'!D:D,'All Products'!J:J,FALSE)</f>
        <v>Manufactured</v>
      </c>
      <c r="S108" s="518">
        <f>_xlfn.XLOOKUP(E108,'All Products'!D:D,'All Products'!K:K,FALSE)</f>
        <v>49081803636</v>
      </c>
      <c r="T108" s="518" t="str">
        <f>_xlfn.XLOOKUP(E108,'All Products'!D:D,'All Products'!L:L,FALSE)</f>
        <v>-</v>
      </c>
      <c r="U108" s="518">
        <f>_xlfn.XLOOKUP(E108,'All Products'!D:D,'All Products'!M:M,FALSE)</f>
        <v>50049081803631</v>
      </c>
      <c r="V108" s="455">
        <f>_xlfn.XLOOKUP(E108,'All Products'!D:D,'All Products'!N:N,FALSE)</f>
        <v>8.8849999999999998</v>
      </c>
    </row>
    <row r="109" spans="1:22">
      <c r="A109" s="101" t="str">
        <f>IF(M109&gt;0,COUNT($A$8:A108)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09" s="695"/>
      <c r="C109" s="611"/>
      <c r="D109" s="103" t="str">
        <f>_xlfn.XLOOKUP(E109,'All Products'!D:D,'All Products'!C:C,FALSE)</f>
        <v>151-6</v>
      </c>
      <c r="E109" s="103">
        <v>100025780</v>
      </c>
      <c r="F109" s="144" t="str">
        <f>_xlfn.XLOOKUP(E109,'All Products'!D:D,'All Products'!E:E,FALSE)</f>
        <v>15X21X6 RCT BOX W/LID GRN/GRN</v>
      </c>
      <c r="G109" s="103" t="s">
        <v>1637</v>
      </c>
      <c r="H109" s="103" t="s">
        <v>1637</v>
      </c>
      <c r="I109" s="206" t="s">
        <v>1638</v>
      </c>
      <c r="J109" s="103">
        <f>_xlfn.XLOOKUP(E109,'All Products'!D:D,'All Products'!G:G,FALSE)</f>
        <v>56</v>
      </c>
      <c r="K109" s="140">
        <f>VLOOKUP(E109,'All Products'!$D:$H,5,0)</f>
        <v>156.16</v>
      </c>
      <c r="L109" s="173">
        <f>ROUND(K109*Order_Quote!$L$18,2)</f>
        <v>156.16</v>
      </c>
      <c r="M109" s="75"/>
      <c r="N109" s="113"/>
      <c r="O109" s="171">
        <f t="shared" ref="O109:O110" si="9">M109/J109</f>
        <v>0</v>
      </c>
      <c r="Q109" s="360" t="str">
        <f>_xlfn.XLOOKUP(E109,'All Products'!D:D,'All Products'!I:I,FALSE)</f>
        <v>In Stock</v>
      </c>
      <c r="R109" s="206" t="str">
        <f>_xlfn.XLOOKUP(E109,'All Products'!D:D,'All Products'!J:J,FALSE)</f>
        <v>Manufactured</v>
      </c>
      <c r="S109" s="518">
        <f>_xlfn.XLOOKUP(E109,'All Products'!D:D,'All Products'!K:K,FALSE)</f>
        <v>49081803704</v>
      </c>
      <c r="T109" s="518" t="str">
        <f>_xlfn.XLOOKUP(E109,'All Products'!D:D,'All Products'!L:L,FALSE)</f>
        <v>-</v>
      </c>
      <c r="U109" s="518">
        <f>_xlfn.XLOOKUP(E109,'All Products'!D:D,'All Products'!M:M,FALSE)</f>
        <v>50049081803709</v>
      </c>
      <c r="V109" s="455">
        <f>_xlfn.XLOOKUP(E109,'All Products'!D:D,'All Products'!N:N,FALSE)</f>
        <v>8.8849999999999998</v>
      </c>
    </row>
    <row r="110" spans="1:22" ht="15" thickBot="1">
      <c r="A110" s="101" t="str">
        <f>IF(M110&gt;0,COUNT($A$8:A109)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10" s="695"/>
      <c r="C110" s="611"/>
      <c r="D110" s="103" t="str">
        <f>_xlfn.XLOOKUP(E110,'All Products'!D:D,'All Products'!C:C,FALSE)</f>
        <v>152-6</v>
      </c>
      <c r="E110" s="103">
        <v>100025792</v>
      </c>
      <c r="F110" s="144" t="str">
        <f>_xlfn.XLOOKUP(E110,'All Products'!D:D,'All Products'!E:E,FALSE)</f>
        <v>15X21X6 RCT BOX W/LID TAN/TAN</v>
      </c>
      <c r="G110" s="103" t="s">
        <v>1641</v>
      </c>
      <c r="H110" s="103" t="s">
        <v>1641</v>
      </c>
      <c r="I110" s="206" t="s">
        <v>1638</v>
      </c>
      <c r="J110" s="103">
        <f>_xlfn.XLOOKUP(E110,'All Products'!D:D,'All Products'!G:G,FALSE)</f>
        <v>56</v>
      </c>
      <c r="K110" s="140">
        <f>VLOOKUP(E110,'All Products'!$D:$H,5,0)</f>
        <v>156.16</v>
      </c>
      <c r="L110" s="173">
        <f>ROUND(K110*Order_Quote!$L$18,2)</f>
        <v>156.16</v>
      </c>
      <c r="M110" s="75"/>
      <c r="N110" s="113"/>
      <c r="O110" s="171">
        <f t="shared" si="9"/>
        <v>0</v>
      </c>
      <c r="Q110" s="360" t="str">
        <f>_xlfn.XLOOKUP(E110,'All Products'!D:D,'All Products'!I:I,FALSE)</f>
        <v>In Stock</v>
      </c>
      <c r="R110" s="206" t="str">
        <f>_xlfn.XLOOKUP(E110,'All Products'!D:D,'All Products'!J:J,FALSE)</f>
        <v>Manufactured</v>
      </c>
      <c r="S110" s="518">
        <f>_xlfn.XLOOKUP(E110,'All Products'!D:D,'All Products'!K:K,FALSE)</f>
        <v>49081803773</v>
      </c>
      <c r="T110" s="518" t="str">
        <f>_xlfn.XLOOKUP(E110,'All Products'!D:D,'All Products'!L:L,FALSE)</f>
        <v>-</v>
      </c>
      <c r="U110" s="518">
        <f>_xlfn.XLOOKUP(E110,'All Products'!D:D,'All Products'!M:M,FALSE)</f>
        <v>50049081803778</v>
      </c>
      <c r="V110" s="455">
        <f>_xlfn.XLOOKUP(E110,'All Products'!D:D,'All Products'!N:N,FALSE)</f>
        <v>8.8849999999999998</v>
      </c>
    </row>
    <row r="111" spans="1:22" ht="16.2" thickBot="1">
      <c r="A111" s="101" t="str">
        <f>IF(M111&gt;0,COUNT($A$8:A110)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11" s="446" t="s">
        <v>5777</v>
      </c>
      <c r="C111" s="151"/>
      <c r="D111" s="151"/>
      <c r="E111" s="151"/>
      <c r="F111" s="450"/>
      <c r="G111" s="151"/>
      <c r="H111" s="151"/>
      <c r="I111" s="151"/>
      <c r="J111" s="151"/>
      <c r="K111" s="192"/>
      <c r="L111" s="192"/>
      <c r="M111" s="358"/>
      <c r="O111" s="545"/>
      <c r="Q111" s="357"/>
      <c r="R111" s="145"/>
      <c r="S111" s="493"/>
      <c r="T111" s="493"/>
      <c r="U111" s="493"/>
      <c r="V111" s="358"/>
    </row>
    <row r="112" spans="1:22">
      <c r="A112" s="101" t="str">
        <f>IF(M112&gt;0,COUNT($A$8:A111)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12" s="694"/>
      <c r="C112" s="683"/>
      <c r="D112" s="103">
        <f>_xlfn.XLOOKUP(E112,'All Products'!D:D,'All Products'!C:C,FALSE)</f>
        <v>150</v>
      </c>
      <c r="E112" s="137">
        <v>100028528</v>
      </c>
      <c r="F112" s="144" t="str">
        <f>_xlfn.XLOOKUP(E112,'All Products'!D:D,'All Products'!E:E,FALSE)</f>
        <v>15X21X12 RCT BOX W/LID BLK/GRN</v>
      </c>
      <c r="G112" s="137" t="s">
        <v>1564</v>
      </c>
      <c r="H112" s="137" t="s">
        <v>1637</v>
      </c>
      <c r="I112" s="204" t="s">
        <v>1638</v>
      </c>
      <c r="J112" s="103">
        <f>_xlfn.XLOOKUP(E112,'All Products'!D:D,'All Products'!G:G,FALSE)</f>
        <v>48</v>
      </c>
      <c r="K112" s="142">
        <f>_xlfn.XLOOKUP(E112,'All Products'!D:D,'All Products'!H:H,FALSE)</f>
        <v>207.15</v>
      </c>
      <c r="L112" s="180">
        <f>ROUND(K112*Order_Quote!$L$18,2)</f>
        <v>207.15</v>
      </c>
      <c r="M112" s="165"/>
      <c r="N112" s="113"/>
      <c r="O112" s="171">
        <f t="shared" ref="O112:O119" si="10">M112/J112</f>
        <v>0</v>
      </c>
      <c r="Q112" s="360" t="str">
        <f>_xlfn.XLOOKUP(E112,'All Products'!D:D,'All Products'!I:I,FALSE)</f>
        <v>In Stock</v>
      </c>
      <c r="R112" s="206" t="str">
        <f>_xlfn.XLOOKUP(E112,'All Products'!D:D,'All Products'!J:J,FALSE)</f>
        <v>Manufactured</v>
      </c>
      <c r="S112" s="518">
        <f>_xlfn.XLOOKUP(E112,'All Products'!D:D,'All Products'!K:K,FALSE)</f>
        <v>49081803278</v>
      </c>
      <c r="T112" s="518" t="str">
        <f>_xlfn.XLOOKUP(E112,'All Products'!D:D,'All Products'!L:L,FALSE)</f>
        <v>-</v>
      </c>
      <c r="U112" s="518">
        <f>_xlfn.XLOOKUP(E112,'All Products'!D:D,'All Products'!M:M,FALSE)</f>
        <v>50049081803273</v>
      </c>
      <c r="V112" s="455">
        <f>_xlfn.XLOOKUP(E112,'All Products'!D:D,'All Products'!N:N,FALSE)</f>
        <v>12.105</v>
      </c>
    </row>
    <row r="113" spans="1:22">
      <c r="A113" s="101" t="str">
        <f>IF(M113&gt;0,COUNT($A$8:A112)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13" s="695"/>
      <c r="C113" s="611"/>
      <c r="D113" s="103">
        <f>_xlfn.XLOOKUP(E113,'All Products'!D:D,'All Products'!C:C,FALSE)</f>
        <v>151</v>
      </c>
      <c r="E113" s="103">
        <v>100028529</v>
      </c>
      <c r="F113" s="144" t="str">
        <f>_xlfn.XLOOKUP(E113,'All Products'!D:D,'All Products'!E:E,FALSE)</f>
        <v>15X21X12 RCT BOX W/LID GRN/GRN</v>
      </c>
      <c r="G113" s="103" t="s">
        <v>1637</v>
      </c>
      <c r="H113" s="103" t="s">
        <v>1637</v>
      </c>
      <c r="I113" s="206" t="s">
        <v>1638</v>
      </c>
      <c r="J113" s="103">
        <f>_xlfn.XLOOKUP(E113,'All Products'!D:D,'All Products'!G:G,FALSE)</f>
        <v>48</v>
      </c>
      <c r="K113" s="142">
        <f>_xlfn.XLOOKUP(E113,'All Products'!D:D,'All Products'!H:H,FALSE)</f>
        <v>207.15</v>
      </c>
      <c r="L113" s="173">
        <f>ROUND(K113*Order_Quote!$L$18,2)</f>
        <v>207.15</v>
      </c>
      <c r="M113" s="75"/>
      <c r="N113" s="113"/>
      <c r="O113" s="171">
        <f t="shared" si="10"/>
        <v>0</v>
      </c>
      <c r="Q113" s="360" t="str">
        <f>_xlfn.XLOOKUP(E113,'All Products'!D:D,'All Products'!I:I,FALSE)</f>
        <v>In Stock</v>
      </c>
      <c r="R113" s="206" t="str">
        <f>_xlfn.XLOOKUP(E113,'All Products'!D:D,'All Products'!J:J,FALSE)</f>
        <v>Manufactured</v>
      </c>
      <c r="S113" s="518" t="str">
        <f>_xlfn.XLOOKUP(E113,'All Products'!D:D,'All Products'!K:K,FALSE)</f>
        <v>-</v>
      </c>
      <c r="T113" s="518" t="str">
        <f>_xlfn.XLOOKUP(E113,'All Products'!D:D,'All Products'!L:L,FALSE)</f>
        <v>-</v>
      </c>
      <c r="U113" s="518">
        <f>_xlfn.XLOOKUP(E113,'All Products'!D:D,'All Products'!M:M,FALSE)</f>
        <v>50049081801255</v>
      </c>
      <c r="V113" s="455">
        <f>_xlfn.XLOOKUP(E113,'All Products'!D:D,'All Products'!N:N,FALSE)</f>
        <v>12.105</v>
      </c>
    </row>
    <row r="114" spans="1:22">
      <c r="A114" s="101" t="str">
        <f>IF(M114&gt;0,COUNT($A$8:A113)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14" s="695"/>
      <c r="C114" s="611"/>
      <c r="D114" s="103">
        <f>_xlfn.XLOOKUP(E114,'All Products'!D:D,'All Products'!C:C,FALSE)</f>
        <v>152</v>
      </c>
      <c r="E114" s="103">
        <v>100028530</v>
      </c>
      <c r="F114" s="144" t="str">
        <f>_xlfn.XLOOKUP(E114,'All Products'!D:D,'All Products'!E:E,FALSE)</f>
        <v>15X21X12 RCT BOX W/LID TAN/TAN</v>
      </c>
      <c r="G114" s="103" t="s">
        <v>1641</v>
      </c>
      <c r="H114" s="103" t="s">
        <v>1641</v>
      </c>
      <c r="I114" s="206" t="s">
        <v>1638</v>
      </c>
      <c r="J114" s="103">
        <f>_xlfn.XLOOKUP(E114,'All Products'!D:D,'All Products'!G:G,FALSE)</f>
        <v>48</v>
      </c>
      <c r="K114" s="142">
        <f>_xlfn.XLOOKUP(E114,'All Products'!D:D,'All Products'!H:H,FALSE)</f>
        <v>207.15</v>
      </c>
      <c r="L114" s="173">
        <f>ROUND(K114*Order_Quote!$L$18,2)</f>
        <v>207.15</v>
      </c>
      <c r="M114" s="75"/>
      <c r="N114" s="113"/>
      <c r="O114" s="171">
        <f t="shared" si="10"/>
        <v>0</v>
      </c>
      <c r="Q114" s="360" t="str">
        <f>_xlfn.XLOOKUP(E114,'All Products'!D:D,'All Products'!I:I,FALSE)</f>
        <v>In Stock</v>
      </c>
      <c r="R114" s="206" t="str">
        <f>_xlfn.XLOOKUP(E114,'All Products'!D:D,'All Products'!J:J,FALSE)</f>
        <v>Manufactured</v>
      </c>
      <c r="S114" s="518">
        <f>_xlfn.XLOOKUP(E114,'All Products'!D:D,'All Products'!K:K,FALSE)</f>
        <v>49081803414</v>
      </c>
      <c r="T114" s="518" t="str">
        <f>_xlfn.XLOOKUP(E114,'All Products'!D:D,'All Products'!L:L,FALSE)</f>
        <v>-</v>
      </c>
      <c r="U114" s="518">
        <f>_xlfn.XLOOKUP(E114,'All Products'!D:D,'All Products'!M:M,FALSE)</f>
        <v>50049081803419</v>
      </c>
      <c r="V114" s="455">
        <f>_xlfn.XLOOKUP(E114,'All Products'!D:D,'All Products'!N:N,FALSE)</f>
        <v>12.105</v>
      </c>
    </row>
    <row r="115" spans="1:22">
      <c r="A115" s="101" t="str">
        <f>IF(M115&gt;0,COUNT($A$8:A114)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15" s="695"/>
      <c r="C115" s="611"/>
      <c r="D115" s="103">
        <f>_xlfn.XLOOKUP(E115,'All Products'!D:D,'All Products'!C:C,FALSE)</f>
        <v>154</v>
      </c>
      <c r="E115" s="103">
        <v>100028532</v>
      </c>
      <c r="F115" s="144" t="str">
        <f>_xlfn.XLOOKUP(E115,'All Products'!D:D,'All Products'!E:E,FALSE)</f>
        <v>15X21X12 RCT BOX W/LID BLK/BLK</v>
      </c>
      <c r="G115" s="103" t="s">
        <v>1564</v>
      </c>
      <c r="H115" s="103" t="s">
        <v>1564</v>
      </c>
      <c r="I115" s="206" t="s">
        <v>1638</v>
      </c>
      <c r="J115" s="103">
        <f>_xlfn.XLOOKUP(E115,'All Products'!D:D,'All Products'!G:G,FALSE)</f>
        <v>48</v>
      </c>
      <c r="K115" s="142">
        <f>_xlfn.XLOOKUP(E115,'All Products'!D:D,'All Products'!H:H,FALSE)</f>
        <v>207.15</v>
      </c>
      <c r="L115" s="173">
        <f>ROUND(K115*Order_Quote!$L$18,2)</f>
        <v>207.15</v>
      </c>
      <c r="M115" s="75"/>
      <c r="N115" s="113"/>
      <c r="O115" s="171">
        <f t="shared" si="10"/>
        <v>0</v>
      </c>
      <c r="Q115" s="360" t="str">
        <f>_xlfn.XLOOKUP(E115,'All Products'!D:D,'All Products'!I:I,FALSE)</f>
        <v>In Stock</v>
      </c>
      <c r="R115" s="206" t="str">
        <f>_xlfn.XLOOKUP(E115,'All Products'!D:D,'All Products'!J:J,FALSE)</f>
        <v>Manufactured</v>
      </c>
      <c r="S115" s="518">
        <f>_xlfn.XLOOKUP(E115,'All Products'!D:D,'All Products'!K:K,FALSE)</f>
        <v>49081803490</v>
      </c>
      <c r="T115" s="518" t="str">
        <f>_xlfn.XLOOKUP(E115,'All Products'!D:D,'All Products'!L:L,FALSE)</f>
        <v>-</v>
      </c>
      <c r="U115" s="518">
        <f>_xlfn.XLOOKUP(E115,'All Products'!D:D,'All Products'!M:M,FALSE)</f>
        <v>50049081803495</v>
      </c>
      <c r="V115" s="455">
        <f>_xlfn.XLOOKUP(E115,'All Products'!D:D,'All Products'!N:N,FALSE)</f>
        <v>12.105</v>
      </c>
    </row>
    <row r="116" spans="1:22" ht="24">
      <c r="A116" s="101" t="str">
        <f>IF(M116&gt;0,COUNT($A$8:A115)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16" s="695"/>
      <c r="C116" s="611"/>
      <c r="D116" s="103" t="str">
        <f>_xlfn.XLOOKUP(E116,'All Products'!D:D,'All Products'!C:C,FALSE)</f>
        <v>151-NMH</v>
      </c>
      <c r="E116" s="103">
        <v>100025786</v>
      </c>
      <c r="F116" s="144" t="str">
        <f>_xlfn.XLOOKUP(E116,'All Products'!D:D,'All Products'!E:E,FALSE)</f>
        <v>15X21X12 RCT BOX W/LID G/G, NMH</v>
      </c>
      <c r="G116" s="103" t="s">
        <v>1637</v>
      </c>
      <c r="H116" s="103" t="s">
        <v>1637</v>
      </c>
      <c r="I116" s="146" t="s">
        <v>1675</v>
      </c>
      <c r="J116" s="103">
        <f>_xlfn.XLOOKUP(E116,'All Products'!D:D,'All Products'!G:G,FALSE)</f>
        <v>48</v>
      </c>
      <c r="K116" s="142">
        <f>_xlfn.XLOOKUP(E116,'All Products'!D:D,'All Products'!H:H,FALSE)</f>
        <v>207.15</v>
      </c>
      <c r="L116" s="173">
        <f>ROUND(K116*Order_Quote!$L$18,2)</f>
        <v>207.15</v>
      </c>
      <c r="M116" s="75"/>
      <c r="N116" s="113"/>
      <c r="O116" s="171">
        <f t="shared" si="10"/>
        <v>0</v>
      </c>
      <c r="Q116" s="360" t="str">
        <f>_xlfn.XLOOKUP(E116,'All Products'!D:D,'All Products'!I:I,FALSE)</f>
        <v>In Stock</v>
      </c>
      <c r="R116" s="206" t="str">
        <f>_xlfn.XLOOKUP(E116,'All Products'!D:D,'All Products'!J:J,FALSE)</f>
        <v>Manufactured</v>
      </c>
      <c r="S116" s="518">
        <f>_xlfn.XLOOKUP(E116,'All Products'!D:D,'All Products'!K:K,FALSE)</f>
        <v>49081807429</v>
      </c>
      <c r="T116" s="518" t="str">
        <f>_xlfn.XLOOKUP(E116,'All Products'!D:D,'All Products'!L:L,FALSE)</f>
        <v>-</v>
      </c>
      <c r="U116" s="518" t="str">
        <f>_xlfn.XLOOKUP(E116,'All Products'!D:D,'All Products'!M:M,FALSE)</f>
        <v>-</v>
      </c>
      <c r="V116" s="455">
        <f>_xlfn.XLOOKUP(E116,'All Products'!D:D,'All Products'!N:N,FALSE)</f>
        <v>13.085000000000001</v>
      </c>
    </row>
    <row r="117" spans="1:22">
      <c r="A117" s="101" t="str">
        <f>IF(M117&gt;0,COUNT($A$8:A116)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17" s="695"/>
      <c r="C117" s="611"/>
      <c r="D117" s="103">
        <f>_xlfn.XLOOKUP(E117,'All Products'!D:D,'All Products'!C:C,FALSE)</f>
        <v>153</v>
      </c>
      <c r="E117" s="103">
        <v>100028531</v>
      </c>
      <c r="F117" s="144" t="str">
        <f>_xlfn.XLOOKUP(E117,'All Products'!D:D,'All Products'!E:E,FALSE)</f>
        <v>15X21X12 RCT BOX W/LID PRP/PRP</v>
      </c>
      <c r="G117" s="103" t="s">
        <v>1576</v>
      </c>
      <c r="H117" s="103" t="s">
        <v>1576</v>
      </c>
      <c r="I117" s="206" t="s">
        <v>1644</v>
      </c>
      <c r="J117" s="103">
        <f>_xlfn.XLOOKUP(E117,'All Products'!D:D,'All Products'!G:G,FALSE)</f>
        <v>48</v>
      </c>
      <c r="K117" s="142">
        <f>_xlfn.XLOOKUP(E117,'All Products'!D:D,'All Products'!H:H,FALSE)</f>
        <v>207.15</v>
      </c>
      <c r="L117" s="173">
        <f>ROUND(K117*Order_Quote!$L$18,2)</f>
        <v>207.15</v>
      </c>
      <c r="M117" s="75"/>
      <c r="N117" s="113"/>
      <c r="O117" s="171">
        <f t="shared" si="10"/>
        <v>0</v>
      </c>
      <c r="Q117" s="360" t="str">
        <f>_xlfn.XLOOKUP(E117,'All Products'!D:D,'All Products'!I:I,FALSE)</f>
        <v>In Stock</v>
      </c>
      <c r="R117" s="206" t="str">
        <f>_xlfn.XLOOKUP(E117,'All Products'!D:D,'All Products'!J:J,FALSE)</f>
        <v>Manufactured</v>
      </c>
      <c r="S117" s="518">
        <f>_xlfn.XLOOKUP(E117,'All Products'!D:D,'All Products'!K:K,FALSE)</f>
        <v>49081803483</v>
      </c>
      <c r="T117" s="518" t="str">
        <f>_xlfn.XLOOKUP(E117,'All Products'!D:D,'All Products'!L:L,FALSE)</f>
        <v>-</v>
      </c>
      <c r="U117" s="518">
        <f>_xlfn.XLOOKUP(E117,'All Products'!D:D,'All Products'!M:M,FALSE)</f>
        <v>50049081803488</v>
      </c>
      <c r="V117" s="455">
        <f>_xlfn.XLOOKUP(E117,'All Products'!D:D,'All Products'!N:N,FALSE)</f>
        <v>12.105</v>
      </c>
    </row>
    <row r="118" spans="1:22">
      <c r="A118" s="101" t="str">
        <f>IF(M118&gt;0,COUNT($A$8:A117)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18" s="695"/>
      <c r="C118" s="611"/>
      <c r="D118" s="103" t="str">
        <f>_xlfn.XLOOKUP(E118,'All Products'!D:D,'All Products'!C:C,FALSE)</f>
        <v>151-E</v>
      </c>
      <c r="E118" s="103">
        <v>100025783</v>
      </c>
      <c r="F118" s="144" t="str">
        <f>_xlfn.XLOOKUP(E118,'All Products'!D:D,'All Products'!E:E,FALSE)</f>
        <v>15X21X12 RCT BOX W/ELECT LID GR</v>
      </c>
      <c r="G118" s="103" t="s">
        <v>1637</v>
      </c>
      <c r="H118" s="103" t="s">
        <v>1637</v>
      </c>
      <c r="I118" s="206" t="s">
        <v>1655</v>
      </c>
      <c r="J118" s="103">
        <f>_xlfn.XLOOKUP(E118,'All Products'!D:D,'All Products'!G:G,FALSE)</f>
        <v>48</v>
      </c>
      <c r="K118" s="142">
        <f>_xlfn.XLOOKUP(E118,'All Products'!D:D,'All Products'!H:H,FALSE)</f>
        <v>207.15</v>
      </c>
      <c r="L118" s="173">
        <f>ROUND(K118*Order_Quote!$L$18,2)</f>
        <v>207.15</v>
      </c>
      <c r="M118" s="75"/>
      <c r="N118" s="113"/>
      <c r="O118" s="171">
        <f t="shared" si="10"/>
        <v>0</v>
      </c>
      <c r="Q118" s="360" t="str">
        <f>_xlfn.XLOOKUP(E118,'All Products'!D:D,'All Products'!I:I,FALSE)</f>
        <v>In Stock</v>
      </c>
      <c r="R118" s="206" t="str">
        <f>_xlfn.XLOOKUP(E118,'All Products'!D:D,'All Products'!J:J,FALSE)</f>
        <v>Manufactured</v>
      </c>
      <c r="S118" s="518">
        <f>_xlfn.XLOOKUP(E118,'All Products'!D:D,'All Products'!K:K,FALSE)</f>
        <v>49081801267</v>
      </c>
      <c r="T118" s="518" t="str">
        <f>_xlfn.XLOOKUP(E118,'All Products'!D:D,'All Products'!L:L,FALSE)</f>
        <v>-</v>
      </c>
      <c r="U118" s="518">
        <f>_xlfn.XLOOKUP(E118,'All Products'!D:D,'All Products'!M:M,FALSE)</f>
        <v>50049081801262</v>
      </c>
      <c r="V118" s="455">
        <f>_xlfn.XLOOKUP(E118,'All Products'!D:D,'All Products'!N:N,FALSE)</f>
        <v>12.105</v>
      </c>
    </row>
    <row r="119" spans="1:22" ht="15" thickBot="1">
      <c r="A119" s="101" t="str">
        <f>IF(M119&gt;0,COUNT($A$8:A118)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19" s="696"/>
      <c r="C119" s="697"/>
      <c r="D119" s="103" t="str">
        <f>_xlfn.XLOOKUP(E119,'All Products'!D:D,'All Products'!C:C,FALSE)</f>
        <v>150-G</v>
      </c>
      <c r="E119" s="138">
        <v>100025773</v>
      </c>
      <c r="F119" s="144" t="str">
        <f>_xlfn.XLOOKUP(E119,'All Products'!D:D,'All Products'!E:E,FALSE)</f>
        <v>15X21X12 RCT BOX W/GAS LID BL/G</v>
      </c>
      <c r="G119" s="138" t="s">
        <v>1564</v>
      </c>
      <c r="H119" s="138" t="s">
        <v>1637</v>
      </c>
      <c r="I119" s="207" t="s">
        <v>1831</v>
      </c>
      <c r="J119" s="103">
        <f>_xlfn.XLOOKUP(E119,'All Products'!D:D,'All Products'!G:G,FALSE)</f>
        <v>48</v>
      </c>
      <c r="K119" s="142">
        <f>_xlfn.XLOOKUP(E119,'All Products'!D:D,'All Products'!H:H,FALSE)</f>
        <v>207.15</v>
      </c>
      <c r="L119" s="181">
        <f>ROUND(K119*Order_Quote!$L$18,2)</f>
        <v>207.15</v>
      </c>
      <c r="M119" s="163"/>
      <c r="N119" s="113"/>
      <c r="O119" s="171">
        <f t="shared" si="10"/>
        <v>0</v>
      </c>
      <c r="Q119" s="360" t="str">
        <f>_xlfn.XLOOKUP(E119,'All Products'!D:D,'All Products'!I:I,FALSE)</f>
        <v>Within 3 Weeks</v>
      </c>
      <c r="R119" s="206" t="str">
        <f>_xlfn.XLOOKUP(E119,'All Products'!D:D,'All Products'!J:J,FALSE)</f>
        <v>Manufactured</v>
      </c>
      <c r="S119" s="518">
        <f>_xlfn.XLOOKUP(E119,'All Products'!D:D,'All Products'!K:K,FALSE)</f>
        <v>49081804374</v>
      </c>
      <c r="T119" s="518" t="str">
        <f>_xlfn.XLOOKUP(E119,'All Products'!D:D,'All Products'!L:L,FALSE)</f>
        <v>-</v>
      </c>
      <c r="U119" s="518" t="str">
        <f>_xlfn.XLOOKUP(E119,'All Products'!D:D,'All Products'!M:M,FALSE)</f>
        <v>-</v>
      </c>
      <c r="V119" s="455">
        <f>_xlfn.XLOOKUP(E119,'All Products'!D:D,'All Products'!N:N,FALSE)</f>
        <v>12.105</v>
      </c>
    </row>
    <row r="120" spans="1:22" ht="16.2" thickBot="1">
      <c r="A120" s="101" t="str">
        <f>IF(M120&gt;0,COUNT($A$8:A119)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20" s="446" t="s">
        <v>5778</v>
      </c>
      <c r="C120" s="151"/>
      <c r="D120" s="151"/>
      <c r="E120" s="151"/>
      <c r="F120" s="450"/>
      <c r="G120" s="151"/>
      <c r="H120" s="151"/>
      <c r="I120" s="151"/>
      <c r="J120" s="151"/>
      <c r="K120" s="192"/>
      <c r="L120" s="192"/>
      <c r="M120" s="358"/>
      <c r="O120" s="545"/>
      <c r="Q120" s="357"/>
      <c r="R120" s="145"/>
      <c r="S120" s="493"/>
      <c r="T120" s="493"/>
      <c r="U120" s="493"/>
      <c r="V120" s="358"/>
    </row>
    <row r="121" spans="1:22">
      <c r="A121" s="101" t="str">
        <f>IF(M121&gt;0,COUNT($A$8:A120)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21" s="694"/>
      <c r="C121" s="683"/>
      <c r="D121" s="103" t="str">
        <f>_xlfn.XLOOKUP(E121,'All Products'!D:D,'All Products'!C:C,FALSE)</f>
        <v>150-X</v>
      </c>
      <c r="E121" s="137">
        <v>100025778</v>
      </c>
      <c r="F121" s="144" t="str">
        <f>_xlfn.XLOOKUP(E121,'All Products'!D:D,'All Products'!E:E,FALSE)</f>
        <v>15X21X6 EXT BOX W/LID BLK/GRN</v>
      </c>
      <c r="G121" s="137" t="s">
        <v>1564</v>
      </c>
      <c r="H121" s="137" t="s">
        <v>1637</v>
      </c>
      <c r="I121" s="204" t="s">
        <v>1638</v>
      </c>
      <c r="J121" s="103">
        <f>_xlfn.XLOOKUP(E121,'All Products'!D:D,'All Products'!G:G,FALSE)</f>
        <v>28</v>
      </c>
      <c r="K121" s="142">
        <f>_xlfn.XLOOKUP(E121,'All Products'!D:D,'All Products'!H:H,FALSE)</f>
        <v>172.07</v>
      </c>
      <c r="L121" s="180">
        <f>ROUND(K121*Order_Quote!$L$18,2)</f>
        <v>172.07</v>
      </c>
      <c r="M121" s="165"/>
      <c r="N121" s="113"/>
      <c r="O121" s="171">
        <f>M121/J121</f>
        <v>0</v>
      </c>
      <c r="Q121" s="360" t="str">
        <f>_xlfn.XLOOKUP(E121,'All Products'!D:D,'All Products'!I:I,FALSE)</f>
        <v>Within 3 Weeks</v>
      </c>
      <c r="R121" s="206" t="str">
        <f>_xlfn.XLOOKUP(E121,'All Products'!D:D,'All Products'!J:J,FALSE)</f>
        <v>Manufactured</v>
      </c>
      <c r="S121" s="518">
        <f>_xlfn.XLOOKUP(E121,'All Products'!D:D,'All Products'!K:K,FALSE)</f>
        <v>49081803995</v>
      </c>
      <c r="T121" s="518" t="str">
        <f>_xlfn.XLOOKUP(E121,'All Products'!D:D,'All Products'!L:L,FALSE)</f>
        <v>-</v>
      </c>
      <c r="U121" s="518">
        <f>_xlfn.XLOOKUP(E121,'All Products'!D:D,'All Products'!M:M,FALSE)</f>
        <v>50049081803990</v>
      </c>
      <c r="V121" s="455">
        <f>_xlfn.XLOOKUP(E121,'All Products'!D:D,'All Products'!N:N,FALSE)</f>
        <v>8.8849999999999998</v>
      </c>
    </row>
    <row r="122" spans="1:22">
      <c r="A122" s="101" t="str">
        <f>IF(M122&gt;0,COUNT($A$8:A121)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22" s="695"/>
      <c r="C122" s="611"/>
      <c r="D122" s="103" t="str">
        <f>_xlfn.XLOOKUP(E122,'All Products'!D:D,'All Products'!C:C,FALSE)</f>
        <v>151-X</v>
      </c>
      <c r="E122" s="103">
        <v>100025790</v>
      </c>
      <c r="F122" s="144" t="str">
        <f>_xlfn.XLOOKUP(E122,'All Products'!D:D,'All Products'!E:E,FALSE)</f>
        <v>15X21X6 EXT BOX W/LID GRN/GRN</v>
      </c>
      <c r="G122" s="103" t="s">
        <v>1637</v>
      </c>
      <c r="H122" s="103" t="s">
        <v>1637</v>
      </c>
      <c r="I122" s="206" t="s">
        <v>1638</v>
      </c>
      <c r="J122" s="103">
        <f>_xlfn.XLOOKUP(E122,'All Products'!D:D,'All Products'!G:G,FALSE)</f>
        <v>28</v>
      </c>
      <c r="K122" s="142">
        <f>_xlfn.XLOOKUP(E122,'All Products'!D:D,'All Products'!H:H,FALSE)</f>
        <v>172.07</v>
      </c>
      <c r="L122" s="173">
        <f>ROUND(K122*Order_Quote!$L$18,2)</f>
        <v>172.07</v>
      </c>
      <c r="M122" s="75"/>
      <c r="N122" s="113"/>
      <c r="O122" s="171">
        <f t="shared" ref="O122:O123" si="11">M122/J122</f>
        <v>0</v>
      </c>
      <c r="Q122" s="360" t="str">
        <f>_xlfn.XLOOKUP(E122,'All Products'!D:D,'All Products'!I:I,FALSE)</f>
        <v>In Stock</v>
      </c>
      <c r="R122" s="206" t="str">
        <f>_xlfn.XLOOKUP(E122,'All Products'!D:D,'All Products'!J:J,FALSE)</f>
        <v>Manufactured</v>
      </c>
      <c r="S122" s="518">
        <f>_xlfn.XLOOKUP(E122,'All Products'!D:D,'All Products'!K:K,FALSE)</f>
        <v>49081804060</v>
      </c>
      <c r="T122" s="518" t="str">
        <f>_xlfn.XLOOKUP(E122,'All Products'!D:D,'All Products'!L:L,FALSE)</f>
        <v>-</v>
      </c>
      <c r="U122" s="518">
        <f>_xlfn.XLOOKUP(E122,'All Products'!D:D,'All Products'!M:M,FALSE)</f>
        <v>50049081804065</v>
      </c>
      <c r="V122" s="455">
        <f>_xlfn.XLOOKUP(E122,'All Products'!D:D,'All Products'!N:N,FALSE)</f>
        <v>8.8849999999999998</v>
      </c>
    </row>
    <row r="123" spans="1:22" ht="15" thickBot="1">
      <c r="A123" s="101" t="str">
        <f>IF(M123&gt;0,COUNT($A$8:A122)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+COUNT(Cements!$A$8:$A$94)+1,"")</f>
        <v/>
      </c>
      <c r="B123" s="696"/>
      <c r="C123" s="697"/>
      <c r="D123" s="138" t="str">
        <f>_xlfn.XLOOKUP(E123,'All Products'!D:D,'All Products'!C:C,FALSE)</f>
        <v>152-X</v>
      </c>
      <c r="E123" s="138">
        <v>100025794</v>
      </c>
      <c r="F123" s="162" t="str">
        <f>_xlfn.XLOOKUP(E123,'All Products'!D:D,'All Products'!E:E,FALSE)</f>
        <v>15X21X6 EXT BOX W/LID TAN/TAN</v>
      </c>
      <c r="G123" s="138" t="s">
        <v>1641</v>
      </c>
      <c r="H123" s="138" t="s">
        <v>1641</v>
      </c>
      <c r="I123" s="207" t="s">
        <v>1638</v>
      </c>
      <c r="J123" s="138">
        <f>_xlfn.XLOOKUP(E123,'All Products'!D:D,'All Products'!G:G,FALSE)</f>
        <v>28</v>
      </c>
      <c r="K123" s="453">
        <f>_xlfn.XLOOKUP(E123,'All Products'!D:D,'All Products'!H:H,FALSE)</f>
        <v>172.07</v>
      </c>
      <c r="L123" s="181">
        <f>ROUND(K123*Order_Quote!$L$18,2)</f>
        <v>172.07</v>
      </c>
      <c r="M123" s="163"/>
      <c r="N123" s="354"/>
      <c r="O123" s="546">
        <f t="shared" si="11"/>
        <v>0</v>
      </c>
      <c r="Q123" s="361" t="str">
        <f>_xlfn.XLOOKUP(E123,'All Products'!D:D,'All Products'!I:I,FALSE)</f>
        <v>Within 3 Weeks</v>
      </c>
      <c r="R123" s="207" t="str">
        <f>_xlfn.XLOOKUP(E123,'All Products'!D:D,'All Products'!J:J,FALSE)</f>
        <v>Manufactured</v>
      </c>
      <c r="S123" s="519">
        <f>_xlfn.XLOOKUP(E123,'All Products'!D:D,'All Products'!K:K,FALSE)</f>
        <v>49081804138</v>
      </c>
      <c r="T123" s="519" t="str">
        <f>_xlfn.XLOOKUP(E123,'All Products'!D:D,'All Products'!L:L,FALSE)</f>
        <v>-</v>
      </c>
      <c r="U123" s="519">
        <f>_xlfn.XLOOKUP(E123,'All Products'!D:D,'All Products'!M:M,FALSE)</f>
        <v>50049081804133</v>
      </c>
      <c r="V123" s="456">
        <f>_xlfn.XLOOKUP(E123,'All Products'!D:D,'All Products'!N:N,FALSE)</f>
        <v>8.8849999999999998</v>
      </c>
    </row>
    <row r="124" spans="1:22">
      <c r="A124" s="101">
        <f>MAX(A9:A123)+1</f>
        <v>1</v>
      </c>
      <c r="B124" s="139"/>
      <c r="C124" s="139"/>
      <c r="D124" s="139"/>
      <c r="E124" s="139"/>
      <c r="F124" s="451"/>
      <c r="G124" s="141"/>
      <c r="H124" s="141"/>
      <c r="I124" s="208"/>
      <c r="J124" s="139"/>
      <c r="K124" s="347"/>
      <c r="L124" s="209"/>
      <c r="M124" s="139"/>
      <c r="N124" s="139"/>
      <c r="O124" s="139"/>
      <c r="Q124" s="208"/>
      <c r="R124" s="208"/>
      <c r="S124" s="520"/>
      <c r="T124" s="520"/>
      <c r="U124" s="520"/>
      <c r="V124" s="139"/>
    </row>
  </sheetData>
  <sheetProtection algorithmName="SHA-512" hashValue="uBga31ZA8xuGNP2DSztNtiDi44J90a+hiJQcahNW8Gc12BSQtqp02L4kaBJt6uvEIyhX8D7oWaldf+Z4VPs8Sg==" saltValue="bH0WlGz0wSbU6zoxt3Fd5g==" spinCount="100000" sheet="1" formatCells="0" formatColumns="0" formatRows="0" insertColumns="0" insertRows="0" insertHyperlinks="0" deleteColumns="0" deleteRows="0" sort="0" autoFilter="0" pivotTables="0"/>
  <mergeCells count="14">
    <mergeCell ref="S6:U6"/>
    <mergeCell ref="B71:C93"/>
    <mergeCell ref="B121:C123"/>
    <mergeCell ref="B108:C110"/>
    <mergeCell ref="B112:C119"/>
    <mergeCell ref="B100:C106"/>
    <mergeCell ref="B95:C98"/>
    <mergeCell ref="B27:C46"/>
    <mergeCell ref="L2:M3"/>
    <mergeCell ref="B9:C18"/>
    <mergeCell ref="B20:C25"/>
    <mergeCell ref="B59:C69"/>
    <mergeCell ref="B48:C53"/>
    <mergeCell ref="B55:C57"/>
  </mergeCells>
  <dataValidations count="4">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N20:N25 N27:N46 N9:N18" xr:uid="{94894809-CE98-48E7-B762-3FDD04EA6987}">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D0239AB6-4962-44DA-931C-3BEEB77E5368}">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N121:N123 N1:N6 N108:N110 N48:N53 N55:N57 N59:N69 N71:N93 N95:N98 N100:N106 N112:N119" xr:uid="{D9AD111E-F5B3-4AAF-9383-C568AEE86AEE}">
      <formula1>1</formula1>
    </dataValidation>
    <dataValidation allowBlank="1" showErrorMessage="1" sqref="M1:M1048576" xr:uid="{35352105-31B5-4B14-A97B-993966D8897C}"/>
  </dataValidations>
  <printOptions horizontalCentered="1"/>
  <pageMargins left="0.7" right="0.7" top="0.75" bottom="0.75" header="0.3" footer="0.3"/>
  <pageSetup scale="61" fitToHeight="0" orientation="portrait" horizontalDpi="4294967292" r:id="rId1"/>
  <headerFooter>
    <oddFooter>&amp;L&amp;8V06032014&amp;CCopyright 2014
All rights reserved
For Tigre-ADS USA customer and rep use only_x000D_&amp;1#&amp;"Aptos"&amp;11&amp;K000000 TIGRE:Internal&amp;R&amp;P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5"/>
    <pageSetUpPr fitToPage="1"/>
  </sheetPr>
  <dimension ref="A1:Q222"/>
  <sheetViews>
    <sheetView zoomScale="85" zoomScaleNormal="85" workbookViewId="0">
      <selection activeCell="G223" sqref="G223"/>
    </sheetView>
  </sheetViews>
  <sheetFormatPr defaultColWidth="0" defaultRowHeight="14.4"/>
  <cols>
    <col min="1" max="1" width="4.88671875" style="17" customWidth="1"/>
    <col min="2" max="2" width="16" style="321" customWidth="1"/>
    <col min="3" max="3" width="13" style="17" customWidth="1"/>
    <col min="4" max="4" width="34.6640625" style="17" bestFit="1" customWidth="1"/>
    <col min="5" max="5" width="34" style="17" customWidth="1"/>
    <col min="6" max="6" width="14.33203125" style="17" bestFit="1" customWidth="1"/>
    <col min="7" max="7" width="9.5546875" style="532" bestFit="1" customWidth="1"/>
    <col min="8" max="8" width="8" style="17" customWidth="1"/>
    <col min="9" max="9" width="1.33203125" style="17" customWidth="1"/>
    <col min="10" max="10" width="25.6640625" style="17" bestFit="1" customWidth="1"/>
    <col min="11" max="11" width="21.6640625" style="17" bestFit="1" customWidth="1"/>
    <col min="12" max="12" width="12.88671875" style="17" customWidth="1"/>
    <col min="13" max="13" width="11.88671875" style="17" customWidth="1"/>
    <col min="14" max="14" width="1.44140625" style="17" customWidth="1"/>
    <col min="15" max="16" width="9.109375" style="17" hidden="1" customWidth="1"/>
    <col min="17" max="17" width="13.44140625" style="17" hidden="1" customWidth="1"/>
    <col min="18" max="16384" width="9.109375" style="17" hidden="1"/>
  </cols>
  <sheetData>
    <row r="1" spans="1:13" ht="16.2" thickBot="1">
      <c r="A1" s="634" t="s">
        <v>0</v>
      </c>
      <c r="B1" s="634"/>
      <c r="C1" s="637"/>
      <c r="D1" s="638"/>
      <c r="E1" s="625" t="s">
        <v>1</v>
      </c>
      <c r="F1" s="625"/>
      <c r="G1" s="625"/>
      <c r="H1" s="625"/>
      <c r="I1" s="282"/>
      <c r="J1" s="283" t="s">
        <v>2</v>
      </c>
      <c r="K1" s="284" t="s">
        <v>3</v>
      </c>
      <c r="L1" s="285" t="s">
        <v>4</v>
      </c>
      <c r="M1" s="286" t="s">
        <v>5</v>
      </c>
    </row>
    <row r="2" spans="1:13">
      <c r="A2" s="287"/>
      <c r="B2" s="288"/>
      <c r="J2" s="289" t="s">
        <v>6</v>
      </c>
      <c r="K2" s="290" t="str">
        <f>IF($L2&gt;0,'DWV PVC'!F4,"-")</f>
        <v>DWV082026</v>
      </c>
      <c r="L2" s="291">
        <v>1</v>
      </c>
      <c r="M2" s="292" t="str">
        <f>Nonstandard!K2</f>
        <v>-</v>
      </c>
    </row>
    <row r="3" spans="1:13" hidden="1">
      <c r="A3" s="287"/>
      <c r="B3" s="288"/>
      <c r="J3" s="293" t="s">
        <v>7</v>
      </c>
      <c r="K3" s="294" t="str">
        <f>IF($L3&gt;0,'DWV ABS'!F4,"-")</f>
        <v>ABSDWV092024</v>
      </c>
      <c r="L3" s="291">
        <v>1</v>
      </c>
      <c r="M3" s="295" t="str">
        <f>Nonstandard!K3</f>
        <v>-</v>
      </c>
    </row>
    <row r="4" spans="1:13">
      <c r="A4" s="634" t="s">
        <v>8</v>
      </c>
      <c r="B4" s="634"/>
      <c r="C4" s="639"/>
      <c r="D4" s="639"/>
      <c r="E4" s="287" t="s">
        <v>9</v>
      </c>
      <c r="F4" s="624"/>
      <c r="G4" s="624"/>
      <c r="H4" s="624"/>
      <c r="J4" s="296" t="s">
        <v>10</v>
      </c>
      <c r="K4" s="297" t="str">
        <f>IF($L4&gt;0,'PVC SCH40'!F4,"-")</f>
        <v>PVCSCH40082026</v>
      </c>
      <c r="L4" s="291">
        <v>1</v>
      </c>
      <c r="M4" s="295" t="str">
        <f>Nonstandard!K4</f>
        <v>-</v>
      </c>
    </row>
    <row r="5" spans="1:13">
      <c r="A5" s="635" t="s">
        <v>11</v>
      </c>
      <c r="B5" s="635"/>
      <c r="C5" s="624" t="s">
        <v>12</v>
      </c>
      <c r="D5" s="624"/>
      <c r="E5" s="299" t="s">
        <v>13</v>
      </c>
      <c r="F5" s="622"/>
      <c r="G5" s="622"/>
      <c r="H5" s="622"/>
      <c r="J5" s="296" t="s">
        <v>14</v>
      </c>
      <c r="K5" s="297" t="str">
        <f>IF($L5&gt;0,'PVC SCH40 LD'!F4,"-")</f>
        <v>LDPVCSCH40082026</v>
      </c>
      <c r="L5" s="291">
        <v>1</v>
      </c>
      <c r="M5" s="295" t="str">
        <f>Nonstandard!K5</f>
        <v>-</v>
      </c>
    </row>
    <row r="6" spans="1:13">
      <c r="A6" s="634" t="s">
        <v>15</v>
      </c>
      <c r="B6" s="634"/>
      <c r="C6" s="640"/>
      <c r="D6" s="640"/>
      <c r="E6" s="287" t="s">
        <v>16</v>
      </c>
      <c r="F6" s="623"/>
      <c r="G6" s="623"/>
      <c r="H6" s="623"/>
      <c r="J6" s="296" t="s">
        <v>17</v>
      </c>
      <c r="K6" s="297" t="str">
        <f>IF($L6&gt;0,'Pool &amp; SPA Sweep Elbows'!F4,"-")</f>
        <v>POOLSWEEPELBOW082026</v>
      </c>
      <c r="L6" s="291">
        <v>1</v>
      </c>
      <c r="M6" s="295" t="str">
        <f>Nonstandard!K6</f>
        <v>-</v>
      </c>
    </row>
    <row r="7" spans="1:13">
      <c r="A7" s="635" t="s">
        <v>18</v>
      </c>
      <c r="B7" s="635"/>
      <c r="C7" s="641"/>
      <c r="D7" s="641"/>
      <c r="E7" s="287" t="s">
        <v>19</v>
      </c>
      <c r="F7" s="623"/>
      <c r="G7" s="623"/>
      <c r="H7" s="623"/>
      <c r="J7" s="296" t="s">
        <v>20</v>
      </c>
      <c r="K7" s="297" t="str">
        <f>IF($L7&gt;0,'Pool &amp; SPA Pipe Extender'!F4,"-")</f>
        <v>POOLPIPEEXT082026</v>
      </c>
      <c r="L7" s="291">
        <v>1</v>
      </c>
      <c r="M7" s="295" t="str">
        <f>Nonstandard!K7</f>
        <v>-</v>
      </c>
    </row>
    <row r="8" spans="1:13">
      <c r="A8" s="636" t="s">
        <v>21</v>
      </c>
      <c r="B8" s="636"/>
      <c r="C8" s="641"/>
      <c r="D8" s="641"/>
      <c r="E8" s="287" t="s">
        <v>22</v>
      </c>
      <c r="F8" s="622"/>
      <c r="G8" s="622"/>
      <c r="H8" s="622"/>
      <c r="J8" s="296" t="s">
        <v>23</v>
      </c>
      <c r="K8" s="297" t="str">
        <f>IF($L8&gt;0,'PVC SCH80'!F4,"-")</f>
        <v>PVCSCH80082026</v>
      </c>
      <c r="L8" s="291">
        <v>1</v>
      </c>
      <c r="M8" s="295" t="str">
        <f>Nonstandard!K8</f>
        <v>-</v>
      </c>
    </row>
    <row r="9" spans="1:13">
      <c r="A9" s="636"/>
      <c r="B9" s="636"/>
      <c r="J9" s="296" t="s">
        <v>24</v>
      </c>
      <c r="K9" s="297" t="str">
        <f>IF($L9&gt;0,'PVC SCH80 Flange'!F4,"-")</f>
        <v>FLANGESSCH80082026</v>
      </c>
      <c r="L9" s="291">
        <v>1</v>
      </c>
      <c r="M9" s="295" t="str">
        <f>Nonstandard!K9</f>
        <v>-</v>
      </c>
    </row>
    <row r="10" spans="1:13">
      <c r="A10" s="184"/>
      <c r="B10" s="184"/>
      <c r="C10" s="20"/>
      <c r="D10" s="20"/>
      <c r="J10" s="296" t="s">
        <v>25</v>
      </c>
      <c r="K10" s="297" t="str">
        <f>IF($L10&gt;0,'PVC SCH80 LD Flange'!F4,"-")</f>
        <v>LDFLANGESSCH80082026</v>
      </c>
      <c r="L10" s="291">
        <v>1</v>
      </c>
      <c r="M10" s="295" t="str">
        <f>Nonstandard!K10</f>
        <v>-</v>
      </c>
    </row>
    <row r="11" spans="1:13">
      <c r="A11" s="634" t="s">
        <v>26</v>
      </c>
      <c r="B11" s="634"/>
      <c r="C11" s="642"/>
      <c r="D11" s="642"/>
      <c r="E11" s="300" t="s">
        <v>27</v>
      </c>
      <c r="F11" s="624"/>
      <c r="G11" s="624"/>
      <c r="H11" s="624"/>
      <c r="J11" s="296" t="s">
        <v>28</v>
      </c>
      <c r="K11" s="297" t="str">
        <f>IF($L11&gt;0,CPVC!F4,"-")</f>
        <v>CPVCCTS082026</v>
      </c>
      <c r="L11" s="291">
        <v>1</v>
      </c>
      <c r="M11" s="295" t="str">
        <f>Nonstandard!K11</f>
        <v>-</v>
      </c>
    </row>
    <row r="12" spans="1:13">
      <c r="A12" s="20"/>
      <c r="B12" s="17"/>
      <c r="C12" s="622"/>
      <c r="D12" s="622"/>
      <c r="F12" s="622"/>
      <c r="G12" s="622"/>
      <c r="H12" s="622"/>
      <c r="J12" s="296" t="s">
        <v>29</v>
      </c>
      <c r="K12" s="297" t="str">
        <f>IF($L12&gt;0,InsertFittings!F4,"-")</f>
        <v>INSERTFITTINGS082026</v>
      </c>
      <c r="L12" s="291">
        <v>1</v>
      </c>
      <c r="M12" s="295" t="str">
        <f>Nonstandard!K12</f>
        <v>-</v>
      </c>
    </row>
    <row r="13" spans="1:13">
      <c r="A13" s="20"/>
      <c r="B13" s="17"/>
      <c r="C13" s="622"/>
      <c r="D13" s="622"/>
      <c r="F13" s="622"/>
      <c r="G13" s="622"/>
      <c r="H13" s="622"/>
      <c r="J13" s="296" t="s">
        <v>30</v>
      </c>
      <c r="K13" s="297" t="str">
        <f>IF($L13&gt;0,Valves!F4,"-")</f>
        <v>VALVES082026</v>
      </c>
      <c r="L13" s="291">
        <v>1</v>
      </c>
      <c r="M13" s="295" t="str">
        <f>Nonstandard!K13</f>
        <v>-</v>
      </c>
    </row>
    <row r="14" spans="1:13">
      <c r="A14" s="301"/>
      <c r="B14" s="301"/>
      <c r="C14" s="301"/>
      <c r="J14" s="296" t="s">
        <v>31</v>
      </c>
      <c r="K14" s="297" t="str">
        <f>IF($L14&gt;0,SDR35SW!F4,"-")</f>
        <v>SDR35SW082026</v>
      </c>
      <c r="L14" s="291">
        <v>1</v>
      </c>
      <c r="M14" s="295" t="str">
        <f>Nonstandard!K14</f>
        <v>-</v>
      </c>
    </row>
    <row r="15" spans="1:13">
      <c r="A15" s="301"/>
      <c r="B15" s="301"/>
      <c r="C15" s="301"/>
      <c r="J15" s="296" t="s">
        <v>32</v>
      </c>
      <c r="K15" s="297" t="str">
        <f>IF($L15&gt;0,SDR35G!F4,"-")</f>
        <v>SDR35G082026</v>
      </c>
      <c r="L15" s="291">
        <v>1</v>
      </c>
      <c r="M15" s="295" t="str">
        <f>Nonstandard!K15</f>
        <v>-</v>
      </c>
    </row>
    <row r="16" spans="1:13">
      <c r="A16" s="301"/>
      <c r="B16" s="301"/>
      <c r="C16" s="301"/>
      <c r="J16" s="296" t="s">
        <v>33</v>
      </c>
      <c r="K16" s="297" t="str">
        <f>IF($L16&gt;0,SDR26G!G4,"-")</f>
        <v>SDR26G082026</v>
      </c>
      <c r="L16" s="291">
        <v>1</v>
      </c>
      <c r="M16" s="295" t="str">
        <f>Nonstandard!K16</f>
        <v>-</v>
      </c>
    </row>
    <row r="17" spans="1:14">
      <c r="A17" s="301"/>
      <c r="B17" s="301"/>
      <c r="C17" s="301"/>
      <c r="J17" s="296" t="s">
        <v>34</v>
      </c>
      <c r="K17" s="297" t="str">
        <f>IF($L17&gt;0,Cements!F4,"-")</f>
        <v>CEMENTS082026</v>
      </c>
      <c r="L17" s="291">
        <v>1</v>
      </c>
      <c r="M17" s="295" t="str">
        <f>Nonstandard!K17</f>
        <v>-</v>
      </c>
    </row>
    <row r="18" spans="1:14">
      <c r="A18" s="301"/>
      <c r="B18" s="301"/>
      <c r="C18" s="301"/>
      <c r="J18" s="296" t="s">
        <v>35</v>
      </c>
      <c r="K18" s="297" t="str">
        <f>IF($L18&gt;0,ValveBox!F4,"-")</f>
        <v>VALVEBOX082026</v>
      </c>
      <c r="L18" s="291">
        <v>1</v>
      </c>
      <c r="M18" s="295" t="str">
        <f>Nonstandard!K18</f>
        <v>-</v>
      </c>
    </row>
    <row r="19" spans="1:14">
      <c r="A19" s="301"/>
      <c r="B19" s="301"/>
      <c r="C19" s="301"/>
      <c r="J19" s="296" t="s">
        <v>36</v>
      </c>
      <c r="K19" s="297" t="str">
        <f>IF($L19&gt;0,'ValveBox Components'!F4,"-")</f>
        <v>VALVEBOXCOMP082026</v>
      </c>
      <c r="L19" s="291">
        <v>1</v>
      </c>
      <c r="M19" s="295" t="str">
        <f>Nonstandard!K19</f>
        <v>-</v>
      </c>
    </row>
    <row r="20" spans="1:14">
      <c r="A20" s="301"/>
      <c r="B20" s="301"/>
      <c r="C20" s="301"/>
      <c r="J20" s="296" t="s">
        <v>37</v>
      </c>
      <c r="K20" s="297" t="str">
        <f>IF($L20&gt;0,Drainage!F4,"-")</f>
        <v>DRAINAGE082026</v>
      </c>
      <c r="L20" s="291">
        <v>1</v>
      </c>
      <c r="M20" s="295" t="str">
        <f>Nonstandard!K20</f>
        <v>-</v>
      </c>
    </row>
    <row r="21" spans="1:14">
      <c r="A21" s="301"/>
      <c r="B21" s="301"/>
      <c r="C21" s="301"/>
      <c r="J21" s="296" t="s">
        <v>38</v>
      </c>
      <c r="K21" s="297" t="str">
        <f>IF($L21&gt;0,Nipples!F4,"-")</f>
        <v>NIPPLES082026</v>
      </c>
      <c r="L21" s="291">
        <v>1</v>
      </c>
      <c r="M21" s="295" t="str">
        <f>Nonstandard!K21</f>
        <v>-</v>
      </c>
    </row>
    <row r="22" spans="1:14">
      <c r="A22" s="301"/>
      <c r="B22" s="301"/>
      <c r="C22" s="301"/>
      <c r="J22" s="302" t="s">
        <v>39</v>
      </c>
      <c r="K22" s="297" t="str">
        <f>IF($L22&gt;0,Manifold!F4,"-")</f>
        <v>MANIFOLD082026</v>
      </c>
      <c r="L22" s="291">
        <v>1</v>
      </c>
      <c r="M22" s="295" t="str">
        <f>Nonstandard!K22</f>
        <v>-</v>
      </c>
    </row>
    <row r="23" spans="1:14">
      <c r="A23" s="301"/>
      <c r="B23" s="301"/>
      <c r="C23" s="301"/>
      <c r="J23" s="302" t="s">
        <v>40</v>
      </c>
      <c r="K23" s="297" t="str">
        <f>IF($L23&gt;0,FlexibleRepairCouplings!F4,"-")</f>
        <v>FRC082026</v>
      </c>
      <c r="L23" s="291">
        <v>1</v>
      </c>
      <c r="M23" s="295" t="str">
        <f>Nonstandard!K23</f>
        <v>-</v>
      </c>
    </row>
    <row r="24" spans="1:14">
      <c r="A24" s="301"/>
      <c r="B24" s="301"/>
      <c r="C24" s="301"/>
      <c r="J24" s="302" t="s">
        <v>41</v>
      </c>
      <c r="K24" s="297" t="str">
        <f>IF($L24&gt;0,DuraFix!F4,"-")</f>
        <v>DF082026</v>
      </c>
      <c r="L24" s="291">
        <v>1</v>
      </c>
      <c r="M24" s="295" t="str">
        <f>Nonstandard!K24</f>
        <v>-</v>
      </c>
    </row>
    <row r="25" spans="1:14">
      <c r="A25" s="301"/>
      <c r="B25" s="301"/>
      <c r="C25" s="301"/>
      <c r="J25" s="302" t="s">
        <v>42</v>
      </c>
      <c r="K25" s="297" t="str">
        <f>IF($L25&gt;0,'Compression Fittings'!F4,"-")</f>
        <v>COMPFIT082026</v>
      </c>
      <c r="L25" s="291">
        <v>1</v>
      </c>
      <c r="M25" s="295" t="str">
        <f>Nonstandard!K25</f>
        <v>-</v>
      </c>
    </row>
    <row r="26" spans="1:14">
      <c r="A26" s="301"/>
      <c r="B26" s="301"/>
      <c r="C26" s="301"/>
      <c r="J26" s="302" t="s">
        <v>43</v>
      </c>
      <c r="K26" s="297" t="str">
        <f>IF($L26&gt;0,'Hose Fittings'!F4,"-")</f>
        <v>HOSEFIT082026</v>
      </c>
      <c r="L26" s="291">
        <v>1</v>
      </c>
      <c r="M26" s="298" t="str">
        <f>Nonstandard!K26</f>
        <v>-</v>
      </c>
    </row>
    <row r="27" spans="1:14">
      <c r="A27" s="301"/>
      <c r="B27" s="301"/>
      <c r="C27" s="301"/>
      <c r="J27" s="302" t="s">
        <v>44</v>
      </c>
      <c r="K27" s="297" t="str">
        <f>IF($L27&gt;0,'Swing Joints'!F4,"-")</f>
        <v>SJ082026</v>
      </c>
      <c r="L27" s="291">
        <v>1</v>
      </c>
      <c r="M27" s="298" t="str">
        <f>Nonstandard!K27</f>
        <v>-</v>
      </c>
    </row>
    <row r="28" spans="1:14" ht="15" thickBot="1">
      <c r="A28" s="301"/>
      <c r="B28" s="301"/>
      <c r="C28" s="301"/>
      <c r="I28" s="306"/>
      <c r="J28" s="303" t="s">
        <v>45</v>
      </c>
      <c r="K28" s="304" t="str">
        <f>IF($L28&gt;0,'Swing Joints Components'!F4,"-")</f>
        <v>SJC082026</v>
      </c>
      <c r="L28" s="594">
        <v>1</v>
      </c>
      <c r="M28" s="305" t="str">
        <f>Nonstandard!K28</f>
        <v>-</v>
      </c>
    </row>
    <row r="29" spans="1:14" ht="15" thickBot="1">
      <c r="A29" s="301"/>
      <c r="B29" s="301"/>
      <c r="C29" s="301"/>
      <c r="I29" s="306"/>
      <c r="K29" s="306"/>
      <c r="L29" s="307"/>
      <c r="M29" s="308"/>
    </row>
    <row r="30" spans="1:14" ht="16.2" thickBot="1">
      <c r="B30" s="309"/>
      <c r="C30" s="309"/>
      <c r="D30" s="287" t="s">
        <v>46</v>
      </c>
      <c r="E30" s="627"/>
      <c r="F30" s="627"/>
      <c r="K30" s="310" t="s">
        <v>47</v>
      </c>
      <c r="L30" s="628">
        <f>L222</f>
        <v>0</v>
      </c>
      <c r="M30" s="629"/>
    </row>
    <row r="31" spans="1:14" s="45" customFormat="1" ht="33.75" customHeight="1">
      <c r="A31" s="309"/>
      <c r="B31" s="17"/>
      <c r="C31" s="17"/>
      <c r="D31" s="17"/>
      <c r="E31" s="17"/>
      <c r="F31" s="17"/>
      <c r="G31" s="532"/>
      <c r="H31" s="309"/>
      <c r="I31" s="311"/>
      <c r="J31" s="311"/>
      <c r="K31" s="17"/>
      <c r="L31" s="17"/>
      <c r="M31" s="17"/>
      <c r="N31" s="17"/>
    </row>
    <row r="32" spans="1:14" ht="30.75" customHeight="1" thickBot="1">
      <c r="A32" s="42"/>
      <c r="B32" s="42" t="s">
        <v>48</v>
      </c>
      <c r="C32" s="42" t="s">
        <v>49</v>
      </c>
      <c r="D32" s="630" t="s">
        <v>50</v>
      </c>
      <c r="E32" s="631"/>
      <c r="F32" s="41" t="s">
        <v>51</v>
      </c>
      <c r="G32" s="40" t="s">
        <v>52</v>
      </c>
      <c r="H32" s="632" t="s">
        <v>53</v>
      </c>
      <c r="I32" s="633"/>
      <c r="J32" s="40" t="s">
        <v>54</v>
      </c>
      <c r="K32" s="41" t="s">
        <v>55</v>
      </c>
      <c r="L32" s="41" t="s">
        <v>56</v>
      </c>
      <c r="M32" s="41" t="s">
        <v>57</v>
      </c>
      <c r="N32" s="45"/>
    </row>
    <row r="33" spans="1:13" ht="16.2" thickTop="1">
      <c r="A33" s="312">
        <v>1</v>
      </c>
      <c r="B33" s="312" t="str">
        <f>IFERROR(IF($A33&lt;'DWV PVC'!$A$317,VLOOKUP($A33,'DWV PVC'!$A$9:$M$316,4,FALSE),
IF($A33&lt;'DWV ABS'!$A$117,VLOOKUP($A33,'DWV ABS'!$A$8:$M$116,4,FALSE),
IF($A33&lt;'PVC SCH40'!$A$425,VLOOKUP($A33,'PVC SCH40'!$A$8:$M$424,4,FALSE),
IF($A33&lt;'PVC SCH40 LD'!$A$22,VLOOKUP($A33,'PVC SCH40 LD'!$A$8:$M$21,4,FALSE),
IF($A33&lt;'Pool &amp; SPA Sweep Elbows'!$A$12,VLOOKUP($A33,'Pool &amp; SPA Sweep Elbows'!$A$8:$M$11,4,FALSE),
IF($A33&lt;'Pool &amp; SPA Pipe Extender'!$A$11,VLOOKUP($A33,'Pool &amp; SPA Pipe Extender'!$A$8:$M$10,4,FALSE),
IF($A33&lt;'PVC SCH80'!$A$250,VLOOKUP($A33,'PVC SCH80'!$A$8:$M$249,4,FALSE),
IF($A33&lt;'PVC SCH80 Flange'!$A$49,VLOOKUP($A33,'PVC SCH80 Flange'!$A$8:$M$48,4,FALSE),
IF($A33&lt;'PVC SCH80 LD Flange'!$A$17,VLOOKUP($A33,'PVC SCH80 LD Flange'!$A$8:$M$16,4,FALSE),
IF($A33&lt;CPVC!$A$105,VLOOKUP($A33,CPVC!$A$9:$M$104,4,FALSE),
IF($A33&lt;InsertFittings!$A$185,VLOOKUP($A33,InsertFittings!$A$9:$M$184,4,FALSE),
IF($A33&lt;Valves!$A$92,VLOOKUP($A33,Valves!$A$9:$Q$91,4,FALSE),
IF($A33&lt;SDR35SW!$A$133,VLOOKUP($A33,SDR35SW!$A$9:$M$132,4,FALSE),
IF($A33&lt;SDR35G!$A$151,VLOOKUP($A33,SDR35G!$A$9:$M$150,4,FALSE),
IF($A33&lt;SDR26G!$A$67,VLOOKUP($A33,SDR26G!$A$9:$N$66,5,FALSE),
IF($A33&lt;Cements!$A$95,VLOOKUP($A33,Cements!$A$8:$Q$94,4,FALSE),
IF($A33&lt;ValveBox!$A$124,VLOOKUP($A33,ValveBox!$A$9:$O$123,4,FALSE),
IF($A33&lt;'ValveBox Components'!$A$142,VLOOKUP($A33,'ValveBox Components'!$A$9:$N$141,4,FALSE),
IF($A33&lt;Drainage!$A$69,VLOOKUP($A33,Drainage!$A$8:$M$68,4,FALSE),
IF($A33&lt;Nipples!$A$82,VLOOKUP($A33,Nipples!$A$9:$Q$81,4,FALSE),
IF($A33&lt;Manifold!$A$33,VLOOKUP($A33,Manifold!$A$9:$M$32,4,FALSE),
IF($A33&lt;FlexibleRepairCouplings!$A$12,VLOOKUP($A33,FlexibleRepairCouplings!$A$9:$M$11,4,FALSE),
IF($A33&lt;DuraFix!$A$15,VLOOKUP($A33,DuraFix!$A$9:$M$14,4,FALSE),
IF($A33&lt;'Compression Fittings'!$A$16,VLOOKUP($A33,'Compression Fittings'!$A$8:$M$15,4,FALSE),
IF($A33&lt;'Hose Fittings'!$A$30,VLOOKUP($A33,'Hose Fittings'!$A$8:$M$29,4,FALSE),
IF($A33&lt;'Swing Joints'!$A$495,VLOOKUP($A33,'Swing Joints'!$A$9:$M$494,4,FALSE),
IF($A33&lt;'Swing Joints Components'!$A$135,VLOOKUP($A33,'Swing Joints Components'!$A$9:$M$134,4,FALSE),
IF($A33&lt;Nonstandard!$A$42,VLOOKUP($A33,Nonstandard!$A$31:$J$41,5,FALSE),"")))))))))))))))))))))))))))),"")</f>
        <v/>
      </c>
      <c r="C33" s="312" t="str">
        <f>IFERROR(IF($A33&lt;'DWV PVC'!$A$317,VLOOKUP($A33,'DWV PVC'!$A$9:$M$316,5,FALSE),
IF($A33&lt;'DWV ABS'!$A$117,VLOOKUP($A33,'DWV ABS'!$A$8:$M$116,5,FALSE),
IF($A33&lt;'PVC SCH40'!$A$425,VLOOKUP($A33,'PVC SCH40'!$A$8:$M$424,5,FALSE),
IF($A33&lt;'PVC SCH40 LD'!$A$22,VLOOKUP($A33,'PVC SCH40 LD'!$A$8:$M$21,5,FALSE),
IF($A33&lt;'Pool &amp; SPA Sweep Elbows'!$A$12,VLOOKUP($A33,'Pool &amp; SPA Sweep Elbows'!$A$8:$M$11,5,FALSE),
IF($A33&lt;'Pool &amp; SPA Pipe Extender'!$A$11,VLOOKUP($A33,'Pool &amp; SPA Pipe Extender'!$A$8:$M$10,5,FALSE),
IF($A33&lt;'PVC SCH80'!$A$250,VLOOKUP($A33,'PVC SCH80'!$A$8:$M$249,5,FALSE),
IF($A33&lt;'PVC SCH80 Flange'!$A$49,VLOOKUP($A33,'PVC SCH80 Flange'!$A$8:$M$48,5,FALSE),
IF($A33&lt;'PVC SCH80 LD Flange'!$A$17,VLOOKUP($A33,'PVC SCH80 LD Flange'!$A$8:$M$16,5,FALSE),
IF($A33&lt;CPVC!$A$105,VLOOKUP($A33,CPVC!$A$9:$M$104,5,FALSE),
IF($A33&lt;InsertFittings!$A$185,VLOOKUP($A33,InsertFittings!$A$9:$M$184,5,FALSE),
IF($A33&lt;Valves!$A$92,VLOOKUP($A33,Valves!$A$9:$Q$91,5,FALSE),
IF($A33&lt;SDR35SW!$A$133,VLOOKUP($A33,SDR35SW!$A$9:$M$132,5,FALSE),
IF($A33&lt;SDR35G!$A$151,VLOOKUP($A33,SDR35G!$A$9:$M$150,5,FALSE),
IF($A33&lt;SDR26G!$A$67,VLOOKUP($A33,SDR26G!$A$9:$N$66,6,FALSE),
IF($A33&lt;Cements!$A$95,VLOOKUP($A33,Cements!$A$8:$Q$94,5,FALSE),
IF($A33&lt;ValveBox!$A$124,VLOOKUP($A33,ValveBox!$A$9:$O$123,5,FALSE),
IF($A33&lt;'ValveBox Components'!$A$142,VLOOKUP($A33,'ValveBox Components'!$A$9:$N$141,5,FALSE),
IF($A33&lt;Drainage!$A$69,VLOOKUP($A33,Drainage!$A$8:$M$68,5,FALSE),
IF($A33&lt;Nipples!$A$82,VLOOKUP($A33,Nipples!$A$9:$Q$81,5,FALSE),
IF($A33&lt;Manifold!$A$33,VLOOKUP($A33,Manifold!$A$9:$M$32,5,FALSE),
IF($A33&lt;FlexibleRepairCouplings!$A$12,VLOOKUP($A33,FlexibleRepairCouplings!$A$9:$M$11,5,FALSE),
IF($A33&lt;DuraFix!$A$15,VLOOKUP($A33,DuraFix!$A$9:$M$14,5,FALSE),
IF($A33&lt;'Compression Fittings'!$A$16,VLOOKUP($A33,'Compression Fittings'!$A$8:$M$15,5,FALSE),
IF($A33&lt;'Hose Fittings'!$A$30,VLOOKUP($A33,'Hose Fittings'!$A$8:$M$29,5,FALSE),
IF($A33&lt;'Swing Joints'!$A$495,VLOOKUP($A33,'Swing Joints'!$A$9:$M$494,5,FALSE),
IF($A33&lt;'Swing Joints Components'!$A$135,VLOOKUP($A33,'Swing Joints Components'!$A$9:$M$134,5,FALSE),
IF($A33&lt;Nonstandard!$A$42,VLOOKUP($A33,Nonstandard!$A$31:$J$41,6,FALSE),"")))))))))))))))))))))))))))),"")</f>
        <v/>
      </c>
      <c r="D33" s="534" t="str">
        <f>IFERROR(IF($A33&lt;'DWV PVC'!$A$317,VLOOKUP($A33,'DWV PVC'!$A$9:$M$316,6,FALSE),
IF($A33&lt;'DWV ABS'!$A$117,VLOOKUP($A33,'DWV ABS'!$A$8:$M$116,6,FALSE),
IF($A33&lt;'PVC SCH40'!$A$425,VLOOKUP($A33,'PVC SCH40'!$A$8:$M$424,6,FALSE),
IF($A33&lt;'PVC SCH40 LD'!$A$22,VLOOKUP($A33,'PVC SCH40 LD'!$A$8:$M$21,6,FALSE),
IF($A33&lt;'Pool &amp; SPA Sweep Elbows'!$A$12,VLOOKUP($A33,'Pool &amp; SPA Sweep Elbows'!$A$8:$M$11,6,FALSE),
IF($A33&lt;'Pool &amp; SPA Pipe Extender'!$A$11,VLOOKUP($A33,'Pool &amp; SPA Pipe Extender'!$A$8:$M$10,6,FALSE),
IF($A33&lt;'PVC SCH80'!$A$250,VLOOKUP($A33,'PVC SCH80'!$A$8:$M$249,6,FALSE),
IF($A33&lt;'PVC SCH80 Flange'!$A$49,VLOOKUP($A33,'PVC SCH80 Flange'!$A$8:$M$48,6,FALSE),
IF($A33&lt;'PVC SCH80 LD Flange'!$A$17,VLOOKUP($A33,'PVC SCH80 LD Flange'!$A$8:$M$16,6,FALSE),
IF($A33&lt;CPVC!$A$105,VLOOKUP($A33,CPVC!$A$9:$M$104,6,FALSE),
IF($A33&lt;InsertFittings!$A$185,VLOOKUP($A33,InsertFittings!$A$9:$M$184,6,FALSE),
IF($A33&lt;Valves!$A$92,VLOOKUP($A33,Valves!$A$9:$Q$91,6,FALSE),
IF($A33&lt;SDR35SW!$A$133,VLOOKUP($A33,SDR35SW!$A$9:$M$132,6,FALSE),
IF($A33&lt;SDR35G!$A$151,VLOOKUP($A33,SDR35G!$A$9:$M$150,6,FALSE),
IF($A33&lt;SDR26G!$A$67,VLOOKUP($A33,SDR26G!$A$9:$N$66,7,FALSE),
IF($A33&lt;Cements!$A$95,VLOOKUP($A33,Cements!$A$8:$Q$94,6,FALSE),
IF($A33&lt;ValveBox!$A$124,VLOOKUP($A33,ValveBox!$A$9:$O$123,6,FALSE),
IF($A33&lt;'ValveBox Components'!$A$142,VLOOKUP($A33,'ValveBox Components'!$A$9:$N$141,6,FALSE),
IF($A33&lt;Drainage!$A$69,VLOOKUP($A33,Drainage!$A$8:$M$68,6,FALSE),
IF($A33&lt;Nipples!$A$82,VLOOKUP($A33,Nipples!$A$9:$Q$81,6,FALSE),
IF($A33&lt;Manifold!$A$33,VLOOKUP($A33,Manifold!$A$9:$M$32,6,FALSE),
IF($A33&lt;FlexibleRepairCouplings!$A$12,VLOOKUP($A33,FlexibleRepairCouplings!$A$9:$M$11,6,FALSE),
IF($A33&lt;DuraFix!$A$15,VLOOKUP($A33,DuraFix!$A$9:$M$14,6,FALSE),
IF($A33&lt;'Compression Fittings'!$A$16,VLOOKUP($A33,'Compression Fittings'!$A$8:$M$15,6,FALSE),
IF($A33&lt;'Hose Fittings'!$A$30,VLOOKUP($A33,'Hose Fittings'!$A$8:$M$29,6,FALSE),
IF($A33&lt;'Swing Joints'!$A$495,VLOOKUP($A33,'Swing Joints'!$A$9:$M$494,6,FALSE),
IF($A33&lt;'Swing Joints Components'!$A$135,VLOOKUP($A33,'Swing Joints Components'!$A$9:$M$134,6,FALSE),
IF($A33&lt;Nonstandard!$A$42,VLOOKUP($A33,Nonstandard!$A$31:$J$41,7,FALSE),"")))))))))))))))))))))))))))),"")</f>
        <v/>
      </c>
      <c r="E33" s="322"/>
      <c r="F33" s="314" t="str">
        <f>IFERROR(IF($A33&lt;'DWV PVC'!$A$317,VLOOKUP($A33,'DWV PVC'!$A$9:$M$316,9,FALSE),
IF($A33&lt;'DWV ABS'!$A$117,VLOOKUP($A33,'DWV ABS'!$A$8:$M$116,9,FALSE),                                                                                                                                                                                                                                                     IF($A33&lt;'PVC SCH40'!$A$425,VLOOKUP($A33,'PVC SCH40'!$A$8:$M$424,9,FALSE),
IF($A33&lt;'PVC SCH40 LD'!$A$22,VLOOKUP($A33,'PVC SCH40 LD'!$A$8:$M$21,9,FALSE),
IF($A33&lt;'Pool &amp; SPA Sweep Elbows'!$A$12,VLOOKUP($A33,'Pool &amp; SPA Sweep Elbows'!$A$8:$M$11,9,FALSE),
IF($A33&lt;'Pool &amp; SPA Pipe Extender'!$A$11,VLOOKUP($A33,'Pool &amp; SPA Pipe Extender'!$A$8:$M$10,9,FALSE),
IF($A33&lt;'PVC SCH80'!$A$250,VLOOKUP($A33,'PVC SCH80'!$A$8:$M$249,9,FALSE),
IF($A33&lt;'PVC SCH80 Flange'!$A$49,VLOOKUP($A33,'PVC SCH80 Flange'!$A$8:$M$48,9,FALSE),
IF($A33&lt;'PVC SCH80 LD Flange'!$A$17,VLOOKUP($A33,'PVC SCH80 LD Flange'!$A$8:$M$16,9,FALSE),
IF($A33&lt;CPVC!$A$105,VLOOKUP($A33,CPVC!$A$9:$M$104,9,FALSE),
IF($A33&lt;InsertFittings!$A$185,VLOOKUP($A33,InsertFittings!$A$9:$M$184,9,FALSE),
IF($A33&lt;Valves!$A$92,VLOOKUP($A33,Valves!$A$9:$Q$91,13,FALSE),
IF($A33&lt;SDR35SW!$A$133,VLOOKUP($A33,SDR35SW!$A$9:$M$132,9,FALSE),
IF($A33&lt;SDR35G!$A$151,VLOOKUP($A33,SDR35G!$A$9:$M$150,9,FALSE),                                                                                                                                                                                                                                                          IF($A33&lt;SDR26G!$A$67,VLOOKUP($A33,SDR26G!$A$9:$N$66,10,FALSE),                                                                                                                                                                                                                                                       IF($A33&lt;Cements!$A$95,VLOOKUP($A33,Cements!$A$8:$Q$94,13,FALSE),
IF($A33&lt;ValveBox!$A$124,VLOOKUP($A33,ValveBox!$A$9:$O$123,11,FALSE),
IF($A33&lt;'ValveBox Components'!$A$142,VLOOKUP($A33,'ValveBox Components'!$A$9:$N$141,10,FALSE),
IF($A33&lt;Drainage!$A$69,VLOOKUP($A33,Drainage!$A$8:$M$68,9,FALSE),                                                                                                                                                                                                                                                              IF($A33&lt;Nipples!$A$82,VLOOKUP($A33,Nipples!$A$9:$Q$81,13,FALSE),
IF($A33&lt;Manifold!$A$33,VLOOKUP($A33,Manifold!$A$9:$M$32,9,FALSE),
IF($A33&lt;FlexibleRepairCouplings!$A$12,VLOOKUP($A33,FlexibleRepairCouplings!$A$9:$M$11,9,FALSE),
IF($A33&lt;DuraFix!$A$15,VLOOKUP($A33,DuraFix!$A$9:$M$14,9,FALSE),                                                                                                                                                                                                                                                          IF($A33&lt;'Compression Fittings'!$A$16,VLOOKUP($A33,'Compression Fittings'!$A$8:$M$15,9,FALSE),
IF($A33&lt;'Hose Fittings'!$A$30,VLOOKUP($A33,'Hose Fittings'!$A$8:$M$29,9,FALSE),
IF($A33&lt;'Swing Joints'!$A$495,VLOOKUP($A33,'Swing Joints'!$A$9:$M$494,9,FALSE),
IF($A33&lt;'Swing Joints Components'!$A$135,VLOOKUP($A33,'Swing Joints Components'!$A$9:$M$134,9,FALSE),
IF($A33&lt;Nonstandard!$A$42,VLOOKUP($A33,Nonstandard!$A$31:$J$41,8,FALSE),"")))))))))))))))))))))))))))),"")</f>
        <v/>
      </c>
      <c r="G33" s="533" t="str">
        <f>IFERROR(IF($A33&lt;'DWV PVC'!$A$317,VLOOKUP($A33,'DWV PVC'!$A$9:$M$316,11,FALSE),
IF($A33&lt;'DWV ABS'!$A$117,VLOOKUP($A33,'DWV ABS'!$A$8:$M$116,11,FALSE),                                                                                                                                                                                                                                                     IF($A33&lt;'PVC SCH40'!$A$425,VLOOKUP($A33,'PVC SCH40'!$A$8:$M$424,11,FALSE),
IF($A33&lt;'PVC SCH40 LD'!$A$22,VLOOKUP($A33,'PVC SCH40 LD'!$A$8:$M$21,11,FALSE),
IF($A33&lt;'Pool &amp; SPA Sweep Elbows'!$A$12,VLOOKUP($A33,'Pool &amp; SPA Sweep Elbows'!$A$8:$M$11,11,FALSE),
IF($A33&lt;'Pool &amp; SPA Pipe Extender'!$A$11,VLOOKUP($A33,'Pool &amp; SPA Pipe Extender'!$A$8:$M$10,11,FALSE),
IF($A33&lt;'PVC SCH80'!$A$250,VLOOKUP($A33,'PVC SCH80'!$A$8:$M$249,11,FALSE),
IF($A33&lt;'PVC SCH80 Flange'!$A$49,VLOOKUP($A33,'PVC SCH80 Flange'!$A$8:$M$48,11,FALSE),
IF($A33&lt;'PVC SCH80 LD Flange'!$A$17,VLOOKUP($A33,'PVC SCH80 LD Flange'!$A$8:$M$16,11,FALSE),
IF($A33&lt;CPVC!$A$105,VLOOKUP($A33,CPVC!$A$9:$M$104,11,FALSE),
IF($A33&lt;InsertFittings!$A$185,VLOOKUP($A33,InsertFittings!$A$9:$M$184,11,FALSE),
IF($A33&lt;Valves!$A$92,VLOOKUP($A33,Valves!$A$9:$Q$91,15,FALSE),
IF($A33&lt;SDR35SW!$A$133,VLOOKUP($A33,SDR35SW!$A$9:$M$132,11,FALSE),
IF($A33&lt;SDR35G!$A$151,VLOOKUP($A33,SDR35G!$A$9:$M$150,11,FALSE),                                                                                                                                                                                                                                                          IF($A33&lt;SDR26G!$A$67,VLOOKUP($A33,SDR26G!$A$9:$N$66,12,FALSE),                                                                                                                                                                                                                                                       IF($A33&lt;Cements!$A$95,VLOOKUP($A33,Cements!$A$8:$Q$94,15,FALSE),
IF($A33&lt;ValveBox!$A$124,VLOOKUP($A33,ValveBox!$A$9:$O$123,13,FALSE),
IF($A33&lt;'ValveBox Components'!$A$142,VLOOKUP($A33,'ValveBox Components'!$A$9:$N$141,12,FALSE),
IF($A33&lt;Drainage!$A$69,VLOOKUP($A33,Drainage!$A$8:$M$68,11,FALSE),                                                                                                                                                                                                                                                           IF($A33&lt;Nipples!$A$82,VLOOKUP($A33,Nipples!$A$9:$Q$81,15,FALSE),
IF($A33&lt;Manifold!$A$33,VLOOKUP($A33,Manifold!$A$9:$M$32,11,FALSE),
IF($A33&lt;FlexibleRepairCouplings!$A$12,VLOOKUP($A33,FlexibleRepairCouplings!$A$9:$M$11,11,FALSE),
IF($A33&lt;DuraFix!$A$15,VLOOKUP($A33,DuraFix!$A$9:$M$14,11,FALSE),                                                                                                                                                                                                                                                            IF($A33&lt;'Compression Fittings'!$A$16,VLOOKUP($A33,'Compression Fittings'!$A$8:$M$15,11,FALSE),
IF($A33&lt;'Hose Fittings'!$A$30,VLOOKUP($A33,'Hose Fittings'!$A$8:$M$29,11,FALSE),
IF($A33&lt;'Swing Joints'!$A$495,VLOOKUP($A33,'Swing Joints'!$A$9:$M$494,11,FALSE),
IF($A33&lt;'Swing Joints Components'!$A$135,VLOOKUP($A33,'Swing Joints Components'!$A$9:$M$134,11,FALSE),
IF($A33&lt;Nonstandard!$A$42,VLOOKUP($A33,Nonstandard!$A$31:$J$41,10,FALSE),"")))))))))))))))))))))))))))),"")</f>
        <v/>
      </c>
      <c r="H33" s="618" t="str">
        <f>IFERROR(IF($A33&lt;'DWV PVC'!$A$317,VLOOKUP($A33,'DWV PVC'!$A$9:$M$316,7,FALSE),
IF($A33&lt;'DWV ABS'!$A$117,VLOOKUP($A33,'DWV ABS'!$A$8:$M$116,11,FALSE),                                                                                                                                                                                                                                                     IF($A33&lt;'PVC SCH40'!$A$425,VLOOKUP($A33,'PVC SCH40'!$A$8:$M$424,7,FALSE),
IF($A33&lt;'PVC SCH40 LD'!$A$22,VLOOKUP($A33,'PVC SCH40 LD'!$A$8:$M$21,7,FALSE),
IF($A33&lt;'Pool &amp; SPA Sweep Elbows'!$A$12,VLOOKUP($A33,'Pool &amp; SPA Sweep Elbows'!$A$8:$M$11,7,FALSE),
IF($A33&lt;'Pool &amp; SPA Pipe Extender'!$A$11,VLOOKUP($A33,'Pool &amp; SPA Pipe Extender'!$A$8:$M$10,7,FALSE),
IF($A33&lt;'PVC SCH80'!$A$250,VLOOKUP($A33,'PVC SCH80'!$A$8:$M$249,7,FALSE),
IF($A33&lt;'PVC SCH80 Flange'!$A$49,VLOOKUP($A33,'PVC SCH80 Flange'!$A$8:$M$48,7,FALSE),
IF($A33&lt;'PVC SCH80 LD Flange'!$A$17,VLOOKUP($A33,'PVC SCH80 LD Flange'!$A$8:$M$16,7,FALSE),
IF($A33&lt;CPVC!$A$105,VLOOKUP($A33,CPVC!$A$9:$M$104,7,FALSE),
IF($A33&lt;InsertFittings!$A$185,VLOOKUP($A33,InsertFittings!$A$9:$M$184,7,FALSE),
IF($A33&lt;Valves!$A$92,VLOOKUP($A33,Valves!$A$9:$Q$91,11,FALSE),
IF($A33&lt;SDR35SW!$A$133,VLOOKUP($A33,SDR35SW!$A$9:$M$132,7,FALSE),
IF($A33&lt;SDR35G!$A$151,VLOOKUP($A33,SDR35G!$A$9:$M$150,7,FALSE),                                                                                                                                                                                                                                                       IF($A33&lt;SDR26G!$A$67,VLOOKUP($A33,SDR26G!$A$9:$N$66,8,FALSE),                                                                                                                                                                                                                                                     IF($A33&lt;Cements!$A$95,VLOOKUP($A33,Cements!$A$8:$Q$94,11,FALSE),
IF($A33&lt;ValveBox!$A$124,VLOOKUP($A33,ValveBox!$A$9:$O$123,10,FALSE),
IF($A33&lt;'ValveBox Components'!$A$142,VLOOKUP($A33,'ValveBox Components'!$A$9:$N$141,9,FALSE),
IF($A33&lt;Drainage!$A$69,VLOOKUP($A33,Drainage!$A$8:$M$68,7,FALSE),                                                                                                                                                                                                                                                          IF($A33&lt;Nipples!$A$82,VLOOKUP($A33,Nipples!$A$9:$Q$81,11,FALSE),
IF($A33&lt;Manifold!$A$33,VLOOKUP($A33,Manifold!$A$9:$M$32,7,FALSE),
IF($A33&lt;FlexibleRepairCouplings!$A$12,VLOOKUP($A33,FlexibleRepairCouplings!$A$9:$M$11,7,FALSE),
IF($A33&lt;DuraFix!$A$15,VLOOKUP($A33,DuraFix!$A$9:$M$14,7,FALSE),                                                                                                                                                                                                                                                           IF($A33&lt;'Compression Fittings'!$A$16,VLOOKUP($A33,'Compression Fittings'!$A$8:$M$15,7,FALSE),
IF($A33&lt;'Hose Fittings'!$A$30,VLOOKUP($A33,'Hose Fittings'!$A$8:$M$29,7,FALSE),
IF($A33&lt;'Swing Joints'!$A$495,VLOOKUP($A33,'Swing Joints'!$A$9:$M$494,7,FALSE),
IF($A33&lt;'Swing Joints Components'!$A$135,VLOOKUP($A33,'Swing Joints Components'!$A$9:$M$134,7,FALSE),
IF($A33&lt;Nonstandard!$A$42,VLOOKUP($A33,Nonstandard!$A$31:$J$41,10,FALSE),"")))))))))))))))))))))))))))),"")</f>
        <v/>
      </c>
      <c r="I33" s="619"/>
      <c r="J33" s="281" t="str">
        <f>IFERROR(G33/H33,"")</f>
        <v/>
      </c>
      <c r="K33" s="313" t="str">
        <f>IFERROR(IF($A33&lt;'DWV PVC'!$A$317,VLOOKUP($A33,'DWV PVC'!$A$9:$M$316,10,FALSE),
IF($A33&lt;'DWV ABS'!$A$117,VLOOKUP($A33,'DWV ABS'!$A$8:$M$116,10,FALSE),
IF($A33&lt;'PVC SCH40'!$A$425,VLOOKUP($A33,'PVC SCH40'!$A$8:$M$424,10,FALSE),
IF($A33&lt;'PVC SCH40 LD'!$A$22,VLOOKUP($A33,'PVC SCH40 LD'!$A$8:$M$21,10,FALSE),
IF($A33&lt;'Pool &amp; SPA Sweep Elbows'!$A$12,VLOOKUP($A33,'Pool &amp; SPA Sweep Elbows'!$A$8:$M$11,10,FALSE),
IF($A33&lt;'Pool &amp; SPA Pipe Extender'!$A$11,VLOOKUP($A33,'Pool &amp; SPA Pipe Extender'!$A$8:$M$10,10,FALSE),
IF($A33&lt;'PVC SCH80'!$A$250,VLOOKUP($A33,'PVC SCH80'!$A$8:$M$249,10,FALSE),
IF($A33&lt;'PVC SCH80 Flange'!$A$49,VLOOKUP($A33,'PVC SCH80 Flange'!$A$8:$M$48,10,FALSE),
IF($A33&lt;'PVC SCH80 LD Flange'!$A$17,VLOOKUP($A33,'PVC SCH80 LD Flange'!$A$8:$M$16,10,FALSE),
IF($A33&lt;CPVC!$A$105,VLOOKUP($A33,CPVC!$A$9:$M$104,10,FALSE),
IF($A33&lt;InsertFittings!$A$185,VLOOKUP($A33,InsertFittings!$A$9:$M$184,10,FALSE),
IF($A33&lt;Valves!$A$92,VLOOKUP($A33,Valves!$A$9:$Q$91,14,FALSE),
IF($A33&lt;SDR35SW!$A$133,VLOOKUP($A33,SDR35SW!$A$9:$M$132,10,FALSE),
IF($A33&lt;SDR35G!$A$151,VLOOKUP($A33,SDR35G!$A$9:$M$150,10,FALSE),
IF($A33&lt;SDR26G!$A$67,VLOOKUP($A33,SDR26G!$A$9:$N$66,11,FALSE),
IF($A33&lt;Cements!$A$95,VLOOKUP($A33,Cements!$A$8:$Q$94,14,FALSE),
IF($A33&lt;ValveBox!$A$124,VLOOKUP($A33,ValveBox!$A$9:$O$123,12,FALSE),
IF($A33&lt;'ValveBox Components'!$A$142,VLOOKUP($A33,'ValveBox Components'!$A$9:$N$141,11,FALSE),
IF($A33&lt;Drainage!$A$69,VLOOKUP($A33,Drainage!$A$8:$M$68,10,FALSE),
IF($A33&lt;Nipples!$A$82,VLOOKUP($A33,Nipples!$A$9:$Q$81,14,FALSE),
IF($A33&lt;Manifold!$A$33,VLOOKUP($A33,Manifold!$A$9:$M$32,10,FALSE),
IF($A33&lt;FlexibleRepairCouplings!$A$12,VLOOKUP($A33,FlexibleRepairCouplings!$A$9:$M$11,10,FALSE),
IF($A33&lt;DuraFix!$A$15,VLOOKUP($A33,DuraFix!$A$9:$M$14,10,FALSE),
IF($A33&lt;'Compression Fittings'!$A$16,VLOOKUP($A33,'Compression Fittings'!$A$8:$M$15,10,FALSE),
IF($A33&lt;'Hose Fittings'!$A$30,VLOOKUP($A33,'Hose Fittings'!$A$8:$M$29,10,FALSE),
IF($A33&lt;'Swing Joints'!$A$495,VLOOKUP($A33,'Swing Joints'!$A$9:$M$494,10,FALSE),
IF($A33&lt;'Swing Joints Components'!$A$135,VLOOKUP($A33,'Swing Joints Components'!$A$9:$M$134,10,FALSE),
IF($A33&lt;Nonstandard!$A$42,VLOOKUP($A33,Nonstandard!$A$31:$J$41,10,FALSE),"")))))))))))))))))))))))))))),"")</f>
        <v/>
      </c>
      <c r="L33" s="314" t="str">
        <f t="shared" ref="L33:L96" si="0">IF(G33="","-",K33*G33)</f>
        <v>-</v>
      </c>
      <c r="M33" s="315"/>
    </row>
    <row r="34" spans="1:13" ht="15.6">
      <c r="A34" s="536">
        <v>2</v>
      </c>
      <c r="B34" s="536" t="str">
        <f>IFERROR(IF($A34&lt;'DWV PVC'!$A$317,VLOOKUP($A34,'DWV PVC'!$A$9:$M$316,4,FALSE),
IF($A34&lt;'DWV ABS'!$A$117,VLOOKUP($A34,'DWV ABS'!$A$8:$M$116,4,FALSE),
IF($A34&lt;'PVC SCH40'!$A$425,VLOOKUP($A34,'PVC SCH40'!$A$8:$M$424,4,FALSE),
IF($A34&lt;'PVC SCH40 LD'!$A$22,VLOOKUP($A34,'PVC SCH40 LD'!$A$8:$M$21,4,FALSE),
IF($A34&lt;'Pool &amp; SPA Sweep Elbows'!$A$12,VLOOKUP($A34,'Pool &amp; SPA Sweep Elbows'!$A$8:$M$11,4,FALSE),
IF($A34&lt;'Pool &amp; SPA Pipe Extender'!$A$11,VLOOKUP($A34,'Pool &amp; SPA Pipe Extender'!$A$8:$M$10,4,FALSE),
IF($A34&lt;'PVC SCH80'!$A$250,VLOOKUP($A34,'PVC SCH80'!$A$8:$M$249,4,FALSE),
IF($A34&lt;'PVC SCH80 Flange'!$A$49,VLOOKUP($A34,'PVC SCH80 Flange'!$A$8:$M$48,4,FALSE),
IF($A34&lt;'PVC SCH80 LD Flange'!$A$17,VLOOKUP($A34,'PVC SCH80 LD Flange'!$A$8:$M$16,4,FALSE),
IF($A34&lt;CPVC!$A$105,VLOOKUP($A34,CPVC!$A$9:$M$104,4,FALSE),
IF($A34&lt;InsertFittings!$A$185,VLOOKUP($A34,InsertFittings!$A$9:$M$184,4,FALSE),
IF($A34&lt;Valves!$A$92,VLOOKUP($A34,Valves!$A$9:$Q$91,4,FALSE),
IF($A34&lt;SDR35SW!$A$133,VLOOKUP($A34,SDR35SW!$A$9:$M$132,4,FALSE),
IF($A34&lt;SDR35G!$A$151,VLOOKUP($A34,SDR35G!$A$9:$M$150,4,FALSE),
IF($A34&lt;SDR26G!$A$67,VLOOKUP($A34,SDR26G!$A$9:$N$66,5,FALSE),
IF($A34&lt;Cements!$A$95,VLOOKUP($A34,Cements!$A$8:$Q$94,4,FALSE),
IF($A34&lt;ValveBox!$A$124,VLOOKUP($A34,ValveBox!$A$9:$O$123,4,FALSE),
IF($A34&lt;'ValveBox Components'!$A$142,VLOOKUP($A34,'ValveBox Components'!$A$9:$N$141,4,FALSE),
IF($A34&lt;Drainage!$A$69,VLOOKUP($A34,Drainage!$A$8:$M$68,4,FALSE),
IF($A34&lt;Nipples!$A$82,VLOOKUP($A34,Nipples!$A$9:$Q$81,4,FALSE),
IF($A34&lt;Manifold!$A$33,VLOOKUP($A34,Manifold!$A$9:$M$32,4,FALSE),
IF($A34&lt;FlexibleRepairCouplings!$A$12,VLOOKUP($A34,FlexibleRepairCouplings!$A$9:$M$11,4,FALSE),
IF($A34&lt;DuraFix!$A$15,VLOOKUP($A34,DuraFix!$A$9:$M$14,4,FALSE),
IF($A34&lt;'Compression Fittings'!$A$16,VLOOKUP($A34,'Compression Fittings'!$A$8:$M$15,4,FALSE),
IF($A34&lt;'Hose Fittings'!$A$30,VLOOKUP($A34,'Hose Fittings'!$A$8:$M$29,4,FALSE),
IF($A34&lt;'Swing Joints'!$A$495,VLOOKUP($A34,'Swing Joints'!$A$9:$M$494,4,FALSE),
IF($A34&lt;'Swing Joints Components'!$A$135,VLOOKUP($A34,'Swing Joints Components'!$A$9:$M$134,4,FALSE),
IF($A34&lt;Nonstandard!$A$42,VLOOKUP($A34,Nonstandard!$A$31:$J$41,5,FALSE),"")))))))))))))))))))))))))))),"")</f>
        <v/>
      </c>
      <c r="C34" s="536" t="str">
        <f>IFERROR(IF($A34&lt;'DWV PVC'!$A$317,VLOOKUP($A34,'DWV PVC'!$A$9:$M$316,5,FALSE),
IF($A34&lt;'DWV ABS'!$A$117,VLOOKUP($A34,'DWV ABS'!$A$8:$M$116,5,FALSE),
IF($A34&lt;'PVC SCH40'!$A$425,VLOOKUP($A34,'PVC SCH40'!$A$8:$M$424,5,FALSE),
IF($A34&lt;'PVC SCH40 LD'!$A$22,VLOOKUP($A34,'PVC SCH40 LD'!$A$8:$M$21,5,FALSE),
IF($A34&lt;'Pool &amp; SPA Sweep Elbows'!$A$12,VLOOKUP($A34,'Pool &amp; SPA Sweep Elbows'!$A$8:$M$11,5,FALSE),
IF($A34&lt;'Pool &amp; SPA Pipe Extender'!$A$11,VLOOKUP($A34,'Pool &amp; SPA Pipe Extender'!$A$8:$M$10,5,FALSE),
IF($A34&lt;'PVC SCH80'!$A$250,VLOOKUP($A34,'PVC SCH80'!$A$8:$M$249,5,FALSE),
IF($A34&lt;'PVC SCH80 Flange'!$A$49,VLOOKUP($A34,'PVC SCH80 Flange'!$A$8:$M$48,5,FALSE),
IF($A34&lt;'PVC SCH80 LD Flange'!$A$17,VLOOKUP($A34,'PVC SCH80 LD Flange'!$A$8:$M$16,5,FALSE),
IF($A34&lt;CPVC!$A$105,VLOOKUP($A34,CPVC!$A$9:$M$104,5,FALSE),
IF($A34&lt;InsertFittings!$A$185,VLOOKUP($A34,InsertFittings!$A$9:$M$184,5,FALSE),
IF($A34&lt;Valves!$A$92,VLOOKUP($A34,Valves!$A$9:$Q$91,5,FALSE),
IF($A34&lt;SDR35SW!$A$133,VLOOKUP($A34,SDR35SW!$A$9:$M$132,5,FALSE),
IF($A34&lt;SDR35G!$A$151,VLOOKUP($A34,SDR35G!$A$9:$M$150,5,FALSE),
IF($A34&lt;SDR26G!$A$67,VLOOKUP($A34,SDR26G!$A$9:$N$66,6,FALSE),
IF($A34&lt;Cements!$A$95,VLOOKUP($A34,Cements!$A$8:$Q$94,5,FALSE),
IF($A34&lt;ValveBox!$A$124,VLOOKUP($A34,ValveBox!$A$9:$O$123,5,FALSE),
IF($A34&lt;'ValveBox Components'!$A$142,VLOOKUP($A34,'ValveBox Components'!$A$9:$N$141,5,FALSE),
IF($A34&lt;Drainage!$A$69,VLOOKUP($A34,Drainage!$A$8:$M$68,5,FALSE),
IF($A34&lt;Nipples!$A$82,VLOOKUP($A34,Nipples!$A$9:$Q$81,5,FALSE),
IF($A34&lt;Manifold!$A$33,VLOOKUP($A34,Manifold!$A$9:$M$32,5,FALSE),
IF($A34&lt;FlexibleRepairCouplings!$A$12,VLOOKUP($A34,FlexibleRepairCouplings!$A$9:$M$11,5,FALSE),
IF($A34&lt;DuraFix!$A$15,VLOOKUP($A34,DuraFix!$A$9:$M$14,5,FALSE),
IF($A34&lt;'Compression Fittings'!$A$16,VLOOKUP($A34,'Compression Fittings'!$A$8:$M$15,5,FALSE),
IF($A34&lt;'Hose Fittings'!$A$30,VLOOKUP($A34,'Hose Fittings'!$A$8:$M$29,5,FALSE),
IF($A34&lt;'Swing Joints'!$A$495,VLOOKUP($A34,'Swing Joints'!$A$9:$M$494,5,FALSE),
IF($A34&lt;'Swing Joints Components'!$A$135,VLOOKUP($A34,'Swing Joints Components'!$A$9:$M$134,5,FALSE),
IF($A34&lt;Nonstandard!$A$42,VLOOKUP($A34,Nonstandard!$A$31:$J$41,6,FALSE),"")))))))))))))))))))))))))))),"")</f>
        <v/>
      </c>
      <c r="D34" s="537" t="str">
        <f>IFERROR(IF($A34&lt;'DWV PVC'!$A$317,VLOOKUP($A34,'DWV PVC'!$A$9:$M$316,6,FALSE),
IF($A34&lt;'DWV ABS'!$A$117,VLOOKUP($A34,'DWV ABS'!$A$8:$M$116,6,FALSE),
IF($A34&lt;'PVC SCH40'!$A$425,VLOOKUP($A34,'PVC SCH40'!$A$8:$M$424,6,FALSE),
IF($A34&lt;'PVC SCH40 LD'!$A$22,VLOOKUP($A34,'PVC SCH40 LD'!$A$8:$M$21,6,FALSE),
IF($A34&lt;'Pool &amp; SPA Sweep Elbows'!$A$12,VLOOKUP($A34,'Pool &amp; SPA Sweep Elbows'!$A$8:$M$11,6,FALSE),
IF($A34&lt;'Pool &amp; SPA Pipe Extender'!$A$11,VLOOKUP($A34,'Pool &amp; SPA Pipe Extender'!$A$8:$M$10,6,FALSE),
IF($A34&lt;'PVC SCH80'!$A$250,VLOOKUP($A34,'PVC SCH80'!$A$8:$M$249,6,FALSE),
IF($A34&lt;'PVC SCH80 Flange'!$A$49,VLOOKUP($A34,'PVC SCH80 Flange'!$A$8:$M$48,6,FALSE),
IF($A34&lt;'PVC SCH80 LD Flange'!$A$17,VLOOKUP($A34,'PVC SCH80 LD Flange'!$A$8:$M$16,6,FALSE),
IF($A34&lt;CPVC!$A$105,VLOOKUP($A34,CPVC!$A$9:$M$104,6,FALSE),
IF($A34&lt;InsertFittings!$A$185,VLOOKUP($A34,InsertFittings!$A$9:$M$184,6,FALSE),
IF($A34&lt;Valves!$A$92,VLOOKUP($A34,Valves!$A$9:$Q$91,6,FALSE),
IF($A34&lt;SDR35SW!$A$133,VLOOKUP($A34,SDR35SW!$A$9:$M$132,6,FALSE),
IF($A34&lt;SDR35G!$A$151,VLOOKUP($A34,SDR35G!$A$9:$M$150,6,FALSE),
IF($A34&lt;SDR26G!$A$67,VLOOKUP($A34,SDR26G!$A$9:$N$66,7,FALSE),
IF($A34&lt;Cements!$A$95,VLOOKUP($A34,Cements!$A$8:$Q$94,6,FALSE),
IF($A34&lt;ValveBox!$A$124,VLOOKUP($A34,ValveBox!$A$9:$O$123,6,FALSE),
IF($A34&lt;'ValveBox Components'!$A$142,VLOOKUP($A34,'ValveBox Components'!$A$9:$N$141,6,FALSE),
IF($A34&lt;Drainage!$A$69,VLOOKUP($A34,Drainage!$A$8:$M$68,6,FALSE),
IF($A34&lt;Nipples!$A$82,VLOOKUP($A34,Nipples!$A$9:$Q$81,6,FALSE),
IF($A34&lt;Manifold!$A$33,VLOOKUP($A34,Manifold!$A$9:$M$32,6,FALSE),
IF($A34&lt;FlexibleRepairCouplings!$A$12,VLOOKUP($A34,FlexibleRepairCouplings!$A$9:$M$11,6,FALSE),
IF($A34&lt;DuraFix!$A$15,VLOOKUP($A34,DuraFix!$A$9:$M$14,6,FALSE),
IF($A34&lt;'Compression Fittings'!$A$16,VLOOKUP($A34,'Compression Fittings'!$A$8:$M$15,6,FALSE),
IF($A34&lt;'Hose Fittings'!$A$30,VLOOKUP($A34,'Hose Fittings'!$A$8:$M$29,6,FALSE),
IF($A34&lt;'Swing Joints'!$A$495,VLOOKUP($A34,'Swing Joints'!$A$9:$M$494,6,FALSE),
IF($A34&lt;'Swing Joints Components'!$A$135,VLOOKUP($A34,'Swing Joints Components'!$A$9:$M$134,6,FALSE),
IF($A34&lt;Nonstandard!$A$42,VLOOKUP($A34,Nonstandard!$A$31:$J$41,7,FALSE),"")))))))))))))))))))))))))))),"")</f>
        <v/>
      </c>
      <c r="E34" s="538"/>
      <c r="F34" s="539" t="str">
        <f>IFERROR(IF($A34&lt;'DWV PVC'!$A$317,VLOOKUP($A34,'DWV PVC'!$A$9:$M$316,9,FALSE),
IF($A34&lt;'DWV ABS'!$A$117,VLOOKUP($A34,'DWV ABS'!$A$8:$M$116,9,FALSE),                                                                                                                                                                                                                                                     IF($A34&lt;'PVC SCH40'!$A$425,VLOOKUP($A34,'PVC SCH40'!$A$8:$M$424,9,FALSE),
IF($A34&lt;'PVC SCH40 LD'!$A$22,VLOOKUP($A34,'PVC SCH40 LD'!$A$8:$M$21,9,FALSE),
IF($A34&lt;'Pool &amp; SPA Sweep Elbows'!$A$12,VLOOKUP($A34,'Pool &amp; SPA Sweep Elbows'!$A$8:$M$11,9,FALSE),
IF($A34&lt;'Pool &amp; SPA Pipe Extender'!$A$11,VLOOKUP($A34,'Pool &amp; SPA Pipe Extender'!$A$8:$M$10,9,FALSE),
IF($A34&lt;'PVC SCH80'!$A$250,VLOOKUP($A34,'PVC SCH80'!$A$8:$M$249,9,FALSE),
IF($A34&lt;'PVC SCH80 Flange'!$A$49,VLOOKUP($A34,'PVC SCH80 Flange'!$A$8:$M$48,9,FALSE),
IF($A34&lt;'PVC SCH80 LD Flange'!$A$17,VLOOKUP($A34,'PVC SCH80 LD Flange'!$A$8:$M$16,9,FALSE),
IF($A34&lt;CPVC!$A$105,VLOOKUP($A34,CPVC!$A$9:$M$104,9,FALSE),
IF($A34&lt;InsertFittings!$A$185,VLOOKUP($A34,InsertFittings!$A$9:$M$184,9,FALSE),
IF($A34&lt;Valves!$A$92,VLOOKUP($A34,Valves!$A$9:$Q$91,13,FALSE),
IF($A34&lt;SDR35SW!$A$133,VLOOKUP($A34,SDR35SW!$A$9:$M$132,9,FALSE),
IF($A34&lt;SDR35G!$A$151,VLOOKUP($A34,SDR35G!$A$9:$M$150,9,FALSE),                                                                                                                                                                                                                                                          IF($A34&lt;SDR26G!$A$67,VLOOKUP($A34,SDR26G!$A$9:$N$66,10,FALSE),                                                                                                                                                                                                                                                       IF($A34&lt;Cements!$A$95,VLOOKUP($A34,Cements!$A$8:$Q$94,13,FALSE),
IF($A34&lt;ValveBox!$A$124,VLOOKUP($A34,ValveBox!$A$9:$O$123,11,FALSE),
IF($A34&lt;'ValveBox Components'!$A$142,VLOOKUP($A34,'ValveBox Components'!$A$9:$N$141,10,FALSE),
IF($A34&lt;Drainage!$A$69,VLOOKUP($A34,Drainage!$A$8:$M$68,9,FALSE),                                                                                                                                                                                                                                                              IF($A34&lt;Nipples!$A$82,VLOOKUP($A34,Nipples!$A$9:$Q$81,13,FALSE),
IF($A34&lt;Manifold!$A$33,VLOOKUP($A34,Manifold!$A$9:$M$32,9,FALSE),
IF($A34&lt;FlexibleRepairCouplings!$A$12,VLOOKUP($A34,FlexibleRepairCouplings!$A$9:$M$11,9,FALSE),
IF($A34&lt;DuraFix!$A$15,VLOOKUP($A34,DuraFix!$A$9:$M$14,9,FALSE),                                                                                                                                                                                                                                                          IF($A34&lt;'Compression Fittings'!$A$16,VLOOKUP($A34,'Compression Fittings'!$A$8:$M$15,9,FALSE),
IF($A34&lt;'Hose Fittings'!$A$30,VLOOKUP($A34,'Hose Fittings'!$A$8:$M$29,9,FALSE),
IF($A34&lt;'Swing Joints'!$A$495,VLOOKUP($A34,'Swing Joints'!$A$9:$M$494,9,FALSE),
IF($A34&lt;'Swing Joints Components'!$A$135,VLOOKUP($A34,'Swing Joints Components'!$A$9:$M$134,9,FALSE),
IF($A34&lt;Nonstandard!$A$42,VLOOKUP($A34,Nonstandard!$A$31:$J$41,8,FALSE),"")))))))))))))))))))))))))))),"")</f>
        <v/>
      </c>
      <c r="G34" s="540" t="str">
        <f>IFERROR(IF($A34&lt;'DWV PVC'!$A$317,VLOOKUP($A34,'DWV PVC'!$A$9:$M$316,11,FALSE),
IF($A34&lt;'DWV ABS'!$A$117,VLOOKUP($A34,'DWV ABS'!$A$8:$M$116,11,FALSE),                                                                                                                                                                                                                                                     IF($A34&lt;'PVC SCH40'!$A$425,VLOOKUP($A34,'PVC SCH40'!$A$8:$M$424,11,FALSE),
IF($A34&lt;'PVC SCH40 LD'!$A$22,VLOOKUP($A34,'PVC SCH40 LD'!$A$8:$M$21,11,FALSE),
IF($A34&lt;'Pool &amp; SPA Sweep Elbows'!$A$12,VLOOKUP($A34,'Pool &amp; SPA Sweep Elbows'!$A$8:$M$11,11,FALSE),
IF($A34&lt;'Pool &amp; SPA Pipe Extender'!$A$11,VLOOKUP($A34,'Pool &amp; SPA Pipe Extender'!$A$8:$M$10,11,FALSE),
IF($A34&lt;'PVC SCH80'!$A$250,VLOOKUP($A34,'PVC SCH80'!$A$8:$M$249,11,FALSE),
IF($A34&lt;'PVC SCH80 Flange'!$A$49,VLOOKUP($A34,'PVC SCH80 Flange'!$A$8:$M$48,11,FALSE),
IF($A34&lt;'PVC SCH80 LD Flange'!$A$17,VLOOKUP($A34,'PVC SCH80 LD Flange'!$A$8:$M$16,11,FALSE),
IF($A34&lt;CPVC!$A$105,VLOOKUP($A34,CPVC!$A$9:$M$104,11,FALSE),
IF($A34&lt;InsertFittings!$A$185,VLOOKUP($A34,InsertFittings!$A$9:$M$184,11,FALSE),
IF($A34&lt;Valves!$A$92,VLOOKUP($A34,Valves!$A$9:$Q$91,15,FALSE),
IF($A34&lt;SDR35SW!$A$133,VLOOKUP($A34,SDR35SW!$A$9:$M$132,11,FALSE),
IF($A34&lt;SDR35G!$A$151,VLOOKUP($A34,SDR35G!$A$9:$M$150,11,FALSE),                                                                                                                                                                                                                                                          IF($A34&lt;SDR26G!$A$67,VLOOKUP($A34,SDR26G!$A$9:$N$66,12,FALSE),                                                                                                                                                                                                                                                       IF($A34&lt;Cements!$A$95,VLOOKUP($A34,Cements!$A$8:$Q$94,15,FALSE),
IF($A34&lt;ValveBox!$A$124,VLOOKUP($A34,ValveBox!$A$9:$O$123,13,FALSE),
IF($A34&lt;'ValveBox Components'!$A$142,VLOOKUP($A34,'ValveBox Components'!$A$9:$N$141,12,FALSE),
IF($A34&lt;Drainage!$A$69,VLOOKUP($A34,Drainage!$A$8:$M$68,11,FALSE),                                                                                                                                                                                                                                                           IF($A34&lt;Nipples!$A$82,VLOOKUP($A34,Nipples!$A$9:$Q$81,15,FALSE),
IF($A34&lt;Manifold!$A$33,VLOOKUP($A34,Manifold!$A$9:$M$32,11,FALSE),
IF($A34&lt;FlexibleRepairCouplings!$A$12,VLOOKUP($A34,FlexibleRepairCouplings!$A$9:$M$11,11,FALSE),
IF($A34&lt;DuraFix!$A$15,VLOOKUP($A34,DuraFix!$A$9:$M$14,11,FALSE),                                                                                                                                                                                                                                                            IF($A34&lt;'Compression Fittings'!$A$16,VLOOKUP($A34,'Compression Fittings'!$A$8:$M$15,11,FALSE),
IF($A34&lt;'Hose Fittings'!$A$30,VLOOKUP($A34,'Hose Fittings'!$A$8:$M$29,11,FALSE),
IF($A34&lt;'Swing Joints'!$A$495,VLOOKUP($A34,'Swing Joints'!$A$9:$M$494,11,FALSE),
IF($A34&lt;'Swing Joints Components'!$A$135,VLOOKUP($A34,'Swing Joints Components'!$A$9:$M$134,11,FALSE),
IF($A34&lt;Nonstandard!$A$42,VLOOKUP($A34,Nonstandard!$A$31:$J$41,10,FALSE),"")))))))))))))))))))))))))))),"")</f>
        <v/>
      </c>
      <c r="H34" s="620" t="str">
        <f>IFERROR(IF($A34&lt;'DWV PVC'!$A$317,VLOOKUP($A34,'DWV PVC'!$A$9:$M$316,7,FALSE),
IF($A34&lt;'DWV ABS'!$A$117,VLOOKUP($A34,'DWV ABS'!$A$8:$M$116,11,FALSE),                                                                                                                                                                                                                                                     IF($A34&lt;'PVC SCH40'!$A$425,VLOOKUP($A34,'PVC SCH40'!$A$8:$M$424,7,FALSE),
IF($A34&lt;'PVC SCH40 LD'!$A$22,VLOOKUP($A34,'PVC SCH40 LD'!$A$8:$M$21,7,FALSE),
IF($A34&lt;'Pool &amp; SPA Sweep Elbows'!$A$12,VLOOKUP($A34,'Pool &amp; SPA Sweep Elbows'!$A$8:$M$11,7,FALSE),
IF($A34&lt;'Pool &amp; SPA Pipe Extender'!$A$11,VLOOKUP($A34,'Pool &amp; SPA Pipe Extender'!$A$8:$M$10,7,FALSE),
IF($A34&lt;'PVC SCH80'!$A$250,VLOOKUP($A34,'PVC SCH80'!$A$8:$M$249,7,FALSE),
IF($A34&lt;'PVC SCH80 Flange'!$A$49,VLOOKUP($A34,'PVC SCH80 Flange'!$A$8:$M$48,7,FALSE),
IF($A34&lt;'PVC SCH80 LD Flange'!$A$17,VLOOKUP($A34,'PVC SCH80 LD Flange'!$A$8:$M$16,7,FALSE),
IF($A34&lt;CPVC!$A$105,VLOOKUP($A34,CPVC!$A$9:$M$104,7,FALSE),
IF($A34&lt;InsertFittings!$A$185,VLOOKUP($A34,InsertFittings!$A$9:$M$184,7,FALSE),
IF($A34&lt;Valves!$A$92,VLOOKUP($A34,Valves!$A$9:$Q$91,11,FALSE),
IF($A34&lt;SDR35SW!$A$133,VLOOKUP($A34,SDR35SW!$A$9:$M$132,7,FALSE),
IF($A34&lt;SDR35G!$A$151,VLOOKUP($A34,SDR35G!$A$9:$M$150,7,FALSE),                                                                                                                                                                                                                                                       IF($A34&lt;SDR26G!$A$67,VLOOKUP($A34,SDR26G!$A$9:$N$66,8,FALSE),                                                                                                                                                                                                                                                     IF($A34&lt;Cements!$A$95,VLOOKUP($A34,Cements!$A$8:$Q$94,11,FALSE),
IF($A34&lt;ValveBox!$A$124,VLOOKUP($A34,ValveBox!$A$9:$O$123,10,FALSE),
IF($A34&lt;'ValveBox Components'!$A$142,VLOOKUP($A34,'ValveBox Components'!$A$9:$N$141,9,FALSE),
IF($A34&lt;Drainage!$A$69,VLOOKUP($A34,Drainage!$A$8:$M$68,7,FALSE),                                                                                                                                                                                                                                                          IF($A34&lt;Nipples!$A$82,VLOOKUP($A34,Nipples!$A$9:$Q$81,11,FALSE),
IF($A34&lt;Manifold!$A$33,VLOOKUP($A34,Manifold!$A$9:$M$32,7,FALSE),
IF($A34&lt;FlexibleRepairCouplings!$A$12,VLOOKUP($A34,FlexibleRepairCouplings!$A$9:$M$11,7,FALSE),
IF($A34&lt;DuraFix!$A$15,VLOOKUP($A34,DuraFix!$A$9:$M$14,7,FALSE),                                                                                                                                                                                                                                                           IF($A34&lt;'Compression Fittings'!$A$16,VLOOKUP($A34,'Compression Fittings'!$A$8:$M$15,7,FALSE),
IF($A34&lt;'Hose Fittings'!$A$30,VLOOKUP($A34,'Hose Fittings'!$A$8:$M$29,7,FALSE),
IF($A34&lt;'Swing Joints'!$A$495,VLOOKUP($A34,'Swing Joints'!$A$9:$M$494,7,FALSE),
IF($A34&lt;'Swing Joints Components'!$A$135,VLOOKUP($A34,'Swing Joints Components'!$A$9:$M$134,7,FALSE),
IF($A34&lt;Nonstandard!$A$42,VLOOKUP($A34,Nonstandard!$A$31:$J$41,10,FALSE),"")))))))))))))))))))))))))))),"")</f>
        <v/>
      </c>
      <c r="I34" s="621"/>
      <c r="J34" s="541" t="str">
        <f t="shared" ref="J34:J97" si="1">IFERROR(G34/H34,"")</f>
        <v/>
      </c>
      <c r="K34" s="599" t="str">
        <f>IFERROR(IF($A34&lt;'DWV PVC'!$A$317,VLOOKUP($A34,'DWV PVC'!$A$9:$M$316,10,FALSE),
IF($A34&lt;'DWV ABS'!$A$117,VLOOKUP($A34,'DWV ABS'!$A$8:$M$116,10,FALSE),
IF($A34&lt;'PVC SCH40'!$A$425,VLOOKUP($A34,'PVC SCH40'!$A$8:$M$424,10,FALSE),
IF($A34&lt;'PVC SCH40 LD'!$A$22,VLOOKUP($A34,'PVC SCH40 LD'!$A$8:$M$21,10,FALSE),
IF($A34&lt;'Pool &amp; SPA Sweep Elbows'!$A$12,VLOOKUP($A34,'Pool &amp; SPA Sweep Elbows'!$A$8:$M$11,10,FALSE),
IF($A34&lt;'Pool &amp; SPA Pipe Extender'!$A$11,VLOOKUP($A34,'Pool &amp; SPA Pipe Extender'!$A$8:$M$10,10,FALSE),
IF($A34&lt;'PVC SCH80'!$A$250,VLOOKUP($A34,'PVC SCH80'!$A$8:$M$249,10,FALSE),
IF($A34&lt;'PVC SCH80 Flange'!$A$49,VLOOKUP($A34,'PVC SCH80 Flange'!$A$8:$M$48,10,FALSE),
IF($A34&lt;'PVC SCH80 LD Flange'!$A$17,VLOOKUP($A34,'PVC SCH80 LD Flange'!$A$8:$M$16,10,FALSE),
IF($A34&lt;CPVC!$A$105,VLOOKUP($A34,CPVC!$A$9:$M$104,10,FALSE),
IF($A34&lt;InsertFittings!$A$185,VLOOKUP($A34,InsertFittings!$A$9:$M$184,10,FALSE),
IF($A34&lt;Valves!$A$92,VLOOKUP($A34,Valves!$A$9:$Q$91,14,FALSE),
IF($A34&lt;SDR35SW!$A$133,VLOOKUP($A34,SDR35SW!$A$9:$M$132,10,FALSE),
IF($A34&lt;SDR35G!$A$151,VLOOKUP($A34,SDR35G!$A$9:$M$150,10,FALSE),
IF($A34&lt;SDR26G!$A$67,VLOOKUP($A34,SDR26G!$A$9:$N$66,11,FALSE),
IF($A34&lt;Cements!$A$95,VLOOKUP($A34,Cements!$A$8:$Q$94,14,FALSE),
IF($A34&lt;ValveBox!$A$124,VLOOKUP($A34,ValveBox!$A$9:$O$123,12,FALSE),
IF($A34&lt;'ValveBox Components'!$A$142,VLOOKUP($A34,'ValveBox Components'!$A$9:$N$141,11,FALSE),
IF($A34&lt;Drainage!$A$69,VLOOKUP($A34,Drainage!$A$8:$M$68,10,FALSE),
IF($A34&lt;Nipples!$A$82,VLOOKUP($A34,Nipples!$A$9:$Q$81,14,FALSE),
IF($A34&lt;Manifold!$A$33,VLOOKUP($A34,Manifold!$A$9:$M$32,10,FALSE),
IF($A34&lt;FlexibleRepairCouplings!$A$12,VLOOKUP($A34,FlexibleRepairCouplings!$A$9:$M$11,10,FALSE),
IF($A34&lt;DuraFix!$A$15,VLOOKUP($A34,DuraFix!$A$9:$M$14,10,FALSE),
IF($A34&lt;'Compression Fittings'!$A$16,VLOOKUP($A34,'Compression Fittings'!$A$8:$M$15,10,FALSE),
IF($A34&lt;'Hose Fittings'!$A$30,VLOOKUP($A34,'Hose Fittings'!$A$8:$M$29,10,FALSE),
IF($A34&lt;'Swing Joints'!$A$495,VLOOKUP($A34,'Swing Joints'!$A$9:$M$494,10,FALSE),
IF($A34&lt;'Swing Joints Components'!$A$135,VLOOKUP($A34,'Swing Joints Components'!$A$9:$M$134,10,FALSE),
IF($A34&lt;Nonstandard!$A$42,VLOOKUP($A34,Nonstandard!$A$31:$J$41,10,FALSE),"")))))))))))))))))))))))))))),"")</f>
        <v/>
      </c>
      <c r="L34" s="539" t="str">
        <f t="shared" si="0"/>
        <v>-</v>
      </c>
      <c r="M34" s="542"/>
    </row>
    <row r="35" spans="1:13" ht="15.6">
      <c r="A35" s="312">
        <v>3</v>
      </c>
      <c r="B35" s="312" t="str">
        <f>IFERROR(IF($A35&lt;'DWV PVC'!$A$317,VLOOKUP($A35,'DWV PVC'!$A$9:$M$316,4,FALSE),
IF($A35&lt;'DWV ABS'!$A$117,VLOOKUP($A35,'DWV ABS'!$A$8:$M$116,4,FALSE),
IF($A35&lt;'PVC SCH40'!$A$425,VLOOKUP($A35,'PVC SCH40'!$A$8:$M$424,4,FALSE),
IF($A35&lt;'PVC SCH40 LD'!$A$22,VLOOKUP($A35,'PVC SCH40 LD'!$A$8:$M$21,4,FALSE),
IF($A35&lt;'Pool &amp; SPA Sweep Elbows'!$A$12,VLOOKUP($A35,'Pool &amp; SPA Sweep Elbows'!$A$8:$M$11,4,FALSE),
IF($A35&lt;'Pool &amp; SPA Pipe Extender'!$A$11,VLOOKUP($A35,'Pool &amp; SPA Pipe Extender'!$A$8:$M$10,4,FALSE),
IF($A35&lt;'PVC SCH80'!$A$250,VLOOKUP($A35,'PVC SCH80'!$A$8:$M$249,4,FALSE),
IF($A35&lt;'PVC SCH80 Flange'!$A$49,VLOOKUP($A35,'PVC SCH80 Flange'!$A$8:$M$48,4,FALSE),
IF($A35&lt;'PVC SCH80 LD Flange'!$A$17,VLOOKUP($A35,'PVC SCH80 LD Flange'!$A$8:$M$16,4,FALSE),
IF($A35&lt;CPVC!$A$105,VLOOKUP($A35,CPVC!$A$9:$M$104,4,FALSE),
IF($A35&lt;InsertFittings!$A$185,VLOOKUP($A35,InsertFittings!$A$9:$M$184,4,FALSE),
IF($A35&lt;Valves!$A$92,VLOOKUP($A35,Valves!$A$9:$Q$91,4,FALSE),
IF($A35&lt;SDR35SW!$A$133,VLOOKUP($A35,SDR35SW!$A$9:$M$132,4,FALSE),
IF($A35&lt;SDR35G!$A$151,VLOOKUP($A35,SDR35G!$A$9:$M$150,4,FALSE),
IF($A35&lt;SDR26G!$A$67,VLOOKUP($A35,SDR26G!$A$9:$N$66,5,FALSE),
IF($A35&lt;Cements!$A$95,VLOOKUP($A35,Cements!$A$8:$Q$94,4,FALSE),
IF($A35&lt;ValveBox!$A$124,VLOOKUP($A35,ValveBox!$A$9:$O$123,4,FALSE),
IF($A35&lt;'ValveBox Components'!$A$142,VLOOKUP($A35,'ValveBox Components'!$A$9:$N$141,4,FALSE),
IF($A35&lt;Drainage!$A$69,VLOOKUP($A35,Drainage!$A$8:$M$68,4,FALSE),
IF($A35&lt;Nipples!$A$82,VLOOKUP($A35,Nipples!$A$9:$Q$81,4,FALSE),
IF($A35&lt;Manifold!$A$33,VLOOKUP($A35,Manifold!$A$9:$M$32,4,FALSE),
IF($A35&lt;FlexibleRepairCouplings!$A$12,VLOOKUP($A35,FlexibleRepairCouplings!$A$9:$M$11,4,FALSE),
IF($A35&lt;DuraFix!$A$15,VLOOKUP($A35,DuraFix!$A$9:$M$14,4,FALSE),
IF($A35&lt;'Compression Fittings'!$A$16,VLOOKUP($A35,'Compression Fittings'!$A$8:$M$15,4,FALSE),
IF($A35&lt;'Hose Fittings'!$A$30,VLOOKUP($A35,'Hose Fittings'!$A$8:$M$29,4,FALSE),
IF($A35&lt;'Swing Joints'!$A$495,VLOOKUP($A35,'Swing Joints'!$A$9:$M$494,4,FALSE),
IF($A35&lt;'Swing Joints Components'!$A$135,VLOOKUP($A35,'Swing Joints Components'!$A$9:$M$134,4,FALSE),
IF($A35&lt;Nonstandard!$A$42,VLOOKUP($A35,Nonstandard!$A$31:$J$41,5,FALSE),"")))))))))))))))))))))))))))),"")</f>
        <v/>
      </c>
      <c r="C35" s="312" t="str">
        <f>IFERROR(IF($A35&lt;'DWV PVC'!$A$317,VLOOKUP($A35,'DWV PVC'!$A$9:$M$316,5,FALSE),
IF($A35&lt;'DWV ABS'!$A$117,VLOOKUP($A35,'DWV ABS'!$A$8:$M$116,5,FALSE),
IF($A35&lt;'PVC SCH40'!$A$425,VLOOKUP($A35,'PVC SCH40'!$A$8:$M$424,5,FALSE),
IF($A35&lt;'PVC SCH40 LD'!$A$22,VLOOKUP($A35,'PVC SCH40 LD'!$A$8:$M$21,5,FALSE),
IF($A35&lt;'Pool &amp; SPA Sweep Elbows'!$A$12,VLOOKUP($A35,'Pool &amp; SPA Sweep Elbows'!$A$8:$M$11,5,FALSE),
IF($A35&lt;'Pool &amp; SPA Pipe Extender'!$A$11,VLOOKUP($A35,'Pool &amp; SPA Pipe Extender'!$A$8:$M$10,5,FALSE),
IF($A35&lt;'PVC SCH80'!$A$250,VLOOKUP($A35,'PVC SCH80'!$A$8:$M$249,5,FALSE),
IF($A35&lt;'PVC SCH80 Flange'!$A$49,VLOOKUP($A35,'PVC SCH80 Flange'!$A$8:$M$48,5,FALSE),
IF($A35&lt;'PVC SCH80 LD Flange'!$A$17,VLOOKUP($A35,'PVC SCH80 LD Flange'!$A$8:$M$16,5,FALSE),
IF($A35&lt;CPVC!$A$105,VLOOKUP($A35,CPVC!$A$9:$M$104,5,FALSE),
IF($A35&lt;InsertFittings!$A$185,VLOOKUP($A35,InsertFittings!$A$9:$M$184,5,FALSE),
IF($A35&lt;Valves!$A$92,VLOOKUP($A35,Valves!$A$9:$Q$91,5,FALSE),
IF($A35&lt;SDR35SW!$A$133,VLOOKUP($A35,SDR35SW!$A$9:$M$132,5,FALSE),
IF($A35&lt;SDR35G!$A$151,VLOOKUP($A35,SDR35G!$A$9:$M$150,5,FALSE),
IF($A35&lt;SDR26G!$A$67,VLOOKUP($A35,SDR26G!$A$9:$N$66,6,FALSE),
IF($A35&lt;Cements!$A$95,VLOOKUP($A35,Cements!$A$8:$Q$94,5,FALSE),
IF($A35&lt;ValveBox!$A$124,VLOOKUP($A35,ValveBox!$A$9:$O$123,5,FALSE),
IF($A35&lt;'ValveBox Components'!$A$142,VLOOKUP($A35,'ValveBox Components'!$A$9:$N$141,5,FALSE),
IF($A35&lt;Drainage!$A$69,VLOOKUP($A35,Drainage!$A$8:$M$68,5,FALSE),
IF($A35&lt;Nipples!$A$82,VLOOKUP($A35,Nipples!$A$9:$Q$81,5,FALSE),
IF($A35&lt;Manifold!$A$33,VLOOKUP($A35,Manifold!$A$9:$M$32,5,FALSE),
IF($A35&lt;FlexibleRepairCouplings!$A$12,VLOOKUP($A35,FlexibleRepairCouplings!$A$9:$M$11,5,FALSE),
IF($A35&lt;DuraFix!$A$15,VLOOKUP($A35,DuraFix!$A$9:$M$14,5,FALSE),
IF($A35&lt;'Compression Fittings'!$A$16,VLOOKUP($A35,'Compression Fittings'!$A$8:$M$15,5,FALSE),
IF($A35&lt;'Hose Fittings'!$A$30,VLOOKUP($A35,'Hose Fittings'!$A$8:$M$29,5,FALSE),
IF($A35&lt;'Swing Joints'!$A$495,VLOOKUP($A35,'Swing Joints'!$A$9:$M$494,5,FALSE),
IF($A35&lt;'Swing Joints Components'!$A$135,VLOOKUP($A35,'Swing Joints Components'!$A$9:$M$134,5,FALSE),
IF($A35&lt;Nonstandard!$A$42,VLOOKUP($A35,Nonstandard!$A$31:$J$41,6,FALSE),"")))))))))))))))))))))))))))),"")</f>
        <v/>
      </c>
      <c r="D35" s="534" t="str">
        <f>IFERROR(IF($A35&lt;'DWV PVC'!$A$317,VLOOKUP($A35,'DWV PVC'!$A$9:$M$316,6,FALSE),
IF($A35&lt;'DWV ABS'!$A$117,VLOOKUP($A35,'DWV ABS'!$A$8:$M$116,6,FALSE),
IF($A35&lt;'PVC SCH40'!$A$425,VLOOKUP($A35,'PVC SCH40'!$A$8:$M$424,6,FALSE),
IF($A35&lt;'PVC SCH40 LD'!$A$22,VLOOKUP($A35,'PVC SCH40 LD'!$A$8:$M$21,6,FALSE),
IF($A35&lt;'Pool &amp; SPA Sweep Elbows'!$A$12,VLOOKUP($A35,'Pool &amp; SPA Sweep Elbows'!$A$8:$M$11,6,FALSE),
IF($A35&lt;'Pool &amp; SPA Pipe Extender'!$A$11,VLOOKUP($A35,'Pool &amp; SPA Pipe Extender'!$A$8:$M$10,6,FALSE),
IF($A35&lt;'PVC SCH80'!$A$250,VLOOKUP($A35,'PVC SCH80'!$A$8:$M$249,6,FALSE),
IF($A35&lt;'PVC SCH80 Flange'!$A$49,VLOOKUP($A35,'PVC SCH80 Flange'!$A$8:$M$48,6,FALSE),
IF($A35&lt;'PVC SCH80 LD Flange'!$A$17,VLOOKUP($A35,'PVC SCH80 LD Flange'!$A$8:$M$16,6,FALSE),
IF($A35&lt;CPVC!$A$105,VLOOKUP($A35,CPVC!$A$9:$M$104,6,FALSE),
IF($A35&lt;InsertFittings!$A$185,VLOOKUP($A35,InsertFittings!$A$9:$M$184,6,FALSE),
IF($A35&lt;Valves!$A$92,VLOOKUP($A35,Valves!$A$9:$Q$91,6,FALSE),
IF($A35&lt;SDR35SW!$A$133,VLOOKUP($A35,SDR35SW!$A$9:$M$132,6,FALSE),
IF($A35&lt;SDR35G!$A$151,VLOOKUP($A35,SDR35G!$A$9:$M$150,6,FALSE),
IF($A35&lt;SDR26G!$A$67,VLOOKUP($A35,SDR26G!$A$9:$N$66,7,FALSE),
IF($A35&lt;Cements!$A$95,VLOOKUP($A35,Cements!$A$8:$Q$94,6,FALSE),
IF($A35&lt;ValveBox!$A$124,VLOOKUP($A35,ValveBox!$A$9:$O$123,6,FALSE),
IF($A35&lt;'ValveBox Components'!$A$142,VLOOKUP($A35,'ValveBox Components'!$A$9:$N$141,6,FALSE),
IF($A35&lt;Drainage!$A$69,VLOOKUP($A35,Drainage!$A$8:$M$68,6,FALSE),
IF($A35&lt;Nipples!$A$82,VLOOKUP($A35,Nipples!$A$9:$Q$81,6,FALSE),
IF($A35&lt;Manifold!$A$33,VLOOKUP($A35,Manifold!$A$9:$M$32,6,FALSE),
IF($A35&lt;FlexibleRepairCouplings!$A$12,VLOOKUP($A35,FlexibleRepairCouplings!$A$9:$M$11,6,FALSE),
IF($A35&lt;DuraFix!$A$15,VLOOKUP($A35,DuraFix!$A$9:$M$14,6,FALSE),
IF($A35&lt;'Compression Fittings'!$A$16,VLOOKUP($A35,'Compression Fittings'!$A$8:$M$15,6,FALSE),
IF($A35&lt;'Hose Fittings'!$A$30,VLOOKUP($A35,'Hose Fittings'!$A$8:$M$29,6,FALSE),
IF($A35&lt;'Swing Joints'!$A$495,VLOOKUP($A35,'Swing Joints'!$A$9:$M$494,6,FALSE),
IF($A35&lt;'Swing Joints Components'!$A$135,VLOOKUP($A35,'Swing Joints Components'!$A$9:$M$134,6,FALSE),
IF($A35&lt;Nonstandard!$A$42,VLOOKUP($A35,Nonstandard!$A$31:$J$41,7,FALSE),"")))))))))))))))))))))))))))),"")</f>
        <v/>
      </c>
      <c r="E35" s="316"/>
      <c r="F35" s="314" t="str">
        <f>IFERROR(IF($A35&lt;'DWV PVC'!$A$317,VLOOKUP($A35,'DWV PVC'!$A$9:$M$316,9,FALSE),
IF($A35&lt;'DWV ABS'!$A$117,VLOOKUP($A35,'DWV ABS'!$A$8:$M$116,9,FALSE),                                                                                                                                                                                                                                                     IF($A35&lt;'PVC SCH40'!$A$425,VLOOKUP($A35,'PVC SCH40'!$A$8:$M$424,9,FALSE),
IF($A35&lt;'PVC SCH40 LD'!$A$22,VLOOKUP($A35,'PVC SCH40 LD'!$A$8:$M$21,9,FALSE),
IF($A35&lt;'Pool &amp; SPA Sweep Elbows'!$A$12,VLOOKUP($A35,'Pool &amp; SPA Sweep Elbows'!$A$8:$M$11,9,FALSE),
IF($A35&lt;'Pool &amp; SPA Pipe Extender'!$A$11,VLOOKUP($A35,'Pool &amp; SPA Pipe Extender'!$A$8:$M$10,9,FALSE),
IF($A35&lt;'PVC SCH80'!$A$250,VLOOKUP($A35,'PVC SCH80'!$A$8:$M$249,9,FALSE),
IF($A35&lt;'PVC SCH80 Flange'!$A$49,VLOOKUP($A35,'PVC SCH80 Flange'!$A$8:$M$48,9,FALSE),
IF($A35&lt;'PVC SCH80 LD Flange'!$A$17,VLOOKUP($A35,'PVC SCH80 LD Flange'!$A$8:$M$16,9,FALSE),
IF($A35&lt;CPVC!$A$105,VLOOKUP($A35,CPVC!$A$9:$M$104,9,FALSE),
IF($A35&lt;InsertFittings!$A$185,VLOOKUP($A35,InsertFittings!$A$9:$M$184,9,FALSE),
IF($A35&lt;Valves!$A$92,VLOOKUP($A35,Valves!$A$9:$Q$91,13,FALSE),
IF($A35&lt;SDR35SW!$A$133,VLOOKUP($A35,SDR35SW!$A$9:$M$132,9,FALSE),
IF($A35&lt;SDR35G!$A$151,VLOOKUP($A35,SDR35G!$A$9:$M$150,9,FALSE),                                                                                                                                                                                                                                                          IF($A35&lt;SDR26G!$A$67,VLOOKUP($A35,SDR26G!$A$9:$N$66,10,FALSE),                                                                                                                                                                                                                                                       IF($A35&lt;Cements!$A$95,VLOOKUP($A35,Cements!$A$8:$Q$94,13,FALSE),
IF($A35&lt;ValveBox!$A$124,VLOOKUP($A35,ValveBox!$A$9:$O$123,11,FALSE),
IF($A35&lt;'ValveBox Components'!$A$142,VLOOKUP($A35,'ValveBox Components'!$A$9:$N$141,10,FALSE),
IF($A35&lt;Drainage!$A$69,VLOOKUP($A35,Drainage!$A$8:$M$68,9,FALSE),                                                                                                                                                                                                                                                              IF($A35&lt;Nipples!$A$82,VLOOKUP($A35,Nipples!$A$9:$Q$81,13,FALSE),
IF($A35&lt;Manifold!$A$33,VLOOKUP($A35,Manifold!$A$9:$M$32,9,FALSE),
IF($A35&lt;FlexibleRepairCouplings!$A$12,VLOOKUP($A35,FlexibleRepairCouplings!$A$9:$M$11,9,FALSE),
IF($A35&lt;DuraFix!$A$15,VLOOKUP($A35,DuraFix!$A$9:$M$14,9,FALSE),                                                                                                                                                                                                                                                          IF($A35&lt;'Compression Fittings'!$A$16,VLOOKUP($A35,'Compression Fittings'!$A$8:$M$15,9,FALSE),
IF($A35&lt;'Hose Fittings'!$A$30,VLOOKUP($A35,'Hose Fittings'!$A$8:$M$29,9,FALSE),
IF($A35&lt;'Swing Joints'!$A$495,VLOOKUP($A35,'Swing Joints'!$A$9:$M$494,9,FALSE),
IF($A35&lt;'Swing Joints Components'!$A$135,VLOOKUP($A35,'Swing Joints Components'!$A$9:$M$134,9,FALSE),
IF($A35&lt;Nonstandard!$A$42,VLOOKUP($A35,Nonstandard!$A$31:$J$41,8,FALSE),"")))))))))))))))))))))))))))),"")</f>
        <v/>
      </c>
      <c r="G35" s="533" t="str">
        <f>IFERROR(IF($A35&lt;'DWV PVC'!$A$317,VLOOKUP($A35,'DWV PVC'!$A$9:$M$316,11,FALSE),
IF($A35&lt;'DWV ABS'!$A$117,VLOOKUP($A35,'DWV ABS'!$A$8:$M$116,11,FALSE),                                                                                                                                                                                                                                                     IF($A35&lt;'PVC SCH40'!$A$425,VLOOKUP($A35,'PVC SCH40'!$A$8:$M$424,11,FALSE),
IF($A35&lt;'PVC SCH40 LD'!$A$22,VLOOKUP($A35,'PVC SCH40 LD'!$A$8:$M$21,11,FALSE),
IF($A35&lt;'Pool &amp; SPA Sweep Elbows'!$A$12,VLOOKUP($A35,'Pool &amp; SPA Sweep Elbows'!$A$8:$M$11,11,FALSE),
IF($A35&lt;'Pool &amp; SPA Pipe Extender'!$A$11,VLOOKUP($A35,'Pool &amp; SPA Pipe Extender'!$A$8:$M$10,11,FALSE),
IF($A35&lt;'PVC SCH80'!$A$250,VLOOKUP($A35,'PVC SCH80'!$A$8:$M$249,11,FALSE),
IF($A35&lt;'PVC SCH80 Flange'!$A$49,VLOOKUP($A35,'PVC SCH80 Flange'!$A$8:$M$48,11,FALSE),
IF($A35&lt;'PVC SCH80 LD Flange'!$A$17,VLOOKUP($A35,'PVC SCH80 LD Flange'!$A$8:$M$16,11,FALSE),
IF($A35&lt;CPVC!$A$105,VLOOKUP($A35,CPVC!$A$9:$M$104,11,FALSE),
IF($A35&lt;InsertFittings!$A$185,VLOOKUP($A35,InsertFittings!$A$9:$M$184,11,FALSE),
IF($A35&lt;Valves!$A$92,VLOOKUP($A35,Valves!$A$9:$Q$91,15,FALSE),
IF($A35&lt;SDR35SW!$A$133,VLOOKUP($A35,SDR35SW!$A$9:$M$132,11,FALSE),
IF($A35&lt;SDR35G!$A$151,VLOOKUP($A35,SDR35G!$A$9:$M$150,11,FALSE),                                                                                                                                                                                                                                                          IF($A35&lt;SDR26G!$A$67,VLOOKUP($A35,SDR26G!$A$9:$N$66,12,FALSE),                                                                                                                                                                                                                                                       IF($A35&lt;Cements!$A$95,VLOOKUP($A35,Cements!$A$8:$Q$94,15,FALSE),
IF($A35&lt;ValveBox!$A$124,VLOOKUP($A35,ValveBox!$A$9:$O$123,13,FALSE),
IF($A35&lt;'ValveBox Components'!$A$142,VLOOKUP($A35,'ValveBox Components'!$A$9:$N$141,12,FALSE),
IF($A35&lt;Drainage!$A$69,VLOOKUP($A35,Drainage!$A$8:$M$68,11,FALSE),                                                                                                                                                                                                                                                           IF($A35&lt;Nipples!$A$82,VLOOKUP($A35,Nipples!$A$9:$Q$81,15,FALSE),
IF($A35&lt;Manifold!$A$33,VLOOKUP($A35,Manifold!$A$9:$M$32,11,FALSE),
IF($A35&lt;FlexibleRepairCouplings!$A$12,VLOOKUP($A35,FlexibleRepairCouplings!$A$9:$M$11,11,FALSE),
IF($A35&lt;DuraFix!$A$15,VLOOKUP($A35,DuraFix!$A$9:$M$14,11,FALSE),                                                                                                                                                                                                                                                            IF($A35&lt;'Compression Fittings'!$A$16,VLOOKUP($A35,'Compression Fittings'!$A$8:$M$15,11,FALSE),
IF($A35&lt;'Hose Fittings'!$A$30,VLOOKUP($A35,'Hose Fittings'!$A$8:$M$29,11,FALSE),
IF($A35&lt;'Swing Joints'!$A$495,VLOOKUP($A35,'Swing Joints'!$A$9:$M$494,11,FALSE),
IF($A35&lt;'Swing Joints Components'!$A$135,VLOOKUP($A35,'Swing Joints Components'!$A$9:$M$134,11,FALSE),
IF($A35&lt;Nonstandard!$A$42,VLOOKUP($A35,Nonstandard!$A$31:$J$41,10,FALSE),"")))))))))))))))))))))))))))),"")</f>
        <v/>
      </c>
      <c r="H35" s="618" t="str">
        <f>IFERROR(IF($A35&lt;'DWV PVC'!$A$317,VLOOKUP($A35,'DWV PVC'!$A$9:$M$316,7,FALSE),
IF($A35&lt;'DWV ABS'!$A$117,VLOOKUP($A35,'DWV ABS'!$A$8:$M$116,11,FALSE),                                                                                                                                                                                                                                                     IF($A35&lt;'PVC SCH40'!$A$425,VLOOKUP($A35,'PVC SCH40'!$A$8:$M$424,7,FALSE),
IF($A35&lt;'PVC SCH40 LD'!$A$22,VLOOKUP($A35,'PVC SCH40 LD'!$A$8:$M$21,7,FALSE),
IF($A35&lt;'Pool &amp; SPA Sweep Elbows'!$A$12,VLOOKUP($A35,'Pool &amp; SPA Sweep Elbows'!$A$8:$M$11,7,FALSE),
IF($A35&lt;'Pool &amp; SPA Pipe Extender'!$A$11,VLOOKUP($A35,'Pool &amp; SPA Pipe Extender'!$A$8:$M$10,7,FALSE),
IF($A35&lt;'PVC SCH80'!$A$250,VLOOKUP($A35,'PVC SCH80'!$A$8:$M$249,7,FALSE),
IF($A35&lt;'PVC SCH80 Flange'!$A$49,VLOOKUP($A35,'PVC SCH80 Flange'!$A$8:$M$48,7,FALSE),
IF($A35&lt;'PVC SCH80 LD Flange'!$A$17,VLOOKUP($A35,'PVC SCH80 LD Flange'!$A$8:$M$16,7,FALSE),
IF($A35&lt;CPVC!$A$105,VLOOKUP($A35,CPVC!$A$9:$M$104,7,FALSE),
IF($A35&lt;InsertFittings!$A$185,VLOOKUP($A35,InsertFittings!$A$9:$M$184,7,FALSE),
IF($A35&lt;Valves!$A$92,VLOOKUP($A35,Valves!$A$9:$Q$91,11,FALSE),
IF($A35&lt;SDR35SW!$A$133,VLOOKUP($A35,SDR35SW!$A$9:$M$132,7,FALSE),
IF($A35&lt;SDR35G!$A$151,VLOOKUP($A35,SDR35G!$A$9:$M$150,7,FALSE),                                                                                                                                                                                                                                                       IF($A35&lt;SDR26G!$A$67,VLOOKUP($A35,SDR26G!$A$9:$N$66,8,FALSE),                                                                                                                                                                                                                                                     IF($A35&lt;Cements!$A$95,VLOOKUP($A35,Cements!$A$8:$Q$94,11,FALSE),
IF($A35&lt;ValveBox!$A$124,VLOOKUP($A35,ValveBox!$A$9:$O$123,10,FALSE),
IF($A35&lt;'ValveBox Components'!$A$142,VLOOKUP($A35,'ValveBox Components'!$A$9:$N$141,9,FALSE),
IF($A35&lt;Drainage!$A$69,VLOOKUP($A35,Drainage!$A$8:$M$68,7,FALSE),                                                                                                                                                                                                                                                          IF($A35&lt;Nipples!$A$82,VLOOKUP($A35,Nipples!$A$9:$Q$81,11,FALSE),
IF($A35&lt;Manifold!$A$33,VLOOKUP($A35,Manifold!$A$9:$M$32,7,FALSE),
IF($A35&lt;FlexibleRepairCouplings!$A$12,VLOOKUP($A35,FlexibleRepairCouplings!$A$9:$M$11,7,FALSE),
IF($A35&lt;DuraFix!$A$15,VLOOKUP($A35,DuraFix!$A$9:$M$14,7,FALSE),                                                                                                                                                                                                                                                           IF($A35&lt;'Compression Fittings'!$A$16,VLOOKUP($A35,'Compression Fittings'!$A$8:$M$15,7,FALSE),
IF($A35&lt;'Hose Fittings'!$A$30,VLOOKUP($A35,'Hose Fittings'!$A$8:$M$29,7,FALSE),
IF($A35&lt;'Swing Joints'!$A$495,VLOOKUP($A35,'Swing Joints'!$A$9:$M$494,7,FALSE),
IF($A35&lt;'Swing Joints Components'!$A$135,VLOOKUP($A35,'Swing Joints Components'!$A$9:$M$134,7,FALSE),
IF($A35&lt;Nonstandard!$A$42,VLOOKUP($A35,Nonstandard!$A$31:$J$41,10,FALSE),"")))))))))))))))))))))))))))),"")</f>
        <v/>
      </c>
      <c r="I35" s="619"/>
      <c r="J35" s="281" t="str">
        <f t="shared" si="1"/>
        <v/>
      </c>
      <c r="K35" s="313" t="str">
        <f>IFERROR(IF($A35&lt;'DWV PVC'!$A$317,VLOOKUP($A35,'DWV PVC'!$A$9:$M$316,10,FALSE),
IF($A35&lt;'DWV ABS'!$A$117,VLOOKUP($A35,'DWV ABS'!$A$8:$M$116,10,FALSE),
IF($A35&lt;'PVC SCH40'!$A$425,VLOOKUP($A35,'PVC SCH40'!$A$8:$M$424,10,FALSE),
IF($A35&lt;'PVC SCH40 LD'!$A$22,VLOOKUP($A35,'PVC SCH40 LD'!$A$8:$M$21,10,FALSE),
IF($A35&lt;'Pool &amp; SPA Sweep Elbows'!$A$12,VLOOKUP($A35,'Pool &amp; SPA Sweep Elbows'!$A$8:$M$11,10,FALSE),
IF($A35&lt;'Pool &amp; SPA Pipe Extender'!$A$11,VLOOKUP($A35,'Pool &amp; SPA Pipe Extender'!$A$8:$M$10,10,FALSE),
IF($A35&lt;'PVC SCH80'!$A$250,VLOOKUP($A35,'PVC SCH80'!$A$8:$M$249,10,FALSE),
IF($A35&lt;'PVC SCH80 Flange'!$A$49,VLOOKUP($A35,'PVC SCH80 Flange'!$A$8:$M$48,10,FALSE),
IF($A35&lt;'PVC SCH80 LD Flange'!$A$17,VLOOKUP($A35,'PVC SCH80 LD Flange'!$A$8:$M$16,10,FALSE),
IF($A35&lt;CPVC!$A$105,VLOOKUP($A35,CPVC!$A$9:$M$104,10,FALSE),
IF($A35&lt;InsertFittings!$A$185,VLOOKUP($A35,InsertFittings!$A$9:$M$184,10,FALSE),
IF($A35&lt;Valves!$A$92,VLOOKUP($A35,Valves!$A$9:$Q$91,14,FALSE),
IF($A35&lt;SDR35SW!$A$133,VLOOKUP($A35,SDR35SW!$A$9:$M$132,10,FALSE),
IF($A35&lt;SDR35G!$A$151,VLOOKUP($A35,SDR35G!$A$9:$M$150,10,FALSE),
IF($A35&lt;SDR26G!$A$67,VLOOKUP($A35,SDR26G!$A$9:$N$66,11,FALSE),
IF($A35&lt;Cements!$A$95,VLOOKUP($A35,Cements!$A$8:$Q$94,14,FALSE),
IF($A35&lt;ValveBox!$A$124,VLOOKUP($A35,ValveBox!$A$9:$O$123,12,FALSE),
IF($A35&lt;'ValveBox Components'!$A$142,VLOOKUP($A35,'ValveBox Components'!$A$9:$N$141,11,FALSE),
IF($A35&lt;Drainage!$A$69,VLOOKUP($A35,Drainage!$A$8:$M$68,10,FALSE),
IF($A35&lt;Nipples!$A$82,VLOOKUP($A35,Nipples!$A$9:$Q$81,14,FALSE),
IF($A35&lt;Manifold!$A$33,VLOOKUP($A35,Manifold!$A$9:$M$32,10,FALSE),
IF($A35&lt;FlexibleRepairCouplings!$A$12,VLOOKUP($A35,FlexibleRepairCouplings!$A$9:$M$11,10,FALSE),
IF($A35&lt;DuraFix!$A$15,VLOOKUP($A35,DuraFix!$A$9:$M$14,10,FALSE),
IF($A35&lt;'Compression Fittings'!$A$16,VLOOKUP($A35,'Compression Fittings'!$A$8:$M$15,10,FALSE),
IF($A35&lt;'Hose Fittings'!$A$30,VLOOKUP($A35,'Hose Fittings'!$A$8:$M$29,10,FALSE),
IF($A35&lt;'Swing Joints'!$A$495,VLOOKUP($A35,'Swing Joints'!$A$9:$M$494,10,FALSE),
IF($A35&lt;'Swing Joints Components'!$A$135,VLOOKUP($A35,'Swing Joints Components'!$A$9:$M$134,10,FALSE),
IF($A35&lt;Nonstandard!$A$42,VLOOKUP($A35,Nonstandard!$A$31:$J$41,10,FALSE),"")))))))))))))))))))))))))))),"")</f>
        <v/>
      </c>
      <c r="L35" s="314" t="str">
        <f t="shared" si="0"/>
        <v>-</v>
      </c>
      <c r="M35" s="315"/>
    </row>
    <row r="36" spans="1:13" ht="15.6">
      <c r="A36" s="536">
        <v>4</v>
      </c>
      <c r="B36" s="536" t="str">
        <f>IFERROR(IF($A36&lt;'DWV PVC'!$A$317,VLOOKUP($A36,'DWV PVC'!$A$9:$M$316,4,FALSE),
IF($A36&lt;'DWV ABS'!$A$117,VLOOKUP($A36,'DWV ABS'!$A$8:$M$116,4,FALSE),
IF($A36&lt;'PVC SCH40'!$A$425,VLOOKUP($A36,'PVC SCH40'!$A$8:$M$424,4,FALSE),
IF($A36&lt;'PVC SCH40 LD'!$A$22,VLOOKUP($A36,'PVC SCH40 LD'!$A$8:$M$21,4,FALSE),
IF($A36&lt;'Pool &amp; SPA Sweep Elbows'!$A$12,VLOOKUP($A36,'Pool &amp; SPA Sweep Elbows'!$A$8:$M$11,4,FALSE),
IF($A36&lt;'Pool &amp; SPA Pipe Extender'!$A$11,VLOOKUP($A36,'Pool &amp; SPA Pipe Extender'!$A$8:$M$10,4,FALSE),
IF($A36&lt;'PVC SCH80'!$A$250,VLOOKUP($A36,'PVC SCH80'!$A$8:$M$249,4,FALSE),
IF($A36&lt;'PVC SCH80 Flange'!$A$49,VLOOKUP($A36,'PVC SCH80 Flange'!$A$8:$M$48,4,FALSE),
IF($A36&lt;'PVC SCH80 LD Flange'!$A$17,VLOOKUP($A36,'PVC SCH80 LD Flange'!$A$8:$M$16,4,FALSE),
IF($A36&lt;CPVC!$A$105,VLOOKUP($A36,CPVC!$A$9:$M$104,4,FALSE),
IF($A36&lt;InsertFittings!$A$185,VLOOKUP($A36,InsertFittings!$A$9:$M$184,4,FALSE),
IF($A36&lt;Valves!$A$92,VLOOKUP($A36,Valves!$A$9:$Q$91,4,FALSE),
IF($A36&lt;SDR35SW!$A$133,VLOOKUP($A36,SDR35SW!$A$9:$M$132,4,FALSE),
IF($A36&lt;SDR35G!$A$151,VLOOKUP($A36,SDR35G!$A$9:$M$150,4,FALSE),
IF($A36&lt;SDR26G!$A$67,VLOOKUP($A36,SDR26G!$A$9:$N$66,5,FALSE),
IF($A36&lt;Cements!$A$95,VLOOKUP($A36,Cements!$A$8:$Q$94,4,FALSE),
IF($A36&lt;ValveBox!$A$124,VLOOKUP($A36,ValveBox!$A$9:$O$123,4,FALSE),
IF($A36&lt;'ValveBox Components'!$A$142,VLOOKUP($A36,'ValveBox Components'!$A$9:$N$141,4,FALSE),
IF($A36&lt;Drainage!$A$69,VLOOKUP($A36,Drainage!$A$8:$M$68,4,FALSE),
IF($A36&lt;Nipples!$A$82,VLOOKUP($A36,Nipples!$A$9:$Q$81,4,FALSE),
IF($A36&lt;Manifold!$A$33,VLOOKUP($A36,Manifold!$A$9:$M$32,4,FALSE),
IF($A36&lt;FlexibleRepairCouplings!$A$12,VLOOKUP($A36,FlexibleRepairCouplings!$A$9:$M$11,4,FALSE),
IF($A36&lt;DuraFix!$A$15,VLOOKUP($A36,DuraFix!$A$9:$M$14,4,FALSE),
IF($A36&lt;'Compression Fittings'!$A$16,VLOOKUP($A36,'Compression Fittings'!$A$8:$M$15,4,FALSE),
IF($A36&lt;'Hose Fittings'!$A$30,VLOOKUP($A36,'Hose Fittings'!$A$8:$M$29,4,FALSE),
IF($A36&lt;'Swing Joints'!$A$495,VLOOKUP($A36,'Swing Joints'!$A$9:$M$494,4,FALSE),
IF($A36&lt;'Swing Joints Components'!$A$135,VLOOKUP($A36,'Swing Joints Components'!$A$9:$M$134,4,FALSE),
IF($A36&lt;Nonstandard!$A$42,VLOOKUP($A36,Nonstandard!$A$31:$J$41,5,FALSE),"")))))))))))))))))))))))))))),"")</f>
        <v/>
      </c>
      <c r="C36" s="536" t="str">
        <f>IFERROR(IF($A36&lt;'DWV PVC'!$A$317,VLOOKUP($A36,'DWV PVC'!$A$9:$M$316,5,FALSE),
IF($A36&lt;'DWV ABS'!$A$117,VLOOKUP($A36,'DWV ABS'!$A$8:$M$116,5,FALSE),
IF($A36&lt;'PVC SCH40'!$A$425,VLOOKUP($A36,'PVC SCH40'!$A$8:$M$424,5,FALSE),
IF($A36&lt;'PVC SCH40 LD'!$A$22,VLOOKUP($A36,'PVC SCH40 LD'!$A$8:$M$21,5,FALSE),
IF($A36&lt;'Pool &amp; SPA Sweep Elbows'!$A$12,VLOOKUP($A36,'Pool &amp; SPA Sweep Elbows'!$A$8:$M$11,5,FALSE),
IF($A36&lt;'Pool &amp; SPA Pipe Extender'!$A$11,VLOOKUP($A36,'Pool &amp; SPA Pipe Extender'!$A$8:$M$10,5,FALSE),
IF($A36&lt;'PVC SCH80'!$A$250,VLOOKUP($A36,'PVC SCH80'!$A$8:$M$249,5,FALSE),
IF($A36&lt;'PVC SCH80 Flange'!$A$49,VLOOKUP($A36,'PVC SCH80 Flange'!$A$8:$M$48,5,FALSE),
IF($A36&lt;'PVC SCH80 LD Flange'!$A$17,VLOOKUP($A36,'PVC SCH80 LD Flange'!$A$8:$M$16,5,FALSE),
IF($A36&lt;CPVC!$A$105,VLOOKUP($A36,CPVC!$A$9:$M$104,5,FALSE),
IF($A36&lt;InsertFittings!$A$185,VLOOKUP($A36,InsertFittings!$A$9:$M$184,5,FALSE),
IF($A36&lt;Valves!$A$92,VLOOKUP($A36,Valves!$A$9:$Q$91,5,FALSE),
IF($A36&lt;SDR35SW!$A$133,VLOOKUP($A36,SDR35SW!$A$9:$M$132,5,FALSE),
IF($A36&lt;SDR35G!$A$151,VLOOKUP($A36,SDR35G!$A$9:$M$150,5,FALSE),
IF($A36&lt;SDR26G!$A$67,VLOOKUP($A36,SDR26G!$A$9:$N$66,6,FALSE),
IF($A36&lt;Cements!$A$95,VLOOKUP($A36,Cements!$A$8:$Q$94,5,FALSE),
IF($A36&lt;ValveBox!$A$124,VLOOKUP($A36,ValveBox!$A$9:$O$123,5,FALSE),
IF($A36&lt;'ValveBox Components'!$A$142,VLOOKUP($A36,'ValveBox Components'!$A$9:$N$141,5,FALSE),
IF($A36&lt;Drainage!$A$69,VLOOKUP($A36,Drainage!$A$8:$M$68,5,FALSE),
IF($A36&lt;Nipples!$A$82,VLOOKUP($A36,Nipples!$A$9:$Q$81,5,FALSE),
IF($A36&lt;Manifold!$A$33,VLOOKUP($A36,Manifold!$A$9:$M$32,5,FALSE),
IF($A36&lt;FlexibleRepairCouplings!$A$12,VLOOKUP($A36,FlexibleRepairCouplings!$A$9:$M$11,5,FALSE),
IF($A36&lt;DuraFix!$A$15,VLOOKUP($A36,DuraFix!$A$9:$M$14,5,FALSE),
IF($A36&lt;'Compression Fittings'!$A$16,VLOOKUP($A36,'Compression Fittings'!$A$8:$M$15,5,FALSE),
IF($A36&lt;'Hose Fittings'!$A$30,VLOOKUP($A36,'Hose Fittings'!$A$8:$M$29,5,FALSE),
IF($A36&lt;'Swing Joints'!$A$495,VLOOKUP($A36,'Swing Joints'!$A$9:$M$494,5,FALSE),
IF($A36&lt;'Swing Joints Components'!$A$135,VLOOKUP($A36,'Swing Joints Components'!$A$9:$M$134,5,FALSE),
IF($A36&lt;Nonstandard!$A$42,VLOOKUP($A36,Nonstandard!$A$31:$J$41,6,FALSE),"")))))))))))))))))))))))))))),"")</f>
        <v/>
      </c>
      <c r="D36" s="537" t="str">
        <f>IFERROR(IF($A36&lt;'DWV PVC'!$A$317,VLOOKUP($A36,'DWV PVC'!$A$9:$M$316,6,FALSE),
IF($A36&lt;'DWV ABS'!$A$117,VLOOKUP($A36,'DWV ABS'!$A$8:$M$116,6,FALSE),
IF($A36&lt;'PVC SCH40'!$A$425,VLOOKUP($A36,'PVC SCH40'!$A$8:$M$424,6,FALSE),
IF($A36&lt;'PVC SCH40 LD'!$A$22,VLOOKUP($A36,'PVC SCH40 LD'!$A$8:$M$21,6,FALSE),
IF($A36&lt;'Pool &amp; SPA Sweep Elbows'!$A$12,VLOOKUP($A36,'Pool &amp; SPA Sweep Elbows'!$A$8:$M$11,6,FALSE),
IF($A36&lt;'Pool &amp; SPA Pipe Extender'!$A$11,VLOOKUP($A36,'Pool &amp; SPA Pipe Extender'!$A$8:$M$10,6,FALSE),
IF($A36&lt;'PVC SCH80'!$A$250,VLOOKUP($A36,'PVC SCH80'!$A$8:$M$249,6,FALSE),
IF($A36&lt;'PVC SCH80 Flange'!$A$49,VLOOKUP($A36,'PVC SCH80 Flange'!$A$8:$M$48,6,FALSE),
IF($A36&lt;'PVC SCH80 LD Flange'!$A$17,VLOOKUP($A36,'PVC SCH80 LD Flange'!$A$8:$M$16,6,FALSE),
IF($A36&lt;CPVC!$A$105,VLOOKUP($A36,CPVC!$A$9:$M$104,6,FALSE),
IF($A36&lt;InsertFittings!$A$185,VLOOKUP($A36,InsertFittings!$A$9:$M$184,6,FALSE),
IF($A36&lt;Valves!$A$92,VLOOKUP($A36,Valves!$A$9:$Q$91,6,FALSE),
IF($A36&lt;SDR35SW!$A$133,VLOOKUP($A36,SDR35SW!$A$9:$M$132,6,FALSE),
IF($A36&lt;SDR35G!$A$151,VLOOKUP($A36,SDR35G!$A$9:$M$150,6,FALSE),
IF($A36&lt;SDR26G!$A$67,VLOOKUP($A36,SDR26G!$A$9:$N$66,7,FALSE),
IF($A36&lt;Cements!$A$95,VLOOKUP($A36,Cements!$A$8:$Q$94,6,FALSE),
IF($A36&lt;ValveBox!$A$124,VLOOKUP($A36,ValveBox!$A$9:$O$123,6,FALSE),
IF($A36&lt;'ValveBox Components'!$A$142,VLOOKUP($A36,'ValveBox Components'!$A$9:$N$141,6,FALSE),
IF($A36&lt;Drainage!$A$69,VLOOKUP($A36,Drainage!$A$8:$M$68,6,FALSE),
IF($A36&lt;Nipples!$A$82,VLOOKUP($A36,Nipples!$A$9:$Q$81,6,FALSE),
IF($A36&lt;Manifold!$A$33,VLOOKUP($A36,Manifold!$A$9:$M$32,6,FALSE),
IF($A36&lt;FlexibleRepairCouplings!$A$12,VLOOKUP($A36,FlexibleRepairCouplings!$A$9:$M$11,6,FALSE),
IF($A36&lt;DuraFix!$A$15,VLOOKUP($A36,DuraFix!$A$9:$M$14,6,FALSE),
IF($A36&lt;'Compression Fittings'!$A$16,VLOOKUP($A36,'Compression Fittings'!$A$8:$M$15,6,FALSE),
IF($A36&lt;'Hose Fittings'!$A$30,VLOOKUP($A36,'Hose Fittings'!$A$8:$M$29,6,FALSE),
IF($A36&lt;'Swing Joints'!$A$495,VLOOKUP($A36,'Swing Joints'!$A$9:$M$494,6,FALSE),
IF($A36&lt;'Swing Joints Components'!$A$135,VLOOKUP($A36,'Swing Joints Components'!$A$9:$M$134,6,FALSE),
IF($A36&lt;Nonstandard!$A$42,VLOOKUP($A36,Nonstandard!$A$31:$J$41,7,FALSE),"")))))))))))))))))))))))))))),"")</f>
        <v/>
      </c>
      <c r="E36" s="538"/>
      <c r="F36" s="539" t="str">
        <f>IFERROR(IF($A36&lt;'DWV PVC'!$A$317,VLOOKUP($A36,'DWV PVC'!$A$9:$M$316,9,FALSE),
IF($A36&lt;'DWV ABS'!$A$117,VLOOKUP($A36,'DWV ABS'!$A$8:$M$116,9,FALSE),                                                                                                                                                                                                                                                     IF($A36&lt;'PVC SCH40'!$A$425,VLOOKUP($A36,'PVC SCH40'!$A$8:$M$424,9,FALSE),
IF($A36&lt;'PVC SCH40 LD'!$A$22,VLOOKUP($A36,'PVC SCH40 LD'!$A$8:$M$21,9,FALSE),
IF($A36&lt;'Pool &amp; SPA Sweep Elbows'!$A$12,VLOOKUP($A36,'Pool &amp; SPA Sweep Elbows'!$A$8:$M$11,9,FALSE),
IF($A36&lt;'Pool &amp; SPA Pipe Extender'!$A$11,VLOOKUP($A36,'Pool &amp; SPA Pipe Extender'!$A$8:$M$10,9,FALSE),
IF($A36&lt;'PVC SCH80'!$A$250,VLOOKUP($A36,'PVC SCH80'!$A$8:$M$249,9,FALSE),
IF($A36&lt;'PVC SCH80 Flange'!$A$49,VLOOKUP($A36,'PVC SCH80 Flange'!$A$8:$M$48,9,FALSE),
IF($A36&lt;'PVC SCH80 LD Flange'!$A$17,VLOOKUP($A36,'PVC SCH80 LD Flange'!$A$8:$M$16,9,FALSE),
IF($A36&lt;CPVC!$A$105,VLOOKUP($A36,CPVC!$A$9:$M$104,9,FALSE),
IF($A36&lt;InsertFittings!$A$185,VLOOKUP($A36,InsertFittings!$A$9:$M$184,9,FALSE),
IF($A36&lt;Valves!$A$92,VLOOKUP($A36,Valves!$A$9:$Q$91,13,FALSE),
IF($A36&lt;SDR35SW!$A$133,VLOOKUP($A36,SDR35SW!$A$9:$M$132,9,FALSE),
IF($A36&lt;SDR35G!$A$151,VLOOKUP($A36,SDR35G!$A$9:$M$150,9,FALSE),                                                                                                                                                                                                                                                          IF($A36&lt;SDR26G!$A$67,VLOOKUP($A36,SDR26G!$A$9:$N$66,10,FALSE),                                                                                                                                                                                                                                                       IF($A36&lt;Cements!$A$95,VLOOKUP($A36,Cements!$A$8:$Q$94,13,FALSE),
IF($A36&lt;ValveBox!$A$124,VLOOKUP($A36,ValveBox!$A$9:$O$123,11,FALSE),
IF($A36&lt;'ValveBox Components'!$A$142,VLOOKUP($A36,'ValveBox Components'!$A$9:$N$141,10,FALSE),
IF($A36&lt;Drainage!$A$69,VLOOKUP($A36,Drainage!$A$8:$M$68,9,FALSE),                                                                                                                                                                                                                                                              IF($A36&lt;Nipples!$A$82,VLOOKUP($A36,Nipples!$A$9:$Q$81,13,FALSE),
IF($A36&lt;Manifold!$A$33,VLOOKUP($A36,Manifold!$A$9:$M$32,9,FALSE),
IF($A36&lt;FlexibleRepairCouplings!$A$12,VLOOKUP($A36,FlexibleRepairCouplings!$A$9:$M$11,9,FALSE),
IF($A36&lt;DuraFix!$A$15,VLOOKUP($A36,DuraFix!$A$9:$M$14,9,FALSE),                                                                                                                                                                                                                                                          IF($A36&lt;'Compression Fittings'!$A$16,VLOOKUP($A36,'Compression Fittings'!$A$8:$M$15,9,FALSE),
IF($A36&lt;'Hose Fittings'!$A$30,VLOOKUP($A36,'Hose Fittings'!$A$8:$M$29,9,FALSE),
IF($A36&lt;'Swing Joints'!$A$495,VLOOKUP($A36,'Swing Joints'!$A$9:$M$494,9,FALSE),
IF($A36&lt;'Swing Joints Components'!$A$135,VLOOKUP($A36,'Swing Joints Components'!$A$9:$M$134,9,FALSE),
IF($A36&lt;Nonstandard!$A$42,VLOOKUP($A36,Nonstandard!$A$31:$J$41,8,FALSE),"")))))))))))))))))))))))))))),"")</f>
        <v/>
      </c>
      <c r="G36" s="540" t="str">
        <f>IFERROR(IF($A36&lt;'DWV PVC'!$A$317,VLOOKUP($A36,'DWV PVC'!$A$9:$M$316,11,FALSE),
IF($A36&lt;'DWV ABS'!$A$117,VLOOKUP($A36,'DWV ABS'!$A$8:$M$116,11,FALSE),                                                                                                                                                                                                                                                     IF($A36&lt;'PVC SCH40'!$A$425,VLOOKUP($A36,'PVC SCH40'!$A$8:$M$424,11,FALSE),
IF($A36&lt;'PVC SCH40 LD'!$A$22,VLOOKUP($A36,'PVC SCH40 LD'!$A$8:$M$21,11,FALSE),
IF($A36&lt;'Pool &amp; SPA Sweep Elbows'!$A$12,VLOOKUP($A36,'Pool &amp; SPA Sweep Elbows'!$A$8:$M$11,11,FALSE),
IF($A36&lt;'Pool &amp; SPA Pipe Extender'!$A$11,VLOOKUP($A36,'Pool &amp; SPA Pipe Extender'!$A$8:$M$10,11,FALSE),
IF($A36&lt;'PVC SCH80'!$A$250,VLOOKUP($A36,'PVC SCH80'!$A$8:$M$249,11,FALSE),
IF($A36&lt;'PVC SCH80 Flange'!$A$49,VLOOKUP($A36,'PVC SCH80 Flange'!$A$8:$M$48,11,FALSE),
IF($A36&lt;'PVC SCH80 LD Flange'!$A$17,VLOOKUP($A36,'PVC SCH80 LD Flange'!$A$8:$M$16,11,FALSE),
IF($A36&lt;CPVC!$A$105,VLOOKUP($A36,CPVC!$A$9:$M$104,11,FALSE),
IF($A36&lt;InsertFittings!$A$185,VLOOKUP($A36,InsertFittings!$A$9:$M$184,11,FALSE),
IF($A36&lt;Valves!$A$92,VLOOKUP($A36,Valves!$A$9:$Q$91,15,FALSE),
IF($A36&lt;SDR35SW!$A$133,VLOOKUP($A36,SDR35SW!$A$9:$M$132,11,FALSE),
IF($A36&lt;SDR35G!$A$151,VLOOKUP($A36,SDR35G!$A$9:$M$150,11,FALSE),                                                                                                                                                                                                                                                          IF($A36&lt;SDR26G!$A$67,VLOOKUP($A36,SDR26G!$A$9:$N$66,12,FALSE),                                                                                                                                                                                                                                                       IF($A36&lt;Cements!$A$95,VLOOKUP($A36,Cements!$A$8:$Q$94,15,FALSE),
IF($A36&lt;ValveBox!$A$124,VLOOKUP($A36,ValveBox!$A$9:$O$123,13,FALSE),
IF($A36&lt;'ValveBox Components'!$A$142,VLOOKUP($A36,'ValveBox Components'!$A$9:$N$141,12,FALSE),
IF($A36&lt;Drainage!$A$69,VLOOKUP($A36,Drainage!$A$8:$M$68,11,FALSE),                                                                                                                                                                                                                                                           IF($A36&lt;Nipples!$A$82,VLOOKUP($A36,Nipples!$A$9:$Q$81,15,FALSE),
IF($A36&lt;Manifold!$A$33,VLOOKUP($A36,Manifold!$A$9:$M$32,11,FALSE),
IF($A36&lt;FlexibleRepairCouplings!$A$12,VLOOKUP($A36,FlexibleRepairCouplings!$A$9:$M$11,11,FALSE),
IF($A36&lt;DuraFix!$A$15,VLOOKUP($A36,DuraFix!$A$9:$M$14,11,FALSE),                                                                                                                                                                                                                                                            IF($A36&lt;'Compression Fittings'!$A$16,VLOOKUP($A36,'Compression Fittings'!$A$8:$M$15,11,FALSE),
IF($A36&lt;'Hose Fittings'!$A$30,VLOOKUP($A36,'Hose Fittings'!$A$8:$M$29,11,FALSE),
IF($A36&lt;'Swing Joints'!$A$495,VLOOKUP($A36,'Swing Joints'!$A$9:$M$494,11,FALSE),
IF($A36&lt;'Swing Joints Components'!$A$135,VLOOKUP($A36,'Swing Joints Components'!$A$9:$M$134,11,FALSE),
IF($A36&lt;Nonstandard!$A$42,VLOOKUP($A36,Nonstandard!$A$31:$J$41,10,FALSE),"")))))))))))))))))))))))))))),"")</f>
        <v/>
      </c>
      <c r="H36" s="620" t="str">
        <f>IFERROR(IF($A36&lt;'DWV PVC'!$A$317,VLOOKUP($A36,'DWV PVC'!$A$9:$M$316,7,FALSE),
IF($A36&lt;'DWV ABS'!$A$117,VLOOKUP($A36,'DWV ABS'!$A$8:$M$116,11,FALSE),                                                                                                                                                                                                                                                     IF($A36&lt;'PVC SCH40'!$A$425,VLOOKUP($A36,'PVC SCH40'!$A$8:$M$424,7,FALSE),
IF($A36&lt;'PVC SCH40 LD'!$A$22,VLOOKUP($A36,'PVC SCH40 LD'!$A$8:$M$21,7,FALSE),
IF($A36&lt;'Pool &amp; SPA Sweep Elbows'!$A$12,VLOOKUP($A36,'Pool &amp; SPA Sweep Elbows'!$A$8:$M$11,7,FALSE),
IF($A36&lt;'Pool &amp; SPA Pipe Extender'!$A$11,VLOOKUP($A36,'Pool &amp; SPA Pipe Extender'!$A$8:$M$10,7,FALSE),
IF($A36&lt;'PVC SCH80'!$A$250,VLOOKUP($A36,'PVC SCH80'!$A$8:$M$249,7,FALSE),
IF($A36&lt;'PVC SCH80 Flange'!$A$49,VLOOKUP($A36,'PVC SCH80 Flange'!$A$8:$M$48,7,FALSE),
IF($A36&lt;'PVC SCH80 LD Flange'!$A$17,VLOOKUP($A36,'PVC SCH80 LD Flange'!$A$8:$M$16,7,FALSE),
IF($A36&lt;CPVC!$A$105,VLOOKUP($A36,CPVC!$A$9:$M$104,7,FALSE),
IF($A36&lt;InsertFittings!$A$185,VLOOKUP($A36,InsertFittings!$A$9:$M$184,7,FALSE),
IF($A36&lt;Valves!$A$92,VLOOKUP($A36,Valves!$A$9:$Q$91,11,FALSE),
IF($A36&lt;SDR35SW!$A$133,VLOOKUP($A36,SDR35SW!$A$9:$M$132,7,FALSE),
IF($A36&lt;SDR35G!$A$151,VLOOKUP($A36,SDR35G!$A$9:$M$150,7,FALSE),                                                                                                                                                                                                                                                       IF($A36&lt;SDR26G!$A$67,VLOOKUP($A36,SDR26G!$A$9:$N$66,8,FALSE),                                                                                                                                                                                                                                                     IF($A36&lt;Cements!$A$95,VLOOKUP($A36,Cements!$A$8:$Q$94,11,FALSE),
IF($A36&lt;ValveBox!$A$124,VLOOKUP($A36,ValveBox!$A$9:$O$123,10,FALSE),
IF($A36&lt;'ValveBox Components'!$A$142,VLOOKUP($A36,'ValveBox Components'!$A$9:$N$141,9,FALSE),
IF($A36&lt;Drainage!$A$69,VLOOKUP($A36,Drainage!$A$8:$M$68,7,FALSE),                                                                                                                                                                                                                                                          IF($A36&lt;Nipples!$A$82,VLOOKUP($A36,Nipples!$A$9:$Q$81,11,FALSE),
IF($A36&lt;Manifold!$A$33,VLOOKUP($A36,Manifold!$A$9:$M$32,7,FALSE),
IF($A36&lt;FlexibleRepairCouplings!$A$12,VLOOKUP($A36,FlexibleRepairCouplings!$A$9:$M$11,7,FALSE),
IF($A36&lt;DuraFix!$A$15,VLOOKUP($A36,DuraFix!$A$9:$M$14,7,FALSE),                                                                                                                                                                                                                                                           IF($A36&lt;'Compression Fittings'!$A$16,VLOOKUP($A36,'Compression Fittings'!$A$8:$M$15,7,FALSE),
IF($A36&lt;'Hose Fittings'!$A$30,VLOOKUP($A36,'Hose Fittings'!$A$8:$M$29,7,FALSE),
IF($A36&lt;'Swing Joints'!$A$495,VLOOKUP($A36,'Swing Joints'!$A$9:$M$494,7,FALSE),
IF($A36&lt;'Swing Joints Components'!$A$135,VLOOKUP($A36,'Swing Joints Components'!$A$9:$M$134,7,FALSE),
IF($A36&lt;Nonstandard!$A$42,VLOOKUP($A36,Nonstandard!$A$31:$J$41,10,FALSE),"")))))))))))))))))))))))))))),"")</f>
        <v/>
      </c>
      <c r="I36" s="621"/>
      <c r="J36" s="541" t="str">
        <f t="shared" si="1"/>
        <v/>
      </c>
      <c r="K36" s="599" t="str">
        <f>IFERROR(IF($A36&lt;'DWV PVC'!$A$317,VLOOKUP($A36,'DWV PVC'!$A$9:$M$316,10,FALSE),
IF($A36&lt;'DWV ABS'!$A$117,VLOOKUP($A36,'DWV ABS'!$A$8:$M$116,10,FALSE),
IF($A36&lt;'PVC SCH40'!$A$425,VLOOKUP($A36,'PVC SCH40'!$A$8:$M$424,10,FALSE),
IF($A36&lt;'PVC SCH40 LD'!$A$22,VLOOKUP($A36,'PVC SCH40 LD'!$A$8:$M$21,10,FALSE),
IF($A36&lt;'Pool &amp; SPA Sweep Elbows'!$A$12,VLOOKUP($A36,'Pool &amp; SPA Sweep Elbows'!$A$8:$M$11,10,FALSE),
IF($A36&lt;'Pool &amp; SPA Pipe Extender'!$A$11,VLOOKUP($A36,'Pool &amp; SPA Pipe Extender'!$A$8:$M$10,10,FALSE),
IF($A36&lt;'PVC SCH80'!$A$250,VLOOKUP($A36,'PVC SCH80'!$A$8:$M$249,10,FALSE),
IF($A36&lt;'PVC SCH80 Flange'!$A$49,VLOOKUP($A36,'PVC SCH80 Flange'!$A$8:$M$48,10,FALSE),
IF($A36&lt;'PVC SCH80 LD Flange'!$A$17,VLOOKUP($A36,'PVC SCH80 LD Flange'!$A$8:$M$16,10,FALSE),
IF($A36&lt;CPVC!$A$105,VLOOKUP($A36,CPVC!$A$9:$M$104,10,FALSE),
IF($A36&lt;InsertFittings!$A$185,VLOOKUP($A36,InsertFittings!$A$9:$M$184,10,FALSE),
IF($A36&lt;Valves!$A$92,VLOOKUP($A36,Valves!$A$9:$Q$91,14,FALSE),
IF($A36&lt;SDR35SW!$A$133,VLOOKUP($A36,SDR35SW!$A$9:$M$132,10,FALSE),
IF($A36&lt;SDR35G!$A$151,VLOOKUP($A36,SDR35G!$A$9:$M$150,10,FALSE),
IF($A36&lt;SDR26G!$A$67,VLOOKUP($A36,SDR26G!$A$9:$N$66,11,FALSE),
IF($A36&lt;Cements!$A$95,VLOOKUP($A36,Cements!$A$8:$Q$94,14,FALSE),
IF($A36&lt;ValveBox!$A$124,VLOOKUP($A36,ValveBox!$A$9:$O$123,12,FALSE),
IF($A36&lt;'ValveBox Components'!$A$142,VLOOKUP($A36,'ValveBox Components'!$A$9:$N$141,11,FALSE),
IF($A36&lt;Drainage!$A$69,VLOOKUP($A36,Drainage!$A$8:$M$68,10,FALSE),
IF($A36&lt;Nipples!$A$82,VLOOKUP($A36,Nipples!$A$9:$Q$81,14,FALSE),
IF($A36&lt;Manifold!$A$33,VLOOKUP($A36,Manifold!$A$9:$M$32,10,FALSE),
IF($A36&lt;FlexibleRepairCouplings!$A$12,VLOOKUP($A36,FlexibleRepairCouplings!$A$9:$M$11,10,FALSE),
IF($A36&lt;DuraFix!$A$15,VLOOKUP($A36,DuraFix!$A$9:$M$14,10,FALSE),
IF($A36&lt;'Compression Fittings'!$A$16,VLOOKUP($A36,'Compression Fittings'!$A$8:$M$15,10,FALSE),
IF($A36&lt;'Hose Fittings'!$A$30,VLOOKUP($A36,'Hose Fittings'!$A$8:$M$29,10,FALSE),
IF($A36&lt;'Swing Joints'!$A$495,VLOOKUP($A36,'Swing Joints'!$A$9:$M$494,10,FALSE),
IF($A36&lt;'Swing Joints Components'!$A$135,VLOOKUP($A36,'Swing Joints Components'!$A$9:$M$134,10,FALSE),
IF($A36&lt;Nonstandard!$A$42,VLOOKUP($A36,Nonstandard!$A$31:$J$41,10,FALSE),"")))))))))))))))))))))))))))),"")</f>
        <v/>
      </c>
      <c r="L36" s="539" t="str">
        <f t="shared" si="0"/>
        <v>-</v>
      </c>
      <c r="M36" s="542"/>
    </row>
    <row r="37" spans="1:13" ht="15.6">
      <c r="A37" s="312">
        <v>5</v>
      </c>
      <c r="B37" s="312" t="str">
        <f>IFERROR(IF($A37&lt;'DWV PVC'!$A$317,VLOOKUP($A37,'DWV PVC'!$A$9:$M$316,4,FALSE),
IF($A37&lt;'DWV ABS'!$A$117,VLOOKUP($A37,'DWV ABS'!$A$8:$M$116,4,FALSE),
IF($A37&lt;'PVC SCH40'!$A$425,VLOOKUP($A37,'PVC SCH40'!$A$8:$M$424,4,FALSE),
IF($A37&lt;'PVC SCH40 LD'!$A$22,VLOOKUP($A37,'PVC SCH40 LD'!$A$8:$M$21,4,FALSE),
IF($A37&lt;'Pool &amp; SPA Sweep Elbows'!$A$12,VLOOKUP($A37,'Pool &amp; SPA Sweep Elbows'!$A$8:$M$11,4,FALSE),
IF($A37&lt;'Pool &amp; SPA Pipe Extender'!$A$11,VLOOKUP($A37,'Pool &amp; SPA Pipe Extender'!$A$8:$M$10,4,FALSE),
IF($A37&lt;'PVC SCH80'!$A$250,VLOOKUP($A37,'PVC SCH80'!$A$8:$M$249,4,FALSE),
IF($A37&lt;'PVC SCH80 Flange'!$A$49,VLOOKUP($A37,'PVC SCH80 Flange'!$A$8:$M$48,4,FALSE),
IF($A37&lt;'PVC SCH80 LD Flange'!$A$17,VLOOKUP($A37,'PVC SCH80 LD Flange'!$A$8:$M$16,4,FALSE),
IF($A37&lt;CPVC!$A$105,VLOOKUP($A37,CPVC!$A$9:$M$104,4,FALSE),
IF($A37&lt;InsertFittings!$A$185,VLOOKUP($A37,InsertFittings!$A$9:$M$184,4,FALSE),
IF($A37&lt;Valves!$A$92,VLOOKUP($A37,Valves!$A$9:$Q$91,4,FALSE),
IF($A37&lt;SDR35SW!$A$133,VLOOKUP($A37,SDR35SW!$A$9:$M$132,4,FALSE),
IF($A37&lt;SDR35G!$A$151,VLOOKUP($A37,SDR35G!$A$9:$M$150,4,FALSE),
IF($A37&lt;SDR26G!$A$67,VLOOKUP($A37,SDR26G!$A$9:$N$66,5,FALSE),
IF($A37&lt;Cements!$A$95,VLOOKUP($A37,Cements!$A$8:$Q$94,4,FALSE),
IF($A37&lt;ValveBox!$A$124,VLOOKUP($A37,ValveBox!$A$9:$O$123,4,FALSE),
IF($A37&lt;'ValveBox Components'!$A$142,VLOOKUP($A37,'ValveBox Components'!$A$9:$N$141,4,FALSE),
IF($A37&lt;Drainage!$A$69,VLOOKUP($A37,Drainage!$A$8:$M$68,4,FALSE),
IF($A37&lt;Nipples!$A$82,VLOOKUP($A37,Nipples!$A$9:$Q$81,4,FALSE),
IF($A37&lt;Manifold!$A$33,VLOOKUP($A37,Manifold!$A$9:$M$32,4,FALSE),
IF($A37&lt;FlexibleRepairCouplings!$A$12,VLOOKUP($A37,FlexibleRepairCouplings!$A$9:$M$11,4,FALSE),
IF($A37&lt;DuraFix!$A$15,VLOOKUP($A37,DuraFix!$A$9:$M$14,4,FALSE),
IF($A37&lt;'Compression Fittings'!$A$16,VLOOKUP($A37,'Compression Fittings'!$A$8:$M$15,4,FALSE),
IF($A37&lt;'Hose Fittings'!$A$30,VLOOKUP($A37,'Hose Fittings'!$A$8:$M$29,4,FALSE),
IF($A37&lt;'Swing Joints'!$A$495,VLOOKUP($A37,'Swing Joints'!$A$9:$M$494,4,FALSE),
IF($A37&lt;'Swing Joints Components'!$A$135,VLOOKUP($A37,'Swing Joints Components'!$A$9:$M$134,4,FALSE),
IF($A37&lt;Nonstandard!$A$42,VLOOKUP($A37,Nonstandard!$A$31:$J$41,5,FALSE),"")))))))))))))))))))))))))))),"")</f>
        <v/>
      </c>
      <c r="C37" s="312" t="str">
        <f>IFERROR(IF($A37&lt;'DWV PVC'!$A$317,VLOOKUP($A37,'DWV PVC'!$A$9:$M$316,5,FALSE),
IF($A37&lt;'DWV ABS'!$A$117,VLOOKUP($A37,'DWV ABS'!$A$8:$M$116,5,FALSE),
IF($A37&lt;'PVC SCH40'!$A$425,VLOOKUP($A37,'PVC SCH40'!$A$8:$M$424,5,FALSE),
IF($A37&lt;'PVC SCH40 LD'!$A$22,VLOOKUP($A37,'PVC SCH40 LD'!$A$8:$M$21,5,FALSE),
IF($A37&lt;'Pool &amp; SPA Sweep Elbows'!$A$12,VLOOKUP($A37,'Pool &amp; SPA Sweep Elbows'!$A$8:$M$11,5,FALSE),
IF($A37&lt;'Pool &amp; SPA Pipe Extender'!$A$11,VLOOKUP($A37,'Pool &amp; SPA Pipe Extender'!$A$8:$M$10,5,FALSE),
IF($A37&lt;'PVC SCH80'!$A$250,VLOOKUP($A37,'PVC SCH80'!$A$8:$M$249,5,FALSE),
IF($A37&lt;'PVC SCH80 Flange'!$A$49,VLOOKUP($A37,'PVC SCH80 Flange'!$A$8:$M$48,5,FALSE),
IF($A37&lt;'PVC SCH80 LD Flange'!$A$17,VLOOKUP($A37,'PVC SCH80 LD Flange'!$A$8:$M$16,5,FALSE),
IF($A37&lt;CPVC!$A$105,VLOOKUP($A37,CPVC!$A$9:$M$104,5,FALSE),
IF($A37&lt;InsertFittings!$A$185,VLOOKUP($A37,InsertFittings!$A$9:$M$184,5,FALSE),
IF($A37&lt;Valves!$A$92,VLOOKUP($A37,Valves!$A$9:$Q$91,5,FALSE),
IF($A37&lt;SDR35SW!$A$133,VLOOKUP($A37,SDR35SW!$A$9:$M$132,5,FALSE),
IF($A37&lt;SDR35G!$A$151,VLOOKUP($A37,SDR35G!$A$9:$M$150,5,FALSE),
IF($A37&lt;SDR26G!$A$67,VLOOKUP($A37,SDR26G!$A$9:$N$66,6,FALSE),
IF($A37&lt;Cements!$A$95,VLOOKUP($A37,Cements!$A$8:$Q$94,5,FALSE),
IF($A37&lt;ValveBox!$A$124,VLOOKUP($A37,ValveBox!$A$9:$O$123,5,FALSE),
IF($A37&lt;'ValveBox Components'!$A$142,VLOOKUP($A37,'ValveBox Components'!$A$9:$N$141,5,FALSE),
IF($A37&lt;Drainage!$A$69,VLOOKUP($A37,Drainage!$A$8:$M$68,5,FALSE),
IF($A37&lt;Nipples!$A$82,VLOOKUP($A37,Nipples!$A$9:$Q$81,5,FALSE),
IF($A37&lt;Manifold!$A$33,VLOOKUP($A37,Manifold!$A$9:$M$32,5,FALSE),
IF($A37&lt;FlexibleRepairCouplings!$A$12,VLOOKUP($A37,FlexibleRepairCouplings!$A$9:$M$11,5,FALSE),
IF($A37&lt;DuraFix!$A$15,VLOOKUP($A37,DuraFix!$A$9:$M$14,5,FALSE),
IF($A37&lt;'Compression Fittings'!$A$16,VLOOKUP($A37,'Compression Fittings'!$A$8:$M$15,5,FALSE),
IF($A37&lt;'Hose Fittings'!$A$30,VLOOKUP($A37,'Hose Fittings'!$A$8:$M$29,5,FALSE),
IF($A37&lt;'Swing Joints'!$A$495,VLOOKUP($A37,'Swing Joints'!$A$9:$M$494,5,FALSE),
IF($A37&lt;'Swing Joints Components'!$A$135,VLOOKUP($A37,'Swing Joints Components'!$A$9:$M$134,5,FALSE),
IF($A37&lt;Nonstandard!$A$42,VLOOKUP($A37,Nonstandard!$A$31:$J$41,6,FALSE),"")))))))))))))))))))))))))))),"")</f>
        <v/>
      </c>
      <c r="D37" s="534" t="str">
        <f>IFERROR(IF($A37&lt;'DWV PVC'!$A$317,VLOOKUP($A37,'DWV PVC'!$A$9:$M$316,6,FALSE),
IF($A37&lt;'DWV ABS'!$A$117,VLOOKUP($A37,'DWV ABS'!$A$8:$M$116,6,FALSE),
IF($A37&lt;'PVC SCH40'!$A$425,VLOOKUP($A37,'PVC SCH40'!$A$8:$M$424,6,FALSE),
IF($A37&lt;'PVC SCH40 LD'!$A$22,VLOOKUP($A37,'PVC SCH40 LD'!$A$8:$M$21,6,FALSE),
IF($A37&lt;'Pool &amp; SPA Sweep Elbows'!$A$12,VLOOKUP($A37,'Pool &amp; SPA Sweep Elbows'!$A$8:$M$11,6,FALSE),
IF($A37&lt;'Pool &amp; SPA Pipe Extender'!$A$11,VLOOKUP($A37,'Pool &amp; SPA Pipe Extender'!$A$8:$M$10,6,FALSE),
IF($A37&lt;'PVC SCH80'!$A$250,VLOOKUP($A37,'PVC SCH80'!$A$8:$M$249,6,FALSE),
IF($A37&lt;'PVC SCH80 Flange'!$A$49,VLOOKUP($A37,'PVC SCH80 Flange'!$A$8:$M$48,6,FALSE),
IF($A37&lt;'PVC SCH80 LD Flange'!$A$17,VLOOKUP($A37,'PVC SCH80 LD Flange'!$A$8:$M$16,6,FALSE),
IF($A37&lt;CPVC!$A$105,VLOOKUP($A37,CPVC!$A$9:$M$104,6,FALSE),
IF($A37&lt;InsertFittings!$A$185,VLOOKUP($A37,InsertFittings!$A$9:$M$184,6,FALSE),
IF($A37&lt;Valves!$A$92,VLOOKUP($A37,Valves!$A$9:$Q$91,6,FALSE),
IF($A37&lt;SDR35SW!$A$133,VLOOKUP($A37,SDR35SW!$A$9:$M$132,6,FALSE),
IF($A37&lt;SDR35G!$A$151,VLOOKUP($A37,SDR35G!$A$9:$M$150,6,FALSE),
IF($A37&lt;SDR26G!$A$67,VLOOKUP($A37,SDR26G!$A$9:$N$66,7,FALSE),
IF($A37&lt;Cements!$A$95,VLOOKUP($A37,Cements!$A$8:$Q$94,6,FALSE),
IF($A37&lt;ValveBox!$A$124,VLOOKUP($A37,ValveBox!$A$9:$O$123,6,FALSE),
IF($A37&lt;'ValveBox Components'!$A$142,VLOOKUP($A37,'ValveBox Components'!$A$9:$N$141,6,FALSE),
IF($A37&lt;Drainage!$A$69,VLOOKUP($A37,Drainage!$A$8:$M$68,6,FALSE),
IF($A37&lt;Nipples!$A$82,VLOOKUP($A37,Nipples!$A$9:$Q$81,6,FALSE),
IF($A37&lt;Manifold!$A$33,VLOOKUP($A37,Manifold!$A$9:$M$32,6,FALSE),
IF($A37&lt;FlexibleRepairCouplings!$A$12,VLOOKUP($A37,FlexibleRepairCouplings!$A$9:$M$11,6,FALSE),
IF($A37&lt;DuraFix!$A$15,VLOOKUP($A37,DuraFix!$A$9:$M$14,6,FALSE),
IF($A37&lt;'Compression Fittings'!$A$16,VLOOKUP($A37,'Compression Fittings'!$A$8:$M$15,6,FALSE),
IF($A37&lt;'Hose Fittings'!$A$30,VLOOKUP($A37,'Hose Fittings'!$A$8:$M$29,6,FALSE),
IF($A37&lt;'Swing Joints'!$A$495,VLOOKUP($A37,'Swing Joints'!$A$9:$M$494,6,FALSE),
IF($A37&lt;'Swing Joints Components'!$A$135,VLOOKUP($A37,'Swing Joints Components'!$A$9:$M$134,6,FALSE),
IF($A37&lt;Nonstandard!$A$42,VLOOKUP($A37,Nonstandard!$A$31:$J$41,7,FALSE),"")))))))))))))))))))))))))))),"")</f>
        <v/>
      </c>
      <c r="E37" s="316"/>
      <c r="F37" s="314" t="str">
        <f>IFERROR(IF($A37&lt;'DWV PVC'!$A$317,VLOOKUP($A37,'DWV PVC'!$A$9:$M$316,9,FALSE),
IF($A37&lt;'DWV ABS'!$A$117,VLOOKUP($A37,'DWV ABS'!$A$8:$M$116,9,FALSE),                                                                                                                                                                                                                                                     IF($A37&lt;'PVC SCH40'!$A$425,VLOOKUP($A37,'PVC SCH40'!$A$8:$M$424,9,FALSE),
IF($A37&lt;'PVC SCH40 LD'!$A$22,VLOOKUP($A37,'PVC SCH40 LD'!$A$8:$M$21,9,FALSE),
IF($A37&lt;'Pool &amp; SPA Sweep Elbows'!$A$12,VLOOKUP($A37,'Pool &amp; SPA Sweep Elbows'!$A$8:$M$11,9,FALSE),
IF($A37&lt;'Pool &amp; SPA Pipe Extender'!$A$11,VLOOKUP($A37,'Pool &amp; SPA Pipe Extender'!$A$8:$M$10,9,FALSE),
IF($A37&lt;'PVC SCH80'!$A$250,VLOOKUP($A37,'PVC SCH80'!$A$8:$M$249,9,FALSE),
IF($A37&lt;'PVC SCH80 Flange'!$A$49,VLOOKUP($A37,'PVC SCH80 Flange'!$A$8:$M$48,9,FALSE),
IF($A37&lt;'PVC SCH80 LD Flange'!$A$17,VLOOKUP($A37,'PVC SCH80 LD Flange'!$A$8:$M$16,9,FALSE),
IF($A37&lt;CPVC!$A$105,VLOOKUP($A37,CPVC!$A$9:$M$104,9,FALSE),
IF($A37&lt;InsertFittings!$A$185,VLOOKUP($A37,InsertFittings!$A$9:$M$184,9,FALSE),
IF($A37&lt;Valves!$A$92,VLOOKUP($A37,Valves!$A$9:$Q$91,13,FALSE),
IF($A37&lt;SDR35SW!$A$133,VLOOKUP($A37,SDR35SW!$A$9:$M$132,9,FALSE),
IF($A37&lt;SDR35G!$A$151,VLOOKUP($A37,SDR35G!$A$9:$M$150,9,FALSE),                                                                                                                                                                                                                                                          IF($A37&lt;SDR26G!$A$67,VLOOKUP($A37,SDR26G!$A$9:$N$66,10,FALSE),                                                                                                                                                                                                                                                       IF($A37&lt;Cements!$A$95,VLOOKUP($A37,Cements!$A$8:$Q$94,13,FALSE),
IF($A37&lt;ValveBox!$A$124,VLOOKUP($A37,ValveBox!$A$9:$O$123,11,FALSE),
IF($A37&lt;'ValveBox Components'!$A$142,VLOOKUP($A37,'ValveBox Components'!$A$9:$N$141,10,FALSE),
IF($A37&lt;Drainage!$A$69,VLOOKUP($A37,Drainage!$A$8:$M$68,9,FALSE),                                                                                                                                                                                                                                                              IF($A37&lt;Nipples!$A$82,VLOOKUP($A37,Nipples!$A$9:$Q$81,13,FALSE),
IF($A37&lt;Manifold!$A$33,VLOOKUP($A37,Manifold!$A$9:$M$32,9,FALSE),
IF($A37&lt;FlexibleRepairCouplings!$A$12,VLOOKUP($A37,FlexibleRepairCouplings!$A$9:$M$11,9,FALSE),
IF($A37&lt;DuraFix!$A$15,VLOOKUP($A37,DuraFix!$A$9:$M$14,9,FALSE),                                                                                                                                                                                                                                                          IF($A37&lt;'Compression Fittings'!$A$16,VLOOKUP($A37,'Compression Fittings'!$A$8:$M$15,9,FALSE),
IF($A37&lt;'Hose Fittings'!$A$30,VLOOKUP($A37,'Hose Fittings'!$A$8:$M$29,9,FALSE),
IF($A37&lt;'Swing Joints'!$A$495,VLOOKUP($A37,'Swing Joints'!$A$9:$M$494,9,FALSE),
IF($A37&lt;'Swing Joints Components'!$A$135,VLOOKUP($A37,'Swing Joints Components'!$A$9:$M$134,9,FALSE),
IF($A37&lt;Nonstandard!$A$42,VLOOKUP($A37,Nonstandard!$A$31:$J$41,8,FALSE),"")))))))))))))))))))))))))))),"")</f>
        <v/>
      </c>
      <c r="G37" s="533" t="str">
        <f>IFERROR(IF($A37&lt;'DWV PVC'!$A$317,VLOOKUP($A37,'DWV PVC'!$A$9:$M$316,11,FALSE),
IF($A37&lt;'DWV ABS'!$A$117,VLOOKUP($A37,'DWV ABS'!$A$8:$M$116,11,FALSE),                                                                                                                                                                                                                                                     IF($A37&lt;'PVC SCH40'!$A$425,VLOOKUP($A37,'PVC SCH40'!$A$8:$M$424,11,FALSE),
IF($A37&lt;'PVC SCH40 LD'!$A$22,VLOOKUP($A37,'PVC SCH40 LD'!$A$8:$M$21,11,FALSE),
IF($A37&lt;'Pool &amp; SPA Sweep Elbows'!$A$12,VLOOKUP($A37,'Pool &amp; SPA Sweep Elbows'!$A$8:$M$11,11,FALSE),
IF($A37&lt;'Pool &amp; SPA Pipe Extender'!$A$11,VLOOKUP($A37,'Pool &amp; SPA Pipe Extender'!$A$8:$M$10,11,FALSE),
IF($A37&lt;'PVC SCH80'!$A$250,VLOOKUP($A37,'PVC SCH80'!$A$8:$M$249,11,FALSE),
IF($A37&lt;'PVC SCH80 Flange'!$A$49,VLOOKUP($A37,'PVC SCH80 Flange'!$A$8:$M$48,11,FALSE),
IF($A37&lt;'PVC SCH80 LD Flange'!$A$17,VLOOKUP($A37,'PVC SCH80 LD Flange'!$A$8:$M$16,11,FALSE),
IF($A37&lt;CPVC!$A$105,VLOOKUP($A37,CPVC!$A$9:$M$104,11,FALSE),
IF($A37&lt;InsertFittings!$A$185,VLOOKUP($A37,InsertFittings!$A$9:$M$184,11,FALSE),
IF($A37&lt;Valves!$A$92,VLOOKUP($A37,Valves!$A$9:$Q$91,15,FALSE),
IF($A37&lt;SDR35SW!$A$133,VLOOKUP($A37,SDR35SW!$A$9:$M$132,11,FALSE),
IF($A37&lt;SDR35G!$A$151,VLOOKUP($A37,SDR35G!$A$9:$M$150,11,FALSE),                                                                                                                                                                                                                                                          IF($A37&lt;SDR26G!$A$67,VLOOKUP($A37,SDR26G!$A$9:$N$66,12,FALSE),                                                                                                                                                                                                                                                       IF($A37&lt;Cements!$A$95,VLOOKUP($A37,Cements!$A$8:$Q$94,15,FALSE),
IF($A37&lt;ValveBox!$A$124,VLOOKUP($A37,ValveBox!$A$9:$O$123,13,FALSE),
IF($A37&lt;'ValveBox Components'!$A$142,VLOOKUP($A37,'ValveBox Components'!$A$9:$N$141,12,FALSE),
IF($A37&lt;Drainage!$A$69,VLOOKUP($A37,Drainage!$A$8:$M$68,11,FALSE),                                                                                                                                                                                                                                                           IF($A37&lt;Nipples!$A$82,VLOOKUP($A37,Nipples!$A$9:$Q$81,15,FALSE),
IF($A37&lt;Manifold!$A$33,VLOOKUP($A37,Manifold!$A$9:$M$32,11,FALSE),
IF($A37&lt;FlexibleRepairCouplings!$A$12,VLOOKUP($A37,FlexibleRepairCouplings!$A$9:$M$11,11,FALSE),
IF($A37&lt;DuraFix!$A$15,VLOOKUP($A37,DuraFix!$A$9:$M$14,11,FALSE),                                                                                                                                                                                                                                                            IF($A37&lt;'Compression Fittings'!$A$16,VLOOKUP($A37,'Compression Fittings'!$A$8:$M$15,11,FALSE),
IF($A37&lt;'Hose Fittings'!$A$30,VLOOKUP($A37,'Hose Fittings'!$A$8:$M$29,11,FALSE),
IF($A37&lt;'Swing Joints'!$A$495,VLOOKUP($A37,'Swing Joints'!$A$9:$M$494,11,FALSE),
IF($A37&lt;'Swing Joints Components'!$A$135,VLOOKUP($A37,'Swing Joints Components'!$A$9:$M$134,11,FALSE),
IF($A37&lt;Nonstandard!$A$42,VLOOKUP($A37,Nonstandard!$A$31:$J$41,10,FALSE),"")))))))))))))))))))))))))))),"")</f>
        <v/>
      </c>
      <c r="H37" s="618" t="str">
        <f>IFERROR(IF($A37&lt;'DWV PVC'!$A$317,VLOOKUP($A37,'DWV PVC'!$A$9:$M$316,7,FALSE),
IF($A37&lt;'DWV ABS'!$A$117,VLOOKUP($A37,'DWV ABS'!$A$8:$M$116,11,FALSE),                                                                                                                                                                                                                                                     IF($A37&lt;'PVC SCH40'!$A$425,VLOOKUP($A37,'PVC SCH40'!$A$8:$M$424,7,FALSE),
IF($A37&lt;'PVC SCH40 LD'!$A$22,VLOOKUP($A37,'PVC SCH40 LD'!$A$8:$M$21,7,FALSE),
IF($A37&lt;'Pool &amp; SPA Sweep Elbows'!$A$12,VLOOKUP($A37,'Pool &amp; SPA Sweep Elbows'!$A$8:$M$11,7,FALSE),
IF($A37&lt;'Pool &amp; SPA Pipe Extender'!$A$11,VLOOKUP($A37,'Pool &amp; SPA Pipe Extender'!$A$8:$M$10,7,FALSE),
IF($A37&lt;'PVC SCH80'!$A$250,VLOOKUP($A37,'PVC SCH80'!$A$8:$M$249,7,FALSE),
IF($A37&lt;'PVC SCH80 Flange'!$A$49,VLOOKUP($A37,'PVC SCH80 Flange'!$A$8:$M$48,7,FALSE),
IF($A37&lt;'PVC SCH80 LD Flange'!$A$17,VLOOKUP($A37,'PVC SCH80 LD Flange'!$A$8:$M$16,7,FALSE),
IF($A37&lt;CPVC!$A$105,VLOOKUP($A37,CPVC!$A$9:$M$104,7,FALSE),
IF($A37&lt;InsertFittings!$A$185,VLOOKUP($A37,InsertFittings!$A$9:$M$184,7,FALSE),
IF($A37&lt;Valves!$A$92,VLOOKUP($A37,Valves!$A$9:$Q$91,11,FALSE),
IF($A37&lt;SDR35SW!$A$133,VLOOKUP($A37,SDR35SW!$A$9:$M$132,7,FALSE),
IF($A37&lt;SDR35G!$A$151,VLOOKUP($A37,SDR35G!$A$9:$M$150,7,FALSE),                                                                                                                                                                                                                                                       IF($A37&lt;SDR26G!$A$67,VLOOKUP($A37,SDR26G!$A$9:$N$66,8,FALSE),                                                                                                                                                                                                                                                     IF($A37&lt;Cements!$A$95,VLOOKUP($A37,Cements!$A$8:$Q$94,11,FALSE),
IF($A37&lt;ValveBox!$A$124,VLOOKUP($A37,ValveBox!$A$9:$O$123,10,FALSE),
IF($A37&lt;'ValveBox Components'!$A$142,VLOOKUP($A37,'ValveBox Components'!$A$9:$N$141,9,FALSE),
IF($A37&lt;Drainage!$A$69,VLOOKUP($A37,Drainage!$A$8:$M$68,7,FALSE),                                                                                                                                                                                                                                                          IF($A37&lt;Nipples!$A$82,VLOOKUP($A37,Nipples!$A$9:$Q$81,11,FALSE),
IF($A37&lt;Manifold!$A$33,VLOOKUP($A37,Manifold!$A$9:$M$32,7,FALSE),
IF($A37&lt;FlexibleRepairCouplings!$A$12,VLOOKUP($A37,FlexibleRepairCouplings!$A$9:$M$11,7,FALSE),
IF($A37&lt;DuraFix!$A$15,VLOOKUP($A37,DuraFix!$A$9:$M$14,7,FALSE),                                                                                                                                                                                                                                                           IF($A37&lt;'Compression Fittings'!$A$16,VLOOKUP($A37,'Compression Fittings'!$A$8:$M$15,7,FALSE),
IF($A37&lt;'Hose Fittings'!$A$30,VLOOKUP($A37,'Hose Fittings'!$A$8:$M$29,7,FALSE),
IF($A37&lt;'Swing Joints'!$A$495,VLOOKUP($A37,'Swing Joints'!$A$9:$M$494,7,FALSE),
IF($A37&lt;'Swing Joints Components'!$A$135,VLOOKUP($A37,'Swing Joints Components'!$A$9:$M$134,7,FALSE),
IF($A37&lt;Nonstandard!$A$42,VLOOKUP($A37,Nonstandard!$A$31:$J$41,10,FALSE),"")))))))))))))))))))))))))))),"")</f>
        <v/>
      </c>
      <c r="I37" s="619"/>
      <c r="J37" s="281" t="str">
        <f t="shared" si="1"/>
        <v/>
      </c>
      <c r="K37" s="313" t="str">
        <f>IFERROR(IF($A37&lt;'DWV PVC'!$A$317,VLOOKUP($A37,'DWV PVC'!$A$9:$M$316,10,FALSE),
IF($A37&lt;'DWV ABS'!$A$117,VLOOKUP($A37,'DWV ABS'!$A$8:$M$116,10,FALSE),
IF($A37&lt;'PVC SCH40'!$A$425,VLOOKUP($A37,'PVC SCH40'!$A$8:$M$424,10,FALSE),
IF($A37&lt;'PVC SCH40 LD'!$A$22,VLOOKUP($A37,'PVC SCH40 LD'!$A$8:$M$21,10,FALSE),
IF($A37&lt;'Pool &amp; SPA Sweep Elbows'!$A$12,VLOOKUP($A37,'Pool &amp; SPA Sweep Elbows'!$A$8:$M$11,10,FALSE),
IF($A37&lt;'Pool &amp; SPA Pipe Extender'!$A$11,VLOOKUP($A37,'Pool &amp; SPA Pipe Extender'!$A$8:$M$10,10,FALSE),
IF($A37&lt;'PVC SCH80'!$A$250,VLOOKUP($A37,'PVC SCH80'!$A$8:$M$249,10,FALSE),
IF($A37&lt;'PVC SCH80 Flange'!$A$49,VLOOKUP($A37,'PVC SCH80 Flange'!$A$8:$M$48,10,FALSE),
IF($A37&lt;'PVC SCH80 LD Flange'!$A$17,VLOOKUP($A37,'PVC SCH80 LD Flange'!$A$8:$M$16,10,FALSE),
IF($A37&lt;CPVC!$A$105,VLOOKUP($A37,CPVC!$A$9:$M$104,10,FALSE),
IF($A37&lt;InsertFittings!$A$185,VLOOKUP($A37,InsertFittings!$A$9:$M$184,10,FALSE),
IF($A37&lt;Valves!$A$92,VLOOKUP($A37,Valves!$A$9:$Q$91,14,FALSE),
IF($A37&lt;SDR35SW!$A$133,VLOOKUP($A37,SDR35SW!$A$9:$M$132,10,FALSE),
IF($A37&lt;SDR35G!$A$151,VLOOKUP($A37,SDR35G!$A$9:$M$150,10,FALSE),
IF($A37&lt;SDR26G!$A$67,VLOOKUP($A37,SDR26G!$A$9:$N$66,11,FALSE),
IF($A37&lt;Cements!$A$95,VLOOKUP($A37,Cements!$A$8:$Q$94,14,FALSE),
IF($A37&lt;ValveBox!$A$124,VLOOKUP($A37,ValveBox!$A$9:$O$123,12,FALSE),
IF($A37&lt;'ValveBox Components'!$A$142,VLOOKUP($A37,'ValveBox Components'!$A$9:$N$141,11,FALSE),
IF($A37&lt;Drainage!$A$69,VLOOKUP($A37,Drainage!$A$8:$M$68,10,FALSE),
IF($A37&lt;Nipples!$A$82,VLOOKUP($A37,Nipples!$A$9:$Q$81,14,FALSE),
IF($A37&lt;Manifold!$A$33,VLOOKUP($A37,Manifold!$A$9:$M$32,10,FALSE),
IF($A37&lt;FlexibleRepairCouplings!$A$12,VLOOKUP($A37,FlexibleRepairCouplings!$A$9:$M$11,10,FALSE),
IF($A37&lt;DuraFix!$A$15,VLOOKUP($A37,DuraFix!$A$9:$M$14,10,FALSE),
IF($A37&lt;'Compression Fittings'!$A$16,VLOOKUP($A37,'Compression Fittings'!$A$8:$M$15,10,FALSE),
IF($A37&lt;'Hose Fittings'!$A$30,VLOOKUP($A37,'Hose Fittings'!$A$8:$M$29,10,FALSE),
IF($A37&lt;'Swing Joints'!$A$495,VLOOKUP($A37,'Swing Joints'!$A$9:$M$494,10,FALSE),
IF($A37&lt;'Swing Joints Components'!$A$135,VLOOKUP($A37,'Swing Joints Components'!$A$9:$M$134,10,FALSE),
IF($A37&lt;Nonstandard!$A$42,VLOOKUP($A37,Nonstandard!$A$31:$J$41,10,FALSE),"")))))))))))))))))))))))))))),"")</f>
        <v/>
      </c>
      <c r="L37" s="314" t="str">
        <f t="shared" si="0"/>
        <v>-</v>
      </c>
      <c r="M37" s="315"/>
    </row>
    <row r="38" spans="1:13" ht="15.6">
      <c r="A38" s="536">
        <v>6</v>
      </c>
      <c r="B38" s="536" t="str">
        <f>IFERROR(IF($A38&lt;'DWV PVC'!$A$317,VLOOKUP($A38,'DWV PVC'!$A$9:$M$316,4,FALSE),
IF($A38&lt;'DWV ABS'!$A$117,VLOOKUP($A38,'DWV ABS'!$A$8:$M$116,4,FALSE),
IF($A38&lt;'PVC SCH40'!$A$425,VLOOKUP($A38,'PVC SCH40'!$A$8:$M$424,4,FALSE),
IF($A38&lt;'PVC SCH40 LD'!$A$22,VLOOKUP($A38,'PVC SCH40 LD'!$A$8:$M$21,4,FALSE),
IF($A38&lt;'Pool &amp; SPA Sweep Elbows'!$A$12,VLOOKUP($A38,'Pool &amp; SPA Sweep Elbows'!$A$8:$M$11,4,FALSE),
IF($A38&lt;'Pool &amp; SPA Pipe Extender'!$A$11,VLOOKUP($A38,'Pool &amp; SPA Pipe Extender'!$A$8:$M$10,4,FALSE),
IF($A38&lt;'PVC SCH80'!$A$250,VLOOKUP($A38,'PVC SCH80'!$A$8:$M$249,4,FALSE),
IF($A38&lt;'PVC SCH80 Flange'!$A$49,VLOOKUP($A38,'PVC SCH80 Flange'!$A$8:$M$48,4,FALSE),
IF($A38&lt;'PVC SCH80 LD Flange'!$A$17,VLOOKUP($A38,'PVC SCH80 LD Flange'!$A$8:$M$16,4,FALSE),
IF($A38&lt;CPVC!$A$105,VLOOKUP($A38,CPVC!$A$9:$M$104,4,FALSE),
IF($A38&lt;InsertFittings!$A$185,VLOOKUP($A38,InsertFittings!$A$9:$M$184,4,FALSE),
IF($A38&lt;Valves!$A$92,VLOOKUP($A38,Valves!$A$9:$Q$91,4,FALSE),
IF($A38&lt;SDR35SW!$A$133,VLOOKUP($A38,SDR35SW!$A$9:$M$132,4,FALSE),
IF($A38&lt;SDR35G!$A$151,VLOOKUP($A38,SDR35G!$A$9:$M$150,4,FALSE),
IF($A38&lt;SDR26G!$A$67,VLOOKUP($A38,SDR26G!$A$9:$N$66,5,FALSE),
IF($A38&lt;Cements!$A$95,VLOOKUP($A38,Cements!$A$8:$Q$94,4,FALSE),
IF($A38&lt;ValveBox!$A$124,VLOOKUP($A38,ValveBox!$A$9:$O$123,4,FALSE),
IF($A38&lt;'ValveBox Components'!$A$142,VLOOKUP($A38,'ValveBox Components'!$A$9:$N$141,4,FALSE),
IF($A38&lt;Drainage!$A$69,VLOOKUP($A38,Drainage!$A$8:$M$68,4,FALSE),
IF($A38&lt;Nipples!$A$82,VLOOKUP($A38,Nipples!$A$9:$Q$81,4,FALSE),
IF($A38&lt;Manifold!$A$33,VLOOKUP($A38,Manifold!$A$9:$M$32,4,FALSE),
IF($A38&lt;FlexibleRepairCouplings!$A$12,VLOOKUP($A38,FlexibleRepairCouplings!$A$9:$M$11,4,FALSE),
IF($A38&lt;DuraFix!$A$15,VLOOKUP($A38,DuraFix!$A$9:$M$14,4,FALSE),
IF($A38&lt;'Compression Fittings'!$A$16,VLOOKUP($A38,'Compression Fittings'!$A$8:$M$15,4,FALSE),
IF($A38&lt;'Hose Fittings'!$A$30,VLOOKUP($A38,'Hose Fittings'!$A$8:$M$29,4,FALSE),
IF($A38&lt;'Swing Joints'!$A$495,VLOOKUP($A38,'Swing Joints'!$A$9:$M$494,4,FALSE),
IF($A38&lt;'Swing Joints Components'!$A$135,VLOOKUP($A38,'Swing Joints Components'!$A$9:$M$134,4,FALSE),
IF($A38&lt;Nonstandard!$A$42,VLOOKUP($A38,Nonstandard!$A$31:$J$41,5,FALSE),"")))))))))))))))))))))))))))),"")</f>
        <v/>
      </c>
      <c r="C38" s="536" t="str">
        <f>IFERROR(IF($A38&lt;'DWV PVC'!$A$317,VLOOKUP($A38,'DWV PVC'!$A$9:$M$316,5,FALSE),
IF($A38&lt;'DWV ABS'!$A$117,VLOOKUP($A38,'DWV ABS'!$A$8:$M$116,5,FALSE),
IF($A38&lt;'PVC SCH40'!$A$425,VLOOKUP($A38,'PVC SCH40'!$A$8:$M$424,5,FALSE),
IF($A38&lt;'PVC SCH40 LD'!$A$22,VLOOKUP($A38,'PVC SCH40 LD'!$A$8:$M$21,5,FALSE),
IF($A38&lt;'Pool &amp; SPA Sweep Elbows'!$A$12,VLOOKUP($A38,'Pool &amp; SPA Sweep Elbows'!$A$8:$M$11,5,FALSE),
IF($A38&lt;'Pool &amp; SPA Pipe Extender'!$A$11,VLOOKUP($A38,'Pool &amp; SPA Pipe Extender'!$A$8:$M$10,5,FALSE),
IF($A38&lt;'PVC SCH80'!$A$250,VLOOKUP($A38,'PVC SCH80'!$A$8:$M$249,5,FALSE),
IF($A38&lt;'PVC SCH80 Flange'!$A$49,VLOOKUP($A38,'PVC SCH80 Flange'!$A$8:$M$48,5,FALSE),
IF($A38&lt;'PVC SCH80 LD Flange'!$A$17,VLOOKUP($A38,'PVC SCH80 LD Flange'!$A$8:$M$16,5,FALSE),
IF($A38&lt;CPVC!$A$105,VLOOKUP($A38,CPVC!$A$9:$M$104,5,FALSE),
IF($A38&lt;InsertFittings!$A$185,VLOOKUP($A38,InsertFittings!$A$9:$M$184,5,FALSE),
IF($A38&lt;Valves!$A$92,VLOOKUP($A38,Valves!$A$9:$Q$91,5,FALSE),
IF($A38&lt;SDR35SW!$A$133,VLOOKUP($A38,SDR35SW!$A$9:$M$132,5,FALSE),
IF($A38&lt;SDR35G!$A$151,VLOOKUP($A38,SDR35G!$A$9:$M$150,5,FALSE),
IF($A38&lt;SDR26G!$A$67,VLOOKUP($A38,SDR26G!$A$9:$N$66,6,FALSE),
IF($A38&lt;Cements!$A$95,VLOOKUP($A38,Cements!$A$8:$Q$94,5,FALSE),
IF($A38&lt;ValveBox!$A$124,VLOOKUP($A38,ValveBox!$A$9:$O$123,5,FALSE),
IF($A38&lt;'ValveBox Components'!$A$142,VLOOKUP($A38,'ValveBox Components'!$A$9:$N$141,5,FALSE),
IF($A38&lt;Drainage!$A$69,VLOOKUP($A38,Drainage!$A$8:$M$68,5,FALSE),
IF($A38&lt;Nipples!$A$82,VLOOKUP($A38,Nipples!$A$9:$Q$81,5,FALSE),
IF($A38&lt;Manifold!$A$33,VLOOKUP($A38,Manifold!$A$9:$M$32,5,FALSE),
IF($A38&lt;FlexibleRepairCouplings!$A$12,VLOOKUP($A38,FlexibleRepairCouplings!$A$9:$M$11,5,FALSE),
IF($A38&lt;DuraFix!$A$15,VLOOKUP($A38,DuraFix!$A$9:$M$14,5,FALSE),
IF($A38&lt;'Compression Fittings'!$A$16,VLOOKUP($A38,'Compression Fittings'!$A$8:$M$15,5,FALSE),
IF($A38&lt;'Hose Fittings'!$A$30,VLOOKUP($A38,'Hose Fittings'!$A$8:$M$29,5,FALSE),
IF($A38&lt;'Swing Joints'!$A$495,VLOOKUP($A38,'Swing Joints'!$A$9:$M$494,5,FALSE),
IF($A38&lt;'Swing Joints Components'!$A$135,VLOOKUP($A38,'Swing Joints Components'!$A$9:$M$134,5,FALSE),
IF($A38&lt;Nonstandard!$A$42,VLOOKUP($A38,Nonstandard!$A$31:$J$41,6,FALSE),"")))))))))))))))))))))))))))),"")</f>
        <v/>
      </c>
      <c r="D38" s="537" t="str">
        <f>IFERROR(IF($A38&lt;'DWV PVC'!$A$317,VLOOKUP($A38,'DWV PVC'!$A$9:$M$316,6,FALSE),
IF($A38&lt;'DWV ABS'!$A$117,VLOOKUP($A38,'DWV ABS'!$A$8:$M$116,6,FALSE),
IF($A38&lt;'PVC SCH40'!$A$425,VLOOKUP($A38,'PVC SCH40'!$A$8:$M$424,6,FALSE),
IF($A38&lt;'PVC SCH40 LD'!$A$22,VLOOKUP($A38,'PVC SCH40 LD'!$A$8:$M$21,6,FALSE),
IF($A38&lt;'Pool &amp; SPA Sweep Elbows'!$A$12,VLOOKUP($A38,'Pool &amp; SPA Sweep Elbows'!$A$8:$M$11,6,FALSE),
IF($A38&lt;'Pool &amp; SPA Pipe Extender'!$A$11,VLOOKUP($A38,'Pool &amp; SPA Pipe Extender'!$A$8:$M$10,6,FALSE),
IF($A38&lt;'PVC SCH80'!$A$250,VLOOKUP($A38,'PVC SCH80'!$A$8:$M$249,6,FALSE),
IF($A38&lt;'PVC SCH80 Flange'!$A$49,VLOOKUP($A38,'PVC SCH80 Flange'!$A$8:$M$48,6,FALSE),
IF($A38&lt;'PVC SCH80 LD Flange'!$A$17,VLOOKUP($A38,'PVC SCH80 LD Flange'!$A$8:$M$16,6,FALSE),
IF($A38&lt;CPVC!$A$105,VLOOKUP($A38,CPVC!$A$9:$M$104,6,FALSE),
IF($A38&lt;InsertFittings!$A$185,VLOOKUP($A38,InsertFittings!$A$9:$M$184,6,FALSE),
IF($A38&lt;Valves!$A$92,VLOOKUP($A38,Valves!$A$9:$Q$91,6,FALSE),
IF($A38&lt;SDR35SW!$A$133,VLOOKUP($A38,SDR35SW!$A$9:$M$132,6,FALSE),
IF($A38&lt;SDR35G!$A$151,VLOOKUP($A38,SDR35G!$A$9:$M$150,6,FALSE),
IF($A38&lt;SDR26G!$A$67,VLOOKUP($A38,SDR26G!$A$9:$N$66,7,FALSE),
IF($A38&lt;Cements!$A$95,VLOOKUP($A38,Cements!$A$8:$Q$94,6,FALSE),
IF($A38&lt;ValveBox!$A$124,VLOOKUP($A38,ValveBox!$A$9:$O$123,6,FALSE),
IF($A38&lt;'ValveBox Components'!$A$142,VLOOKUP($A38,'ValveBox Components'!$A$9:$N$141,6,FALSE),
IF($A38&lt;Drainage!$A$69,VLOOKUP($A38,Drainage!$A$8:$M$68,6,FALSE),
IF($A38&lt;Nipples!$A$82,VLOOKUP($A38,Nipples!$A$9:$Q$81,6,FALSE),
IF($A38&lt;Manifold!$A$33,VLOOKUP($A38,Manifold!$A$9:$M$32,6,FALSE),
IF($A38&lt;FlexibleRepairCouplings!$A$12,VLOOKUP($A38,FlexibleRepairCouplings!$A$9:$M$11,6,FALSE),
IF($A38&lt;DuraFix!$A$15,VLOOKUP($A38,DuraFix!$A$9:$M$14,6,FALSE),
IF($A38&lt;'Compression Fittings'!$A$16,VLOOKUP($A38,'Compression Fittings'!$A$8:$M$15,6,FALSE),
IF($A38&lt;'Hose Fittings'!$A$30,VLOOKUP($A38,'Hose Fittings'!$A$8:$M$29,6,FALSE),
IF($A38&lt;'Swing Joints'!$A$495,VLOOKUP($A38,'Swing Joints'!$A$9:$M$494,6,FALSE),
IF($A38&lt;'Swing Joints Components'!$A$135,VLOOKUP($A38,'Swing Joints Components'!$A$9:$M$134,6,FALSE),
IF($A38&lt;Nonstandard!$A$42,VLOOKUP($A38,Nonstandard!$A$31:$J$41,7,FALSE),"")))))))))))))))))))))))))))),"")</f>
        <v/>
      </c>
      <c r="E38" s="538"/>
      <c r="F38" s="539" t="str">
        <f>IFERROR(IF($A38&lt;'DWV PVC'!$A$317,VLOOKUP($A38,'DWV PVC'!$A$9:$M$316,9,FALSE),
IF($A38&lt;'DWV ABS'!$A$117,VLOOKUP($A38,'DWV ABS'!$A$8:$M$116,9,FALSE),                                                                                                                                                                                                                                                     IF($A38&lt;'PVC SCH40'!$A$425,VLOOKUP($A38,'PVC SCH40'!$A$8:$M$424,9,FALSE),
IF($A38&lt;'PVC SCH40 LD'!$A$22,VLOOKUP($A38,'PVC SCH40 LD'!$A$8:$M$21,9,FALSE),
IF($A38&lt;'Pool &amp; SPA Sweep Elbows'!$A$12,VLOOKUP($A38,'Pool &amp; SPA Sweep Elbows'!$A$8:$M$11,9,FALSE),
IF($A38&lt;'Pool &amp; SPA Pipe Extender'!$A$11,VLOOKUP($A38,'Pool &amp; SPA Pipe Extender'!$A$8:$M$10,9,FALSE),
IF($A38&lt;'PVC SCH80'!$A$250,VLOOKUP($A38,'PVC SCH80'!$A$8:$M$249,9,FALSE),
IF($A38&lt;'PVC SCH80 Flange'!$A$49,VLOOKUP($A38,'PVC SCH80 Flange'!$A$8:$M$48,9,FALSE),
IF($A38&lt;'PVC SCH80 LD Flange'!$A$17,VLOOKUP($A38,'PVC SCH80 LD Flange'!$A$8:$M$16,9,FALSE),
IF($A38&lt;CPVC!$A$105,VLOOKUP($A38,CPVC!$A$9:$M$104,9,FALSE),
IF($A38&lt;InsertFittings!$A$185,VLOOKUP($A38,InsertFittings!$A$9:$M$184,9,FALSE),
IF($A38&lt;Valves!$A$92,VLOOKUP($A38,Valves!$A$9:$Q$91,13,FALSE),
IF($A38&lt;SDR35SW!$A$133,VLOOKUP($A38,SDR35SW!$A$9:$M$132,9,FALSE),
IF($A38&lt;SDR35G!$A$151,VLOOKUP($A38,SDR35G!$A$9:$M$150,9,FALSE),                                                                                                                                                                                                                                                          IF($A38&lt;SDR26G!$A$67,VLOOKUP($A38,SDR26G!$A$9:$N$66,10,FALSE),                                                                                                                                                                                                                                                       IF($A38&lt;Cements!$A$95,VLOOKUP($A38,Cements!$A$8:$Q$94,13,FALSE),
IF($A38&lt;ValveBox!$A$124,VLOOKUP($A38,ValveBox!$A$9:$O$123,11,FALSE),
IF($A38&lt;'ValveBox Components'!$A$142,VLOOKUP($A38,'ValveBox Components'!$A$9:$N$141,10,FALSE),
IF($A38&lt;Drainage!$A$69,VLOOKUP($A38,Drainage!$A$8:$M$68,9,FALSE),                                                                                                                                                                                                                                                              IF($A38&lt;Nipples!$A$82,VLOOKUP($A38,Nipples!$A$9:$Q$81,13,FALSE),
IF($A38&lt;Manifold!$A$33,VLOOKUP($A38,Manifold!$A$9:$M$32,9,FALSE),
IF($A38&lt;FlexibleRepairCouplings!$A$12,VLOOKUP($A38,FlexibleRepairCouplings!$A$9:$M$11,9,FALSE),
IF($A38&lt;DuraFix!$A$15,VLOOKUP($A38,DuraFix!$A$9:$M$14,9,FALSE),                                                                                                                                                                                                                                                          IF($A38&lt;'Compression Fittings'!$A$16,VLOOKUP($A38,'Compression Fittings'!$A$8:$M$15,9,FALSE),
IF($A38&lt;'Hose Fittings'!$A$30,VLOOKUP($A38,'Hose Fittings'!$A$8:$M$29,9,FALSE),
IF($A38&lt;'Swing Joints'!$A$495,VLOOKUP($A38,'Swing Joints'!$A$9:$M$494,9,FALSE),
IF($A38&lt;'Swing Joints Components'!$A$135,VLOOKUP($A38,'Swing Joints Components'!$A$9:$M$134,9,FALSE),
IF($A38&lt;Nonstandard!$A$42,VLOOKUP($A38,Nonstandard!$A$31:$J$41,8,FALSE),"")))))))))))))))))))))))))))),"")</f>
        <v/>
      </c>
      <c r="G38" s="540" t="str">
        <f>IFERROR(IF($A38&lt;'DWV PVC'!$A$317,VLOOKUP($A38,'DWV PVC'!$A$9:$M$316,11,FALSE),
IF($A38&lt;'DWV ABS'!$A$117,VLOOKUP($A38,'DWV ABS'!$A$8:$M$116,11,FALSE),                                                                                                                                                                                                                                                     IF($A38&lt;'PVC SCH40'!$A$425,VLOOKUP($A38,'PVC SCH40'!$A$8:$M$424,11,FALSE),
IF($A38&lt;'PVC SCH40 LD'!$A$22,VLOOKUP($A38,'PVC SCH40 LD'!$A$8:$M$21,11,FALSE),
IF($A38&lt;'Pool &amp; SPA Sweep Elbows'!$A$12,VLOOKUP($A38,'Pool &amp; SPA Sweep Elbows'!$A$8:$M$11,11,FALSE),
IF($A38&lt;'Pool &amp; SPA Pipe Extender'!$A$11,VLOOKUP($A38,'Pool &amp; SPA Pipe Extender'!$A$8:$M$10,11,FALSE),
IF($A38&lt;'PVC SCH80'!$A$250,VLOOKUP($A38,'PVC SCH80'!$A$8:$M$249,11,FALSE),
IF($A38&lt;'PVC SCH80 Flange'!$A$49,VLOOKUP($A38,'PVC SCH80 Flange'!$A$8:$M$48,11,FALSE),
IF($A38&lt;'PVC SCH80 LD Flange'!$A$17,VLOOKUP($A38,'PVC SCH80 LD Flange'!$A$8:$M$16,11,FALSE),
IF($A38&lt;CPVC!$A$105,VLOOKUP($A38,CPVC!$A$9:$M$104,11,FALSE),
IF($A38&lt;InsertFittings!$A$185,VLOOKUP($A38,InsertFittings!$A$9:$M$184,11,FALSE),
IF($A38&lt;Valves!$A$92,VLOOKUP($A38,Valves!$A$9:$Q$91,15,FALSE),
IF($A38&lt;SDR35SW!$A$133,VLOOKUP($A38,SDR35SW!$A$9:$M$132,11,FALSE),
IF($A38&lt;SDR35G!$A$151,VLOOKUP($A38,SDR35G!$A$9:$M$150,11,FALSE),                                                                                                                                                                                                                                                          IF($A38&lt;SDR26G!$A$67,VLOOKUP($A38,SDR26G!$A$9:$N$66,12,FALSE),                                                                                                                                                                                                                                                       IF($A38&lt;Cements!$A$95,VLOOKUP($A38,Cements!$A$8:$Q$94,15,FALSE),
IF($A38&lt;ValveBox!$A$124,VLOOKUP($A38,ValveBox!$A$9:$O$123,13,FALSE),
IF($A38&lt;'ValveBox Components'!$A$142,VLOOKUP($A38,'ValveBox Components'!$A$9:$N$141,12,FALSE),
IF($A38&lt;Drainage!$A$69,VLOOKUP($A38,Drainage!$A$8:$M$68,11,FALSE),                                                                                                                                                                                                                                                           IF($A38&lt;Nipples!$A$82,VLOOKUP($A38,Nipples!$A$9:$Q$81,15,FALSE),
IF($A38&lt;Manifold!$A$33,VLOOKUP($A38,Manifold!$A$9:$M$32,11,FALSE),
IF($A38&lt;FlexibleRepairCouplings!$A$12,VLOOKUP($A38,FlexibleRepairCouplings!$A$9:$M$11,11,FALSE),
IF($A38&lt;DuraFix!$A$15,VLOOKUP($A38,DuraFix!$A$9:$M$14,11,FALSE),                                                                                                                                                                                                                                                            IF($A38&lt;'Compression Fittings'!$A$16,VLOOKUP($A38,'Compression Fittings'!$A$8:$M$15,11,FALSE),
IF($A38&lt;'Hose Fittings'!$A$30,VLOOKUP($A38,'Hose Fittings'!$A$8:$M$29,11,FALSE),
IF($A38&lt;'Swing Joints'!$A$495,VLOOKUP($A38,'Swing Joints'!$A$9:$M$494,11,FALSE),
IF($A38&lt;'Swing Joints Components'!$A$135,VLOOKUP($A38,'Swing Joints Components'!$A$9:$M$134,11,FALSE),
IF($A38&lt;Nonstandard!$A$42,VLOOKUP($A38,Nonstandard!$A$31:$J$41,10,FALSE),"")))))))))))))))))))))))))))),"")</f>
        <v/>
      </c>
      <c r="H38" s="620" t="str">
        <f>IFERROR(IF($A38&lt;'DWV PVC'!$A$317,VLOOKUP($A38,'DWV PVC'!$A$9:$M$316,7,FALSE),
IF($A38&lt;'DWV ABS'!$A$117,VLOOKUP($A38,'DWV ABS'!$A$8:$M$116,11,FALSE),                                                                                                                                                                                                                                                     IF($A38&lt;'PVC SCH40'!$A$425,VLOOKUP($A38,'PVC SCH40'!$A$8:$M$424,7,FALSE),
IF($A38&lt;'PVC SCH40 LD'!$A$22,VLOOKUP($A38,'PVC SCH40 LD'!$A$8:$M$21,7,FALSE),
IF($A38&lt;'Pool &amp; SPA Sweep Elbows'!$A$12,VLOOKUP($A38,'Pool &amp; SPA Sweep Elbows'!$A$8:$M$11,7,FALSE),
IF($A38&lt;'Pool &amp; SPA Pipe Extender'!$A$11,VLOOKUP($A38,'Pool &amp; SPA Pipe Extender'!$A$8:$M$10,7,FALSE),
IF($A38&lt;'PVC SCH80'!$A$250,VLOOKUP($A38,'PVC SCH80'!$A$8:$M$249,7,FALSE),
IF($A38&lt;'PVC SCH80 Flange'!$A$49,VLOOKUP($A38,'PVC SCH80 Flange'!$A$8:$M$48,7,FALSE),
IF($A38&lt;'PVC SCH80 LD Flange'!$A$17,VLOOKUP($A38,'PVC SCH80 LD Flange'!$A$8:$M$16,7,FALSE),
IF($A38&lt;CPVC!$A$105,VLOOKUP($A38,CPVC!$A$9:$M$104,7,FALSE),
IF($A38&lt;InsertFittings!$A$185,VLOOKUP($A38,InsertFittings!$A$9:$M$184,7,FALSE),
IF($A38&lt;Valves!$A$92,VLOOKUP($A38,Valves!$A$9:$Q$91,11,FALSE),
IF($A38&lt;SDR35SW!$A$133,VLOOKUP($A38,SDR35SW!$A$9:$M$132,7,FALSE),
IF($A38&lt;SDR35G!$A$151,VLOOKUP($A38,SDR35G!$A$9:$M$150,7,FALSE),                                                                                                                                                                                                                                                       IF($A38&lt;SDR26G!$A$67,VLOOKUP($A38,SDR26G!$A$9:$N$66,8,FALSE),                                                                                                                                                                                                                                                     IF($A38&lt;Cements!$A$95,VLOOKUP($A38,Cements!$A$8:$Q$94,11,FALSE),
IF($A38&lt;ValveBox!$A$124,VLOOKUP($A38,ValveBox!$A$9:$O$123,10,FALSE),
IF($A38&lt;'ValveBox Components'!$A$142,VLOOKUP($A38,'ValveBox Components'!$A$9:$N$141,9,FALSE),
IF($A38&lt;Drainage!$A$69,VLOOKUP($A38,Drainage!$A$8:$M$68,7,FALSE),                                                                                                                                                                                                                                                          IF($A38&lt;Nipples!$A$82,VLOOKUP($A38,Nipples!$A$9:$Q$81,11,FALSE),
IF($A38&lt;Manifold!$A$33,VLOOKUP($A38,Manifold!$A$9:$M$32,7,FALSE),
IF($A38&lt;FlexibleRepairCouplings!$A$12,VLOOKUP($A38,FlexibleRepairCouplings!$A$9:$M$11,7,FALSE),
IF($A38&lt;DuraFix!$A$15,VLOOKUP($A38,DuraFix!$A$9:$M$14,7,FALSE),                                                                                                                                                                                                                                                           IF($A38&lt;'Compression Fittings'!$A$16,VLOOKUP($A38,'Compression Fittings'!$A$8:$M$15,7,FALSE),
IF($A38&lt;'Hose Fittings'!$A$30,VLOOKUP($A38,'Hose Fittings'!$A$8:$M$29,7,FALSE),
IF($A38&lt;'Swing Joints'!$A$495,VLOOKUP($A38,'Swing Joints'!$A$9:$M$494,7,FALSE),
IF($A38&lt;'Swing Joints Components'!$A$135,VLOOKUP($A38,'Swing Joints Components'!$A$9:$M$134,7,FALSE),
IF($A38&lt;Nonstandard!$A$42,VLOOKUP($A38,Nonstandard!$A$31:$J$41,10,FALSE),"")))))))))))))))))))))))))))),"")</f>
        <v/>
      </c>
      <c r="I38" s="621"/>
      <c r="J38" s="541" t="str">
        <f t="shared" si="1"/>
        <v/>
      </c>
      <c r="K38" s="599" t="str">
        <f>IFERROR(IF($A38&lt;'DWV PVC'!$A$317,VLOOKUP($A38,'DWV PVC'!$A$9:$M$316,10,FALSE),
IF($A38&lt;'DWV ABS'!$A$117,VLOOKUP($A38,'DWV ABS'!$A$8:$M$116,10,FALSE),
IF($A38&lt;'PVC SCH40'!$A$425,VLOOKUP($A38,'PVC SCH40'!$A$8:$M$424,10,FALSE),
IF($A38&lt;'PVC SCH40 LD'!$A$22,VLOOKUP($A38,'PVC SCH40 LD'!$A$8:$M$21,10,FALSE),
IF($A38&lt;'Pool &amp; SPA Sweep Elbows'!$A$12,VLOOKUP($A38,'Pool &amp; SPA Sweep Elbows'!$A$8:$M$11,10,FALSE),
IF($A38&lt;'Pool &amp; SPA Pipe Extender'!$A$11,VLOOKUP($A38,'Pool &amp; SPA Pipe Extender'!$A$8:$M$10,10,FALSE),
IF($A38&lt;'PVC SCH80'!$A$250,VLOOKUP($A38,'PVC SCH80'!$A$8:$M$249,10,FALSE),
IF($A38&lt;'PVC SCH80 Flange'!$A$49,VLOOKUP($A38,'PVC SCH80 Flange'!$A$8:$M$48,10,FALSE),
IF($A38&lt;'PVC SCH80 LD Flange'!$A$17,VLOOKUP($A38,'PVC SCH80 LD Flange'!$A$8:$M$16,10,FALSE),
IF($A38&lt;CPVC!$A$105,VLOOKUP($A38,CPVC!$A$9:$M$104,10,FALSE),
IF($A38&lt;InsertFittings!$A$185,VLOOKUP($A38,InsertFittings!$A$9:$M$184,10,FALSE),
IF($A38&lt;Valves!$A$92,VLOOKUP($A38,Valves!$A$9:$Q$91,14,FALSE),
IF($A38&lt;SDR35SW!$A$133,VLOOKUP($A38,SDR35SW!$A$9:$M$132,10,FALSE),
IF($A38&lt;SDR35G!$A$151,VLOOKUP($A38,SDR35G!$A$9:$M$150,10,FALSE),
IF($A38&lt;SDR26G!$A$67,VLOOKUP($A38,SDR26G!$A$9:$N$66,11,FALSE),
IF($A38&lt;Cements!$A$95,VLOOKUP($A38,Cements!$A$8:$Q$94,14,FALSE),
IF($A38&lt;ValveBox!$A$124,VLOOKUP($A38,ValveBox!$A$9:$O$123,12,FALSE),
IF($A38&lt;'ValveBox Components'!$A$142,VLOOKUP($A38,'ValveBox Components'!$A$9:$N$141,11,FALSE),
IF($A38&lt;Drainage!$A$69,VLOOKUP($A38,Drainage!$A$8:$M$68,10,FALSE),
IF($A38&lt;Nipples!$A$82,VLOOKUP($A38,Nipples!$A$9:$Q$81,14,FALSE),
IF($A38&lt;Manifold!$A$33,VLOOKUP($A38,Manifold!$A$9:$M$32,10,FALSE),
IF($A38&lt;FlexibleRepairCouplings!$A$12,VLOOKUP($A38,FlexibleRepairCouplings!$A$9:$M$11,10,FALSE),
IF($A38&lt;DuraFix!$A$15,VLOOKUP($A38,DuraFix!$A$9:$M$14,10,FALSE),
IF($A38&lt;'Compression Fittings'!$A$16,VLOOKUP($A38,'Compression Fittings'!$A$8:$M$15,10,FALSE),
IF($A38&lt;'Hose Fittings'!$A$30,VLOOKUP($A38,'Hose Fittings'!$A$8:$M$29,10,FALSE),
IF($A38&lt;'Swing Joints'!$A$495,VLOOKUP($A38,'Swing Joints'!$A$9:$M$494,10,FALSE),
IF($A38&lt;'Swing Joints Components'!$A$135,VLOOKUP($A38,'Swing Joints Components'!$A$9:$M$134,10,FALSE),
IF($A38&lt;Nonstandard!$A$42,VLOOKUP($A38,Nonstandard!$A$31:$J$41,10,FALSE),"")))))))))))))))))))))))))))),"")</f>
        <v/>
      </c>
      <c r="L38" s="539" t="str">
        <f t="shared" si="0"/>
        <v>-</v>
      </c>
      <c r="M38" s="542"/>
    </row>
    <row r="39" spans="1:13" ht="15.6">
      <c r="A39" s="312">
        <v>7</v>
      </c>
      <c r="B39" s="312" t="str">
        <f>IFERROR(IF($A39&lt;'DWV PVC'!$A$317,VLOOKUP($A39,'DWV PVC'!$A$9:$M$316,4,FALSE),
IF($A39&lt;'DWV ABS'!$A$117,VLOOKUP($A39,'DWV ABS'!$A$8:$M$116,4,FALSE),
IF($A39&lt;'PVC SCH40'!$A$425,VLOOKUP($A39,'PVC SCH40'!$A$8:$M$424,4,FALSE),
IF($A39&lt;'PVC SCH40 LD'!$A$22,VLOOKUP($A39,'PVC SCH40 LD'!$A$8:$M$21,4,FALSE),
IF($A39&lt;'Pool &amp; SPA Sweep Elbows'!$A$12,VLOOKUP($A39,'Pool &amp; SPA Sweep Elbows'!$A$8:$M$11,4,FALSE),
IF($A39&lt;'Pool &amp; SPA Pipe Extender'!$A$11,VLOOKUP($A39,'Pool &amp; SPA Pipe Extender'!$A$8:$M$10,4,FALSE),
IF($A39&lt;'PVC SCH80'!$A$250,VLOOKUP($A39,'PVC SCH80'!$A$8:$M$249,4,FALSE),
IF($A39&lt;'PVC SCH80 Flange'!$A$49,VLOOKUP($A39,'PVC SCH80 Flange'!$A$8:$M$48,4,FALSE),
IF($A39&lt;'PVC SCH80 LD Flange'!$A$17,VLOOKUP($A39,'PVC SCH80 LD Flange'!$A$8:$M$16,4,FALSE),
IF($A39&lt;CPVC!$A$105,VLOOKUP($A39,CPVC!$A$9:$M$104,4,FALSE),
IF($A39&lt;InsertFittings!$A$185,VLOOKUP($A39,InsertFittings!$A$9:$M$184,4,FALSE),
IF($A39&lt;Valves!$A$92,VLOOKUP($A39,Valves!$A$9:$Q$91,4,FALSE),
IF($A39&lt;SDR35SW!$A$133,VLOOKUP($A39,SDR35SW!$A$9:$M$132,4,FALSE),
IF($A39&lt;SDR35G!$A$151,VLOOKUP($A39,SDR35G!$A$9:$M$150,4,FALSE),
IF($A39&lt;SDR26G!$A$67,VLOOKUP($A39,SDR26G!$A$9:$N$66,5,FALSE),
IF($A39&lt;Cements!$A$95,VLOOKUP($A39,Cements!$A$8:$Q$94,4,FALSE),
IF($A39&lt;ValveBox!$A$124,VLOOKUP($A39,ValveBox!$A$9:$O$123,4,FALSE),
IF($A39&lt;'ValveBox Components'!$A$142,VLOOKUP($A39,'ValveBox Components'!$A$9:$N$141,4,FALSE),
IF($A39&lt;Drainage!$A$69,VLOOKUP($A39,Drainage!$A$8:$M$68,4,FALSE),
IF($A39&lt;Nipples!$A$82,VLOOKUP($A39,Nipples!$A$9:$Q$81,4,FALSE),
IF($A39&lt;Manifold!$A$33,VLOOKUP($A39,Manifold!$A$9:$M$32,4,FALSE),
IF($A39&lt;FlexibleRepairCouplings!$A$12,VLOOKUP($A39,FlexibleRepairCouplings!$A$9:$M$11,4,FALSE),
IF($A39&lt;DuraFix!$A$15,VLOOKUP($A39,DuraFix!$A$9:$M$14,4,FALSE),
IF($A39&lt;'Compression Fittings'!$A$16,VLOOKUP($A39,'Compression Fittings'!$A$8:$M$15,4,FALSE),
IF($A39&lt;'Hose Fittings'!$A$30,VLOOKUP($A39,'Hose Fittings'!$A$8:$M$29,4,FALSE),
IF($A39&lt;'Swing Joints'!$A$495,VLOOKUP($A39,'Swing Joints'!$A$9:$M$494,4,FALSE),
IF($A39&lt;'Swing Joints Components'!$A$135,VLOOKUP($A39,'Swing Joints Components'!$A$9:$M$134,4,FALSE),
IF($A39&lt;Nonstandard!$A$42,VLOOKUP($A39,Nonstandard!$A$31:$J$41,5,FALSE),"")))))))))))))))))))))))))))),"")</f>
        <v/>
      </c>
      <c r="C39" s="312" t="str">
        <f>IFERROR(IF($A39&lt;'DWV PVC'!$A$317,VLOOKUP($A39,'DWV PVC'!$A$9:$M$316,5,FALSE),
IF($A39&lt;'DWV ABS'!$A$117,VLOOKUP($A39,'DWV ABS'!$A$8:$M$116,5,FALSE),
IF($A39&lt;'PVC SCH40'!$A$425,VLOOKUP($A39,'PVC SCH40'!$A$8:$M$424,5,FALSE),
IF($A39&lt;'PVC SCH40 LD'!$A$22,VLOOKUP($A39,'PVC SCH40 LD'!$A$8:$M$21,5,FALSE),
IF($A39&lt;'Pool &amp; SPA Sweep Elbows'!$A$12,VLOOKUP($A39,'Pool &amp; SPA Sweep Elbows'!$A$8:$M$11,5,FALSE),
IF($A39&lt;'Pool &amp; SPA Pipe Extender'!$A$11,VLOOKUP($A39,'Pool &amp; SPA Pipe Extender'!$A$8:$M$10,5,FALSE),
IF($A39&lt;'PVC SCH80'!$A$250,VLOOKUP($A39,'PVC SCH80'!$A$8:$M$249,5,FALSE),
IF($A39&lt;'PVC SCH80 Flange'!$A$49,VLOOKUP($A39,'PVC SCH80 Flange'!$A$8:$M$48,5,FALSE),
IF($A39&lt;'PVC SCH80 LD Flange'!$A$17,VLOOKUP($A39,'PVC SCH80 LD Flange'!$A$8:$M$16,5,FALSE),
IF($A39&lt;CPVC!$A$105,VLOOKUP($A39,CPVC!$A$9:$M$104,5,FALSE),
IF($A39&lt;InsertFittings!$A$185,VLOOKUP($A39,InsertFittings!$A$9:$M$184,5,FALSE),
IF($A39&lt;Valves!$A$92,VLOOKUP($A39,Valves!$A$9:$Q$91,5,FALSE),
IF($A39&lt;SDR35SW!$A$133,VLOOKUP($A39,SDR35SW!$A$9:$M$132,5,FALSE),
IF($A39&lt;SDR35G!$A$151,VLOOKUP($A39,SDR35G!$A$9:$M$150,5,FALSE),
IF($A39&lt;SDR26G!$A$67,VLOOKUP($A39,SDR26G!$A$9:$N$66,6,FALSE),
IF($A39&lt;Cements!$A$95,VLOOKUP($A39,Cements!$A$8:$Q$94,5,FALSE),
IF($A39&lt;ValveBox!$A$124,VLOOKUP($A39,ValveBox!$A$9:$O$123,5,FALSE),
IF($A39&lt;'ValveBox Components'!$A$142,VLOOKUP($A39,'ValveBox Components'!$A$9:$N$141,5,FALSE),
IF($A39&lt;Drainage!$A$69,VLOOKUP($A39,Drainage!$A$8:$M$68,5,FALSE),
IF($A39&lt;Nipples!$A$82,VLOOKUP($A39,Nipples!$A$9:$Q$81,5,FALSE),
IF($A39&lt;Manifold!$A$33,VLOOKUP($A39,Manifold!$A$9:$M$32,5,FALSE),
IF($A39&lt;FlexibleRepairCouplings!$A$12,VLOOKUP($A39,FlexibleRepairCouplings!$A$9:$M$11,5,FALSE),
IF($A39&lt;DuraFix!$A$15,VLOOKUP($A39,DuraFix!$A$9:$M$14,5,FALSE),
IF($A39&lt;'Compression Fittings'!$A$16,VLOOKUP($A39,'Compression Fittings'!$A$8:$M$15,5,FALSE),
IF($A39&lt;'Hose Fittings'!$A$30,VLOOKUP($A39,'Hose Fittings'!$A$8:$M$29,5,FALSE),
IF($A39&lt;'Swing Joints'!$A$495,VLOOKUP($A39,'Swing Joints'!$A$9:$M$494,5,FALSE),
IF($A39&lt;'Swing Joints Components'!$A$135,VLOOKUP($A39,'Swing Joints Components'!$A$9:$M$134,5,FALSE),
IF($A39&lt;Nonstandard!$A$42,VLOOKUP($A39,Nonstandard!$A$31:$J$41,6,FALSE),"")))))))))))))))))))))))))))),"")</f>
        <v/>
      </c>
      <c r="D39" s="534" t="str">
        <f>IFERROR(IF($A39&lt;'DWV PVC'!$A$317,VLOOKUP($A39,'DWV PVC'!$A$9:$M$316,6,FALSE),
IF($A39&lt;'DWV ABS'!$A$117,VLOOKUP($A39,'DWV ABS'!$A$8:$M$116,6,FALSE),
IF($A39&lt;'PVC SCH40'!$A$425,VLOOKUP($A39,'PVC SCH40'!$A$8:$M$424,6,FALSE),
IF($A39&lt;'PVC SCH40 LD'!$A$22,VLOOKUP($A39,'PVC SCH40 LD'!$A$8:$M$21,6,FALSE),
IF($A39&lt;'Pool &amp; SPA Sweep Elbows'!$A$12,VLOOKUP($A39,'Pool &amp; SPA Sweep Elbows'!$A$8:$M$11,6,FALSE),
IF($A39&lt;'Pool &amp; SPA Pipe Extender'!$A$11,VLOOKUP($A39,'Pool &amp; SPA Pipe Extender'!$A$8:$M$10,6,FALSE),
IF($A39&lt;'PVC SCH80'!$A$250,VLOOKUP($A39,'PVC SCH80'!$A$8:$M$249,6,FALSE),
IF($A39&lt;'PVC SCH80 Flange'!$A$49,VLOOKUP($A39,'PVC SCH80 Flange'!$A$8:$M$48,6,FALSE),
IF($A39&lt;'PVC SCH80 LD Flange'!$A$17,VLOOKUP($A39,'PVC SCH80 LD Flange'!$A$8:$M$16,6,FALSE),
IF($A39&lt;CPVC!$A$105,VLOOKUP($A39,CPVC!$A$9:$M$104,6,FALSE),
IF($A39&lt;InsertFittings!$A$185,VLOOKUP($A39,InsertFittings!$A$9:$M$184,6,FALSE),
IF($A39&lt;Valves!$A$92,VLOOKUP($A39,Valves!$A$9:$Q$91,6,FALSE),
IF($A39&lt;SDR35SW!$A$133,VLOOKUP($A39,SDR35SW!$A$9:$M$132,6,FALSE),
IF($A39&lt;SDR35G!$A$151,VLOOKUP($A39,SDR35G!$A$9:$M$150,6,FALSE),
IF($A39&lt;SDR26G!$A$67,VLOOKUP($A39,SDR26G!$A$9:$N$66,7,FALSE),
IF($A39&lt;Cements!$A$95,VLOOKUP($A39,Cements!$A$8:$Q$94,6,FALSE),
IF($A39&lt;ValveBox!$A$124,VLOOKUP($A39,ValveBox!$A$9:$O$123,6,FALSE),
IF($A39&lt;'ValveBox Components'!$A$142,VLOOKUP($A39,'ValveBox Components'!$A$9:$N$141,6,FALSE),
IF($A39&lt;Drainage!$A$69,VLOOKUP($A39,Drainage!$A$8:$M$68,6,FALSE),
IF($A39&lt;Nipples!$A$82,VLOOKUP($A39,Nipples!$A$9:$Q$81,6,FALSE),
IF($A39&lt;Manifold!$A$33,VLOOKUP($A39,Manifold!$A$9:$M$32,6,FALSE),
IF($A39&lt;FlexibleRepairCouplings!$A$12,VLOOKUP($A39,FlexibleRepairCouplings!$A$9:$M$11,6,FALSE),
IF($A39&lt;DuraFix!$A$15,VLOOKUP($A39,DuraFix!$A$9:$M$14,6,FALSE),
IF($A39&lt;'Compression Fittings'!$A$16,VLOOKUP($A39,'Compression Fittings'!$A$8:$M$15,6,FALSE),
IF($A39&lt;'Hose Fittings'!$A$30,VLOOKUP($A39,'Hose Fittings'!$A$8:$M$29,6,FALSE),
IF($A39&lt;'Swing Joints'!$A$495,VLOOKUP($A39,'Swing Joints'!$A$9:$M$494,6,FALSE),
IF($A39&lt;'Swing Joints Components'!$A$135,VLOOKUP($A39,'Swing Joints Components'!$A$9:$M$134,6,FALSE),
IF($A39&lt;Nonstandard!$A$42,VLOOKUP($A39,Nonstandard!$A$31:$J$41,7,FALSE),"")))))))))))))))))))))))))))),"")</f>
        <v/>
      </c>
      <c r="E39" s="316"/>
      <c r="F39" s="314" t="str">
        <f>IFERROR(IF($A39&lt;'DWV PVC'!$A$317,VLOOKUP($A39,'DWV PVC'!$A$9:$M$316,9,FALSE),
IF($A39&lt;'DWV ABS'!$A$117,VLOOKUP($A39,'DWV ABS'!$A$8:$M$116,9,FALSE),                                                                                                                                                                                                                                                     IF($A39&lt;'PVC SCH40'!$A$425,VLOOKUP($A39,'PVC SCH40'!$A$8:$M$424,9,FALSE),
IF($A39&lt;'PVC SCH40 LD'!$A$22,VLOOKUP($A39,'PVC SCH40 LD'!$A$8:$M$21,9,FALSE),
IF($A39&lt;'Pool &amp; SPA Sweep Elbows'!$A$12,VLOOKUP($A39,'Pool &amp; SPA Sweep Elbows'!$A$8:$M$11,9,FALSE),
IF($A39&lt;'Pool &amp; SPA Pipe Extender'!$A$11,VLOOKUP($A39,'Pool &amp; SPA Pipe Extender'!$A$8:$M$10,9,FALSE),
IF($A39&lt;'PVC SCH80'!$A$250,VLOOKUP($A39,'PVC SCH80'!$A$8:$M$249,9,FALSE),
IF($A39&lt;'PVC SCH80 Flange'!$A$49,VLOOKUP($A39,'PVC SCH80 Flange'!$A$8:$M$48,9,FALSE),
IF($A39&lt;'PVC SCH80 LD Flange'!$A$17,VLOOKUP($A39,'PVC SCH80 LD Flange'!$A$8:$M$16,9,FALSE),
IF($A39&lt;CPVC!$A$105,VLOOKUP($A39,CPVC!$A$9:$M$104,9,FALSE),
IF($A39&lt;InsertFittings!$A$185,VLOOKUP($A39,InsertFittings!$A$9:$M$184,9,FALSE),
IF($A39&lt;Valves!$A$92,VLOOKUP($A39,Valves!$A$9:$Q$91,13,FALSE),
IF($A39&lt;SDR35SW!$A$133,VLOOKUP($A39,SDR35SW!$A$9:$M$132,9,FALSE),
IF($A39&lt;SDR35G!$A$151,VLOOKUP($A39,SDR35G!$A$9:$M$150,9,FALSE),                                                                                                                                                                                                                                                          IF($A39&lt;SDR26G!$A$67,VLOOKUP($A39,SDR26G!$A$9:$N$66,10,FALSE),                                                                                                                                                                                                                                                       IF($A39&lt;Cements!$A$95,VLOOKUP($A39,Cements!$A$8:$Q$94,13,FALSE),
IF($A39&lt;ValveBox!$A$124,VLOOKUP($A39,ValveBox!$A$9:$O$123,11,FALSE),
IF($A39&lt;'ValveBox Components'!$A$142,VLOOKUP($A39,'ValveBox Components'!$A$9:$N$141,10,FALSE),
IF($A39&lt;Drainage!$A$69,VLOOKUP($A39,Drainage!$A$8:$M$68,9,FALSE),                                                                                                                                                                                                                                                              IF($A39&lt;Nipples!$A$82,VLOOKUP($A39,Nipples!$A$9:$Q$81,13,FALSE),
IF($A39&lt;Manifold!$A$33,VLOOKUP($A39,Manifold!$A$9:$M$32,9,FALSE),
IF($A39&lt;FlexibleRepairCouplings!$A$12,VLOOKUP($A39,FlexibleRepairCouplings!$A$9:$M$11,9,FALSE),
IF($A39&lt;DuraFix!$A$15,VLOOKUP($A39,DuraFix!$A$9:$M$14,9,FALSE),                                                                                                                                                                                                                                                          IF($A39&lt;'Compression Fittings'!$A$16,VLOOKUP($A39,'Compression Fittings'!$A$8:$M$15,9,FALSE),
IF($A39&lt;'Hose Fittings'!$A$30,VLOOKUP($A39,'Hose Fittings'!$A$8:$M$29,9,FALSE),
IF($A39&lt;'Swing Joints'!$A$495,VLOOKUP($A39,'Swing Joints'!$A$9:$M$494,9,FALSE),
IF($A39&lt;'Swing Joints Components'!$A$135,VLOOKUP($A39,'Swing Joints Components'!$A$9:$M$134,9,FALSE),
IF($A39&lt;Nonstandard!$A$42,VLOOKUP($A39,Nonstandard!$A$31:$J$41,8,FALSE),"")))))))))))))))))))))))))))),"")</f>
        <v/>
      </c>
      <c r="G39" s="533" t="str">
        <f>IFERROR(IF($A39&lt;'DWV PVC'!$A$317,VLOOKUP($A39,'DWV PVC'!$A$9:$M$316,11,FALSE),
IF($A39&lt;'DWV ABS'!$A$117,VLOOKUP($A39,'DWV ABS'!$A$8:$M$116,11,FALSE),                                                                                                                                                                                                                                                     IF($A39&lt;'PVC SCH40'!$A$425,VLOOKUP($A39,'PVC SCH40'!$A$8:$M$424,11,FALSE),
IF($A39&lt;'PVC SCH40 LD'!$A$22,VLOOKUP($A39,'PVC SCH40 LD'!$A$8:$M$21,11,FALSE),
IF($A39&lt;'Pool &amp; SPA Sweep Elbows'!$A$12,VLOOKUP($A39,'Pool &amp; SPA Sweep Elbows'!$A$8:$M$11,11,FALSE),
IF($A39&lt;'Pool &amp; SPA Pipe Extender'!$A$11,VLOOKUP($A39,'Pool &amp; SPA Pipe Extender'!$A$8:$M$10,11,FALSE),
IF($A39&lt;'PVC SCH80'!$A$250,VLOOKUP($A39,'PVC SCH80'!$A$8:$M$249,11,FALSE),
IF($A39&lt;'PVC SCH80 Flange'!$A$49,VLOOKUP($A39,'PVC SCH80 Flange'!$A$8:$M$48,11,FALSE),
IF($A39&lt;'PVC SCH80 LD Flange'!$A$17,VLOOKUP($A39,'PVC SCH80 LD Flange'!$A$8:$M$16,11,FALSE),
IF($A39&lt;CPVC!$A$105,VLOOKUP($A39,CPVC!$A$9:$M$104,11,FALSE),
IF($A39&lt;InsertFittings!$A$185,VLOOKUP($A39,InsertFittings!$A$9:$M$184,11,FALSE),
IF($A39&lt;Valves!$A$92,VLOOKUP($A39,Valves!$A$9:$Q$91,15,FALSE),
IF($A39&lt;SDR35SW!$A$133,VLOOKUP($A39,SDR35SW!$A$9:$M$132,11,FALSE),
IF($A39&lt;SDR35G!$A$151,VLOOKUP($A39,SDR35G!$A$9:$M$150,11,FALSE),                                                                                                                                                                                                                                                          IF($A39&lt;SDR26G!$A$67,VLOOKUP($A39,SDR26G!$A$9:$N$66,12,FALSE),                                                                                                                                                                                                                                                       IF($A39&lt;Cements!$A$95,VLOOKUP($A39,Cements!$A$8:$Q$94,15,FALSE),
IF($A39&lt;ValveBox!$A$124,VLOOKUP($A39,ValveBox!$A$9:$O$123,13,FALSE),
IF($A39&lt;'ValveBox Components'!$A$142,VLOOKUP($A39,'ValveBox Components'!$A$9:$N$141,12,FALSE),
IF($A39&lt;Drainage!$A$69,VLOOKUP($A39,Drainage!$A$8:$M$68,11,FALSE),                                                                                                                                                                                                                                                           IF($A39&lt;Nipples!$A$82,VLOOKUP($A39,Nipples!$A$9:$Q$81,15,FALSE),
IF($A39&lt;Manifold!$A$33,VLOOKUP($A39,Manifold!$A$9:$M$32,11,FALSE),
IF($A39&lt;FlexibleRepairCouplings!$A$12,VLOOKUP($A39,FlexibleRepairCouplings!$A$9:$M$11,11,FALSE),
IF($A39&lt;DuraFix!$A$15,VLOOKUP($A39,DuraFix!$A$9:$M$14,11,FALSE),                                                                                                                                                                                                                                                            IF($A39&lt;'Compression Fittings'!$A$16,VLOOKUP($A39,'Compression Fittings'!$A$8:$M$15,11,FALSE),
IF($A39&lt;'Hose Fittings'!$A$30,VLOOKUP($A39,'Hose Fittings'!$A$8:$M$29,11,FALSE),
IF($A39&lt;'Swing Joints'!$A$495,VLOOKUP($A39,'Swing Joints'!$A$9:$M$494,11,FALSE),
IF($A39&lt;'Swing Joints Components'!$A$135,VLOOKUP($A39,'Swing Joints Components'!$A$9:$M$134,11,FALSE),
IF($A39&lt;Nonstandard!$A$42,VLOOKUP($A39,Nonstandard!$A$31:$J$41,10,FALSE),"")))))))))))))))))))))))))))),"")</f>
        <v/>
      </c>
      <c r="H39" s="618" t="str">
        <f>IFERROR(IF($A39&lt;'DWV PVC'!$A$317,VLOOKUP($A39,'DWV PVC'!$A$9:$M$316,7,FALSE),
IF($A39&lt;'DWV ABS'!$A$117,VLOOKUP($A39,'DWV ABS'!$A$8:$M$116,11,FALSE),                                                                                                                                                                                                                                                     IF($A39&lt;'PVC SCH40'!$A$425,VLOOKUP($A39,'PVC SCH40'!$A$8:$M$424,7,FALSE),
IF($A39&lt;'PVC SCH40 LD'!$A$22,VLOOKUP($A39,'PVC SCH40 LD'!$A$8:$M$21,7,FALSE),
IF($A39&lt;'Pool &amp; SPA Sweep Elbows'!$A$12,VLOOKUP($A39,'Pool &amp; SPA Sweep Elbows'!$A$8:$M$11,7,FALSE),
IF($A39&lt;'Pool &amp; SPA Pipe Extender'!$A$11,VLOOKUP($A39,'Pool &amp; SPA Pipe Extender'!$A$8:$M$10,7,FALSE),
IF($A39&lt;'PVC SCH80'!$A$250,VLOOKUP($A39,'PVC SCH80'!$A$8:$M$249,7,FALSE),
IF($A39&lt;'PVC SCH80 Flange'!$A$49,VLOOKUP($A39,'PVC SCH80 Flange'!$A$8:$M$48,7,FALSE),
IF($A39&lt;'PVC SCH80 LD Flange'!$A$17,VLOOKUP($A39,'PVC SCH80 LD Flange'!$A$8:$M$16,7,FALSE),
IF($A39&lt;CPVC!$A$105,VLOOKUP($A39,CPVC!$A$9:$M$104,7,FALSE),
IF($A39&lt;InsertFittings!$A$185,VLOOKUP($A39,InsertFittings!$A$9:$M$184,7,FALSE),
IF($A39&lt;Valves!$A$92,VLOOKUP($A39,Valves!$A$9:$Q$91,11,FALSE),
IF($A39&lt;SDR35SW!$A$133,VLOOKUP($A39,SDR35SW!$A$9:$M$132,7,FALSE),
IF($A39&lt;SDR35G!$A$151,VLOOKUP($A39,SDR35G!$A$9:$M$150,7,FALSE),                                                                                                                                                                                                                                                       IF($A39&lt;SDR26G!$A$67,VLOOKUP($A39,SDR26G!$A$9:$N$66,8,FALSE),                                                                                                                                                                                                                                                     IF($A39&lt;Cements!$A$95,VLOOKUP($A39,Cements!$A$8:$Q$94,11,FALSE),
IF($A39&lt;ValveBox!$A$124,VLOOKUP($A39,ValveBox!$A$9:$O$123,10,FALSE),
IF($A39&lt;'ValveBox Components'!$A$142,VLOOKUP($A39,'ValveBox Components'!$A$9:$N$141,9,FALSE),
IF($A39&lt;Drainage!$A$69,VLOOKUP($A39,Drainage!$A$8:$M$68,7,FALSE),                                                                                                                                                                                                                                                          IF($A39&lt;Nipples!$A$82,VLOOKUP($A39,Nipples!$A$9:$Q$81,11,FALSE),
IF($A39&lt;Manifold!$A$33,VLOOKUP($A39,Manifold!$A$9:$M$32,7,FALSE),
IF($A39&lt;FlexibleRepairCouplings!$A$12,VLOOKUP($A39,FlexibleRepairCouplings!$A$9:$M$11,7,FALSE),
IF($A39&lt;DuraFix!$A$15,VLOOKUP($A39,DuraFix!$A$9:$M$14,7,FALSE),                                                                                                                                                                                                                                                           IF($A39&lt;'Compression Fittings'!$A$16,VLOOKUP($A39,'Compression Fittings'!$A$8:$M$15,7,FALSE),
IF($A39&lt;'Hose Fittings'!$A$30,VLOOKUP($A39,'Hose Fittings'!$A$8:$M$29,7,FALSE),
IF($A39&lt;'Swing Joints'!$A$495,VLOOKUP($A39,'Swing Joints'!$A$9:$M$494,7,FALSE),
IF($A39&lt;'Swing Joints Components'!$A$135,VLOOKUP($A39,'Swing Joints Components'!$A$9:$M$134,7,FALSE),
IF($A39&lt;Nonstandard!$A$42,VLOOKUP($A39,Nonstandard!$A$31:$J$41,10,FALSE),"")))))))))))))))))))))))))))),"")</f>
        <v/>
      </c>
      <c r="I39" s="619"/>
      <c r="J39" s="281" t="str">
        <f t="shared" si="1"/>
        <v/>
      </c>
      <c r="K39" s="313" t="str">
        <f>IFERROR(IF($A39&lt;'DWV PVC'!$A$317,VLOOKUP($A39,'DWV PVC'!$A$9:$M$316,10,FALSE),
IF($A39&lt;'DWV ABS'!$A$117,VLOOKUP($A39,'DWV ABS'!$A$8:$M$116,10,FALSE),
IF($A39&lt;'PVC SCH40'!$A$425,VLOOKUP($A39,'PVC SCH40'!$A$8:$M$424,10,FALSE),
IF($A39&lt;'PVC SCH40 LD'!$A$22,VLOOKUP($A39,'PVC SCH40 LD'!$A$8:$M$21,10,FALSE),
IF($A39&lt;'Pool &amp; SPA Sweep Elbows'!$A$12,VLOOKUP($A39,'Pool &amp; SPA Sweep Elbows'!$A$8:$M$11,10,FALSE),
IF($A39&lt;'Pool &amp; SPA Pipe Extender'!$A$11,VLOOKUP($A39,'Pool &amp; SPA Pipe Extender'!$A$8:$M$10,10,FALSE),
IF($A39&lt;'PVC SCH80'!$A$250,VLOOKUP($A39,'PVC SCH80'!$A$8:$M$249,10,FALSE),
IF($A39&lt;'PVC SCH80 Flange'!$A$49,VLOOKUP($A39,'PVC SCH80 Flange'!$A$8:$M$48,10,FALSE),
IF($A39&lt;'PVC SCH80 LD Flange'!$A$17,VLOOKUP($A39,'PVC SCH80 LD Flange'!$A$8:$M$16,10,FALSE),
IF($A39&lt;CPVC!$A$105,VLOOKUP($A39,CPVC!$A$9:$M$104,10,FALSE),
IF($A39&lt;InsertFittings!$A$185,VLOOKUP($A39,InsertFittings!$A$9:$M$184,10,FALSE),
IF($A39&lt;Valves!$A$92,VLOOKUP($A39,Valves!$A$9:$Q$91,14,FALSE),
IF($A39&lt;SDR35SW!$A$133,VLOOKUP($A39,SDR35SW!$A$9:$M$132,10,FALSE),
IF($A39&lt;SDR35G!$A$151,VLOOKUP($A39,SDR35G!$A$9:$M$150,10,FALSE),
IF($A39&lt;SDR26G!$A$67,VLOOKUP($A39,SDR26G!$A$9:$N$66,11,FALSE),
IF($A39&lt;Cements!$A$95,VLOOKUP($A39,Cements!$A$8:$Q$94,14,FALSE),
IF($A39&lt;ValveBox!$A$124,VLOOKUP($A39,ValveBox!$A$9:$O$123,12,FALSE),
IF($A39&lt;'ValveBox Components'!$A$142,VLOOKUP($A39,'ValveBox Components'!$A$9:$N$141,11,FALSE),
IF($A39&lt;Drainage!$A$69,VLOOKUP($A39,Drainage!$A$8:$M$68,10,FALSE),
IF($A39&lt;Nipples!$A$82,VLOOKUP($A39,Nipples!$A$9:$Q$81,14,FALSE),
IF($A39&lt;Manifold!$A$33,VLOOKUP($A39,Manifold!$A$9:$M$32,10,FALSE),
IF($A39&lt;FlexibleRepairCouplings!$A$12,VLOOKUP($A39,FlexibleRepairCouplings!$A$9:$M$11,10,FALSE),
IF($A39&lt;DuraFix!$A$15,VLOOKUP($A39,DuraFix!$A$9:$M$14,10,FALSE),
IF($A39&lt;'Compression Fittings'!$A$16,VLOOKUP($A39,'Compression Fittings'!$A$8:$M$15,10,FALSE),
IF($A39&lt;'Hose Fittings'!$A$30,VLOOKUP($A39,'Hose Fittings'!$A$8:$M$29,10,FALSE),
IF($A39&lt;'Swing Joints'!$A$495,VLOOKUP($A39,'Swing Joints'!$A$9:$M$494,10,FALSE),
IF($A39&lt;'Swing Joints Components'!$A$135,VLOOKUP($A39,'Swing Joints Components'!$A$9:$M$134,10,FALSE),
IF($A39&lt;Nonstandard!$A$42,VLOOKUP($A39,Nonstandard!$A$31:$J$41,10,FALSE),"")))))))))))))))))))))))))))),"")</f>
        <v/>
      </c>
      <c r="L39" s="314" t="str">
        <f t="shared" si="0"/>
        <v>-</v>
      </c>
      <c r="M39" s="315"/>
    </row>
    <row r="40" spans="1:13" ht="15.6">
      <c r="A40" s="536">
        <v>8</v>
      </c>
      <c r="B40" s="536" t="str">
        <f>IFERROR(IF($A40&lt;'DWV PVC'!$A$317,VLOOKUP($A40,'DWV PVC'!$A$9:$M$316,4,FALSE),
IF($A40&lt;'DWV ABS'!$A$117,VLOOKUP($A40,'DWV ABS'!$A$8:$M$116,4,FALSE),
IF($A40&lt;'PVC SCH40'!$A$425,VLOOKUP($A40,'PVC SCH40'!$A$8:$M$424,4,FALSE),
IF($A40&lt;'PVC SCH40 LD'!$A$22,VLOOKUP($A40,'PVC SCH40 LD'!$A$8:$M$21,4,FALSE),
IF($A40&lt;'Pool &amp; SPA Sweep Elbows'!$A$12,VLOOKUP($A40,'Pool &amp; SPA Sweep Elbows'!$A$8:$M$11,4,FALSE),
IF($A40&lt;'Pool &amp; SPA Pipe Extender'!$A$11,VLOOKUP($A40,'Pool &amp; SPA Pipe Extender'!$A$8:$M$10,4,FALSE),
IF($A40&lt;'PVC SCH80'!$A$250,VLOOKUP($A40,'PVC SCH80'!$A$8:$M$249,4,FALSE),
IF($A40&lt;'PVC SCH80 Flange'!$A$49,VLOOKUP($A40,'PVC SCH80 Flange'!$A$8:$M$48,4,FALSE),
IF($A40&lt;'PVC SCH80 LD Flange'!$A$17,VLOOKUP($A40,'PVC SCH80 LD Flange'!$A$8:$M$16,4,FALSE),
IF($A40&lt;CPVC!$A$105,VLOOKUP($A40,CPVC!$A$9:$M$104,4,FALSE),
IF($A40&lt;InsertFittings!$A$185,VLOOKUP($A40,InsertFittings!$A$9:$M$184,4,FALSE),
IF($A40&lt;Valves!$A$92,VLOOKUP($A40,Valves!$A$9:$Q$91,4,FALSE),
IF($A40&lt;SDR35SW!$A$133,VLOOKUP($A40,SDR35SW!$A$9:$M$132,4,FALSE),
IF($A40&lt;SDR35G!$A$151,VLOOKUP($A40,SDR35G!$A$9:$M$150,4,FALSE),
IF($A40&lt;SDR26G!$A$67,VLOOKUP($A40,SDR26G!$A$9:$N$66,5,FALSE),
IF($A40&lt;Cements!$A$95,VLOOKUP($A40,Cements!$A$8:$Q$94,4,FALSE),
IF($A40&lt;ValveBox!$A$124,VLOOKUP($A40,ValveBox!$A$9:$O$123,4,FALSE),
IF($A40&lt;'ValveBox Components'!$A$142,VLOOKUP($A40,'ValveBox Components'!$A$9:$N$141,4,FALSE),
IF($A40&lt;Drainage!$A$69,VLOOKUP($A40,Drainage!$A$8:$M$68,4,FALSE),
IF($A40&lt;Nipples!$A$82,VLOOKUP($A40,Nipples!$A$9:$Q$81,4,FALSE),
IF($A40&lt;Manifold!$A$33,VLOOKUP($A40,Manifold!$A$9:$M$32,4,FALSE),
IF($A40&lt;FlexibleRepairCouplings!$A$12,VLOOKUP($A40,FlexibleRepairCouplings!$A$9:$M$11,4,FALSE),
IF($A40&lt;DuraFix!$A$15,VLOOKUP($A40,DuraFix!$A$9:$M$14,4,FALSE),
IF($A40&lt;'Compression Fittings'!$A$16,VLOOKUP($A40,'Compression Fittings'!$A$8:$M$15,4,FALSE),
IF($A40&lt;'Hose Fittings'!$A$30,VLOOKUP($A40,'Hose Fittings'!$A$8:$M$29,4,FALSE),
IF($A40&lt;'Swing Joints'!$A$495,VLOOKUP($A40,'Swing Joints'!$A$9:$M$494,4,FALSE),
IF($A40&lt;'Swing Joints Components'!$A$135,VLOOKUP($A40,'Swing Joints Components'!$A$9:$M$134,4,FALSE),
IF($A40&lt;Nonstandard!$A$42,VLOOKUP($A40,Nonstandard!$A$31:$J$41,5,FALSE),"")))))))))))))))))))))))))))),"")</f>
        <v/>
      </c>
      <c r="C40" s="536" t="str">
        <f>IFERROR(IF($A40&lt;'DWV PVC'!$A$317,VLOOKUP($A40,'DWV PVC'!$A$9:$M$316,5,FALSE),
IF($A40&lt;'DWV ABS'!$A$117,VLOOKUP($A40,'DWV ABS'!$A$8:$M$116,5,FALSE),
IF($A40&lt;'PVC SCH40'!$A$425,VLOOKUP($A40,'PVC SCH40'!$A$8:$M$424,5,FALSE),
IF($A40&lt;'PVC SCH40 LD'!$A$22,VLOOKUP($A40,'PVC SCH40 LD'!$A$8:$M$21,5,FALSE),
IF($A40&lt;'Pool &amp; SPA Sweep Elbows'!$A$12,VLOOKUP($A40,'Pool &amp; SPA Sweep Elbows'!$A$8:$M$11,5,FALSE),
IF($A40&lt;'Pool &amp; SPA Pipe Extender'!$A$11,VLOOKUP($A40,'Pool &amp; SPA Pipe Extender'!$A$8:$M$10,5,FALSE),
IF($A40&lt;'PVC SCH80'!$A$250,VLOOKUP($A40,'PVC SCH80'!$A$8:$M$249,5,FALSE),
IF($A40&lt;'PVC SCH80 Flange'!$A$49,VLOOKUP($A40,'PVC SCH80 Flange'!$A$8:$M$48,5,FALSE),
IF($A40&lt;'PVC SCH80 LD Flange'!$A$17,VLOOKUP($A40,'PVC SCH80 LD Flange'!$A$8:$M$16,5,FALSE),
IF($A40&lt;CPVC!$A$105,VLOOKUP($A40,CPVC!$A$9:$M$104,5,FALSE),
IF($A40&lt;InsertFittings!$A$185,VLOOKUP($A40,InsertFittings!$A$9:$M$184,5,FALSE),
IF($A40&lt;Valves!$A$92,VLOOKUP($A40,Valves!$A$9:$Q$91,5,FALSE),
IF($A40&lt;SDR35SW!$A$133,VLOOKUP($A40,SDR35SW!$A$9:$M$132,5,FALSE),
IF($A40&lt;SDR35G!$A$151,VLOOKUP($A40,SDR35G!$A$9:$M$150,5,FALSE),
IF($A40&lt;SDR26G!$A$67,VLOOKUP($A40,SDR26G!$A$9:$N$66,6,FALSE),
IF($A40&lt;Cements!$A$95,VLOOKUP($A40,Cements!$A$8:$Q$94,5,FALSE),
IF($A40&lt;ValveBox!$A$124,VLOOKUP($A40,ValveBox!$A$9:$O$123,5,FALSE),
IF($A40&lt;'ValveBox Components'!$A$142,VLOOKUP($A40,'ValveBox Components'!$A$9:$N$141,5,FALSE),
IF($A40&lt;Drainage!$A$69,VLOOKUP($A40,Drainage!$A$8:$M$68,5,FALSE),
IF($A40&lt;Nipples!$A$82,VLOOKUP($A40,Nipples!$A$9:$Q$81,5,FALSE),
IF($A40&lt;Manifold!$A$33,VLOOKUP($A40,Manifold!$A$9:$M$32,5,FALSE),
IF($A40&lt;FlexibleRepairCouplings!$A$12,VLOOKUP($A40,FlexibleRepairCouplings!$A$9:$M$11,5,FALSE),
IF($A40&lt;DuraFix!$A$15,VLOOKUP($A40,DuraFix!$A$9:$M$14,5,FALSE),
IF($A40&lt;'Compression Fittings'!$A$16,VLOOKUP($A40,'Compression Fittings'!$A$8:$M$15,5,FALSE),
IF($A40&lt;'Hose Fittings'!$A$30,VLOOKUP($A40,'Hose Fittings'!$A$8:$M$29,5,FALSE),
IF($A40&lt;'Swing Joints'!$A$495,VLOOKUP($A40,'Swing Joints'!$A$9:$M$494,5,FALSE),
IF($A40&lt;'Swing Joints Components'!$A$135,VLOOKUP($A40,'Swing Joints Components'!$A$9:$M$134,5,FALSE),
IF($A40&lt;Nonstandard!$A$42,VLOOKUP($A40,Nonstandard!$A$31:$J$41,6,FALSE),"")))))))))))))))))))))))))))),"")</f>
        <v/>
      </c>
      <c r="D40" s="537" t="str">
        <f>IFERROR(IF($A40&lt;'DWV PVC'!$A$317,VLOOKUP($A40,'DWV PVC'!$A$9:$M$316,6,FALSE),
IF($A40&lt;'DWV ABS'!$A$117,VLOOKUP($A40,'DWV ABS'!$A$8:$M$116,6,FALSE),
IF($A40&lt;'PVC SCH40'!$A$425,VLOOKUP($A40,'PVC SCH40'!$A$8:$M$424,6,FALSE),
IF($A40&lt;'PVC SCH40 LD'!$A$22,VLOOKUP($A40,'PVC SCH40 LD'!$A$8:$M$21,6,FALSE),
IF($A40&lt;'Pool &amp; SPA Sweep Elbows'!$A$12,VLOOKUP($A40,'Pool &amp; SPA Sweep Elbows'!$A$8:$M$11,6,FALSE),
IF($A40&lt;'Pool &amp; SPA Pipe Extender'!$A$11,VLOOKUP($A40,'Pool &amp; SPA Pipe Extender'!$A$8:$M$10,6,FALSE),
IF($A40&lt;'PVC SCH80'!$A$250,VLOOKUP($A40,'PVC SCH80'!$A$8:$M$249,6,FALSE),
IF($A40&lt;'PVC SCH80 Flange'!$A$49,VLOOKUP($A40,'PVC SCH80 Flange'!$A$8:$M$48,6,FALSE),
IF($A40&lt;'PVC SCH80 LD Flange'!$A$17,VLOOKUP($A40,'PVC SCH80 LD Flange'!$A$8:$M$16,6,FALSE),
IF($A40&lt;CPVC!$A$105,VLOOKUP($A40,CPVC!$A$9:$M$104,6,FALSE),
IF($A40&lt;InsertFittings!$A$185,VLOOKUP($A40,InsertFittings!$A$9:$M$184,6,FALSE),
IF($A40&lt;Valves!$A$92,VLOOKUP($A40,Valves!$A$9:$Q$91,6,FALSE),
IF($A40&lt;SDR35SW!$A$133,VLOOKUP($A40,SDR35SW!$A$9:$M$132,6,FALSE),
IF($A40&lt;SDR35G!$A$151,VLOOKUP($A40,SDR35G!$A$9:$M$150,6,FALSE),
IF($A40&lt;SDR26G!$A$67,VLOOKUP($A40,SDR26G!$A$9:$N$66,7,FALSE),
IF($A40&lt;Cements!$A$95,VLOOKUP($A40,Cements!$A$8:$Q$94,6,FALSE),
IF($A40&lt;ValveBox!$A$124,VLOOKUP($A40,ValveBox!$A$9:$O$123,6,FALSE),
IF($A40&lt;'ValveBox Components'!$A$142,VLOOKUP($A40,'ValveBox Components'!$A$9:$N$141,6,FALSE),
IF($A40&lt;Drainage!$A$69,VLOOKUP($A40,Drainage!$A$8:$M$68,6,FALSE),
IF($A40&lt;Nipples!$A$82,VLOOKUP($A40,Nipples!$A$9:$Q$81,6,FALSE),
IF($A40&lt;Manifold!$A$33,VLOOKUP($A40,Manifold!$A$9:$M$32,6,FALSE),
IF($A40&lt;FlexibleRepairCouplings!$A$12,VLOOKUP($A40,FlexibleRepairCouplings!$A$9:$M$11,6,FALSE),
IF($A40&lt;DuraFix!$A$15,VLOOKUP($A40,DuraFix!$A$9:$M$14,6,FALSE),
IF($A40&lt;'Compression Fittings'!$A$16,VLOOKUP($A40,'Compression Fittings'!$A$8:$M$15,6,FALSE),
IF($A40&lt;'Hose Fittings'!$A$30,VLOOKUP($A40,'Hose Fittings'!$A$8:$M$29,6,FALSE),
IF($A40&lt;'Swing Joints'!$A$495,VLOOKUP($A40,'Swing Joints'!$A$9:$M$494,6,FALSE),
IF($A40&lt;'Swing Joints Components'!$A$135,VLOOKUP($A40,'Swing Joints Components'!$A$9:$M$134,6,FALSE),
IF($A40&lt;Nonstandard!$A$42,VLOOKUP($A40,Nonstandard!$A$31:$J$41,7,FALSE),"")))))))))))))))))))))))))))),"")</f>
        <v/>
      </c>
      <c r="E40" s="538"/>
      <c r="F40" s="539" t="str">
        <f>IFERROR(IF($A40&lt;'DWV PVC'!$A$317,VLOOKUP($A40,'DWV PVC'!$A$9:$M$316,9,FALSE),
IF($A40&lt;'DWV ABS'!$A$117,VLOOKUP($A40,'DWV ABS'!$A$8:$M$116,9,FALSE),                                                                                                                                                                                                                                                     IF($A40&lt;'PVC SCH40'!$A$425,VLOOKUP($A40,'PVC SCH40'!$A$8:$M$424,9,FALSE),
IF($A40&lt;'PVC SCH40 LD'!$A$22,VLOOKUP($A40,'PVC SCH40 LD'!$A$8:$M$21,9,FALSE),
IF($A40&lt;'Pool &amp; SPA Sweep Elbows'!$A$12,VLOOKUP($A40,'Pool &amp; SPA Sweep Elbows'!$A$8:$M$11,9,FALSE),
IF($A40&lt;'Pool &amp; SPA Pipe Extender'!$A$11,VLOOKUP($A40,'Pool &amp; SPA Pipe Extender'!$A$8:$M$10,9,FALSE),
IF($A40&lt;'PVC SCH80'!$A$250,VLOOKUP($A40,'PVC SCH80'!$A$8:$M$249,9,FALSE),
IF($A40&lt;'PVC SCH80 Flange'!$A$49,VLOOKUP($A40,'PVC SCH80 Flange'!$A$8:$M$48,9,FALSE),
IF($A40&lt;'PVC SCH80 LD Flange'!$A$17,VLOOKUP($A40,'PVC SCH80 LD Flange'!$A$8:$M$16,9,FALSE),
IF($A40&lt;CPVC!$A$105,VLOOKUP($A40,CPVC!$A$9:$M$104,9,FALSE),
IF($A40&lt;InsertFittings!$A$185,VLOOKUP($A40,InsertFittings!$A$9:$M$184,9,FALSE),
IF($A40&lt;Valves!$A$92,VLOOKUP($A40,Valves!$A$9:$Q$91,13,FALSE),
IF($A40&lt;SDR35SW!$A$133,VLOOKUP($A40,SDR35SW!$A$9:$M$132,9,FALSE),
IF($A40&lt;SDR35G!$A$151,VLOOKUP($A40,SDR35G!$A$9:$M$150,9,FALSE),                                                                                                                                                                                                                                                          IF($A40&lt;SDR26G!$A$67,VLOOKUP($A40,SDR26G!$A$9:$N$66,10,FALSE),                                                                                                                                                                                                                                                       IF($A40&lt;Cements!$A$95,VLOOKUP($A40,Cements!$A$8:$Q$94,13,FALSE),
IF($A40&lt;ValveBox!$A$124,VLOOKUP($A40,ValveBox!$A$9:$O$123,11,FALSE),
IF($A40&lt;'ValveBox Components'!$A$142,VLOOKUP($A40,'ValveBox Components'!$A$9:$N$141,10,FALSE),
IF($A40&lt;Drainage!$A$69,VLOOKUP($A40,Drainage!$A$8:$M$68,9,FALSE),                                                                                                                                                                                                                                                              IF($A40&lt;Nipples!$A$82,VLOOKUP($A40,Nipples!$A$9:$Q$81,13,FALSE),
IF($A40&lt;Manifold!$A$33,VLOOKUP($A40,Manifold!$A$9:$M$32,9,FALSE),
IF($A40&lt;FlexibleRepairCouplings!$A$12,VLOOKUP($A40,FlexibleRepairCouplings!$A$9:$M$11,9,FALSE),
IF($A40&lt;DuraFix!$A$15,VLOOKUP($A40,DuraFix!$A$9:$M$14,9,FALSE),                                                                                                                                                                                                                                                          IF($A40&lt;'Compression Fittings'!$A$16,VLOOKUP($A40,'Compression Fittings'!$A$8:$M$15,9,FALSE),
IF($A40&lt;'Hose Fittings'!$A$30,VLOOKUP($A40,'Hose Fittings'!$A$8:$M$29,9,FALSE),
IF($A40&lt;'Swing Joints'!$A$495,VLOOKUP($A40,'Swing Joints'!$A$9:$M$494,9,FALSE),
IF($A40&lt;'Swing Joints Components'!$A$135,VLOOKUP($A40,'Swing Joints Components'!$A$9:$M$134,9,FALSE),
IF($A40&lt;Nonstandard!$A$42,VLOOKUP($A40,Nonstandard!$A$31:$J$41,8,FALSE),"")))))))))))))))))))))))))))),"")</f>
        <v/>
      </c>
      <c r="G40" s="540" t="str">
        <f>IFERROR(IF($A40&lt;'DWV PVC'!$A$317,VLOOKUP($A40,'DWV PVC'!$A$9:$M$316,11,FALSE),
IF($A40&lt;'DWV ABS'!$A$117,VLOOKUP($A40,'DWV ABS'!$A$8:$M$116,11,FALSE),                                                                                                                                                                                                                                                     IF($A40&lt;'PVC SCH40'!$A$425,VLOOKUP($A40,'PVC SCH40'!$A$8:$M$424,11,FALSE),
IF($A40&lt;'PVC SCH40 LD'!$A$22,VLOOKUP($A40,'PVC SCH40 LD'!$A$8:$M$21,11,FALSE),
IF($A40&lt;'Pool &amp; SPA Sweep Elbows'!$A$12,VLOOKUP($A40,'Pool &amp; SPA Sweep Elbows'!$A$8:$M$11,11,FALSE),
IF($A40&lt;'Pool &amp; SPA Pipe Extender'!$A$11,VLOOKUP($A40,'Pool &amp; SPA Pipe Extender'!$A$8:$M$10,11,FALSE),
IF($A40&lt;'PVC SCH80'!$A$250,VLOOKUP($A40,'PVC SCH80'!$A$8:$M$249,11,FALSE),
IF($A40&lt;'PVC SCH80 Flange'!$A$49,VLOOKUP($A40,'PVC SCH80 Flange'!$A$8:$M$48,11,FALSE),
IF($A40&lt;'PVC SCH80 LD Flange'!$A$17,VLOOKUP($A40,'PVC SCH80 LD Flange'!$A$8:$M$16,11,FALSE),
IF($A40&lt;CPVC!$A$105,VLOOKUP($A40,CPVC!$A$9:$M$104,11,FALSE),
IF($A40&lt;InsertFittings!$A$185,VLOOKUP($A40,InsertFittings!$A$9:$M$184,11,FALSE),
IF($A40&lt;Valves!$A$92,VLOOKUP($A40,Valves!$A$9:$Q$91,15,FALSE),
IF($A40&lt;SDR35SW!$A$133,VLOOKUP($A40,SDR35SW!$A$9:$M$132,11,FALSE),
IF($A40&lt;SDR35G!$A$151,VLOOKUP($A40,SDR35G!$A$9:$M$150,11,FALSE),                                                                                                                                                                                                                                                          IF($A40&lt;SDR26G!$A$67,VLOOKUP($A40,SDR26G!$A$9:$N$66,12,FALSE),                                                                                                                                                                                                                                                       IF($A40&lt;Cements!$A$95,VLOOKUP($A40,Cements!$A$8:$Q$94,15,FALSE),
IF($A40&lt;ValveBox!$A$124,VLOOKUP($A40,ValveBox!$A$9:$O$123,13,FALSE),
IF($A40&lt;'ValveBox Components'!$A$142,VLOOKUP($A40,'ValveBox Components'!$A$9:$N$141,12,FALSE),
IF($A40&lt;Drainage!$A$69,VLOOKUP($A40,Drainage!$A$8:$M$68,11,FALSE),                                                                                                                                                                                                                                                           IF($A40&lt;Nipples!$A$82,VLOOKUP($A40,Nipples!$A$9:$Q$81,15,FALSE),
IF($A40&lt;Manifold!$A$33,VLOOKUP($A40,Manifold!$A$9:$M$32,11,FALSE),
IF($A40&lt;FlexibleRepairCouplings!$A$12,VLOOKUP($A40,FlexibleRepairCouplings!$A$9:$M$11,11,FALSE),
IF($A40&lt;DuraFix!$A$15,VLOOKUP($A40,DuraFix!$A$9:$M$14,11,FALSE),                                                                                                                                                                                                                                                            IF($A40&lt;'Compression Fittings'!$A$16,VLOOKUP($A40,'Compression Fittings'!$A$8:$M$15,11,FALSE),
IF($A40&lt;'Hose Fittings'!$A$30,VLOOKUP($A40,'Hose Fittings'!$A$8:$M$29,11,FALSE),
IF($A40&lt;'Swing Joints'!$A$495,VLOOKUP($A40,'Swing Joints'!$A$9:$M$494,11,FALSE),
IF($A40&lt;'Swing Joints Components'!$A$135,VLOOKUP($A40,'Swing Joints Components'!$A$9:$M$134,11,FALSE),
IF($A40&lt;Nonstandard!$A$42,VLOOKUP($A40,Nonstandard!$A$31:$J$41,10,FALSE),"")))))))))))))))))))))))))))),"")</f>
        <v/>
      </c>
      <c r="H40" s="620" t="str">
        <f>IFERROR(IF($A40&lt;'DWV PVC'!$A$317,VLOOKUP($A40,'DWV PVC'!$A$9:$M$316,7,FALSE),
IF($A40&lt;'DWV ABS'!$A$117,VLOOKUP($A40,'DWV ABS'!$A$8:$M$116,11,FALSE),                                                                                                                                                                                                                                                     IF($A40&lt;'PVC SCH40'!$A$425,VLOOKUP($A40,'PVC SCH40'!$A$8:$M$424,7,FALSE),
IF($A40&lt;'PVC SCH40 LD'!$A$22,VLOOKUP($A40,'PVC SCH40 LD'!$A$8:$M$21,7,FALSE),
IF($A40&lt;'Pool &amp; SPA Sweep Elbows'!$A$12,VLOOKUP($A40,'Pool &amp; SPA Sweep Elbows'!$A$8:$M$11,7,FALSE),
IF($A40&lt;'Pool &amp; SPA Pipe Extender'!$A$11,VLOOKUP($A40,'Pool &amp; SPA Pipe Extender'!$A$8:$M$10,7,FALSE),
IF($A40&lt;'PVC SCH80'!$A$250,VLOOKUP($A40,'PVC SCH80'!$A$8:$M$249,7,FALSE),
IF($A40&lt;'PVC SCH80 Flange'!$A$49,VLOOKUP($A40,'PVC SCH80 Flange'!$A$8:$M$48,7,FALSE),
IF($A40&lt;'PVC SCH80 LD Flange'!$A$17,VLOOKUP($A40,'PVC SCH80 LD Flange'!$A$8:$M$16,7,FALSE),
IF($A40&lt;CPVC!$A$105,VLOOKUP($A40,CPVC!$A$9:$M$104,7,FALSE),
IF($A40&lt;InsertFittings!$A$185,VLOOKUP($A40,InsertFittings!$A$9:$M$184,7,FALSE),
IF($A40&lt;Valves!$A$92,VLOOKUP($A40,Valves!$A$9:$Q$91,11,FALSE),
IF($A40&lt;SDR35SW!$A$133,VLOOKUP($A40,SDR35SW!$A$9:$M$132,7,FALSE),
IF($A40&lt;SDR35G!$A$151,VLOOKUP($A40,SDR35G!$A$9:$M$150,7,FALSE),                                                                                                                                                                                                                                                       IF($A40&lt;SDR26G!$A$67,VLOOKUP($A40,SDR26G!$A$9:$N$66,8,FALSE),                                                                                                                                                                                                                                                     IF($A40&lt;Cements!$A$95,VLOOKUP($A40,Cements!$A$8:$Q$94,11,FALSE),
IF($A40&lt;ValveBox!$A$124,VLOOKUP($A40,ValveBox!$A$9:$O$123,10,FALSE),
IF($A40&lt;'ValveBox Components'!$A$142,VLOOKUP($A40,'ValveBox Components'!$A$9:$N$141,9,FALSE),
IF($A40&lt;Drainage!$A$69,VLOOKUP($A40,Drainage!$A$8:$M$68,7,FALSE),                                                                                                                                                                                                                                                          IF($A40&lt;Nipples!$A$82,VLOOKUP($A40,Nipples!$A$9:$Q$81,11,FALSE),
IF($A40&lt;Manifold!$A$33,VLOOKUP($A40,Manifold!$A$9:$M$32,7,FALSE),
IF($A40&lt;FlexibleRepairCouplings!$A$12,VLOOKUP($A40,FlexibleRepairCouplings!$A$9:$M$11,7,FALSE),
IF($A40&lt;DuraFix!$A$15,VLOOKUP($A40,DuraFix!$A$9:$M$14,7,FALSE),                                                                                                                                                                                                                                                           IF($A40&lt;'Compression Fittings'!$A$16,VLOOKUP($A40,'Compression Fittings'!$A$8:$M$15,7,FALSE),
IF($A40&lt;'Hose Fittings'!$A$30,VLOOKUP($A40,'Hose Fittings'!$A$8:$M$29,7,FALSE),
IF($A40&lt;'Swing Joints'!$A$495,VLOOKUP($A40,'Swing Joints'!$A$9:$M$494,7,FALSE),
IF($A40&lt;'Swing Joints Components'!$A$135,VLOOKUP($A40,'Swing Joints Components'!$A$9:$M$134,7,FALSE),
IF($A40&lt;Nonstandard!$A$42,VLOOKUP($A40,Nonstandard!$A$31:$J$41,10,FALSE),"")))))))))))))))))))))))))))),"")</f>
        <v/>
      </c>
      <c r="I40" s="621"/>
      <c r="J40" s="541" t="str">
        <f t="shared" si="1"/>
        <v/>
      </c>
      <c r="K40" s="599" t="str">
        <f>IFERROR(IF($A40&lt;'DWV PVC'!$A$317,VLOOKUP($A40,'DWV PVC'!$A$9:$M$316,10,FALSE),
IF($A40&lt;'DWV ABS'!$A$117,VLOOKUP($A40,'DWV ABS'!$A$8:$M$116,10,FALSE),
IF($A40&lt;'PVC SCH40'!$A$425,VLOOKUP($A40,'PVC SCH40'!$A$8:$M$424,10,FALSE),
IF($A40&lt;'PVC SCH40 LD'!$A$22,VLOOKUP($A40,'PVC SCH40 LD'!$A$8:$M$21,10,FALSE),
IF($A40&lt;'Pool &amp; SPA Sweep Elbows'!$A$12,VLOOKUP($A40,'Pool &amp; SPA Sweep Elbows'!$A$8:$M$11,10,FALSE),
IF($A40&lt;'Pool &amp; SPA Pipe Extender'!$A$11,VLOOKUP($A40,'Pool &amp; SPA Pipe Extender'!$A$8:$M$10,10,FALSE),
IF($A40&lt;'PVC SCH80'!$A$250,VLOOKUP($A40,'PVC SCH80'!$A$8:$M$249,10,FALSE),
IF($A40&lt;'PVC SCH80 Flange'!$A$49,VLOOKUP($A40,'PVC SCH80 Flange'!$A$8:$M$48,10,FALSE),
IF($A40&lt;'PVC SCH80 LD Flange'!$A$17,VLOOKUP($A40,'PVC SCH80 LD Flange'!$A$8:$M$16,10,FALSE),
IF($A40&lt;CPVC!$A$105,VLOOKUP($A40,CPVC!$A$9:$M$104,10,FALSE),
IF($A40&lt;InsertFittings!$A$185,VLOOKUP($A40,InsertFittings!$A$9:$M$184,10,FALSE),
IF($A40&lt;Valves!$A$92,VLOOKUP($A40,Valves!$A$9:$Q$91,14,FALSE),
IF($A40&lt;SDR35SW!$A$133,VLOOKUP($A40,SDR35SW!$A$9:$M$132,10,FALSE),
IF($A40&lt;SDR35G!$A$151,VLOOKUP($A40,SDR35G!$A$9:$M$150,10,FALSE),
IF($A40&lt;SDR26G!$A$67,VLOOKUP($A40,SDR26G!$A$9:$N$66,11,FALSE),
IF($A40&lt;Cements!$A$95,VLOOKUP($A40,Cements!$A$8:$Q$94,14,FALSE),
IF($A40&lt;ValveBox!$A$124,VLOOKUP($A40,ValveBox!$A$9:$O$123,12,FALSE),
IF($A40&lt;'ValveBox Components'!$A$142,VLOOKUP($A40,'ValveBox Components'!$A$9:$N$141,11,FALSE),
IF($A40&lt;Drainage!$A$69,VLOOKUP($A40,Drainage!$A$8:$M$68,10,FALSE),
IF($A40&lt;Nipples!$A$82,VLOOKUP($A40,Nipples!$A$9:$Q$81,14,FALSE),
IF($A40&lt;Manifold!$A$33,VLOOKUP($A40,Manifold!$A$9:$M$32,10,FALSE),
IF($A40&lt;FlexibleRepairCouplings!$A$12,VLOOKUP($A40,FlexibleRepairCouplings!$A$9:$M$11,10,FALSE),
IF($A40&lt;DuraFix!$A$15,VLOOKUP($A40,DuraFix!$A$9:$M$14,10,FALSE),
IF($A40&lt;'Compression Fittings'!$A$16,VLOOKUP($A40,'Compression Fittings'!$A$8:$M$15,10,FALSE),
IF($A40&lt;'Hose Fittings'!$A$30,VLOOKUP($A40,'Hose Fittings'!$A$8:$M$29,10,FALSE),
IF($A40&lt;'Swing Joints'!$A$495,VLOOKUP($A40,'Swing Joints'!$A$9:$M$494,10,FALSE),
IF($A40&lt;'Swing Joints Components'!$A$135,VLOOKUP($A40,'Swing Joints Components'!$A$9:$M$134,10,FALSE),
IF($A40&lt;Nonstandard!$A$42,VLOOKUP($A40,Nonstandard!$A$31:$J$41,10,FALSE),"")))))))))))))))))))))))))))),"")</f>
        <v/>
      </c>
      <c r="L40" s="539" t="str">
        <f t="shared" si="0"/>
        <v>-</v>
      </c>
      <c r="M40" s="542"/>
    </row>
    <row r="41" spans="1:13" ht="15.6">
      <c r="A41" s="312">
        <v>9</v>
      </c>
      <c r="B41" s="312" t="str">
        <f>IFERROR(IF($A41&lt;'DWV PVC'!$A$317,VLOOKUP($A41,'DWV PVC'!$A$9:$M$316,4,FALSE),
IF($A41&lt;'DWV ABS'!$A$117,VLOOKUP($A41,'DWV ABS'!$A$8:$M$116,4,FALSE),
IF($A41&lt;'PVC SCH40'!$A$425,VLOOKUP($A41,'PVC SCH40'!$A$8:$M$424,4,FALSE),
IF($A41&lt;'PVC SCH40 LD'!$A$22,VLOOKUP($A41,'PVC SCH40 LD'!$A$8:$M$21,4,FALSE),
IF($A41&lt;'Pool &amp; SPA Sweep Elbows'!$A$12,VLOOKUP($A41,'Pool &amp; SPA Sweep Elbows'!$A$8:$M$11,4,FALSE),
IF($A41&lt;'Pool &amp; SPA Pipe Extender'!$A$11,VLOOKUP($A41,'Pool &amp; SPA Pipe Extender'!$A$8:$M$10,4,FALSE),
IF($A41&lt;'PVC SCH80'!$A$250,VLOOKUP($A41,'PVC SCH80'!$A$8:$M$249,4,FALSE),
IF($A41&lt;'PVC SCH80 Flange'!$A$49,VLOOKUP($A41,'PVC SCH80 Flange'!$A$8:$M$48,4,FALSE),
IF($A41&lt;'PVC SCH80 LD Flange'!$A$17,VLOOKUP($A41,'PVC SCH80 LD Flange'!$A$8:$M$16,4,FALSE),
IF($A41&lt;CPVC!$A$105,VLOOKUP($A41,CPVC!$A$9:$M$104,4,FALSE),
IF($A41&lt;InsertFittings!$A$185,VLOOKUP($A41,InsertFittings!$A$9:$M$184,4,FALSE),
IF($A41&lt;Valves!$A$92,VLOOKUP($A41,Valves!$A$9:$Q$91,4,FALSE),
IF($A41&lt;SDR35SW!$A$133,VLOOKUP($A41,SDR35SW!$A$9:$M$132,4,FALSE),
IF($A41&lt;SDR35G!$A$151,VLOOKUP($A41,SDR35G!$A$9:$M$150,4,FALSE),
IF($A41&lt;SDR26G!$A$67,VLOOKUP($A41,SDR26G!$A$9:$N$66,5,FALSE),
IF($A41&lt;Cements!$A$95,VLOOKUP($A41,Cements!$A$8:$Q$94,4,FALSE),
IF($A41&lt;ValveBox!$A$124,VLOOKUP($A41,ValveBox!$A$9:$O$123,4,FALSE),
IF($A41&lt;'ValveBox Components'!$A$142,VLOOKUP($A41,'ValveBox Components'!$A$9:$N$141,4,FALSE),
IF($A41&lt;Drainage!$A$69,VLOOKUP($A41,Drainage!$A$8:$M$68,4,FALSE),
IF($A41&lt;Nipples!$A$82,VLOOKUP($A41,Nipples!$A$9:$Q$81,4,FALSE),
IF($A41&lt;Manifold!$A$33,VLOOKUP($A41,Manifold!$A$9:$M$32,4,FALSE),
IF($A41&lt;FlexibleRepairCouplings!$A$12,VLOOKUP($A41,FlexibleRepairCouplings!$A$9:$M$11,4,FALSE),
IF($A41&lt;DuraFix!$A$15,VLOOKUP($A41,DuraFix!$A$9:$M$14,4,FALSE),
IF($A41&lt;'Compression Fittings'!$A$16,VLOOKUP($A41,'Compression Fittings'!$A$8:$M$15,4,FALSE),
IF($A41&lt;'Hose Fittings'!$A$30,VLOOKUP($A41,'Hose Fittings'!$A$8:$M$29,4,FALSE),
IF($A41&lt;'Swing Joints'!$A$495,VLOOKUP($A41,'Swing Joints'!$A$9:$M$494,4,FALSE),
IF($A41&lt;'Swing Joints Components'!$A$135,VLOOKUP($A41,'Swing Joints Components'!$A$9:$M$134,4,FALSE),
IF($A41&lt;Nonstandard!$A$42,VLOOKUP($A41,Nonstandard!$A$31:$J$41,5,FALSE),"")))))))))))))))))))))))))))),"")</f>
        <v/>
      </c>
      <c r="C41" s="312" t="str">
        <f>IFERROR(IF($A41&lt;'DWV PVC'!$A$317,VLOOKUP($A41,'DWV PVC'!$A$9:$M$316,5,FALSE),
IF($A41&lt;'DWV ABS'!$A$117,VLOOKUP($A41,'DWV ABS'!$A$8:$M$116,5,FALSE),
IF($A41&lt;'PVC SCH40'!$A$425,VLOOKUP($A41,'PVC SCH40'!$A$8:$M$424,5,FALSE),
IF($A41&lt;'PVC SCH40 LD'!$A$22,VLOOKUP($A41,'PVC SCH40 LD'!$A$8:$M$21,5,FALSE),
IF($A41&lt;'Pool &amp; SPA Sweep Elbows'!$A$12,VLOOKUP($A41,'Pool &amp; SPA Sweep Elbows'!$A$8:$M$11,5,FALSE),
IF($A41&lt;'Pool &amp; SPA Pipe Extender'!$A$11,VLOOKUP($A41,'Pool &amp; SPA Pipe Extender'!$A$8:$M$10,5,FALSE),
IF($A41&lt;'PVC SCH80'!$A$250,VLOOKUP($A41,'PVC SCH80'!$A$8:$M$249,5,FALSE),
IF($A41&lt;'PVC SCH80 Flange'!$A$49,VLOOKUP($A41,'PVC SCH80 Flange'!$A$8:$M$48,5,FALSE),
IF($A41&lt;'PVC SCH80 LD Flange'!$A$17,VLOOKUP($A41,'PVC SCH80 LD Flange'!$A$8:$M$16,5,FALSE),
IF($A41&lt;CPVC!$A$105,VLOOKUP($A41,CPVC!$A$9:$M$104,5,FALSE),
IF($A41&lt;InsertFittings!$A$185,VLOOKUP($A41,InsertFittings!$A$9:$M$184,5,FALSE),
IF($A41&lt;Valves!$A$92,VLOOKUP($A41,Valves!$A$9:$Q$91,5,FALSE),
IF($A41&lt;SDR35SW!$A$133,VLOOKUP($A41,SDR35SW!$A$9:$M$132,5,FALSE),
IF($A41&lt;SDR35G!$A$151,VLOOKUP($A41,SDR35G!$A$9:$M$150,5,FALSE),
IF($A41&lt;SDR26G!$A$67,VLOOKUP($A41,SDR26G!$A$9:$N$66,6,FALSE),
IF($A41&lt;Cements!$A$95,VLOOKUP($A41,Cements!$A$8:$Q$94,5,FALSE),
IF($A41&lt;ValveBox!$A$124,VLOOKUP($A41,ValveBox!$A$9:$O$123,5,FALSE),
IF($A41&lt;'ValveBox Components'!$A$142,VLOOKUP($A41,'ValveBox Components'!$A$9:$N$141,5,FALSE),
IF($A41&lt;Drainage!$A$69,VLOOKUP($A41,Drainage!$A$8:$M$68,5,FALSE),
IF($A41&lt;Nipples!$A$82,VLOOKUP($A41,Nipples!$A$9:$Q$81,5,FALSE),
IF($A41&lt;Manifold!$A$33,VLOOKUP($A41,Manifold!$A$9:$M$32,5,FALSE),
IF($A41&lt;FlexibleRepairCouplings!$A$12,VLOOKUP($A41,FlexibleRepairCouplings!$A$9:$M$11,5,FALSE),
IF($A41&lt;DuraFix!$A$15,VLOOKUP($A41,DuraFix!$A$9:$M$14,5,FALSE),
IF($A41&lt;'Compression Fittings'!$A$16,VLOOKUP($A41,'Compression Fittings'!$A$8:$M$15,5,FALSE),
IF($A41&lt;'Hose Fittings'!$A$30,VLOOKUP($A41,'Hose Fittings'!$A$8:$M$29,5,FALSE),
IF($A41&lt;'Swing Joints'!$A$495,VLOOKUP($A41,'Swing Joints'!$A$9:$M$494,5,FALSE),
IF($A41&lt;'Swing Joints Components'!$A$135,VLOOKUP($A41,'Swing Joints Components'!$A$9:$M$134,5,FALSE),
IF($A41&lt;Nonstandard!$A$42,VLOOKUP($A41,Nonstandard!$A$31:$J$41,6,FALSE),"")))))))))))))))))))))))))))),"")</f>
        <v/>
      </c>
      <c r="D41" s="534" t="str">
        <f>IFERROR(IF($A41&lt;'DWV PVC'!$A$317,VLOOKUP($A41,'DWV PVC'!$A$9:$M$316,6,FALSE),
IF($A41&lt;'DWV ABS'!$A$117,VLOOKUP($A41,'DWV ABS'!$A$8:$M$116,6,FALSE),
IF($A41&lt;'PVC SCH40'!$A$425,VLOOKUP($A41,'PVC SCH40'!$A$8:$M$424,6,FALSE),
IF($A41&lt;'PVC SCH40 LD'!$A$22,VLOOKUP($A41,'PVC SCH40 LD'!$A$8:$M$21,6,FALSE),
IF($A41&lt;'Pool &amp; SPA Sweep Elbows'!$A$12,VLOOKUP($A41,'Pool &amp; SPA Sweep Elbows'!$A$8:$M$11,6,FALSE),
IF($A41&lt;'Pool &amp; SPA Pipe Extender'!$A$11,VLOOKUP($A41,'Pool &amp; SPA Pipe Extender'!$A$8:$M$10,6,FALSE),
IF($A41&lt;'PVC SCH80'!$A$250,VLOOKUP($A41,'PVC SCH80'!$A$8:$M$249,6,FALSE),
IF($A41&lt;'PVC SCH80 Flange'!$A$49,VLOOKUP($A41,'PVC SCH80 Flange'!$A$8:$M$48,6,FALSE),
IF($A41&lt;'PVC SCH80 LD Flange'!$A$17,VLOOKUP($A41,'PVC SCH80 LD Flange'!$A$8:$M$16,6,FALSE),
IF($A41&lt;CPVC!$A$105,VLOOKUP($A41,CPVC!$A$9:$M$104,6,FALSE),
IF($A41&lt;InsertFittings!$A$185,VLOOKUP($A41,InsertFittings!$A$9:$M$184,6,FALSE),
IF($A41&lt;Valves!$A$92,VLOOKUP($A41,Valves!$A$9:$Q$91,6,FALSE),
IF($A41&lt;SDR35SW!$A$133,VLOOKUP($A41,SDR35SW!$A$9:$M$132,6,FALSE),
IF($A41&lt;SDR35G!$A$151,VLOOKUP($A41,SDR35G!$A$9:$M$150,6,FALSE),
IF($A41&lt;SDR26G!$A$67,VLOOKUP($A41,SDR26G!$A$9:$N$66,7,FALSE),
IF($A41&lt;Cements!$A$95,VLOOKUP($A41,Cements!$A$8:$Q$94,6,FALSE),
IF($A41&lt;ValveBox!$A$124,VLOOKUP($A41,ValveBox!$A$9:$O$123,6,FALSE),
IF($A41&lt;'ValveBox Components'!$A$142,VLOOKUP($A41,'ValveBox Components'!$A$9:$N$141,6,FALSE),
IF($A41&lt;Drainage!$A$69,VLOOKUP($A41,Drainage!$A$8:$M$68,6,FALSE),
IF($A41&lt;Nipples!$A$82,VLOOKUP($A41,Nipples!$A$9:$Q$81,6,FALSE),
IF($A41&lt;Manifold!$A$33,VLOOKUP($A41,Manifold!$A$9:$M$32,6,FALSE),
IF($A41&lt;FlexibleRepairCouplings!$A$12,VLOOKUP($A41,FlexibleRepairCouplings!$A$9:$M$11,6,FALSE),
IF($A41&lt;DuraFix!$A$15,VLOOKUP($A41,DuraFix!$A$9:$M$14,6,FALSE),
IF($A41&lt;'Compression Fittings'!$A$16,VLOOKUP($A41,'Compression Fittings'!$A$8:$M$15,6,FALSE),
IF($A41&lt;'Hose Fittings'!$A$30,VLOOKUP($A41,'Hose Fittings'!$A$8:$M$29,6,FALSE),
IF($A41&lt;'Swing Joints'!$A$495,VLOOKUP($A41,'Swing Joints'!$A$9:$M$494,6,FALSE),
IF($A41&lt;'Swing Joints Components'!$A$135,VLOOKUP($A41,'Swing Joints Components'!$A$9:$M$134,6,FALSE),
IF($A41&lt;Nonstandard!$A$42,VLOOKUP($A41,Nonstandard!$A$31:$J$41,7,FALSE),"")))))))))))))))))))))))))))),"")</f>
        <v/>
      </c>
      <c r="E41" s="316"/>
      <c r="F41" s="314" t="str">
        <f>IFERROR(IF($A41&lt;'DWV PVC'!$A$317,VLOOKUP($A41,'DWV PVC'!$A$9:$M$316,9,FALSE),
IF($A41&lt;'DWV ABS'!$A$117,VLOOKUP($A41,'DWV ABS'!$A$8:$M$116,9,FALSE),                                                                                                                                                                                                                                                     IF($A41&lt;'PVC SCH40'!$A$425,VLOOKUP($A41,'PVC SCH40'!$A$8:$M$424,9,FALSE),
IF($A41&lt;'PVC SCH40 LD'!$A$22,VLOOKUP($A41,'PVC SCH40 LD'!$A$8:$M$21,9,FALSE),
IF($A41&lt;'Pool &amp; SPA Sweep Elbows'!$A$12,VLOOKUP($A41,'Pool &amp; SPA Sweep Elbows'!$A$8:$M$11,9,FALSE),
IF($A41&lt;'Pool &amp; SPA Pipe Extender'!$A$11,VLOOKUP($A41,'Pool &amp; SPA Pipe Extender'!$A$8:$M$10,9,FALSE),
IF($A41&lt;'PVC SCH80'!$A$250,VLOOKUP($A41,'PVC SCH80'!$A$8:$M$249,9,FALSE),
IF($A41&lt;'PVC SCH80 Flange'!$A$49,VLOOKUP($A41,'PVC SCH80 Flange'!$A$8:$M$48,9,FALSE),
IF($A41&lt;'PVC SCH80 LD Flange'!$A$17,VLOOKUP($A41,'PVC SCH80 LD Flange'!$A$8:$M$16,9,FALSE),
IF($A41&lt;CPVC!$A$105,VLOOKUP($A41,CPVC!$A$9:$M$104,9,FALSE),
IF($A41&lt;InsertFittings!$A$185,VLOOKUP($A41,InsertFittings!$A$9:$M$184,9,FALSE),
IF($A41&lt;Valves!$A$92,VLOOKUP($A41,Valves!$A$9:$Q$91,13,FALSE),
IF($A41&lt;SDR35SW!$A$133,VLOOKUP($A41,SDR35SW!$A$9:$M$132,9,FALSE),
IF($A41&lt;SDR35G!$A$151,VLOOKUP($A41,SDR35G!$A$9:$M$150,9,FALSE),                                                                                                                                                                                                                                                          IF($A41&lt;SDR26G!$A$67,VLOOKUP($A41,SDR26G!$A$9:$N$66,10,FALSE),                                                                                                                                                                                                                                                       IF($A41&lt;Cements!$A$95,VLOOKUP($A41,Cements!$A$8:$Q$94,13,FALSE),
IF($A41&lt;ValveBox!$A$124,VLOOKUP($A41,ValveBox!$A$9:$O$123,11,FALSE),
IF($A41&lt;'ValveBox Components'!$A$142,VLOOKUP($A41,'ValveBox Components'!$A$9:$N$141,10,FALSE),
IF($A41&lt;Drainage!$A$69,VLOOKUP($A41,Drainage!$A$8:$M$68,9,FALSE),                                                                                                                                                                                                                                                              IF($A41&lt;Nipples!$A$82,VLOOKUP($A41,Nipples!$A$9:$Q$81,13,FALSE),
IF($A41&lt;Manifold!$A$33,VLOOKUP($A41,Manifold!$A$9:$M$32,9,FALSE),
IF($A41&lt;FlexibleRepairCouplings!$A$12,VLOOKUP($A41,FlexibleRepairCouplings!$A$9:$M$11,9,FALSE),
IF($A41&lt;DuraFix!$A$15,VLOOKUP($A41,DuraFix!$A$9:$M$14,9,FALSE),                                                                                                                                                                                                                                                          IF($A41&lt;'Compression Fittings'!$A$16,VLOOKUP($A41,'Compression Fittings'!$A$8:$M$15,9,FALSE),
IF($A41&lt;'Hose Fittings'!$A$30,VLOOKUP($A41,'Hose Fittings'!$A$8:$M$29,9,FALSE),
IF($A41&lt;'Swing Joints'!$A$495,VLOOKUP($A41,'Swing Joints'!$A$9:$M$494,9,FALSE),
IF($A41&lt;'Swing Joints Components'!$A$135,VLOOKUP($A41,'Swing Joints Components'!$A$9:$M$134,9,FALSE),
IF($A41&lt;Nonstandard!$A$42,VLOOKUP($A41,Nonstandard!$A$31:$J$41,8,FALSE),"")))))))))))))))))))))))))))),"")</f>
        <v/>
      </c>
      <c r="G41" s="533" t="str">
        <f>IFERROR(IF($A41&lt;'DWV PVC'!$A$317,VLOOKUP($A41,'DWV PVC'!$A$9:$M$316,11,FALSE),
IF($A41&lt;'DWV ABS'!$A$117,VLOOKUP($A41,'DWV ABS'!$A$8:$M$116,11,FALSE),                                                                                                                                                                                                                                                     IF($A41&lt;'PVC SCH40'!$A$425,VLOOKUP($A41,'PVC SCH40'!$A$8:$M$424,11,FALSE),
IF($A41&lt;'PVC SCH40 LD'!$A$22,VLOOKUP($A41,'PVC SCH40 LD'!$A$8:$M$21,11,FALSE),
IF($A41&lt;'Pool &amp; SPA Sweep Elbows'!$A$12,VLOOKUP($A41,'Pool &amp; SPA Sweep Elbows'!$A$8:$M$11,11,FALSE),
IF($A41&lt;'Pool &amp; SPA Pipe Extender'!$A$11,VLOOKUP($A41,'Pool &amp; SPA Pipe Extender'!$A$8:$M$10,11,FALSE),
IF($A41&lt;'PVC SCH80'!$A$250,VLOOKUP($A41,'PVC SCH80'!$A$8:$M$249,11,FALSE),
IF($A41&lt;'PVC SCH80 Flange'!$A$49,VLOOKUP($A41,'PVC SCH80 Flange'!$A$8:$M$48,11,FALSE),
IF($A41&lt;'PVC SCH80 LD Flange'!$A$17,VLOOKUP($A41,'PVC SCH80 LD Flange'!$A$8:$M$16,11,FALSE),
IF($A41&lt;CPVC!$A$105,VLOOKUP($A41,CPVC!$A$9:$M$104,11,FALSE),
IF($A41&lt;InsertFittings!$A$185,VLOOKUP($A41,InsertFittings!$A$9:$M$184,11,FALSE),
IF($A41&lt;Valves!$A$92,VLOOKUP($A41,Valves!$A$9:$Q$91,15,FALSE),
IF($A41&lt;SDR35SW!$A$133,VLOOKUP($A41,SDR35SW!$A$9:$M$132,11,FALSE),
IF($A41&lt;SDR35G!$A$151,VLOOKUP($A41,SDR35G!$A$9:$M$150,11,FALSE),                                                                                                                                                                                                                                                          IF($A41&lt;SDR26G!$A$67,VLOOKUP($A41,SDR26G!$A$9:$N$66,12,FALSE),                                                                                                                                                                                                                                                       IF($A41&lt;Cements!$A$95,VLOOKUP($A41,Cements!$A$8:$Q$94,15,FALSE),
IF($A41&lt;ValveBox!$A$124,VLOOKUP($A41,ValveBox!$A$9:$O$123,13,FALSE),
IF($A41&lt;'ValveBox Components'!$A$142,VLOOKUP($A41,'ValveBox Components'!$A$9:$N$141,12,FALSE),
IF($A41&lt;Drainage!$A$69,VLOOKUP($A41,Drainage!$A$8:$M$68,11,FALSE),                                                                                                                                                                                                                                                           IF($A41&lt;Nipples!$A$82,VLOOKUP($A41,Nipples!$A$9:$Q$81,15,FALSE),
IF($A41&lt;Manifold!$A$33,VLOOKUP($A41,Manifold!$A$9:$M$32,11,FALSE),
IF($A41&lt;FlexibleRepairCouplings!$A$12,VLOOKUP($A41,FlexibleRepairCouplings!$A$9:$M$11,11,FALSE),
IF($A41&lt;DuraFix!$A$15,VLOOKUP($A41,DuraFix!$A$9:$M$14,11,FALSE),                                                                                                                                                                                                                                                            IF($A41&lt;'Compression Fittings'!$A$16,VLOOKUP($A41,'Compression Fittings'!$A$8:$M$15,11,FALSE),
IF($A41&lt;'Hose Fittings'!$A$30,VLOOKUP($A41,'Hose Fittings'!$A$8:$M$29,11,FALSE),
IF($A41&lt;'Swing Joints'!$A$495,VLOOKUP($A41,'Swing Joints'!$A$9:$M$494,11,FALSE),
IF($A41&lt;'Swing Joints Components'!$A$135,VLOOKUP($A41,'Swing Joints Components'!$A$9:$M$134,11,FALSE),
IF($A41&lt;Nonstandard!$A$42,VLOOKUP($A41,Nonstandard!$A$31:$J$41,10,FALSE),"")))))))))))))))))))))))))))),"")</f>
        <v/>
      </c>
      <c r="H41" s="618" t="str">
        <f>IFERROR(IF($A41&lt;'DWV PVC'!$A$317,VLOOKUP($A41,'DWV PVC'!$A$9:$M$316,7,FALSE),
IF($A41&lt;'DWV ABS'!$A$117,VLOOKUP($A41,'DWV ABS'!$A$8:$M$116,11,FALSE),                                                                                                                                                                                                                                                     IF($A41&lt;'PVC SCH40'!$A$425,VLOOKUP($A41,'PVC SCH40'!$A$8:$M$424,7,FALSE),
IF($A41&lt;'PVC SCH40 LD'!$A$22,VLOOKUP($A41,'PVC SCH40 LD'!$A$8:$M$21,7,FALSE),
IF($A41&lt;'Pool &amp; SPA Sweep Elbows'!$A$12,VLOOKUP($A41,'Pool &amp; SPA Sweep Elbows'!$A$8:$M$11,7,FALSE),
IF($A41&lt;'Pool &amp; SPA Pipe Extender'!$A$11,VLOOKUP($A41,'Pool &amp; SPA Pipe Extender'!$A$8:$M$10,7,FALSE),
IF($A41&lt;'PVC SCH80'!$A$250,VLOOKUP($A41,'PVC SCH80'!$A$8:$M$249,7,FALSE),
IF($A41&lt;'PVC SCH80 Flange'!$A$49,VLOOKUP($A41,'PVC SCH80 Flange'!$A$8:$M$48,7,FALSE),
IF($A41&lt;'PVC SCH80 LD Flange'!$A$17,VLOOKUP($A41,'PVC SCH80 LD Flange'!$A$8:$M$16,7,FALSE),
IF($A41&lt;CPVC!$A$105,VLOOKUP($A41,CPVC!$A$9:$M$104,7,FALSE),
IF($A41&lt;InsertFittings!$A$185,VLOOKUP($A41,InsertFittings!$A$9:$M$184,7,FALSE),
IF($A41&lt;Valves!$A$92,VLOOKUP($A41,Valves!$A$9:$Q$91,11,FALSE),
IF($A41&lt;SDR35SW!$A$133,VLOOKUP($A41,SDR35SW!$A$9:$M$132,7,FALSE),
IF($A41&lt;SDR35G!$A$151,VLOOKUP($A41,SDR35G!$A$9:$M$150,7,FALSE),                                                                                                                                                                                                                                                       IF($A41&lt;SDR26G!$A$67,VLOOKUP($A41,SDR26G!$A$9:$N$66,8,FALSE),                                                                                                                                                                                                                                                     IF($A41&lt;Cements!$A$95,VLOOKUP($A41,Cements!$A$8:$Q$94,11,FALSE),
IF($A41&lt;ValveBox!$A$124,VLOOKUP($A41,ValveBox!$A$9:$O$123,10,FALSE),
IF($A41&lt;'ValveBox Components'!$A$142,VLOOKUP($A41,'ValveBox Components'!$A$9:$N$141,9,FALSE),
IF($A41&lt;Drainage!$A$69,VLOOKUP($A41,Drainage!$A$8:$M$68,7,FALSE),                                                                                                                                                                                                                                                          IF($A41&lt;Nipples!$A$82,VLOOKUP($A41,Nipples!$A$9:$Q$81,11,FALSE),
IF($A41&lt;Manifold!$A$33,VLOOKUP($A41,Manifold!$A$9:$M$32,7,FALSE),
IF($A41&lt;FlexibleRepairCouplings!$A$12,VLOOKUP($A41,FlexibleRepairCouplings!$A$9:$M$11,7,FALSE),
IF($A41&lt;DuraFix!$A$15,VLOOKUP($A41,DuraFix!$A$9:$M$14,7,FALSE),                                                                                                                                                                                                                                                           IF($A41&lt;'Compression Fittings'!$A$16,VLOOKUP($A41,'Compression Fittings'!$A$8:$M$15,7,FALSE),
IF($A41&lt;'Hose Fittings'!$A$30,VLOOKUP($A41,'Hose Fittings'!$A$8:$M$29,7,FALSE),
IF($A41&lt;'Swing Joints'!$A$495,VLOOKUP($A41,'Swing Joints'!$A$9:$M$494,7,FALSE),
IF($A41&lt;'Swing Joints Components'!$A$135,VLOOKUP($A41,'Swing Joints Components'!$A$9:$M$134,7,FALSE),
IF($A41&lt;Nonstandard!$A$42,VLOOKUP($A41,Nonstandard!$A$31:$J$41,10,FALSE),"")))))))))))))))))))))))))))),"")</f>
        <v/>
      </c>
      <c r="I41" s="619"/>
      <c r="J41" s="281" t="str">
        <f t="shared" si="1"/>
        <v/>
      </c>
      <c r="K41" s="313" t="str">
        <f>IFERROR(IF($A41&lt;'DWV PVC'!$A$317,VLOOKUP($A41,'DWV PVC'!$A$9:$M$316,10,FALSE),
IF($A41&lt;'DWV ABS'!$A$117,VLOOKUP($A41,'DWV ABS'!$A$8:$M$116,10,FALSE),
IF($A41&lt;'PVC SCH40'!$A$425,VLOOKUP($A41,'PVC SCH40'!$A$8:$M$424,10,FALSE),
IF($A41&lt;'PVC SCH40 LD'!$A$22,VLOOKUP($A41,'PVC SCH40 LD'!$A$8:$M$21,10,FALSE),
IF($A41&lt;'Pool &amp; SPA Sweep Elbows'!$A$12,VLOOKUP($A41,'Pool &amp; SPA Sweep Elbows'!$A$8:$M$11,10,FALSE),
IF($A41&lt;'Pool &amp; SPA Pipe Extender'!$A$11,VLOOKUP($A41,'Pool &amp; SPA Pipe Extender'!$A$8:$M$10,10,FALSE),
IF($A41&lt;'PVC SCH80'!$A$250,VLOOKUP($A41,'PVC SCH80'!$A$8:$M$249,10,FALSE),
IF($A41&lt;'PVC SCH80 Flange'!$A$49,VLOOKUP($A41,'PVC SCH80 Flange'!$A$8:$M$48,10,FALSE),
IF($A41&lt;'PVC SCH80 LD Flange'!$A$17,VLOOKUP($A41,'PVC SCH80 LD Flange'!$A$8:$M$16,10,FALSE),
IF($A41&lt;CPVC!$A$105,VLOOKUP($A41,CPVC!$A$9:$M$104,10,FALSE),
IF($A41&lt;InsertFittings!$A$185,VLOOKUP($A41,InsertFittings!$A$9:$M$184,10,FALSE),
IF($A41&lt;Valves!$A$92,VLOOKUP($A41,Valves!$A$9:$Q$91,14,FALSE),
IF($A41&lt;SDR35SW!$A$133,VLOOKUP($A41,SDR35SW!$A$9:$M$132,10,FALSE),
IF($A41&lt;SDR35G!$A$151,VLOOKUP($A41,SDR35G!$A$9:$M$150,10,FALSE),
IF($A41&lt;SDR26G!$A$67,VLOOKUP($A41,SDR26G!$A$9:$N$66,11,FALSE),
IF($A41&lt;Cements!$A$95,VLOOKUP($A41,Cements!$A$8:$Q$94,14,FALSE),
IF($A41&lt;ValveBox!$A$124,VLOOKUP($A41,ValveBox!$A$9:$O$123,12,FALSE),
IF($A41&lt;'ValveBox Components'!$A$142,VLOOKUP($A41,'ValveBox Components'!$A$9:$N$141,11,FALSE),
IF($A41&lt;Drainage!$A$69,VLOOKUP($A41,Drainage!$A$8:$M$68,10,FALSE),
IF($A41&lt;Nipples!$A$82,VLOOKUP($A41,Nipples!$A$9:$Q$81,14,FALSE),
IF($A41&lt;Manifold!$A$33,VLOOKUP($A41,Manifold!$A$9:$M$32,10,FALSE),
IF($A41&lt;FlexibleRepairCouplings!$A$12,VLOOKUP($A41,FlexibleRepairCouplings!$A$9:$M$11,10,FALSE),
IF($A41&lt;DuraFix!$A$15,VLOOKUP($A41,DuraFix!$A$9:$M$14,10,FALSE),
IF($A41&lt;'Compression Fittings'!$A$16,VLOOKUP($A41,'Compression Fittings'!$A$8:$M$15,10,FALSE),
IF($A41&lt;'Hose Fittings'!$A$30,VLOOKUP($A41,'Hose Fittings'!$A$8:$M$29,10,FALSE),
IF($A41&lt;'Swing Joints'!$A$495,VLOOKUP($A41,'Swing Joints'!$A$9:$M$494,10,FALSE),
IF($A41&lt;'Swing Joints Components'!$A$135,VLOOKUP($A41,'Swing Joints Components'!$A$9:$M$134,10,FALSE),
IF($A41&lt;Nonstandard!$A$42,VLOOKUP($A41,Nonstandard!$A$31:$J$41,10,FALSE),"")))))))))))))))))))))))))))),"")</f>
        <v/>
      </c>
      <c r="L41" s="314" t="str">
        <f t="shared" si="0"/>
        <v>-</v>
      </c>
      <c r="M41" s="315"/>
    </row>
    <row r="42" spans="1:13" ht="15.6">
      <c r="A42" s="536">
        <v>10</v>
      </c>
      <c r="B42" s="536" t="str">
        <f>IFERROR(IF($A42&lt;'DWV PVC'!$A$317,VLOOKUP($A42,'DWV PVC'!$A$9:$M$316,4,FALSE),
IF($A42&lt;'DWV ABS'!$A$117,VLOOKUP($A42,'DWV ABS'!$A$8:$M$116,4,FALSE),
IF($A42&lt;'PVC SCH40'!$A$425,VLOOKUP($A42,'PVC SCH40'!$A$8:$M$424,4,FALSE),
IF($A42&lt;'PVC SCH40 LD'!$A$22,VLOOKUP($A42,'PVC SCH40 LD'!$A$8:$M$21,4,FALSE),
IF($A42&lt;'Pool &amp; SPA Sweep Elbows'!$A$12,VLOOKUP($A42,'Pool &amp; SPA Sweep Elbows'!$A$8:$M$11,4,FALSE),
IF($A42&lt;'Pool &amp; SPA Pipe Extender'!$A$11,VLOOKUP($A42,'Pool &amp; SPA Pipe Extender'!$A$8:$M$10,4,FALSE),
IF($A42&lt;'PVC SCH80'!$A$250,VLOOKUP($A42,'PVC SCH80'!$A$8:$M$249,4,FALSE),
IF($A42&lt;'PVC SCH80 Flange'!$A$49,VLOOKUP($A42,'PVC SCH80 Flange'!$A$8:$M$48,4,FALSE),
IF($A42&lt;'PVC SCH80 LD Flange'!$A$17,VLOOKUP($A42,'PVC SCH80 LD Flange'!$A$8:$M$16,4,FALSE),
IF($A42&lt;CPVC!$A$105,VLOOKUP($A42,CPVC!$A$9:$M$104,4,FALSE),
IF($A42&lt;InsertFittings!$A$185,VLOOKUP($A42,InsertFittings!$A$9:$M$184,4,FALSE),
IF($A42&lt;Valves!$A$92,VLOOKUP($A42,Valves!$A$9:$Q$91,4,FALSE),
IF($A42&lt;SDR35SW!$A$133,VLOOKUP($A42,SDR35SW!$A$9:$M$132,4,FALSE),
IF($A42&lt;SDR35G!$A$151,VLOOKUP($A42,SDR35G!$A$9:$M$150,4,FALSE),
IF($A42&lt;SDR26G!$A$67,VLOOKUP($A42,SDR26G!$A$9:$N$66,5,FALSE),
IF($A42&lt;Cements!$A$95,VLOOKUP($A42,Cements!$A$8:$Q$94,4,FALSE),
IF($A42&lt;ValveBox!$A$124,VLOOKUP($A42,ValveBox!$A$9:$O$123,4,FALSE),
IF($A42&lt;'ValveBox Components'!$A$142,VLOOKUP($A42,'ValveBox Components'!$A$9:$N$141,4,FALSE),
IF($A42&lt;Drainage!$A$69,VLOOKUP($A42,Drainage!$A$8:$M$68,4,FALSE),
IF($A42&lt;Nipples!$A$82,VLOOKUP($A42,Nipples!$A$9:$Q$81,4,FALSE),
IF($A42&lt;Manifold!$A$33,VLOOKUP($A42,Manifold!$A$9:$M$32,4,FALSE),
IF($A42&lt;FlexibleRepairCouplings!$A$12,VLOOKUP($A42,FlexibleRepairCouplings!$A$9:$M$11,4,FALSE),
IF($A42&lt;DuraFix!$A$15,VLOOKUP($A42,DuraFix!$A$9:$M$14,4,FALSE),
IF($A42&lt;'Compression Fittings'!$A$16,VLOOKUP($A42,'Compression Fittings'!$A$8:$M$15,4,FALSE),
IF($A42&lt;'Hose Fittings'!$A$30,VLOOKUP($A42,'Hose Fittings'!$A$8:$M$29,4,FALSE),
IF($A42&lt;'Swing Joints'!$A$495,VLOOKUP($A42,'Swing Joints'!$A$9:$M$494,4,FALSE),
IF($A42&lt;'Swing Joints Components'!$A$135,VLOOKUP($A42,'Swing Joints Components'!$A$9:$M$134,4,FALSE),
IF($A42&lt;Nonstandard!$A$42,VLOOKUP($A42,Nonstandard!$A$31:$J$41,5,FALSE),"")))))))))))))))))))))))))))),"")</f>
        <v/>
      </c>
      <c r="C42" s="536" t="str">
        <f>IFERROR(IF($A42&lt;'DWV PVC'!$A$317,VLOOKUP($A42,'DWV PVC'!$A$9:$M$316,5,FALSE),
IF($A42&lt;'DWV ABS'!$A$117,VLOOKUP($A42,'DWV ABS'!$A$8:$M$116,5,FALSE),
IF($A42&lt;'PVC SCH40'!$A$425,VLOOKUP($A42,'PVC SCH40'!$A$8:$M$424,5,FALSE),
IF($A42&lt;'PVC SCH40 LD'!$A$22,VLOOKUP($A42,'PVC SCH40 LD'!$A$8:$M$21,5,FALSE),
IF($A42&lt;'Pool &amp; SPA Sweep Elbows'!$A$12,VLOOKUP($A42,'Pool &amp; SPA Sweep Elbows'!$A$8:$M$11,5,FALSE),
IF($A42&lt;'Pool &amp; SPA Pipe Extender'!$A$11,VLOOKUP($A42,'Pool &amp; SPA Pipe Extender'!$A$8:$M$10,5,FALSE),
IF($A42&lt;'PVC SCH80'!$A$250,VLOOKUP($A42,'PVC SCH80'!$A$8:$M$249,5,FALSE),
IF($A42&lt;'PVC SCH80 Flange'!$A$49,VLOOKUP($A42,'PVC SCH80 Flange'!$A$8:$M$48,5,FALSE),
IF($A42&lt;'PVC SCH80 LD Flange'!$A$17,VLOOKUP($A42,'PVC SCH80 LD Flange'!$A$8:$M$16,5,FALSE),
IF($A42&lt;CPVC!$A$105,VLOOKUP($A42,CPVC!$A$9:$M$104,5,FALSE),
IF($A42&lt;InsertFittings!$A$185,VLOOKUP($A42,InsertFittings!$A$9:$M$184,5,FALSE),
IF($A42&lt;Valves!$A$92,VLOOKUP($A42,Valves!$A$9:$Q$91,5,FALSE),
IF($A42&lt;SDR35SW!$A$133,VLOOKUP($A42,SDR35SW!$A$9:$M$132,5,FALSE),
IF($A42&lt;SDR35G!$A$151,VLOOKUP($A42,SDR35G!$A$9:$M$150,5,FALSE),
IF($A42&lt;SDR26G!$A$67,VLOOKUP($A42,SDR26G!$A$9:$N$66,6,FALSE),
IF($A42&lt;Cements!$A$95,VLOOKUP($A42,Cements!$A$8:$Q$94,5,FALSE),
IF($A42&lt;ValveBox!$A$124,VLOOKUP($A42,ValveBox!$A$9:$O$123,5,FALSE),
IF($A42&lt;'ValveBox Components'!$A$142,VLOOKUP($A42,'ValveBox Components'!$A$9:$N$141,5,FALSE),
IF($A42&lt;Drainage!$A$69,VLOOKUP($A42,Drainage!$A$8:$M$68,5,FALSE),
IF($A42&lt;Nipples!$A$82,VLOOKUP($A42,Nipples!$A$9:$Q$81,5,FALSE),
IF($A42&lt;Manifold!$A$33,VLOOKUP($A42,Manifold!$A$9:$M$32,5,FALSE),
IF($A42&lt;FlexibleRepairCouplings!$A$12,VLOOKUP($A42,FlexibleRepairCouplings!$A$9:$M$11,5,FALSE),
IF($A42&lt;DuraFix!$A$15,VLOOKUP($A42,DuraFix!$A$9:$M$14,5,FALSE),
IF($A42&lt;'Compression Fittings'!$A$16,VLOOKUP($A42,'Compression Fittings'!$A$8:$M$15,5,FALSE),
IF($A42&lt;'Hose Fittings'!$A$30,VLOOKUP($A42,'Hose Fittings'!$A$8:$M$29,5,FALSE),
IF($A42&lt;'Swing Joints'!$A$495,VLOOKUP($A42,'Swing Joints'!$A$9:$M$494,5,FALSE),
IF($A42&lt;'Swing Joints Components'!$A$135,VLOOKUP($A42,'Swing Joints Components'!$A$9:$M$134,5,FALSE),
IF($A42&lt;Nonstandard!$A$42,VLOOKUP($A42,Nonstandard!$A$31:$J$41,6,FALSE),"")))))))))))))))))))))))))))),"")</f>
        <v/>
      </c>
      <c r="D42" s="537" t="str">
        <f>IFERROR(IF($A42&lt;'DWV PVC'!$A$317,VLOOKUP($A42,'DWV PVC'!$A$9:$M$316,6,FALSE),
IF($A42&lt;'DWV ABS'!$A$117,VLOOKUP($A42,'DWV ABS'!$A$8:$M$116,6,FALSE),
IF($A42&lt;'PVC SCH40'!$A$425,VLOOKUP($A42,'PVC SCH40'!$A$8:$M$424,6,FALSE),
IF($A42&lt;'PVC SCH40 LD'!$A$22,VLOOKUP($A42,'PVC SCH40 LD'!$A$8:$M$21,6,FALSE),
IF($A42&lt;'Pool &amp; SPA Sweep Elbows'!$A$12,VLOOKUP($A42,'Pool &amp; SPA Sweep Elbows'!$A$8:$M$11,6,FALSE),
IF($A42&lt;'Pool &amp; SPA Pipe Extender'!$A$11,VLOOKUP($A42,'Pool &amp; SPA Pipe Extender'!$A$8:$M$10,6,FALSE),
IF($A42&lt;'PVC SCH80'!$A$250,VLOOKUP($A42,'PVC SCH80'!$A$8:$M$249,6,FALSE),
IF($A42&lt;'PVC SCH80 Flange'!$A$49,VLOOKUP($A42,'PVC SCH80 Flange'!$A$8:$M$48,6,FALSE),
IF($A42&lt;'PVC SCH80 LD Flange'!$A$17,VLOOKUP($A42,'PVC SCH80 LD Flange'!$A$8:$M$16,6,FALSE),
IF($A42&lt;CPVC!$A$105,VLOOKUP($A42,CPVC!$A$9:$M$104,6,FALSE),
IF($A42&lt;InsertFittings!$A$185,VLOOKUP($A42,InsertFittings!$A$9:$M$184,6,FALSE),
IF($A42&lt;Valves!$A$92,VLOOKUP($A42,Valves!$A$9:$Q$91,6,FALSE),
IF($A42&lt;SDR35SW!$A$133,VLOOKUP($A42,SDR35SW!$A$9:$M$132,6,FALSE),
IF($A42&lt;SDR35G!$A$151,VLOOKUP($A42,SDR35G!$A$9:$M$150,6,FALSE),
IF($A42&lt;SDR26G!$A$67,VLOOKUP($A42,SDR26G!$A$9:$N$66,7,FALSE),
IF($A42&lt;Cements!$A$95,VLOOKUP($A42,Cements!$A$8:$Q$94,6,FALSE),
IF($A42&lt;ValveBox!$A$124,VLOOKUP($A42,ValveBox!$A$9:$O$123,6,FALSE),
IF($A42&lt;'ValveBox Components'!$A$142,VLOOKUP($A42,'ValveBox Components'!$A$9:$N$141,6,FALSE),
IF($A42&lt;Drainage!$A$69,VLOOKUP($A42,Drainage!$A$8:$M$68,6,FALSE),
IF($A42&lt;Nipples!$A$82,VLOOKUP($A42,Nipples!$A$9:$Q$81,6,FALSE),
IF($A42&lt;Manifold!$A$33,VLOOKUP($A42,Manifold!$A$9:$M$32,6,FALSE),
IF($A42&lt;FlexibleRepairCouplings!$A$12,VLOOKUP($A42,FlexibleRepairCouplings!$A$9:$M$11,6,FALSE),
IF($A42&lt;DuraFix!$A$15,VLOOKUP($A42,DuraFix!$A$9:$M$14,6,FALSE),
IF($A42&lt;'Compression Fittings'!$A$16,VLOOKUP($A42,'Compression Fittings'!$A$8:$M$15,6,FALSE),
IF($A42&lt;'Hose Fittings'!$A$30,VLOOKUP($A42,'Hose Fittings'!$A$8:$M$29,6,FALSE),
IF($A42&lt;'Swing Joints'!$A$495,VLOOKUP($A42,'Swing Joints'!$A$9:$M$494,6,FALSE),
IF($A42&lt;'Swing Joints Components'!$A$135,VLOOKUP($A42,'Swing Joints Components'!$A$9:$M$134,6,FALSE),
IF($A42&lt;Nonstandard!$A$42,VLOOKUP($A42,Nonstandard!$A$31:$J$41,7,FALSE),"")))))))))))))))))))))))))))),"")</f>
        <v/>
      </c>
      <c r="E42" s="538"/>
      <c r="F42" s="539" t="str">
        <f>IFERROR(IF($A42&lt;'DWV PVC'!$A$317,VLOOKUP($A42,'DWV PVC'!$A$9:$M$316,9,FALSE),
IF($A42&lt;'DWV ABS'!$A$117,VLOOKUP($A42,'DWV ABS'!$A$8:$M$116,9,FALSE),                                                                                                                                                                                                                                                     IF($A42&lt;'PVC SCH40'!$A$425,VLOOKUP($A42,'PVC SCH40'!$A$8:$M$424,9,FALSE),
IF($A42&lt;'PVC SCH40 LD'!$A$22,VLOOKUP($A42,'PVC SCH40 LD'!$A$8:$M$21,9,FALSE),
IF($A42&lt;'Pool &amp; SPA Sweep Elbows'!$A$12,VLOOKUP($A42,'Pool &amp; SPA Sweep Elbows'!$A$8:$M$11,9,FALSE),
IF($A42&lt;'Pool &amp; SPA Pipe Extender'!$A$11,VLOOKUP($A42,'Pool &amp; SPA Pipe Extender'!$A$8:$M$10,9,FALSE),
IF($A42&lt;'PVC SCH80'!$A$250,VLOOKUP($A42,'PVC SCH80'!$A$8:$M$249,9,FALSE),
IF($A42&lt;'PVC SCH80 Flange'!$A$49,VLOOKUP($A42,'PVC SCH80 Flange'!$A$8:$M$48,9,FALSE),
IF($A42&lt;'PVC SCH80 LD Flange'!$A$17,VLOOKUP($A42,'PVC SCH80 LD Flange'!$A$8:$M$16,9,FALSE),
IF($A42&lt;CPVC!$A$105,VLOOKUP($A42,CPVC!$A$9:$M$104,9,FALSE),
IF($A42&lt;InsertFittings!$A$185,VLOOKUP($A42,InsertFittings!$A$9:$M$184,9,FALSE),
IF($A42&lt;Valves!$A$92,VLOOKUP($A42,Valves!$A$9:$Q$91,13,FALSE),
IF($A42&lt;SDR35SW!$A$133,VLOOKUP($A42,SDR35SW!$A$9:$M$132,9,FALSE),
IF($A42&lt;SDR35G!$A$151,VLOOKUP($A42,SDR35G!$A$9:$M$150,9,FALSE),                                                                                                                                                                                                                                                          IF($A42&lt;SDR26G!$A$67,VLOOKUP($A42,SDR26G!$A$9:$N$66,10,FALSE),                                                                                                                                                                                                                                                       IF($A42&lt;Cements!$A$95,VLOOKUP($A42,Cements!$A$8:$Q$94,13,FALSE),
IF($A42&lt;ValveBox!$A$124,VLOOKUP($A42,ValveBox!$A$9:$O$123,11,FALSE),
IF($A42&lt;'ValveBox Components'!$A$142,VLOOKUP($A42,'ValveBox Components'!$A$9:$N$141,10,FALSE),
IF($A42&lt;Drainage!$A$69,VLOOKUP($A42,Drainage!$A$8:$M$68,9,FALSE),                                                                                                                                                                                                                                                              IF($A42&lt;Nipples!$A$82,VLOOKUP($A42,Nipples!$A$9:$Q$81,13,FALSE),
IF($A42&lt;Manifold!$A$33,VLOOKUP($A42,Manifold!$A$9:$M$32,9,FALSE),
IF($A42&lt;FlexibleRepairCouplings!$A$12,VLOOKUP($A42,FlexibleRepairCouplings!$A$9:$M$11,9,FALSE),
IF($A42&lt;DuraFix!$A$15,VLOOKUP($A42,DuraFix!$A$9:$M$14,9,FALSE),                                                                                                                                                                                                                                                          IF($A42&lt;'Compression Fittings'!$A$16,VLOOKUP($A42,'Compression Fittings'!$A$8:$M$15,9,FALSE),
IF($A42&lt;'Hose Fittings'!$A$30,VLOOKUP($A42,'Hose Fittings'!$A$8:$M$29,9,FALSE),
IF($A42&lt;'Swing Joints'!$A$495,VLOOKUP($A42,'Swing Joints'!$A$9:$M$494,9,FALSE),
IF($A42&lt;'Swing Joints Components'!$A$135,VLOOKUP($A42,'Swing Joints Components'!$A$9:$M$134,9,FALSE),
IF($A42&lt;Nonstandard!$A$42,VLOOKUP($A42,Nonstandard!$A$31:$J$41,8,FALSE),"")))))))))))))))))))))))))))),"")</f>
        <v/>
      </c>
      <c r="G42" s="540" t="str">
        <f>IFERROR(IF($A42&lt;'DWV PVC'!$A$317,VLOOKUP($A42,'DWV PVC'!$A$9:$M$316,11,FALSE),
IF($A42&lt;'DWV ABS'!$A$117,VLOOKUP($A42,'DWV ABS'!$A$8:$M$116,11,FALSE),                                                                                                                                                                                                                                                     IF($A42&lt;'PVC SCH40'!$A$425,VLOOKUP($A42,'PVC SCH40'!$A$8:$M$424,11,FALSE),
IF($A42&lt;'PVC SCH40 LD'!$A$22,VLOOKUP($A42,'PVC SCH40 LD'!$A$8:$M$21,11,FALSE),
IF($A42&lt;'Pool &amp; SPA Sweep Elbows'!$A$12,VLOOKUP($A42,'Pool &amp; SPA Sweep Elbows'!$A$8:$M$11,11,FALSE),
IF($A42&lt;'Pool &amp; SPA Pipe Extender'!$A$11,VLOOKUP($A42,'Pool &amp; SPA Pipe Extender'!$A$8:$M$10,11,FALSE),
IF($A42&lt;'PVC SCH80'!$A$250,VLOOKUP($A42,'PVC SCH80'!$A$8:$M$249,11,FALSE),
IF($A42&lt;'PVC SCH80 Flange'!$A$49,VLOOKUP($A42,'PVC SCH80 Flange'!$A$8:$M$48,11,FALSE),
IF($A42&lt;'PVC SCH80 LD Flange'!$A$17,VLOOKUP($A42,'PVC SCH80 LD Flange'!$A$8:$M$16,11,FALSE),
IF($A42&lt;CPVC!$A$105,VLOOKUP($A42,CPVC!$A$9:$M$104,11,FALSE),
IF($A42&lt;InsertFittings!$A$185,VLOOKUP($A42,InsertFittings!$A$9:$M$184,11,FALSE),
IF($A42&lt;Valves!$A$92,VLOOKUP($A42,Valves!$A$9:$Q$91,15,FALSE),
IF($A42&lt;SDR35SW!$A$133,VLOOKUP($A42,SDR35SW!$A$9:$M$132,11,FALSE),
IF($A42&lt;SDR35G!$A$151,VLOOKUP($A42,SDR35G!$A$9:$M$150,11,FALSE),                                                                                                                                                                                                                                                          IF($A42&lt;SDR26G!$A$67,VLOOKUP($A42,SDR26G!$A$9:$N$66,12,FALSE),                                                                                                                                                                                                                                                       IF($A42&lt;Cements!$A$95,VLOOKUP($A42,Cements!$A$8:$Q$94,15,FALSE),
IF($A42&lt;ValveBox!$A$124,VLOOKUP($A42,ValveBox!$A$9:$O$123,13,FALSE),
IF($A42&lt;'ValveBox Components'!$A$142,VLOOKUP($A42,'ValveBox Components'!$A$9:$N$141,12,FALSE),
IF($A42&lt;Drainage!$A$69,VLOOKUP($A42,Drainage!$A$8:$M$68,11,FALSE),                                                                                                                                                                                                                                                           IF($A42&lt;Nipples!$A$82,VLOOKUP($A42,Nipples!$A$9:$Q$81,15,FALSE),
IF($A42&lt;Manifold!$A$33,VLOOKUP($A42,Manifold!$A$9:$M$32,11,FALSE),
IF($A42&lt;FlexibleRepairCouplings!$A$12,VLOOKUP($A42,FlexibleRepairCouplings!$A$9:$M$11,11,FALSE),
IF($A42&lt;DuraFix!$A$15,VLOOKUP($A42,DuraFix!$A$9:$M$14,11,FALSE),                                                                                                                                                                                                                                                            IF($A42&lt;'Compression Fittings'!$A$16,VLOOKUP($A42,'Compression Fittings'!$A$8:$M$15,11,FALSE),
IF($A42&lt;'Hose Fittings'!$A$30,VLOOKUP($A42,'Hose Fittings'!$A$8:$M$29,11,FALSE),
IF($A42&lt;'Swing Joints'!$A$495,VLOOKUP($A42,'Swing Joints'!$A$9:$M$494,11,FALSE),
IF($A42&lt;'Swing Joints Components'!$A$135,VLOOKUP($A42,'Swing Joints Components'!$A$9:$M$134,11,FALSE),
IF($A42&lt;Nonstandard!$A$42,VLOOKUP($A42,Nonstandard!$A$31:$J$41,10,FALSE),"")))))))))))))))))))))))))))),"")</f>
        <v/>
      </c>
      <c r="H42" s="620" t="str">
        <f>IFERROR(IF($A42&lt;'DWV PVC'!$A$317,VLOOKUP($A42,'DWV PVC'!$A$9:$M$316,7,FALSE),
IF($A42&lt;'DWV ABS'!$A$117,VLOOKUP($A42,'DWV ABS'!$A$8:$M$116,11,FALSE),                                                                                                                                                                                                                                                     IF($A42&lt;'PVC SCH40'!$A$425,VLOOKUP($A42,'PVC SCH40'!$A$8:$M$424,7,FALSE),
IF($A42&lt;'PVC SCH40 LD'!$A$22,VLOOKUP($A42,'PVC SCH40 LD'!$A$8:$M$21,7,FALSE),
IF($A42&lt;'Pool &amp; SPA Sweep Elbows'!$A$12,VLOOKUP($A42,'Pool &amp; SPA Sweep Elbows'!$A$8:$M$11,7,FALSE),
IF($A42&lt;'Pool &amp; SPA Pipe Extender'!$A$11,VLOOKUP($A42,'Pool &amp; SPA Pipe Extender'!$A$8:$M$10,7,FALSE),
IF($A42&lt;'PVC SCH80'!$A$250,VLOOKUP($A42,'PVC SCH80'!$A$8:$M$249,7,FALSE),
IF($A42&lt;'PVC SCH80 Flange'!$A$49,VLOOKUP($A42,'PVC SCH80 Flange'!$A$8:$M$48,7,FALSE),
IF($A42&lt;'PVC SCH80 LD Flange'!$A$17,VLOOKUP($A42,'PVC SCH80 LD Flange'!$A$8:$M$16,7,FALSE),
IF($A42&lt;CPVC!$A$105,VLOOKUP($A42,CPVC!$A$9:$M$104,7,FALSE),
IF($A42&lt;InsertFittings!$A$185,VLOOKUP($A42,InsertFittings!$A$9:$M$184,7,FALSE),
IF($A42&lt;Valves!$A$92,VLOOKUP($A42,Valves!$A$9:$Q$91,11,FALSE),
IF($A42&lt;SDR35SW!$A$133,VLOOKUP($A42,SDR35SW!$A$9:$M$132,7,FALSE),
IF($A42&lt;SDR35G!$A$151,VLOOKUP($A42,SDR35G!$A$9:$M$150,7,FALSE),                                                                                                                                                                                                                                                       IF($A42&lt;SDR26G!$A$67,VLOOKUP($A42,SDR26G!$A$9:$N$66,8,FALSE),                                                                                                                                                                                                                                                     IF($A42&lt;Cements!$A$95,VLOOKUP($A42,Cements!$A$8:$Q$94,11,FALSE),
IF($A42&lt;ValveBox!$A$124,VLOOKUP($A42,ValveBox!$A$9:$O$123,10,FALSE),
IF($A42&lt;'ValveBox Components'!$A$142,VLOOKUP($A42,'ValveBox Components'!$A$9:$N$141,9,FALSE),
IF($A42&lt;Drainage!$A$69,VLOOKUP($A42,Drainage!$A$8:$M$68,7,FALSE),                                                                                                                                                                                                                                                          IF($A42&lt;Nipples!$A$82,VLOOKUP($A42,Nipples!$A$9:$Q$81,11,FALSE),
IF($A42&lt;Manifold!$A$33,VLOOKUP($A42,Manifold!$A$9:$M$32,7,FALSE),
IF($A42&lt;FlexibleRepairCouplings!$A$12,VLOOKUP($A42,FlexibleRepairCouplings!$A$9:$M$11,7,FALSE),
IF($A42&lt;DuraFix!$A$15,VLOOKUP($A42,DuraFix!$A$9:$M$14,7,FALSE),                                                                                                                                                                                                                                                           IF($A42&lt;'Compression Fittings'!$A$16,VLOOKUP($A42,'Compression Fittings'!$A$8:$M$15,7,FALSE),
IF($A42&lt;'Hose Fittings'!$A$30,VLOOKUP($A42,'Hose Fittings'!$A$8:$M$29,7,FALSE),
IF($A42&lt;'Swing Joints'!$A$495,VLOOKUP($A42,'Swing Joints'!$A$9:$M$494,7,FALSE),
IF($A42&lt;'Swing Joints Components'!$A$135,VLOOKUP($A42,'Swing Joints Components'!$A$9:$M$134,7,FALSE),
IF($A42&lt;Nonstandard!$A$42,VLOOKUP($A42,Nonstandard!$A$31:$J$41,10,FALSE),"")))))))))))))))))))))))))))),"")</f>
        <v/>
      </c>
      <c r="I42" s="621"/>
      <c r="J42" s="541" t="str">
        <f t="shared" si="1"/>
        <v/>
      </c>
      <c r="K42" s="599" t="str">
        <f>IFERROR(IF($A42&lt;'DWV PVC'!$A$317,VLOOKUP($A42,'DWV PVC'!$A$9:$M$316,10,FALSE),
IF($A42&lt;'DWV ABS'!$A$117,VLOOKUP($A42,'DWV ABS'!$A$8:$M$116,10,FALSE),
IF($A42&lt;'PVC SCH40'!$A$425,VLOOKUP($A42,'PVC SCH40'!$A$8:$M$424,10,FALSE),
IF($A42&lt;'PVC SCH40 LD'!$A$22,VLOOKUP($A42,'PVC SCH40 LD'!$A$8:$M$21,10,FALSE),
IF($A42&lt;'Pool &amp; SPA Sweep Elbows'!$A$12,VLOOKUP($A42,'Pool &amp; SPA Sweep Elbows'!$A$8:$M$11,10,FALSE),
IF($A42&lt;'Pool &amp; SPA Pipe Extender'!$A$11,VLOOKUP($A42,'Pool &amp; SPA Pipe Extender'!$A$8:$M$10,10,FALSE),
IF($A42&lt;'PVC SCH80'!$A$250,VLOOKUP($A42,'PVC SCH80'!$A$8:$M$249,10,FALSE),
IF($A42&lt;'PVC SCH80 Flange'!$A$49,VLOOKUP($A42,'PVC SCH80 Flange'!$A$8:$M$48,10,FALSE),
IF($A42&lt;'PVC SCH80 LD Flange'!$A$17,VLOOKUP($A42,'PVC SCH80 LD Flange'!$A$8:$M$16,10,FALSE),
IF($A42&lt;CPVC!$A$105,VLOOKUP($A42,CPVC!$A$9:$M$104,10,FALSE),
IF($A42&lt;InsertFittings!$A$185,VLOOKUP($A42,InsertFittings!$A$9:$M$184,10,FALSE),
IF($A42&lt;Valves!$A$92,VLOOKUP($A42,Valves!$A$9:$Q$91,14,FALSE),
IF($A42&lt;SDR35SW!$A$133,VLOOKUP($A42,SDR35SW!$A$9:$M$132,10,FALSE),
IF($A42&lt;SDR35G!$A$151,VLOOKUP($A42,SDR35G!$A$9:$M$150,10,FALSE),
IF($A42&lt;SDR26G!$A$67,VLOOKUP($A42,SDR26G!$A$9:$N$66,11,FALSE),
IF($A42&lt;Cements!$A$95,VLOOKUP($A42,Cements!$A$8:$Q$94,14,FALSE),
IF($A42&lt;ValveBox!$A$124,VLOOKUP($A42,ValveBox!$A$9:$O$123,12,FALSE),
IF($A42&lt;'ValveBox Components'!$A$142,VLOOKUP($A42,'ValveBox Components'!$A$9:$N$141,11,FALSE),
IF($A42&lt;Drainage!$A$69,VLOOKUP($A42,Drainage!$A$8:$M$68,10,FALSE),
IF($A42&lt;Nipples!$A$82,VLOOKUP($A42,Nipples!$A$9:$Q$81,14,FALSE),
IF($A42&lt;Manifold!$A$33,VLOOKUP($A42,Manifold!$A$9:$M$32,10,FALSE),
IF($A42&lt;FlexibleRepairCouplings!$A$12,VLOOKUP($A42,FlexibleRepairCouplings!$A$9:$M$11,10,FALSE),
IF($A42&lt;DuraFix!$A$15,VLOOKUP($A42,DuraFix!$A$9:$M$14,10,FALSE),
IF($A42&lt;'Compression Fittings'!$A$16,VLOOKUP($A42,'Compression Fittings'!$A$8:$M$15,10,FALSE),
IF($A42&lt;'Hose Fittings'!$A$30,VLOOKUP($A42,'Hose Fittings'!$A$8:$M$29,10,FALSE),
IF($A42&lt;'Swing Joints'!$A$495,VLOOKUP($A42,'Swing Joints'!$A$9:$M$494,10,FALSE),
IF($A42&lt;'Swing Joints Components'!$A$135,VLOOKUP($A42,'Swing Joints Components'!$A$9:$M$134,10,FALSE),
IF($A42&lt;Nonstandard!$A$42,VLOOKUP($A42,Nonstandard!$A$31:$J$41,10,FALSE),"")))))))))))))))))))))))))))),"")</f>
        <v/>
      </c>
      <c r="L42" s="539" t="str">
        <f t="shared" si="0"/>
        <v>-</v>
      </c>
      <c r="M42" s="542"/>
    </row>
    <row r="43" spans="1:13" ht="15.6">
      <c r="A43" s="312">
        <v>11</v>
      </c>
      <c r="B43" s="312" t="str">
        <f>IFERROR(IF($A43&lt;'DWV PVC'!$A$317,VLOOKUP($A43,'DWV PVC'!$A$9:$M$316,4,FALSE),
IF($A43&lt;'DWV ABS'!$A$117,VLOOKUP($A43,'DWV ABS'!$A$8:$M$116,4,FALSE),
IF($A43&lt;'PVC SCH40'!$A$425,VLOOKUP($A43,'PVC SCH40'!$A$8:$M$424,4,FALSE),
IF($A43&lt;'PVC SCH40 LD'!$A$22,VLOOKUP($A43,'PVC SCH40 LD'!$A$8:$M$21,4,FALSE),
IF($A43&lt;'Pool &amp; SPA Sweep Elbows'!$A$12,VLOOKUP($A43,'Pool &amp; SPA Sweep Elbows'!$A$8:$M$11,4,FALSE),
IF($A43&lt;'Pool &amp; SPA Pipe Extender'!$A$11,VLOOKUP($A43,'Pool &amp; SPA Pipe Extender'!$A$8:$M$10,4,FALSE),
IF($A43&lt;'PVC SCH80'!$A$250,VLOOKUP($A43,'PVC SCH80'!$A$8:$M$249,4,FALSE),
IF($A43&lt;'PVC SCH80 Flange'!$A$49,VLOOKUP($A43,'PVC SCH80 Flange'!$A$8:$M$48,4,FALSE),
IF($A43&lt;'PVC SCH80 LD Flange'!$A$17,VLOOKUP($A43,'PVC SCH80 LD Flange'!$A$8:$M$16,4,FALSE),
IF($A43&lt;CPVC!$A$105,VLOOKUP($A43,CPVC!$A$9:$M$104,4,FALSE),
IF($A43&lt;InsertFittings!$A$185,VLOOKUP($A43,InsertFittings!$A$9:$M$184,4,FALSE),
IF($A43&lt;Valves!$A$92,VLOOKUP($A43,Valves!$A$9:$Q$91,4,FALSE),
IF($A43&lt;SDR35SW!$A$133,VLOOKUP($A43,SDR35SW!$A$9:$M$132,4,FALSE),
IF($A43&lt;SDR35G!$A$151,VLOOKUP($A43,SDR35G!$A$9:$M$150,4,FALSE),
IF($A43&lt;SDR26G!$A$67,VLOOKUP($A43,SDR26G!$A$9:$N$66,5,FALSE),
IF($A43&lt;Cements!$A$95,VLOOKUP($A43,Cements!$A$8:$Q$94,4,FALSE),
IF($A43&lt;ValveBox!$A$124,VLOOKUP($A43,ValveBox!$A$9:$O$123,4,FALSE),
IF($A43&lt;'ValveBox Components'!$A$142,VLOOKUP($A43,'ValveBox Components'!$A$9:$N$141,4,FALSE),
IF($A43&lt;Drainage!$A$69,VLOOKUP($A43,Drainage!$A$8:$M$68,4,FALSE),
IF($A43&lt;Nipples!$A$82,VLOOKUP($A43,Nipples!$A$9:$Q$81,4,FALSE),
IF($A43&lt;Manifold!$A$33,VLOOKUP($A43,Manifold!$A$9:$M$32,4,FALSE),
IF($A43&lt;FlexibleRepairCouplings!$A$12,VLOOKUP($A43,FlexibleRepairCouplings!$A$9:$M$11,4,FALSE),
IF($A43&lt;DuraFix!$A$15,VLOOKUP($A43,DuraFix!$A$9:$M$14,4,FALSE),
IF($A43&lt;'Compression Fittings'!$A$16,VLOOKUP($A43,'Compression Fittings'!$A$8:$M$15,4,FALSE),
IF($A43&lt;'Hose Fittings'!$A$30,VLOOKUP($A43,'Hose Fittings'!$A$8:$M$29,4,FALSE),
IF($A43&lt;'Swing Joints'!$A$495,VLOOKUP($A43,'Swing Joints'!$A$9:$M$494,4,FALSE),
IF($A43&lt;'Swing Joints Components'!$A$135,VLOOKUP($A43,'Swing Joints Components'!$A$9:$M$134,4,FALSE),
IF($A43&lt;Nonstandard!$A$42,VLOOKUP($A43,Nonstandard!$A$31:$J$41,5,FALSE),"")))))))))))))))))))))))))))),"")</f>
        <v/>
      </c>
      <c r="C43" s="312" t="str">
        <f>IFERROR(IF($A43&lt;'DWV PVC'!$A$317,VLOOKUP($A43,'DWV PVC'!$A$9:$M$316,5,FALSE),
IF($A43&lt;'DWV ABS'!$A$117,VLOOKUP($A43,'DWV ABS'!$A$8:$M$116,5,FALSE),
IF($A43&lt;'PVC SCH40'!$A$425,VLOOKUP($A43,'PVC SCH40'!$A$8:$M$424,5,FALSE),
IF($A43&lt;'PVC SCH40 LD'!$A$22,VLOOKUP($A43,'PVC SCH40 LD'!$A$8:$M$21,5,FALSE),
IF($A43&lt;'Pool &amp; SPA Sweep Elbows'!$A$12,VLOOKUP($A43,'Pool &amp; SPA Sweep Elbows'!$A$8:$M$11,5,FALSE),
IF($A43&lt;'Pool &amp; SPA Pipe Extender'!$A$11,VLOOKUP($A43,'Pool &amp; SPA Pipe Extender'!$A$8:$M$10,5,FALSE),
IF($A43&lt;'PVC SCH80'!$A$250,VLOOKUP($A43,'PVC SCH80'!$A$8:$M$249,5,FALSE),
IF($A43&lt;'PVC SCH80 Flange'!$A$49,VLOOKUP($A43,'PVC SCH80 Flange'!$A$8:$M$48,5,FALSE),
IF($A43&lt;'PVC SCH80 LD Flange'!$A$17,VLOOKUP($A43,'PVC SCH80 LD Flange'!$A$8:$M$16,5,FALSE),
IF($A43&lt;CPVC!$A$105,VLOOKUP($A43,CPVC!$A$9:$M$104,5,FALSE),
IF($A43&lt;InsertFittings!$A$185,VLOOKUP($A43,InsertFittings!$A$9:$M$184,5,FALSE),
IF($A43&lt;Valves!$A$92,VLOOKUP($A43,Valves!$A$9:$Q$91,5,FALSE),
IF($A43&lt;SDR35SW!$A$133,VLOOKUP($A43,SDR35SW!$A$9:$M$132,5,FALSE),
IF($A43&lt;SDR35G!$A$151,VLOOKUP($A43,SDR35G!$A$9:$M$150,5,FALSE),
IF($A43&lt;SDR26G!$A$67,VLOOKUP($A43,SDR26G!$A$9:$N$66,6,FALSE),
IF($A43&lt;Cements!$A$95,VLOOKUP($A43,Cements!$A$8:$Q$94,5,FALSE),
IF($A43&lt;ValveBox!$A$124,VLOOKUP($A43,ValveBox!$A$9:$O$123,5,FALSE),
IF($A43&lt;'ValveBox Components'!$A$142,VLOOKUP($A43,'ValveBox Components'!$A$9:$N$141,5,FALSE),
IF($A43&lt;Drainage!$A$69,VLOOKUP($A43,Drainage!$A$8:$M$68,5,FALSE),
IF($A43&lt;Nipples!$A$82,VLOOKUP($A43,Nipples!$A$9:$Q$81,5,FALSE),
IF($A43&lt;Manifold!$A$33,VLOOKUP($A43,Manifold!$A$9:$M$32,5,FALSE),
IF($A43&lt;FlexibleRepairCouplings!$A$12,VLOOKUP($A43,FlexibleRepairCouplings!$A$9:$M$11,5,FALSE),
IF($A43&lt;DuraFix!$A$15,VLOOKUP($A43,DuraFix!$A$9:$M$14,5,FALSE),
IF($A43&lt;'Compression Fittings'!$A$16,VLOOKUP($A43,'Compression Fittings'!$A$8:$M$15,5,FALSE),
IF($A43&lt;'Hose Fittings'!$A$30,VLOOKUP($A43,'Hose Fittings'!$A$8:$M$29,5,FALSE),
IF($A43&lt;'Swing Joints'!$A$495,VLOOKUP($A43,'Swing Joints'!$A$9:$M$494,5,FALSE),
IF($A43&lt;'Swing Joints Components'!$A$135,VLOOKUP($A43,'Swing Joints Components'!$A$9:$M$134,5,FALSE),
IF($A43&lt;Nonstandard!$A$42,VLOOKUP($A43,Nonstandard!$A$31:$J$41,6,FALSE),"")))))))))))))))))))))))))))),"")</f>
        <v/>
      </c>
      <c r="D43" s="534" t="str">
        <f>IFERROR(IF($A43&lt;'DWV PVC'!$A$317,VLOOKUP($A43,'DWV PVC'!$A$9:$M$316,6,FALSE),
IF($A43&lt;'DWV ABS'!$A$117,VLOOKUP($A43,'DWV ABS'!$A$8:$M$116,6,FALSE),
IF($A43&lt;'PVC SCH40'!$A$425,VLOOKUP($A43,'PVC SCH40'!$A$8:$M$424,6,FALSE),
IF($A43&lt;'PVC SCH40 LD'!$A$22,VLOOKUP($A43,'PVC SCH40 LD'!$A$8:$M$21,6,FALSE),
IF($A43&lt;'Pool &amp; SPA Sweep Elbows'!$A$12,VLOOKUP($A43,'Pool &amp; SPA Sweep Elbows'!$A$8:$M$11,6,FALSE),
IF($A43&lt;'Pool &amp; SPA Pipe Extender'!$A$11,VLOOKUP($A43,'Pool &amp; SPA Pipe Extender'!$A$8:$M$10,6,FALSE),
IF($A43&lt;'PVC SCH80'!$A$250,VLOOKUP($A43,'PVC SCH80'!$A$8:$M$249,6,FALSE),
IF($A43&lt;'PVC SCH80 Flange'!$A$49,VLOOKUP($A43,'PVC SCH80 Flange'!$A$8:$M$48,6,FALSE),
IF($A43&lt;'PVC SCH80 LD Flange'!$A$17,VLOOKUP($A43,'PVC SCH80 LD Flange'!$A$8:$M$16,6,FALSE),
IF($A43&lt;CPVC!$A$105,VLOOKUP($A43,CPVC!$A$9:$M$104,6,FALSE),
IF($A43&lt;InsertFittings!$A$185,VLOOKUP($A43,InsertFittings!$A$9:$M$184,6,FALSE),
IF($A43&lt;Valves!$A$92,VLOOKUP($A43,Valves!$A$9:$Q$91,6,FALSE),
IF($A43&lt;SDR35SW!$A$133,VLOOKUP($A43,SDR35SW!$A$9:$M$132,6,FALSE),
IF($A43&lt;SDR35G!$A$151,VLOOKUP($A43,SDR35G!$A$9:$M$150,6,FALSE),
IF($A43&lt;SDR26G!$A$67,VLOOKUP($A43,SDR26G!$A$9:$N$66,7,FALSE),
IF($A43&lt;Cements!$A$95,VLOOKUP($A43,Cements!$A$8:$Q$94,6,FALSE),
IF($A43&lt;ValveBox!$A$124,VLOOKUP($A43,ValveBox!$A$9:$O$123,6,FALSE),
IF($A43&lt;'ValveBox Components'!$A$142,VLOOKUP($A43,'ValveBox Components'!$A$9:$N$141,6,FALSE),
IF($A43&lt;Drainage!$A$69,VLOOKUP($A43,Drainage!$A$8:$M$68,6,FALSE),
IF($A43&lt;Nipples!$A$82,VLOOKUP($A43,Nipples!$A$9:$Q$81,6,FALSE),
IF($A43&lt;Manifold!$A$33,VLOOKUP($A43,Manifold!$A$9:$M$32,6,FALSE),
IF($A43&lt;FlexibleRepairCouplings!$A$12,VLOOKUP($A43,FlexibleRepairCouplings!$A$9:$M$11,6,FALSE),
IF($A43&lt;DuraFix!$A$15,VLOOKUP($A43,DuraFix!$A$9:$M$14,6,FALSE),
IF($A43&lt;'Compression Fittings'!$A$16,VLOOKUP($A43,'Compression Fittings'!$A$8:$M$15,6,FALSE),
IF($A43&lt;'Hose Fittings'!$A$30,VLOOKUP($A43,'Hose Fittings'!$A$8:$M$29,6,FALSE),
IF($A43&lt;'Swing Joints'!$A$495,VLOOKUP($A43,'Swing Joints'!$A$9:$M$494,6,FALSE),
IF($A43&lt;'Swing Joints Components'!$A$135,VLOOKUP($A43,'Swing Joints Components'!$A$9:$M$134,6,FALSE),
IF($A43&lt;Nonstandard!$A$42,VLOOKUP($A43,Nonstandard!$A$31:$J$41,7,FALSE),"")))))))))))))))))))))))))))),"")</f>
        <v/>
      </c>
      <c r="E43" s="316"/>
      <c r="F43" s="314" t="str">
        <f>IFERROR(IF($A43&lt;'DWV PVC'!$A$317,VLOOKUP($A43,'DWV PVC'!$A$9:$M$316,9,FALSE),
IF($A43&lt;'DWV ABS'!$A$117,VLOOKUP($A43,'DWV ABS'!$A$8:$M$116,9,FALSE),                                                                                                                                                                                                                                                     IF($A43&lt;'PVC SCH40'!$A$425,VLOOKUP($A43,'PVC SCH40'!$A$8:$M$424,9,FALSE),
IF($A43&lt;'PVC SCH40 LD'!$A$22,VLOOKUP($A43,'PVC SCH40 LD'!$A$8:$M$21,9,FALSE),
IF($A43&lt;'Pool &amp; SPA Sweep Elbows'!$A$12,VLOOKUP($A43,'Pool &amp; SPA Sweep Elbows'!$A$8:$M$11,9,FALSE),
IF($A43&lt;'Pool &amp; SPA Pipe Extender'!$A$11,VLOOKUP($A43,'Pool &amp; SPA Pipe Extender'!$A$8:$M$10,9,FALSE),
IF($A43&lt;'PVC SCH80'!$A$250,VLOOKUP($A43,'PVC SCH80'!$A$8:$M$249,9,FALSE),
IF($A43&lt;'PVC SCH80 Flange'!$A$49,VLOOKUP($A43,'PVC SCH80 Flange'!$A$8:$M$48,9,FALSE),
IF($A43&lt;'PVC SCH80 LD Flange'!$A$17,VLOOKUP($A43,'PVC SCH80 LD Flange'!$A$8:$M$16,9,FALSE),
IF($A43&lt;CPVC!$A$105,VLOOKUP($A43,CPVC!$A$9:$M$104,9,FALSE),
IF($A43&lt;InsertFittings!$A$185,VLOOKUP($A43,InsertFittings!$A$9:$M$184,9,FALSE),
IF($A43&lt;Valves!$A$92,VLOOKUP($A43,Valves!$A$9:$Q$91,13,FALSE),
IF($A43&lt;SDR35SW!$A$133,VLOOKUP($A43,SDR35SW!$A$9:$M$132,9,FALSE),
IF($A43&lt;SDR35G!$A$151,VLOOKUP($A43,SDR35G!$A$9:$M$150,9,FALSE),                                                                                                                                                                                                                                                          IF($A43&lt;SDR26G!$A$67,VLOOKUP($A43,SDR26G!$A$9:$N$66,10,FALSE),                                                                                                                                                                                                                                                       IF($A43&lt;Cements!$A$95,VLOOKUP($A43,Cements!$A$8:$Q$94,13,FALSE),
IF($A43&lt;ValveBox!$A$124,VLOOKUP($A43,ValveBox!$A$9:$O$123,11,FALSE),
IF($A43&lt;'ValveBox Components'!$A$142,VLOOKUP($A43,'ValveBox Components'!$A$9:$N$141,10,FALSE),
IF($A43&lt;Drainage!$A$69,VLOOKUP($A43,Drainage!$A$8:$M$68,9,FALSE),                                                                                                                                                                                                                                                              IF($A43&lt;Nipples!$A$82,VLOOKUP($A43,Nipples!$A$9:$Q$81,13,FALSE),
IF($A43&lt;Manifold!$A$33,VLOOKUP($A43,Manifold!$A$9:$M$32,9,FALSE),
IF($A43&lt;FlexibleRepairCouplings!$A$12,VLOOKUP($A43,FlexibleRepairCouplings!$A$9:$M$11,9,FALSE),
IF($A43&lt;DuraFix!$A$15,VLOOKUP($A43,DuraFix!$A$9:$M$14,9,FALSE),                                                                                                                                                                                                                                                          IF($A43&lt;'Compression Fittings'!$A$16,VLOOKUP($A43,'Compression Fittings'!$A$8:$M$15,9,FALSE),
IF($A43&lt;'Hose Fittings'!$A$30,VLOOKUP($A43,'Hose Fittings'!$A$8:$M$29,9,FALSE),
IF($A43&lt;'Swing Joints'!$A$495,VLOOKUP($A43,'Swing Joints'!$A$9:$M$494,9,FALSE),
IF($A43&lt;'Swing Joints Components'!$A$135,VLOOKUP($A43,'Swing Joints Components'!$A$9:$M$134,9,FALSE),
IF($A43&lt;Nonstandard!$A$42,VLOOKUP($A43,Nonstandard!$A$31:$J$41,8,FALSE),"")))))))))))))))))))))))))))),"")</f>
        <v/>
      </c>
      <c r="G43" s="533" t="str">
        <f>IFERROR(IF($A43&lt;'DWV PVC'!$A$317,VLOOKUP($A43,'DWV PVC'!$A$9:$M$316,11,FALSE),
IF($A43&lt;'DWV ABS'!$A$117,VLOOKUP($A43,'DWV ABS'!$A$8:$M$116,11,FALSE),                                                                                                                                                                                                                                                     IF($A43&lt;'PVC SCH40'!$A$425,VLOOKUP($A43,'PVC SCH40'!$A$8:$M$424,11,FALSE),
IF($A43&lt;'PVC SCH40 LD'!$A$22,VLOOKUP($A43,'PVC SCH40 LD'!$A$8:$M$21,11,FALSE),
IF($A43&lt;'Pool &amp; SPA Sweep Elbows'!$A$12,VLOOKUP($A43,'Pool &amp; SPA Sweep Elbows'!$A$8:$M$11,11,FALSE),
IF($A43&lt;'Pool &amp; SPA Pipe Extender'!$A$11,VLOOKUP($A43,'Pool &amp; SPA Pipe Extender'!$A$8:$M$10,11,FALSE),
IF($A43&lt;'PVC SCH80'!$A$250,VLOOKUP($A43,'PVC SCH80'!$A$8:$M$249,11,FALSE),
IF($A43&lt;'PVC SCH80 Flange'!$A$49,VLOOKUP($A43,'PVC SCH80 Flange'!$A$8:$M$48,11,FALSE),
IF($A43&lt;'PVC SCH80 LD Flange'!$A$17,VLOOKUP($A43,'PVC SCH80 LD Flange'!$A$8:$M$16,11,FALSE),
IF($A43&lt;CPVC!$A$105,VLOOKUP($A43,CPVC!$A$9:$M$104,11,FALSE),
IF($A43&lt;InsertFittings!$A$185,VLOOKUP($A43,InsertFittings!$A$9:$M$184,11,FALSE),
IF($A43&lt;Valves!$A$92,VLOOKUP($A43,Valves!$A$9:$Q$91,15,FALSE),
IF($A43&lt;SDR35SW!$A$133,VLOOKUP($A43,SDR35SW!$A$9:$M$132,11,FALSE),
IF($A43&lt;SDR35G!$A$151,VLOOKUP($A43,SDR35G!$A$9:$M$150,11,FALSE),                                                                                                                                                                                                                                                          IF($A43&lt;SDR26G!$A$67,VLOOKUP($A43,SDR26G!$A$9:$N$66,12,FALSE),                                                                                                                                                                                                                                                       IF($A43&lt;Cements!$A$95,VLOOKUP($A43,Cements!$A$8:$Q$94,15,FALSE),
IF($A43&lt;ValveBox!$A$124,VLOOKUP($A43,ValveBox!$A$9:$O$123,13,FALSE),
IF($A43&lt;'ValveBox Components'!$A$142,VLOOKUP($A43,'ValveBox Components'!$A$9:$N$141,12,FALSE),
IF($A43&lt;Drainage!$A$69,VLOOKUP($A43,Drainage!$A$8:$M$68,11,FALSE),                                                                                                                                                                                                                                                           IF($A43&lt;Nipples!$A$82,VLOOKUP($A43,Nipples!$A$9:$Q$81,15,FALSE),
IF($A43&lt;Manifold!$A$33,VLOOKUP($A43,Manifold!$A$9:$M$32,11,FALSE),
IF($A43&lt;FlexibleRepairCouplings!$A$12,VLOOKUP($A43,FlexibleRepairCouplings!$A$9:$M$11,11,FALSE),
IF($A43&lt;DuraFix!$A$15,VLOOKUP($A43,DuraFix!$A$9:$M$14,11,FALSE),                                                                                                                                                                                                                                                            IF($A43&lt;'Compression Fittings'!$A$16,VLOOKUP($A43,'Compression Fittings'!$A$8:$M$15,11,FALSE),
IF($A43&lt;'Hose Fittings'!$A$30,VLOOKUP($A43,'Hose Fittings'!$A$8:$M$29,11,FALSE),
IF($A43&lt;'Swing Joints'!$A$495,VLOOKUP($A43,'Swing Joints'!$A$9:$M$494,11,FALSE),
IF($A43&lt;'Swing Joints Components'!$A$135,VLOOKUP($A43,'Swing Joints Components'!$A$9:$M$134,11,FALSE),
IF($A43&lt;Nonstandard!$A$42,VLOOKUP($A43,Nonstandard!$A$31:$J$41,10,FALSE),"")))))))))))))))))))))))))))),"")</f>
        <v/>
      </c>
      <c r="H43" s="618" t="str">
        <f>IFERROR(IF($A43&lt;'DWV PVC'!$A$317,VLOOKUP($A43,'DWV PVC'!$A$9:$M$316,7,FALSE),
IF($A43&lt;'DWV ABS'!$A$117,VLOOKUP($A43,'DWV ABS'!$A$8:$M$116,11,FALSE),                                                                                                                                                                                                                                                     IF($A43&lt;'PVC SCH40'!$A$425,VLOOKUP($A43,'PVC SCH40'!$A$8:$M$424,7,FALSE),
IF($A43&lt;'PVC SCH40 LD'!$A$22,VLOOKUP($A43,'PVC SCH40 LD'!$A$8:$M$21,7,FALSE),
IF($A43&lt;'Pool &amp; SPA Sweep Elbows'!$A$12,VLOOKUP($A43,'Pool &amp; SPA Sweep Elbows'!$A$8:$M$11,7,FALSE),
IF($A43&lt;'Pool &amp; SPA Pipe Extender'!$A$11,VLOOKUP($A43,'Pool &amp; SPA Pipe Extender'!$A$8:$M$10,7,FALSE),
IF($A43&lt;'PVC SCH80'!$A$250,VLOOKUP($A43,'PVC SCH80'!$A$8:$M$249,7,FALSE),
IF($A43&lt;'PVC SCH80 Flange'!$A$49,VLOOKUP($A43,'PVC SCH80 Flange'!$A$8:$M$48,7,FALSE),
IF($A43&lt;'PVC SCH80 LD Flange'!$A$17,VLOOKUP($A43,'PVC SCH80 LD Flange'!$A$8:$M$16,7,FALSE),
IF($A43&lt;CPVC!$A$105,VLOOKUP($A43,CPVC!$A$9:$M$104,7,FALSE),
IF($A43&lt;InsertFittings!$A$185,VLOOKUP($A43,InsertFittings!$A$9:$M$184,7,FALSE),
IF($A43&lt;Valves!$A$92,VLOOKUP($A43,Valves!$A$9:$Q$91,11,FALSE),
IF($A43&lt;SDR35SW!$A$133,VLOOKUP($A43,SDR35SW!$A$9:$M$132,7,FALSE),
IF($A43&lt;SDR35G!$A$151,VLOOKUP($A43,SDR35G!$A$9:$M$150,7,FALSE),                                                                                                                                                                                                                                                       IF($A43&lt;SDR26G!$A$67,VLOOKUP($A43,SDR26G!$A$9:$N$66,8,FALSE),                                                                                                                                                                                                                                                     IF($A43&lt;Cements!$A$95,VLOOKUP($A43,Cements!$A$8:$Q$94,11,FALSE),
IF($A43&lt;ValveBox!$A$124,VLOOKUP($A43,ValveBox!$A$9:$O$123,10,FALSE),
IF($A43&lt;'ValveBox Components'!$A$142,VLOOKUP($A43,'ValveBox Components'!$A$9:$N$141,9,FALSE),
IF($A43&lt;Drainage!$A$69,VLOOKUP($A43,Drainage!$A$8:$M$68,7,FALSE),                                                                                                                                                                                                                                                          IF($A43&lt;Nipples!$A$82,VLOOKUP($A43,Nipples!$A$9:$Q$81,11,FALSE),
IF($A43&lt;Manifold!$A$33,VLOOKUP($A43,Manifold!$A$9:$M$32,7,FALSE),
IF($A43&lt;FlexibleRepairCouplings!$A$12,VLOOKUP($A43,FlexibleRepairCouplings!$A$9:$M$11,7,FALSE),
IF($A43&lt;DuraFix!$A$15,VLOOKUP($A43,DuraFix!$A$9:$M$14,7,FALSE),                                                                                                                                                                                                                                                           IF($A43&lt;'Compression Fittings'!$A$16,VLOOKUP($A43,'Compression Fittings'!$A$8:$M$15,7,FALSE),
IF($A43&lt;'Hose Fittings'!$A$30,VLOOKUP($A43,'Hose Fittings'!$A$8:$M$29,7,FALSE),
IF($A43&lt;'Swing Joints'!$A$495,VLOOKUP($A43,'Swing Joints'!$A$9:$M$494,7,FALSE),
IF($A43&lt;'Swing Joints Components'!$A$135,VLOOKUP($A43,'Swing Joints Components'!$A$9:$M$134,7,FALSE),
IF($A43&lt;Nonstandard!$A$42,VLOOKUP($A43,Nonstandard!$A$31:$J$41,10,FALSE),"")))))))))))))))))))))))))))),"")</f>
        <v/>
      </c>
      <c r="I43" s="619"/>
      <c r="J43" s="281" t="str">
        <f t="shared" si="1"/>
        <v/>
      </c>
      <c r="K43" s="313" t="str">
        <f>IFERROR(IF($A43&lt;'DWV PVC'!$A$317,VLOOKUP($A43,'DWV PVC'!$A$9:$M$316,10,FALSE),
IF($A43&lt;'DWV ABS'!$A$117,VLOOKUP($A43,'DWV ABS'!$A$8:$M$116,10,FALSE),
IF($A43&lt;'PVC SCH40'!$A$425,VLOOKUP($A43,'PVC SCH40'!$A$8:$M$424,10,FALSE),
IF($A43&lt;'PVC SCH40 LD'!$A$22,VLOOKUP($A43,'PVC SCH40 LD'!$A$8:$M$21,10,FALSE),
IF($A43&lt;'Pool &amp; SPA Sweep Elbows'!$A$12,VLOOKUP($A43,'Pool &amp; SPA Sweep Elbows'!$A$8:$M$11,10,FALSE),
IF($A43&lt;'Pool &amp; SPA Pipe Extender'!$A$11,VLOOKUP($A43,'Pool &amp; SPA Pipe Extender'!$A$8:$M$10,10,FALSE),
IF($A43&lt;'PVC SCH80'!$A$250,VLOOKUP($A43,'PVC SCH80'!$A$8:$M$249,10,FALSE),
IF($A43&lt;'PVC SCH80 Flange'!$A$49,VLOOKUP($A43,'PVC SCH80 Flange'!$A$8:$M$48,10,FALSE),
IF($A43&lt;'PVC SCH80 LD Flange'!$A$17,VLOOKUP($A43,'PVC SCH80 LD Flange'!$A$8:$M$16,10,FALSE),
IF($A43&lt;CPVC!$A$105,VLOOKUP($A43,CPVC!$A$9:$M$104,10,FALSE),
IF($A43&lt;InsertFittings!$A$185,VLOOKUP($A43,InsertFittings!$A$9:$M$184,10,FALSE),
IF($A43&lt;Valves!$A$92,VLOOKUP($A43,Valves!$A$9:$Q$91,14,FALSE),
IF($A43&lt;SDR35SW!$A$133,VLOOKUP($A43,SDR35SW!$A$9:$M$132,10,FALSE),
IF($A43&lt;SDR35G!$A$151,VLOOKUP($A43,SDR35G!$A$9:$M$150,10,FALSE),
IF($A43&lt;SDR26G!$A$67,VLOOKUP($A43,SDR26G!$A$9:$N$66,11,FALSE),
IF($A43&lt;Cements!$A$95,VLOOKUP($A43,Cements!$A$8:$Q$94,14,FALSE),
IF($A43&lt;ValveBox!$A$124,VLOOKUP($A43,ValveBox!$A$9:$O$123,12,FALSE),
IF($A43&lt;'ValveBox Components'!$A$142,VLOOKUP($A43,'ValveBox Components'!$A$9:$N$141,11,FALSE),
IF($A43&lt;Drainage!$A$69,VLOOKUP($A43,Drainage!$A$8:$M$68,10,FALSE),
IF($A43&lt;Nipples!$A$82,VLOOKUP($A43,Nipples!$A$9:$Q$81,14,FALSE),
IF($A43&lt;Manifold!$A$33,VLOOKUP($A43,Manifold!$A$9:$M$32,10,FALSE),
IF($A43&lt;FlexibleRepairCouplings!$A$12,VLOOKUP($A43,FlexibleRepairCouplings!$A$9:$M$11,10,FALSE),
IF($A43&lt;DuraFix!$A$15,VLOOKUP($A43,DuraFix!$A$9:$M$14,10,FALSE),
IF($A43&lt;'Compression Fittings'!$A$16,VLOOKUP($A43,'Compression Fittings'!$A$8:$M$15,10,FALSE),
IF($A43&lt;'Hose Fittings'!$A$30,VLOOKUP($A43,'Hose Fittings'!$A$8:$M$29,10,FALSE),
IF($A43&lt;'Swing Joints'!$A$495,VLOOKUP($A43,'Swing Joints'!$A$9:$M$494,10,FALSE),
IF($A43&lt;'Swing Joints Components'!$A$135,VLOOKUP($A43,'Swing Joints Components'!$A$9:$M$134,10,FALSE),
IF($A43&lt;Nonstandard!$A$42,VLOOKUP($A43,Nonstandard!$A$31:$J$41,10,FALSE),"")))))))))))))))))))))))))))),"")</f>
        <v/>
      </c>
      <c r="L43" s="314" t="str">
        <f t="shared" si="0"/>
        <v>-</v>
      </c>
      <c r="M43" s="315"/>
    </row>
    <row r="44" spans="1:13" ht="15.6">
      <c r="A44" s="536">
        <v>12</v>
      </c>
      <c r="B44" s="536" t="str">
        <f>IFERROR(IF($A44&lt;'DWV PVC'!$A$317,VLOOKUP($A44,'DWV PVC'!$A$9:$M$316,4,FALSE),
IF($A44&lt;'DWV ABS'!$A$117,VLOOKUP($A44,'DWV ABS'!$A$8:$M$116,4,FALSE),
IF($A44&lt;'PVC SCH40'!$A$425,VLOOKUP($A44,'PVC SCH40'!$A$8:$M$424,4,FALSE),
IF($A44&lt;'PVC SCH40 LD'!$A$22,VLOOKUP($A44,'PVC SCH40 LD'!$A$8:$M$21,4,FALSE),
IF($A44&lt;'Pool &amp; SPA Sweep Elbows'!$A$12,VLOOKUP($A44,'Pool &amp; SPA Sweep Elbows'!$A$8:$M$11,4,FALSE),
IF($A44&lt;'Pool &amp; SPA Pipe Extender'!$A$11,VLOOKUP($A44,'Pool &amp; SPA Pipe Extender'!$A$8:$M$10,4,FALSE),
IF($A44&lt;'PVC SCH80'!$A$250,VLOOKUP($A44,'PVC SCH80'!$A$8:$M$249,4,FALSE),
IF($A44&lt;'PVC SCH80 Flange'!$A$49,VLOOKUP($A44,'PVC SCH80 Flange'!$A$8:$M$48,4,FALSE),
IF($A44&lt;'PVC SCH80 LD Flange'!$A$17,VLOOKUP($A44,'PVC SCH80 LD Flange'!$A$8:$M$16,4,FALSE),
IF($A44&lt;CPVC!$A$105,VLOOKUP($A44,CPVC!$A$9:$M$104,4,FALSE),
IF($A44&lt;InsertFittings!$A$185,VLOOKUP($A44,InsertFittings!$A$9:$M$184,4,FALSE),
IF($A44&lt;Valves!$A$92,VLOOKUP($A44,Valves!$A$9:$Q$91,4,FALSE),
IF($A44&lt;SDR35SW!$A$133,VLOOKUP($A44,SDR35SW!$A$9:$M$132,4,FALSE),
IF($A44&lt;SDR35G!$A$151,VLOOKUP($A44,SDR35G!$A$9:$M$150,4,FALSE),
IF($A44&lt;SDR26G!$A$67,VLOOKUP($A44,SDR26G!$A$9:$N$66,5,FALSE),
IF($A44&lt;Cements!$A$95,VLOOKUP($A44,Cements!$A$8:$Q$94,4,FALSE),
IF($A44&lt;ValveBox!$A$124,VLOOKUP($A44,ValveBox!$A$9:$O$123,4,FALSE),
IF($A44&lt;'ValveBox Components'!$A$142,VLOOKUP($A44,'ValveBox Components'!$A$9:$N$141,4,FALSE),
IF($A44&lt;Drainage!$A$69,VLOOKUP($A44,Drainage!$A$8:$M$68,4,FALSE),
IF($A44&lt;Nipples!$A$82,VLOOKUP($A44,Nipples!$A$9:$Q$81,4,FALSE),
IF($A44&lt;Manifold!$A$33,VLOOKUP($A44,Manifold!$A$9:$M$32,4,FALSE),
IF($A44&lt;FlexibleRepairCouplings!$A$12,VLOOKUP($A44,FlexibleRepairCouplings!$A$9:$M$11,4,FALSE),
IF($A44&lt;DuraFix!$A$15,VLOOKUP($A44,DuraFix!$A$9:$M$14,4,FALSE),
IF($A44&lt;'Compression Fittings'!$A$16,VLOOKUP($A44,'Compression Fittings'!$A$8:$M$15,4,FALSE),
IF($A44&lt;'Hose Fittings'!$A$30,VLOOKUP($A44,'Hose Fittings'!$A$8:$M$29,4,FALSE),
IF($A44&lt;'Swing Joints'!$A$495,VLOOKUP($A44,'Swing Joints'!$A$9:$M$494,4,FALSE),
IF($A44&lt;'Swing Joints Components'!$A$135,VLOOKUP($A44,'Swing Joints Components'!$A$9:$M$134,4,FALSE),
IF($A44&lt;Nonstandard!$A$42,VLOOKUP($A44,Nonstandard!$A$31:$J$41,5,FALSE),"")))))))))))))))))))))))))))),"")</f>
        <v/>
      </c>
      <c r="C44" s="536" t="str">
        <f>IFERROR(IF($A44&lt;'DWV PVC'!$A$317,VLOOKUP($A44,'DWV PVC'!$A$9:$M$316,5,FALSE),
IF($A44&lt;'DWV ABS'!$A$117,VLOOKUP($A44,'DWV ABS'!$A$8:$M$116,5,FALSE),
IF($A44&lt;'PVC SCH40'!$A$425,VLOOKUP($A44,'PVC SCH40'!$A$8:$M$424,5,FALSE),
IF($A44&lt;'PVC SCH40 LD'!$A$22,VLOOKUP($A44,'PVC SCH40 LD'!$A$8:$M$21,5,FALSE),
IF($A44&lt;'Pool &amp; SPA Sweep Elbows'!$A$12,VLOOKUP($A44,'Pool &amp; SPA Sweep Elbows'!$A$8:$M$11,5,FALSE),
IF($A44&lt;'Pool &amp; SPA Pipe Extender'!$A$11,VLOOKUP($A44,'Pool &amp; SPA Pipe Extender'!$A$8:$M$10,5,FALSE),
IF($A44&lt;'PVC SCH80'!$A$250,VLOOKUP($A44,'PVC SCH80'!$A$8:$M$249,5,FALSE),
IF($A44&lt;'PVC SCH80 Flange'!$A$49,VLOOKUP($A44,'PVC SCH80 Flange'!$A$8:$M$48,5,FALSE),
IF($A44&lt;'PVC SCH80 LD Flange'!$A$17,VLOOKUP($A44,'PVC SCH80 LD Flange'!$A$8:$M$16,5,FALSE),
IF($A44&lt;CPVC!$A$105,VLOOKUP($A44,CPVC!$A$9:$M$104,5,FALSE),
IF($A44&lt;InsertFittings!$A$185,VLOOKUP($A44,InsertFittings!$A$9:$M$184,5,FALSE),
IF($A44&lt;Valves!$A$92,VLOOKUP($A44,Valves!$A$9:$Q$91,5,FALSE),
IF($A44&lt;SDR35SW!$A$133,VLOOKUP($A44,SDR35SW!$A$9:$M$132,5,FALSE),
IF($A44&lt;SDR35G!$A$151,VLOOKUP($A44,SDR35G!$A$9:$M$150,5,FALSE),
IF($A44&lt;SDR26G!$A$67,VLOOKUP($A44,SDR26G!$A$9:$N$66,6,FALSE),
IF($A44&lt;Cements!$A$95,VLOOKUP($A44,Cements!$A$8:$Q$94,5,FALSE),
IF($A44&lt;ValveBox!$A$124,VLOOKUP($A44,ValveBox!$A$9:$O$123,5,FALSE),
IF($A44&lt;'ValveBox Components'!$A$142,VLOOKUP($A44,'ValveBox Components'!$A$9:$N$141,5,FALSE),
IF($A44&lt;Drainage!$A$69,VLOOKUP($A44,Drainage!$A$8:$M$68,5,FALSE),
IF($A44&lt;Nipples!$A$82,VLOOKUP($A44,Nipples!$A$9:$Q$81,5,FALSE),
IF($A44&lt;Manifold!$A$33,VLOOKUP($A44,Manifold!$A$9:$M$32,5,FALSE),
IF($A44&lt;FlexibleRepairCouplings!$A$12,VLOOKUP($A44,FlexibleRepairCouplings!$A$9:$M$11,5,FALSE),
IF($A44&lt;DuraFix!$A$15,VLOOKUP($A44,DuraFix!$A$9:$M$14,5,FALSE),
IF($A44&lt;'Compression Fittings'!$A$16,VLOOKUP($A44,'Compression Fittings'!$A$8:$M$15,5,FALSE),
IF($A44&lt;'Hose Fittings'!$A$30,VLOOKUP($A44,'Hose Fittings'!$A$8:$M$29,5,FALSE),
IF($A44&lt;'Swing Joints'!$A$495,VLOOKUP($A44,'Swing Joints'!$A$9:$M$494,5,FALSE),
IF($A44&lt;'Swing Joints Components'!$A$135,VLOOKUP($A44,'Swing Joints Components'!$A$9:$M$134,5,FALSE),
IF($A44&lt;Nonstandard!$A$42,VLOOKUP($A44,Nonstandard!$A$31:$J$41,6,FALSE),"")))))))))))))))))))))))))))),"")</f>
        <v/>
      </c>
      <c r="D44" s="537" t="str">
        <f>IFERROR(IF($A44&lt;'DWV PVC'!$A$317,VLOOKUP($A44,'DWV PVC'!$A$9:$M$316,6,FALSE),
IF($A44&lt;'DWV ABS'!$A$117,VLOOKUP($A44,'DWV ABS'!$A$8:$M$116,6,FALSE),
IF($A44&lt;'PVC SCH40'!$A$425,VLOOKUP($A44,'PVC SCH40'!$A$8:$M$424,6,FALSE),
IF($A44&lt;'PVC SCH40 LD'!$A$22,VLOOKUP($A44,'PVC SCH40 LD'!$A$8:$M$21,6,FALSE),
IF($A44&lt;'Pool &amp; SPA Sweep Elbows'!$A$12,VLOOKUP($A44,'Pool &amp; SPA Sweep Elbows'!$A$8:$M$11,6,FALSE),
IF($A44&lt;'Pool &amp; SPA Pipe Extender'!$A$11,VLOOKUP($A44,'Pool &amp; SPA Pipe Extender'!$A$8:$M$10,6,FALSE),
IF($A44&lt;'PVC SCH80'!$A$250,VLOOKUP($A44,'PVC SCH80'!$A$8:$M$249,6,FALSE),
IF($A44&lt;'PVC SCH80 Flange'!$A$49,VLOOKUP($A44,'PVC SCH80 Flange'!$A$8:$M$48,6,FALSE),
IF($A44&lt;'PVC SCH80 LD Flange'!$A$17,VLOOKUP($A44,'PVC SCH80 LD Flange'!$A$8:$M$16,6,FALSE),
IF($A44&lt;CPVC!$A$105,VLOOKUP($A44,CPVC!$A$9:$M$104,6,FALSE),
IF($A44&lt;InsertFittings!$A$185,VLOOKUP($A44,InsertFittings!$A$9:$M$184,6,FALSE),
IF($A44&lt;Valves!$A$92,VLOOKUP($A44,Valves!$A$9:$Q$91,6,FALSE),
IF($A44&lt;SDR35SW!$A$133,VLOOKUP($A44,SDR35SW!$A$9:$M$132,6,FALSE),
IF($A44&lt;SDR35G!$A$151,VLOOKUP($A44,SDR35G!$A$9:$M$150,6,FALSE),
IF($A44&lt;SDR26G!$A$67,VLOOKUP($A44,SDR26G!$A$9:$N$66,7,FALSE),
IF($A44&lt;Cements!$A$95,VLOOKUP($A44,Cements!$A$8:$Q$94,6,FALSE),
IF($A44&lt;ValveBox!$A$124,VLOOKUP($A44,ValveBox!$A$9:$O$123,6,FALSE),
IF($A44&lt;'ValveBox Components'!$A$142,VLOOKUP($A44,'ValveBox Components'!$A$9:$N$141,6,FALSE),
IF($A44&lt;Drainage!$A$69,VLOOKUP($A44,Drainage!$A$8:$M$68,6,FALSE),
IF($A44&lt;Nipples!$A$82,VLOOKUP($A44,Nipples!$A$9:$Q$81,6,FALSE),
IF($A44&lt;Manifold!$A$33,VLOOKUP($A44,Manifold!$A$9:$M$32,6,FALSE),
IF($A44&lt;FlexibleRepairCouplings!$A$12,VLOOKUP($A44,FlexibleRepairCouplings!$A$9:$M$11,6,FALSE),
IF($A44&lt;DuraFix!$A$15,VLOOKUP($A44,DuraFix!$A$9:$M$14,6,FALSE),
IF($A44&lt;'Compression Fittings'!$A$16,VLOOKUP($A44,'Compression Fittings'!$A$8:$M$15,6,FALSE),
IF($A44&lt;'Hose Fittings'!$A$30,VLOOKUP($A44,'Hose Fittings'!$A$8:$M$29,6,FALSE),
IF($A44&lt;'Swing Joints'!$A$495,VLOOKUP($A44,'Swing Joints'!$A$9:$M$494,6,FALSE),
IF($A44&lt;'Swing Joints Components'!$A$135,VLOOKUP($A44,'Swing Joints Components'!$A$9:$M$134,6,FALSE),
IF($A44&lt;Nonstandard!$A$42,VLOOKUP($A44,Nonstandard!$A$31:$J$41,7,FALSE),"")))))))))))))))))))))))))))),"")</f>
        <v/>
      </c>
      <c r="E44" s="538"/>
      <c r="F44" s="539" t="str">
        <f>IFERROR(IF($A44&lt;'DWV PVC'!$A$317,VLOOKUP($A44,'DWV PVC'!$A$9:$M$316,9,FALSE),
IF($A44&lt;'DWV ABS'!$A$117,VLOOKUP($A44,'DWV ABS'!$A$8:$M$116,9,FALSE),                                                                                                                                                                                                                                                     IF($A44&lt;'PVC SCH40'!$A$425,VLOOKUP($A44,'PVC SCH40'!$A$8:$M$424,9,FALSE),
IF($A44&lt;'PVC SCH40 LD'!$A$22,VLOOKUP($A44,'PVC SCH40 LD'!$A$8:$M$21,9,FALSE),
IF($A44&lt;'Pool &amp; SPA Sweep Elbows'!$A$12,VLOOKUP($A44,'Pool &amp; SPA Sweep Elbows'!$A$8:$M$11,9,FALSE),
IF($A44&lt;'Pool &amp; SPA Pipe Extender'!$A$11,VLOOKUP($A44,'Pool &amp; SPA Pipe Extender'!$A$8:$M$10,9,FALSE),
IF($A44&lt;'PVC SCH80'!$A$250,VLOOKUP($A44,'PVC SCH80'!$A$8:$M$249,9,FALSE),
IF($A44&lt;'PVC SCH80 Flange'!$A$49,VLOOKUP($A44,'PVC SCH80 Flange'!$A$8:$M$48,9,FALSE),
IF($A44&lt;'PVC SCH80 LD Flange'!$A$17,VLOOKUP($A44,'PVC SCH80 LD Flange'!$A$8:$M$16,9,FALSE),
IF($A44&lt;CPVC!$A$105,VLOOKUP($A44,CPVC!$A$9:$M$104,9,FALSE),
IF($A44&lt;InsertFittings!$A$185,VLOOKUP($A44,InsertFittings!$A$9:$M$184,9,FALSE),
IF($A44&lt;Valves!$A$92,VLOOKUP($A44,Valves!$A$9:$Q$91,13,FALSE),
IF($A44&lt;SDR35SW!$A$133,VLOOKUP($A44,SDR35SW!$A$9:$M$132,9,FALSE),
IF($A44&lt;SDR35G!$A$151,VLOOKUP($A44,SDR35G!$A$9:$M$150,9,FALSE),                                                                                                                                                                                                                                                          IF($A44&lt;SDR26G!$A$67,VLOOKUP($A44,SDR26G!$A$9:$N$66,10,FALSE),                                                                                                                                                                                                                                                       IF($A44&lt;Cements!$A$95,VLOOKUP($A44,Cements!$A$8:$Q$94,13,FALSE),
IF($A44&lt;ValveBox!$A$124,VLOOKUP($A44,ValveBox!$A$9:$O$123,11,FALSE),
IF($A44&lt;'ValveBox Components'!$A$142,VLOOKUP($A44,'ValveBox Components'!$A$9:$N$141,10,FALSE),
IF($A44&lt;Drainage!$A$69,VLOOKUP($A44,Drainage!$A$8:$M$68,9,FALSE),                                                                                                                                                                                                                                                              IF($A44&lt;Nipples!$A$82,VLOOKUP($A44,Nipples!$A$9:$Q$81,13,FALSE),
IF($A44&lt;Manifold!$A$33,VLOOKUP($A44,Manifold!$A$9:$M$32,9,FALSE),
IF($A44&lt;FlexibleRepairCouplings!$A$12,VLOOKUP($A44,FlexibleRepairCouplings!$A$9:$M$11,9,FALSE),
IF($A44&lt;DuraFix!$A$15,VLOOKUP($A44,DuraFix!$A$9:$M$14,9,FALSE),                                                                                                                                                                                                                                                          IF($A44&lt;'Compression Fittings'!$A$16,VLOOKUP($A44,'Compression Fittings'!$A$8:$M$15,9,FALSE),
IF($A44&lt;'Hose Fittings'!$A$30,VLOOKUP($A44,'Hose Fittings'!$A$8:$M$29,9,FALSE),
IF($A44&lt;'Swing Joints'!$A$495,VLOOKUP($A44,'Swing Joints'!$A$9:$M$494,9,FALSE),
IF($A44&lt;'Swing Joints Components'!$A$135,VLOOKUP($A44,'Swing Joints Components'!$A$9:$M$134,9,FALSE),
IF($A44&lt;Nonstandard!$A$42,VLOOKUP($A44,Nonstandard!$A$31:$J$41,8,FALSE),"")))))))))))))))))))))))))))),"")</f>
        <v/>
      </c>
      <c r="G44" s="540" t="str">
        <f>IFERROR(IF($A44&lt;'DWV PVC'!$A$317,VLOOKUP($A44,'DWV PVC'!$A$9:$M$316,11,FALSE),
IF($A44&lt;'DWV ABS'!$A$117,VLOOKUP($A44,'DWV ABS'!$A$8:$M$116,11,FALSE),                                                                                                                                                                                                                                                     IF($A44&lt;'PVC SCH40'!$A$425,VLOOKUP($A44,'PVC SCH40'!$A$8:$M$424,11,FALSE),
IF($A44&lt;'PVC SCH40 LD'!$A$22,VLOOKUP($A44,'PVC SCH40 LD'!$A$8:$M$21,11,FALSE),
IF($A44&lt;'Pool &amp; SPA Sweep Elbows'!$A$12,VLOOKUP($A44,'Pool &amp; SPA Sweep Elbows'!$A$8:$M$11,11,FALSE),
IF($A44&lt;'Pool &amp; SPA Pipe Extender'!$A$11,VLOOKUP($A44,'Pool &amp; SPA Pipe Extender'!$A$8:$M$10,11,FALSE),
IF($A44&lt;'PVC SCH80'!$A$250,VLOOKUP($A44,'PVC SCH80'!$A$8:$M$249,11,FALSE),
IF($A44&lt;'PVC SCH80 Flange'!$A$49,VLOOKUP($A44,'PVC SCH80 Flange'!$A$8:$M$48,11,FALSE),
IF($A44&lt;'PVC SCH80 LD Flange'!$A$17,VLOOKUP($A44,'PVC SCH80 LD Flange'!$A$8:$M$16,11,FALSE),
IF($A44&lt;CPVC!$A$105,VLOOKUP($A44,CPVC!$A$9:$M$104,11,FALSE),
IF($A44&lt;InsertFittings!$A$185,VLOOKUP($A44,InsertFittings!$A$9:$M$184,11,FALSE),
IF($A44&lt;Valves!$A$92,VLOOKUP($A44,Valves!$A$9:$Q$91,15,FALSE),
IF($A44&lt;SDR35SW!$A$133,VLOOKUP($A44,SDR35SW!$A$9:$M$132,11,FALSE),
IF($A44&lt;SDR35G!$A$151,VLOOKUP($A44,SDR35G!$A$9:$M$150,11,FALSE),                                                                                                                                                                                                                                                          IF($A44&lt;SDR26G!$A$67,VLOOKUP($A44,SDR26G!$A$9:$N$66,12,FALSE),                                                                                                                                                                                                                                                       IF($A44&lt;Cements!$A$95,VLOOKUP($A44,Cements!$A$8:$Q$94,15,FALSE),
IF($A44&lt;ValveBox!$A$124,VLOOKUP($A44,ValveBox!$A$9:$O$123,13,FALSE),
IF($A44&lt;'ValveBox Components'!$A$142,VLOOKUP($A44,'ValveBox Components'!$A$9:$N$141,12,FALSE),
IF($A44&lt;Drainage!$A$69,VLOOKUP($A44,Drainage!$A$8:$M$68,11,FALSE),                                                                                                                                                                                                                                                           IF($A44&lt;Nipples!$A$82,VLOOKUP($A44,Nipples!$A$9:$Q$81,15,FALSE),
IF($A44&lt;Manifold!$A$33,VLOOKUP($A44,Manifold!$A$9:$M$32,11,FALSE),
IF($A44&lt;FlexibleRepairCouplings!$A$12,VLOOKUP($A44,FlexibleRepairCouplings!$A$9:$M$11,11,FALSE),
IF($A44&lt;DuraFix!$A$15,VLOOKUP($A44,DuraFix!$A$9:$M$14,11,FALSE),                                                                                                                                                                                                                                                            IF($A44&lt;'Compression Fittings'!$A$16,VLOOKUP($A44,'Compression Fittings'!$A$8:$M$15,11,FALSE),
IF($A44&lt;'Hose Fittings'!$A$30,VLOOKUP($A44,'Hose Fittings'!$A$8:$M$29,11,FALSE),
IF($A44&lt;'Swing Joints'!$A$495,VLOOKUP($A44,'Swing Joints'!$A$9:$M$494,11,FALSE),
IF($A44&lt;'Swing Joints Components'!$A$135,VLOOKUP($A44,'Swing Joints Components'!$A$9:$M$134,11,FALSE),
IF($A44&lt;Nonstandard!$A$42,VLOOKUP($A44,Nonstandard!$A$31:$J$41,10,FALSE),"")))))))))))))))))))))))))))),"")</f>
        <v/>
      </c>
      <c r="H44" s="620" t="str">
        <f>IFERROR(IF($A44&lt;'DWV PVC'!$A$317,VLOOKUP($A44,'DWV PVC'!$A$9:$M$316,7,FALSE),
IF($A44&lt;'DWV ABS'!$A$117,VLOOKUP($A44,'DWV ABS'!$A$8:$M$116,11,FALSE),                                                                                                                                                                                                                                                     IF($A44&lt;'PVC SCH40'!$A$425,VLOOKUP($A44,'PVC SCH40'!$A$8:$M$424,7,FALSE),
IF($A44&lt;'PVC SCH40 LD'!$A$22,VLOOKUP($A44,'PVC SCH40 LD'!$A$8:$M$21,7,FALSE),
IF($A44&lt;'Pool &amp; SPA Sweep Elbows'!$A$12,VLOOKUP($A44,'Pool &amp; SPA Sweep Elbows'!$A$8:$M$11,7,FALSE),
IF($A44&lt;'Pool &amp; SPA Pipe Extender'!$A$11,VLOOKUP($A44,'Pool &amp; SPA Pipe Extender'!$A$8:$M$10,7,FALSE),
IF($A44&lt;'PVC SCH80'!$A$250,VLOOKUP($A44,'PVC SCH80'!$A$8:$M$249,7,FALSE),
IF($A44&lt;'PVC SCH80 Flange'!$A$49,VLOOKUP($A44,'PVC SCH80 Flange'!$A$8:$M$48,7,FALSE),
IF($A44&lt;'PVC SCH80 LD Flange'!$A$17,VLOOKUP($A44,'PVC SCH80 LD Flange'!$A$8:$M$16,7,FALSE),
IF($A44&lt;CPVC!$A$105,VLOOKUP($A44,CPVC!$A$9:$M$104,7,FALSE),
IF($A44&lt;InsertFittings!$A$185,VLOOKUP($A44,InsertFittings!$A$9:$M$184,7,FALSE),
IF($A44&lt;Valves!$A$92,VLOOKUP($A44,Valves!$A$9:$Q$91,11,FALSE),
IF($A44&lt;SDR35SW!$A$133,VLOOKUP($A44,SDR35SW!$A$9:$M$132,7,FALSE),
IF($A44&lt;SDR35G!$A$151,VLOOKUP($A44,SDR35G!$A$9:$M$150,7,FALSE),                                                                                                                                                                                                                                                       IF($A44&lt;SDR26G!$A$67,VLOOKUP($A44,SDR26G!$A$9:$N$66,8,FALSE),                                                                                                                                                                                                                                                     IF($A44&lt;Cements!$A$95,VLOOKUP($A44,Cements!$A$8:$Q$94,11,FALSE),
IF($A44&lt;ValveBox!$A$124,VLOOKUP($A44,ValveBox!$A$9:$O$123,10,FALSE),
IF($A44&lt;'ValveBox Components'!$A$142,VLOOKUP($A44,'ValveBox Components'!$A$9:$N$141,9,FALSE),
IF($A44&lt;Drainage!$A$69,VLOOKUP($A44,Drainage!$A$8:$M$68,7,FALSE),                                                                                                                                                                                                                                                          IF($A44&lt;Nipples!$A$82,VLOOKUP($A44,Nipples!$A$9:$Q$81,11,FALSE),
IF($A44&lt;Manifold!$A$33,VLOOKUP($A44,Manifold!$A$9:$M$32,7,FALSE),
IF($A44&lt;FlexibleRepairCouplings!$A$12,VLOOKUP($A44,FlexibleRepairCouplings!$A$9:$M$11,7,FALSE),
IF($A44&lt;DuraFix!$A$15,VLOOKUP($A44,DuraFix!$A$9:$M$14,7,FALSE),                                                                                                                                                                                                                                                           IF($A44&lt;'Compression Fittings'!$A$16,VLOOKUP($A44,'Compression Fittings'!$A$8:$M$15,7,FALSE),
IF($A44&lt;'Hose Fittings'!$A$30,VLOOKUP($A44,'Hose Fittings'!$A$8:$M$29,7,FALSE),
IF($A44&lt;'Swing Joints'!$A$495,VLOOKUP($A44,'Swing Joints'!$A$9:$M$494,7,FALSE),
IF($A44&lt;'Swing Joints Components'!$A$135,VLOOKUP($A44,'Swing Joints Components'!$A$9:$M$134,7,FALSE),
IF($A44&lt;Nonstandard!$A$42,VLOOKUP($A44,Nonstandard!$A$31:$J$41,10,FALSE),"")))))))))))))))))))))))))))),"")</f>
        <v/>
      </c>
      <c r="I44" s="621"/>
      <c r="J44" s="541" t="str">
        <f t="shared" si="1"/>
        <v/>
      </c>
      <c r="K44" s="599" t="str">
        <f>IFERROR(IF($A44&lt;'DWV PVC'!$A$317,VLOOKUP($A44,'DWV PVC'!$A$9:$M$316,10,FALSE),
IF($A44&lt;'DWV ABS'!$A$117,VLOOKUP($A44,'DWV ABS'!$A$8:$M$116,10,FALSE),
IF($A44&lt;'PVC SCH40'!$A$425,VLOOKUP($A44,'PVC SCH40'!$A$8:$M$424,10,FALSE),
IF($A44&lt;'PVC SCH40 LD'!$A$22,VLOOKUP($A44,'PVC SCH40 LD'!$A$8:$M$21,10,FALSE),
IF($A44&lt;'Pool &amp; SPA Sweep Elbows'!$A$12,VLOOKUP($A44,'Pool &amp; SPA Sweep Elbows'!$A$8:$M$11,10,FALSE),
IF($A44&lt;'Pool &amp; SPA Pipe Extender'!$A$11,VLOOKUP($A44,'Pool &amp; SPA Pipe Extender'!$A$8:$M$10,10,FALSE),
IF($A44&lt;'PVC SCH80'!$A$250,VLOOKUP($A44,'PVC SCH80'!$A$8:$M$249,10,FALSE),
IF($A44&lt;'PVC SCH80 Flange'!$A$49,VLOOKUP($A44,'PVC SCH80 Flange'!$A$8:$M$48,10,FALSE),
IF($A44&lt;'PVC SCH80 LD Flange'!$A$17,VLOOKUP($A44,'PVC SCH80 LD Flange'!$A$8:$M$16,10,FALSE),
IF($A44&lt;CPVC!$A$105,VLOOKUP($A44,CPVC!$A$9:$M$104,10,FALSE),
IF($A44&lt;InsertFittings!$A$185,VLOOKUP($A44,InsertFittings!$A$9:$M$184,10,FALSE),
IF($A44&lt;Valves!$A$92,VLOOKUP($A44,Valves!$A$9:$Q$91,14,FALSE),
IF($A44&lt;SDR35SW!$A$133,VLOOKUP($A44,SDR35SW!$A$9:$M$132,10,FALSE),
IF($A44&lt;SDR35G!$A$151,VLOOKUP($A44,SDR35G!$A$9:$M$150,10,FALSE),
IF($A44&lt;SDR26G!$A$67,VLOOKUP($A44,SDR26G!$A$9:$N$66,11,FALSE),
IF($A44&lt;Cements!$A$95,VLOOKUP($A44,Cements!$A$8:$Q$94,14,FALSE),
IF($A44&lt;ValveBox!$A$124,VLOOKUP($A44,ValveBox!$A$9:$O$123,12,FALSE),
IF($A44&lt;'ValveBox Components'!$A$142,VLOOKUP($A44,'ValveBox Components'!$A$9:$N$141,11,FALSE),
IF($A44&lt;Drainage!$A$69,VLOOKUP($A44,Drainage!$A$8:$M$68,10,FALSE),
IF($A44&lt;Nipples!$A$82,VLOOKUP($A44,Nipples!$A$9:$Q$81,14,FALSE),
IF($A44&lt;Manifold!$A$33,VLOOKUP($A44,Manifold!$A$9:$M$32,10,FALSE),
IF($A44&lt;FlexibleRepairCouplings!$A$12,VLOOKUP($A44,FlexibleRepairCouplings!$A$9:$M$11,10,FALSE),
IF($A44&lt;DuraFix!$A$15,VLOOKUP($A44,DuraFix!$A$9:$M$14,10,FALSE),
IF($A44&lt;'Compression Fittings'!$A$16,VLOOKUP($A44,'Compression Fittings'!$A$8:$M$15,10,FALSE),
IF($A44&lt;'Hose Fittings'!$A$30,VLOOKUP($A44,'Hose Fittings'!$A$8:$M$29,10,FALSE),
IF($A44&lt;'Swing Joints'!$A$495,VLOOKUP($A44,'Swing Joints'!$A$9:$M$494,10,FALSE),
IF($A44&lt;'Swing Joints Components'!$A$135,VLOOKUP($A44,'Swing Joints Components'!$A$9:$M$134,10,FALSE),
IF($A44&lt;Nonstandard!$A$42,VLOOKUP($A44,Nonstandard!$A$31:$J$41,10,FALSE),"")))))))))))))))))))))))))))),"")</f>
        <v/>
      </c>
      <c r="L44" s="539" t="str">
        <f t="shared" si="0"/>
        <v>-</v>
      </c>
      <c r="M44" s="542"/>
    </row>
    <row r="45" spans="1:13" ht="15.6">
      <c r="A45" s="312">
        <v>13</v>
      </c>
      <c r="B45" s="312" t="str">
        <f>IFERROR(IF($A45&lt;'DWV PVC'!$A$317,VLOOKUP($A45,'DWV PVC'!$A$9:$M$316,4,FALSE),
IF($A45&lt;'DWV ABS'!$A$117,VLOOKUP($A45,'DWV ABS'!$A$8:$M$116,4,FALSE),
IF($A45&lt;'PVC SCH40'!$A$425,VLOOKUP($A45,'PVC SCH40'!$A$8:$M$424,4,FALSE),
IF($A45&lt;'PVC SCH40 LD'!$A$22,VLOOKUP($A45,'PVC SCH40 LD'!$A$8:$M$21,4,FALSE),
IF($A45&lt;'Pool &amp; SPA Sweep Elbows'!$A$12,VLOOKUP($A45,'Pool &amp; SPA Sweep Elbows'!$A$8:$M$11,4,FALSE),
IF($A45&lt;'Pool &amp; SPA Pipe Extender'!$A$11,VLOOKUP($A45,'Pool &amp; SPA Pipe Extender'!$A$8:$M$10,4,FALSE),
IF($A45&lt;'PVC SCH80'!$A$250,VLOOKUP($A45,'PVC SCH80'!$A$8:$M$249,4,FALSE),
IF($A45&lt;'PVC SCH80 Flange'!$A$49,VLOOKUP($A45,'PVC SCH80 Flange'!$A$8:$M$48,4,FALSE),
IF($A45&lt;'PVC SCH80 LD Flange'!$A$17,VLOOKUP($A45,'PVC SCH80 LD Flange'!$A$8:$M$16,4,FALSE),
IF($A45&lt;CPVC!$A$105,VLOOKUP($A45,CPVC!$A$9:$M$104,4,FALSE),
IF($A45&lt;InsertFittings!$A$185,VLOOKUP($A45,InsertFittings!$A$9:$M$184,4,FALSE),
IF($A45&lt;Valves!$A$92,VLOOKUP($A45,Valves!$A$9:$Q$91,4,FALSE),
IF($A45&lt;SDR35SW!$A$133,VLOOKUP($A45,SDR35SW!$A$9:$M$132,4,FALSE),
IF($A45&lt;SDR35G!$A$151,VLOOKUP($A45,SDR35G!$A$9:$M$150,4,FALSE),
IF($A45&lt;SDR26G!$A$67,VLOOKUP($A45,SDR26G!$A$9:$N$66,5,FALSE),
IF($A45&lt;Cements!$A$95,VLOOKUP($A45,Cements!$A$8:$Q$94,4,FALSE),
IF($A45&lt;ValveBox!$A$124,VLOOKUP($A45,ValveBox!$A$9:$O$123,4,FALSE),
IF($A45&lt;'ValveBox Components'!$A$142,VLOOKUP($A45,'ValveBox Components'!$A$9:$N$141,4,FALSE),
IF($A45&lt;Drainage!$A$69,VLOOKUP($A45,Drainage!$A$8:$M$68,4,FALSE),
IF($A45&lt;Nipples!$A$82,VLOOKUP($A45,Nipples!$A$9:$Q$81,4,FALSE),
IF($A45&lt;Manifold!$A$33,VLOOKUP($A45,Manifold!$A$9:$M$32,4,FALSE),
IF($A45&lt;FlexibleRepairCouplings!$A$12,VLOOKUP($A45,FlexibleRepairCouplings!$A$9:$M$11,4,FALSE),
IF($A45&lt;DuraFix!$A$15,VLOOKUP($A45,DuraFix!$A$9:$M$14,4,FALSE),
IF($A45&lt;'Compression Fittings'!$A$16,VLOOKUP($A45,'Compression Fittings'!$A$8:$M$15,4,FALSE),
IF($A45&lt;'Hose Fittings'!$A$30,VLOOKUP($A45,'Hose Fittings'!$A$8:$M$29,4,FALSE),
IF($A45&lt;'Swing Joints'!$A$495,VLOOKUP($A45,'Swing Joints'!$A$9:$M$494,4,FALSE),
IF($A45&lt;'Swing Joints Components'!$A$135,VLOOKUP($A45,'Swing Joints Components'!$A$9:$M$134,4,FALSE),
IF($A45&lt;Nonstandard!$A$42,VLOOKUP($A45,Nonstandard!$A$31:$J$41,5,FALSE),"")))))))))))))))))))))))))))),"")</f>
        <v/>
      </c>
      <c r="C45" s="312" t="str">
        <f>IFERROR(IF($A45&lt;'DWV PVC'!$A$317,VLOOKUP($A45,'DWV PVC'!$A$9:$M$316,5,FALSE),
IF($A45&lt;'DWV ABS'!$A$117,VLOOKUP($A45,'DWV ABS'!$A$8:$M$116,5,FALSE),
IF($A45&lt;'PVC SCH40'!$A$425,VLOOKUP($A45,'PVC SCH40'!$A$8:$M$424,5,FALSE),
IF($A45&lt;'PVC SCH40 LD'!$A$22,VLOOKUP($A45,'PVC SCH40 LD'!$A$8:$M$21,5,FALSE),
IF($A45&lt;'Pool &amp; SPA Sweep Elbows'!$A$12,VLOOKUP($A45,'Pool &amp; SPA Sweep Elbows'!$A$8:$M$11,5,FALSE),
IF($A45&lt;'Pool &amp; SPA Pipe Extender'!$A$11,VLOOKUP($A45,'Pool &amp; SPA Pipe Extender'!$A$8:$M$10,5,FALSE),
IF($A45&lt;'PVC SCH80'!$A$250,VLOOKUP($A45,'PVC SCH80'!$A$8:$M$249,5,FALSE),
IF($A45&lt;'PVC SCH80 Flange'!$A$49,VLOOKUP($A45,'PVC SCH80 Flange'!$A$8:$M$48,5,FALSE),
IF($A45&lt;'PVC SCH80 LD Flange'!$A$17,VLOOKUP($A45,'PVC SCH80 LD Flange'!$A$8:$M$16,5,FALSE),
IF($A45&lt;CPVC!$A$105,VLOOKUP($A45,CPVC!$A$9:$M$104,5,FALSE),
IF($A45&lt;InsertFittings!$A$185,VLOOKUP($A45,InsertFittings!$A$9:$M$184,5,FALSE),
IF($A45&lt;Valves!$A$92,VLOOKUP($A45,Valves!$A$9:$Q$91,5,FALSE),
IF($A45&lt;SDR35SW!$A$133,VLOOKUP($A45,SDR35SW!$A$9:$M$132,5,FALSE),
IF($A45&lt;SDR35G!$A$151,VLOOKUP($A45,SDR35G!$A$9:$M$150,5,FALSE),
IF($A45&lt;SDR26G!$A$67,VLOOKUP($A45,SDR26G!$A$9:$N$66,6,FALSE),
IF($A45&lt;Cements!$A$95,VLOOKUP($A45,Cements!$A$8:$Q$94,5,FALSE),
IF($A45&lt;ValveBox!$A$124,VLOOKUP($A45,ValveBox!$A$9:$O$123,5,FALSE),
IF($A45&lt;'ValveBox Components'!$A$142,VLOOKUP($A45,'ValveBox Components'!$A$9:$N$141,5,FALSE),
IF($A45&lt;Drainage!$A$69,VLOOKUP($A45,Drainage!$A$8:$M$68,5,FALSE),
IF($A45&lt;Nipples!$A$82,VLOOKUP($A45,Nipples!$A$9:$Q$81,5,FALSE),
IF($A45&lt;Manifold!$A$33,VLOOKUP($A45,Manifold!$A$9:$M$32,5,FALSE),
IF($A45&lt;FlexibleRepairCouplings!$A$12,VLOOKUP($A45,FlexibleRepairCouplings!$A$9:$M$11,5,FALSE),
IF($A45&lt;DuraFix!$A$15,VLOOKUP($A45,DuraFix!$A$9:$M$14,5,FALSE),
IF($A45&lt;'Compression Fittings'!$A$16,VLOOKUP($A45,'Compression Fittings'!$A$8:$M$15,5,FALSE),
IF($A45&lt;'Hose Fittings'!$A$30,VLOOKUP($A45,'Hose Fittings'!$A$8:$M$29,5,FALSE),
IF($A45&lt;'Swing Joints'!$A$495,VLOOKUP($A45,'Swing Joints'!$A$9:$M$494,5,FALSE),
IF($A45&lt;'Swing Joints Components'!$A$135,VLOOKUP($A45,'Swing Joints Components'!$A$9:$M$134,5,FALSE),
IF($A45&lt;Nonstandard!$A$42,VLOOKUP($A45,Nonstandard!$A$31:$J$41,6,FALSE),"")))))))))))))))))))))))))))),"")</f>
        <v/>
      </c>
      <c r="D45" s="534" t="str">
        <f>IFERROR(IF($A45&lt;'DWV PVC'!$A$317,VLOOKUP($A45,'DWV PVC'!$A$9:$M$316,6,FALSE),
IF($A45&lt;'DWV ABS'!$A$117,VLOOKUP($A45,'DWV ABS'!$A$8:$M$116,6,FALSE),
IF($A45&lt;'PVC SCH40'!$A$425,VLOOKUP($A45,'PVC SCH40'!$A$8:$M$424,6,FALSE),
IF($A45&lt;'PVC SCH40 LD'!$A$22,VLOOKUP($A45,'PVC SCH40 LD'!$A$8:$M$21,6,FALSE),
IF($A45&lt;'Pool &amp; SPA Sweep Elbows'!$A$12,VLOOKUP($A45,'Pool &amp; SPA Sweep Elbows'!$A$8:$M$11,6,FALSE),
IF($A45&lt;'Pool &amp; SPA Pipe Extender'!$A$11,VLOOKUP($A45,'Pool &amp; SPA Pipe Extender'!$A$8:$M$10,6,FALSE),
IF($A45&lt;'PVC SCH80'!$A$250,VLOOKUP($A45,'PVC SCH80'!$A$8:$M$249,6,FALSE),
IF($A45&lt;'PVC SCH80 Flange'!$A$49,VLOOKUP($A45,'PVC SCH80 Flange'!$A$8:$M$48,6,FALSE),
IF($A45&lt;'PVC SCH80 LD Flange'!$A$17,VLOOKUP($A45,'PVC SCH80 LD Flange'!$A$8:$M$16,6,FALSE),
IF($A45&lt;CPVC!$A$105,VLOOKUP($A45,CPVC!$A$9:$M$104,6,FALSE),
IF($A45&lt;InsertFittings!$A$185,VLOOKUP($A45,InsertFittings!$A$9:$M$184,6,FALSE),
IF($A45&lt;Valves!$A$92,VLOOKUP($A45,Valves!$A$9:$Q$91,6,FALSE),
IF($A45&lt;SDR35SW!$A$133,VLOOKUP($A45,SDR35SW!$A$9:$M$132,6,FALSE),
IF($A45&lt;SDR35G!$A$151,VLOOKUP($A45,SDR35G!$A$9:$M$150,6,FALSE),
IF($A45&lt;SDR26G!$A$67,VLOOKUP($A45,SDR26G!$A$9:$N$66,7,FALSE),
IF($A45&lt;Cements!$A$95,VLOOKUP($A45,Cements!$A$8:$Q$94,6,FALSE),
IF($A45&lt;ValveBox!$A$124,VLOOKUP($A45,ValveBox!$A$9:$O$123,6,FALSE),
IF($A45&lt;'ValveBox Components'!$A$142,VLOOKUP($A45,'ValveBox Components'!$A$9:$N$141,6,FALSE),
IF($A45&lt;Drainage!$A$69,VLOOKUP($A45,Drainage!$A$8:$M$68,6,FALSE),
IF($A45&lt;Nipples!$A$82,VLOOKUP($A45,Nipples!$A$9:$Q$81,6,FALSE),
IF($A45&lt;Manifold!$A$33,VLOOKUP($A45,Manifold!$A$9:$M$32,6,FALSE),
IF($A45&lt;FlexibleRepairCouplings!$A$12,VLOOKUP($A45,FlexibleRepairCouplings!$A$9:$M$11,6,FALSE),
IF($A45&lt;DuraFix!$A$15,VLOOKUP($A45,DuraFix!$A$9:$M$14,6,FALSE),
IF($A45&lt;'Compression Fittings'!$A$16,VLOOKUP($A45,'Compression Fittings'!$A$8:$M$15,6,FALSE),
IF($A45&lt;'Hose Fittings'!$A$30,VLOOKUP($A45,'Hose Fittings'!$A$8:$M$29,6,FALSE),
IF($A45&lt;'Swing Joints'!$A$495,VLOOKUP($A45,'Swing Joints'!$A$9:$M$494,6,FALSE),
IF($A45&lt;'Swing Joints Components'!$A$135,VLOOKUP($A45,'Swing Joints Components'!$A$9:$M$134,6,FALSE),
IF($A45&lt;Nonstandard!$A$42,VLOOKUP($A45,Nonstandard!$A$31:$J$41,7,FALSE),"")))))))))))))))))))))))))))),"")</f>
        <v/>
      </c>
      <c r="E45" s="316"/>
      <c r="F45" s="314" t="str">
        <f>IFERROR(IF($A45&lt;'DWV PVC'!$A$317,VLOOKUP($A45,'DWV PVC'!$A$9:$M$316,9,FALSE),
IF($A45&lt;'DWV ABS'!$A$117,VLOOKUP($A45,'DWV ABS'!$A$8:$M$116,9,FALSE),                                                                                                                                                                                                                                                     IF($A45&lt;'PVC SCH40'!$A$425,VLOOKUP($A45,'PVC SCH40'!$A$8:$M$424,9,FALSE),
IF($A45&lt;'PVC SCH40 LD'!$A$22,VLOOKUP($A45,'PVC SCH40 LD'!$A$8:$M$21,9,FALSE),
IF($A45&lt;'Pool &amp; SPA Sweep Elbows'!$A$12,VLOOKUP($A45,'Pool &amp; SPA Sweep Elbows'!$A$8:$M$11,9,FALSE),
IF($A45&lt;'Pool &amp; SPA Pipe Extender'!$A$11,VLOOKUP($A45,'Pool &amp; SPA Pipe Extender'!$A$8:$M$10,9,FALSE),
IF($A45&lt;'PVC SCH80'!$A$250,VLOOKUP($A45,'PVC SCH80'!$A$8:$M$249,9,FALSE),
IF($A45&lt;'PVC SCH80 Flange'!$A$49,VLOOKUP($A45,'PVC SCH80 Flange'!$A$8:$M$48,9,FALSE),
IF($A45&lt;'PVC SCH80 LD Flange'!$A$17,VLOOKUP($A45,'PVC SCH80 LD Flange'!$A$8:$M$16,9,FALSE),
IF($A45&lt;CPVC!$A$105,VLOOKUP($A45,CPVC!$A$9:$M$104,9,FALSE),
IF($A45&lt;InsertFittings!$A$185,VLOOKUP($A45,InsertFittings!$A$9:$M$184,9,FALSE),
IF($A45&lt;Valves!$A$92,VLOOKUP($A45,Valves!$A$9:$Q$91,13,FALSE),
IF($A45&lt;SDR35SW!$A$133,VLOOKUP($A45,SDR35SW!$A$9:$M$132,9,FALSE),
IF($A45&lt;SDR35G!$A$151,VLOOKUP($A45,SDR35G!$A$9:$M$150,9,FALSE),                                                                                                                                                                                                                                                          IF($A45&lt;SDR26G!$A$67,VLOOKUP($A45,SDR26G!$A$9:$N$66,10,FALSE),                                                                                                                                                                                                                                                       IF($A45&lt;Cements!$A$95,VLOOKUP($A45,Cements!$A$8:$Q$94,13,FALSE),
IF($A45&lt;ValveBox!$A$124,VLOOKUP($A45,ValveBox!$A$9:$O$123,11,FALSE),
IF($A45&lt;'ValveBox Components'!$A$142,VLOOKUP($A45,'ValveBox Components'!$A$9:$N$141,10,FALSE),
IF($A45&lt;Drainage!$A$69,VLOOKUP($A45,Drainage!$A$8:$M$68,9,FALSE),                                                                                                                                                                                                                                                              IF($A45&lt;Nipples!$A$82,VLOOKUP($A45,Nipples!$A$9:$Q$81,13,FALSE),
IF($A45&lt;Manifold!$A$33,VLOOKUP($A45,Manifold!$A$9:$M$32,9,FALSE),
IF($A45&lt;FlexibleRepairCouplings!$A$12,VLOOKUP($A45,FlexibleRepairCouplings!$A$9:$M$11,9,FALSE),
IF($A45&lt;DuraFix!$A$15,VLOOKUP($A45,DuraFix!$A$9:$M$14,9,FALSE),                                                                                                                                                                                                                                                          IF($A45&lt;'Compression Fittings'!$A$16,VLOOKUP($A45,'Compression Fittings'!$A$8:$M$15,9,FALSE),
IF($A45&lt;'Hose Fittings'!$A$30,VLOOKUP($A45,'Hose Fittings'!$A$8:$M$29,9,FALSE),
IF($A45&lt;'Swing Joints'!$A$495,VLOOKUP($A45,'Swing Joints'!$A$9:$M$494,9,FALSE),
IF($A45&lt;'Swing Joints Components'!$A$135,VLOOKUP($A45,'Swing Joints Components'!$A$9:$M$134,9,FALSE),
IF($A45&lt;Nonstandard!$A$42,VLOOKUP($A45,Nonstandard!$A$31:$J$41,8,FALSE),"")))))))))))))))))))))))))))),"")</f>
        <v/>
      </c>
      <c r="G45" s="533" t="str">
        <f>IFERROR(IF($A45&lt;'DWV PVC'!$A$317,VLOOKUP($A45,'DWV PVC'!$A$9:$M$316,11,FALSE),
IF($A45&lt;'DWV ABS'!$A$117,VLOOKUP($A45,'DWV ABS'!$A$8:$M$116,11,FALSE),                                                                                                                                                                                                                                                     IF($A45&lt;'PVC SCH40'!$A$425,VLOOKUP($A45,'PVC SCH40'!$A$8:$M$424,11,FALSE),
IF($A45&lt;'PVC SCH40 LD'!$A$22,VLOOKUP($A45,'PVC SCH40 LD'!$A$8:$M$21,11,FALSE),
IF($A45&lt;'Pool &amp; SPA Sweep Elbows'!$A$12,VLOOKUP($A45,'Pool &amp; SPA Sweep Elbows'!$A$8:$M$11,11,FALSE),
IF($A45&lt;'Pool &amp; SPA Pipe Extender'!$A$11,VLOOKUP($A45,'Pool &amp; SPA Pipe Extender'!$A$8:$M$10,11,FALSE),
IF($A45&lt;'PVC SCH80'!$A$250,VLOOKUP($A45,'PVC SCH80'!$A$8:$M$249,11,FALSE),
IF($A45&lt;'PVC SCH80 Flange'!$A$49,VLOOKUP($A45,'PVC SCH80 Flange'!$A$8:$M$48,11,FALSE),
IF($A45&lt;'PVC SCH80 LD Flange'!$A$17,VLOOKUP($A45,'PVC SCH80 LD Flange'!$A$8:$M$16,11,FALSE),
IF($A45&lt;CPVC!$A$105,VLOOKUP($A45,CPVC!$A$9:$M$104,11,FALSE),
IF($A45&lt;InsertFittings!$A$185,VLOOKUP($A45,InsertFittings!$A$9:$M$184,11,FALSE),
IF($A45&lt;Valves!$A$92,VLOOKUP($A45,Valves!$A$9:$Q$91,15,FALSE),
IF($A45&lt;SDR35SW!$A$133,VLOOKUP($A45,SDR35SW!$A$9:$M$132,11,FALSE),
IF($A45&lt;SDR35G!$A$151,VLOOKUP($A45,SDR35G!$A$9:$M$150,11,FALSE),                                                                                                                                                                                                                                                          IF($A45&lt;SDR26G!$A$67,VLOOKUP($A45,SDR26G!$A$9:$N$66,12,FALSE),                                                                                                                                                                                                                                                       IF($A45&lt;Cements!$A$95,VLOOKUP($A45,Cements!$A$8:$Q$94,15,FALSE),
IF($A45&lt;ValveBox!$A$124,VLOOKUP($A45,ValveBox!$A$9:$O$123,13,FALSE),
IF($A45&lt;'ValveBox Components'!$A$142,VLOOKUP($A45,'ValveBox Components'!$A$9:$N$141,12,FALSE),
IF($A45&lt;Drainage!$A$69,VLOOKUP($A45,Drainage!$A$8:$M$68,11,FALSE),                                                                                                                                                                                                                                                           IF($A45&lt;Nipples!$A$82,VLOOKUP($A45,Nipples!$A$9:$Q$81,15,FALSE),
IF($A45&lt;Manifold!$A$33,VLOOKUP($A45,Manifold!$A$9:$M$32,11,FALSE),
IF($A45&lt;FlexibleRepairCouplings!$A$12,VLOOKUP($A45,FlexibleRepairCouplings!$A$9:$M$11,11,FALSE),
IF($A45&lt;DuraFix!$A$15,VLOOKUP($A45,DuraFix!$A$9:$M$14,11,FALSE),                                                                                                                                                                                                                                                            IF($A45&lt;'Compression Fittings'!$A$16,VLOOKUP($A45,'Compression Fittings'!$A$8:$M$15,11,FALSE),
IF($A45&lt;'Hose Fittings'!$A$30,VLOOKUP($A45,'Hose Fittings'!$A$8:$M$29,11,FALSE),
IF($A45&lt;'Swing Joints'!$A$495,VLOOKUP($A45,'Swing Joints'!$A$9:$M$494,11,FALSE),
IF($A45&lt;'Swing Joints Components'!$A$135,VLOOKUP($A45,'Swing Joints Components'!$A$9:$M$134,11,FALSE),
IF($A45&lt;Nonstandard!$A$42,VLOOKUP($A45,Nonstandard!$A$31:$J$41,10,FALSE),"")))))))))))))))))))))))))))),"")</f>
        <v/>
      </c>
      <c r="H45" s="618" t="str">
        <f>IFERROR(IF($A45&lt;'DWV PVC'!$A$317,VLOOKUP($A45,'DWV PVC'!$A$9:$M$316,7,FALSE),
IF($A45&lt;'DWV ABS'!$A$117,VLOOKUP($A45,'DWV ABS'!$A$8:$M$116,11,FALSE),                                                                                                                                                                                                                                                     IF($A45&lt;'PVC SCH40'!$A$425,VLOOKUP($A45,'PVC SCH40'!$A$8:$M$424,7,FALSE),
IF($A45&lt;'PVC SCH40 LD'!$A$22,VLOOKUP($A45,'PVC SCH40 LD'!$A$8:$M$21,7,FALSE),
IF($A45&lt;'Pool &amp; SPA Sweep Elbows'!$A$12,VLOOKUP($A45,'Pool &amp; SPA Sweep Elbows'!$A$8:$M$11,7,FALSE),
IF($A45&lt;'Pool &amp; SPA Pipe Extender'!$A$11,VLOOKUP($A45,'Pool &amp; SPA Pipe Extender'!$A$8:$M$10,7,FALSE),
IF($A45&lt;'PVC SCH80'!$A$250,VLOOKUP($A45,'PVC SCH80'!$A$8:$M$249,7,FALSE),
IF($A45&lt;'PVC SCH80 Flange'!$A$49,VLOOKUP($A45,'PVC SCH80 Flange'!$A$8:$M$48,7,FALSE),
IF($A45&lt;'PVC SCH80 LD Flange'!$A$17,VLOOKUP($A45,'PVC SCH80 LD Flange'!$A$8:$M$16,7,FALSE),
IF($A45&lt;CPVC!$A$105,VLOOKUP($A45,CPVC!$A$9:$M$104,7,FALSE),
IF($A45&lt;InsertFittings!$A$185,VLOOKUP($A45,InsertFittings!$A$9:$M$184,7,FALSE),
IF($A45&lt;Valves!$A$92,VLOOKUP($A45,Valves!$A$9:$Q$91,11,FALSE),
IF($A45&lt;SDR35SW!$A$133,VLOOKUP($A45,SDR35SW!$A$9:$M$132,7,FALSE),
IF($A45&lt;SDR35G!$A$151,VLOOKUP($A45,SDR35G!$A$9:$M$150,7,FALSE),                                                                                                                                                                                                                                                       IF($A45&lt;SDR26G!$A$67,VLOOKUP($A45,SDR26G!$A$9:$N$66,8,FALSE),                                                                                                                                                                                                                                                     IF($A45&lt;Cements!$A$95,VLOOKUP($A45,Cements!$A$8:$Q$94,11,FALSE),
IF($A45&lt;ValveBox!$A$124,VLOOKUP($A45,ValveBox!$A$9:$O$123,10,FALSE),
IF($A45&lt;'ValveBox Components'!$A$142,VLOOKUP($A45,'ValveBox Components'!$A$9:$N$141,9,FALSE),
IF($A45&lt;Drainage!$A$69,VLOOKUP($A45,Drainage!$A$8:$M$68,7,FALSE),                                                                                                                                                                                                                                                          IF($A45&lt;Nipples!$A$82,VLOOKUP($A45,Nipples!$A$9:$Q$81,11,FALSE),
IF($A45&lt;Manifold!$A$33,VLOOKUP($A45,Manifold!$A$9:$M$32,7,FALSE),
IF($A45&lt;FlexibleRepairCouplings!$A$12,VLOOKUP($A45,FlexibleRepairCouplings!$A$9:$M$11,7,FALSE),
IF($A45&lt;DuraFix!$A$15,VLOOKUP($A45,DuraFix!$A$9:$M$14,7,FALSE),                                                                                                                                                                                                                                                           IF($A45&lt;'Compression Fittings'!$A$16,VLOOKUP($A45,'Compression Fittings'!$A$8:$M$15,7,FALSE),
IF($A45&lt;'Hose Fittings'!$A$30,VLOOKUP($A45,'Hose Fittings'!$A$8:$M$29,7,FALSE),
IF($A45&lt;'Swing Joints'!$A$495,VLOOKUP($A45,'Swing Joints'!$A$9:$M$494,7,FALSE),
IF($A45&lt;'Swing Joints Components'!$A$135,VLOOKUP($A45,'Swing Joints Components'!$A$9:$M$134,7,FALSE),
IF($A45&lt;Nonstandard!$A$42,VLOOKUP($A45,Nonstandard!$A$31:$J$41,10,FALSE),"")))))))))))))))))))))))))))),"")</f>
        <v/>
      </c>
      <c r="I45" s="619"/>
      <c r="J45" s="281" t="str">
        <f t="shared" si="1"/>
        <v/>
      </c>
      <c r="K45" s="313" t="str">
        <f>IFERROR(IF($A45&lt;'DWV PVC'!$A$317,VLOOKUP($A45,'DWV PVC'!$A$9:$M$316,10,FALSE),
IF($A45&lt;'DWV ABS'!$A$117,VLOOKUP($A45,'DWV ABS'!$A$8:$M$116,10,FALSE),
IF($A45&lt;'PVC SCH40'!$A$425,VLOOKUP($A45,'PVC SCH40'!$A$8:$M$424,10,FALSE),
IF($A45&lt;'PVC SCH40 LD'!$A$22,VLOOKUP($A45,'PVC SCH40 LD'!$A$8:$M$21,10,FALSE),
IF($A45&lt;'Pool &amp; SPA Sweep Elbows'!$A$12,VLOOKUP($A45,'Pool &amp; SPA Sweep Elbows'!$A$8:$M$11,10,FALSE),
IF($A45&lt;'Pool &amp; SPA Pipe Extender'!$A$11,VLOOKUP($A45,'Pool &amp; SPA Pipe Extender'!$A$8:$M$10,10,FALSE),
IF($A45&lt;'PVC SCH80'!$A$250,VLOOKUP($A45,'PVC SCH80'!$A$8:$M$249,10,FALSE),
IF($A45&lt;'PVC SCH80 Flange'!$A$49,VLOOKUP($A45,'PVC SCH80 Flange'!$A$8:$M$48,10,FALSE),
IF($A45&lt;'PVC SCH80 LD Flange'!$A$17,VLOOKUP($A45,'PVC SCH80 LD Flange'!$A$8:$M$16,10,FALSE),
IF($A45&lt;CPVC!$A$105,VLOOKUP($A45,CPVC!$A$9:$M$104,10,FALSE),
IF($A45&lt;InsertFittings!$A$185,VLOOKUP($A45,InsertFittings!$A$9:$M$184,10,FALSE),
IF($A45&lt;Valves!$A$92,VLOOKUP($A45,Valves!$A$9:$Q$91,14,FALSE),
IF($A45&lt;SDR35SW!$A$133,VLOOKUP($A45,SDR35SW!$A$9:$M$132,10,FALSE),
IF($A45&lt;SDR35G!$A$151,VLOOKUP($A45,SDR35G!$A$9:$M$150,10,FALSE),
IF($A45&lt;SDR26G!$A$67,VLOOKUP($A45,SDR26G!$A$9:$N$66,11,FALSE),
IF($A45&lt;Cements!$A$95,VLOOKUP($A45,Cements!$A$8:$Q$94,14,FALSE),
IF($A45&lt;ValveBox!$A$124,VLOOKUP($A45,ValveBox!$A$9:$O$123,12,FALSE),
IF($A45&lt;'ValveBox Components'!$A$142,VLOOKUP($A45,'ValveBox Components'!$A$9:$N$141,11,FALSE),
IF($A45&lt;Drainage!$A$69,VLOOKUP($A45,Drainage!$A$8:$M$68,10,FALSE),
IF($A45&lt;Nipples!$A$82,VLOOKUP($A45,Nipples!$A$9:$Q$81,14,FALSE),
IF($A45&lt;Manifold!$A$33,VLOOKUP($A45,Manifold!$A$9:$M$32,10,FALSE),
IF($A45&lt;FlexibleRepairCouplings!$A$12,VLOOKUP($A45,FlexibleRepairCouplings!$A$9:$M$11,10,FALSE),
IF($A45&lt;DuraFix!$A$15,VLOOKUP($A45,DuraFix!$A$9:$M$14,10,FALSE),
IF($A45&lt;'Compression Fittings'!$A$16,VLOOKUP($A45,'Compression Fittings'!$A$8:$M$15,10,FALSE),
IF($A45&lt;'Hose Fittings'!$A$30,VLOOKUP($A45,'Hose Fittings'!$A$8:$M$29,10,FALSE),
IF($A45&lt;'Swing Joints'!$A$495,VLOOKUP($A45,'Swing Joints'!$A$9:$M$494,10,FALSE),
IF($A45&lt;'Swing Joints Components'!$A$135,VLOOKUP($A45,'Swing Joints Components'!$A$9:$M$134,10,FALSE),
IF($A45&lt;Nonstandard!$A$42,VLOOKUP($A45,Nonstandard!$A$31:$J$41,10,FALSE),"")))))))))))))))))))))))))))),"")</f>
        <v/>
      </c>
      <c r="L45" s="314" t="str">
        <f t="shared" si="0"/>
        <v>-</v>
      </c>
      <c r="M45" s="315"/>
    </row>
    <row r="46" spans="1:13" ht="15.6">
      <c r="A46" s="536">
        <v>14</v>
      </c>
      <c r="B46" s="536" t="str">
        <f>IFERROR(IF($A46&lt;'DWV PVC'!$A$317,VLOOKUP($A46,'DWV PVC'!$A$9:$M$316,4,FALSE),
IF($A46&lt;'DWV ABS'!$A$117,VLOOKUP($A46,'DWV ABS'!$A$8:$M$116,4,FALSE),
IF($A46&lt;'PVC SCH40'!$A$425,VLOOKUP($A46,'PVC SCH40'!$A$8:$M$424,4,FALSE),
IF($A46&lt;'PVC SCH40 LD'!$A$22,VLOOKUP($A46,'PVC SCH40 LD'!$A$8:$M$21,4,FALSE),
IF($A46&lt;'Pool &amp; SPA Sweep Elbows'!$A$12,VLOOKUP($A46,'Pool &amp; SPA Sweep Elbows'!$A$8:$M$11,4,FALSE),
IF($A46&lt;'Pool &amp; SPA Pipe Extender'!$A$11,VLOOKUP($A46,'Pool &amp; SPA Pipe Extender'!$A$8:$M$10,4,FALSE),
IF($A46&lt;'PVC SCH80'!$A$250,VLOOKUP($A46,'PVC SCH80'!$A$8:$M$249,4,FALSE),
IF($A46&lt;'PVC SCH80 Flange'!$A$49,VLOOKUP($A46,'PVC SCH80 Flange'!$A$8:$M$48,4,FALSE),
IF($A46&lt;'PVC SCH80 LD Flange'!$A$17,VLOOKUP($A46,'PVC SCH80 LD Flange'!$A$8:$M$16,4,FALSE),
IF($A46&lt;CPVC!$A$105,VLOOKUP($A46,CPVC!$A$9:$M$104,4,FALSE),
IF($A46&lt;InsertFittings!$A$185,VLOOKUP($A46,InsertFittings!$A$9:$M$184,4,FALSE),
IF($A46&lt;Valves!$A$92,VLOOKUP($A46,Valves!$A$9:$Q$91,4,FALSE),
IF($A46&lt;SDR35SW!$A$133,VLOOKUP($A46,SDR35SW!$A$9:$M$132,4,FALSE),
IF($A46&lt;SDR35G!$A$151,VLOOKUP($A46,SDR35G!$A$9:$M$150,4,FALSE),
IF($A46&lt;SDR26G!$A$67,VLOOKUP($A46,SDR26G!$A$9:$N$66,5,FALSE),
IF($A46&lt;Cements!$A$95,VLOOKUP($A46,Cements!$A$8:$Q$94,4,FALSE),
IF($A46&lt;ValveBox!$A$124,VLOOKUP($A46,ValveBox!$A$9:$O$123,4,FALSE),
IF($A46&lt;'ValveBox Components'!$A$142,VLOOKUP($A46,'ValveBox Components'!$A$9:$N$141,4,FALSE),
IF($A46&lt;Drainage!$A$69,VLOOKUP($A46,Drainage!$A$8:$M$68,4,FALSE),
IF($A46&lt;Nipples!$A$82,VLOOKUP($A46,Nipples!$A$9:$Q$81,4,FALSE),
IF($A46&lt;Manifold!$A$33,VLOOKUP($A46,Manifold!$A$9:$M$32,4,FALSE),
IF($A46&lt;FlexibleRepairCouplings!$A$12,VLOOKUP($A46,FlexibleRepairCouplings!$A$9:$M$11,4,FALSE),
IF($A46&lt;DuraFix!$A$15,VLOOKUP($A46,DuraFix!$A$9:$M$14,4,FALSE),
IF($A46&lt;'Compression Fittings'!$A$16,VLOOKUP($A46,'Compression Fittings'!$A$8:$M$15,4,FALSE),
IF($A46&lt;'Hose Fittings'!$A$30,VLOOKUP($A46,'Hose Fittings'!$A$8:$M$29,4,FALSE),
IF($A46&lt;'Swing Joints'!$A$495,VLOOKUP($A46,'Swing Joints'!$A$9:$M$494,4,FALSE),
IF($A46&lt;'Swing Joints Components'!$A$135,VLOOKUP($A46,'Swing Joints Components'!$A$9:$M$134,4,FALSE),
IF($A46&lt;Nonstandard!$A$42,VLOOKUP($A46,Nonstandard!$A$31:$J$41,5,FALSE),"")))))))))))))))))))))))))))),"")</f>
        <v/>
      </c>
      <c r="C46" s="536" t="str">
        <f>IFERROR(IF($A46&lt;'DWV PVC'!$A$317,VLOOKUP($A46,'DWV PVC'!$A$9:$M$316,5,FALSE),
IF($A46&lt;'DWV ABS'!$A$117,VLOOKUP($A46,'DWV ABS'!$A$8:$M$116,5,FALSE),
IF($A46&lt;'PVC SCH40'!$A$425,VLOOKUP($A46,'PVC SCH40'!$A$8:$M$424,5,FALSE),
IF($A46&lt;'PVC SCH40 LD'!$A$22,VLOOKUP($A46,'PVC SCH40 LD'!$A$8:$M$21,5,FALSE),
IF($A46&lt;'Pool &amp; SPA Sweep Elbows'!$A$12,VLOOKUP($A46,'Pool &amp; SPA Sweep Elbows'!$A$8:$M$11,5,FALSE),
IF($A46&lt;'Pool &amp; SPA Pipe Extender'!$A$11,VLOOKUP($A46,'Pool &amp; SPA Pipe Extender'!$A$8:$M$10,5,FALSE),
IF($A46&lt;'PVC SCH80'!$A$250,VLOOKUP($A46,'PVC SCH80'!$A$8:$M$249,5,FALSE),
IF($A46&lt;'PVC SCH80 Flange'!$A$49,VLOOKUP($A46,'PVC SCH80 Flange'!$A$8:$M$48,5,FALSE),
IF($A46&lt;'PVC SCH80 LD Flange'!$A$17,VLOOKUP($A46,'PVC SCH80 LD Flange'!$A$8:$M$16,5,FALSE),
IF($A46&lt;CPVC!$A$105,VLOOKUP($A46,CPVC!$A$9:$M$104,5,FALSE),
IF($A46&lt;InsertFittings!$A$185,VLOOKUP($A46,InsertFittings!$A$9:$M$184,5,FALSE),
IF($A46&lt;Valves!$A$92,VLOOKUP($A46,Valves!$A$9:$Q$91,5,FALSE),
IF($A46&lt;SDR35SW!$A$133,VLOOKUP($A46,SDR35SW!$A$9:$M$132,5,FALSE),
IF($A46&lt;SDR35G!$A$151,VLOOKUP($A46,SDR35G!$A$9:$M$150,5,FALSE),
IF($A46&lt;SDR26G!$A$67,VLOOKUP($A46,SDR26G!$A$9:$N$66,6,FALSE),
IF($A46&lt;Cements!$A$95,VLOOKUP($A46,Cements!$A$8:$Q$94,5,FALSE),
IF($A46&lt;ValveBox!$A$124,VLOOKUP($A46,ValveBox!$A$9:$O$123,5,FALSE),
IF($A46&lt;'ValveBox Components'!$A$142,VLOOKUP($A46,'ValveBox Components'!$A$9:$N$141,5,FALSE),
IF($A46&lt;Drainage!$A$69,VLOOKUP($A46,Drainage!$A$8:$M$68,5,FALSE),
IF($A46&lt;Nipples!$A$82,VLOOKUP($A46,Nipples!$A$9:$Q$81,5,FALSE),
IF($A46&lt;Manifold!$A$33,VLOOKUP($A46,Manifold!$A$9:$M$32,5,FALSE),
IF($A46&lt;FlexibleRepairCouplings!$A$12,VLOOKUP($A46,FlexibleRepairCouplings!$A$9:$M$11,5,FALSE),
IF($A46&lt;DuraFix!$A$15,VLOOKUP($A46,DuraFix!$A$9:$M$14,5,FALSE),
IF($A46&lt;'Compression Fittings'!$A$16,VLOOKUP($A46,'Compression Fittings'!$A$8:$M$15,5,FALSE),
IF($A46&lt;'Hose Fittings'!$A$30,VLOOKUP($A46,'Hose Fittings'!$A$8:$M$29,5,FALSE),
IF($A46&lt;'Swing Joints'!$A$495,VLOOKUP($A46,'Swing Joints'!$A$9:$M$494,5,FALSE),
IF($A46&lt;'Swing Joints Components'!$A$135,VLOOKUP($A46,'Swing Joints Components'!$A$9:$M$134,5,FALSE),
IF($A46&lt;Nonstandard!$A$42,VLOOKUP($A46,Nonstandard!$A$31:$J$41,6,FALSE),"")))))))))))))))))))))))))))),"")</f>
        <v/>
      </c>
      <c r="D46" s="537" t="str">
        <f>IFERROR(IF($A46&lt;'DWV PVC'!$A$317,VLOOKUP($A46,'DWV PVC'!$A$9:$M$316,6,FALSE),
IF($A46&lt;'DWV ABS'!$A$117,VLOOKUP($A46,'DWV ABS'!$A$8:$M$116,6,FALSE),
IF($A46&lt;'PVC SCH40'!$A$425,VLOOKUP($A46,'PVC SCH40'!$A$8:$M$424,6,FALSE),
IF($A46&lt;'PVC SCH40 LD'!$A$22,VLOOKUP($A46,'PVC SCH40 LD'!$A$8:$M$21,6,FALSE),
IF($A46&lt;'Pool &amp; SPA Sweep Elbows'!$A$12,VLOOKUP($A46,'Pool &amp; SPA Sweep Elbows'!$A$8:$M$11,6,FALSE),
IF($A46&lt;'Pool &amp; SPA Pipe Extender'!$A$11,VLOOKUP($A46,'Pool &amp; SPA Pipe Extender'!$A$8:$M$10,6,FALSE),
IF($A46&lt;'PVC SCH80'!$A$250,VLOOKUP($A46,'PVC SCH80'!$A$8:$M$249,6,FALSE),
IF($A46&lt;'PVC SCH80 Flange'!$A$49,VLOOKUP($A46,'PVC SCH80 Flange'!$A$8:$M$48,6,FALSE),
IF($A46&lt;'PVC SCH80 LD Flange'!$A$17,VLOOKUP($A46,'PVC SCH80 LD Flange'!$A$8:$M$16,6,FALSE),
IF($A46&lt;CPVC!$A$105,VLOOKUP($A46,CPVC!$A$9:$M$104,6,FALSE),
IF($A46&lt;InsertFittings!$A$185,VLOOKUP($A46,InsertFittings!$A$9:$M$184,6,FALSE),
IF($A46&lt;Valves!$A$92,VLOOKUP($A46,Valves!$A$9:$Q$91,6,FALSE),
IF($A46&lt;SDR35SW!$A$133,VLOOKUP($A46,SDR35SW!$A$9:$M$132,6,FALSE),
IF($A46&lt;SDR35G!$A$151,VLOOKUP($A46,SDR35G!$A$9:$M$150,6,FALSE),
IF($A46&lt;SDR26G!$A$67,VLOOKUP($A46,SDR26G!$A$9:$N$66,7,FALSE),
IF($A46&lt;Cements!$A$95,VLOOKUP($A46,Cements!$A$8:$Q$94,6,FALSE),
IF($A46&lt;ValveBox!$A$124,VLOOKUP($A46,ValveBox!$A$9:$O$123,6,FALSE),
IF($A46&lt;'ValveBox Components'!$A$142,VLOOKUP($A46,'ValveBox Components'!$A$9:$N$141,6,FALSE),
IF($A46&lt;Drainage!$A$69,VLOOKUP($A46,Drainage!$A$8:$M$68,6,FALSE),
IF($A46&lt;Nipples!$A$82,VLOOKUP($A46,Nipples!$A$9:$Q$81,6,FALSE),
IF($A46&lt;Manifold!$A$33,VLOOKUP($A46,Manifold!$A$9:$M$32,6,FALSE),
IF($A46&lt;FlexibleRepairCouplings!$A$12,VLOOKUP($A46,FlexibleRepairCouplings!$A$9:$M$11,6,FALSE),
IF($A46&lt;DuraFix!$A$15,VLOOKUP($A46,DuraFix!$A$9:$M$14,6,FALSE),
IF($A46&lt;'Compression Fittings'!$A$16,VLOOKUP($A46,'Compression Fittings'!$A$8:$M$15,6,FALSE),
IF($A46&lt;'Hose Fittings'!$A$30,VLOOKUP($A46,'Hose Fittings'!$A$8:$M$29,6,FALSE),
IF($A46&lt;'Swing Joints'!$A$495,VLOOKUP($A46,'Swing Joints'!$A$9:$M$494,6,FALSE),
IF($A46&lt;'Swing Joints Components'!$A$135,VLOOKUP($A46,'Swing Joints Components'!$A$9:$M$134,6,FALSE),
IF($A46&lt;Nonstandard!$A$42,VLOOKUP($A46,Nonstandard!$A$31:$J$41,7,FALSE),"")))))))))))))))))))))))))))),"")</f>
        <v/>
      </c>
      <c r="E46" s="538"/>
      <c r="F46" s="539" t="str">
        <f>IFERROR(IF($A46&lt;'DWV PVC'!$A$317,VLOOKUP($A46,'DWV PVC'!$A$9:$M$316,9,FALSE),
IF($A46&lt;'DWV ABS'!$A$117,VLOOKUP($A46,'DWV ABS'!$A$8:$M$116,9,FALSE),                                                                                                                                                                                                                                                     IF($A46&lt;'PVC SCH40'!$A$425,VLOOKUP($A46,'PVC SCH40'!$A$8:$M$424,9,FALSE),
IF($A46&lt;'PVC SCH40 LD'!$A$22,VLOOKUP($A46,'PVC SCH40 LD'!$A$8:$M$21,9,FALSE),
IF($A46&lt;'Pool &amp; SPA Sweep Elbows'!$A$12,VLOOKUP($A46,'Pool &amp; SPA Sweep Elbows'!$A$8:$M$11,9,FALSE),
IF($A46&lt;'Pool &amp; SPA Pipe Extender'!$A$11,VLOOKUP($A46,'Pool &amp; SPA Pipe Extender'!$A$8:$M$10,9,FALSE),
IF($A46&lt;'PVC SCH80'!$A$250,VLOOKUP($A46,'PVC SCH80'!$A$8:$M$249,9,FALSE),
IF($A46&lt;'PVC SCH80 Flange'!$A$49,VLOOKUP($A46,'PVC SCH80 Flange'!$A$8:$M$48,9,FALSE),
IF($A46&lt;'PVC SCH80 LD Flange'!$A$17,VLOOKUP($A46,'PVC SCH80 LD Flange'!$A$8:$M$16,9,FALSE),
IF($A46&lt;CPVC!$A$105,VLOOKUP($A46,CPVC!$A$9:$M$104,9,FALSE),
IF($A46&lt;InsertFittings!$A$185,VLOOKUP($A46,InsertFittings!$A$9:$M$184,9,FALSE),
IF($A46&lt;Valves!$A$92,VLOOKUP($A46,Valves!$A$9:$Q$91,13,FALSE),
IF($A46&lt;SDR35SW!$A$133,VLOOKUP($A46,SDR35SW!$A$9:$M$132,9,FALSE),
IF($A46&lt;SDR35G!$A$151,VLOOKUP($A46,SDR35G!$A$9:$M$150,9,FALSE),                                                                                                                                                                                                                                                          IF($A46&lt;SDR26G!$A$67,VLOOKUP($A46,SDR26G!$A$9:$N$66,10,FALSE),                                                                                                                                                                                                                                                       IF($A46&lt;Cements!$A$95,VLOOKUP($A46,Cements!$A$8:$Q$94,13,FALSE),
IF($A46&lt;ValveBox!$A$124,VLOOKUP($A46,ValveBox!$A$9:$O$123,11,FALSE),
IF($A46&lt;'ValveBox Components'!$A$142,VLOOKUP($A46,'ValveBox Components'!$A$9:$N$141,10,FALSE),
IF($A46&lt;Drainage!$A$69,VLOOKUP($A46,Drainage!$A$8:$M$68,9,FALSE),                                                                                                                                                                                                                                                              IF($A46&lt;Nipples!$A$82,VLOOKUP($A46,Nipples!$A$9:$Q$81,13,FALSE),
IF($A46&lt;Manifold!$A$33,VLOOKUP($A46,Manifold!$A$9:$M$32,9,FALSE),
IF($A46&lt;FlexibleRepairCouplings!$A$12,VLOOKUP($A46,FlexibleRepairCouplings!$A$9:$M$11,9,FALSE),
IF($A46&lt;DuraFix!$A$15,VLOOKUP($A46,DuraFix!$A$9:$M$14,9,FALSE),                                                                                                                                                                                                                                                          IF($A46&lt;'Compression Fittings'!$A$16,VLOOKUP($A46,'Compression Fittings'!$A$8:$M$15,9,FALSE),
IF($A46&lt;'Hose Fittings'!$A$30,VLOOKUP($A46,'Hose Fittings'!$A$8:$M$29,9,FALSE),
IF($A46&lt;'Swing Joints'!$A$495,VLOOKUP($A46,'Swing Joints'!$A$9:$M$494,9,FALSE),
IF($A46&lt;'Swing Joints Components'!$A$135,VLOOKUP($A46,'Swing Joints Components'!$A$9:$M$134,9,FALSE),
IF($A46&lt;Nonstandard!$A$42,VLOOKUP($A46,Nonstandard!$A$31:$J$41,8,FALSE),"")))))))))))))))))))))))))))),"")</f>
        <v/>
      </c>
      <c r="G46" s="540" t="str">
        <f>IFERROR(IF($A46&lt;'DWV PVC'!$A$317,VLOOKUP($A46,'DWV PVC'!$A$9:$M$316,11,FALSE),
IF($A46&lt;'DWV ABS'!$A$117,VLOOKUP($A46,'DWV ABS'!$A$8:$M$116,11,FALSE),                                                                                                                                                                                                                                                     IF($A46&lt;'PVC SCH40'!$A$425,VLOOKUP($A46,'PVC SCH40'!$A$8:$M$424,11,FALSE),
IF($A46&lt;'PVC SCH40 LD'!$A$22,VLOOKUP($A46,'PVC SCH40 LD'!$A$8:$M$21,11,FALSE),
IF($A46&lt;'Pool &amp; SPA Sweep Elbows'!$A$12,VLOOKUP($A46,'Pool &amp; SPA Sweep Elbows'!$A$8:$M$11,11,FALSE),
IF($A46&lt;'Pool &amp; SPA Pipe Extender'!$A$11,VLOOKUP($A46,'Pool &amp; SPA Pipe Extender'!$A$8:$M$10,11,FALSE),
IF($A46&lt;'PVC SCH80'!$A$250,VLOOKUP($A46,'PVC SCH80'!$A$8:$M$249,11,FALSE),
IF($A46&lt;'PVC SCH80 Flange'!$A$49,VLOOKUP($A46,'PVC SCH80 Flange'!$A$8:$M$48,11,FALSE),
IF($A46&lt;'PVC SCH80 LD Flange'!$A$17,VLOOKUP($A46,'PVC SCH80 LD Flange'!$A$8:$M$16,11,FALSE),
IF($A46&lt;CPVC!$A$105,VLOOKUP($A46,CPVC!$A$9:$M$104,11,FALSE),
IF($A46&lt;InsertFittings!$A$185,VLOOKUP($A46,InsertFittings!$A$9:$M$184,11,FALSE),
IF($A46&lt;Valves!$A$92,VLOOKUP($A46,Valves!$A$9:$Q$91,15,FALSE),
IF($A46&lt;SDR35SW!$A$133,VLOOKUP($A46,SDR35SW!$A$9:$M$132,11,FALSE),
IF($A46&lt;SDR35G!$A$151,VLOOKUP($A46,SDR35G!$A$9:$M$150,11,FALSE),                                                                                                                                                                                                                                                          IF($A46&lt;SDR26G!$A$67,VLOOKUP($A46,SDR26G!$A$9:$N$66,12,FALSE),                                                                                                                                                                                                                                                       IF($A46&lt;Cements!$A$95,VLOOKUP($A46,Cements!$A$8:$Q$94,15,FALSE),
IF($A46&lt;ValveBox!$A$124,VLOOKUP($A46,ValveBox!$A$9:$O$123,13,FALSE),
IF($A46&lt;'ValveBox Components'!$A$142,VLOOKUP($A46,'ValveBox Components'!$A$9:$N$141,12,FALSE),
IF($A46&lt;Drainage!$A$69,VLOOKUP($A46,Drainage!$A$8:$M$68,11,FALSE),                                                                                                                                                                                                                                                           IF($A46&lt;Nipples!$A$82,VLOOKUP($A46,Nipples!$A$9:$Q$81,15,FALSE),
IF($A46&lt;Manifold!$A$33,VLOOKUP($A46,Manifold!$A$9:$M$32,11,FALSE),
IF($A46&lt;FlexibleRepairCouplings!$A$12,VLOOKUP($A46,FlexibleRepairCouplings!$A$9:$M$11,11,FALSE),
IF($A46&lt;DuraFix!$A$15,VLOOKUP($A46,DuraFix!$A$9:$M$14,11,FALSE),                                                                                                                                                                                                                                                            IF($A46&lt;'Compression Fittings'!$A$16,VLOOKUP($A46,'Compression Fittings'!$A$8:$M$15,11,FALSE),
IF($A46&lt;'Hose Fittings'!$A$30,VLOOKUP($A46,'Hose Fittings'!$A$8:$M$29,11,FALSE),
IF($A46&lt;'Swing Joints'!$A$495,VLOOKUP($A46,'Swing Joints'!$A$9:$M$494,11,FALSE),
IF($A46&lt;'Swing Joints Components'!$A$135,VLOOKUP($A46,'Swing Joints Components'!$A$9:$M$134,11,FALSE),
IF($A46&lt;Nonstandard!$A$42,VLOOKUP($A46,Nonstandard!$A$31:$J$41,10,FALSE),"")))))))))))))))))))))))))))),"")</f>
        <v/>
      </c>
      <c r="H46" s="620" t="str">
        <f>IFERROR(IF($A46&lt;'DWV PVC'!$A$317,VLOOKUP($A46,'DWV PVC'!$A$9:$M$316,7,FALSE),
IF($A46&lt;'DWV ABS'!$A$117,VLOOKUP($A46,'DWV ABS'!$A$8:$M$116,11,FALSE),                                                                                                                                                                                                                                                     IF($A46&lt;'PVC SCH40'!$A$425,VLOOKUP($A46,'PVC SCH40'!$A$8:$M$424,7,FALSE),
IF($A46&lt;'PVC SCH40 LD'!$A$22,VLOOKUP($A46,'PVC SCH40 LD'!$A$8:$M$21,7,FALSE),
IF($A46&lt;'Pool &amp; SPA Sweep Elbows'!$A$12,VLOOKUP($A46,'Pool &amp; SPA Sweep Elbows'!$A$8:$M$11,7,FALSE),
IF($A46&lt;'Pool &amp; SPA Pipe Extender'!$A$11,VLOOKUP($A46,'Pool &amp; SPA Pipe Extender'!$A$8:$M$10,7,FALSE),
IF($A46&lt;'PVC SCH80'!$A$250,VLOOKUP($A46,'PVC SCH80'!$A$8:$M$249,7,FALSE),
IF($A46&lt;'PVC SCH80 Flange'!$A$49,VLOOKUP($A46,'PVC SCH80 Flange'!$A$8:$M$48,7,FALSE),
IF($A46&lt;'PVC SCH80 LD Flange'!$A$17,VLOOKUP($A46,'PVC SCH80 LD Flange'!$A$8:$M$16,7,FALSE),
IF($A46&lt;CPVC!$A$105,VLOOKUP($A46,CPVC!$A$9:$M$104,7,FALSE),
IF($A46&lt;InsertFittings!$A$185,VLOOKUP($A46,InsertFittings!$A$9:$M$184,7,FALSE),
IF($A46&lt;Valves!$A$92,VLOOKUP($A46,Valves!$A$9:$Q$91,11,FALSE),
IF($A46&lt;SDR35SW!$A$133,VLOOKUP($A46,SDR35SW!$A$9:$M$132,7,FALSE),
IF($A46&lt;SDR35G!$A$151,VLOOKUP($A46,SDR35G!$A$9:$M$150,7,FALSE),                                                                                                                                                                                                                                                       IF($A46&lt;SDR26G!$A$67,VLOOKUP($A46,SDR26G!$A$9:$N$66,8,FALSE),                                                                                                                                                                                                                                                     IF($A46&lt;Cements!$A$95,VLOOKUP($A46,Cements!$A$8:$Q$94,11,FALSE),
IF($A46&lt;ValveBox!$A$124,VLOOKUP($A46,ValveBox!$A$9:$O$123,10,FALSE),
IF($A46&lt;'ValveBox Components'!$A$142,VLOOKUP($A46,'ValveBox Components'!$A$9:$N$141,9,FALSE),
IF($A46&lt;Drainage!$A$69,VLOOKUP($A46,Drainage!$A$8:$M$68,7,FALSE),                                                                                                                                                                                                                                                          IF($A46&lt;Nipples!$A$82,VLOOKUP($A46,Nipples!$A$9:$Q$81,11,FALSE),
IF($A46&lt;Manifold!$A$33,VLOOKUP($A46,Manifold!$A$9:$M$32,7,FALSE),
IF($A46&lt;FlexibleRepairCouplings!$A$12,VLOOKUP($A46,FlexibleRepairCouplings!$A$9:$M$11,7,FALSE),
IF($A46&lt;DuraFix!$A$15,VLOOKUP($A46,DuraFix!$A$9:$M$14,7,FALSE),                                                                                                                                                                                                                                                           IF($A46&lt;'Compression Fittings'!$A$16,VLOOKUP($A46,'Compression Fittings'!$A$8:$M$15,7,FALSE),
IF($A46&lt;'Hose Fittings'!$A$30,VLOOKUP($A46,'Hose Fittings'!$A$8:$M$29,7,FALSE),
IF($A46&lt;'Swing Joints'!$A$495,VLOOKUP($A46,'Swing Joints'!$A$9:$M$494,7,FALSE),
IF($A46&lt;'Swing Joints Components'!$A$135,VLOOKUP($A46,'Swing Joints Components'!$A$9:$M$134,7,FALSE),
IF($A46&lt;Nonstandard!$A$42,VLOOKUP($A46,Nonstandard!$A$31:$J$41,10,FALSE),"")))))))))))))))))))))))))))),"")</f>
        <v/>
      </c>
      <c r="I46" s="621"/>
      <c r="J46" s="541" t="str">
        <f t="shared" si="1"/>
        <v/>
      </c>
      <c r="K46" s="599" t="str">
        <f>IFERROR(IF($A46&lt;'DWV PVC'!$A$317,VLOOKUP($A46,'DWV PVC'!$A$9:$M$316,10,FALSE),
IF($A46&lt;'DWV ABS'!$A$117,VLOOKUP($A46,'DWV ABS'!$A$8:$M$116,10,FALSE),
IF($A46&lt;'PVC SCH40'!$A$425,VLOOKUP($A46,'PVC SCH40'!$A$8:$M$424,10,FALSE),
IF($A46&lt;'PVC SCH40 LD'!$A$22,VLOOKUP($A46,'PVC SCH40 LD'!$A$8:$M$21,10,FALSE),
IF($A46&lt;'Pool &amp; SPA Sweep Elbows'!$A$12,VLOOKUP($A46,'Pool &amp; SPA Sweep Elbows'!$A$8:$M$11,10,FALSE),
IF($A46&lt;'Pool &amp; SPA Pipe Extender'!$A$11,VLOOKUP($A46,'Pool &amp; SPA Pipe Extender'!$A$8:$M$10,10,FALSE),
IF($A46&lt;'PVC SCH80'!$A$250,VLOOKUP($A46,'PVC SCH80'!$A$8:$M$249,10,FALSE),
IF($A46&lt;'PVC SCH80 Flange'!$A$49,VLOOKUP($A46,'PVC SCH80 Flange'!$A$8:$M$48,10,FALSE),
IF($A46&lt;'PVC SCH80 LD Flange'!$A$17,VLOOKUP($A46,'PVC SCH80 LD Flange'!$A$8:$M$16,10,FALSE),
IF($A46&lt;CPVC!$A$105,VLOOKUP($A46,CPVC!$A$9:$M$104,10,FALSE),
IF($A46&lt;InsertFittings!$A$185,VLOOKUP($A46,InsertFittings!$A$9:$M$184,10,FALSE),
IF($A46&lt;Valves!$A$92,VLOOKUP($A46,Valves!$A$9:$Q$91,14,FALSE),
IF($A46&lt;SDR35SW!$A$133,VLOOKUP($A46,SDR35SW!$A$9:$M$132,10,FALSE),
IF($A46&lt;SDR35G!$A$151,VLOOKUP($A46,SDR35G!$A$9:$M$150,10,FALSE),
IF($A46&lt;SDR26G!$A$67,VLOOKUP($A46,SDR26G!$A$9:$N$66,11,FALSE),
IF($A46&lt;Cements!$A$95,VLOOKUP($A46,Cements!$A$8:$Q$94,14,FALSE),
IF($A46&lt;ValveBox!$A$124,VLOOKUP($A46,ValveBox!$A$9:$O$123,12,FALSE),
IF($A46&lt;'ValveBox Components'!$A$142,VLOOKUP($A46,'ValveBox Components'!$A$9:$N$141,11,FALSE),
IF($A46&lt;Drainage!$A$69,VLOOKUP($A46,Drainage!$A$8:$M$68,10,FALSE),
IF($A46&lt;Nipples!$A$82,VLOOKUP($A46,Nipples!$A$9:$Q$81,14,FALSE),
IF($A46&lt;Manifold!$A$33,VLOOKUP($A46,Manifold!$A$9:$M$32,10,FALSE),
IF($A46&lt;FlexibleRepairCouplings!$A$12,VLOOKUP($A46,FlexibleRepairCouplings!$A$9:$M$11,10,FALSE),
IF($A46&lt;DuraFix!$A$15,VLOOKUP($A46,DuraFix!$A$9:$M$14,10,FALSE),
IF($A46&lt;'Compression Fittings'!$A$16,VLOOKUP($A46,'Compression Fittings'!$A$8:$M$15,10,FALSE),
IF($A46&lt;'Hose Fittings'!$A$30,VLOOKUP($A46,'Hose Fittings'!$A$8:$M$29,10,FALSE),
IF($A46&lt;'Swing Joints'!$A$495,VLOOKUP($A46,'Swing Joints'!$A$9:$M$494,10,FALSE),
IF($A46&lt;'Swing Joints Components'!$A$135,VLOOKUP($A46,'Swing Joints Components'!$A$9:$M$134,10,FALSE),
IF($A46&lt;Nonstandard!$A$42,VLOOKUP($A46,Nonstandard!$A$31:$J$41,10,FALSE),"")))))))))))))))))))))))))))),"")</f>
        <v/>
      </c>
      <c r="L46" s="539" t="str">
        <f t="shared" si="0"/>
        <v>-</v>
      </c>
      <c r="M46" s="542"/>
    </row>
    <row r="47" spans="1:13" ht="15.6">
      <c r="A47" s="312">
        <v>15</v>
      </c>
      <c r="B47" s="312" t="str">
        <f>IFERROR(IF($A47&lt;'DWV PVC'!$A$317,VLOOKUP($A47,'DWV PVC'!$A$9:$M$316,4,FALSE),
IF($A47&lt;'DWV ABS'!$A$117,VLOOKUP($A47,'DWV ABS'!$A$8:$M$116,4,FALSE),
IF($A47&lt;'PVC SCH40'!$A$425,VLOOKUP($A47,'PVC SCH40'!$A$8:$M$424,4,FALSE),
IF($A47&lt;'PVC SCH40 LD'!$A$22,VLOOKUP($A47,'PVC SCH40 LD'!$A$8:$M$21,4,FALSE),
IF($A47&lt;'Pool &amp; SPA Sweep Elbows'!$A$12,VLOOKUP($A47,'Pool &amp; SPA Sweep Elbows'!$A$8:$M$11,4,FALSE),
IF($A47&lt;'Pool &amp; SPA Pipe Extender'!$A$11,VLOOKUP($A47,'Pool &amp; SPA Pipe Extender'!$A$8:$M$10,4,FALSE),
IF($A47&lt;'PVC SCH80'!$A$250,VLOOKUP($A47,'PVC SCH80'!$A$8:$M$249,4,FALSE),
IF($A47&lt;'PVC SCH80 Flange'!$A$49,VLOOKUP($A47,'PVC SCH80 Flange'!$A$8:$M$48,4,FALSE),
IF($A47&lt;'PVC SCH80 LD Flange'!$A$17,VLOOKUP($A47,'PVC SCH80 LD Flange'!$A$8:$M$16,4,FALSE),
IF($A47&lt;CPVC!$A$105,VLOOKUP($A47,CPVC!$A$9:$M$104,4,FALSE),
IF($A47&lt;InsertFittings!$A$185,VLOOKUP($A47,InsertFittings!$A$9:$M$184,4,FALSE),
IF($A47&lt;Valves!$A$92,VLOOKUP($A47,Valves!$A$9:$Q$91,4,FALSE),
IF($A47&lt;SDR35SW!$A$133,VLOOKUP($A47,SDR35SW!$A$9:$M$132,4,FALSE),
IF($A47&lt;SDR35G!$A$151,VLOOKUP($A47,SDR35G!$A$9:$M$150,4,FALSE),
IF($A47&lt;SDR26G!$A$67,VLOOKUP($A47,SDR26G!$A$9:$N$66,5,FALSE),
IF($A47&lt;Cements!$A$95,VLOOKUP($A47,Cements!$A$8:$Q$94,4,FALSE),
IF($A47&lt;ValveBox!$A$124,VLOOKUP($A47,ValveBox!$A$9:$O$123,4,FALSE),
IF($A47&lt;'ValveBox Components'!$A$142,VLOOKUP($A47,'ValveBox Components'!$A$9:$N$141,4,FALSE),
IF($A47&lt;Drainage!$A$69,VLOOKUP($A47,Drainage!$A$8:$M$68,4,FALSE),
IF($A47&lt;Nipples!$A$82,VLOOKUP($A47,Nipples!$A$9:$Q$81,4,FALSE),
IF($A47&lt;Manifold!$A$33,VLOOKUP($A47,Manifold!$A$9:$M$32,4,FALSE),
IF($A47&lt;FlexibleRepairCouplings!$A$12,VLOOKUP($A47,FlexibleRepairCouplings!$A$9:$M$11,4,FALSE),
IF($A47&lt;DuraFix!$A$15,VLOOKUP($A47,DuraFix!$A$9:$M$14,4,FALSE),
IF($A47&lt;'Compression Fittings'!$A$16,VLOOKUP($A47,'Compression Fittings'!$A$8:$M$15,4,FALSE),
IF($A47&lt;'Hose Fittings'!$A$30,VLOOKUP($A47,'Hose Fittings'!$A$8:$M$29,4,FALSE),
IF($A47&lt;'Swing Joints'!$A$495,VLOOKUP($A47,'Swing Joints'!$A$9:$M$494,4,FALSE),
IF($A47&lt;'Swing Joints Components'!$A$135,VLOOKUP($A47,'Swing Joints Components'!$A$9:$M$134,4,FALSE),
IF($A47&lt;Nonstandard!$A$42,VLOOKUP($A47,Nonstandard!$A$31:$J$41,5,FALSE),"")))))))))))))))))))))))))))),"")</f>
        <v/>
      </c>
      <c r="C47" s="312" t="str">
        <f>IFERROR(IF($A47&lt;'DWV PVC'!$A$317,VLOOKUP($A47,'DWV PVC'!$A$9:$M$316,5,FALSE),
IF($A47&lt;'DWV ABS'!$A$117,VLOOKUP($A47,'DWV ABS'!$A$8:$M$116,5,FALSE),
IF($A47&lt;'PVC SCH40'!$A$425,VLOOKUP($A47,'PVC SCH40'!$A$8:$M$424,5,FALSE),
IF($A47&lt;'PVC SCH40 LD'!$A$22,VLOOKUP($A47,'PVC SCH40 LD'!$A$8:$M$21,5,FALSE),
IF($A47&lt;'Pool &amp; SPA Sweep Elbows'!$A$12,VLOOKUP($A47,'Pool &amp; SPA Sweep Elbows'!$A$8:$M$11,5,FALSE),
IF($A47&lt;'Pool &amp; SPA Pipe Extender'!$A$11,VLOOKUP($A47,'Pool &amp; SPA Pipe Extender'!$A$8:$M$10,5,FALSE),
IF($A47&lt;'PVC SCH80'!$A$250,VLOOKUP($A47,'PVC SCH80'!$A$8:$M$249,5,FALSE),
IF($A47&lt;'PVC SCH80 Flange'!$A$49,VLOOKUP($A47,'PVC SCH80 Flange'!$A$8:$M$48,5,FALSE),
IF($A47&lt;'PVC SCH80 LD Flange'!$A$17,VLOOKUP($A47,'PVC SCH80 LD Flange'!$A$8:$M$16,5,FALSE),
IF($A47&lt;CPVC!$A$105,VLOOKUP($A47,CPVC!$A$9:$M$104,5,FALSE),
IF($A47&lt;InsertFittings!$A$185,VLOOKUP($A47,InsertFittings!$A$9:$M$184,5,FALSE),
IF($A47&lt;Valves!$A$92,VLOOKUP($A47,Valves!$A$9:$Q$91,5,FALSE),
IF($A47&lt;SDR35SW!$A$133,VLOOKUP($A47,SDR35SW!$A$9:$M$132,5,FALSE),
IF($A47&lt;SDR35G!$A$151,VLOOKUP($A47,SDR35G!$A$9:$M$150,5,FALSE),
IF($A47&lt;SDR26G!$A$67,VLOOKUP($A47,SDR26G!$A$9:$N$66,6,FALSE),
IF($A47&lt;Cements!$A$95,VLOOKUP($A47,Cements!$A$8:$Q$94,5,FALSE),
IF($A47&lt;ValveBox!$A$124,VLOOKUP($A47,ValveBox!$A$9:$O$123,5,FALSE),
IF($A47&lt;'ValveBox Components'!$A$142,VLOOKUP($A47,'ValveBox Components'!$A$9:$N$141,5,FALSE),
IF($A47&lt;Drainage!$A$69,VLOOKUP($A47,Drainage!$A$8:$M$68,5,FALSE),
IF($A47&lt;Nipples!$A$82,VLOOKUP($A47,Nipples!$A$9:$Q$81,5,FALSE),
IF($A47&lt;Manifold!$A$33,VLOOKUP($A47,Manifold!$A$9:$M$32,5,FALSE),
IF($A47&lt;FlexibleRepairCouplings!$A$12,VLOOKUP($A47,FlexibleRepairCouplings!$A$9:$M$11,5,FALSE),
IF($A47&lt;DuraFix!$A$15,VLOOKUP($A47,DuraFix!$A$9:$M$14,5,FALSE),
IF($A47&lt;'Compression Fittings'!$A$16,VLOOKUP($A47,'Compression Fittings'!$A$8:$M$15,5,FALSE),
IF($A47&lt;'Hose Fittings'!$A$30,VLOOKUP($A47,'Hose Fittings'!$A$8:$M$29,5,FALSE),
IF($A47&lt;'Swing Joints'!$A$495,VLOOKUP($A47,'Swing Joints'!$A$9:$M$494,5,FALSE),
IF($A47&lt;'Swing Joints Components'!$A$135,VLOOKUP($A47,'Swing Joints Components'!$A$9:$M$134,5,FALSE),
IF($A47&lt;Nonstandard!$A$42,VLOOKUP($A47,Nonstandard!$A$31:$J$41,6,FALSE),"")))))))))))))))))))))))))))),"")</f>
        <v/>
      </c>
      <c r="D47" s="534" t="str">
        <f>IFERROR(IF($A47&lt;'DWV PVC'!$A$317,VLOOKUP($A47,'DWV PVC'!$A$9:$M$316,6,FALSE),
IF($A47&lt;'DWV ABS'!$A$117,VLOOKUP($A47,'DWV ABS'!$A$8:$M$116,6,FALSE),
IF($A47&lt;'PVC SCH40'!$A$425,VLOOKUP($A47,'PVC SCH40'!$A$8:$M$424,6,FALSE),
IF($A47&lt;'PVC SCH40 LD'!$A$22,VLOOKUP($A47,'PVC SCH40 LD'!$A$8:$M$21,6,FALSE),
IF($A47&lt;'Pool &amp; SPA Sweep Elbows'!$A$12,VLOOKUP($A47,'Pool &amp; SPA Sweep Elbows'!$A$8:$M$11,6,FALSE),
IF($A47&lt;'Pool &amp; SPA Pipe Extender'!$A$11,VLOOKUP($A47,'Pool &amp; SPA Pipe Extender'!$A$8:$M$10,6,FALSE),
IF($A47&lt;'PVC SCH80'!$A$250,VLOOKUP($A47,'PVC SCH80'!$A$8:$M$249,6,FALSE),
IF($A47&lt;'PVC SCH80 Flange'!$A$49,VLOOKUP($A47,'PVC SCH80 Flange'!$A$8:$M$48,6,FALSE),
IF($A47&lt;'PVC SCH80 LD Flange'!$A$17,VLOOKUP($A47,'PVC SCH80 LD Flange'!$A$8:$M$16,6,FALSE),
IF($A47&lt;CPVC!$A$105,VLOOKUP($A47,CPVC!$A$9:$M$104,6,FALSE),
IF($A47&lt;InsertFittings!$A$185,VLOOKUP($A47,InsertFittings!$A$9:$M$184,6,FALSE),
IF($A47&lt;Valves!$A$92,VLOOKUP($A47,Valves!$A$9:$Q$91,6,FALSE),
IF($A47&lt;SDR35SW!$A$133,VLOOKUP($A47,SDR35SW!$A$9:$M$132,6,FALSE),
IF($A47&lt;SDR35G!$A$151,VLOOKUP($A47,SDR35G!$A$9:$M$150,6,FALSE),
IF($A47&lt;SDR26G!$A$67,VLOOKUP($A47,SDR26G!$A$9:$N$66,7,FALSE),
IF($A47&lt;Cements!$A$95,VLOOKUP($A47,Cements!$A$8:$Q$94,6,FALSE),
IF($A47&lt;ValveBox!$A$124,VLOOKUP($A47,ValveBox!$A$9:$O$123,6,FALSE),
IF($A47&lt;'ValveBox Components'!$A$142,VLOOKUP($A47,'ValveBox Components'!$A$9:$N$141,6,FALSE),
IF($A47&lt;Drainage!$A$69,VLOOKUP($A47,Drainage!$A$8:$M$68,6,FALSE),
IF($A47&lt;Nipples!$A$82,VLOOKUP($A47,Nipples!$A$9:$Q$81,6,FALSE),
IF($A47&lt;Manifold!$A$33,VLOOKUP($A47,Manifold!$A$9:$M$32,6,FALSE),
IF($A47&lt;FlexibleRepairCouplings!$A$12,VLOOKUP($A47,FlexibleRepairCouplings!$A$9:$M$11,6,FALSE),
IF($A47&lt;DuraFix!$A$15,VLOOKUP($A47,DuraFix!$A$9:$M$14,6,FALSE),
IF($A47&lt;'Compression Fittings'!$A$16,VLOOKUP($A47,'Compression Fittings'!$A$8:$M$15,6,FALSE),
IF($A47&lt;'Hose Fittings'!$A$30,VLOOKUP($A47,'Hose Fittings'!$A$8:$M$29,6,FALSE),
IF($A47&lt;'Swing Joints'!$A$495,VLOOKUP($A47,'Swing Joints'!$A$9:$M$494,6,FALSE),
IF($A47&lt;'Swing Joints Components'!$A$135,VLOOKUP($A47,'Swing Joints Components'!$A$9:$M$134,6,FALSE),
IF($A47&lt;Nonstandard!$A$42,VLOOKUP($A47,Nonstandard!$A$31:$J$41,7,FALSE),"")))))))))))))))))))))))))))),"")</f>
        <v/>
      </c>
      <c r="E47" s="316"/>
      <c r="F47" s="314" t="str">
        <f>IFERROR(IF($A47&lt;'DWV PVC'!$A$317,VLOOKUP($A47,'DWV PVC'!$A$9:$M$316,9,FALSE),
IF($A47&lt;'DWV ABS'!$A$117,VLOOKUP($A47,'DWV ABS'!$A$8:$M$116,9,FALSE),                                                                                                                                                                                                                                                     IF($A47&lt;'PVC SCH40'!$A$425,VLOOKUP($A47,'PVC SCH40'!$A$8:$M$424,9,FALSE),
IF($A47&lt;'PVC SCH40 LD'!$A$22,VLOOKUP($A47,'PVC SCH40 LD'!$A$8:$M$21,9,FALSE),
IF($A47&lt;'Pool &amp; SPA Sweep Elbows'!$A$12,VLOOKUP($A47,'Pool &amp; SPA Sweep Elbows'!$A$8:$M$11,9,FALSE),
IF($A47&lt;'Pool &amp; SPA Pipe Extender'!$A$11,VLOOKUP($A47,'Pool &amp; SPA Pipe Extender'!$A$8:$M$10,9,FALSE),
IF($A47&lt;'PVC SCH80'!$A$250,VLOOKUP($A47,'PVC SCH80'!$A$8:$M$249,9,FALSE),
IF($A47&lt;'PVC SCH80 Flange'!$A$49,VLOOKUP($A47,'PVC SCH80 Flange'!$A$8:$M$48,9,FALSE),
IF($A47&lt;'PVC SCH80 LD Flange'!$A$17,VLOOKUP($A47,'PVC SCH80 LD Flange'!$A$8:$M$16,9,FALSE),
IF($A47&lt;CPVC!$A$105,VLOOKUP($A47,CPVC!$A$9:$M$104,9,FALSE),
IF($A47&lt;InsertFittings!$A$185,VLOOKUP($A47,InsertFittings!$A$9:$M$184,9,FALSE),
IF($A47&lt;Valves!$A$92,VLOOKUP($A47,Valves!$A$9:$Q$91,13,FALSE),
IF($A47&lt;SDR35SW!$A$133,VLOOKUP($A47,SDR35SW!$A$9:$M$132,9,FALSE),
IF($A47&lt;SDR35G!$A$151,VLOOKUP($A47,SDR35G!$A$9:$M$150,9,FALSE),                                                                                                                                                                                                                                                          IF($A47&lt;SDR26G!$A$67,VLOOKUP($A47,SDR26G!$A$9:$N$66,10,FALSE),                                                                                                                                                                                                                                                       IF($A47&lt;Cements!$A$95,VLOOKUP($A47,Cements!$A$8:$Q$94,13,FALSE),
IF($A47&lt;ValveBox!$A$124,VLOOKUP($A47,ValveBox!$A$9:$O$123,11,FALSE),
IF($A47&lt;'ValveBox Components'!$A$142,VLOOKUP($A47,'ValveBox Components'!$A$9:$N$141,10,FALSE),
IF($A47&lt;Drainage!$A$69,VLOOKUP($A47,Drainage!$A$8:$M$68,9,FALSE),                                                                                                                                                                                                                                                              IF($A47&lt;Nipples!$A$82,VLOOKUP($A47,Nipples!$A$9:$Q$81,13,FALSE),
IF($A47&lt;Manifold!$A$33,VLOOKUP($A47,Manifold!$A$9:$M$32,9,FALSE),
IF($A47&lt;FlexibleRepairCouplings!$A$12,VLOOKUP($A47,FlexibleRepairCouplings!$A$9:$M$11,9,FALSE),
IF($A47&lt;DuraFix!$A$15,VLOOKUP($A47,DuraFix!$A$9:$M$14,9,FALSE),                                                                                                                                                                                                                                                          IF($A47&lt;'Compression Fittings'!$A$16,VLOOKUP($A47,'Compression Fittings'!$A$8:$M$15,9,FALSE),
IF($A47&lt;'Hose Fittings'!$A$30,VLOOKUP($A47,'Hose Fittings'!$A$8:$M$29,9,FALSE),
IF($A47&lt;'Swing Joints'!$A$495,VLOOKUP($A47,'Swing Joints'!$A$9:$M$494,9,FALSE),
IF($A47&lt;'Swing Joints Components'!$A$135,VLOOKUP($A47,'Swing Joints Components'!$A$9:$M$134,9,FALSE),
IF($A47&lt;Nonstandard!$A$42,VLOOKUP($A47,Nonstandard!$A$31:$J$41,8,FALSE),"")))))))))))))))))))))))))))),"")</f>
        <v/>
      </c>
      <c r="G47" s="533" t="str">
        <f>IFERROR(IF($A47&lt;'DWV PVC'!$A$317,VLOOKUP($A47,'DWV PVC'!$A$9:$M$316,11,FALSE),
IF($A47&lt;'DWV ABS'!$A$117,VLOOKUP($A47,'DWV ABS'!$A$8:$M$116,11,FALSE),                                                                                                                                                                                                                                                     IF($A47&lt;'PVC SCH40'!$A$425,VLOOKUP($A47,'PVC SCH40'!$A$8:$M$424,11,FALSE),
IF($A47&lt;'PVC SCH40 LD'!$A$22,VLOOKUP($A47,'PVC SCH40 LD'!$A$8:$M$21,11,FALSE),
IF($A47&lt;'Pool &amp; SPA Sweep Elbows'!$A$12,VLOOKUP($A47,'Pool &amp; SPA Sweep Elbows'!$A$8:$M$11,11,FALSE),
IF($A47&lt;'Pool &amp; SPA Pipe Extender'!$A$11,VLOOKUP($A47,'Pool &amp; SPA Pipe Extender'!$A$8:$M$10,11,FALSE),
IF($A47&lt;'PVC SCH80'!$A$250,VLOOKUP($A47,'PVC SCH80'!$A$8:$M$249,11,FALSE),
IF($A47&lt;'PVC SCH80 Flange'!$A$49,VLOOKUP($A47,'PVC SCH80 Flange'!$A$8:$M$48,11,FALSE),
IF($A47&lt;'PVC SCH80 LD Flange'!$A$17,VLOOKUP($A47,'PVC SCH80 LD Flange'!$A$8:$M$16,11,FALSE),
IF($A47&lt;CPVC!$A$105,VLOOKUP($A47,CPVC!$A$9:$M$104,11,FALSE),
IF($A47&lt;InsertFittings!$A$185,VLOOKUP($A47,InsertFittings!$A$9:$M$184,11,FALSE),
IF($A47&lt;Valves!$A$92,VLOOKUP($A47,Valves!$A$9:$Q$91,15,FALSE),
IF($A47&lt;SDR35SW!$A$133,VLOOKUP($A47,SDR35SW!$A$9:$M$132,11,FALSE),
IF($A47&lt;SDR35G!$A$151,VLOOKUP($A47,SDR35G!$A$9:$M$150,11,FALSE),                                                                                                                                                                                                                                                          IF($A47&lt;SDR26G!$A$67,VLOOKUP($A47,SDR26G!$A$9:$N$66,12,FALSE),                                                                                                                                                                                                                                                       IF($A47&lt;Cements!$A$95,VLOOKUP($A47,Cements!$A$8:$Q$94,15,FALSE),
IF($A47&lt;ValveBox!$A$124,VLOOKUP($A47,ValveBox!$A$9:$O$123,13,FALSE),
IF($A47&lt;'ValveBox Components'!$A$142,VLOOKUP($A47,'ValveBox Components'!$A$9:$N$141,12,FALSE),
IF($A47&lt;Drainage!$A$69,VLOOKUP($A47,Drainage!$A$8:$M$68,11,FALSE),                                                                                                                                                                                                                                                           IF($A47&lt;Nipples!$A$82,VLOOKUP($A47,Nipples!$A$9:$Q$81,15,FALSE),
IF($A47&lt;Manifold!$A$33,VLOOKUP($A47,Manifold!$A$9:$M$32,11,FALSE),
IF($A47&lt;FlexibleRepairCouplings!$A$12,VLOOKUP($A47,FlexibleRepairCouplings!$A$9:$M$11,11,FALSE),
IF($A47&lt;DuraFix!$A$15,VLOOKUP($A47,DuraFix!$A$9:$M$14,11,FALSE),                                                                                                                                                                                                                                                            IF($A47&lt;'Compression Fittings'!$A$16,VLOOKUP($A47,'Compression Fittings'!$A$8:$M$15,11,FALSE),
IF($A47&lt;'Hose Fittings'!$A$30,VLOOKUP($A47,'Hose Fittings'!$A$8:$M$29,11,FALSE),
IF($A47&lt;'Swing Joints'!$A$495,VLOOKUP($A47,'Swing Joints'!$A$9:$M$494,11,FALSE),
IF($A47&lt;'Swing Joints Components'!$A$135,VLOOKUP($A47,'Swing Joints Components'!$A$9:$M$134,11,FALSE),
IF($A47&lt;Nonstandard!$A$42,VLOOKUP($A47,Nonstandard!$A$31:$J$41,10,FALSE),"")))))))))))))))))))))))))))),"")</f>
        <v/>
      </c>
      <c r="H47" s="618" t="str">
        <f>IFERROR(IF($A47&lt;'DWV PVC'!$A$317,VLOOKUP($A47,'DWV PVC'!$A$9:$M$316,7,FALSE),
IF($A47&lt;'DWV ABS'!$A$117,VLOOKUP($A47,'DWV ABS'!$A$8:$M$116,11,FALSE),                                                                                                                                                                                                                                                     IF($A47&lt;'PVC SCH40'!$A$425,VLOOKUP($A47,'PVC SCH40'!$A$8:$M$424,7,FALSE),
IF($A47&lt;'PVC SCH40 LD'!$A$22,VLOOKUP($A47,'PVC SCH40 LD'!$A$8:$M$21,7,FALSE),
IF($A47&lt;'Pool &amp; SPA Sweep Elbows'!$A$12,VLOOKUP($A47,'Pool &amp; SPA Sweep Elbows'!$A$8:$M$11,7,FALSE),
IF($A47&lt;'Pool &amp; SPA Pipe Extender'!$A$11,VLOOKUP($A47,'Pool &amp; SPA Pipe Extender'!$A$8:$M$10,7,FALSE),
IF($A47&lt;'PVC SCH80'!$A$250,VLOOKUP($A47,'PVC SCH80'!$A$8:$M$249,7,FALSE),
IF($A47&lt;'PVC SCH80 Flange'!$A$49,VLOOKUP($A47,'PVC SCH80 Flange'!$A$8:$M$48,7,FALSE),
IF($A47&lt;'PVC SCH80 LD Flange'!$A$17,VLOOKUP($A47,'PVC SCH80 LD Flange'!$A$8:$M$16,7,FALSE),
IF($A47&lt;CPVC!$A$105,VLOOKUP($A47,CPVC!$A$9:$M$104,7,FALSE),
IF($A47&lt;InsertFittings!$A$185,VLOOKUP($A47,InsertFittings!$A$9:$M$184,7,FALSE),
IF($A47&lt;Valves!$A$92,VLOOKUP($A47,Valves!$A$9:$Q$91,11,FALSE),
IF($A47&lt;SDR35SW!$A$133,VLOOKUP($A47,SDR35SW!$A$9:$M$132,7,FALSE),
IF($A47&lt;SDR35G!$A$151,VLOOKUP($A47,SDR35G!$A$9:$M$150,7,FALSE),                                                                                                                                                                                                                                                       IF($A47&lt;SDR26G!$A$67,VLOOKUP($A47,SDR26G!$A$9:$N$66,8,FALSE),                                                                                                                                                                                                                                                     IF($A47&lt;Cements!$A$95,VLOOKUP($A47,Cements!$A$8:$Q$94,11,FALSE),
IF($A47&lt;ValveBox!$A$124,VLOOKUP($A47,ValveBox!$A$9:$O$123,10,FALSE),
IF($A47&lt;'ValveBox Components'!$A$142,VLOOKUP($A47,'ValveBox Components'!$A$9:$N$141,9,FALSE),
IF($A47&lt;Drainage!$A$69,VLOOKUP($A47,Drainage!$A$8:$M$68,7,FALSE),                                                                                                                                                                                                                                                          IF($A47&lt;Nipples!$A$82,VLOOKUP($A47,Nipples!$A$9:$Q$81,11,FALSE),
IF($A47&lt;Manifold!$A$33,VLOOKUP($A47,Manifold!$A$9:$M$32,7,FALSE),
IF($A47&lt;FlexibleRepairCouplings!$A$12,VLOOKUP($A47,FlexibleRepairCouplings!$A$9:$M$11,7,FALSE),
IF($A47&lt;DuraFix!$A$15,VLOOKUP($A47,DuraFix!$A$9:$M$14,7,FALSE),                                                                                                                                                                                                                                                           IF($A47&lt;'Compression Fittings'!$A$16,VLOOKUP($A47,'Compression Fittings'!$A$8:$M$15,7,FALSE),
IF($A47&lt;'Hose Fittings'!$A$30,VLOOKUP($A47,'Hose Fittings'!$A$8:$M$29,7,FALSE),
IF($A47&lt;'Swing Joints'!$A$495,VLOOKUP($A47,'Swing Joints'!$A$9:$M$494,7,FALSE),
IF($A47&lt;'Swing Joints Components'!$A$135,VLOOKUP($A47,'Swing Joints Components'!$A$9:$M$134,7,FALSE),
IF($A47&lt;Nonstandard!$A$42,VLOOKUP($A47,Nonstandard!$A$31:$J$41,10,FALSE),"")))))))))))))))))))))))))))),"")</f>
        <v/>
      </c>
      <c r="I47" s="619"/>
      <c r="J47" s="281" t="str">
        <f t="shared" si="1"/>
        <v/>
      </c>
      <c r="K47" s="313" t="str">
        <f>IFERROR(IF($A47&lt;'DWV PVC'!$A$317,VLOOKUP($A47,'DWV PVC'!$A$9:$M$316,10,FALSE),
IF($A47&lt;'DWV ABS'!$A$117,VLOOKUP($A47,'DWV ABS'!$A$8:$M$116,10,FALSE),
IF($A47&lt;'PVC SCH40'!$A$425,VLOOKUP($A47,'PVC SCH40'!$A$8:$M$424,10,FALSE),
IF($A47&lt;'PVC SCH40 LD'!$A$22,VLOOKUP($A47,'PVC SCH40 LD'!$A$8:$M$21,10,FALSE),
IF($A47&lt;'Pool &amp; SPA Sweep Elbows'!$A$12,VLOOKUP($A47,'Pool &amp; SPA Sweep Elbows'!$A$8:$M$11,10,FALSE),
IF($A47&lt;'Pool &amp; SPA Pipe Extender'!$A$11,VLOOKUP($A47,'Pool &amp; SPA Pipe Extender'!$A$8:$M$10,10,FALSE),
IF($A47&lt;'PVC SCH80'!$A$250,VLOOKUP($A47,'PVC SCH80'!$A$8:$M$249,10,FALSE),
IF($A47&lt;'PVC SCH80 Flange'!$A$49,VLOOKUP($A47,'PVC SCH80 Flange'!$A$8:$M$48,10,FALSE),
IF($A47&lt;'PVC SCH80 LD Flange'!$A$17,VLOOKUP($A47,'PVC SCH80 LD Flange'!$A$8:$M$16,10,FALSE),
IF($A47&lt;CPVC!$A$105,VLOOKUP($A47,CPVC!$A$9:$M$104,10,FALSE),
IF($A47&lt;InsertFittings!$A$185,VLOOKUP($A47,InsertFittings!$A$9:$M$184,10,FALSE),
IF($A47&lt;Valves!$A$92,VLOOKUP($A47,Valves!$A$9:$Q$91,14,FALSE),
IF($A47&lt;SDR35SW!$A$133,VLOOKUP($A47,SDR35SW!$A$9:$M$132,10,FALSE),
IF($A47&lt;SDR35G!$A$151,VLOOKUP($A47,SDR35G!$A$9:$M$150,10,FALSE),
IF($A47&lt;SDR26G!$A$67,VLOOKUP($A47,SDR26G!$A$9:$N$66,11,FALSE),
IF($A47&lt;Cements!$A$95,VLOOKUP($A47,Cements!$A$8:$Q$94,14,FALSE),
IF($A47&lt;ValveBox!$A$124,VLOOKUP($A47,ValveBox!$A$9:$O$123,12,FALSE),
IF($A47&lt;'ValveBox Components'!$A$142,VLOOKUP($A47,'ValveBox Components'!$A$9:$N$141,11,FALSE),
IF($A47&lt;Drainage!$A$69,VLOOKUP($A47,Drainage!$A$8:$M$68,10,FALSE),
IF($A47&lt;Nipples!$A$82,VLOOKUP($A47,Nipples!$A$9:$Q$81,14,FALSE),
IF($A47&lt;Manifold!$A$33,VLOOKUP($A47,Manifold!$A$9:$M$32,10,FALSE),
IF($A47&lt;FlexibleRepairCouplings!$A$12,VLOOKUP($A47,FlexibleRepairCouplings!$A$9:$M$11,10,FALSE),
IF($A47&lt;DuraFix!$A$15,VLOOKUP($A47,DuraFix!$A$9:$M$14,10,FALSE),
IF($A47&lt;'Compression Fittings'!$A$16,VLOOKUP($A47,'Compression Fittings'!$A$8:$M$15,10,FALSE),
IF($A47&lt;'Hose Fittings'!$A$30,VLOOKUP($A47,'Hose Fittings'!$A$8:$M$29,10,FALSE),
IF($A47&lt;'Swing Joints'!$A$495,VLOOKUP($A47,'Swing Joints'!$A$9:$M$494,10,FALSE),
IF($A47&lt;'Swing Joints Components'!$A$135,VLOOKUP($A47,'Swing Joints Components'!$A$9:$M$134,10,FALSE),
IF($A47&lt;Nonstandard!$A$42,VLOOKUP($A47,Nonstandard!$A$31:$J$41,10,FALSE),"")))))))))))))))))))))))))))),"")</f>
        <v/>
      </c>
      <c r="L47" s="314" t="str">
        <f t="shared" si="0"/>
        <v>-</v>
      </c>
      <c r="M47" s="315"/>
    </row>
    <row r="48" spans="1:13" ht="15.6">
      <c r="A48" s="536">
        <v>16</v>
      </c>
      <c r="B48" s="536" t="str">
        <f>IFERROR(IF($A48&lt;'DWV PVC'!$A$317,VLOOKUP($A48,'DWV PVC'!$A$9:$M$316,4,FALSE),
IF($A48&lt;'DWV ABS'!$A$117,VLOOKUP($A48,'DWV ABS'!$A$8:$M$116,4,FALSE),
IF($A48&lt;'PVC SCH40'!$A$425,VLOOKUP($A48,'PVC SCH40'!$A$8:$M$424,4,FALSE),
IF($A48&lt;'PVC SCH40 LD'!$A$22,VLOOKUP($A48,'PVC SCH40 LD'!$A$8:$M$21,4,FALSE),
IF($A48&lt;'Pool &amp; SPA Sweep Elbows'!$A$12,VLOOKUP($A48,'Pool &amp; SPA Sweep Elbows'!$A$8:$M$11,4,FALSE),
IF($A48&lt;'Pool &amp; SPA Pipe Extender'!$A$11,VLOOKUP($A48,'Pool &amp; SPA Pipe Extender'!$A$8:$M$10,4,FALSE),
IF($A48&lt;'PVC SCH80'!$A$250,VLOOKUP($A48,'PVC SCH80'!$A$8:$M$249,4,FALSE),
IF($A48&lt;'PVC SCH80 Flange'!$A$49,VLOOKUP($A48,'PVC SCH80 Flange'!$A$8:$M$48,4,FALSE),
IF($A48&lt;'PVC SCH80 LD Flange'!$A$17,VLOOKUP($A48,'PVC SCH80 LD Flange'!$A$8:$M$16,4,FALSE),
IF($A48&lt;CPVC!$A$105,VLOOKUP($A48,CPVC!$A$9:$M$104,4,FALSE),
IF($A48&lt;InsertFittings!$A$185,VLOOKUP($A48,InsertFittings!$A$9:$M$184,4,FALSE),
IF($A48&lt;Valves!$A$92,VLOOKUP($A48,Valves!$A$9:$Q$91,4,FALSE),
IF($A48&lt;SDR35SW!$A$133,VLOOKUP($A48,SDR35SW!$A$9:$M$132,4,FALSE),
IF($A48&lt;SDR35G!$A$151,VLOOKUP($A48,SDR35G!$A$9:$M$150,4,FALSE),
IF($A48&lt;SDR26G!$A$67,VLOOKUP($A48,SDR26G!$A$9:$N$66,5,FALSE),
IF($A48&lt;Cements!$A$95,VLOOKUP($A48,Cements!$A$8:$Q$94,4,FALSE),
IF($A48&lt;ValveBox!$A$124,VLOOKUP($A48,ValveBox!$A$9:$O$123,4,FALSE),
IF($A48&lt;'ValveBox Components'!$A$142,VLOOKUP($A48,'ValveBox Components'!$A$9:$N$141,4,FALSE),
IF($A48&lt;Drainage!$A$69,VLOOKUP($A48,Drainage!$A$8:$M$68,4,FALSE),
IF($A48&lt;Nipples!$A$82,VLOOKUP($A48,Nipples!$A$9:$Q$81,4,FALSE),
IF($A48&lt;Manifold!$A$33,VLOOKUP($A48,Manifold!$A$9:$M$32,4,FALSE),
IF($A48&lt;FlexibleRepairCouplings!$A$12,VLOOKUP($A48,FlexibleRepairCouplings!$A$9:$M$11,4,FALSE),
IF($A48&lt;DuraFix!$A$15,VLOOKUP($A48,DuraFix!$A$9:$M$14,4,FALSE),
IF($A48&lt;'Compression Fittings'!$A$16,VLOOKUP($A48,'Compression Fittings'!$A$8:$M$15,4,FALSE),
IF($A48&lt;'Hose Fittings'!$A$30,VLOOKUP($A48,'Hose Fittings'!$A$8:$M$29,4,FALSE),
IF($A48&lt;'Swing Joints'!$A$495,VLOOKUP($A48,'Swing Joints'!$A$9:$M$494,4,FALSE),
IF($A48&lt;'Swing Joints Components'!$A$135,VLOOKUP($A48,'Swing Joints Components'!$A$9:$M$134,4,FALSE),
IF($A48&lt;Nonstandard!$A$42,VLOOKUP($A48,Nonstandard!$A$31:$J$41,5,FALSE),"")))))))))))))))))))))))))))),"")</f>
        <v/>
      </c>
      <c r="C48" s="536" t="str">
        <f>IFERROR(IF($A48&lt;'DWV PVC'!$A$317,VLOOKUP($A48,'DWV PVC'!$A$9:$M$316,5,FALSE),
IF($A48&lt;'DWV ABS'!$A$117,VLOOKUP($A48,'DWV ABS'!$A$8:$M$116,5,FALSE),
IF($A48&lt;'PVC SCH40'!$A$425,VLOOKUP($A48,'PVC SCH40'!$A$8:$M$424,5,FALSE),
IF($A48&lt;'PVC SCH40 LD'!$A$22,VLOOKUP($A48,'PVC SCH40 LD'!$A$8:$M$21,5,FALSE),
IF($A48&lt;'Pool &amp; SPA Sweep Elbows'!$A$12,VLOOKUP($A48,'Pool &amp; SPA Sweep Elbows'!$A$8:$M$11,5,FALSE),
IF($A48&lt;'Pool &amp; SPA Pipe Extender'!$A$11,VLOOKUP($A48,'Pool &amp; SPA Pipe Extender'!$A$8:$M$10,5,FALSE),
IF($A48&lt;'PVC SCH80'!$A$250,VLOOKUP($A48,'PVC SCH80'!$A$8:$M$249,5,FALSE),
IF($A48&lt;'PVC SCH80 Flange'!$A$49,VLOOKUP($A48,'PVC SCH80 Flange'!$A$8:$M$48,5,FALSE),
IF($A48&lt;'PVC SCH80 LD Flange'!$A$17,VLOOKUP($A48,'PVC SCH80 LD Flange'!$A$8:$M$16,5,FALSE),
IF($A48&lt;CPVC!$A$105,VLOOKUP($A48,CPVC!$A$9:$M$104,5,FALSE),
IF($A48&lt;InsertFittings!$A$185,VLOOKUP($A48,InsertFittings!$A$9:$M$184,5,FALSE),
IF($A48&lt;Valves!$A$92,VLOOKUP($A48,Valves!$A$9:$Q$91,5,FALSE),
IF($A48&lt;SDR35SW!$A$133,VLOOKUP($A48,SDR35SW!$A$9:$M$132,5,FALSE),
IF($A48&lt;SDR35G!$A$151,VLOOKUP($A48,SDR35G!$A$9:$M$150,5,FALSE),
IF($A48&lt;SDR26G!$A$67,VLOOKUP($A48,SDR26G!$A$9:$N$66,6,FALSE),
IF($A48&lt;Cements!$A$95,VLOOKUP($A48,Cements!$A$8:$Q$94,5,FALSE),
IF($A48&lt;ValveBox!$A$124,VLOOKUP($A48,ValveBox!$A$9:$O$123,5,FALSE),
IF($A48&lt;'ValveBox Components'!$A$142,VLOOKUP($A48,'ValveBox Components'!$A$9:$N$141,5,FALSE),
IF($A48&lt;Drainage!$A$69,VLOOKUP($A48,Drainage!$A$8:$M$68,5,FALSE),
IF($A48&lt;Nipples!$A$82,VLOOKUP($A48,Nipples!$A$9:$Q$81,5,FALSE),
IF($A48&lt;Manifold!$A$33,VLOOKUP($A48,Manifold!$A$9:$M$32,5,FALSE),
IF($A48&lt;FlexibleRepairCouplings!$A$12,VLOOKUP($A48,FlexibleRepairCouplings!$A$9:$M$11,5,FALSE),
IF($A48&lt;DuraFix!$A$15,VLOOKUP($A48,DuraFix!$A$9:$M$14,5,FALSE),
IF($A48&lt;'Compression Fittings'!$A$16,VLOOKUP($A48,'Compression Fittings'!$A$8:$M$15,5,FALSE),
IF($A48&lt;'Hose Fittings'!$A$30,VLOOKUP($A48,'Hose Fittings'!$A$8:$M$29,5,FALSE),
IF($A48&lt;'Swing Joints'!$A$495,VLOOKUP($A48,'Swing Joints'!$A$9:$M$494,5,FALSE),
IF($A48&lt;'Swing Joints Components'!$A$135,VLOOKUP($A48,'Swing Joints Components'!$A$9:$M$134,5,FALSE),
IF($A48&lt;Nonstandard!$A$42,VLOOKUP($A48,Nonstandard!$A$31:$J$41,6,FALSE),"")))))))))))))))))))))))))))),"")</f>
        <v/>
      </c>
      <c r="D48" s="537" t="str">
        <f>IFERROR(IF($A48&lt;'DWV PVC'!$A$317,VLOOKUP($A48,'DWV PVC'!$A$9:$M$316,6,FALSE),
IF($A48&lt;'DWV ABS'!$A$117,VLOOKUP($A48,'DWV ABS'!$A$8:$M$116,6,FALSE),
IF($A48&lt;'PVC SCH40'!$A$425,VLOOKUP($A48,'PVC SCH40'!$A$8:$M$424,6,FALSE),
IF($A48&lt;'PVC SCH40 LD'!$A$22,VLOOKUP($A48,'PVC SCH40 LD'!$A$8:$M$21,6,FALSE),
IF($A48&lt;'Pool &amp; SPA Sweep Elbows'!$A$12,VLOOKUP($A48,'Pool &amp; SPA Sweep Elbows'!$A$8:$M$11,6,FALSE),
IF($A48&lt;'Pool &amp; SPA Pipe Extender'!$A$11,VLOOKUP($A48,'Pool &amp; SPA Pipe Extender'!$A$8:$M$10,6,FALSE),
IF($A48&lt;'PVC SCH80'!$A$250,VLOOKUP($A48,'PVC SCH80'!$A$8:$M$249,6,FALSE),
IF($A48&lt;'PVC SCH80 Flange'!$A$49,VLOOKUP($A48,'PVC SCH80 Flange'!$A$8:$M$48,6,FALSE),
IF($A48&lt;'PVC SCH80 LD Flange'!$A$17,VLOOKUP($A48,'PVC SCH80 LD Flange'!$A$8:$M$16,6,FALSE),
IF($A48&lt;CPVC!$A$105,VLOOKUP($A48,CPVC!$A$9:$M$104,6,FALSE),
IF($A48&lt;InsertFittings!$A$185,VLOOKUP($A48,InsertFittings!$A$9:$M$184,6,FALSE),
IF($A48&lt;Valves!$A$92,VLOOKUP($A48,Valves!$A$9:$Q$91,6,FALSE),
IF($A48&lt;SDR35SW!$A$133,VLOOKUP($A48,SDR35SW!$A$9:$M$132,6,FALSE),
IF($A48&lt;SDR35G!$A$151,VLOOKUP($A48,SDR35G!$A$9:$M$150,6,FALSE),
IF($A48&lt;SDR26G!$A$67,VLOOKUP($A48,SDR26G!$A$9:$N$66,7,FALSE),
IF($A48&lt;Cements!$A$95,VLOOKUP($A48,Cements!$A$8:$Q$94,6,FALSE),
IF($A48&lt;ValveBox!$A$124,VLOOKUP($A48,ValveBox!$A$9:$O$123,6,FALSE),
IF($A48&lt;'ValveBox Components'!$A$142,VLOOKUP($A48,'ValveBox Components'!$A$9:$N$141,6,FALSE),
IF($A48&lt;Drainage!$A$69,VLOOKUP($A48,Drainage!$A$8:$M$68,6,FALSE),
IF($A48&lt;Nipples!$A$82,VLOOKUP($A48,Nipples!$A$9:$Q$81,6,FALSE),
IF($A48&lt;Manifold!$A$33,VLOOKUP($A48,Manifold!$A$9:$M$32,6,FALSE),
IF($A48&lt;FlexibleRepairCouplings!$A$12,VLOOKUP($A48,FlexibleRepairCouplings!$A$9:$M$11,6,FALSE),
IF($A48&lt;DuraFix!$A$15,VLOOKUP($A48,DuraFix!$A$9:$M$14,6,FALSE),
IF($A48&lt;'Compression Fittings'!$A$16,VLOOKUP($A48,'Compression Fittings'!$A$8:$M$15,6,FALSE),
IF($A48&lt;'Hose Fittings'!$A$30,VLOOKUP($A48,'Hose Fittings'!$A$8:$M$29,6,FALSE),
IF($A48&lt;'Swing Joints'!$A$495,VLOOKUP($A48,'Swing Joints'!$A$9:$M$494,6,FALSE),
IF($A48&lt;'Swing Joints Components'!$A$135,VLOOKUP($A48,'Swing Joints Components'!$A$9:$M$134,6,FALSE),
IF($A48&lt;Nonstandard!$A$42,VLOOKUP($A48,Nonstandard!$A$31:$J$41,7,FALSE),"")))))))))))))))))))))))))))),"")</f>
        <v/>
      </c>
      <c r="E48" s="538"/>
      <c r="F48" s="539" t="str">
        <f>IFERROR(IF($A48&lt;'DWV PVC'!$A$317,VLOOKUP($A48,'DWV PVC'!$A$9:$M$316,9,FALSE),
IF($A48&lt;'DWV ABS'!$A$117,VLOOKUP($A48,'DWV ABS'!$A$8:$M$116,9,FALSE),                                                                                                                                                                                                                                                     IF($A48&lt;'PVC SCH40'!$A$425,VLOOKUP($A48,'PVC SCH40'!$A$8:$M$424,9,FALSE),
IF($A48&lt;'PVC SCH40 LD'!$A$22,VLOOKUP($A48,'PVC SCH40 LD'!$A$8:$M$21,9,FALSE),
IF($A48&lt;'Pool &amp; SPA Sweep Elbows'!$A$12,VLOOKUP($A48,'Pool &amp; SPA Sweep Elbows'!$A$8:$M$11,9,FALSE),
IF($A48&lt;'Pool &amp; SPA Pipe Extender'!$A$11,VLOOKUP($A48,'Pool &amp; SPA Pipe Extender'!$A$8:$M$10,9,FALSE),
IF($A48&lt;'PVC SCH80'!$A$250,VLOOKUP($A48,'PVC SCH80'!$A$8:$M$249,9,FALSE),
IF($A48&lt;'PVC SCH80 Flange'!$A$49,VLOOKUP($A48,'PVC SCH80 Flange'!$A$8:$M$48,9,FALSE),
IF($A48&lt;'PVC SCH80 LD Flange'!$A$17,VLOOKUP($A48,'PVC SCH80 LD Flange'!$A$8:$M$16,9,FALSE),
IF($A48&lt;CPVC!$A$105,VLOOKUP($A48,CPVC!$A$9:$M$104,9,FALSE),
IF($A48&lt;InsertFittings!$A$185,VLOOKUP($A48,InsertFittings!$A$9:$M$184,9,FALSE),
IF($A48&lt;Valves!$A$92,VLOOKUP($A48,Valves!$A$9:$Q$91,13,FALSE),
IF($A48&lt;SDR35SW!$A$133,VLOOKUP($A48,SDR35SW!$A$9:$M$132,9,FALSE),
IF($A48&lt;SDR35G!$A$151,VLOOKUP($A48,SDR35G!$A$9:$M$150,9,FALSE),                                                                                                                                                                                                                                                          IF($A48&lt;SDR26G!$A$67,VLOOKUP($A48,SDR26G!$A$9:$N$66,10,FALSE),                                                                                                                                                                                                                                                       IF($A48&lt;Cements!$A$95,VLOOKUP($A48,Cements!$A$8:$Q$94,13,FALSE),
IF($A48&lt;ValveBox!$A$124,VLOOKUP($A48,ValveBox!$A$9:$O$123,11,FALSE),
IF($A48&lt;'ValveBox Components'!$A$142,VLOOKUP($A48,'ValveBox Components'!$A$9:$N$141,10,FALSE),
IF($A48&lt;Drainage!$A$69,VLOOKUP($A48,Drainage!$A$8:$M$68,9,FALSE),                                                                                                                                                                                                                                                              IF($A48&lt;Nipples!$A$82,VLOOKUP($A48,Nipples!$A$9:$Q$81,13,FALSE),
IF($A48&lt;Manifold!$A$33,VLOOKUP($A48,Manifold!$A$9:$M$32,9,FALSE),
IF($A48&lt;FlexibleRepairCouplings!$A$12,VLOOKUP($A48,FlexibleRepairCouplings!$A$9:$M$11,9,FALSE),
IF($A48&lt;DuraFix!$A$15,VLOOKUP($A48,DuraFix!$A$9:$M$14,9,FALSE),                                                                                                                                                                                                                                                          IF($A48&lt;'Compression Fittings'!$A$16,VLOOKUP($A48,'Compression Fittings'!$A$8:$M$15,9,FALSE),
IF($A48&lt;'Hose Fittings'!$A$30,VLOOKUP($A48,'Hose Fittings'!$A$8:$M$29,9,FALSE),
IF($A48&lt;'Swing Joints'!$A$495,VLOOKUP($A48,'Swing Joints'!$A$9:$M$494,9,FALSE),
IF($A48&lt;'Swing Joints Components'!$A$135,VLOOKUP($A48,'Swing Joints Components'!$A$9:$M$134,9,FALSE),
IF($A48&lt;Nonstandard!$A$42,VLOOKUP($A48,Nonstandard!$A$31:$J$41,8,FALSE),"")))))))))))))))))))))))))))),"")</f>
        <v/>
      </c>
      <c r="G48" s="540" t="str">
        <f>IFERROR(IF($A48&lt;'DWV PVC'!$A$317,VLOOKUP($A48,'DWV PVC'!$A$9:$M$316,11,FALSE),
IF($A48&lt;'DWV ABS'!$A$117,VLOOKUP($A48,'DWV ABS'!$A$8:$M$116,11,FALSE),                                                                                                                                                                                                                                                     IF($A48&lt;'PVC SCH40'!$A$425,VLOOKUP($A48,'PVC SCH40'!$A$8:$M$424,11,FALSE),
IF($A48&lt;'PVC SCH40 LD'!$A$22,VLOOKUP($A48,'PVC SCH40 LD'!$A$8:$M$21,11,FALSE),
IF($A48&lt;'Pool &amp; SPA Sweep Elbows'!$A$12,VLOOKUP($A48,'Pool &amp; SPA Sweep Elbows'!$A$8:$M$11,11,FALSE),
IF($A48&lt;'Pool &amp; SPA Pipe Extender'!$A$11,VLOOKUP($A48,'Pool &amp; SPA Pipe Extender'!$A$8:$M$10,11,FALSE),
IF($A48&lt;'PVC SCH80'!$A$250,VLOOKUP($A48,'PVC SCH80'!$A$8:$M$249,11,FALSE),
IF($A48&lt;'PVC SCH80 Flange'!$A$49,VLOOKUP($A48,'PVC SCH80 Flange'!$A$8:$M$48,11,FALSE),
IF($A48&lt;'PVC SCH80 LD Flange'!$A$17,VLOOKUP($A48,'PVC SCH80 LD Flange'!$A$8:$M$16,11,FALSE),
IF($A48&lt;CPVC!$A$105,VLOOKUP($A48,CPVC!$A$9:$M$104,11,FALSE),
IF($A48&lt;InsertFittings!$A$185,VLOOKUP($A48,InsertFittings!$A$9:$M$184,11,FALSE),
IF($A48&lt;Valves!$A$92,VLOOKUP($A48,Valves!$A$9:$Q$91,15,FALSE),
IF($A48&lt;SDR35SW!$A$133,VLOOKUP($A48,SDR35SW!$A$9:$M$132,11,FALSE),
IF($A48&lt;SDR35G!$A$151,VLOOKUP($A48,SDR35G!$A$9:$M$150,11,FALSE),                                                                                                                                                                                                                                                          IF($A48&lt;SDR26G!$A$67,VLOOKUP($A48,SDR26G!$A$9:$N$66,12,FALSE),                                                                                                                                                                                                                                                       IF($A48&lt;Cements!$A$95,VLOOKUP($A48,Cements!$A$8:$Q$94,15,FALSE),
IF($A48&lt;ValveBox!$A$124,VLOOKUP($A48,ValveBox!$A$9:$O$123,13,FALSE),
IF($A48&lt;'ValveBox Components'!$A$142,VLOOKUP($A48,'ValveBox Components'!$A$9:$N$141,12,FALSE),
IF($A48&lt;Drainage!$A$69,VLOOKUP($A48,Drainage!$A$8:$M$68,11,FALSE),                                                                                                                                                                                                                                                           IF($A48&lt;Nipples!$A$82,VLOOKUP($A48,Nipples!$A$9:$Q$81,15,FALSE),
IF($A48&lt;Manifold!$A$33,VLOOKUP($A48,Manifold!$A$9:$M$32,11,FALSE),
IF($A48&lt;FlexibleRepairCouplings!$A$12,VLOOKUP($A48,FlexibleRepairCouplings!$A$9:$M$11,11,FALSE),
IF($A48&lt;DuraFix!$A$15,VLOOKUP($A48,DuraFix!$A$9:$M$14,11,FALSE),                                                                                                                                                                                                                                                            IF($A48&lt;'Compression Fittings'!$A$16,VLOOKUP($A48,'Compression Fittings'!$A$8:$M$15,11,FALSE),
IF($A48&lt;'Hose Fittings'!$A$30,VLOOKUP($A48,'Hose Fittings'!$A$8:$M$29,11,FALSE),
IF($A48&lt;'Swing Joints'!$A$495,VLOOKUP($A48,'Swing Joints'!$A$9:$M$494,11,FALSE),
IF($A48&lt;'Swing Joints Components'!$A$135,VLOOKUP($A48,'Swing Joints Components'!$A$9:$M$134,11,FALSE),
IF($A48&lt;Nonstandard!$A$42,VLOOKUP($A48,Nonstandard!$A$31:$J$41,10,FALSE),"")))))))))))))))))))))))))))),"")</f>
        <v/>
      </c>
      <c r="H48" s="620" t="str">
        <f>IFERROR(IF($A48&lt;'DWV PVC'!$A$317,VLOOKUP($A48,'DWV PVC'!$A$9:$M$316,7,FALSE),
IF($A48&lt;'DWV ABS'!$A$117,VLOOKUP($A48,'DWV ABS'!$A$8:$M$116,11,FALSE),                                                                                                                                                                                                                                                     IF($A48&lt;'PVC SCH40'!$A$425,VLOOKUP($A48,'PVC SCH40'!$A$8:$M$424,7,FALSE),
IF($A48&lt;'PVC SCH40 LD'!$A$22,VLOOKUP($A48,'PVC SCH40 LD'!$A$8:$M$21,7,FALSE),
IF($A48&lt;'Pool &amp; SPA Sweep Elbows'!$A$12,VLOOKUP($A48,'Pool &amp; SPA Sweep Elbows'!$A$8:$M$11,7,FALSE),
IF($A48&lt;'Pool &amp; SPA Pipe Extender'!$A$11,VLOOKUP($A48,'Pool &amp; SPA Pipe Extender'!$A$8:$M$10,7,FALSE),
IF($A48&lt;'PVC SCH80'!$A$250,VLOOKUP($A48,'PVC SCH80'!$A$8:$M$249,7,FALSE),
IF($A48&lt;'PVC SCH80 Flange'!$A$49,VLOOKUP($A48,'PVC SCH80 Flange'!$A$8:$M$48,7,FALSE),
IF($A48&lt;'PVC SCH80 LD Flange'!$A$17,VLOOKUP($A48,'PVC SCH80 LD Flange'!$A$8:$M$16,7,FALSE),
IF($A48&lt;CPVC!$A$105,VLOOKUP($A48,CPVC!$A$9:$M$104,7,FALSE),
IF($A48&lt;InsertFittings!$A$185,VLOOKUP($A48,InsertFittings!$A$9:$M$184,7,FALSE),
IF($A48&lt;Valves!$A$92,VLOOKUP($A48,Valves!$A$9:$Q$91,11,FALSE),
IF($A48&lt;SDR35SW!$A$133,VLOOKUP($A48,SDR35SW!$A$9:$M$132,7,FALSE),
IF($A48&lt;SDR35G!$A$151,VLOOKUP($A48,SDR35G!$A$9:$M$150,7,FALSE),                                                                                                                                                                                                                                                       IF($A48&lt;SDR26G!$A$67,VLOOKUP($A48,SDR26G!$A$9:$N$66,8,FALSE),                                                                                                                                                                                                                                                     IF($A48&lt;Cements!$A$95,VLOOKUP($A48,Cements!$A$8:$Q$94,11,FALSE),
IF($A48&lt;ValveBox!$A$124,VLOOKUP($A48,ValveBox!$A$9:$O$123,10,FALSE),
IF($A48&lt;'ValveBox Components'!$A$142,VLOOKUP($A48,'ValveBox Components'!$A$9:$N$141,9,FALSE),
IF($A48&lt;Drainage!$A$69,VLOOKUP($A48,Drainage!$A$8:$M$68,7,FALSE),                                                                                                                                                                                                                                                          IF($A48&lt;Nipples!$A$82,VLOOKUP($A48,Nipples!$A$9:$Q$81,11,FALSE),
IF($A48&lt;Manifold!$A$33,VLOOKUP($A48,Manifold!$A$9:$M$32,7,FALSE),
IF($A48&lt;FlexibleRepairCouplings!$A$12,VLOOKUP($A48,FlexibleRepairCouplings!$A$9:$M$11,7,FALSE),
IF($A48&lt;DuraFix!$A$15,VLOOKUP($A48,DuraFix!$A$9:$M$14,7,FALSE),                                                                                                                                                                                                                                                           IF($A48&lt;'Compression Fittings'!$A$16,VLOOKUP($A48,'Compression Fittings'!$A$8:$M$15,7,FALSE),
IF($A48&lt;'Hose Fittings'!$A$30,VLOOKUP($A48,'Hose Fittings'!$A$8:$M$29,7,FALSE),
IF($A48&lt;'Swing Joints'!$A$495,VLOOKUP($A48,'Swing Joints'!$A$9:$M$494,7,FALSE),
IF($A48&lt;'Swing Joints Components'!$A$135,VLOOKUP($A48,'Swing Joints Components'!$A$9:$M$134,7,FALSE),
IF($A48&lt;Nonstandard!$A$42,VLOOKUP($A48,Nonstandard!$A$31:$J$41,10,FALSE),"")))))))))))))))))))))))))))),"")</f>
        <v/>
      </c>
      <c r="I48" s="621"/>
      <c r="J48" s="541" t="str">
        <f t="shared" si="1"/>
        <v/>
      </c>
      <c r="K48" s="599" t="str">
        <f>IFERROR(IF($A48&lt;'DWV PVC'!$A$317,VLOOKUP($A48,'DWV PVC'!$A$9:$M$316,10,FALSE),
IF($A48&lt;'DWV ABS'!$A$117,VLOOKUP($A48,'DWV ABS'!$A$8:$M$116,10,FALSE),
IF($A48&lt;'PVC SCH40'!$A$425,VLOOKUP($A48,'PVC SCH40'!$A$8:$M$424,10,FALSE),
IF($A48&lt;'PVC SCH40 LD'!$A$22,VLOOKUP($A48,'PVC SCH40 LD'!$A$8:$M$21,10,FALSE),
IF($A48&lt;'Pool &amp; SPA Sweep Elbows'!$A$12,VLOOKUP($A48,'Pool &amp; SPA Sweep Elbows'!$A$8:$M$11,10,FALSE),
IF($A48&lt;'Pool &amp; SPA Pipe Extender'!$A$11,VLOOKUP($A48,'Pool &amp; SPA Pipe Extender'!$A$8:$M$10,10,FALSE),
IF($A48&lt;'PVC SCH80'!$A$250,VLOOKUP($A48,'PVC SCH80'!$A$8:$M$249,10,FALSE),
IF($A48&lt;'PVC SCH80 Flange'!$A$49,VLOOKUP($A48,'PVC SCH80 Flange'!$A$8:$M$48,10,FALSE),
IF($A48&lt;'PVC SCH80 LD Flange'!$A$17,VLOOKUP($A48,'PVC SCH80 LD Flange'!$A$8:$M$16,10,FALSE),
IF($A48&lt;CPVC!$A$105,VLOOKUP($A48,CPVC!$A$9:$M$104,10,FALSE),
IF($A48&lt;InsertFittings!$A$185,VLOOKUP($A48,InsertFittings!$A$9:$M$184,10,FALSE),
IF($A48&lt;Valves!$A$92,VLOOKUP($A48,Valves!$A$9:$Q$91,14,FALSE),
IF($A48&lt;SDR35SW!$A$133,VLOOKUP($A48,SDR35SW!$A$9:$M$132,10,FALSE),
IF($A48&lt;SDR35G!$A$151,VLOOKUP($A48,SDR35G!$A$9:$M$150,10,FALSE),
IF($A48&lt;SDR26G!$A$67,VLOOKUP($A48,SDR26G!$A$9:$N$66,11,FALSE),
IF($A48&lt;Cements!$A$95,VLOOKUP($A48,Cements!$A$8:$Q$94,14,FALSE),
IF($A48&lt;ValveBox!$A$124,VLOOKUP($A48,ValveBox!$A$9:$O$123,12,FALSE),
IF($A48&lt;'ValveBox Components'!$A$142,VLOOKUP($A48,'ValveBox Components'!$A$9:$N$141,11,FALSE),
IF($A48&lt;Drainage!$A$69,VLOOKUP($A48,Drainage!$A$8:$M$68,10,FALSE),
IF($A48&lt;Nipples!$A$82,VLOOKUP($A48,Nipples!$A$9:$Q$81,14,FALSE),
IF($A48&lt;Manifold!$A$33,VLOOKUP($A48,Manifold!$A$9:$M$32,10,FALSE),
IF($A48&lt;FlexibleRepairCouplings!$A$12,VLOOKUP($A48,FlexibleRepairCouplings!$A$9:$M$11,10,FALSE),
IF($A48&lt;DuraFix!$A$15,VLOOKUP($A48,DuraFix!$A$9:$M$14,10,FALSE),
IF($A48&lt;'Compression Fittings'!$A$16,VLOOKUP($A48,'Compression Fittings'!$A$8:$M$15,10,FALSE),
IF($A48&lt;'Hose Fittings'!$A$30,VLOOKUP($A48,'Hose Fittings'!$A$8:$M$29,10,FALSE),
IF($A48&lt;'Swing Joints'!$A$495,VLOOKUP($A48,'Swing Joints'!$A$9:$M$494,10,FALSE),
IF($A48&lt;'Swing Joints Components'!$A$135,VLOOKUP($A48,'Swing Joints Components'!$A$9:$M$134,10,FALSE),
IF($A48&lt;Nonstandard!$A$42,VLOOKUP($A48,Nonstandard!$A$31:$J$41,10,FALSE),"")))))))))))))))))))))))))))),"")</f>
        <v/>
      </c>
      <c r="L48" s="539" t="str">
        <f t="shared" si="0"/>
        <v>-</v>
      </c>
      <c r="M48" s="542"/>
    </row>
    <row r="49" spans="1:13" ht="15.6">
      <c r="A49" s="312">
        <v>17</v>
      </c>
      <c r="B49" s="312" t="str">
        <f>IFERROR(IF($A49&lt;'DWV PVC'!$A$317,VLOOKUP($A49,'DWV PVC'!$A$9:$M$316,4,FALSE),
IF($A49&lt;'DWV ABS'!$A$117,VLOOKUP($A49,'DWV ABS'!$A$8:$M$116,4,FALSE),
IF($A49&lt;'PVC SCH40'!$A$425,VLOOKUP($A49,'PVC SCH40'!$A$8:$M$424,4,FALSE),
IF($A49&lt;'PVC SCH40 LD'!$A$22,VLOOKUP($A49,'PVC SCH40 LD'!$A$8:$M$21,4,FALSE),
IF($A49&lt;'Pool &amp; SPA Sweep Elbows'!$A$12,VLOOKUP($A49,'Pool &amp; SPA Sweep Elbows'!$A$8:$M$11,4,FALSE),
IF($A49&lt;'Pool &amp; SPA Pipe Extender'!$A$11,VLOOKUP($A49,'Pool &amp; SPA Pipe Extender'!$A$8:$M$10,4,FALSE),
IF($A49&lt;'PVC SCH80'!$A$250,VLOOKUP($A49,'PVC SCH80'!$A$8:$M$249,4,FALSE),
IF($A49&lt;'PVC SCH80 Flange'!$A$49,VLOOKUP($A49,'PVC SCH80 Flange'!$A$8:$M$48,4,FALSE),
IF($A49&lt;'PVC SCH80 LD Flange'!$A$17,VLOOKUP($A49,'PVC SCH80 LD Flange'!$A$8:$M$16,4,FALSE),
IF($A49&lt;CPVC!$A$105,VLOOKUP($A49,CPVC!$A$9:$M$104,4,FALSE),
IF($A49&lt;InsertFittings!$A$185,VLOOKUP($A49,InsertFittings!$A$9:$M$184,4,FALSE),
IF($A49&lt;Valves!$A$92,VLOOKUP($A49,Valves!$A$9:$Q$91,4,FALSE),
IF($A49&lt;SDR35SW!$A$133,VLOOKUP($A49,SDR35SW!$A$9:$M$132,4,FALSE),
IF($A49&lt;SDR35G!$A$151,VLOOKUP($A49,SDR35G!$A$9:$M$150,4,FALSE),
IF($A49&lt;SDR26G!$A$67,VLOOKUP($A49,SDR26G!$A$9:$N$66,5,FALSE),
IF($A49&lt;Cements!$A$95,VLOOKUP($A49,Cements!$A$8:$Q$94,4,FALSE),
IF($A49&lt;ValveBox!$A$124,VLOOKUP($A49,ValveBox!$A$9:$O$123,4,FALSE),
IF($A49&lt;'ValveBox Components'!$A$142,VLOOKUP($A49,'ValveBox Components'!$A$9:$N$141,4,FALSE),
IF($A49&lt;Drainage!$A$69,VLOOKUP($A49,Drainage!$A$8:$M$68,4,FALSE),
IF($A49&lt;Nipples!$A$82,VLOOKUP($A49,Nipples!$A$9:$Q$81,4,FALSE),
IF($A49&lt;Manifold!$A$33,VLOOKUP($A49,Manifold!$A$9:$M$32,4,FALSE),
IF($A49&lt;FlexibleRepairCouplings!$A$12,VLOOKUP($A49,FlexibleRepairCouplings!$A$9:$M$11,4,FALSE),
IF($A49&lt;DuraFix!$A$15,VLOOKUP($A49,DuraFix!$A$9:$M$14,4,FALSE),
IF($A49&lt;'Compression Fittings'!$A$16,VLOOKUP($A49,'Compression Fittings'!$A$8:$M$15,4,FALSE),
IF($A49&lt;'Hose Fittings'!$A$30,VLOOKUP($A49,'Hose Fittings'!$A$8:$M$29,4,FALSE),
IF($A49&lt;'Swing Joints'!$A$495,VLOOKUP($A49,'Swing Joints'!$A$9:$M$494,4,FALSE),
IF($A49&lt;'Swing Joints Components'!$A$135,VLOOKUP($A49,'Swing Joints Components'!$A$9:$M$134,4,FALSE),
IF($A49&lt;Nonstandard!$A$42,VLOOKUP($A49,Nonstandard!$A$31:$J$41,5,FALSE),"")))))))))))))))))))))))))))),"")</f>
        <v/>
      </c>
      <c r="C49" s="312" t="str">
        <f>IFERROR(IF($A49&lt;'DWV PVC'!$A$317,VLOOKUP($A49,'DWV PVC'!$A$9:$M$316,5,FALSE),
IF($A49&lt;'DWV ABS'!$A$117,VLOOKUP($A49,'DWV ABS'!$A$8:$M$116,5,FALSE),
IF($A49&lt;'PVC SCH40'!$A$425,VLOOKUP($A49,'PVC SCH40'!$A$8:$M$424,5,FALSE),
IF($A49&lt;'PVC SCH40 LD'!$A$22,VLOOKUP($A49,'PVC SCH40 LD'!$A$8:$M$21,5,FALSE),
IF($A49&lt;'Pool &amp; SPA Sweep Elbows'!$A$12,VLOOKUP($A49,'Pool &amp; SPA Sweep Elbows'!$A$8:$M$11,5,FALSE),
IF($A49&lt;'Pool &amp; SPA Pipe Extender'!$A$11,VLOOKUP($A49,'Pool &amp; SPA Pipe Extender'!$A$8:$M$10,5,FALSE),
IF($A49&lt;'PVC SCH80'!$A$250,VLOOKUP($A49,'PVC SCH80'!$A$8:$M$249,5,FALSE),
IF($A49&lt;'PVC SCH80 Flange'!$A$49,VLOOKUP($A49,'PVC SCH80 Flange'!$A$8:$M$48,5,FALSE),
IF($A49&lt;'PVC SCH80 LD Flange'!$A$17,VLOOKUP($A49,'PVC SCH80 LD Flange'!$A$8:$M$16,5,FALSE),
IF($A49&lt;CPVC!$A$105,VLOOKUP($A49,CPVC!$A$9:$M$104,5,FALSE),
IF($A49&lt;InsertFittings!$A$185,VLOOKUP($A49,InsertFittings!$A$9:$M$184,5,FALSE),
IF($A49&lt;Valves!$A$92,VLOOKUP($A49,Valves!$A$9:$Q$91,5,FALSE),
IF($A49&lt;SDR35SW!$A$133,VLOOKUP($A49,SDR35SW!$A$9:$M$132,5,FALSE),
IF($A49&lt;SDR35G!$A$151,VLOOKUP($A49,SDR35G!$A$9:$M$150,5,FALSE),
IF($A49&lt;SDR26G!$A$67,VLOOKUP($A49,SDR26G!$A$9:$N$66,6,FALSE),
IF($A49&lt;Cements!$A$95,VLOOKUP($A49,Cements!$A$8:$Q$94,5,FALSE),
IF($A49&lt;ValveBox!$A$124,VLOOKUP($A49,ValveBox!$A$9:$O$123,5,FALSE),
IF($A49&lt;'ValveBox Components'!$A$142,VLOOKUP($A49,'ValveBox Components'!$A$9:$N$141,5,FALSE),
IF($A49&lt;Drainage!$A$69,VLOOKUP($A49,Drainage!$A$8:$M$68,5,FALSE),
IF($A49&lt;Nipples!$A$82,VLOOKUP($A49,Nipples!$A$9:$Q$81,5,FALSE),
IF($A49&lt;Manifold!$A$33,VLOOKUP($A49,Manifold!$A$9:$M$32,5,FALSE),
IF($A49&lt;FlexibleRepairCouplings!$A$12,VLOOKUP($A49,FlexibleRepairCouplings!$A$9:$M$11,5,FALSE),
IF($A49&lt;DuraFix!$A$15,VLOOKUP($A49,DuraFix!$A$9:$M$14,5,FALSE),
IF($A49&lt;'Compression Fittings'!$A$16,VLOOKUP($A49,'Compression Fittings'!$A$8:$M$15,5,FALSE),
IF($A49&lt;'Hose Fittings'!$A$30,VLOOKUP($A49,'Hose Fittings'!$A$8:$M$29,5,FALSE),
IF($A49&lt;'Swing Joints'!$A$495,VLOOKUP($A49,'Swing Joints'!$A$9:$M$494,5,FALSE),
IF($A49&lt;'Swing Joints Components'!$A$135,VLOOKUP($A49,'Swing Joints Components'!$A$9:$M$134,5,FALSE),
IF($A49&lt;Nonstandard!$A$42,VLOOKUP($A49,Nonstandard!$A$31:$J$41,6,FALSE),"")))))))))))))))))))))))))))),"")</f>
        <v/>
      </c>
      <c r="D49" s="534" t="str">
        <f>IFERROR(IF($A49&lt;'DWV PVC'!$A$317,VLOOKUP($A49,'DWV PVC'!$A$9:$M$316,6,FALSE),
IF($A49&lt;'DWV ABS'!$A$117,VLOOKUP($A49,'DWV ABS'!$A$8:$M$116,6,FALSE),
IF($A49&lt;'PVC SCH40'!$A$425,VLOOKUP($A49,'PVC SCH40'!$A$8:$M$424,6,FALSE),
IF($A49&lt;'PVC SCH40 LD'!$A$22,VLOOKUP($A49,'PVC SCH40 LD'!$A$8:$M$21,6,FALSE),
IF($A49&lt;'Pool &amp; SPA Sweep Elbows'!$A$12,VLOOKUP($A49,'Pool &amp; SPA Sweep Elbows'!$A$8:$M$11,6,FALSE),
IF($A49&lt;'Pool &amp; SPA Pipe Extender'!$A$11,VLOOKUP($A49,'Pool &amp; SPA Pipe Extender'!$A$8:$M$10,6,FALSE),
IF($A49&lt;'PVC SCH80'!$A$250,VLOOKUP($A49,'PVC SCH80'!$A$8:$M$249,6,FALSE),
IF($A49&lt;'PVC SCH80 Flange'!$A$49,VLOOKUP($A49,'PVC SCH80 Flange'!$A$8:$M$48,6,FALSE),
IF($A49&lt;'PVC SCH80 LD Flange'!$A$17,VLOOKUP($A49,'PVC SCH80 LD Flange'!$A$8:$M$16,6,FALSE),
IF($A49&lt;CPVC!$A$105,VLOOKUP($A49,CPVC!$A$9:$M$104,6,FALSE),
IF($A49&lt;InsertFittings!$A$185,VLOOKUP($A49,InsertFittings!$A$9:$M$184,6,FALSE),
IF($A49&lt;Valves!$A$92,VLOOKUP($A49,Valves!$A$9:$Q$91,6,FALSE),
IF($A49&lt;SDR35SW!$A$133,VLOOKUP($A49,SDR35SW!$A$9:$M$132,6,FALSE),
IF($A49&lt;SDR35G!$A$151,VLOOKUP($A49,SDR35G!$A$9:$M$150,6,FALSE),
IF($A49&lt;SDR26G!$A$67,VLOOKUP($A49,SDR26G!$A$9:$N$66,7,FALSE),
IF($A49&lt;Cements!$A$95,VLOOKUP($A49,Cements!$A$8:$Q$94,6,FALSE),
IF($A49&lt;ValveBox!$A$124,VLOOKUP($A49,ValveBox!$A$9:$O$123,6,FALSE),
IF($A49&lt;'ValveBox Components'!$A$142,VLOOKUP($A49,'ValveBox Components'!$A$9:$N$141,6,FALSE),
IF($A49&lt;Drainage!$A$69,VLOOKUP($A49,Drainage!$A$8:$M$68,6,FALSE),
IF($A49&lt;Nipples!$A$82,VLOOKUP($A49,Nipples!$A$9:$Q$81,6,FALSE),
IF($A49&lt;Manifold!$A$33,VLOOKUP($A49,Manifold!$A$9:$M$32,6,FALSE),
IF($A49&lt;FlexibleRepairCouplings!$A$12,VLOOKUP($A49,FlexibleRepairCouplings!$A$9:$M$11,6,FALSE),
IF($A49&lt;DuraFix!$A$15,VLOOKUP($A49,DuraFix!$A$9:$M$14,6,FALSE),
IF($A49&lt;'Compression Fittings'!$A$16,VLOOKUP($A49,'Compression Fittings'!$A$8:$M$15,6,FALSE),
IF($A49&lt;'Hose Fittings'!$A$30,VLOOKUP($A49,'Hose Fittings'!$A$8:$M$29,6,FALSE),
IF($A49&lt;'Swing Joints'!$A$495,VLOOKUP($A49,'Swing Joints'!$A$9:$M$494,6,FALSE),
IF($A49&lt;'Swing Joints Components'!$A$135,VLOOKUP($A49,'Swing Joints Components'!$A$9:$M$134,6,FALSE),
IF($A49&lt;Nonstandard!$A$42,VLOOKUP($A49,Nonstandard!$A$31:$J$41,7,FALSE),"")))))))))))))))))))))))))))),"")</f>
        <v/>
      </c>
      <c r="E49" s="316"/>
      <c r="F49" s="314" t="str">
        <f>IFERROR(IF($A49&lt;'DWV PVC'!$A$317,VLOOKUP($A49,'DWV PVC'!$A$9:$M$316,9,FALSE),
IF($A49&lt;'DWV ABS'!$A$117,VLOOKUP($A49,'DWV ABS'!$A$8:$M$116,9,FALSE),                                                                                                                                                                                                                                                     IF($A49&lt;'PVC SCH40'!$A$425,VLOOKUP($A49,'PVC SCH40'!$A$8:$M$424,9,FALSE),
IF($A49&lt;'PVC SCH40 LD'!$A$22,VLOOKUP($A49,'PVC SCH40 LD'!$A$8:$M$21,9,FALSE),
IF($A49&lt;'Pool &amp; SPA Sweep Elbows'!$A$12,VLOOKUP($A49,'Pool &amp; SPA Sweep Elbows'!$A$8:$M$11,9,FALSE),
IF($A49&lt;'Pool &amp; SPA Pipe Extender'!$A$11,VLOOKUP($A49,'Pool &amp; SPA Pipe Extender'!$A$8:$M$10,9,FALSE),
IF($A49&lt;'PVC SCH80'!$A$250,VLOOKUP($A49,'PVC SCH80'!$A$8:$M$249,9,FALSE),
IF($A49&lt;'PVC SCH80 Flange'!$A$49,VLOOKUP($A49,'PVC SCH80 Flange'!$A$8:$M$48,9,FALSE),
IF($A49&lt;'PVC SCH80 LD Flange'!$A$17,VLOOKUP($A49,'PVC SCH80 LD Flange'!$A$8:$M$16,9,FALSE),
IF($A49&lt;CPVC!$A$105,VLOOKUP($A49,CPVC!$A$9:$M$104,9,FALSE),
IF($A49&lt;InsertFittings!$A$185,VLOOKUP($A49,InsertFittings!$A$9:$M$184,9,FALSE),
IF($A49&lt;Valves!$A$92,VLOOKUP($A49,Valves!$A$9:$Q$91,13,FALSE),
IF($A49&lt;SDR35SW!$A$133,VLOOKUP($A49,SDR35SW!$A$9:$M$132,9,FALSE),
IF($A49&lt;SDR35G!$A$151,VLOOKUP($A49,SDR35G!$A$9:$M$150,9,FALSE),                                                                                                                                                                                                                                                          IF($A49&lt;SDR26G!$A$67,VLOOKUP($A49,SDR26G!$A$9:$N$66,10,FALSE),                                                                                                                                                                                                                                                       IF($A49&lt;Cements!$A$95,VLOOKUP($A49,Cements!$A$8:$Q$94,13,FALSE),
IF($A49&lt;ValveBox!$A$124,VLOOKUP($A49,ValveBox!$A$9:$O$123,11,FALSE),
IF($A49&lt;'ValveBox Components'!$A$142,VLOOKUP($A49,'ValveBox Components'!$A$9:$N$141,10,FALSE),
IF($A49&lt;Drainage!$A$69,VLOOKUP($A49,Drainage!$A$8:$M$68,9,FALSE),                                                                                                                                                                                                                                                              IF($A49&lt;Nipples!$A$82,VLOOKUP($A49,Nipples!$A$9:$Q$81,13,FALSE),
IF($A49&lt;Manifold!$A$33,VLOOKUP($A49,Manifold!$A$9:$M$32,9,FALSE),
IF($A49&lt;FlexibleRepairCouplings!$A$12,VLOOKUP($A49,FlexibleRepairCouplings!$A$9:$M$11,9,FALSE),
IF($A49&lt;DuraFix!$A$15,VLOOKUP($A49,DuraFix!$A$9:$M$14,9,FALSE),                                                                                                                                                                                                                                                          IF($A49&lt;'Compression Fittings'!$A$16,VLOOKUP($A49,'Compression Fittings'!$A$8:$M$15,9,FALSE),
IF($A49&lt;'Hose Fittings'!$A$30,VLOOKUP($A49,'Hose Fittings'!$A$8:$M$29,9,FALSE),
IF($A49&lt;'Swing Joints'!$A$495,VLOOKUP($A49,'Swing Joints'!$A$9:$M$494,9,FALSE),
IF($A49&lt;'Swing Joints Components'!$A$135,VLOOKUP($A49,'Swing Joints Components'!$A$9:$M$134,9,FALSE),
IF($A49&lt;Nonstandard!$A$42,VLOOKUP($A49,Nonstandard!$A$31:$J$41,8,FALSE),"")))))))))))))))))))))))))))),"")</f>
        <v/>
      </c>
      <c r="G49" s="533" t="str">
        <f>IFERROR(IF($A49&lt;'DWV PVC'!$A$317,VLOOKUP($A49,'DWV PVC'!$A$9:$M$316,11,FALSE),
IF($A49&lt;'DWV ABS'!$A$117,VLOOKUP($A49,'DWV ABS'!$A$8:$M$116,11,FALSE),                                                                                                                                                                                                                                                     IF($A49&lt;'PVC SCH40'!$A$425,VLOOKUP($A49,'PVC SCH40'!$A$8:$M$424,11,FALSE),
IF($A49&lt;'PVC SCH40 LD'!$A$22,VLOOKUP($A49,'PVC SCH40 LD'!$A$8:$M$21,11,FALSE),
IF($A49&lt;'Pool &amp; SPA Sweep Elbows'!$A$12,VLOOKUP($A49,'Pool &amp; SPA Sweep Elbows'!$A$8:$M$11,11,FALSE),
IF($A49&lt;'Pool &amp; SPA Pipe Extender'!$A$11,VLOOKUP($A49,'Pool &amp; SPA Pipe Extender'!$A$8:$M$10,11,FALSE),
IF($A49&lt;'PVC SCH80'!$A$250,VLOOKUP($A49,'PVC SCH80'!$A$8:$M$249,11,FALSE),
IF($A49&lt;'PVC SCH80 Flange'!$A$49,VLOOKUP($A49,'PVC SCH80 Flange'!$A$8:$M$48,11,FALSE),
IF($A49&lt;'PVC SCH80 LD Flange'!$A$17,VLOOKUP($A49,'PVC SCH80 LD Flange'!$A$8:$M$16,11,FALSE),
IF($A49&lt;CPVC!$A$105,VLOOKUP($A49,CPVC!$A$9:$M$104,11,FALSE),
IF($A49&lt;InsertFittings!$A$185,VLOOKUP($A49,InsertFittings!$A$9:$M$184,11,FALSE),
IF($A49&lt;Valves!$A$92,VLOOKUP($A49,Valves!$A$9:$Q$91,15,FALSE),
IF($A49&lt;SDR35SW!$A$133,VLOOKUP($A49,SDR35SW!$A$9:$M$132,11,FALSE),
IF($A49&lt;SDR35G!$A$151,VLOOKUP($A49,SDR35G!$A$9:$M$150,11,FALSE),                                                                                                                                                                                                                                                          IF($A49&lt;SDR26G!$A$67,VLOOKUP($A49,SDR26G!$A$9:$N$66,12,FALSE),                                                                                                                                                                                                                                                       IF($A49&lt;Cements!$A$95,VLOOKUP($A49,Cements!$A$8:$Q$94,15,FALSE),
IF($A49&lt;ValveBox!$A$124,VLOOKUP($A49,ValveBox!$A$9:$O$123,13,FALSE),
IF($A49&lt;'ValveBox Components'!$A$142,VLOOKUP($A49,'ValveBox Components'!$A$9:$N$141,12,FALSE),
IF($A49&lt;Drainage!$A$69,VLOOKUP($A49,Drainage!$A$8:$M$68,11,FALSE),                                                                                                                                                                                                                                                           IF($A49&lt;Nipples!$A$82,VLOOKUP($A49,Nipples!$A$9:$Q$81,15,FALSE),
IF($A49&lt;Manifold!$A$33,VLOOKUP($A49,Manifold!$A$9:$M$32,11,FALSE),
IF($A49&lt;FlexibleRepairCouplings!$A$12,VLOOKUP($A49,FlexibleRepairCouplings!$A$9:$M$11,11,FALSE),
IF($A49&lt;DuraFix!$A$15,VLOOKUP($A49,DuraFix!$A$9:$M$14,11,FALSE),                                                                                                                                                                                                                                                            IF($A49&lt;'Compression Fittings'!$A$16,VLOOKUP($A49,'Compression Fittings'!$A$8:$M$15,11,FALSE),
IF($A49&lt;'Hose Fittings'!$A$30,VLOOKUP($A49,'Hose Fittings'!$A$8:$M$29,11,FALSE),
IF($A49&lt;'Swing Joints'!$A$495,VLOOKUP($A49,'Swing Joints'!$A$9:$M$494,11,FALSE),
IF($A49&lt;'Swing Joints Components'!$A$135,VLOOKUP($A49,'Swing Joints Components'!$A$9:$M$134,11,FALSE),
IF($A49&lt;Nonstandard!$A$42,VLOOKUP($A49,Nonstandard!$A$31:$J$41,10,FALSE),"")))))))))))))))))))))))))))),"")</f>
        <v/>
      </c>
      <c r="H49" s="618" t="str">
        <f>IFERROR(IF($A49&lt;'DWV PVC'!$A$317,VLOOKUP($A49,'DWV PVC'!$A$9:$M$316,7,FALSE),
IF($A49&lt;'DWV ABS'!$A$117,VLOOKUP($A49,'DWV ABS'!$A$8:$M$116,11,FALSE),                                                                                                                                                                                                                                                     IF($A49&lt;'PVC SCH40'!$A$425,VLOOKUP($A49,'PVC SCH40'!$A$8:$M$424,7,FALSE),
IF($A49&lt;'PVC SCH40 LD'!$A$22,VLOOKUP($A49,'PVC SCH40 LD'!$A$8:$M$21,7,FALSE),
IF($A49&lt;'Pool &amp; SPA Sweep Elbows'!$A$12,VLOOKUP($A49,'Pool &amp; SPA Sweep Elbows'!$A$8:$M$11,7,FALSE),
IF($A49&lt;'Pool &amp; SPA Pipe Extender'!$A$11,VLOOKUP($A49,'Pool &amp; SPA Pipe Extender'!$A$8:$M$10,7,FALSE),
IF($A49&lt;'PVC SCH80'!$A$250,VLOOKUP($A49,'PVC SCH80'!$A$8:$M$249,7,FALSE),
IF($A49&lt;'PVC SCH80 Flange'!$A$49,VLOOKUP($A49,'PVC SCH80 Flange'!$A$8:$M$48,7,FALSE),
IF($A49&lt;'PVC SCH80 LD Flange'!$A$17,VLOOKUP($A49,'PVC SCH80 LD Flange'!$A$8:$M$16,7,FALSE),
IF($A49&lt;CPVC!$A$105,VLOOKUP($A49,CPVC!$A$9:$M$104,7,FALSE),
IF($A49&lt;InsertFittings!$A$185,VLOOKUP($A49,InsertFittings!$A$9:$M$184,7,FALSE),
IF($A49&lt;Valves!$A$92,VLOOKUP($A49,Valves!$A$9:$Q$91,11,FALSE),
IF($A49&lt;SDR35SW!$A$133,VLOOKUP($A49,SDR35SW!$A$9:$M$132,7,FALSE),
IF($A49&lt;SDR35G!$A$151,VLOOKUP($A49,SDR35G!$A$9:$M$150,7,FALSE),                                                                                                                                                                                                                                                       IF($A49&lt;SDR26G!$A$67,VLOOKUP($A49,SDR26G!$A$9:$N$66,8,FALSE),                                                                                                                                                                                                                                                     IF($A49&lt;Cements!$A$95,VLOOKUP($A49,Cements!$A$8:$Q$94,11,FALSE),
IF($A49&lt;ValveBox!$A$124,VLOOKUP($A49,ValveBox!$A$9:$O$123,10,FALSE),
IF($A49&lt;'ValveBox Components'!$A$142,VLOOKUP($A49,'ValveBox Components'!$A$9:$N$141,9,FALSE),
IF($A49&lt;Drainage!$A$69,VLOOKUP($A49,Drainage!$A$8:$M$68,7,FALSE),                                                                                                                                                                                                                                                          IF($A49&lt;Nipples!$A$82,VLOOKUP($A49,Nipples!$A$9:$Q$81,11,FALSE),
IF($A49&lt;Manifold!$A$33,VLOOKUP($A49,Manifold!$A$9:$M$32,7,FALSE),
IF($A49&lt;FlexibleRepairCouplings!$A$12,VLOOKUP($A49,FlexibleRepairCouplings!$A$9:$M$11,7,FALSE),
IF($A49&lt;DuraFix!$A$15,VLOOKUP($A49,DuraFix!$A$9:$M$14,7,FALSE),                                                                                                                                                                                                                                                           IF($A49&lt;'Compression Fittings'!$A$16,VLOOKUP($A49,'Compression Fittings'!$A$8:$M$15,7,FALSE),
IF($A49&lt;'Hose Fittings'!$A$30,VLOOKUP($A49,'Hose Fittings'!$A$8:$M$29,7,FALSE),
IF($A49&lt;'Swing Joints'!$A$495,VLOOKUP($A49,'Swing Joints'!$A$9:$M$494,7,FALSE),
IF($A49&lt;'Swing Joints Components'!$A$135,VLOOKUP($A49,'Swing Joints Components'!$A$9:$M$134,7,FALSE),
IF($A49&lt;Nonstandard!$A$42,VLOOKUP($A49,Nonstandard!$A$31:$J$41,10,FALSE),"")))))))))))))))))))))))))))),"")</f>
        <v/>
      </c>
      <c r="I49" s="619"/>
      <c r="J49" s="281" t="str">
        <f t="shared" si="1"/>
        <v/>
      </c>
      <c r="K49" s="313" t="str">
        <f>IFERROR(IF($A49&lt;'DWV PVC'!$A$317,VLOOKUP($A49,'DWV PVC'!$A$9:$M$316,10,FALSE),
IF($A49&lt;'DWV ABS'!$A$117,VLOOKUP($A49,'DWV ABS'!$A$8:$M$116,10,FALSE),
IF($A49&lt;'PVC SCH40'!$A$425,VLOOKUP($A49,'PVC SCH40'!$A$8:$M$424,10,FALSE),
IF($A49&lt;'PVC SCH40 LD'!$A$22,VLOOKUP($A49,'PVC SCH40 LD'!$A$8:$M$21,10,FALSE),
IF($A49&lt;'Pool &amp; SPA Sweep Elbows'!$A$12,VLOOKUP($A49,'Pool &amp; SPA Sweep Elbows'!$A$8:$M$11,10,FALSE),
IF($A49&lt;'Pool &amp; SPA Pipe Extender'!$A$11,VLOOKUP($A49,'Pool &amp; SPA Pipe Extender'!$A$8:$M$10,10,FALSE),
IF($A49&lt;'PVC SCH80'!$A$250,VLOOKUP($A49,'PVC SCH80'!$A$8:$M$249,10,FALSE),
IF($A49&lt;'PVC SCH80 Flange'!$A$49,VLOOKUP($A49,'PVC SCH80 Flange'!$A$8:$M$48,10,FALSE),
IF($A49&lt;'PVC SCH80 LD Flange'!$A$17,VLOOKUP($A49,'PVC SCH80 LD Flange'!$A$8:$M$16,10,FALSE),
IF($A49&lt;CPVC!$A$105,VLOOKUP($A49,CPVC!$A$9:$M$104,10,FALSE),
IF($A49&lt;InsertFittings!$A$185,VLOOKUP($A49,InsertFittings!$A$9:$M$184,10,FALSE),
IF($A49&lt;Valves!$A$92,VLOOKUP($A49,Valves!$A$9:$Q$91,14,FALSE),
IF($A49&lt;SDR35SW!$A$133,VLOOKUP($A49,SDR35SW!$A$9:$M$132,10,FALSE),
IF($A49&lt;SDR35G!$A$151,VLOOKUP($A49,SDR35G!$A$9:$M$150,10,FALSE),
IF($A49&lt;SDR26G!$A$67,VLOOKUP($A49,SDR26G!$A$9:$N$66,11,FALSE),
IF($A49&lt;Cements!$A$95,VLOOKUP($A49,Cements!$A$8:$Q$94,14,FALSE),
IF($A49&lt;ValveBox!$A$124,VLOOKUP($A49,ValveBox!$A$9:$O$123,12,FALSE),
IF($A49&lt;'ValveBox Components'!$A$142,VLOOKUP($A49,'ValveBox Components'!$A$9:$N$141,11,FALSE),
IF($A49&lt;Drainage!$A$69,VLOOKUP($A49,Drainage!$A$8:$M$68,10,FALSE),
IF($A49&lt;Nipples!$A$82,VLOOKUP($A49,Nipples!$A$9:$Q$81,14,FALSE),
IF($A49&lt;Manifold!$A$33,VLOOKUP($A49,Manifold!$A$9:$M$32,10,FALSE),
IF($A49&lt;FlexibleRepairCouplings!$A$12,VLOOKUP($A49,FlexibleRepairCouplings!$A$9:$M$11,10,FALSE),
IF($A49&lt;DuraFix!$A$15,VLOOKUP($A49,DuraFix!$A$9:$M$14,10,FALSE),
IF($A49&lt;'Compression Fittings'!$A$16,VLOOKUP($A49,'Compression Fittings'!$A$8:$M$15,10,FALSE),
IF($A49&lt;'Hose Fittings'!$A$30,VLOOKUP($A49,'Hose Fittings'!$A$8:$M$29,10,FALSE),
IF($A49&lt;'Swing Joints'!$A$495,VLOOKUP($A49,'Swing Joints'!$A$9:$M$494,10,FALSE),
IF($A49&lt;'Swing Joints Components'!$A$135,VLOOKUP($A49,'Swing Joints Components'!$A$9:$M$134,10,FALSE),
IF($A49&lt;Nonstandard!$A$42,VLOOKUP($A49,Nonstandard!$A$31:$J$41,10,FALSE),"")))))))))))))))))))))))))))),"")</f>
        <v/>
      </c>
      <c r="L49" s="314" t="str">
        <f t="shared" si="0"/>
        <v>-</v>
      </c>
      <c r="M49" s="315"/>
    </row>
    <row r="50" spans="1:13" ht="15.6">
      <c r="A50" s="536">
        <v>18</v>
      </c>
      <c r="B50" s="536" t="str">
        <f>IFERROR(IF($A50&lt;'DWV PVC'!$A$317,VLOOKUP($A50,'DWV PVC'!$A$9:$M$316,4,FALSE),
IF($A50&lt;'DWV ABS'!$A$117,VLOOKUP($A50,'DWV ABS'!$A$8:$M$116,4,FALSE),
IF($A50&lt;'PVC SCH40'!$A$425,VLOOKUP($A50,'PVC SCH40'!$A$8:$M$424,4,FALSE),
IF($A50&lt;'PVC SCH40 LD'!$A$22,VLOOKUP($A50,'PVC SCH40 LD'!$A$8:$M$21,4,FALSE),
IF($A50&lt;'Pool &amp; SPA Sweep Elbows'!$A$12,VLOOKUP($A50,'Pool &amp; SPA Sweep Elbows'!$A$8:$M$11,4,FALSE),
IF($A50&lt;'Pool &amp; SPA Pipe Extender'!$A$11,VLOOKUP($A50,'Pool &amp; SPA Pipe Extender'!$A$8:$M$10,4,FALSE),
IF($A50&lt;'PVC SCH80'!$A$250,VLOOKUP($A50,'PVC SCH80'!$A$8:$M$249,4,FALSE),
IF($A50&lt;'PVC SCH80 Flange'!$A$49,VLOOKUP($A50,'PVC SCH80 Flange'!$A$8:$M$48,4,FALSE),
IF($A50&lt;'PVC SCH80 LD Flange'!$A$17,VLOOKUP($A50,'PVC SCH80 LD Flange'!$A$8:$M$16,4,FALSE),
IF($A50&lt;CPVC!$A$105,VLOOKUP($A50,CPVC!$A$9:$M$104,4,FALSE),
IF($A50&lt;InsertFittings!$A$185,VLOOKUP($A50,InsertFittings!$A$9:$M$184,4,FALSE),
IF($A50&lt;Valves!$A$92,VLOOKUP($A50,Valves!$A$9:$Q$91,4,FALSE),
IF($A50&lt;SDR35SW!$A$133,VLOOKUP($A50,SDR35SW!$A$9:$M$132,4,FALSE),
IF($A50&lt;SDR35G!$A$151,VLOOKUP($A50,SDR35G!$A$9:$M$150,4,FALSE),
IF($A50&lt;SDR26G!$A$67,VLOOKUP($A50,SDR26G!$A$9:$N$66,5,FALSE),
IF($A50&lt;Cements!$A$95,VLOOKUP($A50,Cements!$A$8:$Q$94,4,FALSE),
IF($A50&lt;ValveBox!$A$124,VLOOKUP($A50,ValveBox!$A$9:$O$123,4,FALSE),
IF($A50&lt;'ValveBox Components'!$A$142,VLOOKUP($A50,'ValveBox Components'!$A$9:$N$141,4,FALSE),
IF($A50&lt;Drainage!$A$69,VLOOKUP($A50,Drainage!$A$8:$M$68,4,FALSE),
IF($A50&lt;Nipples!$A$82,VLOOKUP($A50,Nipples!$A$9:$Q$81,4,FALSE),
IF($A50&lt;Manifold!$A$33,VLOOKUP($A50,Manifold!$A$9:$M$32,4,FALSE),
IF($A50&lt;FlexibleRepairCouplings!$A$12,VLOOKUP($A50,FlexibleRepairCouplings!$A$9:$M$11,4,FALSE),
IF($A50&lt;DuraFix!$A$15,VLOOKUP($A50,DuraFix!$A$9:$M$14,4,FALSE),
IF($A50&lt;'Compression Fittings'!$A$16,VLOOKUP($A50,'Compression Fittings'!$A$8:$M$15,4,FALSE),
IF($A50&lt;'Hose Fittings'!$A$30,VLOOKUP($A50,'Hose Fittings'!$A$8:$M$29,4,FALSE),
IF($A50&lt;'Swing Joints'!$A$495,VLOOKUP($A50,'Swing Joints'!$A$9:$M$494,4,FALSE),
IF($A50&lt;'Swing Joints Components'!$A$135,VLOOKUP($A50,'Swing Joints Components'!$A$9:$M$134,4,FALSE),
IF($A50&lt;Nonstandard!$A$42,VLOOKUP($A50,Nonstandard!$A$31:$J$41,5,FALSE),"")))))))))))))))))))))))))))),"")</f>
        <v/>
      </c>
      <c r="C50" s="536" t="str">
        <f>IFERROR(IF($A50&lt;'DWV PVC'!$A$317,VLOOKUP($A50,'DWV PVC'!$A$9:$M$316,5,FALSE),
IF($A50&lt;'DWV ABS'!$A$117,VLOOKUP($A50,'DWV ABS'!$A$8:$M$116,5,FALSE),
IF($A50&lt;'PVC SCH40'!$A$425,VLOOKUP($A50,'PVC SCH40'!$A$8:$M$424,5,FALSE),
IF($A50&lt;'PVC SCH40 LD'!$A$22,VLOOKUP($A50,'PVC SCH40 LD'!$A$8:$M$21,5,FALSE),
IF($A50&lt;'Pool &amp; SPA Sweep Elbows'!$A$12,VLOOKUP($A50,'Pool &amp; SPA Sweep Elbows'!$A$8:$M$11,5,FALSE),
IF($A50&lt;'Pool &amp; SPA Pipe Extender'!$A$11,VLOOKUP($A50,'Pool &amp; SPA Pipe Extender'!$A$8:$M$10,5,FALSE),
IF($A50&lt;'PVC SCH80'!$A$250,VLOOKUP($A50,'PVC SCH80'!$A$8:$M$249,5,FALSE),
IF($A50&lt;'PVC SCH80 Flange'!$A$49,VLOOKUP($A50,'PVC SCH80 Flange'!$A$8:$M$48,5,FALSE),
IF($A50&lt;'PVC SCH80 LD Flange'!$A$17,VLOOKUP($A50,'PVC SCH80 LD Flange'!$A$8:$M$16,5,FALSE),
IF($A50&lt;CPVC!$A$105,VLOOKUP($A50,CPVC!$A$9:$M$104,5,FALSE),
IF($A50&lt;InsertFittings!$A$185,VLOOKUP($A50,InsertFittings!$A$9:$M$184,5,FALSE),
IF($A50&lt;Valves!$A$92,VLOOKUP($A50,Valves!$A$9:$Q$91,5,FALSE),
IF($A50&lt;SDR35SW!$A$133,VLOOKUP($A50,SDR35SW!$A$9:$M$132,5,FALSE),
IF($A50&lt;SDR35G!$A$151,VLOOKUP($A50,SDR35G!$A$9:$M$150,5,FALSE),
IF($A50&lt;SDR26G!$A$67,VLOOKUP($A50,SDR26G!$A$9:$N$66,6,FALSE),
IF($A50&lt;Cements!$A$95,VLOOKUP($A50,Cements!$A$8:$Q$94,5,FALSE),
IF($A50&lt;ValveBox!$A$124,VLOOKUP($A50,ValveBox!$A$9:$O$123,5,FALSE),
IF($A50&lt;'ValveBox Components'!$A$142,VLOOKUP($A50,'ValveBox Components'!$A$9:$N$141,5,FALSE),
IF($A50&lt;Drainage!$A$69,VLOOKUP($A50,Drainage!$A$8:$M$68,5,FALSE),
IF($A50&lt;Nipples!$A$82,VLOOKUP($A50,Nipples!$A$9:$Q$81,5,FALSE),
IF($A50&lt;Manifold!$A$33,VLOOKUP($A50,Manifold!$A$9:$M$32,5,FALSE),
IF($A50&lt;FlexibleRepairCouplings!$A$12,VLOOKUP($A50,FlexibleRepairCouplings!$A$9:$M$11,5,FALSE),
IF($A50&lt;DuraFix!$A$15,VLOOKUP($A50,DuraFix!$A$9:$M$14,5,FALSE),
IF($A50&lt;'Compression Fittings'!$A$16,VLOOKUP($A50,'Compression Fittings'!$A$8:$M$15,5,FALSE),
IF($A50&lt;'Hose Fittings'!$A$30,VLOOKUP($A50,'Hose Fittings'!$A$8:$M$29,5,FALSE),
IF($A50&lt;'Swing Joints'!$A$495,VLOOKUP($A50,'Swing Joints'!$A$9:$M$494,5,FALSE),
IF($A50&lt;'Swing Joints Components'!$A$135,VLOOKUP($A50,'Swing Joints Components'!$A$9:$M$134,5,FALSE),
IF($A50&lt;Nonstandard!$A$42,VLOOKUP($A50,Nonstandard!$A$31:$J$41,6,FALSE),"")))))))))))))))))))))))))))),"")</f>
        <v/>
      </c>
      <c r="D50" s="537" t="str">
        <f>IFERROR(IF($A50&lt;'DWV PVC'!$A$317,VLOOKUP($A50,'DWV PVC'!$A$9:$M$316,6,FALSE),
IF($A50&lt;'DWV ABS'!$A$117,VLOOKUP($A50,'DWV ABS'!$A$8:$M$116,6,FALSE),
IF($A50&lt;'PVC SCH40'!$A$425,VLOOKUP($A50,'PVC SCH40'!$A$8:$M$424,6,FALSE),
IF($A50&lt;'PVC SCH40 LD'!$A$22,VLOOKUP($A50,'PVC SCH40 LD'!$A$8:$M$21,6,FALSE),
IF($A50&lt;'Pool &amp; SPA Sweep Elbows'!$A$12,VLOOKUP($A50,'Pool &amp; SPA Sweep Elbows'!$A$8:$M$11,6,FALSE),
IF($A50&lt;'Pool &amp; SPA Pipe Extender'!$A$11,VLOOKUP($A50,'Pool &amp; SPA Pipe Extender'!$A$8:$M$10,6,FALSE),
IF($A50&lt;'PVC SCH80'!$A$250,VLOOKUP($A50,'PVC SCH80'!$A$8:$M$249,6,FALSE),
IF($A50&lt;'PVC SCH80 Flange'!$A$49,VLOOKUP($A50,'PVC SCH80 Flange'!$A$8:$M$48,6,FALSE),
IF($A50&lt;'PVC SCH80 LD Flange'!$A$17,VLOOKUP($A50,'PVC SCH80 LD Flange'!$A$8:$M$16,6,FALSE),
IF($A50&lt;CPVC!$A$105,VLOOKUP($A50,CPVC!$A$9:$M$104,6,FALSE),
IF($A50&lt;InsertFittings!$A$185,VLOOKUP($A50,InsertFittings!$A$9:$M$184,6,FALSE),
IF($A50&lt;Valves!$A$92,VLOOKUP($A50,Valves!$A$9:$Q$91,6,FALSE),
IF($A50&lt;SDR35SW!$A$133,VLOOKUP($A50,SDR35SW!$A$9:$M$132,6,FALSE),
IF($A50&lt;SDR35G!$A$151,VLOOKUP($A50,SDR35G!$A$9:$M$150,6,FALSE),
IF($A50&lt;SDR26G!$A$67,VLOOKUP($A50,SDR26G!$A$9:$N$66,7,FALSE),
IF($A50&lt;Cements!$A$95,VLOOKUP($A50,Cements!$A$8:$Q$94,6,FALSE),
IF($A50&lt;ValveBox!$A$124,VLOOKUP($A50,ValveBox!$A$9:$O$123,6,FALSE),
IF($A50&lt;'ValveBox Components'!$A$142,VLOOKUP($A50,'ValveBox Components'!$A$9:$N$141,6,FALSE),
IF($A50&lt;Drainage!$A$69,VLOOKUP($A50,Drainage!$A$8:$M$68,6,FALSE),
IF($A50&lt;Nipples!$A$82,VLOOKUP($A50,Nipples!$A$9:$Q$81,6,FALSE),
IF($A50&lt;Manifold!$A$33,VLOOKUP($A50,Manifold!$A$9:$M$32,6,FALSE),
IF($A50&lt;FlexibleRepairCouplings!$A$12,VLOOKUP($A50,FlexibleRepairCouplings!$A$9:$M$11,6,FALSE),
IF($A50&lt;DuraFix!$A$15,VLOOKUP($A50,DuraFix!$A$9:$M$14,6,FALSE),
IF($A50&lt;'Compression Fittings'!$A$16,VLOOKUP($A50,'Compression Fittings'!$A$8:$M$15,6,FALSE),
IF($A50&lt;'Hose Fittings'!$A$30,VLOOKUP($A50,'Hose Fittings'!$A$8:$M$29,6,FALSE),
IF($A50&lt;'Swing Joints'!$A$495,VLOOKUP($A50,'Swing Joints'!$A$9:$M$494,6,FALSE),
IF($A50&lt;'Swing Joints Components'!$A$135,VLOOKUP($A50,'Swing Joints Components'!$A$9:$M$134,6,FALSE),
IF($A50&lt;Nonstandard!$A$42,VLOOKUP($A50,Nonstandard!$A$31:$J$41,7,FALSE),"")))))))))))))))))))))))))))),"")</f>
        <v/>
      </c>
      <c r="E50" s="538"/>
      <c r="F50" s="539" t="str">
        <f>IFERROR(IF($A50&lt;'DWV PVC'!$A$317,VLOOKUP($A50,'DWV PVC'!$A$9:$M$316,9,FALSE),
IF($A50&lt;'DWV ABS'!$A$117,VLOOKUP($A50,'DWV ABS'!$A$8:$M$116,9,FALSE),                                                                                                                                                                                                                                                     IF($A50&lt;'PVC SCH40'!$A$425,VLOOKUP($A50,'PVC SCH40'!$A$8:$M$424,9,FALSE),
IF($A50&lt;'PVC SCH40 LD'!$A$22,VLOOKUP($A50,'PVC SCH40 LD'!$A$8:$M$21,9,FALSE),
IF($A50&lt;'Pool &amp; SPA Sweep Elbows'!$A$12,VLOOKUP($A50,'Pool &amp; SPA Sweep Elbows'!$A$8:$M$11,9,FALSE),
IF($A50&lt;'Pool &amp; SPA Pipe Extender'!$A$11,VLOOKUP($A50,'Pool &amp; SPA Pipe Extender'!$A$8:$M$10,9,FALSE),
IF($A50&lt;'PVC SCH80'!$A$250,VLOOKUP($A50,'PVC SCH80'!$A$8:$M$249,9,FALSE),
IF($A50&lt;'PVC SCH80 Flange'!$A$49,VLOOKUP($A50,'PVC SCH80 Flange'!$A$8:$M$48,9,FALSE),
IF($A50&lt;'PVC SCH80 LD Flange'!$A$17,VLOOKUP($A50,'PVC SCH80 LD Flange'!$A$8:$M$16,9,FALSE),
IF($A50&lt;CPVC!$A$105,VLOOKUP($A50,CPVC!$A$9:$M$104,9,FALSE),
IF($A50&lt;InsertFittings!$A$185,VLOOKUP($A50,InsertFittings!$A$9:$M$184,9,FALSE),
IF($A50&lt;Valves!$A$92,VLOOKUP($A50,Valves!$A$9:$Q$91,13,FALSE),
IF($A50&lt;SDR35SW!$A$133,VLOOKUP($A50,SDR35SW!$A$9:$M$132,9,FALSE),
IF($A50&lt;SDR35G!$A$151,VLOOKUP($A50,SDR35G!$A$9:$M$150,9,FALSE),                                                                                                                                                                                                                                                          IF($A50&lt;SDR26G!$A$67,VLOOKUP($A50,SDR26G!$A$9:$N$66,10,FALSE),                                                                                                                                                                                                                                                       IF($A50&lt;Cements!$A$95,VLOOKUP($A50,Cements!$A$8:$Q$94,13,FALSE),
IF($A50&lt;ValveBox!$A$124,VLOOKUP($A50,ValveBox!$A$9:$O$123,11,FALSE),
IF($A50&lt;'ValveBox Components'!$A$142,VLOOKUP($A50,'ValveBox Components'!$A$9:$N$141,10,FALSE),
IF($A50&lt;Drainage!$A$69,VLOOKUP($A50,Drainage!$A$8:$M$68,9,FALSE),                                                                                                                                                                                                                                                              IF($A50&lt;Nipples!$A$82,VLOOKUP($A50,Nipples!$A$9:$Q$81,13,FALSE),
IF($A50&lt;Manifold!$A$33,VLOOKUP($A50,Manifold!$A$9:$M$32,9,FALSE),
IF($A50&lt;FlexibleRepairCouplings!$A$12,VLOOKUP($A50,FlexibleRepairCouplings!$A$9:$M$11,9,FALSE),
IF($A50&lt;DuraFix!$A$15,VLOOKUP($A50,DuraFix!$A$9:$M$14,9,FALSE),                                                                                                                                                                                                                                                          IF($A50&lt;'Compression Fittings'!$A$16,VLOOKUP($A50,'Compression Fittings'!$A$8:$M$15,9,FALSE),
IF($A50&lt;'Hose Fittings'!$A$30,VLOOKUP($A50,'Hose Fittings'!$A$8:$M$29,9,FALSE),
IF($A50&lt;'Swing Joints'!$A$495,VLOOKUP($A50,'Swing Joints'!$A$9:$M$494,9,FALSE),
IF($A50&lt;'Swing Joints Components'!$A$135,VLOOKUP($A50,'Swing Joints Components'!$A$9:$M$134,9,FALSE),
IF($A50&lt;Nonstandard!$A$42,VLOOKUP($A50,Nonstandard!$A$31:$J$41,8,FALSE),"")))))))))))))))))))))))))))),"")</f>
        <v/>
      </c>
      <c r="G50" s="540" t="str">
        <f>IFERROR(IF($A50&lt;'DWV PVC'!$A$317,VLOOKUP($A50,'DWV PVC'!$A$9:$M$316,11,FALSE),
IF($A50&lt;'DWV ABS'!$A$117,VLOOKUP($A50,'DWV ABS'!$A$8:$M$116,11,FALSE),                                                                                                                                                                                                                                                     IF($A50&lt;'PVC SCH40'!$A$425,VLOOKUP($A50,'PVC SCH40'!$A$8:$M$424,11,FALSE),
IF($A50&lt;'PVC SCH40 LD'!$A$22,VLOOKUP($A50,'PVC SCH40 LD'!$A$8:$M$21,11,FALSE),
IF($A50&lt;'Pool &amp; SPA Sweep Elbows'!$A$12,VLOOKUP($A50,'Pool &amp; SPA Sweep Elbows'!$A$8:$M$11,11,FALSE),
IF($A50&lt;'Pool &amp; SPA Pipe Extender'!$A$11,VLOOKUP($A50,'Pool &amp; SPA Pipe Extender'!$A$8:$M$10,11,FALSE),
IF($A50&lt;'PVC SCH80'!$A$250,VLOOKUP($A50,'PVC SCH80'!$A$8:$M$249,11,FALSE),
IF($A50&lt;'PVC SCH80 Flange'!$A$49,VLOOKUP($A50,'PVC SCH80 Flange'!$A$8:$M$48,11,FALSE),
IF($A50&lt;'PVC SCH80 LD Flange'!$A$17,VLOOKUP($A50,'PVC SCH80 LD Flange'!$A$8:$M$16,11,FALSE),
IF($A50&lt;CPVC!$A$105,VLOOKUP($A50,CPVC!$A$9:$M$104,11,FALSE),
IF($A50&lt;InsertFittings!$A$185,VLOOKUP($A50,InsertFittings!$A$9:$M$184,11,FALSE),
IF($A50&lt;Valves!$A$92,VLOOKUP($A50,Valves!$A$9:$Q$91,15,FALSE),
IF($A50&lt;SDR35SW!$A$133,VLOOKUP($A50,SDR35SW!$A$9:$M$132,11,FALSE),
IF($A50&lt;SDR35G!$A$151,VLOOKUP($A50,SDR35G!$A$9:$M$150,11,FALSE),                                                                                                                                                                                                                                                          IF($A50&lt;SDR26G!$A$67,VLOOKUP($A50,SDR26G!$A$9:$N$66,12,FALSE),                                                                                                                                                                                                                                                       IF($A50&lt;Cements!$A$95,VLOOKUP($A50,Cements!$A$8:$Q$94,15,FALSE),
IF($A50&lt;ValveBox!$A$124,VLOOKUP($A50,ValveBox!$A$9:$O$123,13,FALSE),
IF($A50&lt;'ValveBox Components'!$A$142,VLOOKUP($A50,'ValveBox Components'!$A$9:$N$141,12,FALSE),
IF($A50&lt;Drainage!$A$69,VLOOKUP($A50,Drainage!$A$8:$M$68,11,FALSE),                                                                                                                                                                                                                                                           IF($A50&lt;Nipples!$A$82,VLOOKUP($A50,Nipples!$A$9:$Q$81,15,FALSE),
IF($A50&lt;Manifold!$A$33,VLOOKUP($A50,Manifold!$A$9:$M$32,11,FALSE),
IF($A50&lt;FlexibleRepairCouplings!$A$12,VLOOKUP($A50,FlexibleRepairCouplings!$A$9:$M$11,11,FALSE),
IF($A50&lt;DuraFix!$A$15,VLOOKUP($A50,DuraFix!$A$9:$M$14,11,FALSE),                                                                                                                                                                                                                                                            IF($A50&lt;'Compression Fittings'!$A$16,VLOOKUP($A50,'Compression Fittings'!$A$8:$M$15,11,FALSE),
IF($A50&lt;'Hose Fittings'!$A$30,VLOOKUP($A50,'Hose Fittings'!$A$8:$M$29,11,FALSE),
IF($A50&lt;'Swing Joints'!$A$495,VLOOKUP($A50,'Swing Joints'!$A$9:$M$494,11,FALSE),
IF($A50&lt;'Swing Joints Components'!$A$135,VLOOKUP($A50,'Swing Joints Components'!$A$9:$M$134,11,FALSE),
IF($A50&lt;Nonstandard!$A$42,VLOOKUP($A50,Nonstandard!$A$31:$J$41,10,FALSE),"")))))))))))))))))))))))))))),"")</f>
        <v/>
      </c>
      <c r="H50" s="620" t="str">
        <f>IFERROR(IF($A50&lt;'DWV PVC'!$A$317,VLOOKUP($A50,'DWV PVC'!$A$9:$M$316,7,FALSE),
IF($A50&lt;'DWV ABS'!$A$117,VLOOKUP($A50,'DWV ABS'!$A$8:$M$116,11,FALSE),                                                                                                                                                                                                                                                     IF($A50&lt;'PVC SCH40'!$A$425,VLOOKUP($A50,'PVC SCH40'!$A$8:$M$424,7,FALSE),
IF($A50&lt;'PVC SCH40 LD'!$A$22,VLOOKUP($A50,'PVC SCH40 LD'!$A$8:$M$21,7,FALSE),
IF($A50&lt;'Pool &amp; SPA Sweep Elbows'!$A$12,VLOOKUP($A50,'Pool &amp; SPA Sweep Elbows'!$A$8:$M$11,7,FALSE),
IF($A50&lt;'Pool &amp; SPA Pipe Extender'!$A$11,VLOOKUP($A50,'Pool &amp; SPA Pipe Extender'!$A$8:$M$10,7,FALSE),
IF($A50&lt;'PVC SCH80'!$A$250,VLOOKUP($A50,'PVC SCH80'!$A$8:$M$249,7,FALSE),
IF($A50&lt;'PVC SCH80 Flange'!$A$49,VLOOKUP($A50,'PVC SCH80 Flange'!$A$8:$M$48,7,FALSE),
IF($A50&lt;'PVC SCH80 LD Flange'!$A$17,VLOOKUP($A50,'PVC SCH80 LD Flange'!$A$8:$M$16,7,FALSE),
IF($A50&lt;CPVC!$A$105,VLOOKUP($A50,CPVC!$A$9:$M$104,7,FALSE),
IF($A50&lt;InsertFittings!$A$185,VLOOKUP($A50,InsertFittings!$A$9:$M$184,7,FALSE),
IF($A50&lt;Valves!$A$92,VLOOKUP($A50,Valves!$A$9:$Q$91,11,FALSE),
IF($A50&lt;SDR35SW!$A$133,VLOOKUP($A50,SDR35SW!$A$9:$M$132,7,FALSE),
IF($A50&lt;SDR35G!$A$151,VLOOKUP($A50,SDR35G!$A$9:$M$150,7,FALSE),                                                                                                                                                                                                                                                       IF($A50&lt;SDR26G!$A$67,VLOOKUP($A50,SDR26G!$A$9:$N$66,8,FALSE),                                                                                                                                                                                                                                                     IF($A50&lt;Cements!$A$95,VLOOKUP($A50,Cements!$A$8:$Q$94,11,FALSE),
IF($A50&lt;ValveBox!$A$124,VLOOKUP($A50,ValveBox!$A$9:$O$123,10,FALSE),
IF($A50&lt;'ValveBox Components'!$A$142,VLOOKUP($A50,'ValveBox Components'!$A$9:$N$141,9,FALSE),
IF($A50&lt;Drainage!$A$69,VLOOKUP($A50,Drainage!$A$8:$M$68,7,FALSE),                                                                                                                                                                                                                                                          IF($A50&lt;Nipples!$A$82,VLOOKUP($A50,Nipples!$A$9:$Q$81,11,FALSE),
IF($A50&lt;Manifold!$A$33,VLOOKUP($A50,Manifold!$A$9:$M$32,7,FALSE),
IF($A50&lt;FlexibleRepairCouplings!$A$12,VLOOKUP($A50,FlexibleRepairCouplings!$A$9:$M$11,7,FALSE),
IF($A50&lt;DuraFix!$A$15,VLOOKUP($A50,DuraFix!$A$9:$M$14,7,FALSE),                                                                                                                                                                                                                                                           IF($A50&lt;'Compression Fittings'!$A$16,VLOOKUP($A50,'Compression Fittings'!$A$8:$M$15,7,FALSE),
IF($A50&lt;'Hose Fittings'!$A$30,VLOOKUP($A50,'Hose Fittings'!$A$8:$M$29,7,FALSE),
IF($A50&lt;'Swing Joints'!$A$495,VLOOKUP($A50,'Swing Joints'!$A$9:$M$494,7,FALSE),
IF($A50&lt;'Swing Joints Components'!$A$135,VLOOKUP($A50,'Swing Joints Components'!$A$9:$M$134,7,FALSE),
IF($A50&lt;Nonstandard!$A$42,VLOOKUP($A50,Nonstandard!$A$31:$J$41,10,FALSE),"")))))))))))))))))))))))))))),"")</f>
        <v/>
      </c>
      <c r="I50" s="621"/>
      <c r="J50" s="541" t="str">
        <f t="shared" si="1"/>
        <v/>
      </c>
      <c r="K50" s="599" t="str">
        <f>IFERROR(IF($A50&lt;'DWV PVC'!$A$317,VLOOKUP($A50,'DWV PVC'!$A$9:$M$316,10,FALSE),
IF($A50&lt;'DWV ABS'!$A$117,VLOOKUP($A50,'DWV ABS'!$A$8:$M$116,10,FALSE),
IF($A50&lt;'PVC SCH40'!$A$425,VLOOKUP($A50,'PVC SCH40'!$A$8:$M$424,10,FALSE),
IF($A50&lt;'PVC SCH40 LD'!$A$22,VLOOKUP($A50,'PVC SCH40 LD'!$A$8:$M$21,10,FALSE),
IF($A50&lt;'Pool &amp; SPA Sweep Elbows'!$A$12,VLOOKUP($A50,'Pool &amp; SPA Sweep Elbows'!$A$8:$M$11,10,FALSE),
IF($A50&lt;'Pool &amp; SPA Pipe Extender'!$A$11,VLOOKUP($A50,'Pool &amp; SPA Pipe Extender'!$A$8:$M$10,10,FALSE),
IF($A50&lt;'PVC SCH80'!$A$250,VLOOKUP($A50,'PVC SCH80'!$A$8:$M$249,10,FALSE),
IF($A50&lt;'PVC SCH80 Flange'!$A$49,VLOOKUP($A50,'PVC SCH80 Flange'!$A$8:$M$48,10,FALSE),
IF($A50&lt;'PVC SCH80 LD Flange'!$A$17,VLOOKUP($A50,'PVC SCH80 LD Flange'!$A$8:$M$16,10,FALSE),
IF($A50&lt;CPVC!$A$105,VLOOKUP($A50,CPVC!$A$9:$M$104,10,FALSE),
IF($A50&lt;InsertFittings!$A$185,VLOOKUP($A50,InsertFittings!$A$9:$M$184,10,FALSE),
IF($A50&lt;Valves!$A$92,VLOOKUP($A50,Valves!$A$9:$Q$91,14,FALSE),
IF($A50&lt;SDR35SW!$A$133,VLOOKUP($A50,SDR35SW!$A$9:$M$132,10,FALSE),
IF($A50&lt;SDR35G!$A$151,VLOOKUP($A50,SDR35G!$A$9:$M$150,10,FALSE),
IF($A50&lt;SDR26G!$A$67,VLOOKUP($A50,SDR26G!$A$9:$N$66,11,FALSE),
IF($A50&lt;Cements!$A$95,VLOOKUP($A50,Cements!$A$8:$Q$94,14,FALSE),
IF($A50&lt;ValveBox!$A$124,VLOOKUP($A50,ValveBox!$A$9:$O$123,12,FALSE),
IF($A50&lt;'ValveBox Components'!$A$142,VLOOKUP($A50,'ValveBox Components'!$A$9:$N$141,11,FALSE),
IF($A50&lt;Drainage!$A$69,VLOOKUP($A50,Drainage!$A$8:$M$68,10,FALSE),
IF($A50&lt;Nipples!$A$82,VLOOKUP($A50,Nipples!$A$9:$Q$81,14,FALSE),
IF($A50&lt;Manifold!$A$33,VLOOKUP($A50,Manifold!$A$9:$M$32,10,FALSE),
IF($A50&lt;FlexibleRepairCouplings!$A$12,VLOOKUP($A50,FlexibleRepairCouplings!$A$9:$M$11,10,FALSE),
IF($A50&lt;DuraFix!$A$15,VLOOKUP($A50,DuraFix!$A$9:$M$14,10,FALSE),
IF($A50&lt;'Compression Fittings'!$A$16,VLOOKUP($A50,'Compression Fittings'!$A$8:$M$15,10,FALSE),
IF($A50&lt;'Hose Fittings'!$A$30,VLOOKUP($A50,'Hose Fittings'!$A$8:$M$29,10,FALSE),
IF($A50&lt;'Swing Joints'!$A$495,VLOOKUP($A50,'Swing Joints'!$A$9:$M$494,10,FALSE),
IF($A50&lt;'Swing Joints Components'!$A$135,VLOOKUP($A50,'Swing Joints Components'!$A$9:$M$134,10,FALSE),
IF($A50&lt;Nonstandard!$A$42,VLOOKUP($A50,Nonstandard!$A$31:$J$41,10,FALSE),"")))))))))))))))))))))))))))),"")</f>
        <v/>
      </c>
      <c r="L50" s="539" t="str">
        <f t="shared" si="0"/>
        <v>-</v>
      </c>
      <c r="M50" s="542"/>
    </row>
    <row r="51" spans="1:13" ht="15.6">
      <c r="A51" s="312">
        <v>19</v>
      </c>
      <c r="B51" s="312" t="str">
        <f>IFERROR(IF($A51&lt;'DWV PVC'!$A$317,VLOOKUP($A51,'DWV PVC'!$A$9:$M$316,4,FALSE),
IF($A51&lt;'DWV ABS'!$A$117,VLOOKUP($A51,'DWV ABS'!$A$8:$M$116,4,FALSE),
IF($A51&lt;'PVC SCH40'!$A$425,VLOOKUP($A51,'PVC SCH40'!$A$8:$M$424,4,FALSE),
IF($A51&lt;'PVC SCH40 LD'!$A$22,VLOOKUP($A51,'PVC SCH40 LD'!$A$8:$M$21,4,FALSE),
IF($A51&lt;'Pool &amp; SPA Sweep Elbows'!$A$12,VLOOKUP($A51,'Pool &amp; SPA Sweep Elbows'!$A$8:$M$11,4,FALSE),
IF($A51&lt;'Pool &amp; SPA Pipe Extender'!$A$11,VLOOKUP($A51,'Pool &amp; SPA Pipe Extender'!$A$8:$M$10,4,FALSE),
IF($A51&lt;'PVC SCH80'!$A$250,VLOOKUP($A51,'PVC SCH80'!$A$8:$M$249,4,FALSE),
IF($A51&lt;'PVC SCH80 Flange'!$A$49,VLOOKUP($A51,'PVC SCH80 Flange'!$A$8:$M$48,4,FALSE),
IF($A51&lt;'PVC SCH80 LD Flange'!$A$17,VLOOKUP($A51,'PVC SCH80 LD Flange'!$A$8:$M$16,4,FALSE),
IF($A51&lt;CPVC!$A$105,VLOOKUP($A51,CPVC!$A$9:$M$104,4,FALSE),
IF($A51&lt;InsertFittings!$A$185,VLOOKUP($A51,InsertFittings!$A$9:$M$184,4,FALSE),
IF($A51&lt;Valves!$A$92,VLOOKUP($A51,Valves!$A$9:$Q$91,4,FALSE),
IF($A51&lt;SDR35SW!$A$133,VLOOKUP($A51,SDR35SW!$A$9:$M$132,4,FALSE),
IF($A51&lt;SDR35G!$A$151,VLOOKUP($A51,SDR35G!$A$9:$M$150,4,FALSE),
IF($A51&lt;SDR26G!$A$67,VLOOKUP($A51,SDR26G!$A$9:$N$66,5,FALSE),
IF($A51&lt;Cements!$A$95,VLOOKUP($A51,Cements!$A$8:$Q$94,4,FALSE),
IF($A51&lt;ValveBox!$A$124,VLOOKUP($A51,ValveBox!$A$9:$O$123,4,FALSE),
IF($A51&lt;'ValveBox Components'!$A$142,VLOOKUP($A51,'ValveBox Components'!$A$9:$N$141,4,FALSE),
IF($A51&lt;Drainage!$A$69,VLOOKUP($A51,Drainage!$A$8:$M$68,4,FALSE),
IF($A51&lt;Nipples!$A$82,VLOOKUP($A51,Nipples!$A$9:$Q$81,4,FALSE),
IF($A51&lt;Manifold!$A$33,VLOOKUP($A51,Manifold!$A$9:$M$32,4,FALSE),
IF($A51&lt;FlexibleRepairCouplings!$A$12,VLOOKUP($A51,FlexibleRepairCouplings!$A$9:$M$11,4,FALSE),
IF($A51&lt;DuraFix!$A$15,VLOOKUP($A51,DuraFix!$A$9:$M$14,4,FALSE),
IF($A51&lt;'Compression Fittings'!$A$16,VLOOKUP($A51,'Compression Fittings'!$A$8:$M$15,4,FALSE),
IF($A51&lt;'Hose Fittings'!$A$30,VLOOKUP($A51,'Hose Fittings'!$A$8:$M$29,4,FALSE),
IF($A51&lt;'Swing Joints'!$A$495,VLOOKUP($A51,'Swing Joints'!$A$9:$M$494,4,FALSE),
IF($A51&lt;'Swing Joints Components'!$A$135,VLOOKUP($A51,'Swing Joints Components'!$A$9:$M$134,4,FALSE),
IF($A51&lt;Nonstandard!$A$42,VLOOKUP($A51,Nonstandard!$A$31:$J$41,5,FALSE),"")))))))))))))))))))))))))))),"")</f>
        <v/>
      </c>
      <c r="C51" s="312" t="str">
        <f>IFERROR(IF($A51&lt;'DWV PVC'!$A$317,VLOOKUP($A51,'DWV PVC'!$A$9:$M$316,5,FALSE),
IF($A51&lt;'DWV ABS'!$A$117,VLOOKUP($A51,'DWV ABS'!$A$8:$M$116,5,FALSE),
IF($A51&lt;'PVC SCH40'!$A$425,VLOOKUP($A51,'PVC SCH40'!$A$8:$M$424,5,FALSE),
IF($A51&lt;'PVC SCH40 LD'!$A$22,VLOOKUP($A51,'PVC SCH40 LD'!$A$8:$M$21,5,FALSE),
IF($A51&lt;'Pool &amp; SPA Sweep Elbows'!$A$12,VLOOKUP($A51,'Pool &amp; SPA Sweep Elbows'!$A$8:$M$11,5,FALSE),
IF($A51&lt;'Pool &amp; SPA Pipe Extender'!$A$11,VLOOKUP($A51,'Pool &amp; SPA Pipe Extender'!$A$8:$M$10,5,FALSE),
IF($A51&lt;'PVC SCH80'!$A$250,VLOOKUP($A51,'PVC SCH80'!$A$8:$M$249,5,FALSE),
IF($A51&lt;'PVC SCH80 Flange'!$A$49,VLOOKUP($A51,'PVC SCH80 Flange'!$A$8:$M$48,5,FALSE),
IF($A51&lt;'PVC SCH80 LD Flange'!$A$17,VLOOKUP($A51,'PVC SCH80 LD Flange'!$A$8:$M$16,5,FALSE),
IF($A51&lt;CPVC!$A$105,VLOOKUP($A51,CPVC!$A$9:$M$104,5,FALSE),
IF($A51&lt;InsertFittings!$A$185,VLOOKUP($A51,InsertFittings!$A$9:$M$184,5,FALSE),
IF($A51&lt;Valves!$A$92,VLOOKUP($A51,Valves!$A$9:$Q$91,5,FALSE),
IF($A51&lt;SDR35SW!$A$133,VLOOKUP($A51,SDR35SW!$A$9:$M$132,5,FALSE),
IF($A51&lt;SDR35G!$A$151,VLOOKUP($A51,SDR35G!$A$9:$M$150,5,FALSE),
IF($A51&lt;SDR26G!$A$67,VLOOKUP($A51,SDR26G!$A$9:$N$66,6,FALSE),
IF($A51&lt;Cements!$A$95,VLOOKUP($A51,Cements!$A$8:$Q$94,5,FALSE),
IF($A51&lt;ValveBox!$A$124,VLOOKUP($A51,ValveBox!$A$9:$O$123,5,FALSE),
IF($A51&lt;'ValveBox Components'!$A$142,VLOOKUP($A51,'ValveBox Components'!$A$9:$N$141,5,FALSE),
IF($A51&lt;Drainage!$A$69,VLOOKUP($A51,Drainage!$A$8:$M$68,5,FALSE),
IF($A51&lt;Nipples!$A$82,VLOOKUP($A51,Nipples!$A$9:$Q$81,5,FALSE),
IF($A51&lt;Manifold!$A$33,VLOOKUP($A51,Manifold!$A$9:$M$32,5,FALSE),
IF($A51&lt;FlexibleRepairCouplings!$A$12,VLOOKUP($A51,FlexibleRepairCouplings!$A$9:$M$11,5,FALSE),
IF($A51&lt;DuraFix!$A$15,VLOOKUP($A51,DuraFix!$A$9:$M$14,5,FALSE),
IF($A51&lt;'Compression Fittings'!$A$16,VLOOKUP($A51,'Compression Fittings'!$A$8:$M$15,5,FALSE),
IF($A51&lt;'Hose Fittings'!$A$30,VLOOKUP($A51,'Hose Fittings'!$A$8:$M$29,5,FALSE),
IF($A51&lt;'Swing Joints'!$A$495,VLOOKUP($A51,'Swing Joints'!$A$9:$M$494,5,FALSE),
IF($A51&lt;'Swing Joints Components'!$A$135,VLOOKUP($A51,'Swing Joints Components'!$A$9:$M$134,5,FALSE),
IF($A51&lt;Nonstandard!$A$42,VLOOKUP($A51,Nonstandard!$A$31:$J$41,6,FALSE),"")))))))))))))))))))))))))))),"")</f>
        <v/>
      </c>
      <c r="D51" s="534" t="str">
        <f>IFERROR(IF($A51&lt;'DWV PVC'!$A$317,VLOOKUP($A51,'DWV PVC'!$A$9:$M$316,6,FALSE),
IF($A51&lt;'DWV ABS'!$A$117,VLOOKUP($A51,'DWV ABS'!$A$8:$M$116,6,FALSE),
IF($A51&lt;'PVC SCH40'!$A$425,VLOOKUP($A51,'PVC SCH40'!$A$8:$M$424,6,FALSE),
IF($A51&lt;'PVC SCH40 LD'!$A$22,VLOOKUP($A51,'PVC SCH40 LD'!$A$8:$M$21,6,FALSE),
IF($A51&lt;'Pool &amp; SPA Sweep Elbows'!$A$12,VLOOKUP($A51,'Pool &amp; SPA Sweep Elbows'!$A$8:$M$11,6,FALSE),
IF($A51&lt;'Pool &amp; SPA Pipe Extender'!$A$11,VLOOKUP($A51,'Pool &amp; SPA Pipe Extender'!$A$8:$M$10,6,FALSE),
IF($A51&lt;'PVC SCH80'!$A$250,VLOOKUP($A51,'PVC SCH80'!$A$8:$M$249,6,FALSE),
IF($A51&lt;'PVC SCH80 Flange'!$A$49,VLOOKUP($A51,'PVC SCH80 Flange'!$A$8:$M$48,6,FALSE),
IF($A51&lt;'PVC SCH80 LD Flange'!$A$17,VLOOKUP($A51,'PVC SCH80 LD Flange'!$A$8:$M$16,6,FALSE),
IF($A51&lt;CPVC!$A$105,VLOOKUP($A51,CPVC!$A$9:$M$104,6,FALSE),
IF($A51&lt;InsertFittings!$A$185,VLOOKUP($A51,InsertFittings!$A$9:$M$184,6,FALSE),
IF($A51&lt;Valves!$A$92,VLOOKUP($A51,Valves!$A$9:$Q$91,6,FALSE),
IF($A51&lt;SDR35SW!$A$133,VLOOKUP($A51,SDR35SW!$A$9:$M$132,6,FALSE),
IF($A51&lt;SDR35G!$A$151,VLOOKUP($A51,SDR35G!$A$9:$M$150,6,FALSE),
IF($A51&lt;SDR26G!$A$67,VLOOKUP($A51,SDR26G!$A$9:$N$66,7,FALSE),
IF($A51&lt;Cements!$A$95,VLOOKUP($A51,Cements!$A$8:$Q$94,6,FALSE),
IF($A51&lt;ValveBox!$A$124,VLOOKUP($A51,ValveBox!$A$9:$O$123,6,FALSE),
IF($A51&lt;'ValveBox Components'!$A$142,VLOOKUP($A51,'ValveBox Components'!$A$9:$N$141,6,FALSE),
IF($A51&lt;Drainage!$A$69,VLOOKUP($A51,Drainage!$A$8:$M$68,6,FALSE),
IF($A51&lt;Nipples!$A$82,VLOOKUP($A51,Nipples!$A$9:$Q$81,6,FALSE),
IF($A51&lt;Manifold!$A$33,VLOOKUP($A51,Manifold!$A$9:$M$32,6,FALSE),
IF($A51&lt;FlexibleRepairCouplings!$A$12,VLOOKUP($A51,FlexibleRepairCouplings!$A$9:$M$11,6,FALSE),
IF($A51&lt;DuraFix!$A$15,VLOOKUP($A51,DuraFix!$A$9:$M$14,6,FALSE),
IF($A51&lt;'Compression Fittings'!$A$16,VLOOKUP($A51,'Compression Fittings'!$A$8:$M$15,6,FALSE),
IF($A51&lt;'Hose Fittings'!$A$30,VLOOKUP($A51,'Hose Fittings'!$A$8:$M$29,6,FALSE),
IF($A51&lt;'Swing Joints'!$A$495,VLOOKUP($A51,'Swing Joints'!$A$9:$M$494,6,FALSE),
IF($A51&lt;'Swing Joints Components'!$A$135,VLOOKUP($A51,'Swing Joints Components'!$A$9:$M$134,6,FALSE),
IF($A51&lt;Nonstandard!$A$42,VLOOKUP($A51,Nonstandard!$A$31:$J$41,7,FALSE),"")))))))))))))))))))))))))))),"")</f>
        <v/>
      </c>
      <c r="E51" s="316"/>
      <c r="F51" s="314" t="str">
        <f>IFERROR(IF($A51&lt;'DWV PVC'!$A$317,VLOOKUP($A51,'DWV PVC'!$A$9:$M$316,9,FALSE),
IF($A51&lt;'DWV ABS'!$A$117,VLOOKUP($A51,'DWV ABS'!$A$8:$M$116,9,FALSE),                                                                                                                                                                                                                                                     IF($A51&lt;'PVC SCH40'!$A$425,VLOOKUP($A51,'PVC SCH40'!$A$8:$M$424,9,FALSE),
IF($A51&lt;'PVC SCH40 LD'!$A$22,VLOOKUP($A51,'PVC SCH40 LD'!$A$8:$M$21,9,FALSE),
IF($A51&lt;'Pool &amp; SPA Sweep Elbows'!$A$12,VLOOKUP($A51,'Pool &amp; SPA Sweep Elbows'!$A$8:$M$11,9,FALSE),
IF($A51&lt;'Pool &amp; SPA Pipe Extender'!$A$11,VLOOKUP($A51,'Pool &amp; SPA Pipe Extender'!$A$8:$M$10,9,FALSE),
IF($A51&lt;'PVC SCH80'!$A$250,VLOOKUP($A51,'PVC SCH80'!$A$8:$M$249,9,FALSE),
IF($A51&lt;'PVC SCH80 Flange'!$A$49,VLOOKUP($A51,'PVC SCH80 Flange'!$A$8:$M$48,9,FALSE),
IF($A51&lt;'PVC SCH80 LD Flange'!$A$17,VLOOKUP($A51,'PVC SCH80 LD Flange'!$A$8:$M$16,9,FALSE),
IF($A51&lt;CPVC!$A$105,VLOOKUP($A51,CPVC!$A$9:$M$104,9,FALSE),
IF($A51&lt;InsertFittings!$A$185,VLOOKUP($A51,InsertFittings!$A$9:$M$184,9,FALSE),
IF($A51&lt;Valves!$A$92,VLOOKUP($A51,Valves!$A$9:$Q$91,13,FALSE),
IF($A51&lt;SDR35SW!$A$133,VLOOKUP($A51,SDR35SW!$A$9:$M$132,9,FALSE),
IF($A51&lt;SDR35G!$A$151,VLOOKUP($A51,SDR35G!$A$9:$M$150,9,FALSE),                                                                                                                                                                                                                                                          IF($A51&lt;SDR26G!$A$67,VLOOKUP($A51,SDR26G!$A$9:$N$66,10,FALSE),                                                                                                                                                                                                                                                       IF($A51&lt;Cements!$A$95,VLOOKUP($A51,Cements!$A$8:$Q$94,13,FALSE),
IF($A51&lt;ValveBox!$A$124,VLOOKUP($A51,ValveBox!$A$9:$O$123,11,FALSE),
IF($A51&lt;'ValveBox Components'!$A$142,VLOOKUP($A51,'ValveBox Components'!$A$9:$N$141,10,FALSE),
IF($A51&lt;Drainage!$A$69,VLOOKUP($A51,Drainage!$A$8:$M$68,9,FALSE),                                                                                                                                                                                                                                                              IF($A51&lt;Nipples!$A$82,VLOOKUP($A51,Nipples!$A$9:$Q$81,13,FALSE),
IF($A51&lt;Manifold!$A$33,VLOOKUP($A51,Manifold!$A$9:$M$32,9,FALSE),
IF($A51&lt;FlexibleRepairCouplings!$A$12,VLOOKUP($A51,FlexibleRepairCouplings!$A$9:$M$11,9,FALSE),
IF($A51&lt;DuraFix!$A$15,VLOOKUP($A51,DuraFix!$A$9:$M$14,9,FALSE),                                                                                                                                                                                                                                                          IF($A51&lt;'Compression Fittings'!$A$16,VLOOKUP($A51,'Compression Fittings'!$A$8:$M$15,9,FALSE),
IF($A51&lt;'Hose Fittings'!$A$30,VLOOKUP($A51,'Hose Fittings'!$A$8:$M$29,9,FALSE),
IF($A51&lt;'Swing Joints'!$A$495,VLOOKUP($A51,'Swing Joints'!$A$9:$M$494,9,FALSE),
IF($A51&lt;'Swing Joints Components'!$A$135,VLOOKUP($A51,'Swing Joints Components'!$A$9:$M$134,9,FALSE),
IF($A51&lt;Nonstandard!$A$42,VLOOKUP($A51,Nonstandard!$A$31:$J$41,8,FALSE),"")))))))))))))))))))))))))))),"")</f>
        <v/>
      </c>
      <c r="G51" s="533" t="str">
        <f>IFERROR(IF($A51&lt;'DWV PVC'!$A$317,VLOOKUP($A51,'DWV PVC'!$A$9:$M$316,11,FALSE),
IF($A51&lt;'DWV ABS'!$A$117,VLOOKUP($A51,'DWV ABS'!$A$8:$M$116,11,FALSE),                                                                                                                                                                                                                                                     IF($A51&lt;'PVC SCH40'!$A$425,VLOOKUP($A51,'PVC SCH40'!$A$8:$M$424,11,FALSE),
IF($A51&lt;'PVC SCH40 LD'!$A$22,VLOOKUP($A51,'PVC SCH40 LD'!$A$8:$M$21,11,FALSE),
IF($A51&lt;'Pool &amp; SPA Sweep Elbows'!$A$12,VLOOKUP($A51,'Pool &amp; SPA Sweep Elbows'!$A$8:$M$11,11,FALSE),
IF($A51&lt;'Pool &amp; SPA Pipe Extender'!$A$11,VLOOKUP($A51,'Pool &amp; SPA Pipe Extender'!$A$8:$M$10,11,FALSE),
IF($A51&lt;'PVC SCH80'!$A$250,VLOOKUP($A51,'PVC SCH80'!$A$8:$M$249,11,FALSE),
IF($A51&lt;'PVC SCH80 Flange'!$A$49,VLOOKUP($A51,'PVC SCH80 Flange'!$A$8:$M$48,11,FALSE),
IF($A51&lt;'PVC SCH80 LD Flange'!$A$17,VLOOKUP($A51,'PVC SCH80 LD Flange'!$A$8:$M$16,11,FALSE),
IF($A51&lt;CPVC!$A$105,VLOOKUP($A51,CPVC!$A$9:$M$104,11,FALSE),
IF($A51&lt;InsertFittings!$A$185,VLOOKUP($A51,InsertFittings!$A$9:$M$184,11,FALSE),
IF($A51&lt;Valves!$A$92,VLOOKUP($A51,Valves!$A$9:$Q$91,15,FALSE),
IF($A51&lt;SDR35SW!$A$133,VLOOKUP($A51,SDR35SW!$A$9:$M$132,11,FALSE),
IF($A51&lt;SDR35G!$A$151,VLOOKUP($A51,SDR35G!$A$9:$M$150,11,FALSE),                                                                                                                                                                                                                                                          IF($A51&lt;SDR26G!$A$67,VLOOKUP($A51,SDR26G!$A$9:$N$66,12,FALSE),                                                                                                                                                                                                                                                       IF($A51&lt;Cements!$A$95,VLOOKUP($A51,Cements!$A$8:$Q$94,15,FALSE),
IF($A51&lt;ValveBox!$A$124,VLOOKUP($A51,ValveBox!$A$9:$O$123,13,FALSE),
IF($A51&lt;'ValveBox Components'!$A$142,VLOOKUP($A51,'ValveBox Components'!$A$9:$N$141,12,FALSE),
IF($A51&lt;Drainage!$A$69,VLOOKUP($A51,Drainage!$A$8:$M$68,11,FALSE),                                                                                                                                                                                                                                                           IF($A51&lt;Nipples!$A$82,VLOOKUP($A51,Nipples!$A$9:$Q$81,15,FALSE),
IF($A51&lt;Manifold!$A$33,VLOOKUP($A51,Manifold!$A$9:$M$32,11,FALSE),
IF($A51&lt;FlexibleRepairCouplings!$A$12,VLOOKUP($A51,FlexibleRepairCouplings!$A$9:$M$11,11,FALSE),
IF($A51&lt;DuraFix!$A$15,VLOOKUP($A51,DuraFix!$A$9:$M$14,11,FALSE),                                                                                                                                                                                                                                                            IF($A51&lt;'Compression Fittings'!$A$16,VLOOKUP($A51,'Compression Fittings'!$A$8:$M$15,11,FALSE),
IF($A51&lt;'Hose Fittings'!$A$30,VLOOKUP($A51,'Hose Fittings'!$A$8:$M$29,11,FALSE),
IF($A51&lt;'Swing Joints'!$A$495,VLOOKUP($A51,'Swing Joints'!$A$9:$M$494,11,FALSE),
IF($A51&lt;'Swing Joints Components'!$A$135,VLOOKUP($A51,'Swing Joints Components'!$A$9:$M$134,11,FALSE),
IF($A51&lt;Nonstandard!$A$42,VLOOKUP($A51,Nonstandard!$A$31:$J$41,10,FALSE),"")))))))))))))))))))))))))))),"")</f>
        <v/>
      </c>
      <c r="H51" s="618" t="str">
        <f>IFERROR(IF($A51&lt;'DWV PVC'!$A$317,VLOOKUP($A51,'DWV PVC'!$A$9:$M$316,7,FALSE),
IF($A51&lt;'DWV ABS'!$A$117,VLOOKUP($A51,'DWV ABS'!$A$8:$M$116,11,FALSE),                                                                                                                                                                                                                                                     IF($A51&lt;'PVC SCH40'!$A$425,VLOOKUP($A51,'PVC SCH40'!$A$8:$M$424,7,FALSE),
IF($A51&lt;'PVC SCH40 LD'!$A$22,VLOOKUP($A51,'PVC SCH40 LD'!$A$8:$M$21,7,FALSE),
IF($A51&lt;'Pool &amp; SPA Sweep Elbows'!$A$12,VLOOKUP($A51,'Pool &amp; SPA Sweep Elbows'!$A$8:$M$11,7,FALSE),
IF($A51&lt;'Pool &amp; SPA Pipe Extender'!$A$11,VLOOKUP($A51,'Pool &amp; SPA Pipe Extender'!$A$8:$M$10,7,FALSE),
IF($A51&lt;'PVC SCH80'!$A$250,VLOOKUP($A51,'PVC SCH80'!$A$8:$M$249,7,FALSE),
IF($A51&lt;'PVC SCH80 Flange'!$A$49,VLOOKUP($A51,'PVC SCH80 Flange'!$A$8:$M$48,7,FALSE),
IF($A51&lt;'PVC SCH80 LD Flange'!$A$17,VLOOKUP($A51,'PVC SCH80 LD Flange'!$A$8:$M$16,7,FALSE),
IF($A51&lt;CPVC!$A$105,VLOOKUP($A51,CPVC!$A$9:$M$104,7,FALSE),
IF($A51&lt;InsertFittings!$A$185,VLOOKUP($A51,InsertFittings!$A$9:$M$184,7,FALSE),
IF($A51&lt;Valves!$A$92,VLOOKUP($A51,Valves!$A$9:$Q$91,11,FALSE),
IF($A51&lt;SDR35SW!$A$133,VLOOKUP($A51,SDR35SW!$A$9:$M$132,7,FALSE),
IF($A51&lt;SDR35G!$A$151,VLOOKUP($A51,SDR35G!$A$9:$M$150,7,FALSE),                                                                                                                                                                                                                                                       IF($A51&lt;SDR26G!$A$67,VLOOKUP($A51,SDR26G!$A$9:$N$66,8,FALSE),                                                                                                                                                                                                                                                     IF($A51&lt;Cements!$A$95,VLOOKUP($A51,Cements!$A$8:$Q$94,11,FALSE),
IF($A51&lt;ValveBox!$A$124,VLOOKUP($A51,ValveBox!$A$9:$O$123,10,FALSE),
IF($A51&lt;'ValveBox Components'!$A$142,VLOOKUP($A51,'ValveBox Components'!$A$9:$N$141,9,FALSE),
IF($A51&lt;Drainage!$A$69,VLOOKUP($A51,Drainage!$A$8:$M$68,7,FALSE),                                                                                                                                                                                                                                                          IF($A51&lt;Nipples!$A$82,VLOOKUP($A51,Nipples!$A$9:$Q$81,11,FALSE),
IF($A51&lt;Manifold!$A$33,VLOOKUP($A51,Manifold!$A$9:$M$32,7,FALSE),
IF($A51&lt;FlexibleRepairCouplings!$A$12,VLOOKUP($A51,FlexibleRepairCouplings!$A$9:$M$11,7,FALSE),
IF($A51&lt;DuraFix!$A$15,VLOOKUP($A51,DuraFix!$A$9:$M$14,7,FALSE),                                                                                                                                                                                                                                                           IF($A51&lt;'Compression Fittings'!$A$16,VLOOKUP($A51,'Compression Fittings'!$A$8:$M$15,7,FALSE),
IF($A51&lt;'Hose Fittings'!$A$30,VLOOKUP($A51,'Hose Fittings'!$A$8:$M$29,7,FALSE),
IF($A51&lt;'Swing Joints'!$A$495,VLOOKUP($A51,'Swing Joints'!$A$9:$M$494,7,FALSE),
IF($A51&lt;'Swing Joints Components'!$A$135,VLOOKUP($A51,'Swing Joints Components'!$A$9:$M$134,7,FALSE),
IF($A51&lt;Nonstandard!$A$42,VLOOKUP($A51,Nonstandard!$A$31:$J$41,10,FALSE),"")))))))))))))))))))))))))))),"")</f>
        <v/>
      </c>
      <c r="I51" s="619"/>
      <c r="J51" s="281" t="str">
        <f t="shared" si="1"/>
        <v/>
      </c>
      <c r="K51" s="313" t="str">
        <f>IFERROR(IF($A51&lt;'DWV PVC'!$A$317,VLOOKUP($A51,'DWV PVC'!$A$9:$M$316,10,FALSE),
IF($A51&lt;'DWV ABS'!$A$117,VLOOKUP($A51,'DWV ABS'!$A$8:$M$116,10,FALSE),
IF($A51&lt;'PVC SCH40'!$A$425,VLOOKUP($A51,'PVC SCH40'!$A$8:$M$424,10,FALSE),
IF($A51&lt;'PVC SCH40 LD'!$A$22,VLOOKUP($A51,'PVC SCH40 LD'!$A$8:$M$21,10,FALSE),
IF($A51&lt;'Pool &amp; SPA Sweep Elbows'!$A$12,VLOOKUP($A51,'Pool &amp; SPA Sweep Elbows'!$A$8:$M$11,10,FALSE),
IF($A51&lt;'Pool &amp; SPA Pipe Extender'!$A$11,VLOOKUP($A51,'Pool &amp; SPA Pipe Extender'!$A$8:$M$10,10,FALSE),
IF($A51&lt;'PVC SCH80'!$A$250,VLOOKUP($A51,'PVC SCH80'!$A$8:$M$249,10,FALSE),
IF($A51&lt;'PVC SCH80 Flange'!$A$49,VLOOKUP($A51,'PVC SCH80 Flange'!$A$8:$M$48,10,FALSE),
IF($A51&lt;'PVC SCH80 LD Flange'!$A$17,VLOOKUP($A51,'PVC SCH80 LD Flange'!$A$8:$M$16,10,FALSE),
IF($A51&lt;CPVC!$A$105,VLOOKUP($A51,CPVC!$A$9:$M$104,10,FALSE),
IF($A51&lt;InsertFittings!$A$185,VLOOKUP($A51,InsertFittings!$A$9:$M$184,10,FALSE),
IF($A51&lt;Valves!$A$92,VLOOKUP($A51,Valves!$A$9:$Q$91,14,FALSE),
IF($A51&lt;SDR35SW!$A$133,VLOOKUP($A51,SDR35SW!$A$9:$M$132,10,FALSE),
IF($A51&lt;SDR35G!$A$151,VLOOKUP($A51,SDR35G!$A$9:$M$150,10,FALSE),
IF($A51&lt;SDR26G!$A$67,VLOOKUP($A51,SDR26G!$A$9:$N$66,11,FALSE),
IF($A51&lt;Cements!$A$95,VLOOKUP($A51,Cements!$A$8:$Q$94,14,FALSE),
IF($A51&lt;ValveBox!$A$124,VLOOKUP($A51,ValveBox!$A$9:$O$123,12,FALSE),
IF($A51&lt;'ValveBox Components'!$A$142,VLOOKUP($A51,'ValveBox Components'!$A$9:$N$141,11,FALSE),
IF($A51&lt;Drainage!$A$69,VLOOKUP($A51,Drainage!$A$8:$M$68,10,FALSE),
IF($A51&lt;Nipples!$A$82,VLOOKUP($A51,Nipples!$A$9:$Q$81,14,FALSE),
IF($A51&lt;Manifold!$A$33,VLOOKUP($A51,Manifold!$A$9:$M$32,10,FALSE),
IF($A51&lt;FlexibleRepairCouplings!$A$12,VLOOKUP($A51,FlexibleRepairCouplings!$A$9:$M$11,10,FALSE),
IF($A51&lt;DuraFix!$A$15,VLOOKUP($A51,DuraFix!$A$9:$M$14,10,FALSE),
IF($A51&lt;'Compression Fittings'!$A$16,VLOOKUP($A51,'Compression Fittings'!$A$8:$M$15,10,FALSE),
IF($A51&lt;'Hose Fittings'!$A$30,VLOOKUP($A51,'Hose Fittings'!$A$8:$M$29,10,FALSE),
IF($A51&lt;'Swing Joints'!$A$495,VLOOKUP($A51,'Swing Joints'!$A$9:$M$494,10,FALSE),
IF($A51&lt;'Swing Joints Components'!$A$135,VLOOKUP($A51,'Swing Joints Components'!$A$9:$M$134,10,FALSE),
IF($A51&lt;Nonstandard!$A$42,VLOOKUP($A51,Nonstandard!$A$31:$J$41,10,FALSE),"")))))))))))))))))))))))))))),"")</f>
        <v/>
      </c>
      <c r="L51" s="314" t="str">
        <f t="shared" si="0"/>
        <v>-</v>
      </c>
      <c r="M51" s="315"/>
    </row>
    <row r="52" spans="1:13" ht="15.6">
      <c r="A52" s="536">
        <v>20</v>
      </c>
      <c r="B52" s="536" t="str">
        <f>IFERROR(IF($A52&lt;'DWV PVC'!$A$317,VLOOKUP($A52,'DWV PVC'!$A$9:$M$316,4,FALSE),
IF($A52&lt;'DWV ABS'!$A$117,VLOOKUP($A52,'DWV ABS'!$A$8:$M$116,4,FALSE),
IF($A52&lt;'PVC SCH40'!$A$425,VLOOKUP($A52,'PVC SCH40'!$A$8:$M$424,4,FALSE),
IF($A52&lt;'PVC SCH40 LD'!$A$22,VLOOKUP($A52,'PVC SCH40 LD'!$A$8:$M$21,4,FALSE),
IF($A52&lt;'Pool &amp; SPA Sweep Elbows'!$A$12,VLOOKUP($A52,'Pool &amp; SPA Sweep Elbows'!$A$8:$M$11,4,FALSE),
IF($A52&lt;'Pool &amp; SPA Pipe Extender'!$A$11,VLOOKUP($A52,'Pool &amp; SPA Pipe Extender'!$A$8:$M$10,4,FALSE),
IF($A52&lt;'PVC SCH80'!$A$250,VLOOKUP($A52,'PVC SCH80'!$A$8:$M$249,4,FALSE),
IF($A52&lt;'PVC SCH80 Flange'!$A$49,VLOOKUP($A52,'PVC SCH80 Flange'!$A$8:$M$48,4,FALSE),
IF($A52&lt;'PVC SCH80 LD Flange'!$A$17,VLOOKUP($A52,'PVC SCH80 LD Flange'!$A$8:$M$16,4,FALSE),
IF($A52&lt;CPVC!$A$105,VLOOKUP($A52,CPVC!$A$9:$M$104,4,FALSE),
IF($A52&lt;InsertFittings!$A$185,VLOOKUP($A52,InsertFittings!$A$9:$M$184,4,FALSE),
IF($A52&lt;Valves!$A$92,VLOOKUP($A52,Valves!$A$9:$Q$91,4,FALSE),
IF($A52&lt;SDR35SW!$A$133,VLOOKUP($A52,SDR35SW!$A$9:$M$132,4,FALSE),
IF($A52&lt;SDR35G!$A$151,VLOOKUP($A52,SDR35G!$A$9:$M$150,4,FALSE),
IF($A52&lt;SDR26G!$A$67,VLOOKUP($A52,SDR26G!$A$9:$N$66,5,FALSE),
IF($A52&lt;Cements!$A$95,VLOOKUP($A52,Cements!$A$8:$Q$94,4,FALSE),
IF($A52&lt;ValveBox!$A$124,VLOOKUP($A52,ValveBox!$A$9:$O$123,4,FALSE),
IF($A52&lt;'ValveBox Components'!$A$142,VLOOKUP($A52,'ValveBox Components'!$A$9:$N$141,4,FALSE),
IF($A52&lt;Drainage!$A$69,VLOOKUP($A52,Drainage!$A$8:$M$68,4,FALSE),
IF($A52&lt;Nipples!$A$82,VLOOKUP($A52,Nipples!$A$9:$Q$81,4,FALSE),
IF($A52&lt;Manifold!$A$33,VLOOKUP($A52,Manifold!$A$9:$M$32,4,FALSE),
IF($A52&lt;FlexibleRepairCouplings!$A$12,VLOOKUP($A52,FlexibleRepairCouplings!$A$9:$M$11,4,FALSE),
IF($A52&lt;DuraFix!$A$15,VLOOKUP($A52,DuraFix!$A$9:$M$14,4,FALSE),
IF($A52&lt;'Compression Fittings'!$A$16,VLOOKUP($A52,'Compression Fittings'!$A$8:$M$15,4,FALSE),
IF($A52&lt;'Hose Fittings'!$A$30,VLOOKUP($A52,'Hose Fittings'!$A$8:$M$29,4,FALSE),
IF($A52&lt;'Swing Joints'!$A$495,VLOOKUP($A52,'Swing Joints'!$A$9:$M$494,4,FALSE),
IF($A52&lt;'Swing Joints Components'!$A$135,VLOOKUP($A52,'Swing Joints Components'!$A$9:$M$134,4,FALSE),
IF($A52&lt;Nonstandard!$A$42,VLOOKUP($A52,Nonstandard!$A$31:$J$41,5,FALSE),"")))))))))))))))))))))))))))),"")</f>
        <v/>
      </c>
      <c r="C52" s="536" t="str">
        <f>IFERROR(IF($A52&lt;'DWV PVC'!$A$317,VLOOKUP($A52,'DWV PVC'!$A$9:$M$316,5,FALSE),
IF($A52&lt;'DWV ABS'!$A$117,VLOOKUP($A52,'DWV ABS'!$A$8:$M$116,5,FALSE),
IF($A52&lt;'PVC SCH40'!$A$425,VLOOKUP($A52,'PVC SCH40'!$A$8:$M$424,5,FALSE),
IF($A52&lt;'PVC SCH40 LD'!$A$22,VLOOKUP($A52,'PVC SCH40 LD'!$A$8:$M$21,5,FALSE),
IF($A52&lt;'Pool &amp; SPA Sweep Elbows'!$A$12,VLOOKUP($A52,'Pool &amp; SPA Sweep Elbows'!$A$8:$M$11,5,FALSE),
IF($A52&lt;'Pool &amp; SPA Pipe Extender'!$A$11,VLOOKUP($A52,'Pool &amp; SPA Pipe Extender'!$A$8:$M$10,5,FALSE),
IF($A52&lt;'PVC SCH80'!$A$250,VLOOKUP($A52,'PVC SCH80'!$A$8:$M$249,5,FALSE),
IF($A52&lt;'PVC SCH80 Flange'!$A$49,VLOOKUP($A52,'PVC SCH80 Flange'!$A$8:$M$48,5,FALSE),
IF($A52&lt;'PVC SCH80 LD Flange'!$A$17,VLOOKUP($A52,'PVC SCH80 LD Flange'!$A$8:$M$16,5,FALSE),
IF($A52&lt;CPVC!$A$105,VLOOKUP($A52,CPVC!$A$9:$M$104,5,FALSE),
IF($A52&lt;InsertFittings!$A$185,VLOOKUP($A52,InsertFittings!$A$9:$M$184,5,FALSE),
IF($A52&lt;Valves!$A$92,VLOOKUP($A52,Valves!$A$9:$Q$91,5,FALSE),
IF($A52&lt;SDR35SW!$A$133,VLOOKUP($A52,SDR35SW!$A$9:$M$132,5,FALSE),
IF($A52&lt;SDR35G!$A$151,VLOOKUP($A52,SDR35G!$A$9:$M$150,5,FALSE),
IF($A52&lt;SDR26G!$A$67,VLOOKUP($A52,SDR26G!$A$9:$N$66,6,FALSE),
IF($A52&lt;Cements!$A$95,VLOOKUP($A52,Cements!$A$8:$Q$94,5,FALSE),
IF($A52&lt;ValveBox!$A$124,VLOOKUP($A52,ValveBox!$A$9:$O$123,5,FALSE),
IF($A52&lt;'ValveBox Components'!$A$142,VLOOKUP($A52,'ValveBox Components'!$A$9:$N$141,5,FALSE),
IF($A52&lt;Drainage!$A$69,VLOOKUP($A52,Drainage!$A$8:$M$68,5,FALSE),
IF($A52&lt;Nipples!$A$82,VLOOKUP($A52,Nipples!$A$9:$Q$81,5,FALSE),
IF($A52&lt;Manifold!$A$33,VLOOKUP($A52,Manifold!$A$9:$M$32,5,FALSE),
IF($A52&lt;FlexibleRepairCouplings!$A$12,VLOOKUP($A52,FlexibleRepairCouplings!$A$9:$M$11,5,FALSE),
IF($A52&lt;DuraFix!$A$15,VLOOKUP($A52,DuraFix!$A$9:$M$14,5,FALSE),
IF($A52&lt;'Compression Fittings'!$A$16,VLOOKUP($A52,'Compression Fittings'!$A$8:$M$15,5,FALSE),
IF($A52&lt;'Hose Fittings'!$A$30,VLOOKUP($A52,'Hose Fittings'!$A$8:$M$29,5,FALSE),
IF($A52&lt;'Swing Joints'!$A$495,VLOOKUP($A52,'Swing Joints'!$A$9:$M$494,5,FALSE),
IF($A52&lt;'Swing Joints Components'!$A$135,VLOOKUP($A52,'Swing Joints Components'!$A$9:$M$134,5,FALSE),
IF($A52&lt;Nonstandard!$A$42,VLOOKUP($A52,Nonstandard!$A$31:$J$41,6,FALSE),"")))))))))))))))))))))))))))),"")</f>
        <v/>
      </c>
      <c r="D52" s="537" t="str">
        <f>IFERROR(IF($A52&lt;'DWV PVC'!$A$317,VLOOKUP($A52,'DWV PVC'!$A$9:$M$316,6,FALSE),
IF($A52&lt;'DWV ABS'!$A$117,VLOOKUP($A52,'DWV ABS'!$A$8:$M$116,6,FALSE),
IF($A52&lt;'PVC SCH40'!$A$425,VLOOKUP($A52,'PVC SCH40'!$A$8:$M$424,6,FALSE),
IF($A52&lt;'PVC SCH40 LD'!$A$22,VLOOKUP($A52,'PVC SCH40 LD'!$A$8:$M$21,6,FALSE),
IF($A52&lt;'Pool &amp; SPA Sweep Elbows'!$A$12,VLOOKUP($A52,'Pool &amp; SPA Sweep Elbows'!$A$8:$M$11,6,FALSE),
IF($A52&lt;'Pool &amp; SPA Pipe Extender'!$A$11,VLOOKUP($A52,'Pool &amp; SPA Pipe Extender'!$A$8:$M$10,6,FALSE),
IF($A52&lt;'PVC SCH80'!$A$250,VLOOKUP($A52,'PVC SCH80'!$A$8:$M$249,6,FALSE),
IF($A52&lt;'PVC SCH80 Flange'!$A$49,VLOOKUP($A52,'PVC SCH80 Flange'!$A$8:$M$48,6,FALSE),
IF($A52&lt;'PVC SCH80 LD Flange'!$A$17,VLOOKUP($A52,'PVC SCH80 LD Flange'!$A$8:$M$16,6,FALSE),
IF($A52&lt;CPVC!$A$105,VLOOKUP($A52,CPVC!$A$9:$M$104,6,FALSE),
IF($A52&lt;InsertFittings!$A$185,VLOOKUP($A52,InsertFittings!$A$9:$M$184,6,FALSE),
IF($A52&lt;Valves!$A$92,VLOOKUP($A52,Valves!$A$9:$Q$91,6,FALSE),
IF($A52&lt;SDR35SW!$A$133,VLOOKUP($A52,SDR35SW!$A$9:$M$132,6,FALSE),
IF($A52&lt;SDR35G!$A$151,VLOOKUP($A52,SDR35G!$A$9:$M$150,6,FALSE),
IF($A52&lt;SDR26G!$A$67,VLOOKUP($A52,SDR26G!$A$9:$N$66,7,FALSE),
IF($A52&lt;Cements!$A$95,VLOOKUP($A52,Cements!$A$8:$Q$94,6,FALSE),
IF($A52&lt;ValveBox!$A$124,VLOOKUP($A52,ValveBox!$A$9:$O$123,6,FALSE),
IF($A52&lt;'ValveBox Components'!$A$142,VLOOKUP($A52,'ValveBox Components'!$A$9:$N$141,6,FALSE),
IF($A52&lt;Drainage!$A$69,VLOOKUP($A52,Drainage!$A$8:$M$68,6,FALSE),
IF($A52&lt;Nipples!$A$82,VLOOKUP($A52,Nipples!$A$9:$Q$81,6,FALSE),
IF($A52&lt;Manifold!$A$33,VLOOKUP($A52,Manifold!$A$9:$M$32,6,FALSE),
IF($A52&lt;FlexibleRepairCouplings!$A$12,VLOOKUP($A52,FlexibleRepairCouplings!$A$9:$M$11,6,FALSE),
IF($A52&lt;DuraFix!$A$15,VLOOKUP($A52,DuraFix!$A$9:$M$14,6,FALSE),
IF($A52&lt;'Compression Fittings'!$A$16,VLOOKUP($A52,'Compression Fittings'!$A$8:$M$15,6,FALSE),
IF($A52&lt;'Hose Fittings'!$A$30,VLOOKUP($A52,'Hose Fittings'!$A$8:$M$29,6,FALSE),
IF($A52&lt;'Swing Joints'!$A$495,VLOOKUP($A52,'Swing Joints'!$A$9:$M$494,6,FALSE),
IF($A52&lt;'Swing Joints Components'!$A$135,VLOOKUP($A52,'Swing Joints Components'!$A$9:$M$134,6,FALSE),
IF($A52&lt;Nonstandard!$A$42,VLOOKUP($A52,Nonstandard!$A$31:$J$41,7,FALSE),"")))))))))))))))))))))))))))),"")</f>
        <v/>
      </c>
      <c r="E52" s="538"/>
      <c r="F52" s="539" t="str">
        <f>IFERROR(IF($A52&lt;'DWV PVC'!$A$317,VLOOKUP($A52,'DWV PVC'!$A$9:$M$316,9,FALSE),
IF($A52&lt;'DWV ABS'!$A$117,VLOOKUP($A52,'DWV ABS'!$A$8:$M$116,9,FALSE),                                                                                                                                                                                                                                                     IF($A52&lt;'PVC SCH40'!$A$425,VLOOKUP($A52,'PVC SCH40'!$A$8:$M$424,9,FALSE),
IF($A52&lt;'PVC SCH40 LD'!$A$22,VLOOKUP($A52,'PVC SCH40 LD'!$A$8:$M$21,9,FALSE),
IF($A52&lt;'Pool &amp; SPA Sweep Elbows'!$A$12,VLOOKUP($A52,'Pool &amp; SPA Sweep Elbows'!$A$8:$M$11,9,FALSE),
IF($A52&lt;'Pool &amp; SPA Pipe Extender'!$A$11,VLOOKUP($A52,'Pool &amp; SPA Pipe Extender'!$A$8:$M$10,9,FALSE),
IF($A52&lt;'PVC SCH80'!$A$250,VLOOKUP($A52,'PVC SCH80'!$A$8:$M$249,9,FALSE),
IF($A52&lt;'PVC SCH80 Flange'!$A$49,VLOOKUP($A52,'PVC SCH80 Flange'!$A$8:$M$48,9,FALSE),
IF($A52&lt;'PVC SCH80 LD Flange'!$A$17,VLOOKUP($A52,'PVC SCH80 LD Flange'!$A$8:$M$16,9,FALSE),
IF($A52&lt;CPVC!$A$105,VLOOKUP($A52,CPVC!$A$9:$M$104,9,FALSE),
IF($A52&lt;InsertFittings!$A$185,VLOOKUP($A52,InsertFittings!$A$9:$M$184,9,FALSE),
IF($A52&lt;Valves!$A$92,VLOOKUP($A52,Valves!$A$9:$Q$91,13,FALSE),
IF($A52&lt;SDR35SW!$A$133,VLOOKUP($A52,SDR35SW!$A$9:$M$132,9,FALSE),
IF($A52&lt;SDR35G!$A$151,VLOOKUP($A52,SDR35G!$A$9:$M$150,9,FALSE),                                                                                                                                                                                                                                                          IF($A52&lt;SDR26G!$A$67,VLOOKUP($A52,SDR26G!$A$9:$N$66,10,FALSE),                                                                                                                                                                                                                                                       IF($A52&lt;Cements!$A$95,VLOOKUP($A52,Cements!$A$8:$Q$94,13,FALSE),
IF($A52&lt;ValveBox!$A$124,VLOOKUP($A52,ValveBox!$A$9:$O$123,11,FALSE),
IF($A52&lt;'ValveBox Components'!$A$142,VLOOKUP($A52,'ValveBox Components'!$A$9:$N$141,10,FALSE),
IF($A52&lt;Drainage!$A$69,VLOOKUP($A52,Drainage!$A$8:$M$68,9,FALSE),                                                                                                                                                                                                                                                              IF($A52&lt;Nipples!$A$82,VLOOKUP($A52,Nipples!$A$9:$Q$81,13,FALSE),
IF($A52&lt;Manifold!$A$33,VLOOKUP($A52,Manifold!$A$9:$M$32,9,FALSE),
IF($A52&lt;FlexibleRepairCouplings!$A$12,VLOOKUP($A52,FlexibleRepairCouplings!$A$9:$M$11,9,FALSE),
IF($A52&lt;DuraFix!$A$15,VLOOKUP($A52,DuraFix!$A$9:$M$14,9,FALSE),                                                                                                                                                                                                                                                          IF($A52&lt;'Compression Fittings'!$A$16,VLOOKUP($A52,'Compression Fittings'!$A$8:$M$15,9,FALSE),
IF($A52&lt;'Hose Fittings'!$A$30,VLOOKUP($A52,'Hose Fittings'!$A$8:$M$29,9,FALSE),
IF($A52&lt;'Swing Joints'!$A$495,VLOOKUP($A52,'Swing Joints'!$A$9:$M$494,9,FALSE),
IF($A52&lt;'Swing Joints Components'!$A$135,VLOOKUP($A52,'Swing Joints Components'!$A$9:$M$134,9,FALSE),
IF($A52&lt;Nonstandard!$A$42,VLOOKUP($A52,Nonstandard!$A$31:$J$41,8,FALSE),"")))))))))))))))))))))))))))),"")</f>
        <v/>
      </c>
      <c r="G52" s="540" t="str">
        <f>IFERROR(IF($A52&lt;'DWV PVC'!$A$317,VLOOKUP($A52,'DWV PVC'!$A$9:$M$316,11,FALSE),
IF($A52&lt;'DWV ABS'!$A$117,VLOOKUP($A52,'DWV ABS'!$A$8:$M$116,11,FALSE),                                                                                                                                                                                                                                                     IF($A52&lt;'PVC SCH40'!$A$425,VLOOKUP($A52,'PVC SCH40'!$A$8:$M$424,11,FALSE),
IF($A52&lt;'PVC SCH40 LD'!$A$22,VLOOKUP($A52,'PVC SCH40 LD'!$A$8:$M$21,11,FALSE),
IF($A52&lt;'Pool &amp; SPA Sweep Elbows'!$A$12,VLOOKUP($A52,'Pool &amp; SPA Sweep Elbows'!$A$8:$M$11,11,FALSE),
IF($A52&lt;'Pool &amp; SPA Pipe Extender'!$A$11,VLOOKUP($A52,'Pool &amp; SPA Pipe Extender'!$A$8:$M$10,11,FALSE),
IF($A52&lt;'PVC SCH80'!$A$250,VLOOKUP($A52,'PVC SCH80'!$A$8:$M$249,11,FALSE),
IF($A52&lt;'PVC SCH80 Flange'!$A$49,VLOOKUP($A52,'PVC SCH80 Flange'!$A$8:$M$48,11,FALSE),
IF($A52&lt;'PVC SCH80 LD Flange'!$A$17,VLOOKUP($A52,'PVC SCH80 LD Flange'!$A$8:$M$16,11,FALSE),
IF($A52&lt;CPVC!$A$105,VLOOKUP($A52,CPVC!$A$9:$M$104,11,FALSE),
IF($A52&lt;InsertFittings!$A$185,VLOOKUP($A52,InsertFittings!$A$9:$M$184,11,FALSE),
IF($A52&lt;Valves!$A$92,VLOOKUP($A52,Valves!$A$9:$Q$91,15,FALSE),
IF($A52&lt;SDR35SW!$A$133,VLOOKUP($A52,SDR35SW!$A$9:$M$132,11,FALSE),
IF($A52&lt;SDR35G!$A$151,VLOOKUP($A52,SDR35G!$A$9:$M$150,11,FALSE),                                                                                                                                                                                                                                                          IF($A52&lt;SDR26G!$A$67,VLOOKUP($A52,SDR26G!$A$9:$N$66,12,FALSE),                                                                                                                                                                                                                                                       IF($A52&lt;Cements!$A$95,VLOOKUP($A52,Cements!$A$8:$Q$94,15,FALSE),
IF($A52&lt;ValveBox!$A$124,VLOOKUP($A52,ValveBox!$A$9:$O$123,13,FALSE),
IF($A52&lt;'ValveBox Components'!$A$142,VLOOKUP($A52,'ValveBox Components'!$A$9:$N$141,12,FALSE),
IF($A52&lt;Drainage!$A$69,VLOOKUP($A52,Drainage!$A$8:$M$68,11,FALSE),                                                                                                                                                                                                                                                           IF($A52&lt;Nipples!$A$82,VLOOKUP($A52,Nipples!$A$9:$Q$81,15,FALSE),
IF($A52&lt;Manifold!$A$33,VLOOKUP($A52,Manifold!$A$9:$M$32,11,FALSE),
IF($A52&lt;FlexibleRepairCouplings!$A$12,VLOOKUP($A52,FlexibleRepairCouplings!$A$9:$M$11,11,FALSE),
IF($A52&lt;DuraFix!$A$15,VLOOKUP($A52,DuraFix!$A$9:$M$14,11,FALSE),                                                                                                                                                                                                                                                            IF($A52&lt;'Compression Fittings'!$A$16,VLOOKUP($A52,'Compression Fittings'!$A$8:$M$15,11,FALSE),
IF($A52&lt;'Hose Fittings'!$A$30,VLOOKUP($A52,'Hose Fittings'!$A$8:$M$29,11,FALSE),
IF($A52&lt;'Swing Joints'!$A$495,VLOOKUP($A52,'Swing Joints'!$A$9:$M$494,11,FALSE),
IF($A52&lt;'Swing Joints Components'!$A$135,VLOOKUP($A52,'Swing Joints Components'!$A$9:$M$134,11,FALSE),
IF($A52&lt;Nonstandard!$A$42,VLOOKUP($A52,Nonstandard!$A$31:$J$41,10,FALSE),"")))))))))))))))))))))))))))),"")</f>
        <v/>
      </c>
      <c r="H52" s="620" t="str">
        <f>IFERROR(IF($A52&lt;'DWV PVC'!$A$317,VLOOKUP($A52,'DWV PVC'!$A$9:$M$316,7,FALSE),
IF($A52&lt;'DWV ABS'!$A$117,VLOOKUP($A52,'DWV ABS'!$A$8:$M$116,11,FALSE),                                                                                                                                                                                                                                                     IF($A52&lt;'PVC SCH40'!$A$425,VLOOKUP($A52,'PVC SCH40'!$A$8:$M$424,7,FALSE),
IF($A52&lt;'PVC SCH40 LD'!$A$22,VLOOKUP($A52,'PVC SCH40 LD'!$A$8:$M$21,7,FALSE),
IF($A52&lt;'Pool &amp; SPA Sweep Elbows'!$A$12,VLOOKUP($A52,'Pool &amp; SPA Sweep Elbows'!$A$8:$M$11,7,FALSE),
IF($A52&lt;'Pool &amp; SPA Pipe Extender'!$A$11,VLOOKUP($A52,'Pool &amp; SPA Pipe Extender'!$A$8:$M$10,7,FALSE),
IF($A52&lt;'PVC SCH80'!$A$250,VLOOKUP($A52,'PVC SCH80'!$A$8:$M$249,7,FALSE),
IF($A52&lt;'PVC SCH80 Flange'!$A$49,VLOOKUP($A52,'PVC SCH80 Flange'!$A$8:$M$48,7,FALSE),
IF($A52&lt;'PVC SCH80 LD Flange'!$A$17,VLOOKUP($A52,'PVC SCH80 LD Flange'!$A$8:$M$16,7,FALSE),
IF($A52&lt;CPVC!$A$105,VLOOKUP($A52,CPVC!$A$9:$M$104,7,FALSE),
IF($A52&lt;InsertFittings!$A$185,VLOOKUP($A52,InsertFittings!$A$9:$M$184,7,FALSE),
IF($A52&lt;Valves!$A$92,VLOOKUP($A52,Valves!$A$9:$Q$91,11,FALSE),
IF($A52&lt;SDR35SW!$A$133,VLOOKUP($A52,SDR35SW!$A$9:$M$132,7,FALSE),
IF($A52&lt;SDR35G!$A$151,VLOOKUP($A52,SDR35G!$A$9:$M$150,7,FALSE),                                                                                                                                                                                                                                                       IF($A52&lt;SDR26G!$A$67,VLOOKUP($A52,SDR26G!$A$9:$N$66,8,FALSE),                                                                                                                                                                                                                                                     IF($A52&lt;Cements!$A$95,VLOOKUP($A52,Cements!$A$8:$Q$94,11,FALSE),
IF($A52&lt;ValveBox!$A$124,VLOOKUP($A52,ValveBox!$A$9:$O$123,10,FALSE),
IF($A52&lt;'ValveBox Components'!$A$142,VLOOKUP($A52,'ValveBox Components'!$A$9:$N$141,9,FALSE),
IF($A52&lt;Drainage!$A$69,VLOOKUP($A52,Drainage!$A$8:$M$68,7,FALSE),                                                                                                                                                                                                                                                          IF($A52&lt;Nipples!$A$82,VLOOKUP($A52,Nipples!$A$9:$Q$81,11,FALSE),
IF($A52&lt;Manifold!$A$33,VLOOKUP($A52,Manifold!$A$9:$M$32,7,FALSE),
IF($A52&lt;FlexibleRepairCouplings!$A$12,VLOOKUP($A52,FlexibleRepairCouplings!$A$9:$M$11,7,FALSE),
IF($A52&lt;DuraFix!$A$15,VLOOKUP($A52,DuraFix!$A$9:$M$14,7,FALSE),                                                                                                                                                                                                                                                           IF($A52&lt;'Compression Fittings'!$A$16,VLOOKUP($A52,'Compression Fittings'!$A$8:$M$15,7,FALSE),
IF($A52&lt;'Hose Fittings'!$A$30,VLOOKUP($A52,'Hose Fittings'!$A$8:$M$29,7,FALSE),
IF($A52&lt;'Swing Joints'!$A$495,VLOOKUP($A52,'Swing Joints'!$A$9:$M$494,7,FALSE),
IF($A52&lt;'Swing Joints Components'!$A$135,VLOOKUP($A52,'Swing Joints Components'!$A$9:$M$134,7,FALSE),
IF($A52&lt;Nonstandard!$A$42,VLOOKUP($A52,Nonstandard!$A$31:$J$41,10,FALSE),"")))))))))))))))))))))))))))),"")</f>
        <v/>
      </c>
      <c r="I52" s="621"/>
      <c r="J52" s="541" t="str">
        <f t="shared" si="1"/>
        <v/>
      </c>
      <c r="K52" s="599" t="str">
        <f>IFERROR(IF($A52&lt;'DWV PVC'!$A$317,VLOOKUP($A52,'DWV PVC'!$A$9:$M$316,10,FALSE),
IF($A52&lt;'DWV ABS'!$A$117,VLOOKUP($A52,'DWV ABS'!$A$8:$M$116,10,FALSE),
IF($A52&lt;'PVC SCH40'!$A$425,VLOOKUP($A52,'PVC SCH40'!$A$8:$M$424,10,FALSE),
IF($A52&lt;'PVC SCH40 LD'!$A$22,VLOOKUP($A52,'PVC SCH40 LD'!$A$8:$M$21,10,FALSE),
IF($A52&lt;'Pool &amp; SPA Sweep Elbows'!$A$12,VLOOKUP($A52,'Pool &amp; SPA Sweep Elbows'!$A$8:$M$11,10,FALSE),
IF($A52&lt;'Pool &amp; SPA Pipe Extender'!$A$11,VLOOKUP($A52,'Pool &amp; SPA Pipe Extender'!$A$8:$M$10,10,FALSE),
IF($A52&lt;'PVC SCH80'!$A$250,VLOOKUP($A52,'PVC SCH80'!$A$8:$M$249,10,FALSE),
IF($A52&lt;'PVC SCH80 Flange'!$A$49,VLOOKUP($A52,'PVC SCH80 Flange'!$A$8:$M$48,10,FALSE),
IF($A52&lt;'PVC SCH80 LD Flange'!$A$17,VLOOKUP($A52,'PVC SCH80 LD Flange'!$A$8:$M$16,10,FALSE),
IF($A52&lt;CPVC!$A$105,VLOOKUP($A52,CPVC!$A$9:$M$104,10,FALSE),
IF($A52&lt;InsertFittings!$A$185,VLOOKUP($A52,InsertFittings!$A$9:$M$184,10,FALSE),
IF($A52&lt;Valves!$A$92,VLOOKUP($A52,Valves!$A$9:$Q$91,14,FALSE),
IF($A52&lt;SDR35SW!$A$133,VLOOKUP($A52,SDR35SW!$A$9:$M$132,10,FALSE),
IF($A52&lt;SDR35G!$A$151,VLOOKUP($A52,SDR35G!$A$9:$M$150,10,FALSE),
IF($A52&lt;SDR26G!$A$67,VLOOKUP($A52,SDR26G!$A$9:$N$66,11,FALSE),
IF($A52&lt;Cements!$A$95,VLOOKUP($A52,Cements!$A$8:$Q$94,14,FALSE),
IF($A52&lt;ValveBox!$A$124,VLOOKUP($A52,ValveBox!$A$9:$O$123,12,FALSE),
IF($A52&lt;'ValveBox Components'!$A$142,VLOOKUP($A52,'ValveBox Components'!$A$9:$N$141,11,FALSE),
IF($A52&lt;Drainage!$A$69,VLOOKUP($A52,Drainage!$A$8:$M$68,10,FALSE),
IF($A52&lt;Nipples!$A$82,VLOOKUP($A52,Nipples!$A$9:$Q$81,14,FALSE),
IF($A52&lt;Manifold!$A$33,VLOOKUP($A52,Manifold!$A$9:$M$32,10,FALSE),
IF($A52&lt;FlexibleRepairCouplings!$A$12,VLOOKUP($A52,FlexibleRepairCouplings!$A$9:$M$11,10,FALSE),
IF($A52&lt;DuraFix!$A$15,VLOOKUP($A52,DuraFix!$A$9:$M$14,10,FALSE),
IF($A52&lt;'Compression Fittings'!$A$16,VLOOKUP($A52,'Compression Fittings'!$A$8:$M$15,10,FALSE),
IF($A52&lt;'Hose Fittings'!$A$30,VLOOKUP($A52,'Hose Fittings'!$A$8:$M$29,10,FALSE),
IF($A52&lt;'Swing Joints'!$A$495,VLOOKUP($A52,'Swing Joints'!$A$9:$M$494,10,FALSE),
IF($A52&lt;'Swing Joints Components'!$A$135,VLOOKUP($A52,'Swing Joints Components'!$A$9:$M$134,10,FALSE),
IF($A52&lt;Nonstandard!$A$42,VLOOKUP($A52,Nonstandard!$A$31:$J$41,10,FALSE),"")))))))))))))))))))))))))))),"")</f>
        <v/>
      </c>
      <c r="L52" s="539" t="str">
        <f t="shared" si="0"/>
        <v>-</v>
      </c>
      <c r="M52" s="542"/>
    </row>
    <row r="53" spans="1:13" ht="15.6">
      <c r="A53" s="312">
        <v>21</v>
      </c>
      <c r="B53" s="312" t="str">
        <f>IFERROR(IF($A53&lt;'DWV PVC'!$A$317,VLOOKUP($A53,'DWV PVC'!$A$9:$M$316,4,FALSE),
IF($A53&lt;'DWV ABS'!$A$117,VLOOKUP($A53,'DWV ABS'!$A$8:$M$116,4,FALSE),
IF($A53&lt;'PVC SCH40'!$A$425,VLOOKUP($A53,'PVC SCH40'!$A$8:$M$424,4,FALSE),
IF($A53&lt;'PVC SCH40 LD'!$A$22,VLOOKUP($A53,'PVC SCH40 LD'!$A$8:$M$21,4,FALSE),
IF($A53&lt;'Pool &amp; SPA Sweep Elbows'!$A$12,VLOOKUP($A53,'Pool &amp; SPA Sweep Elbows'!$A$8:$M$11,4,FALSE),
IF($A53&lt;'Pool &amp; SPA Pipe Extender'!$A$11,VLOOKUP($A53,'Pool &amp; SPA Pipe Extender'!$A$8:$M$10,4,FALSE),
IF($A53&lt;'PVC SCH80'!$A$250,VLOOKUP($A53,'PVC SCH80'!$A$8:$M$249,4,FALSE),
IF($A53&lt;'PVC SCH80 Flange'!$A$49,VLOOKUP($A53,'PVC SCH80 Flange'!$A$8:$M$48,4,FALSE),
IF($A53&lt;'PVC SCH80 LD Flange'!$A$17,VLOOKUP($A53,'PVC SCH80 LD Flange'!$A$8:$M$16,4,FALSE),
IF($A53&lt;CPVC!$A$105,VLOOKUP($A53,CPVC!$A$9:$M$104,4,FALSE),
IF($A53&lt;InsertFittings!$A$185,VLOOKUP($A53,InsertFittings!$A$9:$M$184,4,FALSE),
IF($A53&lt;Valves!$A$92,VLOOKUP($A53,Valves!$A$9:$Q$91,4,FALSE),
IF($A53&lt;SDR35SW!$A$133,VLOOKUP($A53,SDR35SW!$A$9:$M$132,4,FALSE),
IF($A53&lt;SDR35G!$A$151,VLOOKUP($A53,SDR35G!$A$9:$M$150,4,FALSE),
IF($A53&lt;SDR26G!$A$67,VLOOKUP($A53,SDR26G!$A$9:$N$66,5,FALSE),
IF($A53&lt;Cements!$A$95,VLOOKUP($A53,Cements!$A$8:$Q$94,4,FALSE),
IF($A53&lt;ValveBox!$A$124,VLOOKUP($A53,ValveBox!$A$9:$O$123,4,FALSE),
IF($A53&lt;'ValveBox Components'!$A$142,VLOOKUP($A53,'ValveBox Components'!$A$9:$N$141,4,FALSE),
IF($A53&lt;Drainage!$A$69,VLOOKUP($A53,Drainage!$A$8:$M$68,4,FALSE),
IF($A53&lt;Nipples!$A$82,VLOOKUP($A53,Nipples!$A$9:$Q$81,4,FALSE),
IF($A53&lt;Manifold!$A$33,VLOOKUP($A53,Manifold!$A$9:$M$32,4,FALSE),
IF($A53&lt;FlexibleRepairCouplings!$A$12,VLOOKUP($A53,FlexibleRepairCouplings!$A$9:$M$11,4,FALSE),
IF($A53&lt;DuraFix!$A$15,VLOOKUP($A53,DuraFix!$A$9:$M$14,4,FALSE),
IF($A53&lt;'Compression Fittings'!$A$16,VLOOKUP($A53,'Compression Fittings'!$A$8:$M$15,4,FALSE),
IF($A53&lt;'Hose Fittings'!$A$30,VLOOKUP($A53,'Hose Fittings'!$A$8:$M$29,4,FALSE),
IF($A53&lt;'Swing Joints'!$A$495,VLOOKUP($A53,'Swing Joints'!$A$9:$M$494,4,FALSE),
IF($A53&lt;'Swing Joints Components'!$A$135,VLOOKUP($A53,'Swing Joints Components'!$A$9:$M$134,4,FALSE),
IF($A53&lt;Nonstandard!$A$42,VLOOKUP($A53,Nonstandard!$A$31:$J$41,5,FALSE),"")))))))))))))))))))))))))))),"")</f>
        <v/>
      </c>
      <c r="C53" s="312" t="str">
        <f>IFERROR(IF($A53&lt;'DWV PVC'!$A$317,VLOOKUP($A53,'DWV PVC'!$A$9:$M$316,5,FALSE),
IF($A53&lt;'DWV ABS'!$A$117,VLOOKUP($A53,'DWV ABS'!$A$8:$M$116,5,FALSE),
IF($A53&lt;'PVC SCH40'!$A$425,VLOOKUP($A53,'PVC SCH40'!$A$8:$M$424,5,FALSE),
IF($A53&lt;'PVC SCH40 LD'!$A$22,VLOOKUP($A53,'PVC SCH40 LD'!$A$8:$M$21,5,FALSE),
IF($A53&lt;'Pool &amp; SPA Sweep Elbows'!$A$12,VLOOKUP($A53,'Pool &amp; SPA Sweep Elbows'!$A$8:$M$11,5,FALSE),
IF($A53&lt;'Pool &amp; SPA Pipe Extender'!$A$11,VLOOKUP($A53,'Pool &amp; SPA Pipe Extender'!$A$8:$M$10,5,FALSE),
IF($A53&lt;'PVC SCH80'!$A$250,VLOOKUP($A53,'PVC SCH80'!$A$8:$M$249,5,FALSE),
IF($A53&lt;'PVC SCH80 Flange'!$A$49,VLOOKUP($A53,'PVC SCH80 Flange'!$A$8:$M$48,5,FALSE),
IF($A53&lt;'PVC SCH80 LD Flange'!$A$17,VLOOKUP($A53,'PVC SCH80 LD Flange'!$A$8:$M$16,5,FALSE),
IF($A53&lt;CPVC!$A$105,VLOOKUP($A53,CPVC!$A$9:$M$104,5,FALSE),
IF($A53&lt;InsertFittings!$A$185,VLOOKUP($A53,InsertFittings!$A$9:$M$184,5,FALSE),
IF($A53&lt;Valves!$A$92,VLOOKUP($A53,Valves!$A$9:$Q$91,5,FALSE),
IF($A53&lt;SDR35SW!$A$133,VLOOKUP($A53,SDR35SW!$A$9:$M$132,5,FALSE),
IF($A53&lt;SDR35G!$A$151,VLOOKUP($A53,SDR35G!$A$9:$M$150,5,FALSE),
IF($A53&lt;SDR26G!$A$67,VLOOKUP($A53,SDR26G!$A$9:$N$66,6,FALSE),
IF($A53&lt;Cements!$A$95,VLOOKUP($A53,Cements!$A$8:$Q$94,5,FALSE),
IF($A53&lt;ValveBox!$A$124,VLOOKUP($A53,ValveBox!$A$9:$O$123,5,FALSE),
IF($A53&lt;'ValveBox Components'!$A$142,VLOOKUP($A53,'ValveBox Components'!$A$9:$N$141,5,FALSE),
IF($A53&lt;Drainage!$A$69,VLOOKUP($A53,Drainage!$A$8:$M$68,5,FALSE),
IF($A53&lt;Nipples!$A$82,VLOOKUP($A53,Nipples!$A$9:$Q$81,5,FALSE),
IF($A53&lt;Manifold!$A$33,VLOOKUP($A53,Manifold!$A$9:$M$32,5,FALSE),
IF($A53&lt;FlexibleRepairCouplings!$A$12,VLOOKUP($A53,FlexibleRepairCouplings!$A$9:$M$11,5,FALSE),
IF($A53&lt;DuraFix!$A$15,VLOOKUP($A53,DuraFix!$A$9:$M$14,5,FALSE),
IF($A53&lt;'Compression Fittings'!$A$16,VLOOKUP($A53,'Compression Fittings'!$A$8:$M$15,5,FALSE),
IF($A53&lt;'Hose Fittings'!$A$30,VLOOKUP($A53,'Hose Fittings'!$A$8:$M$29,5,FALSE),
IF($A53&lt;'Swing Joints'!$A$495,VLOOKUP($A53,'Swing Joints'!$A$9:$M$494,5,FALSE),
IF($A53&lt;'Swing Joints Components'!$A$135,VLOOKUP($A53,'Swing Joints Components'!$A$9:$M$134,5,FALSE),
IF($A53&lt;Nonstandard!$A$42,VLOOKUP($A53,Nonstandard!$A$31:$J$41,6,FALSE),"")))))))))))))))))))))))))))),"")</f>
        <v/>
      </c>
      <c r="D53" s="534" t="str">
        <f>IFERROR(IF($A53&lt;'DWV PVC'!$A$317,VLOOKUP($A53,'DWV PVC'!$A$9:$M$316,6,FALSE),
IF($A53&lt;'DWV ABS'!$A$117,VLOOKUP($A53,'DWV ABS'!$A$8:$M$116,6,FALSE),
IF($A53&lt;'PVC SCH40'!$A$425,VLOOKUP($A53,'PVC SCH40'!$A$8:$M$424,6,FALSE),
IF($A53&lt;'PVC SCH40 LD'!$A$22,VLOOKUP($A53,'PVC SCH40 LD'!$A$8:$M$21,6,FALSE),
IF($A53&lt;'Pool &amp; SPA Sweep Elbows'!$A$12,VLOOKUP($A53,'Pool &amp; SPA Sweep Elbows'!$A$8:$M$11,6,FALSE),
IF($A53&lt;'Pool &amp; SPA Pipe Extender'!$A$11,VLOOKUP($A53,'Pool &amp; SPA Pipe Extender'!$A$8:$M$10,6,FALSE),
IF($A53&lt;'PVC SCH80'!$A$250,VLOOKUP($A53,'PVC SCH80'!$A$8:$M$249,6,FALSE),
IF($A53&lt;'PVC SCH80 Flange'!$A$49,VLOOKUP($A53,'PVC SCH80 Flange'!$A$8:$M$48,6,FALSE),
IF($A53&lt;'PVC SCH80 LD Flange'!$A$17,VLOOKUP($A53,'PVC SCH80 LD Flange'!$A$8:$M$16,6,FALSE),
IF($A53&lt;CPVC!$A$105,VLOOKUP($A53,CPVC!$A$9:$M$104,6,FALSE),
IF($A53&lt;InsertFittings!$A$185,VLOOKUP($A53,InsertFittings!$A$9:$M$184,6,FALSE),
IF($A53&lt;Valves!$A$92,VLOOKUP($A53,Valves!$A$9:$Q$91,6,FALSE),
IF($A53&lt;SDR35SW!$A$133,VLOOKUP($A53,SDR35SW!$A$9:$M$132,6,FALSE),
IF($A53&lt;SDR35G!$A$151,VLOOKUP($A53,SDR35G!$A$9:$M$150,6,FALSE),
IF($A53&lt;SDR26G!$A$67,VLOOKUP($A53,SDR26G!$A$9:$N$66,7,FALSE),
IF($A53&lt;Cements!$A$95,VLOOKUP($A53,Cements!$A$8:$Q$94,6,FALSE),
IF($A53&lt;ValveBox!$A$124,VLOOKUP($A53,ValveBox!$A$9:$O$123,6,FALSE),
IF($A53&lt;'ValveBox Components'!$A$142,VLOOKUP($A53,'ValveBox Components'!$A$9:$N$141,6,FALSE),
IF($A53&lt;Drainage!$A$69,VLOOKUP($A53,Drainage!$A$8:$M$68,6,FALSE),
IF($A53&lt;Nipples!$A$82,VLOOKUP($A53,Nipples!$A$9:$Q$81,6,FALSE),
IF($A53&lt;Manifold!$A$33,VLOOKUP($A53,Manifold!$A$9:$M$32,6,FALSE),
IF($A53&lt;FlexibleRepairCouplings!$A$12,VLOOKUP($A53,FlexibleRepairCouplings!$A$9:$M$11,6,FALSE),
IF($A53&lt;DuraFix!$A$15,VLOOKUP($A53,DuraFix!$A$9:$M$14,6,FALSE),
IF($A53&lt;'Compression Fittings'!$A$16,VLOOKUP($A53,'Compression Fittings'!$A$8:$M$15,6,FALSE),
IF($A53&lt;'Hose Fittings'!$A$30,VLOOKUP($A53,'Hose Fittings'!$A$8:$M$29,6,FALSE),
IF($A53&lt;'Swing Joints'!$A$495,VLOOKUP($A53,'Swing Joints'!$A$9:$M$494,6,FALSE),
IF($A53&lt;'Swing Joints Components'!$A$135,VLOOKUP($A53,'Swing Joints Components'!$A$9:$M$134,6,FALSE),
IF($A53&lt;Nonstandard!$A$42,VLOOKUP($A53,Nonstandard!$A$31:$J$41,7,FALSE),"")))))))))))))))))))))))))))),"")</f>
        <v/>
      </c>
      <c r="E53" s="316"/>
      <c r="F53" s="314" t="str">
        <f>IFERROR(IF($A53&lt;'DWV PVC'!$A$317,VLOOKUP($A53,'DWV PVC'!$A$9:$M$316,9,FALSE),
IF($A53&lt;'DWV ABS'!$A$117,VLOOKUP($A53,'DWV ABS'!$A$8:$M$116,9,FALSE),                                                                                                                                                                                                                                                     IF($A53&lt;'PVC SCH40'!$A$425,VLOOKUP($A53,'PVC SCH40'!$A$8:$M$424,9,FALSE),
IF($A53&lt;'PVC SCH40 LD'!$A$22,VLOOKUP($A53,'PVC SCH40 LD'!$A$8:$M$21,9,FALSE),
IF($A53&lt;'Pool &amp; SPA Sweep Elbows'!$A$12,VLOOKUP($A53,'Pool &amp; SPA Sweep Elbows'!$A$8:$M$11,9,FALSE),
IF($A53&lt;'Pool &amp; SPA Pipe Extender'!$A$11,VLOOKUP($A53,'Pool &amp; SPA Pipe Extender'!$A$8:$M$10,9,FALSE),
IF($A53&lt;'PVC SCH80'!$A$250,VLOOKUP($A53,'PVC SCH80'!$A$8:$M$249,9,FALSE),
IF($A53&lt;'PVC SCH80 Flange'!$A$49,VLOOKUP($A53,'PVC SCH80 Flange'!$A$8:$M$48,9,FALSE),
IF($A53&lt;'PVC SCH80 LD Flange'!$A$17,VLOOKUP($A53,'PVC SCH80 LD Flange'!$A$8:$M$16,9,FALSE),
IF($A53&lt;CPVC!$A$105,VLOOKUP($A53,CPVC!$A$9:$M$104,9,FALSE),
IF($A53&lt;InsertFittings!$A$185,VLOOKUP($A53,InsertFittings!$A$9:$M$184,9,FALSE),
IF($A53&lt;Valves!$A$92,VLOOKUP($A53,Valves!$A$9:$Q$91,13,FALSE),
IF($A53&lt;SDR35SW!$A$133,VLOOKUP($A53,SDR35SW!$A$9:$M$132,9,FALSE),
IF($A53&lt;SDR35G!$A$151,VLOOKUP($A53,SDR35G!$A$9:$M$150,9,FALSE),                                                                                                                                                                                                                                                          IF($A53&lt;SDR26G!$A$67,VLOOKUP($A53,SDR26G!$A$9:$N$66,10,FALSE),                                                                                                                                                                                                                                                       IF($A53&lt;Cements!$A$95,VLOOKUP($A53,Cements!$A$8:$Q$94,13,FALSE),
IF($A53&lt;ValveBox!$A$124,VLOOKUP($A53,ValveBox!$A$9:$O$123,11,FALSE),
IF($A53&lt;'ValveBox Components'!$A$142,VLOOKUP($A53,'ValveBox Components'!$A$9:$N$141,10,FALSE),
IF($A53&lt;Drainage!$A$69,VLOOKUP($A53,Drainage!$A$8:$M$68,9,FALSE),                                                                                                                                                                                                                                                              IF($A53&lt;Nipples!$A$82,VLOOKUP($A53,Nipples!$A$9:$Q$81,13,FALSE),
IF($A53&lt;Manifold!$A$33,VLOOKUP($A53,Manifold!$A$9:$M$32,9,FALSE),
IF($A53&lt;FlexibleRepairCouplings!$A$12,VLOOKUP($A53,FlexibleRepairCouplings!$A$9:$M$11,9,FALSE),
IF($A53&lt;DuraFix!$A$15,VLOOKUP($A53,DuraFix!$A$9:$M$14,9,FALSE),                                                                                                                                                                                                                                                          IF($A53&lt;'Compression Fittings'!$A$16,VLOOKUP($A53,'Compression Fittings'!$A$8:$M$15,9,FALSE),
IF($A53&lt;'Hose Fittings'!$A$30,VLOOKUP($A53,'Hose Fittings'!$A$8:$M$29,9,FALSE),
IF($A53&lt;'Swing Joints'!$A$495,VLOOKUP($A53,'Swing Joints'!$A$9:$M$494,9,FALSE),
IF($A53&lt;'Swing Joints Components'!$A$135,VLOOKUP($A53,'Swing Joints Components'!$A$9:$M$134,9,FALSE),
IF($A53&lt;Nonstandard!$A$42,VLOOKUP($A53,Nonstandard!$A$31:$J$41,8,FALSE),"")))))))))))))))))))))))))))),"")</f>
        <v/>
      </c>
      <c r="G53" s="533" t="str">
        <f>IFERROR(IF($A53&lt;'DWV PVC'!$A$317,VLOOKUP($A53,'DWV PVC'!$A$9:$M$316,11,FALSE),
IF($A53&lt;'DWV ABS'!$A$117,VLOOKUP($A53,'DWV ABS'!$A$8:$M$116,11,FALSE),                                                                                                                                                                                                                                                     IF($A53&lt;'PVC SCH40'!$A$425,VLOOKUP($A53,'PVC SCH40'!$A$8:$M$424,11,FALSE),
IF($A53&lt;'PVC SCH40 LD'!$A$22,VLOOKUP($A53,'PVC SCH40 LD'!$A$8:$M$21,11,FALSE),
IF($A53&lt;'Pool &amp; SPA Sweep Elbows'!$A$12,VLOOKUP($A53,'Pool &amp; SPA Sweep Elbows'!$A$8:$M$11,11,FALSE),
IF($A53&lt;'Pool &amp; SPA Pipe Extender'!$A$11,VLOOKUP($A53,'Pool &amp; SPA Pipe Extender'!$A$8:$M$10,11,FALSE),
IF($A53&lt;'PVC SCH80'!$A$250,VLOOKUP($A53,'PVC SCH80'!$A$8:$M$249,11,FALSE),
IF($A53&lt;'PVC SCH80 Flange'!$A$49,VLOOKUP($A53,'PVC SCH80 Flange'!$A$8:$M$48,11,FALSE),
IF($A53&lt;'PVC SCH80 LD Flange'!$A$17,VLOOKUP($A53,'PVC SCH80 LD Flange'!$A$8:$M$16,11,FALSE),
IF($A53&lt;CPVC!$A$105,VLOOKUP($A53,CPVC!$A$9:$M$104,11,FALSE),
IF($A53&lt;InsertFittings!$A$185,VLOOKUP($A53,InsertFittings!$A$9:$M$184,11,FALSE),
IF($A53&lt;Valves!$A$92,VLOOKUP($A53,Valves!$A$9:$Q$91,15,FALSE),
IF($A53&lt;SDR35SW!$A$133,VLOOKUP($A53,SDR35SW!$A$9:$M$132,11,FALSE),
IF($A53&lt;SDR35G!$A$151,VLOOKUP($A53,SDR35G!$A$9:$M$150,11,FALSE),                                                                                                                                                                                                                                                          IF($A53&lt;SDR26G!$A$67,VLOOKUP($A53,SDR26G!$A$9:$N$66,12,FALSE),                                                                                                                                                                                                                                                       IF($A53&lt;Cements!$A$95,VLOOKUP($A53,Cements!$A$8:$Q$94,15,FALSE),
IF($A53&lt;ValveBox!$A$124,VLOOKUP($A53,ValveBox!$A$9:$O$123,13,FALSE),
IF($A53&lt;'ValveBox Components'!$A$142,VLOOKUP($A53,'ValveBox Components'!$A$9:$N$141,12,FALSE),
IF($A53&lt;Drainage!$A$69,VLOOKUP($A53,Drainage!$A$8:$M$68,11,FALSE),                                                                                                                                                                                                                                                           IF($A53&lt;Nipples!$A$82,VLOOKUP($A53,Nipples!$A$9:$Q$81,15,FALSE),
IF($A53&lt;Manifold!$A$33,VLOOKUP($A53,Manifold!$A$9:$M$32,11,FALSE),
IF($A53&lt;FlexibleRepairCouplings!$A$12,VLOOKUP($A53,FlexibleRepairCouplings!$A$9:$M$11,11,FALSE),
IF($A53&lt;DuraFix!$A$15,VLOOKUP($A53,DuraFix!$A$9:$M$14,11,FALSE),                                                                                                                                                                                                                                                            IF($A53&lt;'Compression Fittings'!$A$16,VLOOKUP($A53,'Compression Fittings'!$A$8:$M$15,11,FALSE),
IF($A53&lt;'Hose Fittings'!$A$30,VLOOKUP($A53,'Hose Fittings'!$A$8:$M$29,11,FALSE),
IF($A53&lt;'Swing Joints'!$A$495,VLOOKUP($A53,'Swing Joints'!$A$9:$M$494,11,FALSE),
IF($A53&lt;'Swing Joints Components'!$A$135,VLOOKUP($A53,'Swing Joints Components'!$A$9:$M$134,11,FALSE),
IF($A53&lt;Nonstandard!$A$42,VLOOKUP($A53,Nonstandard!$A$31:$J$41,10,FALSE),"")))))))))))))))))))))))))))),"")</f>
        <v/>
      </c>
      <c r="H53" s="618" t="str">
        <f>IFERROR(IF($A53&lt;'DWV PVC'!$A$317,VLOOKUP($A53,'DWV PVC'!$A$9:$M$316,7,FALSE),
IF($A53&lt;'DWV ABS'!$A$117,VLOOKUP($A53,'DWV ABS'!$A$8:$M$116,11,FALSE),                                                                                                                                                                                                                                                     IF($A53&lt;'PVC SCH40'!$A$425,VLOOKUP($A53,'PVC SCH40'!$A$8:$M$424,7,FALSE),
IF($A53&lt;'PVC SCH40 LD'!$A$22,VLOOKUP($A53,'PVC SCH40 LD'!$A$8:$M$21,7,FALSE),
IF($A53&lt;'Pool &amp; SPA Sweep Elbows'!$A$12,VLOOKUP($A53,'Pool &amp; SPA Sweep Elbows'!$A$8:$M$11,7,FALSE),
IF($A53&lt;'Pool &amp; SPA Pipe Extender'!$A$11,VLOOKUP($A53,'Pool &amp; SPA Pipe Extender'!$A$8:$M$10,7,FALSE),
IF($A53&lt;'PVC SCH80'!$A$250,VLOOKUP($A53,'PVC SCH80'!$A$8:$M$249,7,FALSE),
IF($A53&lt;'PVC SCH80 Flange'!$A$49,VLOOKUP($A53,'PVC SCH80 Flange'!$A$8:$M$48,7,FALSE),
IF($A53&lt;'PVC SCH80 LD Flange'!$A$17,VLOOKUP($A53,'PVC SCH80 LD Flange'!$A$8:$M$16,7,FALSE),
IF($A53&lt;CPVC!$A$105,VLOOKUP($A53,CPVC!$A$9:$M$104,7,FALSE),
IF($A53&lt;InsertFittings!$A$185,VLOOKUP($A53,InsertFittings!$A$9:$M$184,7,FALSE),
IF($A53&lt;Valves!$A$92,VLOOKUP($A53,Valves!$A$9:$Q$91,11,FALSE),
IF($A53&lt;SDR35SW!$A$133,VLOOKUP($A53,SDR35SW!$A$9:$M$132,7,FALSE),
IF($A53&lt;SDR35G!$A$151,VLOOKUP($A53,SDR35G!$A$9:$M$150,7,FALSE),                                                                                                                                                                                                                                                       IF($A53&lt;SDR26G!$A$67,VLOOKUP($A53,SDR26G!$A$9:$N$66,8,FALSE),                                                                                                                                                                                                                                                     IF($A53&lt;Cements!$A$95,VLOOKUP($A53,Cements!$A$8:$Q$94,11,FALSE),
IF($A53&lt;ValveBox!$A$124,VLOOKUP($A53,ValveBox!$A$9:$O$123,10,FALSE),
IF($A53&lt;'ValveBox Components'!$A$142,VLOOKUP($A53,'ValveBox Components'!$A$9:$N$141,9,FALSE),
IF($A53&lt;Drainage!$A$69,VLOOKUP($A53,Drainage!$A$8:$M$68,7,FALSE),                                                                                                                                                                                                                                                          IF($A53&lt;Nipples!$A$82,VLOOKUP($A53,Nipples!$A$9:$Q$81,11,FALSE),
IF($A53&lt;Manifold!$A$33,VLOOKUP($A53,Manifold!$A$9:$M$32,7,FALSE),
IF($A53&lt;FlexibleRepairCouplings!$A$12,VLOOKUP($A53,FlexibleRepairCouplings!$A$9:$M$11,7,FALSE),
IF($A53&lt;DuraFix!$A$15,VLOOKUP($A53,DuraFix!$A$9:$M$14,7,FALSE),                                                                                                                                                                                                                                                           IF($A53&lt;'Compression Fittings'!$A$16,VLOOKUP($A53,'Compression Fittings'!$A$8:$M$15,7,FALSE),
IF($A53&lt;'Hose Fittings'!$A$30,VLOOKUP($A53,'Hose Fittings'!$A$8:$M$29,7,FALSE),
IF($A53&lt;'Swing Joints'!$A$495,VLOOKUP($A53,'Swing Joints'!$A$9:$M$494,7,FALSE),
IF($A53&lt;'Swing Joints Components'!$A$135,VLOOKUP($A53,'Swing Joints Components'!$A$9:$M$134,7,FALSE),
IF($A53&lt;Nonstandard!$A$42,VLOOKUP($A53,Nonstandard!$A$31:$J$41,10,FALSE),"")))))))))))))))))))))))))))),"")</f>
        <v/>
      </c>
      <c r="I53" s="619"/>
      <c r="J53" s="281" t="str">
        <f t="shared" si="1"/>
        <v/>
      </c>
      <c r="K53" s="313" t="str">
        <f>IFERROR(IF($A53&lt;'DWV PVC'!$A$317,VLOOKUP($A53,'DWV PVC'!$A$9:$M$316,10,FALSE),
IF($A53&lt;'DWV ABS'!$A$117,VLOOKUP($A53,'DWV ABS'!$A$8:$M$116,10,FALSE),
IF($A53&lt;'PVC SCH40'!$A$425,VLOOKUP($A53,'PVC SCH40'!$A$8:$M$424,10,FALSE),
IF($A53&lt;'PVC SCH40 LD'!$A$22,VLOOKUP($A53,'PVC SCH40 LD'!$A$8:$M$21,10,FALSE),
IF($A53&lt;'Pool &amp; SPA Sweep Elbows'!$A$12,VLOOKUP($A53,'Pool &amp; SPA Sweep Elbows'!$A$8:$M$11,10,FALSE),
IF($A53&lt;'Pool &amp; SPA Pipe Extender'!$A$11,VLOOKUP($A53,'Pool &amp; SPA Pipe Extender'!$A$8:$M$10,10,FALSE),
IF($A53&lt;'PVC SCH80'!$A$250,VLOOKUP($A53,'PVC SCH80'!$A$8:$M$249,10,FALSE),
IF($A53&lt;'PVC SCH80 Flange'!$A$49,VLOOKUP($A53,'PVC SCH80 Flange'!$A$8:$M$48,10,FALSE),
IF($A53&lt;'PVC SCH80 LD Flange'!$A$17,VLOOKUP($A53,'PVC SCH80 LD Flange'!$A$8:$M$16,10,FALSE),
IF($A53&lt;CPVC!$A$105,VLOOKUP($A53,CPVC!$A$9:$M$104,10,FALSE),
IF($A53&lt;InsertFittings!$A$185,VLOOKUP($A53,InsertFittings!$A$9:$M$184,10,FALSE),
IF($A53&lt;Valves!$A$92,VLOOKUP($A53,Valves!$A$9:$Q$91,14,FALSE),
IF($A53&lt;SDR35SW!$A$133,VLOOKUP($A53,SDR35SW!$A$9:$M$132,10,FALSE),
IF($A53&lt;SDR35G!$A$151,VLOOKUP($A53,SDR35G!$A$9:$M$150,10,FALSE),
IF($A53&lt;SDR26G!$A$67,VLOOKUP($A53,SDR26G!$A$9:$N$66,11,FALSE),
IF($A53&lt;Cements!$A$95,VLOOKUP($A53,Cements!$A$8:$Q$94,14,FALSE),
IF($A53&lt;ValveBox!$A$124,VLOOKUP($A53,ValveBox!$A$9:$O$123,12,FALSE),
IF($A53&lt;'ValveBox Components'!$A$142,VLOOKUP($A53,'ValveBox Components'!$A$9:$N$141,11,FALSE),
IF($A53&lt;Drainage!$A$69,VLOOKUP($A53,Drainage!$A$8:$M$68,10,FALSE),
IF($A53&lt;Nipples!$A$82,VLOOKUP($A53,Nipples!$A$9:$Q$81,14,FALSE),
IF($A53&lt;Manifold!$A$33,VLOOKUP($A53,Manifold!$A$9:$M$32,10,FALSE),
IF($A53&lt;FlexibleRepairCouplings!$A$12,VLOOKUP($A53,FlexibleRepairCouplings!$A$9:$M$11,10,FALSE),
IF($A53&lt;DuraFix!$A$15,VLOOKUP($A53,DuraFix!$A$9:$M$14,10,FALSE),
IF($A53&lt;'Compression Fittings'!$A$16,VLOOKUP($A53,'Compression Fittings'!$A$8:$M$15,10,FALSE),
IF($A53&lt;'Hose Fittings'!$A$30,VLOOKUP($A53,'Hose Fittings'!$A$8:$M$29,10,FALSE),
IF($A53&lt;'Swing Joints'!$A$495,VLOOKUP($A53,'Swing Joints'!$A$9:$M$494,10,FALSE),
IF($A53&lt;'Swing Joints Components'!$A$135,VLOOKUP($A53,'Swing Joints Components'!$A$9:$M$134,10,FALSE),
IF($A53&lt;Nonstandard!$A$42,VLOOKUP($A53,Nonstandard!$A$31:$J$41,10,FALSE),"")))))))))))))))))))))))))))),"")</f>
        <v/>
      </c>
      <c r="L53" s="314" t="str">
        <f t="shared" si="0"/>
        <v>-</v>
      </c>
      <c r="M53" s="315"/>
    </row>
    <row r="54" spans="1:13" ht="15.6">
      <c r="A54" s="536">
        <v>22</v>
      </c>
      <c r="B54" s="536" t="str">
        <f>IFERROR(IF($A54&lt;'DWV PVC'!$A$317,VLOOKUP($A54,'DWV PVC'!$A$9:$M$316,4,FALSE),
IF($A54&lt;'DWV ABS'!$A$117,VLOOKUP($A54,'DWV ABS'!$A$8:$M$116,4,FALSE),
IF($A54&lt;'PVC SCH40'!$A$425,VLOOKUP($A54,'PVC SCH40'!$A$8:$M$424,4,FALSE),
IF($A54&lt;'PVC SCH40 LD'!$A$22,VLOOKUP($A54,'PVC SCH40 LD'!$A$8:$M$21,4,FALSE),
IF($A54&lt;'Pool &amp; SPA Sweep Elbows'!$A$12,VLOOKUP($A54,'Pool &amp; SPA Sweep Elbows'!$A$8:$M$11,4,FALSE),
IF($A54&lt;'Pool &amp; SPA Pipe Extender'!$A$11,VLOOKUP($A54,'Pool &amp; SPA Pipe Extender'!$A$8:$M$10,4,FALSE),
IF($A54&lt;'PVC SCH80'!$A$250,VLOOKUP($A54,'PVC SCH80'!$A$8:$M$249,4,FALSE),
IF($A54&lt;'PVC SCH80 Flange'!$A$49,VLOOKUP($A54,'PVC SCH80 Flange'!$A$8:$M$48,4,FALSE),
IF($A54&lt;'PVC SCH80 LD Flange'!$A$17,VLOOKUP($A54,'PVC SCH80 LD Flange'!$A$8:$M$16,4,FALSE),
IF($A54&lt;CPVC!$A$105,VLOOKUP($A54,CPVC!$A$9:$M$104,4,FALSE),
IF($A54&lt;InsertFittings!$A$185,VLOOKUP($A54,InsertFittings!$A$9:$M$184,4,FALSE),
IF($A54&lt;Valves!$A$92,VLOOKUP($A54,Valves!$A$9:$Q$91,4,FALSE),
IF($A54&lt;SDR35SW!$A$133,VLOOKUP($A54,SDR35SW!$A$9:$M$132,4,FALSE),
IF($A54&lt;SDR35G!$A$151,VLOOKUP($A54,SDR35G!$A$9:$M$150,4,FALSE),
IF($A54&lt;SDR26G!$A$67,VLOOKUP($A54,SDR26G!$A$9:$N$66,5,FALSE),
IF($A54&lt;Cements!$A$95,VLOOKUP($A54,Cements!$A$8:$Q$94,4,FALSE),
IF($A54&lt;ValveBox!$A$124,VLOOKUP($A54,ValveBox!$A$9:$O$123,4,FALSE),
IF($A54&lt;'ValveBox Components'!$A$142,VLOOKUP($A54,'ValveBox Components'!$A$9:$N$141,4,FALSE),
IF($A54&lt;Drainage!$A$69,VLOOKUP($A54,Drainage!$A$8:$M$68,4,FALSE),
IF($A54&lt;Nipples!$A$82,VLOOKUP($A54,Nipples!$A$9:$Q$81,4,FALSE),
IF($A54&lt;Manifold!$A$33,VLOOKUP($A54,Manifold!$A$9:$M$32,4,FALSE),
IF($A54&lt;FlexibleRepairCouplings!$A$12,VLOOKUP($A54,FlexibleRepairCouplings!$A$9:$M$11,4,FALSE),
IF($A54&lt;DuraFix!$A$15,VLOOKUP($A54,DuraFix!$A$9:$M$14,4,FALSE),
IF($A54&lt;'Compression Fittings'!$A$16,VLOOKUP($A54,'Compression Fittings'!$A$8:$M$15,4,FALSE),
IF($A54&lt;'Hose Fittings'!$A$30,VLOOKUP($A54,'Hose Fittings'!$A$8:$M$29,4,FALSE),
IF($A54&lt;'Swing Joints'!$A$495,VLOOKUP($A54,'Swing Joints'!$A$9:$M$494,4,FALSE),
IF($A54&lt;'Swing Joints Components'!$A$135,VLOOKUP($A54,'Swing Joints Components'!$A$9:$M$134,4,FALSE),
IF($A54&lt;Nonstandard!$A$42,VLOOKUP($A54,Nonstandard!$A$31:$J$41,5,FALSE),"")))))))))))))))))))))))))))),"")</f>
        <v/>
      </c>
      <c r="C54" s="536" t="str">
        <f>IFERROR(IF($A54&lt;'DWV PVC'!$A$317,VLOOKUP($A54,'DWV PVC'!$A$9:$M$316,5,FALSE),
IF($A54&lt;'DWV ABS'!$A$117,VLOOKUP($A54,'DWV ABS'!$A$8:$M$116,5,FALSE),
IF($A54&lt;'PVC SCH40'!$A$425,VLOOKUP($A54,'PVC SCH40'!$A$8:$M$424,5,FALSE),
IF($A54&lt;'PVC SCH40 LD'!$A$22,VLOOKUP($A54,'PVC SCH40 LD'!$A$8:$M$21,5,FALSE),
IF($A54&lt;'Pool &amp; SPA Sweep Elbows'!$A$12,VLOOKUP($A54,'Pool &amp; SPA Sweep Elbows'!$A$8:$M$11,5,FALSE),
IF($A54&lt;'Pool &amp; SPA Pipe Extender'!$A$11,VLOOKUP($A54,'Pool &amp; SPA Pipe Extender'!$A$8:$M$10,5,FALSE),
IF($A54&lt;'PVC SCH80'!$A$250,VLOOKUP($A54,'PVC SCH80'!$A$8:$M$249,5,FALSE),
IF($A54&lt;'PVC SCH80 Flange'!$A$49,VLOOKUP($A54,'PVC SCH80 Flange'!$A$8:$M$48,5,FALSE),
IF($A54&lt;'PVC SCH80 LD Flange'!$A$17,VLOOKUP($A54,'PVC SCH80 LD Flange'!$A$8:$M$16,5,FALSE),
IF($A54&lt;CPVC!$A$105,VLOOKUP($A54,CPVC!$A$9:$M$104,5,FALSE),
IF($A54&lt;InsertFittings!$A$185,VLOOKUP($A54,InsertFittings!$A$9:$M$184,5,FALSE),
IF($A54&lt;Valves!$A$92,VLOOKUP($A54,Valves!$A$9:$Q$91,5,FALSE),
IF($A54&lt;SDR35SW!$A$133,VLOOKUP($A54,SDR35SW!$A$9:$M$132,5,FALSE),
IF($A54&lt;SDR35G!$A$151,VLOOKUP($A54,SDR35G!$A$9:$M$150,5,FALSE),
IF($A54&lt;SDR26G!$A$67,VLOOKUP($A54,SDR26G!$A$9:$N$66,6,FALSE),
IF($A54&lt;Cements!$A$95,VLOOKUP($A54,Cements!$A$8:$Q$94,5,FALSE),
IF($A54&lt;ValveBox!$A$124,VLOOKUP($A54,ValveBox!$A$9:$O$123,5,FALSE),
IF($A54&lt;'ValveBox Components'!$A$142,VLOOKUP($A54,'ValveBox Components'!$A$9:$N$141,5,FALSE),
IF($A54&lt;Drainage!$A$69,VLOOKUP($A54,Drainage!$A$8:$M$68,5,FALSE),
IF($A54&lt;Nipples!$A$82,VLOOKUP($A54,Nipples!$A$9:$Q$81,5,FALSE),
IF($A54&lt;Manifold!$A$33,VLOOKUP($A54,Manifold!$A$9:$M$32,5,FALSE),
IF($A54&lt;FlexibleRepairCouplings!$A$12,VLOOKUP($A54,FlexibleRepairCouplings!$A$9:$M$11,5,FALSE),
IF($A54&lt;DuraFix!$A$15,VLOOKUP($A54,DuraFix!$A$9:$M$14,5,FALSE),
IF($A54&lt;'Compression Fittings'!$A$16,VLOOKUP($A54,'Compression Fittings'!$A$8:$M$15,5,FALSE),
IF($A54&lt;'Hose Fittings'!$A$30,VLOOKUP($A54,'Hose Fittings'!$A$8:$M$29,5,FALSE),
IF($A54&lt;'Swing Joints'!$A$495,VLOOKUP($A54,'Swing Joints'!$A$9:$M$494,5,FALSE),
IF($A54&lt;'Swing Joints Components'!$A$135,VLOOKUP($A54,'Swing Joints Components'!$A$9:$M$134,5,FALSE),
IF($A54&lt;Nonstandard!$A$42,VLOOKUP($A54,Nonstandard!$A$31:$J$41,6,FALSE),"")))))))))))))))))))))))))))),"")</f>
        <v/>
      </c>
      <c r="D54" s="537" t="str">
        <f>IFERROR(IF($A54&lt;'DWV PVC'!$A$317,VLOOKUP($A54,'DWV PVC'!$A$9:$M$316,6,FALSE),
IF($A54&lt;'DWV ABS'!$A$117,VLOOKUP($A54,'DWV ABS'!$A$8:$M$116,6,FALSE),
IF($A54&lt;'PVC SCH40'!$A$425,VLOOKUP($A54,'PVC SCH40'!$A$8:$M$424,6,FALSE),
IF($A54&lt;'PVC SCH40 LD'!$A$22,VLOOKUP($A54,'PVC SCH40 LD'!$A$8:$M$21,6,FALSE),
IF($A54&lt;'Pool &amp; SPA Sweep Elbows'!$A$12,VLOOKUP($A54,'Pool &amp; SPA Sweep Elbows'!$A$8:$M$11,6,FALSE),
IF($A54&lt;'Pool &amp; SPA Pipe Extender'!$A$11,VLOOKUP($A54,'Pool &amp; SPA Pipe Extender'!$A$8:$M$10,6,FALSE),
IF($A54&lt;'PVC SCH80'!$A$250,VLOOKUP($A54,'PVC SCH80'!$A$8:$M$249,6,FALSE),
IF($A54&lt;'PVC SCH80 Flange'!$A$49,VLOOKUP($A54,'PVC SCH80 Flange'!$A$8:$M$48,6,FALSE),
IF($A54&lt;'PVC SCH80 LD Flange'!$A$17,VLOOKUP($A54,'PVC SCH80 LD Flange'!$A$8:$M$16,6,FALSE),
IF($A54&lt;CPVC!$A$105,VLOOKUP($A54,CPVC!$A$9:$M$104,6,FALSE),
IF($A54&lt;InsertFittings!$A$185,VLOOKUP($A54,InsertFittings!$A$9:$M$184,6,FALSE),
IF($A54&lt;Valves!$A$92,VLOOKUP($A54,Valves!$A$9:$Q$91,6,FALSE),
IF($A54&lt;SDR35SW!$A$133,VLOOKUP($A54,SDR35SW!$A$9:$M$132,6,FALSE),
IF($A54&lt;SDR35G!$A$151,VLOOKUP($A54,SDR35G!$A$9:$M$150,6,FALSE),
IF($A54&lt;SDR26G!$A$67,VLOOKUP($A54,SDR26G!$A$9:$N$66,7,FALSE),
IF($A54&lt;Cements!$A$95,VLOOKUP($A54,Cements!$A$8:$Q$94,6,FALSE),
IF($A54&lt;ValveBox!$A$124,VLOOKUP($A54,ValveBox!$A$9:$O$123,6,FALSE),
IF($A54&lt;'ValveBox Components'!$A$142,VLOOKUP($A54,'ValveBox Components'!$A$9:$N$141,6,FALSE),
IF($A54&lt;Drainage!$A$69,VLOOKUP($A54,Drainage!$A$8:$M$68,6,FALSE),
IF($A54&lt;Nipples!$A$82,VLOOKUP($A54,Nipples!$A$9:$Q$81,6,FALSE),
IF($A54&lt;Manifold!$A$33,VLOOKUP($A54,Manifold!$A$9:$M$32,6,FALSE),
IF($A54&lt;FlexibleRepairCouplings!$A$12,VLOOKUP($A54,FlexibleRepairCouplings!$A$9:$M$11,6,FALSE),
IF($A54&lt;DuraFix!$A$15,VLOOKUP($A54,DuraFix!$A$9:$M$14,6,FALSE),
IF($A54&lt;'Compression Fittings'!$A$16,VLOOKUP($A54,'Compression Fittings'!$A$8:$M$15,6,FALSE),
IF($A54&lt;'Hose Fittings'!$A$30,VLOOKUP($A54,'Hose Fittings'!$A$8:$M$29,6,FALSE),
IF($A54&lt;'Swing Joints'!$A$495,VLOOKUP($A54,'Swing Joints'!$A$9:$M$494,6,FALSE),
IF($A54&lt;'Swing Joints Components'!$A$135,VLOOKUP($A54,'Swing Joints Components'!$A$9:$M$134,6,FALSE),
IF($A54&lt;Nonstandard!$A$42,VLOOKUP($A54,Nonstandard!$A$31:$J$41,7,FALSE),"")))))))))))))))))))))))))))),"")</f>
        <v/>
      </c>
      <c r="E54" s="538"/>
      <c r="F54" s="539" t="str">
        <f>IFERROR(IF($A54&lt;'DWV PVC'!$A$317,VLOOKUP($A54,'DWV PVC'!$A$9:$M$316,9,FALSE),
IF($A54&lt;'DWV ABS'!$A$117,VLOOKUP($A54,'DWV ABS'!$A$8:$M$116,9,FALSE),                                                                                                                                                                                                                                                     IF($A54&lt;'PVC SCH40'!$A$425,VLOOKUP($A54,'PVC SCH40'!$A$8:$M$424,9,FALSE),
IF($A54&lt;'PVC SCH40 LD'!$A$22,VLOOKUP($A54,'PVC SCH40 LD'!$A$8:$M$21,9,FALSE),
IF($A54&lt;'Pool &amp; SPA Sweep Elbows'!$A$12,VLOOKUP($A54,'Pool &amp; SPA Sweep Elbows'!$A$8:$M$11,9,FALSE),
IF($A54&lt;'Pool &amp; SPA Pipe Extender'!$A$11,VLOOKUP($A54,'Pool &amp; SPA Pipe Extender'!$A$8:$M$10,9,FALSE),
IF($A54&lt;'PVC SCH80'!$A$250,VLOOKUP($A54,'PVC SCH80'!$A$8:$M$249,9,FALSE),
IF($A54&lt;'PVC SCH80 Flange'!$A$49,VLOOKUP($A54,'PVC SCH80 Flange'!$A$8:$M$48,9,FALSE),
IF($A54&lt;'PVC SCH80 LD Flange'!$A$17,VLOOKUP($A54,'PVC SCH80 LD Flange'!$A$8:$M$16,9,FALSE),
IF($A54&lt;CPVC!$A$105,VLOOKUP($A54,CPVC!$A$9:$M$104,9,FALSE),
IF($A54&lt;InsertFittings!$A$185,VLOOKUP($A54,InsertFittings!$A$9:$M$184,9,FALSE),
IF($A54&lt;Valves!$A$92,VLOOKUP($A54,Valves!$A$9:$Q$91,13,FALSE),
IF($A54&lt;SDR35SW!$A$133,VLOOKUP($A54,SDR35SW!$A$9:$M$132,9,FALSE),
IF($A54&lt;SDR35G!$A$151,VLOOKUP($A54,SDR35G!$A$9:$M$150,9,FALSE),                                                                                                                                                                                                                                                          IF($A54&lt;SDR26G!$A$67,VLOOKUP($A54,SDR26G!$A$9:$N$66,10,FALSE),                                                                                                                                                                                                                                                       IF($A54&lt;Cements!$A$95,VLOOKUP($A54,Cements!$A$8:$Q$94,13,FALSE),
IF($A54&lt;ValveBox!$A$124,VLOOKUP($A54,ValveBox!$A$9:$O$123,11,FALSE),
IF($A54&lt;'ValveBox Components'!$A$142,VLOOKUP($A54,'ValveBox Components'!$A$9:$N$141,10,FALSE),
IF($A54&lt;Drainage!$A$69,VLOOKUP($A54,Drainage!$A$8:$M$68,9,FALSE),                                                                                                                                                                                                                                                              IF($A54&lt;Nipples!$A$82,VLOOKUP($A54,Nipples!$A$9:$Q$81,13,FALSE),
IF($A54&lt;Manifold!$A$33,VLOOKUP($A54,Manifold!$A$9:$M$32,9,FALSE),
IF($A54&lt;FlexibleRepairCouplings!$A$12,VLOOKUP($A54,FlexibleRepairCouplings!$A$9:$M$11,9,FALSE),
IF($A54&lt;DuraFix!$A$15,VLOOKUP($A54,DuraFix!$A$9:$M$14,9,FALSE),                                                                                                                                                                                                                                                          IF($A54&lt;'Compression Fittings'!$A$16,VLOOKUP($A54,'Compression Fittings'!$A$8:$M$15,9,FALSE),
IF($A54&lt;'Hose Fittings'!$A$30,VLOOKUP($A54,'Hose Fittings'!$A$8:$M$29,9,FALSE),
IF($A54&lt;'Swing Joints'!$A$495,VLOOKUP($A54,'Swing Joints'!$A$9:$M$494,9,FALSE),
IF($A54&lt;'Swing Joints Components'!$A$135,VLOOKUP($A54,'Swing Joints Components'!$A$9:$M$134,9,FALSE),
IF($A54&lt;Nonstandard!$A$42,VLOOKUP($A54,Nonstandard!$A$31:$J$41,8,FALSE),"")))))))))))))))))))))))))))),"")</f>
        <v/>
      </c>
      <c r="G54" s="540" t="str">
        <f>IFERROR(IF($A54&lt;'DWV PVC'!$A$317,VLOOKUP($A54,'DWV PVC'!$A$9:$M$316,11,FALSE),
IF($A54&lt;'DWV ABS'!$A$117,VLOOKUP($A54,'DWV ABS'!$A$8:$M$116,11,FALSE),                                                                                                                                                                                                                                                     IF($A54&lt;'PVC SCH40'!$A$425,VLOOKUP($A54,'PVC SCH40'!$A$8:$M$424,11,FALSE),
IF($A54&lt;'PVC SCH40 LD'!$A$22,VLOOKUP($A54,'PVC SCH40 LD'!$A$8:$M$21,11,FALSE),
IF($A54&lt;'Pool &amp; SPA Sweep Elbows'!$A$12,VLOOKUP($A54,'Pool &amp; SPA Sweep Elbows'!$A$8:$M$11,11,FALSE),
IF($A54&lt;'Pool &amp; SPA Pipe Extender'!$A$11,VLOOKUP($A54,'Pool &amp; SPA Pipe Extender'!$A$8:$M$10,11,FALSE),
IF($A54&lt;'PVC SCH80'!$A$250,VLOOKUP($A54,'PVC SCH80'!$A$8:$M$249,11,FALSE),
IF($A54&lt;'PVC SCH80 Flange'!$A$49,VLOOKUP($A54,'PVC SCH80 Flange'!$A$8:$M$48,11,FALSE),
IF($A54&lt;'PVC SCH80 LD Flange'!$A$17,VLOOKUP($A54,'PVC SCH80 LD Flange'!$A$8:$M$16,11,FALSE),
IF($A54&lt;CPVC!$A$105,VLOOKUP($A54,CPVC!$A$9:$M$104,11,FALSE),
IF($A54&lt;InsertFittings!$A$185,VLOOKUP($A54,InsertFittings!$A$9:$M$184,11,FALSE),
IF($A54&lt;Valves!$A$92,VLOOKUP($A54,Valves!$A$9:$Q$91,15,FALSE),
IF($A54&lt;SDR35SW!$A$133,VLOOKUP($A54,SDR35SW!$A$9:$M$132,11,FALSE),
IF($A54&lt;SDR35G!$A$151,VLOOKUP($A54,SDR35G!$A$9:$M$150,11,FALSE),                                                                                                                                                                                                                                                          IF($A54&lt;SDR26G!$A$67,VLOOKUP($A54,SDR26G!$A$9:$N$66,12,FALSE),                                                                                                                                                                                                                                                       IF($A54&lt;Cements!$A$95,VLOOKUP($A54,Cements!$A$8:$Q$94,15,FALSE),
IF($A54&lt;ValveBox!$A$124,VLOOKUP($A54,ValveBox!$A$9:$O$123,13,FALSE),
IF($A54&lt;'ValveBox Components'!$A$142,VLOOKUP($A54,'ValveBox Components'!$A$9:$N$141,12,FALSE),
IF($A54&lt;Drainage!$A$69,VLOOKUP($A54,Drainage!$A$8:$M$68,11,FALSE),                                                                                                                                                                                                                                                           IF($A54&lt;Nipples!$A$82,VLOOKUP($A54,Nipples!$A$9:$Q$81,15,FALSE),
IF($A54&lt;Manifold!$A$33,VLOOKUP($A54,Manifold!$A$9:$M$32,11,FALSE),
IF($A54&lt;FlexibleRepairCouplings!$A$12,VLOOKUP($A54,FlexibleRepairCouplings!$A$9:$M$11,11,FALSE),
IF($A54&lt;DuraFix!$A$15,VLOOKUP($A54,DuraFix!$A$9:$M$14,11,FALSE),                                                                                                                                                                                                                                                            IF($A54&lt;'Compression Fittings'!$A$16,VLOOKUP($A54,'Compression Fittings'!$A$8:$M$15,11,FALSE),
IF($A54&lt;'Hose Fittings'!$A$30,VLOOKUP($A54,'Hose Fittings'!$A$8:$M$29,11,FALSE),
IF($A54&lt;'Swing Joints'!$A$495,VLOOKUP($A54,'Swing Joints'!$A$9:$M$494,11,FALSE),
IF($A54&lt;'Swing Joints Components'!$A$135,VLOOKUP($A54,'Swing Joints Components'!$A$9:$M$134,11,FALSE),
IF($A54&lt;Nonstandard!$A$42,VLOOKUP($A54,Nonstandard!$A$31:$J$41,10,FALSE),"")))))))))))))))))))))))))))),"")</f>
        <v/>
      </c>
      <c r="H54" s="620" t="str">
        <f>IFERROR(IF($A54&lt;'DWV PVC'!$A$317,VLOOKUP($A54,'DWV PVC'!$A$9:$M$316,7,FALSE),
IF($A54&lt;'DWV ABS'!$A$117,VLOOKUP($A54,'DWV ABS'!$A$8:$M$116,11,FALSE),                                                                                                                                                                                                                                                     IF($A54&lt;'PVC SCH40'!$A$425,VLOOKUP($A54,'PVC SCH40'!$A$8:$M$424,7,FALSE),
IF($A54&lt;'PVC SCH40 LD'!$A$22,VLOOKUP($A54,'PVC SCH40 LD'!$A$8:$M$21,7,FALSE),
IF($A54&lt;'Pool &amp; SPA Sweep Elbows'!$A$12,VLOOKUP($A54,'Pool &amp; SPA Sweep Elbows'!$A$8:$M$11,7,FALSE),
IF($A54&lt;'Pool &amp; SPA Pipe Extender'!$A$11,VLOOKUP($A54,'Pool &amp; SPA Pipe Extender'!$A$8:$M$10,7,FALSE),
IF($A54&lt;'PVC SCH80'!$A$250,VLOOKUP($A54,'PVC SCH80'!$A$8:$M$249,7,FALSE),
IF($A54&lt;'PVC SCH80 Flange'!$A$49,VLOOKUP($A54,'PVC SCH80 Flange'!$A$8:$M$48,7,FALSE),
IF($A54&lt;'PVC SCH80 LD Flange'!$A$17,VLOOKUP($A54,'PVC SCH80 LD Flange'!$A$8:$M$16,7,FALSE),
IF($A54&lt;CPVC!$A$105,VLOOKUP($A54,CPVC!$A$9:$M$104,7,FALSE),
IF($A54&lt;InsertFittings!$A$185,VLOOKUP($A54,InsertFittings!$A$9:$M$184,7,FALSE),
IF($A54&lt;Valves!$A$92,VLOOKUP($A54,Valves!$A$9:$Q$91,11,FALSE),
IF($A54&lt;SDR35SW!$A$133,VLOOKUP($A54,SDR35SW!$A$9:$M$132,7,FALSE),
IF($A54&lt;SDR35G!$A$151,VLOOKUP($A54,SDR35G!$A$9:$M$150,7,FALSE),                                                                                                                                                                                                                                                       IF($A54&lt;SDR26G!$A$67,VLOOKUP($A54,SDR26G!$A$9:$N$66,8,FALSE),                                                                                                                                                                                                                                                     IF($A54&lt;Cements!$A$95,VLOOKUP($A54,Cements!$A$8:$Q$94,11,FALSE),
IF($A54&lt;ValveBox!$A$124,VLOOKUP($A54,ValveBox!$A$9:$O$123,10,FALSE),
IF($A54&lt;'ValveBox Components'!$A$142,VLOOKUP($A54,'ValveBox Components'!$A$9:$N$141,9,FALSE),
IF($A54&lt;Drainage!$A$69,VLOOKUP($A54,Drainage!$A$8:$M$68,7,FALSE),                                                                                                                                                                                                                                                          IF($A54&lt;Nipples!$A$82,VLOOKUP($A54,Nipples!$A$9:$Q$81,11,FALSE),
IF($A54&lt;Manifold!$A$33,VLOOKUP($A54,Manifold!$A$9:$M$32,7,FALSE),
IF($A54&lt;FlexibleRepairCouplings!$A$12,VLOOKUP($A54,FlexibleRepairCouplings!$A$9:$M$11,7,FALSE),
IF($A54&lt;DuraFix!$A$15,VLOOKUP($A54,DuraFix!$A$9:$M$14,7,FALSE),                                                                                                                                                                                                                                                           IF($A54&lt;'Compression Fittings'!$A$16,VLOOKUP($A54,'Compression Fittings'!$A$8:$M$15,7,FALSE),
IF($A54&lt;'Hose Fittings'!$A$30,VLOOKUP($A54,'Hose Fittings'!$A$8:$M$29,7,FALSE),
IF($A54&lt;'Swing Joints'!$A$495,VLOOKUP($A54,'Swing Joints'!$A$9:$M$494,7,FALSE),
IF($A54&lt;'Swing Joints Components'!$A$135,VLOOKUP($A54,'Swing Joints Components'!$A$9:$M$134,7,FALSE),
IF($A54&lt;Nonstandard!$A$42,VLOOKUP($A54,Nonstandard!$A$31:$J$41,10,FALSE),"")))))))))))))))))))))))))))),"")</f>
        <v/>
      </c>
      <c r="I54" s="621"/>
      <c r="J54" s="541" t="str">
        <f t="shared" si="1"/>
        <v/>
      </c>
      <c r="K54" s="599" t="str">
        <f>IFERROR(IF($A54&lt;'DWV PVC'!$A$317,VLOOKUP($A54,'DWV PVC'!$A$9:$M$316,10,FALSE),
IF($A54&lt;'DWV ABS'!$A$117,VLOOKUP($A54,'DWV ABS'!$A$8:$M$116,10,FALSE),
IF($A54&lt;'PVC SCH40'!$A$425,VLOOKUP($A54,'PVC SCH40'!$A$8:$M$424,10,FALSE),
IF($A54&lt;'PVC SCH40 LD'!$A$22,VLOOKUP($A54,'PVC SCH40 LD'!$A$8:$M$21,10,FALSE),
IF($A54&lt;'Pool &amp; SPA Sweep Elbows'!$A$12,VLOOKUP($A54,'Pool &amp; SPA Sweep Elbows'!$A$8:$M$11,10,FALSE),
IF($A54&lt;'Pool &amp; SPA Pipe Extender'!$A$11,VLOOKUP($A54,'Pool &amp; SPA Pipe Extender'!$A$8:$M$10,10,FALSE),
IF($A54&lt;'PVC SCH80'!$A$250,VLOOKUP($A54,'PVC SCH80'!$A$8:$M$249,10,FALSE),
IF($A54&lt;'PVC SCH80 Flange'!$A$49,VLOOKUP($A54,'PVC SCH80 Flange'!$A$8:$M$48,10,FALSE),
IF($A54&lt;'PVC SCH80 LD Flange'!$A$17,VLOOKUP($A54,'PVC SCH80 LD Flange'!$A$8:$M$16,10,FALSE),
IF($A54&lt;CPVC!$A$105,VLOOKUP($A54,CPVC!$A$9:$M$104,10,FALSE),
IF($A54&lt;InsertFittings!$A$185,VLOOKUP($A54,InsertFittings!$A$9:$M$184,10,FALSE),
IF($A54&lt;Valves!$A$92,VLOOKUP($A54,Valves!$A$9:$Q$91,14,FALSE),
IF($A54&lt;SDR35SW!$A$133,VLOOKUP($A54,SDR35SW!$A$9:$M$132,10,FALSE),
IF($A54&lt;SDR35G!$A$151,VLOOKUP($A54,SDR35G!$A$9:$M$150,10,FALSE),
IF($A54&lt;SDR26G!$A$67,VLOOKUP($A54,SDR26G!$A$9:$N$66,11,FALSE),
IF($A54&lt;Cements!$A$95,VLOOKUP($A54,Cements!$A$8:$Q$94,14,FALSE),
IF($A54&lt;ValveBox!$A$124,VLOOKUP($A54,ValveBox!$A$9:$O$123,12,FALSE),
IF($A54&lt;'ValveBox Components'!$A$142,VLOOKUP($A54,'ValveBox Components'!$A$9:$N$141,11,FALSE),
IF($A54&lt;Drainage!$A$69,VLOOKUP($A54,Drainage!$A$8:$M$68,10,FALSE),
IF($A54&lt;Nipples!$A$82,VLOOKUP($A54,Nipples!$A$9:$Q$81,14,FALSE),
IF($A54&lt;Manifold!$A$33,VLOOKUP($A54,Manifold!$A$9:$M$32,10,FALSE),
IF($A54&lt;FlexibleRepairCouplings!$A$12,VLOOKUP($A54,FlexibleRepairCouplings!$A$9:$M$11,10,FALSE),
IF($A54&lt;DuraFix!$A$15,VLOOKUP($A54,DuraFix!$A$9:$M$14,10,FALSE),
IF($A54&lt;'Compression Fittings'!$A$16,VLOOKUP($A54,'Compression Fittings'!$A$8:$M$15,10,FALSE),
IF($A54&lt;'Hose Fittings'!$A$30,VLOOKUP($A54,'Hose Fittings'!$A$8:$M$29,10,FALSE),
IF($A54&lt;'Swing Joints'!$A$495,VLOOKUP($A54,'Swing Joints'!$A$9:$M$494,10,FALSE),
IF($A54&lt;'Swing Joints Components'!$A$135,VLOOKUP($A54,'Swing Joints Components'!$A$9:$M$134,10,FALSE),
IF($A54&lt;Nonstandard!$A$42,VLOOKUP($A54,Nonstandard!$A$31:$J$41,10,FALSE),"")))))))))))))))))))))))))))),"")</f>
        <v/>
      </c>
      <c r="L54" s="539" t="str">
        <f t="shared" si="0"/>
        <v>-</v>
      </c>
      <c r="M54" s="542"/>
    </row>
    <row r="55" spans="1:13" ht="15.6">
      <c r="A55" s="312">
        <v>23</v>
      </c>
      <c r="B55" s="312" t="str">
        <f>IFERROR(IF($A55&lt;'DWV PVC'!$A$317,VLOOKUP($A55,'DWV PVC'!$A$9:$M$316,4,FALSE),
IF($A55&lt;'DWV ABS'!$A$117,VLOOKUP($A55,'DWV ABS'!$A$8:$M$116,4,FALSE),
IF($A55&lt;'PVC SCH40'!$A$425,VLOOKUP($A55,'PVC SCH40'!$A$8:$M$424,4,FALSE),
IF($A55&lt;'PVC SCH40 LD'!$A$22,VLOOKUP($A55,'PVC SCH40 LD'!$A$8:$M$21,4,FALSE),
IF($A55&lt;'Pool &amp; SPA Sweep Elbows'!$A$12,VLOOKUP($A55,'Pool &amp; SPA Sweep Elbows'!$A$8:$M$11,4,FALSE),
IF($A55&lt;'Pool &amp; SPA Pipe Extender'!$A$11,VLOOKUP($A55,'Pool &amp; SPA Pipe Extender'!$A$8:$M$10,4,FALSE),
IF($A55&lt;'PVC SCH80'!$A$250,VLOOKUP($A55,'PVC SCH80'!$A$8:$M$249,4,FALSE),
IF($A55&lt;'PVC SCH80 Flange'!$A$49,VLOOKUP($A55,'PVC SCH80 Flange'!$A$8:$M$48,4,FALSE),
IF($A55&lt;'PVC SCH80 LD Flange'!$A$17,VLOOKUP($A55,'PVC SCH80 LD Flange'!$A$8:$M$16,4,FALSE),
IF($A55&lt;CPVC!$A$105,VLOOKUP($A55,CPVC!$A$9:$M$104,4,FALSE),
IF($A55&lt;InsertFittings!$A$185,VLOOKUP($A55,InsertFittings!$A$9:$M$184,4,FALSE),
IF($A55&lt;Valves!$A$92,VLOOKUP($A55,Valves!$A$9:$Q$91,4,FALSE),
IF($A55&lt;SDR35SW!$A$133,VLOOKUP($A55,SDR35SW!$A$9:$M$132,4,FALSE),
IF($A55&lt;SDR35G!$A$151,VLOOKUP($A55,SDR35G!$A$9:$M$150,4,FALSE),
IF($A55&lt;SDR26G!$A$67,VLOOKUP($A55,SDR26G!$A$9:$N$66,5,FALSE),
IF($A55&lt;Cements!$A$95,VLOOKUP($A55,Cements!$A$8:$Q$94,4,FALSE),
IF($A55&lt;ValveBox!$A$124,VLOOKUP($A55,ValveBox!$A$9:$O$123,4,FALSE),
IF($A55&lt;'ValveBox Components'!$A$142,VLOOKUP($A55,'ValveBox Components'!$A$9:$N$141,4,FALSE),
IF($A55&lt;Drainage!$A$69,VLOOKUP($A55,Drainage!$A$8:$M$68,4,FALSE),
IF($A55&lt;Nipples!$A$82,VLOOKUP($A55,Nipples!$A$9:$Q$81,4,FALSE),
IF($A55&lt;Manifold!$A$33,VLOOKUP($A55,Manifold!$A$9:$M$32,4,FALSE),
IF($A55&lt;FlexibleRepairCouplings!$A$12,VLOOKUP($A55,FlexibleRepairCouplings!$A$9:$M$11,4,FALSE),
IF($A55&lt;DuraFix!$A$15,VLOOKUP($A55,DuraFix!$A$9:$M$14,4,FALSE),
IF($A55&lt;'Compression Fittings'!$A$16,VLOOKUP($A55,'Compression Fittings'!$A$8:$M$15,4,FALSE),
IF($A55&lt;'Hose Fittings'!$A$30,VLOOKUP($A55,'Hose Fittings'!$A$8:$M$29,4,FALSE),
IF($A55&lt;'Swing Joints'!$A$495,VLOOKUP($A55,'Swing Joints'!$A$9:$M$494,4,FALSE),
IF($A55&lt;'Swing Joints Components'!$A$135,VLOOKUP($A55,'Swing Joints Components'!$A$9:$M$134,4,FALSE),
IF($A55&lt;Nonstandard!$A$42,VLOOKUP($A55,Nonstandard!$A$31:$J$41,5,FALSE),"")))))))))))))))))))))))))))),"")</f>
        <v/>
      </c>
      <c r="C55" s="312" t="str">
        <f>IFERROR(IF($A55&lt;'DWV PVC'!$A$317,VLOOKUP($A55,'DWV PVC'!$A$9:$M$316,5,FALSE),
IF($A55&lt;'DWV ABS'!$A$117,VLOOKUP($A55,'DWV ABS'!$A$8:$M$116,5,FALSE),
IF($A55&lt;'PVC SCH40'!$A$425,VLOOKUP($A55,'PVC SCH40'!$A$8:$M$424,5,FALSE),
IF($A55&lt;'PVC SCH40 LD'!$A$22,VLOOKUP($A55,'PVC SCH40 LD'!$A$8:$M$21,5,FALSE),
IF($A55&lt;'Pool &amp; SPA Sweep Elbows'!$A$12,VLOOKUP($A55,'Pool &amp; SPA Sweep Elbows'!$A$8:$M$11,5,FALSE),
IF($A55&lt;'Pool &amp; SPA Pipe Extender'!$A$11,VLOOKUP($A55,'Pool &amp; SPA Pipe Extender'!$A$8:$M$10,5,FALSE),
IF($A55&lt;'PVC SCH80'!$A$250,VLOOKUP($A55,'PVC SCH80'!$A$8:$M$249,5,FALSE),
IF($A55&lt;'PVC SCH80 Flange'!$A$49,VLOOKUP($A55,'PVC SCH80 Flange'!$A$8:$M$48,5,FALSE),
IF($A55&lt;'PVC SCH80 LD Flange'!$A$17,VLOOKUP($A55,'PVC SCH80 LD Flange'!$A$8:$M$16,5,FALSE),
IF($A55&lt;CPVC!$A$105,VLOOKUP($A55,CPVC!$A$9:$M$104,5,FALSE),
IF($A55&lt;InsertFittings!$A$185,VLOOKUP($A55,InsertFittings!$A$9:$M$184,5,FALSE),
IF($A55&lt;Valves!$A$92,VLOOKUP($A55,Valves!$A$9:$Q$91,5,FALSE),
IF($A55&lt;SDR35SW!$A$133,VLOOKUP($A55,SDR35SW!$A$9:$M$132,5,FALSE),
IF($A55&lt;SDR35G!$A$151,VLOOKUP($A55,SDR35G!$A$9:$M$150,5,FALSE),
IF($A55&lt;SDR26G!$A$67,VLOOKUP($A55,SDR26G!$A$9:$N$66,6,FALSE),
IF($A55&lt;Cements!$A$95,VLOOKUP($A55,Cements!$A$8:$Q$94,5,FALSE),
IF($A55&lt;ValveBox!$A$124,VLOOKUP($A55,ValveBox!$A$9:$O$123,5,FALSE),
IF($A55&lt;'ValveBox Components'!$A$142,VLOOKUP($A55,'ValveBox Components'!$A$9:$N$141,5,FALSE),
IF($A55&lt;Drainage!$A$69,VLOOKUP($A55,Drainage!$A$8:$M$68,5,FALSE),
IF($A55&lt;Nipples!$A$82,VLOOKUP($A55,Nipples!$A$9:$Q$81,5,FALSE),
IF($A55&lt;Manifold!$A$33,VLOOKUP($A55,Manifold!$A$9:$M$32,5,FALSE),
IF($A55&lt;FlexibleRepairCouplings!$A$12,VLOOKUP($A55,FlexibleRepairCouplings!$A$9:$M$11,5,FALSE),
IF($A55&lt;DuraFix!$A$15,VLOOKUP($A55,DuraFix!$A$9:$M$14,5,FALSE),
IF($A55&lt;'Compression Fittings'!$A$16,VLOOKUP($A55,'Compression Fittings'!$A$8:$M$15,5,FALSE),
IF($A55&lt;'Hose Fittings'!$A$30,VLOOKUP($A55,'Hose Fittings'!$A$8:$M$29,5,FALSE),
IF($A55&lt;'Swing Joints'!$A$495,VLOOKUP($A55,'Swing Joints'!$A$9:$M$494,5,FALSE),
IF($A55&lt;'Swing Joints Components'!$A$135,VLOOKUP($A55,'Swing Joints Components'!$A$9:$M$134,5,FALSE),
IF($A55&lt;Nonstandard!$A$42,VLOOKUP($A55,Nonstandard!$A$31:$J$41,6,FALSE),"")))))))))))))))))))))))))))),"")</f>
        <v/>
      </c>
      <c r="D55" s="534" t="str">
        <f>IFERROR(IF($A55&lt;'DWV PVC'!$A$317,VLOOKUP($A55,'DWV PVC'!$A$9:$M$316,6,FALSE),
IF($A55&lt;'DWV ABS'!$A$117,VLOOKUP($A55,'DWV ABS'!$A$8:$M$116,6,FALSE),
IF($A55&lt;'PVC SCH40'!$A$425,VLOOKUP($A55,'PVC SCH40'!$A$8:$M$424,6,FALSE),
IF($A55&lt;'PVC SCH40 LD'!$A$22,VLOOKUP($A55,'PVC SCH40 LD'!$A$8:$M$21,6,FALSE),
IF($A55&lt;'Pool &amp; SPA Sweep Elbows'!$A$12,VLOOKUP($A55,'Pool &amp; SPA Sweep Elbows'!$A$8:$M$11,6,FALSE),
IF($A55&lt;'Pool &amp; SPA Pipe Extender'!$A$11,VLOOKUP($A55,'Pool &amp; SPA Pipe Extender'!$A$8:$M$10,6,FALSE),
IF($A55&lt;'PVC SCH80'!$A$250,VLOOKUP($A55,'PVC SCH80'!$A$8:$M$249,6,FALSE),
IF($A55&lt;'PVC SCH80 Flange'!$A$49,VLOOKUP($A55,'PVC SCH80 Flange'!$A$8:$M$48,6,FALSE),
IF($A55&lt;'PVC SCH80 LD Flange'!$A$17,VLOOKUP($A55,'PVC SCH80 LD Flange'!$A$8:$M$16,6,FALSE),
IF($A55&lt;CPVC!$A$105,VLOOKUP($A55,CPVC!$A$9:$M$104,6,FALSE),
IF($A55&lt;InsertFittings!$A$185,VLOOKUP($A55,InsertFittings!$A$9:$M$184,6,FALSE),
IF($A55&lt;Valves!$A$92,VLOOKUP($A55,Valves!$A$9:$Q$91,6,FALSE),
IF($A55&lt;SDR35SW!$A$133,VLOOKUP($A55,SDR35SW!$A$9:$M$132,6,FALSE),
IF($A55&lt;SDR35G!$A$151,VLOOKUP($A55,SDR35G!$A$9:$M$150,6,FALSE),
IF($A55&lt;SDR26G!$A$67,VLOOKUP($A55,SDR26G!$A$9:$N$66,7,FALSE),
IF($A55&lt;Cements!$A$95,VLOOKUP($A55,Cements!$A$8:$Q$94,6,FALSE),
IF($A55&lt;ValveBox!$A$124,VLOOKUP($A55,ValveBox!$A$9:$O$123,6,FALSE),
IF($A55&lt;'ValveBox Components'!$A$142,VLOOKUP($A55,'ValveBox Components'!$A$9:$N$141,6,FALSE),
IF($A55&lt;Drainage!$A$69,VLOOKUP($A55,Drainage!$A$8:$M$68,6,FALSE),
IF($A55&lt;Nipples!$A$82,VLOOKUP($A55,Nipples!$A$9:$Q$81,6,FALSE),
IF($A55&lt;Manifold!$A$33,VLOOKUP($A55,Manifold!$A$9:$M$32,6,FALSE),
IF($A55&lt;FlexibleRepairCouplings!$A$12,VLOOKUP($A55,FlexibleRepairCouplings!$A$9:$M$11,6,FALSE),
IF($A55&lt;DuraFix!$A$15,VLOOKUP($A55,DuraFix!$A$9:$M$14,6,FALSE),
IF($A55&lt;'Compression Fittings'!$A$16,VLOOKUP($A55,'Compression Fittings'!$A$8:$M$15,6,FALSE),
IF($A55&lt;'Hose Fittings'!$A$30,VLOOKUP($A55,'Hose Fittings'!$A$8:$M$29,6,FALSE),
IF($A55&lt;'Swing Joints'!$A$495,VLOOKUP($A55,'Swing Joints'!$A$9:$M$494,6,FALSE),
IF($A55&lt;'Swing Joints Components'!$A$135,VLOOKUP($A55,'Swing Joints Components'!$A$9:$M$134,6,FALSE),
IF($A55&lt;Nonstandard!$A$42,VLOOKUP($A55,Nonstandard!$A$31:$J$41,7,FALSE),"")))))))))))))))))))))))))))),"")</f>
        <v/>
      </c>
      <c r="E55" s="316"/>
      <c r="F55" s="314" t="str">
        <f>IFERROR(IF($A55&lt;'DWV PVC'!$A$317,VLOOKUP($A55,'DWV PVC'!$A$9:$M$316,9,FALSE),
IF($A55&lt;'DWV ABS'!$A$117,VLOOKUP($A55,'DWV ABS'!$A$8:$M$116,9,FALSE),                                                                                                                                                                                                                                                     IF($A55&lt;'PVC SCH40'!$A$425,VLOOKUP($A55,'PVC SCH40'!$A$8:$M$424,9,FALSE),
IF($A55&lt;'PVC SCH40 LD'!$A$22,VLOOKUP($A55,'PVC SCH40 LD'!$A$8:$M$21,9,FALSE),
IF($A55&lt;'Pool &amp; SPA Sweep Elbows'!$A$12,VLOOKUP($A55,'Pool &amp; SPA Sweep Elbows'!$A$8:$M$11,9,FALSE),
IF($A55&lt;'Pool &amp; SPA Pipe Extender'!$A$11,VLOOKUP($A55,'Pool &amp; SPA Pipe Extender'!$A$8:$M$10,9,FALSE),
IF($A55&lt;'PVC SCH80'!$A$250,VLOOKUP($A55,'PVC SCH80'!$A$8:$M$249,9,FALSE),
IF($A55&lt;'PVC SCH80 Flange'!$A$49,VLOOKUP($A55,'PVC SCH80 Flange'!$A$8:$M$48,9,FALSE),
IF($A55&lt;'PVC SCH80 LD Flange'!$A$17,VLOOKUP($A55,'PVC SCH80 LD Flange'!$A$8:$M$16,9,FALSE),
IF($A55&lt;CPVC!$A$105,VLOOKUP($A55,CPVC!$A$9:$M$104,9,FALSE),
IF($A55&lt;InsertFittings!$A$185,VLOOKUP($A55,InsertFittings!$A$9:$M$184,9,FALSE),
IF($A55&lt;Valves!$A$92,VLOOKUP($A55,Valves!$A$9:$Q$91,13,FALSE),
IF($A55&lt;SDR35SW!$A$133,VLOOKUP($A55,SDR35SW!$A$9:$M$132,9,FALSE),
IF($A55&lt;SDR35G!$A$151,VLOOKUP($A55,SDR35G!$A$9:$M$150,9,FALSE),                                                                                                                                                                                                                                                          IF($A55&lt;SDR26G!$A$67,VLOOKUP($A55,SDR26G!$A$9:$N$66,10,FALSE),                                                                                                                                                                                                                                                       IF($A55&lt;Cements!$A$95,VLOOKUP($A55,Cements!$A$8:$Q$94,13,FALSE),
IF($A55&lt;ValveBox!$A$124,VLOOKUP($A55,ValveBox!$A$9:$O$123,11,FALSE),
IF($A55&lt;'ValveBox Components'!$A$142,VLOOKUP($A55,'ValveBox Components'!$A$9:$N$141,10,FALSE),
IF($A55&lt;Drainage!$A$69,VLOOKUP($A55,Drainage!$A$8:$M$68,9,FALSE),                                                                                                                                                                                                                                                              IF($A55&lt;Nipples!$A$82,VLOOKUP($A55,Nipples!$A$9:$Q$81,13,FALSE),
IF($A55&lt;Manifold!$A$33,VLOOKUP($A55,Manifold!$A$9:$M$32,9,FALSE),
IF($A55&lt;FlexibleRepairCouplings!$A$12,VLOOKUP($A55,FlexibleRepairCouplings!$A$9:$M$11,9,FALSE),
IF($A55&lt;DuraFix!$A$15,VLOOKUP($A55,DuraFix!$A$9:$M$14,9,FALSE),                                                                                                                                                                                                                                                          IF($A55&lt;'Compression Fittings'!$A$16,VLOOKUP($A55,'Compression Fittings'!$A$8:$M$15,9,FALSE),
IF($A55&lt;'Hose Fittings'!$A$30,VLOOKUP($A55,'Hose Fittings'!$A$8:$M$29,9,FALSE),
IF($A55&lt;'Swing Joints'!$A$495,VLOOKUP($A55,'Swing Joints'!$A$9:$M$494,9,FALSE),
IF($A55&lt;'Swing Joints Components'!$A$135,VLOOKUP($A55,'Swing Joints Components'!$A$9:$M$134,9,FALSE),
IF($A55&lt;Nonstandard!$A$42,VLOOKUP($A55,Nonstandard!$A$31:$J$41,8,FALSE),"")))))))))))))))))))))))))))),"")</f>
        <v/>
      </c>
      <c r="G55" s="533" t="str">
        <f>IFERROR(IF($A55&lt;'DWV PVC'!$A$317,VLOOKUP($A55,'DWV PVC'!$A$9:$M$316,11,FALSE),
IF($A55&lt;'DWV ABS'!$A$117,VLOOKUP($A55,'DWV ABS'!$A$8:$M$116,11,FALSE),                                                                                                                                                                                                                                                     IF($A55&lt;'PVC SCH40'!$A$425,VLOOKUP($A55,'PVC SCH40'!$A$8:$M$424,11,FALSE),
IF($A55&lt;'PVC SCH40 LD'!$A$22,VLOOKUP($A55,'PVC SCH40 LD'!$A$8:$M$21,11,FALSE),
IF($A55&lt;'Pool &amp; SPA Sweep Elbows'!$A$12,VLOOKUP($A55,'Pool &amp; SPA Sweep Elbows'!$A$8:$M$11,11,FALSE),
IF($A55&lt;'Pool &amp; SPA Pipe Extender'!$A$11,VLOOKUP($A55,'Pool &amp; SPA Pipe Extender'!$A$8:$M$10,11,FALSE),
IF($A55&lt;'PVC SCH80'!$A$250,VLOOKUP($A55,'PVC SCH80'!$A$8:$M$249,11,FALSE),
IF($A55&lt;'PVC SCH80 Flange'!$A$49,VLOOKUP($A55,'PVC SCH80 Flange'!$A$8:$M$48,11,FALSE),
IF($A55&lt;'PVC SCH80 LD Flange'!$A$17,VLOOKUP($A55,'PVC SCH80 LD Flange'!$A$8:$M$16,11,FALSE),
IF($A55&lt;CPVC!$A$105,VLOOKUP($A55,CPVC!$A$9:$M$104,11,FALSE),
IF($A55&lt;InsertFittings!$A$185,VLOOKUP($A55,InsertFittings!$A$9:$M$184,11,FALSE),
IF($A55&lt;Valves!$A$92,VLOOKUP($A55,Valves!$A$9:$Q$91,15,FALSE),
IF($A55&lt;SDR35SW!$A$133,VLOOKUP($A55,SDR35SW!$A$9:$M$132,11,FALSE),
IF($A55&lt;SDR35G!$A$151,VLOOKUP($A55,SDR35G!$A$9:$M$150,11,FALSE),                                                                                                                                                                                                                                                          IF($A55&lt;SDR26G!$A$67,VLOOKUP($A55,SDR26G!$A$9:$N$66,12,FALSE),                                                                                                                                                                                                                                                       IF($A55&lt;Cements!$A$95,VLOOKUP($A55,Cements!$A$8:$Q$94,15,FALSE),
IF($A55&lt;ValveBox!$A$124,VLOOKUP($A55,ValveBox!$A$9:$O$123,13,FALSE),
IF($A55&lt;'ValveBox Components'!$A$142,VLOOKUP($A55,'ValveBox Components'!$A$9:$N$141,12,FALSE),
IF($A55&lt;Drainage!$A$69,VLOOKUP($A55,Drainage!$A$8:$M$68,11,FALSE),                                                                                                                                                                                                                                                           IF($A55&lt;Nipples!$A$82,VLOOKUP($A55,Nipples!$A$9:$Q$81,15,FALSE),
IF($A55&lt;Manifold!$A$33,VLOOKUP($A55,Manifold!$A$9:$M$32,11,FALSE),
IF($A55&lt;FlexibleRepairCouplings!$A$12,VLOOKUP($A55,FlexibleRepairCouplings!$A$9:$M$11,11,FALSE),
IF($A55&lt;DuraFix!$A$15,VLOOKUP($A55,DuraFix!$A$9:$M$14,11,FALSE),                                                                                                                                                                                                                                                            IF($A55&lt;'Compression Fittings'!$A$16,VLOOKUP($A55,'Compression Fittings'!$A$8:$M$15,11,FALSE),
IF($A55&lt;'Hose Fittings'!$A$30,VLOOKUP($A55,'Hose Fittings'!$A$8:$M$29,11,FALSE),
IF($A55&lt;'Swing Joints'!$A$495,VLOOKUP($A55,'Swing Joints'!$A$9:$M$494,11,FALSE),
IF($A55&lt;'Swing Joints Components'!$A$135,VLOOKUP($A55,'Swing Joints Components'!$A$9:$M$134,11,FALSE),
IF($A55&lt;Nonstandard!$A$42,VLOOKUP($A55,Nonstandard!$A$31:$J$41,10,FALSE),"")))))))))))))))))))))))))))),"")</f>
        <v/>
      </c>
      <c r="H55" s="618" t="str">
        <f>IFERROR(IF($A55&lt;'DWV PVC'!$A$317,VLOOKUP($A55,'DWV PVC'!$A$9:$M$316,7,FALSE),
IF($A55&lt;'DWV ABS'!$A$117,VLOOKUP($A55,'DWV ABS'!$A$8:$M$116,11,FALSE),                                                                                                                                                                                                                                                     IF($A55&lt;'PVC SCH40'!$A$425,VLOOKUP($A55,'PVC SCH40'!$A$8:$M$424,7,FALSE),
IF($A55&lt;'PVC SCH40 LD'!$A$22,VLOOKUP($A55,'PVC SCH40 LD'!$A$8:$M$21,7,FALSE),
IF($A55&lt;'Pool &amp; SPA Sweep Elbows'!$A$12,VLOOKUP($A55,'Pool &amp; SPA Sweep Elbows'!$A$8:$M$11,7,FALSE),
IF($A55&lt;'Pool &amp; SPA Pipe Extender'!$A$11,VLOOKUP($A55,'Pool &amp; SPA Pipe Extender'!$A$8:$M$10,7,FALSE),
IF($A55&lt;'PVC SCH80'!$A$250,VLOOKUP($A55,'PVC SCH80'!$A$8:$M$249,7,FALSE),
IF($A55&lt;'PVC SCH80 Flange'!$A$49,VLOOKUP($A55,'PVC SCH80 Flange'!$A$8:$M$48,7,FALSE),
IF($A55&lt;'PVC SCH80 LD Flange'!$A$17,VLOOKUP($A55,'PVC SCH80 LD Flange'!$A$8:$M$16,7,FALSE),
IF($A55&lt;CPVC!$A$105,VLOOKUP($A55,CPVC!$A$9:$M$104,7,FALSE),
IF($A55&lt;InsertFittings!$A$185,VLOOKUP($A55,InsertFittings!$A$9:$M$184,7,FALSE),
IF($A55&lt;Valves!$A$92,VLOOKUP($A55,Valves!$A$9:$Q$91,11,FALSE),
IF($A55&lt;SDR35SW!$A$133,VLOOKUP($A55,SDR35SW!$A$9:$M$132,7,FALSE),
IF($A55&lt;SDR35G!$A$151,VLOOKUP($A55,SDR35G!$A$9:$M$150,7,FALSE),                                                                                                                                                                                                                                                       IF($A55&lt;SDR26G!$A$67,VLOOKUP($A55,SDR26G!$A$9:$N$66,8,FALSE),                                                                                                                                                                                                                                                     IF($A55&lt;Cements!$A$95,VLOOKUP($A55,Cements!$A$8:$Q$94,11,FALSE),
IF($A55&lt;ValveBox!$A$124,VLOOKUP($A55,ValveBox!$A$9:$O$123,10,FALSE),
IF($A55&lt;'ValveBox Components'!$A$142,VLOOKUP($A55,'ValveBox Components'!$A$9:$N$141,9,FALSE),
IF($A55&lt;Drainage!$A$69,VLOOKUP($A55,Drainage!$A$8:$M$68,7,FALSE),                                                                                                                                                                                                                                                          IF($A55&lt;Nipples!$A$82,VLOOKUP($A55,Nipples!$A$9:$Q$81,11,FALSE),
IF($A55&lt;Manifold!$A$33,VLOOKUP($A55,Manifold!$A$9:$M$32,7,FALSE),
IF($A55&lt;FlexibleRepairCouplings!$A$12,VLOOKUP($A55,FlexibleRepairCouplings!$A$9:$M$11,7,FALSE),
IF($A55&lt;DuraFix!$A$15,VLOOKUP($A55,DuraFix!$A$9:$M$14,7,FALSE),                                                                                                                                                                                                                                                           IF($A55&lt;'Compression Fittings'!$A$16,VLOOKUP($A55,'Compression Fittings'!$A$8:$M$15,7,FALSE),
IF($A55&lt;'Hose Fittings'!$A$30,VLOOKUP($A55,'Hose Fittings'!$A$8:$M$29,7,FALSE),
IF($A55&lt;'Swing Joints'!$A$495,VLOOKUP($A55,'Swing Joints'!$A$9:$M$494,7,FALSE),
IF($A55&lt;'Swing Joints Components'!$A$135,VLOOKUP($A55,'Swing Joints Components'!$A$9:$M$134,7,FALSE),
IF($A55&lt;Nonstandard!$A$42,VLOOKUP($A55,Nonstandard!$A$31:$J$41,10,FALSE),"")))))))))))))))))))))))))))),"")</f>
        <v/>
      </c>
      <c r="I55" s="619"/>
      <c r="J55" s="281" t="str">
        <f t="shared" si="1"/>
        <v/>
      </c>
      <c r="K55" s="313" t="str">
        <f>IFERROR(IF($A55&lt;'DWV PVC'!$A$317,VLOOKUP($A55,'DWV PVC'!$A$9:$M$316,10,FALSE),
IF($A55&lt;'DWV ABS'!$A$117,VLOOKUP($A55,'DWV ABS'!$A$8:$M$116,10,FALSE),
IF($A55&lt;'PVC SCH40'!$A$425,VLOOKUP($A55,'PVC SCH40'!$A$8:$M$424,10,FALSE),
IF($A55&lt;'PVC SCH40 LD'!$A$22,VLOOKUP($A55,'PVC SCH40 LD'!$A$8:$M$21,10,FALSE),
IF($A55&lt;'Pool &amp; SPA Sweep Elbows'!$A$12,VLOOKUP($A55,'Pool &amp; SPA Sweep Elbows'!$A$8:$M$11,10,FALSE),
IF($A55&lt;'Pool &amp; SPA Pipe Extender'!$A$11,VLOOKUP($A55,'Pool &amp; SPA Pipe Extender'!$A$8:$M$10,10,FALSE),
IF($A55&lt;'PVC SCH80'!$A$250,VLOOKUP($A55,'PVC SCH80'!$A$8:$M$249,10,FALSE),
IF($A55&lt;'PVC SCH80 Flange'!$A$49,VLOOKUP($A55,'PVC SCH80 Flange'!$A$8:$M$48,10,FALSE),
IF($A55&lt;'PVC SCH80 LD Flange'!$A$17,VLOOKUP($A55,'PVC SCH80 LD Flange'!$A$8:$M$16,10,FALSE),
IF($A55&lt;CPVC!$A$105,VLOOKUP($A55,CPVC!$A$9:$M$104,10,FALSE),
IF($A55&lt;InsertFittings!$A$185,VLOOKUP($A55,InsertFittings!$A$9:$M$184,10,FALSE),
IF($A55&lt;Valves!$A$92,VLOOKUP($A55,Valves!$A$9:$Q$91,14,FALSE),
IF($A55&lt;SDR35SW!$A$133,VLOOKUP($A55,SDR35SW!$A$9:$M$132,10,FALSE),
IF($A55&lt;SDR35G!$A$151,VLOOKUP($A55,SDR35G!$A$9:$M$150,10,FALSE),
IF($A55&lt;SDR26G!$A$67,VLOOKUP($A55,SDR26G!$A$9:$N$66,11,FALSE),
IF($A55&lt;Cements!$A$95,VLOOKUP($A55,Cements!$A$8:$Q$94,14,FALSE),
IF($A55&lt;ValveBox!$A$124,VLOOKUP($A55,ValveBox!$A$9:$O$123,12,FALSE),
IF($A55&lt;'ValveBox Components'!$A$142,VLOOKUP($A55,'ValveBox Components'!$A$9:$N$141,11,FALSE),
IF($A55&lt;Drainage!$A$69,VLOOKUP($A55,Drainage!$A$8:$M$68,10,FALSE),
IF($A55&lt;Nipples!$A$82,VLOOKUP($A55,Nipples!$A$9:$Q$81,14,FALSE),
IF($A55&lt;Manifold!$A$33,VLOOKUP($A55,Manifold!$A$9:$M$32,10,FALSE),
IF($A55&lt;FlexibleRepairCouplings!$A$12,VLOOKUP($A55,FlexibleRepairCouplings!$A$9:$M$11,10,FALSE),
IF($A55&lt;DuraFix!$A$15,VLOOKUP($A55,DuraFix!$A$9:$M$14,10,FALSE),
IF($A55&lt;'Compression Fittings'!$A$16,VLOOKUP($A55,'Compression Fittings'!$A$8:$M$15,10,FALSE),
IF($A55&lt;'Hose Fittings'!$A$30,VLOOKUP($A55,'Hose Fittings'!$A$8:$M$29,10,FALSE),
IF($A55&lt;'Swing Joints'!$A$495,VLOOKUP($A55,'Swing Joints'!$A$9:$M$494,10,FALSE),
IF($A55&lt;'Swing Joints Components'!$A$135,VLOOKUP($A55,'Swing Joints Components'!$A$9:$M$134,10,FALSE),
IF($A55&lt;Nonstandard!$A$42,VLOOKUP($A55,Nonstandard!$A$31:$J$41,10,FALSE),"")))))))))))))))))))))))))))),"")</f>
        <v/>
      </c>
      <c r="L55" s="314" t="str">
        <f t="shared" si="0"/>
        <v>-</v>
      </c>
      <c r="M55" s="315"/>
    </row>
    <row r="56" spans="1:13" ht="15.6">
      <c r="A56" s="536">
        <v>24</v>
      </c>
      <c r="B56" s="536" t="str">
        <f>IFERROR(IF($A56&lt;'DWV PVC'!$A$317,VLOOKUP($A56,'DWV PVC'!$A$9:$M$316,4,FALSE),
IF($A56&lt;'DWV ABS'!$A$117,VLOOKUP($A56,'DWV ABS'!$A$8:$M$116,4,FALSE),
IF($A56&lt;'PVC SCH40'!$A$425,VLOOKUP($A56,'PVC SCH40'!$A$8:$M$424,4,FALSE),
IF($A56&lt;'PVC SCH40 LD'!$A$22,VLOOKUP($A56,'PVC SCH40 LD'!$A$8:$M$21,4,FALSE),
IF($A56&lt;'Pool &amp; SPA Sweep Elbows'!$A$12,VLOOKUP($A56,'Pool &amp; SPA Sweep Elbows'!$A$8:$M$11,4,FALSE),
IF($A56&lt;'Pool &amp; SPA Pipe Extender'!$A$11,VLOOKUP($A56,'Pool &amp; SPA Pipe Extender'!$A$8:$M$10,4,FALSE),
IF($A56&lt;'PVC SCH80'!$A$250,VLOOKUP($A56,'PVC SCH80'!$A$8:$M$249,4,FALSE),
IF($A56&lt;'PVC SCH80 Flange'!$A$49,VLOOKUP($A56,'PVC SCH80 Flange'!$A$8:$M$48,4,FALSE),
IF($A56&lt;'PVC SCH80 LD Flange'!$A$17,VLOOKUP($A56,'PVC SCH80 LD Flange'!$A$8:$M$16,4,FALSE),
IF($A56&lt;CPVC!$A$105,VLOOKUP($A56,CPVC!$A$9:$M$104,4,FALSE),
IF($A56&lt;InsertFittings!$A$185,VLOOKUP($A56,InsertFittings!$A$9:$M$184,4,FALSE),
IF($A56&lt;Valves!$A$92,VLOOKUP($A56,Valves!$A$9:$Q$91,4,FALSE),
IF($A56&lt;SDR35SW!$A$133,VLOOKUP($A56,SDR35SW!$A$9:$M$132,4,FALSE),
IF($A56&lt;SDR35G!$A$151,VLOOKUP($A56,SDR35G!$A$9:$M$150,4,FALSE),
IF($A56&lt;SDR26G!$A$67,VLOOKUP($A56,SDR26G!$A$9:$N$66,5,FALSE),
IF($A56&lt;Cements!$A$95,VLOOKUP($A56,Cements!$A$8:$Q$94,4,FALSE),
IF($A56&lt;ValveBox!$A$124,VLOOKUP($A56,ValveBox!$A$9:$O$123,4,FALSE),
IF($A56&lt;'ValveBox Components'!$A$142,VLOOKUP($A56,'ValveBox Components'!$A$9:$N$141,4,FALSE),
IF($A56&lt;Drainage!$A$69,VLOOKUP($A56,Drainage!$A$8:$M$68,4,FALSE),
IF($A56&lt;Nipples!$A$82,VLOOKUP($A56,Nipples!$A$9:$Q$81,4,FALSE),
IF($A56&lt;Manifold!$A$33,VLOOKUP($A56,Manifold!$A$9:$M$32,4,FALSE),
IF($A56&lt;FlexibleRepairCouplings!$A$12,VLOOKUP($A56,FlexibleRepairCouplings!$A$9:$M$11,4,FALSE),
IF($A56&lt;DuraFix!$A$15,VLOOKUP($A56,DuraFix!$A$9:$M$14,4,FALSE),
IF($A56&lt;'Compression Fittings'!$A$16,VLOOKUP($A56,'Compression Fittings'!$A$8:$M$15,4,FALSE),
IF($A56&lt;'Hose Fittings'!$A$30,VLOOKUP($A56,'Hose Fittings'!$A$8:$M$29,4,FALSE),
IF($A56&lt;'Swing Joints'!$A$495,VLOOKUP($A56,'Swing Joints'!$A$9:$M$494,4,FALSE),
IF($A56&lt;'Swing Joints Components'!$A$135,VLOOKUP($A56,'Swing Joints Components'!$A$9:$M$134,4,FALSE),
IF($A56&lt;Nonstandard!$A$42,VLOOKUP($A56,Nonstandard!$A$31:$J$41,5,FALSE),"")))))))))))))))))))))))))))),"")</f>
        <v/>
      </c>
      <c r="C56" s="536" t="str">
        <f>IFERROR(IF($A56&lt;'DWV PVC'!$A$317,VLOOKUP($A56,'DWV PVC'!$A$9:$M$316,5,FALSE),
IF($A56&lt;'DWV ABS'!$A$117,VLOOKUP($A56,'DWV ABS'!$A$8:$M$116,5,FALSE),
IF($A56&lt;'PVC SCH40'!$A$425,VLOOKUP($A56,'PVC SCH40'!$A$8:$M$424,5,FALSE),
IF($A56&lt;'PVC SCH40 LD'!$A$22,VLOOKUP($A56,'PVC SCH40 LD'!$A$8:$M$21,5,FALSE),
IF($A56&lt;'Pool &amp; SPA Sweep Elbows'!$A$12,VLOOKUP($A56,'Pool &amp; SPA Sweep Elbows'!$A$8:$M$11,5,FALSE),
IF($A56&lt;'Pool &amp; SPA Pipe Extender'!$A$11,VLOOKUP($A56,'Pool &amp; SPA Pipe Extender'!$A$8:$M$10,5,FALSE),
IF($A56&lt;'PVC SCH80'!$A$250,VLOOKUP($A56,'PVC SCH80'!$A$8:$M$249,5,FALSE),
IF($A56&lt;'PVC SCH80 Flange'!$A$49,VLOOKUP($A56,'PVC SCH80 Flange'!$A$8:$M$48,5,FALSE),
IF($A56&lt;'PVC SCH80 LD Flange'!$A$17,VLOOKUP($A56,'PVC SCH80 LD Flange'!$A$8:$M$16,5,FALSE),
IF($A56&lt;CPVC!$A$105,VLOOKUP($A56,CPVC!$A$9:$M$104,5,FALSE),
IF($A56&lt;InsertFittings!$A$185,VLOOKUP($A56,InsertFittings!$A$9:$M$184,5,FALSE),
IF($A56&lt;Valves!$A$92,VLOOKUP($A56,Valves!$A$9:$Q$91,5,FALSE),
IF($A56&lt;SDR35SW!$A$133,VLOOKUP($A56,SDR35SW!$A$9:$M$132,5,FALSE),
IF($A56&lt;SDR35G!$A$151,VLOOKUP($A56,SDR35G!$A$9:$M$150,5,FALSE),
IF($A56&lt;SDR26G!$A$67,VLOOKUP($A56,SDR26G!$A$9:$N$66,6,FALSE),
IF($A56&lt;Cements!$A$95,VLOOKUP($A56,Cements!$A$8:$Q$94,5,FALSE),
IF($A56&lt;ValveBox!$A$124,VLOOKUP($A56,ValveBox!$A$9:$O$123,5,FALSE),
IF($A56&lt;'ValveBox Components'!$A$142,VLOOKUP($A56,'ValveBox Components'!$A$9:$N$141,5,FALSE),
IF($A56&lt;Drainage!$A$69,VLOOKUP($A56,Drainage!$A$8:$M$68,5,FALSE),
IF($A56&lt;Nipples!$A$82,VLOOKUP($A56,Nipples!$A$9:$Q$81,5,FALSE),
IF($A56&lt;Manifold!$A$33,VLOOKUP($A56,Manifold!$A$9:$M$32,5,FALSE),
IF($A56&lt;FlexibleRepairCouplings!$A$12,VLOOKUP($A56,FlexibleRepairCouplings!$A$9:$M$11,5,FALSE),
IF($A56&lt;DuraFix!$A$15,VLOOKUP($A56,DuraFix!$A$9:$M$14,5,FALSE),
IF($A56&lt;'Compression Fittings'!$A$16,VLOOKUP($A56,'Compression Fittings'!$A$8:$M$15,5,FALSE),
IF($A56&lt;'Hose Fittings'!$A$30,VLOOKUP($A56,'Hose Fittings'!$A$8:$M$29,5,FALSE),
IF($A56&lt;'Swing Joints'!$A$495,VLOOKUP($A56,'Swing Joints'!$A$9:$M$494,5,FALSE),
IF($A56&lt;'Swing Joints Components'!$A$135,VLOOKUP($A56,'Swing Joints Components'!$A$9:$M$134,5,FALSE),
IF($A56&lt;Nonstandard!$A$42,VLOOKUP($A56,Nonstandard!$A$31:$J$41,6,FALSE),"")))))))))))))))))))))))))))),"")</f>
        <v/>
      </c>
      <c r="D56" s="537" t="str">
        <f>IFERROR(IF($A56&lt;'DWV PVC'!$A$317,VLOOKUP($A56,'DWV PVC'!$A$9:$M$316,6,FALSE),
IF($A56&lt;'DWV ABS'!$A$117,VLOOKUP($A56,'DWV ABS'!$A$8:$M$116,6,FALSE),
IF($A56&lt;'PVC SCH40'!$A$425,VLOOKUP($A56,'PVC SCH40'!$A$8:$M$424,6,FALSE),
IF($A56&lt;'PVC SCH40 LD'!$A$22,VLOOKUP($A56,'PVC SCH40 LD'!$A$8:$M$21,6,FALSE),
IF($A56&lt;'Pool &amp; SPA Sweep Elbows'!$A$12,VLOOKUP($A56,'Pool &amp; SPA Sweep Elbows'!$A$8:$M$11,6,FALSE),
IF($A56&lt;'Pool &amp; SPA Pipe Extender'!$A$11,VLOOKUP($A56,'Pool &amp; SPA Pipe Extender'!$A$8:$M$10,6,FALSE),
IF($A56&lt;'PVC SCH80'!$A$250,VLOOKUP($A56,'PVC SCH80'!$A$8:$M$249,6,FALSE),
IF($A56&lt;'PVC SCH80 Flange'!$A$49,VLOOKUP($A56,'PVC SCH80 Flange'!$A$8:$M$48,6,FALSE),
IF($A56&lt;'PVC SCH80 LD Flange'!$A$17,VLOOKUP($A56,'PVC SCH80 LD Flange'!$A$8:$M$16,6,FALSE),
IF($A56&lt;CPVC!$A$105,VLOOKUP($A56,CPVC!$A$9:$M$104,6,FALSE),
IF($A56&lt;InsertFittings!$A$185,VLOOKUP($A56,InsertFittings!$A$9:$M$184,6,FALSE),
IF($A56&lt;Valves!$A$92,VLOOKUP($A56,Valves!$A$9:$Q$91,6,FALSE),
IF($A56&lt;SDR35SW!$A$133,VLOOKUP($A56,SDR35SW!$A$9:$M$132,6,FALSE),
IF($A56&lt;SDR35G!$A$151,VLOOKUP($A56,SDR35G!$A$9:$M$150,6,FALSE),
IF($A56&lt;SDR26G!$A$67,VLOOKUP($A56,SDR26G!$A$9:$N$66,7,FALSE),
IF($A56&lt;Cements!$A$95,VLOOKUP($A56,Cements!$A$8:$Q$94,6,FALSE),
IF($A56&lt;ValveBox!$A$124,VLOOKUP($A56,ValveBox!$A$9:$O$123,6,FALSE),
IF($A56&lt;'ValveBox Components'!$A$142,VLOOKUP($A56,'ValveBox Components'!$A$9:$N$141,6,FALSE),
IF($A56&lt;Drainage!$A$69,VLOOKUP($A56,Drainage!$A$8:$M$68,6,FALSE),
IF($A56&lt;Nipples!$A$82,VLOOKUP($A56,Nipples!$A$9:$Q$81,6,FALSE),
IF($A56&lt;Manifold!$A$33,VLOOKUP($A56,Manifold!$A$9:$M$32,6,FALSE),
IF($A56&lt;FlexibleRepairCouplings!$A$12,VLOOKUP($A56,FlexibleRepairCouplings!$A$9:$M$11,6,FALSE),
IF($A56&lt;DuraFix!$A$15,VLOOKUP($A56,DuraFix!$A$9:$M$14,6,FALSE),
IF($A56&lt;'Compression Fittings'!$A$16,VLOOKUP($A56,'Compression Fittings'!$A$8:$M$15,6,FALSE),
IF($A56&lt;'Hose Fittings'!$A$30,VLOOKUP($A56,'Hose Fittings'!$A$8:$M$29,6,FALSE),
IF($A56&lt;'Swing Joints'!$A$495,VLOOKUP($A56,'Swing Joints'!$A$9:$M$494,6,FALSE),
IF($A56&lt;'Swing Joints Components'!$A$135,VLOOKUP($A56,'Swing Joints Components'!$A$9:$M$134,6,FALSE),
IF($A56&lt;Nonstandard!$A$42,VLOOKUP($A56,Nonstandard!$A$31:$J$41,7,FALSE),"")))))))))))))))))))))))))))),"")</f>
        <v/>
      </c>
      <c r="E56" s="538"/>
      <c r="F56" s="539" t="str">
        <f>IFERROR(IF($A56&lt;'DWV PVC'!$A$317,VLOOKUP($A56,'DWV PVC'!$A$9:$M$316,9,FALSE),
IF($A56&lt;'DWV ABS'!$A$117,VLOOKUP($A56,'DWV ABS'!$A$8:$M$116,9,FALSE),                                                                                                                                                                                                                                                     IF($A56&lt;'PVC SCH40'!$A$425,VLOOKUP($A56,'PVC SCH40'!$A$8:$M$424,9,FALSE),
IF($A56&lt;'PVC SCH40 LD'!$A$22,VLOOKUP($A56,'PVC SCH40 LD'!$A$8:$M$21,9,FALSE),
IF($A56&lt;'Pool &amp; SPA Sweep Elbows'!$A$12,VLOOKUP($A56,'Pool &amp; SPA Sweep Elbows'!$A$8:$M$11,9,FALSE),
IF($A56&lt;'Pool &amp; SPA Pipe Extender'!$A$11,VLOOKUP($A56,'Pool &amp; SPA Pipe Extender'!$A$8:$M$10,9,FALSE),
IF($A56&lt;'PVC SCH80'!$A$250,VLOOKUP($A56,'PVC SCH80'!$A$8:$M$249,9,FALSE),
IF($A56&lt;'PVC SCH80 Flange'!$A$49,VLOOKUP($A56,'PVC SCH80 Flange'!$A$8:$M$48,9,FALSE),
IF($A56&lt;'PVC SCH80 LD Flange'!$A$17,VLOOKUP($A56,'PVC SCH80 LD Flange'!$A$8:$M$16,9,FALSE),
IF($A56&lt;CPVC!$A$105,VLOOKUP($A56,CPVC!$A$9:$M$104,9,FALSE),
IF($A56&lt;InsertFittings!$A$185,VLOOKUP($A56,InsertFittings!$A$9:$M$184,9,FALSE),
IF($A56&lt;Valves!$A$92,VLOOKUP($A56,Valves!$A$9:$Q$91,13,FALSE),
IF($A56&lt;SDR35SW!$A$133,VLOOKUP($A56,SDR35SW!$A$9:$M$132,9,FALSE),
IF($A56&lt;SDR35G!$A$151,VLOOKUP($A56,SDR35G!$A$9:$M$150,9,FALSE),                                                                                                                                                                                                                                                          IF($A56&lt;SDR26G!$A$67,VLOOKUP($A56,SDR26G!$A$9:$N$66,10,FALSE),                                                                                                                                                                                                                                                       IF($A56&lt;Cements!$A$95,VLOOKUP($A56,Cements!$A$8:$Q$94,13,FALSE),
IF($A56&lt;ValveBox!$A$124,VLOOKUP($A56,ValveBox!$A$9:$O$123,11,FALSE),
IF($A56&lt;'ValveBox Components'!$A$142,VLOOKUP($A56,'ValveBox Components'!$A$9:$N$141,10,FALSE),
IF($A56&lt;Drainage!$A$69,VLOOKUP($A56,Drainage!$A$8:$M$68,9,FALSE),                                                                                                                                                                                                                                                              IF($A56&lt;Nipples!$A$82,VLOOKUP($A56,Nipples!$A$9:$Q$81,13,FALSE),
IF($A56&lt;Manifold!$A$33,VLOOKUP($A56,Manifold!$A$9:$M$32,9,FALSE),
IF($A56&lt;FlexibleRepairCouplings!$A$12,VLOOKUP($A56,FlexibleRepairCouplings!$A$9:$M$11,9,FALSE),
IF($A56&lt;DuraFix!$A$15,VLOOKUP($A56,DuraFix!$A$9:$M$14,9,FALSE),                                                                                                                                                                                                                                                          IF($A56&lt;'Compression Fittings'!$A$16,VLOOKUP($A56,'Compression Fittings'!$A$8:$M$15,9,FALSE),
IF($A56&lt;'Hose Fittings'!$A$30,VLOOKUP($A56,'Hose Fittings'!$A$8:$M$29,9,FALSE),
IF($A56&lt;'Swing Joints'!$A$495,VLOOKUP($A56,'Swing Joints'!$A$9:$M$494,9,FALSE),
IF($A56&lt;'Swing Joints Components'!$A$135,VLOOKUP($A56,'Swing Joints Components'!$A$9:$M$134,9,FALSE),
IF($A56&lt;Nonstandard!$A$42,VLOOKUP($A56,Nonstandard!$A$31:$J$41,8,FALSE),"")))))))))))))))))))))))))))),"")</f>
        <v/>
      </c>
      <c r="G56" s="540" t="str">
        <f>IFERROR(IF($A56&lt;'DWV PVC'!$A$317,VLOOKUP($A56,'DWV PVC'!$A$9:$M$316,11,FALSE),
IF($A56&lt;'DWV ABS'!$A$117,VLOOKUP($A56,'DWV ABS'!$A$8:$M$116,11,FALSE),                                                                                                                                                                                                                                                     IF($A56&lt;'PVC SCH40'!$A$425,VLOOKUP($A56,'PVC SCH40'!$A$8:$M$424,11,FALSE),
IF($A56&lt;'PVC SCH40 LD'!$A$22,VLOOKUP($A56,'PVC SCH40 LD'!$A$8:$M$21,11,FALSE),
IF($A56&lt;'Pool &amp; SPA Sweep Elbows'!$A$12,VLOOKUP($A56,'Pool &amp; SPA Sweep Elbows'!$A$8:$M$11,11,FALSE),
IF($A56&lt;'Pool &amp; SPA Pipe Extender'!$A$11,VLOOKUP($A56,'Pool &amp; SPA Pipe Extender'!$A$8:$M$10,11,FALSE),
IF($A56&lt;'PVC SCH80'!$A$250,VLOOKUP($A56,'PVC SCH80'!$A$8:$M$249,11,FALSE),
IF($A56&lt;'PVC SCH80 Flange'!$A$49,VLOOKUP($A56,'PVC SCH80 Flange'!$A$8:$M$48,11,FALSE),
IF($A56&lt;'PVC SCH80 LD Flange'!$A$17,VLOOKUP($A56,'PVC SCH80 LD Flange'!$A$8:$M$16,11,FALSE),
IF($A56&lt;CPVC!$A$105,VLOOKUP($A56,CPVC!$A$9:$M$104,11,FALSE),
IF($A56&lt;InsertFittings!$A$185,VLOOKUP($A56,InsertFittings!$A$9:$M$184,11,FALSE),
IF($A56&lt;Valves!$A$92,VLOOKUP($A56,Valves!$A$9:$Q$91,15,FALSE),
IF($A56&lt;SDR35SW!$A$133,VLOOKUP($A56,SDR35SW!$A$9:$M$132,11,FALSE),
IF($A56&lt;SDR35G!$A$151,VLOOKUP($A56,SDR35G!$A$9:$M$150,11,FALSE),                                                                                                                                                                                                                                                          IF($A56&lt;SDR26G!$A$67,VLOOKUP($A56,SDR26G!$A$9:$N$66,12,FALSE),                                                                                                                                                                                                                                                       IF($A56&lt;Cements!$A$95,VLOOKUP($A56,Cements!$A$8:$Q$94,15,FALSE),
IF($A56&lt;ValveBox!$A$124,VLOOKUP($A56,ValveBox!$A$9:$O$123,13,FALSE),
IF($A56&lt;'ValveBox Components'!$A$142,VLOOKUP($A56,'ValveBox Components'!$A$9:$N$141,12,FALSE),
IF($A56&lt;Drainage!$A$69,VLOOKUP($A56,Drainage!$A$8:$M$68,11,FALSE),                                                                                                                                                                                                                                                           IF($A56&lt;Nipples!$A$82,VLOOKUP($A56,Nipples!$A$9:$Q$81,15,FALSE),
IF($A56&lt;Manifold!$A$33,VLOOKUP($A56,Manifold!$A$9:$M$32,11,FALSE),
IF($A56&lt;FlexibleRepairCouplings!$A$12,VLOOKUP($A56,FlexibleRepairCouplings!$A$9:$M$11,11,FALSE),
IF($A56&lt;DuraFix!$A$15,VLOOKUP($A56,DuraFix!$A$9:$M$14,11,FALSE),                                                                                                                                                                                                                                                            IF($A56&lt;'Compression Fittings'!$A$16,VLOOKUP($A56,'Compression Fittings'!$A$8:$M$15,11,FALSE),
IF($A56&lt;'Hose Fittings'!$A$30,VLOOKUP($A56,'Hose Fittings'!$A$8:$M$29,11,FALSE),
IF($A56&lt;'Swing Joints'!$A$495,VLOOKUP($A56,'Swing Joints'!$A$9:$M$494,11,FALSE),
IF($A56&lt;'Swing Joints Components'!$A$135,VLOOKUP($A56,'Swing Joints Components'!$A$9:$M$134,11,FALSE),
IF($A56&lt;Nonstandard!$A$42,VLOOKUP($A56,Nonstandard!$A$31:$J$41,10,FALSE),"")))))))))))))))))))))))))))),"")</f>
        <v/>
      </c>
      <c r="H56" s="620" t="str">
        <f>IFERROR(IF($A56&lt;'DWV PVC'!$A$317,VLOOKUP($A56,'DWV PVC'!$A$9:$M$316,7,FALSE),
IF($A56&lt;'DWV ABS'!$A$117,VLOOKUP($A56,'DWV ABS'!$A$8:$M$116,11,FALSE),                                                                                                                                                                                                                                                     IF($A56&lt;'PVC SCH40'!$A$425,VLOOKUP($A56,'PVC SCH40'!$A$8:$M$424,7,FALSE),
IF($A56&lt;'PVC SCH40 LD'!$A$22,VLOOKUP($A56,'PVC SCH40 LD'!$A$8:$M$21,7,FALSE),
IF($A56&lt;'Pool &amp; SPA Sweep Elbows'!$A$12,VLOOKUP($A56,'Pool &amp; SPA Sweep Elbows'!$A$8:$M$11,7,FALSE),
IF($A56&lt;'Pool &amp; SPA Pipe Extender'!$A$11,VLOOKUP($A56,'Pool &amp; SPA Pipe Extender'!$A$8:$M$10,7,FALSE),
IF($A56&lt;'PVC SCH80'!$A$250,VLOOKUP($A56,'PVC SCH80'!$A$8:$M$249,7,FALSE),
IF($A56&lt;'PVC SCH80 Flange'!$A$49,VLOOKUP($A56,'PVC SCH80 Flange'!$A$8:$M$48,7,FALSE),
IF($A56&lt;'PVC SCH80 LD Flange'!$A$17,VLOOKUP($A56,'PVC SCH80 LD Flange'!$A$8:$M$16,7,FALSE),
IF($A56&lt;CPVC!$A$105,VLOOKUP($A56,CPVC!$A$9:$M$104,7,FALSE),
IF($A56&lt;InsertFittings!$A$185,VLOOKUP($A56,InsertFittings!$A$9:$M$184,7,FALSE),
IF($A56&lt;Valves!$A$92,VLOOKUP($A56,Valves!$A$9:$Q$91,11,FALSE),
IF($A56&lt;SDR35SW!$A$133,VLOOKUP($A56,SDR35SW!$A$9:$M$132,7,FALSE),
IF($A56&lt;SDR35G!$A$151,VLOOKUP($A56,SDR35G!$A$9:$M$150,7,FALSE),                                                                                                                                                                                                                                                       IF($A56&lt;SDR26G!$A$67,VLOOKUP($A56,SDR26G!$A$9:$N$66,8,FALSE),                                                                                                                                                                                                                                                     IF($A56&lt;Cements!$A$95,VLOOKUP($A56,Cements!$A$8:$Q$94,11,FALSE),
IF($A56&lt;ValveBox!$A$124,VLOOKUP($A56,ValveBox!$A$9:$O$123,10,FALSE),
IF($A56&lt;'ValveBox Components'!$A$142,VLOOKUP($A56,'ValveBox Components'!$A$9:$N$141,9,FALSE),
IF($A56&lt;Drainage!$A$69,VLOOKUP($A56,Drainage!$A$8:$M$68,7,FALSE),                                                                                                                                                                                                                                                          IF($A56&lt;Nipples!$A$82,VLOOKUP($A56,Nipples!$A$9:$Q$81,11,FALSE),
IF($A56&lt;Manifold!$A$33,VLOOKUP($A56,Manifold!$A$9:$M$32,7,FALSE),
IF($A56&lt;FlexibleRepairCouplings!$A$12,VLOOKUP($A56,FlexibleRepairCouplings!$A$9:$M$11,7,FALSE),
IF($A56&lt;DuraFix!$A$15,VLOOKUP($A56,DuraFix!$A$9:$M$14,7,FALSE),                                                                                                                                                                                                                                                           IF($A56&lt;'Compression Fittings'!$A$16,VLOOKUP($A56,'Compression Fittings'!$A$8:$M$15,7,FALSE),
IF($A56&lt;'Hose Fittings'!$A$30,VLOOKUP($A56,'Hose Fittings'!$A$8:$M$29,7,FALSE),
IF($A56&lt;'Swing Joints'!$A$495,VLOOKUP($A56,'Swing Joints'!$A$9:$M$494,7,FALSE),
IF($A56&lt;'Swing Joints Components'!$A$135,VLOOKUP($A56,'Swing Joints Components'!$A$9:$M$134,7,FALSE),
IF($A56&lt;Nonstandard!$A$42,VLOOKUP($A56,Nonstandard!$A$31:$J$41,10,FALSE),"")))))))))))))))))))))))))))),"")</f>
        <v/>
      </c>
      <c r="I56" s="621"/>
      <c r="J56" s="541" t="str">
        <f t="shared" si="1"/>
        <v/>
      </c>
      <c r="K56" s="599" t="str">
        <f>IFERROR(IF($A56&lt;'DWV PVC'!$A$317,VLOOKUP($A56,'DWV PVC'!$A$9:$M$316,10,FALSE),
IF($A56&lt;'DWV ABS'!$A$117,VLOOKUP($A56,'DWV ABS'!$A$8:$M$116,10,FALSE),
IF($A56&lt;'PVC SCH40'!$A$425,VLOOKUP($A56,'PVC SCH40'!$A$8:$M$424,10,FALSE),
IF($A56&lt;'PVC SCH40 LD'!$A$22,VLOOKUP($A56,'PVC SCH40 LD'!$A$8:$M$21,10,FALSE),
IF($A56&lt;'Pool &amp; SPA Sweep Elbows'!$A$12,VLOOKUP($A56,'Pool &amp; SPA Sweep Elbows'!$A$8:$M$11,10,FALSE),
IF($A56&lt;'Pool &amp; SPA Pipe Extender'!$A$11,VLOOKUP($A56,'Pool &amp; SPA Pipe Extender'!$A$8:$M$10,10,FALSE),
IF($A56&lt;'PVC SCH80'!$A$250,VLOOKUP($A56,'PVC SCH80'!$A$8:$M$249,10,FALSE),
IF($A56&lt;'PVC SCH80 Flange'!$A$49,VLOOKUP($A56,'PVC SCH80 Flange'!$A$8:$M$48,10,FALSE),
IF($A56&lt;'PVC SCH80 LD Flange'!$A$17,VLOOKUP($A56,'PVC SCH80 LD Flange'!$A$8:$M$16,10,FALSE),
IF($A56&lt;CPVC!$A$105,VLOOKUP($A56,CPVC!$A$9:$M$104,10,FALSE),
IF($A56&lt;InsertFittings!$A$185,VLOOKUP($A56,InsertFittings!$A$9:$M$184,10,FALSE),
IF($A56&lt;Valves!$A$92,VLOOKUP($A56,Valves!$A$9:$Q$91,14,FALSE),
IF($A56&lt;SDR35SW!$A$133,VLOOKUP($A56,SDR35SW!$A$9:$M$132,10,FALSE),
IF($A56&lt;SDR35G!$A$151,VLOOKUP($A56,SDR35G!$A$9:$M$150,10,FALSE),
IF($A56&lt;SDR26G!$A$67,VLOOKUP($A56,SDR26G!$A$9:$N$66,11,FALSE),
IF($A56&lt;Cements!$A$95,VLOOKUP($A56,Cements!$A$8:$Q$94,14,FALSE),
IF($A56&lt;ValveBox!$A$124,VLOOKUP($A56,ValveBox!$A$9:$O$123,12,FALSE),
IF($A56&lt;'ValveBox Components'!$A$142,VLOOKUP($A56,'ValveBox Components'!$A$9:$N$141,11,FALSE),
IF($A56&lt;Drainage!$A$69,VLOOKUP($A56,Drainage!$A$8:$M$68,10,FALSE),
IF($A56&lt;Nipples!$A$82,VLOOKUP($A56,Nipples!$A$9:$Q$81,14,FALSE),
IF($A56&lt;Manifold!$A$33,VLOOKUP($A56,Manifold!$A$9:$M$32,10,FALSE),
IF($A56&lt;FlexibleRepairCouplings!$A$12,VLOOKUP($A56,FlexibleRepairCouplings!$A$9:$M$11,10,FALSE),
IF($A56&lt;DuraFix!$A$15,VLOOKUP($A56,DuraFix!$A$9:$M$14,10,FALSE),
IF($A56&lt;'Compression Fittings'!$A$16,VLOOKUP($A56,'Compression Fittings'!$A$8:$M$15,10,FALSE),
IF($A56&lt;'Hose Fittings'!$A$30,VLOOKUP($A56,'Hose Fittings'!$A$8:$M$29,10,FALSE),
IF($A56&lt;'Swing Joints'!$A$495,VLOOKUP($A56,'Swing Joints'!$A$9:$M$494,10,FALSE),
IF($A56&lt;'Swing Joints Components'!$A$135,VLOOKUP($A56,'Swing Joints Components'!$A$9:$M$134,10,FALSE),
IF($A56&lt;Nonstandard!$A$42,VLOOKUP($A56,Nonstandard!$A$31:$J$41,10,FALSE),"")))))))))))))))))))))))))))),"")</f>
        <v/>
      </c>
      <c r="L56" s="539" t="str">
        <f t="shared" si="0"/>
        <v>-</v>
      </c>
      <c r="M56" s="542"/>
    </row>
    <row r="57" spans="1:13" ht="15.6">
      <c r="A57" s="312">
        <v>25</v>
      </c>
      <c r="B57" s="312" t="str">
        <f>IFERROR(IF($A57&lt;'DWV PVC'!$A$317,VLOOKUP($A57,'DWV PVC'!$A$9:$M$316,4,FALSE),
IF($A57&lt;'DWV ABS'!$A$117,VLOOKUP($A57,'DWV ABS'!$A$8:$M$116,4,FALSE),
IF($A57&lt;'PVC SCH40'!$A$425,VLOOKUP($A57,'PVC SCH40'!$A$8:$M$424,4,FALSE),
IF($A57&lt;'PVC SCH40 LD'!$A$22,VLOOKUP($A57,'PVC SCH40 LD'!$A$8:$M$21,4,FALSE),
IF($A57&lt;'Pool &amp; SPA Sweep Elbows'!$A$12,VLOOKUP($A57,'Pool &amp; SPA Sweep Elbows'!$A$8:$M$11,4,FALSE),
IF($A57&lt;'Pool &amp; SPA Pipe Extender'!$A$11,VLOOKUP($A57,'Pool &amp; SPA Pipe Extender'!$A$8:$M$10,4,FALSE),
IF($A57&lt;'PVC SCH80'!$A$250,VLOOKUP($A57,'PVC SCH80'!$A$8:$M$249,4,FALSE),
IF($A57&lt;'PVC SCH80 Flange'!$A$49,VLOOKUP($A57,'PVC SCH80 Flange'!$A$8:$M$48,4,FALSE),
IF($A57&lt;'PVC SCH80 LD Flange'!$A$17,VLOOKUP($A57,'PVC SCH80 LD Flange'!$A$8:$M$16,4,FALSE),
IF($A57&lt;CPVC!$A$105,VLOOKUP($A57,CPVC!$A$9:$M$104,4,FALSE),
IF($A57&lt;InsertFittings!$A$185,VLOOKUP($A57,InsertFittings!$A$9:$M$184,4,FALSE),
IF($A57&lt;Valves!$A$92,VLOOKUP($A57,Valves!$A$9:$Q$91,4,FALSE),
IF($A57&lt;SDR35SW!$A$133,VLOOKUP($A57,SDR35SW!$A$9:$M$132,4,FALSE),
IF($A57&lt;SDR35G!$A$151,VLOOKUP($A57,SDR35G!$A$9:$M$150,4,FALSE),
IF($A57&lt;SDR26G!$A$67,VLOOKUP($A57,SDR26G!$A$9:$N$66,5,FALSE),
IF($A57&lt;Cements!$A$95,VLOOKUP($A57,Cements!$A$8:$Q$94,4,FALSE),
IF($A57&lt;ValveBox!$A$124,VLOOKUP($A57,ValveBox!$A$9:$O$123,4,FALSE),
IF($A57&lt;'ValveBox Components'!$A$142,VLOOKUP($A57,'ValveBox Components'!$A$9:$N$141,4,FALSE),
IF($A57&lt;Drainage!$A$69,VLOOKUP($A57,Drainage!$A$8:$M$68,4,FALSE),
IF($A57&lt;Nipples!$A$82,VLOOKUP($A57,Nipples!$A$9:$Q$81,4,FALSE),
IF($A57&lt;Manifold!$A$33,VLOOKUP($A57,Manifold!$A$9:$M$32,4,FALSE),
IF($A57&lt;FlexibleRepairCouplings!$A$12,VLOOKUP($A57,FlexibleRepairCouplings!$A$9:$M$11,4,FALSE),
IF($A57&lt;DuraFix!$A$15,VLOOKUP($A57,DuraFix!$A$9:$M$14,4,FALSE),
IF($A57&lt;'Compression Fittings'!$A$16,VLOOKUP($A57,'Compression Fittings'!$A$8:$M$15,4,FALSE),
IF($A57&lt;'Hose Fittings'!$A$30,VLOOKUP($A57,'Hose Fittings'!$A$8:$M$29,4,FALSE),
IF($A57&lt;'Swing Joints'!$A$495,VLOOKUP($A57,'Swing Joints'!$A$9:$M$494,4,FALSE),
IF($A57&lt;'Swing Joints Components'!$A$135,VLOOKUP($A57,'Swing Joints Components'!$A$9:$M$134,4,FALSE),
IF($A57&lt;Nonstandard!$A$42,VLOOKUP($A57,Nonstandard!$A$31:$J$41,5,FALSE),"")))))))))))))))))))))))))))),"")</f>
        <v/>
      </c>
      <c r="C57" s="312" t="str">
        <f>IFERROR(IF($A57&lt;'DWV PVC'!$A$317,VLOOKUP($A57,'DWV PVC'!$A$9:$M$316,5,FALSE),
IF($A57&lt;'DWV ABS'!$A$117,VLOOKUP($A57,'DWV ABS'!$A$8:$M$116,5,FALSE),
IF($A57&lt;'PVC SCH40'!$A$425,VLOOKUP($A57,'PVC SCH40'!$A$8:$M$424,5,FALSE),
IF($A57&lt;'PVC SCH40 LD'!$A$22,VLOOKUP($A57,'PVC SCH40 LD'!$A$8:$M$21,5,FALSE),
IF($A57&lt;'Pool &amp; SPA Sweep Elbows'!$A$12,VLOOKUP($A57,'Pool &amp; SPA Sweep Elbows'!$A$8:$M$11,5,FALSE),
IF($A57&lt;'Pool &amp; SPA Pipe Extender'!$A$11,VLOOKUP($A57,'Pool &amp; SPA Pipe Extender'!$A$8:$M$10,5,FALSE),
IF($A57&lt;'PVC SCH80'!$A$250,VLOOKUP($A57,'PVC SCH80'!$A$8:$M$249,5,FALSE),
IF($A57&lt;'PVC SCH80 Flange'!$A$49,VLOOKUP($A57,'PVC SCH80 Flange'!$A$8:$M$48,5,FALSE),
IF($A57&lt;'PVC SCH80 LD Flange'!$A$17,VLOOKUP($A57,'PVC SCH80 LD Flange'!$A$8:$M$16,5,FALSE),
IF($A57&lt;CPVC!$A$105,VLOOKUP($A57,CPVC!$A$9:$M$104,5,FALSE),
IF($A57&lt;InsertFittings!$A$185,VLOOKUP($A57,InsertFittings!$A$9:$M$184,5,FALSE),
IF($A57&lt;Valves!$A$92,VLOOKUP($A57,Valves!$A$9:$Q$91,5,FALSE),
IF($A57&lt;SDR35SW!$A$133,VLOOKUP($A57,SDR35SW!$A$9:$M$132,5,FALSE),
IF($A57&lt;SDR35G!$A$151,VLOOKUP($A57,SDR35G!$A$9:$M$150,5,FALSE),
IF($A57&lt;SDR26G!$A$67,VLOOKUP($A57,SDR26G!$A$9:$N$66,6,FALSE),
IF($A57&lt;Cements!$A$95,VLOOKUP($A57,Cements!$A$8:$Q$94,5,FALSE),
IF($A57&lt;ValveBox!$A$124,VLOOKUP($A57,ValveBox!$A$9:$O$123,5,FALSE),
IF($A57&lt;'ValveBox Components'!$A$142,VLOOKUP($A57,'ValveBox Components'!$A$9:$N$141,5,FALSE),
IF($A57&lt;Drainage!$A$69,VLOOKUP($A57,Drainage!$A$8:$M$68,5,FALSE),
IF($A57&lt;Nipples!$A$82,VLOOKUP($A57,Nipples!$A$9:$Q$81,5,FALSE),
IF($A57&lt;Manifold!$A$33,VLOOKUP($A57,Manifold!$A$9:$M$32,5,FALSE),
IF($A57&lt;FlexibleRepairCouplings!$A$12,VLOOKUP($A57,FlexibleRepairCouplings!$A$9:$M$11,5,FALSE),
IF($A57&lt;DuraFix!$A$15,VLOOKUP($A57,DuraFix!$A$9:$M$14,5,FALSE),
IF($A57&lt;'Compression Fittings'!$A$16,VLOOKUP($A57,'Compression Fittings'!$A$8:$M$15,5,FALSE),
IF($A57&lt;'Hose Fittings'!$A$30,VLOOKUP($A57,'Hose Fittings'!$A$8:$M$29,5,FALSE),
IF($A57&lt;'Swing Joints'!$A$495,VLOOKUP($A57,'Swing Joints'!$A$9:$M$494,5,FALSE),
IF($A57&lt;'Swing Joints Components'!$A$135,VLOOKUP($A57,'Swing Joints Components'!$A$9:$M$134,5,FALSE),
IF($A57&lt;Nonstandard!$A$42,VLOOKUP($A57,Nonstandard!$A$31:$J$41,6,FALSE),"")))))))))))))))))))))))))))),"")</f>
        <v/>
      </c>
      <c r="D57" s="534" t="str">
        <f>IFERROR(IF($A57&lt;'DWV PVC'!$A$317,VLOOKUP($A57,'DWV PVC'!$A$9:$M$316,6,FALSE),
IF($A57&lt;'DWV ABS'!$A$117,VLOOKUP($A57,'DWV ABS'!$A$8:$M$116,6,FALSE),
IF($A57&lt;'PVC SCH40'!$A$425,VLOOKUP($A57,'PVC SCH40'!$A$8:$M$424,6,FALSE),
IF($A57&lt;'PVC SCH40 LD'!$A$22,VLOOKUP($A57,'PVC SCH40 LD'!$A$8:$M$21,6,FALSE),
IF($A57&lt;'Pool &amp; SPA Sweep Elbows'!$A$12,VLOOKUP($A57,'Pool &amp; SPA Sweep Elbows'!$A$8:$M$11,6,FALSE),
IF($A57&lt;'Pool &amp; SPA Pipe Extender'!$A$11,VLOOKUP($A57,'Pool &amp; SPA Pipe Extender'!$A$8:$M$10,6,FALSE),
IF($A57&lt;'PVC SCH80'!$A$250,VLOOKUP($A57,'PVC SCH80'!$A$8:$M$249,6,FALSE),
IF($A57&lt;'PVC SCH80 Flange'!$A$49,VLOOKUP($A57,'PVC SCH80 Flange'!$A$8:$M$48,6,FALSE),
IF($A57&lt;'PVC SCH80 LD Flange'!$A$17,VLOOKUP($A57,'PVC SCH80 LD Flange'!$A$8:$M$16,6,FALSE),
IF($A57&lt;CPVC!$A$105,VLOOKUP($A57,CPVC!$A$9:$M$104,6,FALSE),
IF($A57&lt;InsertFittings!$A$185,VLOOKUP($A57,InsertFittings!$A$9:$M$184,6,FALSE),
IF($A57&lt;Valves!$A$92,VLOOKUP($A57,Valves!$A$9:$Q$91,6,FALSE),
IF($A57&lt;SDR35SW!$A$133,VLOOKUP($A57,SDR35SW!$A$9:$M$132,6,FALSE),
IF($A57&lt;SDR35G!$A$151,VLOOKUP($A57,SDR35G!$A$9:$M$150,6,FALSE),
IF($A57&lt;SDR26G!$A$67,VLOOKUP($A57,SDR26G!$A$9:$N$66,7,FALSE),
IF($A57&lt;Cements!$A$95,VLOOKUP($A57,Cements!$A$8:$Q$94,6,FALSE),
IF($A57&lt;ValveBox!$A$124,VLOOKUP($A57,ValveBox!$A$9:$O$123,6,FALSE),
IF($A57&lt;'ValveBox Components'!$A$142,VLOOKUP($A57,'ValveBox Components'!$A$9:$N$141,6,FALSE),
IF($A57&lt;Drainage!$A$69,VLOOKUP($A57,Drainage!$A$8:$M$68,6,FALSE),
IF($A57&lt;Nipples!$A$82,VLOOKUP($A57,Nipples!$A$9:$Q$81,6,FALSE),
IF($A57&lt;Manifold!$A$33,VLOOKUP($A57,Manifold!$A$9:$M$32,6,FALSE),
IF($A57&lt;FlexibleRepairCouplings!$A$12,VLOOKUP($A57,FlexibleRepairCouplings!$A$9:$M$11,6,FALSE),
IF($A57&lt;DuraFix!$A$15,VLOOKUP($A57,DuraFix!$A$9:$M$14,6,FALSE),
IF($A57&lt;'Compression Fittings'!$A$16,VLOOKUP($A57,'Compression Fittings'!$A$8:$M$15,6,FALSE),
IF($A57&lt;'Hose Fittings'!$A$30,VLOOKUP($A57,'Hose Fittings'!$A$8:$M$29,6,FALSE),
IF($A57&lt;'Swing Joints'!$A$495,VLOOKUP($A57,'Swing Joints'!$A$9:$M$494,6,FALSE),
IF($A57&lt;'Swing Joints Components'!$A$135,VLOOKUP($A57,'Swing Joints Components'!$A$9:$M$134,6,FALSE),
IF($A57&lt;Nonstandard!$A$42,VLOOKUP($A57,Nonstandard!$A$31:$J$41,7,FALSE),"")))))))))))))))))))))))))))),"")</f>
        <v/>
      </c>
      <c r="E57" s="316"/>
      <c r="F57" s="314" t="str">
        <f>IFERROR(IF($A57&lt;'DWV PVC'!$A$317,VLOOKUP($A57,'DWV PVC'!$A$9:$M$316,9,FALSE),
IF($A57&lt;'DWV ABS'!$A$117,VLOOKUP($A57,'DWV ABS'!$A$8:$M$116,9,FALSE),                                                                                                                                                                                                                                                     IF($A57&lt;'PVC SCH40'!$A$425,VLOOKUP($A57,'PVC SCH40'!$A$8:$M$424,9,FALSE),
IF($A57&lt;'PVC SCH40 LD'!$A$22,VLOOKUP($A57,'PVC SCH40 LD'!$A$8:$M$21,9,FALSE),
IF($A57&lt;'Pool &amp; SPA Sweep Elbows'!$A$12,VLOOKUP($A57,'Pool &amp; SPA Sweep Elbows'!$A$8:$M$11,9,FALSE),
IF($A57&lt;'Pool &amp; SPA Pipe Extender'!$A$11,VLOOKUP($A57,'Pool &amp; SPA Pipe Extender'!$A$8:$M$10,9,FALSE),
IF($A57&lt;'PVC SCH80'!$A$250,VLOOKUP($A57,'PVC SCH80'!$A$8:$M$249,9,FALSE),
IF($A57&lt;'PVC SCH80 Flange'!$A$49,VLOOKUP($A57,'PVC SCH80 Flange'!$A$8:$M$48,9,FALSE),
IF($A57&lt;'PVC SCH80 LD Flange'!$A$17,VLOOKUP($A57,'PVC SCH80 LD Flange'!$A$8:$M$16,9,FALSE),
IF($A57&lt;CPVC!$A$105,VLOOKUP($A57,CPVC!$A$9:$M$104,9,FALSE),
IF($A57&lt;InsertFittings!$A$185,VLOOKUP($A57,InsertFittings!$A$9:$M$184,9,FALSE),
IF($A57&lt;Valves!$A$92,VLOOKUP($A57,Valves!$A$9:$Q$91,13,FALSE),
IF($A57&lt;SDR35SW!$A$133,VLOOKUP($A57,SDR35SW!$A$9:$M$132,9,FALSE),
IF($A57&lt;SDR35G!$A$151,VLOOKUP($A57,SDR35G!$A$9:$M$150,9,FALSE),                                                                                                                                                                                                                                                          IF($A57&lt;SDR26G!$A$67,VLOOKUP($A57,SDR26G!$A$9:$N$66,10,FALSE),                                                                                                                                                                                                                                                       IF($A57&lt;Cements!$A$95,VLOOKUP($A57,Cements!$A$8:$Q$94,13,FALSE),
IF($A57&lt;ValveBox!$A$124,VLOOKUP($A57,ValveBox!$A$9:$O$123,11,FALSE),
IF($A57&lt;'ValveBox Components'!$A$142,VLOOKUP($A57,'ValveBox Components'!$A$9:$N$141,10,FALSE),
IF($A57&lt;Drainage!$A$69,VLOOKUP($A57,Drainage!$A$8:$M$68,9,FALSE),                                                                                                                                                                                                                                                              IF($A57&lt;Nipples!$A$82,VLOOKUP($A57,Nipples!$A$9:$Q$81,13,FALSE),
IF($A57&lt;Manifold!$A$33,VLOOKUP($A57,Manifold!$A$9:$M$32,9,FALSE),
IF($A57&lt;FlexibleRepairCouplings!$A$12,VLOOKUP($A57,FlexibleRepairCouplings!$A$9:$M$11,9,FALSE),
IF($A57&lt;DuraFix!$A$15,VLOOKUP($A57,DuraFix!$A$9:$M$14,9,FALSE),                                                                                                                                                                                                                                                          IF($A57&lt;'Compression Fittings'!$A$16,VLOOKUP($A57,'Compression Fittings'!$A$8:$M$15,9,FALSE),
IF($A57&lt;'Hose Fittings'!$A$30,VLOOKUP($A57,'Hose Fittings'!$A$8:$M$29,9,FALSE),
IF($A57&lt;'Swing Joints'!$A$495,VLOOKUP($A57,'Swing Joints'!$A$9:$M$494,9,FALSE),
IF($A57&lt;'Swing Joints Components'!$A$135,VLOOKUP($A57,'Swing Joints Components'!$A$9:$M$134,9,FALSE),
IF($A57&lt;Nonstandard!$A$42,VLOOKUP($A57,Nonstandard!$A$31:$J$41,8,FALSE),"")))))))))))))))))))))))))))),"")</f>
        <v/>
      </c>
      <c r="G57" s="533" t="str">
        <f>IFERROR(IF($A57&lt;'DWV PVC'!$A$317,VLOOKUP($A57,'DWV PVC'!$A$9:$M$316,11,FALSE),
IF($A57&lt;'DWV ABS'!$A$117,VLOOKUP($A57,'DWV ABS'!$A$8:$M$116,11,FALSE),                                                                                                                                                                                                                                                     IF($A57&lt;'PVC SCH40'!$A$425,VLOOKUP($A57,'PVC SCH40'!$A$8:$M$424,11,FALSE),
IF($A57&lt;'PVC SCH40 LD'!$A$22,VLOOKUP($A57,'PVC SCH40 LD'!$A$8:$M$21,11,FALSE),
IF($A57&lt;'Pool &amp; SPA Sweep Elbows'!$A$12,VLOOKUP($A57,'Pool &amp; SPA Sweep Elbows'!$A$8:$M$11,11,FALSE),
IF($A57&lt;'Pool &amp; SPA Pipe Extender'!$A$11,VLOOKUP($A57,'Pool &amp; SPA Pipe Extender'!$A$8:$M$10,11,FALSE),
IF($A57&lt;'PVC SCH80'!$A$250,VLOOKUP($A57,'PVC SCH80'!$A$8:$M$249,11,FALSE),
IF($A57&lt;'PVC SCH80 Flange'!$A$49,VLOOKUP($A57,'PVC SCH80 Flange'!$A$8:$M$48,11,FALSE),
IF($A57&lt;'PVC SCH80 LD Flange'!$A$17,VLOOKUP($A57,'PVC SCH80 LD Flange'!$A$8:$M$16,11,FALSE),
IF($A57&lt;CPVC!$A$105,VLOOKUP($A57,CPVC!$A$9:$M$104,11,FALSE),
IF($A57&lt;InsertFittings!$A$185,VLOOKUP($A57,InsertFittings!$A$9:$M$184,11,FALSE),
IF($A57&lt;Valves!$A$92,VLOOKUP($A57,Valves!$A$9:$Q$91,15,FALSE),
IF($A57&lt;SDR35SW!$A$133,VLOOKUP($A57,SDR35SW!$A$9:$M$132,11,FALSE),
IF($A57&lt;SDR35G!$A$151,VLOOKUP($A57,SDR35G!$A$9:$M$150,11,FALSE),                                                                                                                                                                                                                                                          IF($A57&lt;SDR26G!$A$67,VLOOKUP($A57,SDR26G!$A$9:$N$66,12,FALSE),                                                                                                                                                                                                                                                       IF($A57&lt;Cements!$A$95,VLOOKUP($A57,Cements!$A$8:$Q$94,15,FALSE),
IF($A57&lt;ValveBox!$A$124,VLOOKUP($A57,ValveBox!$A$9:$O$123,13,FALSE),
IF($A57&lt;'ValveBox Components'!$A$142,VLOOKUP($A57,'ValveBox Components'!$A$9:$N$141,12,FALSE),
IF($A57&lt;Drainage!$A$69,VLOOKUP($A57,Drainage!$A$8:$M$68,11,FALSE),                                                                                                                                                                                                                                                           IF($A57&lt;Nipples!$A$82,VLOOKUP($A57,Nipples!$A$9:$Q$81,15,FALSE),
IF($A57&lt;Manifold!$A$33,VLOOKUP($A57,Manifold!$A$9:$M$32,11,FALSE),
IF($A57&lt;FlexibleRepairCouplings!$A$12,VLOOKUP($A57,FlexibleRepairCouplings!$A$9:$M$11,11,FALSE),
IF($A57&lt;DuraFix!$A$15,VLOOKUP($A57,DuraFix!$A$9:$M$14,11,FALSE),                                                                                                                                                                                                                                                            IF($A57&lt;'Compression Fittings'!$A$16,VLOOKUP($A57,'Compression Fittings'!$A$8:$M$15,11,FALSE),
IF($A57&lt;'Hose Fittings'!$A$30,VLOOKUP($A57,'Hose Fittings'!$A$8:$M$29,11,FALSE),
IF($A57&lt;'Swing Joints'!$A$495,VLOOKUP($A57,'Swing Joints'!$A$9:$M$494,11,FALSE),
IF($A57&lt;'Swing Joints Components'!$A$135,VLOOKUP($A57,'Swing Joints Components'!$A$9:$M$134,11,FALSE),
IF($A57&lt;Nonstandard!$A$42,VLOOKUP($A57,Nonstandard!$A$31:$J$41,10,FALSE),"")))))))))))))))))))))))))))),"")</f>
        <v/>
      </c>
      <c r="H57" s="618" t="str">
        <f>IFERROR(IF($A57&lt;'DWV PVC'!$A$317,VLOOKUP($A57,'DWV PVC'!$A$9:$M$316,7,FALSE),
IF($A57&lt;'DWV ABS'!$A$117,VLOOKUP($A57,'DWV ABS'!$A$8:$M$116,11,FALSE),                                                                                                                                                                                                                                                     IF($A57&lt;'PVC SCH40'!$A$425,VLOOKUP($A57,'PVC SCH40'!$A$8:$M$424,7,FALSE),
IF($A57&lt;'PVC SCH40 LD'!$A$22,VLOOKUP($A57,'PVC SCH40 LD'!$A$8:$M$21,7,FALSE),
IF($A57&lt;'Pool &amp; SPA Sweep Elbows'!$A$12,VLOOKUP($A57,'Pool &amp; SPA Sweep Elbows'!$A$8:$M$11,7,FALSE),
IF($A57&lt;'Pool &amp; SPA Pipe Extender'!$A$11,VLOOKUP($A57,'Pool &amp; SPA Pipe Extender'!$A$8:$M$10,7,FALSE),
IF($A57&lt;'PVC SCH80'!$A$250,VLOOKUP($A57,'PVC SCH80'!$A$8:$M$249,7,FALSE),
IF($A57&lt;'PVC SCH80 Flange'!$A$49,VLOOKUP($A57,'PVC SCH80 Flange'!$A$8:$M$48,7,FALSE),
IF($A57&lt;'PVC SCH80 LD Flange'!$A$17,VLOOKUP($A57,'PVC SCH80 LD Flange'!$A$8:$M$16,7,FALSE),
IF($A57&lt;CPVC!$A$105,VLOOKUP($A57,CPVC!$A$9:$M$104,7,FALSE),
IF($A57&lt;InsertFittings!$A$185,VLOOKUP($A57,InsertFittings!$A$9:$M$184,7,FALSE),
IF($A57&lt;Valves!$A$92,VLOOKUP($A57,Valves!$A$9:$Q$91,11,FALSE),
IF($A57&lt;SDR35SW!$A$133,VLOOKUP($A57,SDR35SW!$A$9:$M$132,7,FALSE),
IF($A57&lt;SDR35G!$A$151,VLOOKUP($A57,SDR35G!$A$9:$M$150,7,FALSE),                                                                                                                                                                                                                                                       IF($A57&lt;SDR26G!$A$67,VLOOKUP($A57,SDR26G!$A$9:$N$66,8,FALSE),                                                                                                                                                                                                                                                     IF($A57&lt;Cements!$A$95,VLOOKUP($A57,Cements!$A$8:$Q$94,11,FALSE),
IF($A57&lt;ValveBox!$A$124,VLOOKUP($A57,ValveBox!$A$9:$O$123,10,FALSE),
IF($A57&lt;'ValveBox Components'!$A$142,VLOOKUP($A57,'ValveBox Components'!$A$9:$N$141,9,FALSE),
IF($A57&lt;Drainage!$A$69,VLOOKUP($A57,Drainage!$A$8:$M$68,7,FALSE),                                                                                                                                                                                                                                                          IF($A57&lt;Nipples!$A$82,VLOOKUP($A57,Nipples!$A$9:$Q$81,11,FALSE),
IF($A57&lt;Manifold!$A$33,VLOOKUP($A57,Manifold!$A$9:$M$32,7,FALSE),
IF($A57&lt;FlexibleRepairCouplings!$A$12,VLOOKUP($A57,FlexibleRepairCouplings!$A$9:$M$11,7,FALSE),
IF($A57&lt;DuraFix!$A$15,VLOOKUP($A57,DuraFix!$A$9:$M$14,7,FALSE),                                                                                                                                                                                                                                                           IF($A57&lt;'Compression Fittings'!$A$16,VLOOKUP($A57,'Compression Fittings'!$A$8:$M$15,7,FALSE),
IF($A57&lt;'Hose Fittings'!$A$30,VLOOKUP($A57,'Hose Fittings'!$A$8:$M$29,7,FALSE),
IF($A57&lt;'Swing Joints'!$A$495,VLOOKUP($A57,'Swing Joints'!$A$9:$M$494,7,FALSE),
IF($A57&lt;'Swing Joints Components'!$A$135,VLOOKUP($A57,'Swing Joints Components'!$A$9:$M$134,7,FALSE),
IF($A57&lt;Nonstandard!$A$42,VLOOKUP($A57,Nonstandard!$A$31:$J$41,10,FALSE),"")))))))))))))))))))))))))))),"")</f>
        <v/>
      </c>
      <c r="I57" s="619"/>
      <c r="J57" s="281" t="str">
        <f t="shared" si="1"/>
        <v/>
      </c>
      <c r="K57" s="313" t="str">
        <f>IFERROR(IF($A57&lt;'DWV PVC'!$A$317,VLOOKUP($A57,'DWV PVC'!$A$9:$M$316,10,FALSE),
IF($A57&lt;'DWV ABS'!$A$117,VLOOKUP($A57,'DWV ABS'!$A$8:$M$116,10,FALSE),
IF($A57&lt;'PVC SCH40'!$A$425,VLOOKUP($A57,'PVC SCH40'!$A$8:$M$424,10,FALSE),
IF($A57&lt;'PVC SCH40 LD'!$A$22,VLOOKUP($A57,'PVC SCH40 LD'!$A$8:$M$21,10,FALSE),
IF($A57&lt;'Pool &amp; SPA Sweep Elbows'!$A$12,VLOOKUP($A57,'Pool &amp; SPA Sweep Elbows'!$A$8:$M$11,10,FALSE),
IF($A57&lt;'Pool &amp; SPA Pipe Extender'!$A$11,VLOOKUP($A57,'Pool &amp; SPA Pipe Extender'!$A$8:$M$10,10,FALSE),
IF($A57&lt;'PVC SCH80'!$A$250,VLOOKUP($A57,'PVC SCH80'!$A$8:$M$249,10,FALSE),
IF($A57&lt;'PVC SCH80 Flange'!$A$49,VLOOKUP($A57,'PVC SCH80 Flange'!$A$8:$M$48,10,FALSE),
IF($A57&lt;'PVC SCH80 LD Flange'!$A$17,VLOOKUP($A57,'PVC SCH80 LD Flange'!$A$8:$M$16,10,FALSE),
IF($A57&lt;CPVC!$A$105,VLOOKUP($A57,CPVC!$A$9:$M$104,10,FALSE),
IF($A57&lt;InsertFittings!$A$185,VLOOKUP($A57,InsertFittings!$A$9:$M$184,10,FALSE),
IF($A57&lt;Valves!$A$92,VLOOKUP($A57,Valves!$A$9:$Q$91,14,FALSE),
IF($A57&lt;SDR35SW!$A$133,VLOOKUP($A57,SDR35SW!$A$9:$M$132,10,FALSE),
IF($A57&lt;SDR35G!$A$151,VLOOKUP($A57,SDR35G!$A$9:$M$150,10,FALSE),
IF($A57&lt;SDR26G!$A$67,VLOOKUP($A57,SDR26G!$A$9:$N$66,11,FALSE),
IF($A57&lt;Cements!$A$95,VLOOKUP($A57,Cements!$A$8:$Q$94,14,FALSE),
IF($A57&lt;ValveBox!$A$124,VLOOKUP($A57,ValveBox!$A$9:$O$123,12,FALSE),
IF($A57&lt;'ValveBox Components'!$A$142,VLOOKUP($A57,'ValveBox Components'!$A$9:$N$141,11,FALSE),
IF($A57&lt;Drainage!$A$69,VLOOKUP($A57,Drainage!$A$8:$M$68,10,FALSE),
IF($A57&lt;Nipples!$A$82,VLOOKUP($A57,Nipples!$A$9:$Q$81,14,FALSE),
IF($A57&lt;Manifold!$A$33,VLOOKUP($A57,Manifold!$A$9:$M$32,10,FALSE),
IF($A57&lt;FlexibleRepairCouplings!$A$12,VLOOKUP($A57,FlexibleRepairCouplings!$A$9:$M$11,10,FALSE),
IF($A57&lt;DuraFix!$A$15,VLOOKUP($A57,DuraFix!$A$9:$M$14,10,FALSE),
IF($A57&lt;'Compression Fittings'!$A$16,VLOOKUP($A57,'Compression Fittings'!$A$8:$M$15,10,FALSE),
IF($A57&lt;'Hose Fittings'!$A$30,VLOOKUP($A57,'Hose Fittings'!$A$8:$M$29,10,FALSE),
IF($A57&lt;'Swing Joints'!$A$495,VLOOKUP($A57,'Swing Joints'!$A$9:$M$494,10,FALSE),
IF($A57&lt;'Swing Joints Components'!$A$135,VLOOKUP($A57,'Swing Joints Components'!$A$9:$M$134,10,FALSE),
IF($A57&lt;Nonstandard!$A$42,VLOOKUP($A57,Nonstandard!$A$31:$J$41,10,FALSE),"")))))))))))))))))))))))))))),"")</f>
        <v/>
      </c>
      <c r="L57" s="314" t="str">
        <f t="shared" si="0"/>
        <v>-</v>
      </c>
      <c r="M57" s="315"/>
    </row>
    <row r="58" spans="1:13" ht="15.6">
      <c r="A58" s="536">
        <v>26</v>
      </c>
      <c r="B58" s="536" t="str">
        <f>IFERROR(IF($A58&lt;'DWV PVC'!$A$317,VLOOKUP($A58,'DWV PVC'!$A$9:$M$316,4,FALSE),
IF($A58&lt;'DWV ABS'!$A$117,VLOOKUP($A58,'DWV ABS'!$A$8:$M$116,4,FALSE),
IF($A58&lt;'PVC SCH40'!$A$425,VLOOKUP($A58,'PVC SCH40'!$A$8:$M$424,4,FALSE),
IF($A58&lt;'PVC SCH40 LD'!$A$22,VLOOKUP($A58,'PVC SCH40 LD'!$A$8:$M$21,4,FALSE),
IF($A58&lt;'Pool &amp; SPA Sweep Elbows'!$A$12,VLOOKUP($A58,'Pool &amp; SPA Sweep Elbows'!$A$8:$M$11,4,FALSE),
IF($A58&lt;'Pool &amp; SPA Pipe Extender'!$A$11,VLOOKUP($A58,'Pool &amp; SPA Pipe Extender'!$A$8:$M$10,4,FALSE),
IF($A58&lt;'PVC SCH80'!$A$250,VLOOKUP($A58,'PVC SCH80'!$A$8:$M$249,4,FALSE),
IF($A58&lt;'PVC SCH80 Flange'!$A$49,VLOOKUP($A58,'PVC SCH80 Flange'!$A$8:$M$48,4,FALSE),
IF($A58&lt;'PVC SCH80 LD Flange'!$A$17,VLOOKUP($A58,'PVC SCH80 LD Flange'!$A$8:$M$16,4,FALSE),
IF($A58&lt;CPVC!$A$105,VLOOKUP($A58,CPVC!$A$9:$M$104,4,FALSE),
IF($A58&lt;InsertFittings!$A$185,VLOOKUP($A58,InsertFittings!$A$9:$M$184,4,FALSE),
IF($A58&lt;Valves!$A$92,VLOOKUP($A58,Valves!$A$9:$Q$91,4,FALSE),
IF($A58&lt;SDR35SW!$A$133,VLOOKUP($A58,SDR35SW!$A$9:$M$132,4,FALSE),
IF($A58&lt;SDR35G!$A$151,VLOOKUP($A58,SDR35G!$A$9:$M$150,4,FALSE),
IF($A58&lt;SDR26G!$A$67,VLOOKUP($A58,SDR26G!$A$9:$N$66,5,FALSE),
IF($A58&lt;Cements!$A$95,VLOOKUP($A58,Cements!$A$8:$Q$94,4,FALSE),
IF($A58&lt;ValveBox!$A$124,VLOOKUP($A58,ValveBox!$A$9:$O$123,4,FALSE),
IF($A58&lt;'ValveBox Components'!$A$142,VLOOKUP($A58,'ValveBox Components'!$A$9:$N$141,4,FALSE),
IF($A58&lt;Drainage!$A$69,VLOOKUP($A58,Drainage!$A$8:$M$68,4,FALSE),
IF($A58&lt;Nipples!$A$82,VLOOKUP($A58,Nipples!$A$9:$Q$81,4,FALSE),
IF($A58&lt;Manifold!$A$33,VLOOKUP($A58,Manifold!$A$9:$M$32,4,FALSE),
IF($A58&lt;FlexibleRepairCouplings!$A$12,VLOOKUP($A58,FlexibleRepairCouplings!$A$9:$M$11,4,FALSE),
IF($A58&lt;DuraFix!$A$15,VLOOKUP($A58,DuraFix!$A$9:$M$14,4,FALSE),
IF($A58&lt;'Compression Fittings'!$A$16,VLOOKUP($A58,'Compression Fittings'!$A$8:$M$15,4,FALSE),
IF($A58&lt;'Hose Fittings'!$A$30,VLOOKUP($A58,'Hose Fittings'!$A$8:$M$29,4,FALSE),
IF($A58&lt;'Swing Joints'!$A$495,VLOOKUP($A58,'Swing Joints'!$A$9:$M$494,4,FALSE),
IF($A58&lt;'Swing Joints Components'!$A$135,VLOOKUP($A58,'Swing Joints Components'!$A$9:$M$134,4,FALSE),
IF($A58&lt;Nonstandard!$A$42,VLOOKUP($A58,Nonstandard!$A$31:$J$41,5,FALSE),"")))))))))))))))))))))))))))),"")</f>
        <v/>
      </c>
      <c r="C58" s="536" t="str">
        <f>IFERROR(IF($A58&lt;'DWV PVC'!$A$317,VLOOKUP($A58,'DWV PVC'!$A$9:$M$316,5,FALSE),
IF($A58&lt;'DWV ABS'!$A$117,VLOOKUP($A58,'DWV ABS'!$A$8:$M$116,5,FALSE),
IF($A58&lt;'PVC SCH40'!$A$425,VLOOKUP($A58,'PVC SCH40'!$A$8:$M$424,5,FALSE),
IF($A58&lt;'PVC SCH40 LD'!$A$22,VLOOKUP($A58,'PVC SCH40 LD'!$A$8:$M$21,5,FALSE),
IF($A58&lt;'Pool &amp; SPA Sweep Elbows'!$A$12,VLOOKUP($A58,'Pool &amp; SPA Sweep Elbows'!$A$8:$M$11,5,FALSE),
IF($A58&lt;'Pool &amp; SPA Pipe Extender'!$A$11,VLOOKUP($A58,'Pool &amp; SPA Pipe Extender'!$A$8:$M$10,5,FALSE),
IF($A58&lt;'PVC SCH80'!$A$250,VLOOKUP($A58,'PVC SCH80'!$A$8:$M$249,5,FALSE),
IF($A58&lt;'PVC SCH80 Flange'!$A$49,VLOOKUP($A58,'PVC SCH80 Flange'!$A$8:$M$48,5,FALSE),
IF($A58&lt;'PVC SCH80 LD Flange'!$A$17,VLOOKUP($A58,'PVC SCH80 LD Flange'!$A$8:$M$16,5,FALSE),
IF($A58&lt;CPVC!$A$105,VLOOKUP($A58,CPVC!$A$9:$M$104,5,FALSE),
IF($A58&lt;InsertFittings!$A$185,VLOOKUP($A58,InsertFittings!$A$9:$M$184,5,FALSE),
IF($A58&lt;Valves!$A$92,VLOOKUP($A58,Valves!$A$9:$Q$91,5,FALSE),
IF($A58&lt;SDR35SW!$A$133,VLOOKUP($A58,SDR35SW!$A$9:$M$132,5,FALSE),
IF($A58&lt;SDR35G!$A$151,VLOOKUP($A58,SDR35G!$A$9:$M$150,5,FALSE),
IF($A58&lt;SDR26G!$A$67,VLOOKUP($A58,SDR26G!$A$9:$N$66,6,FALSE),
IF($A58&lt;Cements!$A$95,VLOOKUP($A58,Cements!$A$8:$Q$94,5,FALSE),
IF($A58&lt;ValveBox!$A$124,VLOOKUP($A58,ValveBox!$A$9:$O$123,5,FALSE),
IF($A58&lt;'ValveBox Components'!$A$142,VLOOKUP($A58,'ValveBox Components'!$A$9:$N$141,5,FALSE),
IF($A58&lt;Drainage!$A$69,VLOOKUP($A58,Drainage!$A$8:$M$68,5,FALSE),
IF($A58&lt;Nipples!$A$82,VLOOKUP($A58,Nipples!$A$9:$Q$81,5,FALSE),
IF($A58&lt;Manifold!$A$33,VLOOKUP($A58,Manifold!$A$9:$M$32,5,FALSE),
IF($A58&lt;FlexibleRepairCouplings!$A$12,VLOOKUP($A58,FlexibleRepairCouplings!$A$9:$M$11,5,FALSE),
IF($A58&lt;DuraFix!$A$15,VLOOKUP($A58,DuraFix!$A$9:$M$14,5,FALSE),
IF($A58&lt;'Compression Fittings'!$A$16,VLOOKUP($A58,'Compression Fittings'!$A$8:$M$15,5,FALSE),
IF($A58&lt;'Hose Fittings'!$A$30,VLOOKUP($A58,'Hose Fittings'!$A$8:$M$29,5,FALSE),
IF($A58&lt;'Swing Joints'!$A$495,VLOOKUP($A58,'Swing Joints'!$A$9:$M$494,5,FALSE),
IF($A58&lt;'Swing Joints Components'!$A$135,VLOOKUP($A58,'Swing Joints Components'!$A$9:$M$134,5,FALSE),
IF($A58&lt;Nonstandard!$A$42,VLOOKUP($A58,Nonstandard!$A$31:$J$41,6,FALSE),"")))))))))))))))))))))))))))),"")</f>
        <v/>
      </c>
      <c r="D58" s="537" t="str">
        <f>IFERROR(IF($A58&lt;'DWV PVC'!$A$317,VLOOKUP($A58,'DWV PVC'!$A$9:$M$316,6,FALSE),
IF($A58&lt;'DWV ABS'!$A$117,VLOOKUP($A58,'DWV ABS'!$A$8:$M$116,6,FALSE),
IF($A58&lt;'PVC SCH40'!$A$425,VLOOKUP($A58,'PVC SCH40'!$A$8:$M$424,6,FALSE),
IF($A58&lt;'PVC SCH40 LD'!$A$22,VLOOKUP($A58,'PVC SCH40 LD'!$A$8:$M$21,6,FALSE),
IF($A58&lt;'Pool &amp; SPA Sweep Elbows'!$A$12,VLOOKUP($A58,'Pool &amp; SPA Sweep Elbows'!$A$8:$M$11,6,FALSE),
IF($A58&lt;'Pool &amp; SPA Pipe Extender'!$A$11,VLOOKUP($A58,'Pool &amp; SPA Pipe Extender'!$A$8:$M$10,6,FALSE),
IF($A58&lt;'PVC SCH80'!$A$250,VLOOKUP($A58,'PVC SCH80'!$A$8:$M$249,6,FALSE),
IF($A58&lt;'PVC SCH80 Flange'!$A$49,VLOOKUP($A58,'PVC SCH80 Flange'!$A$8:$M$48,6,FALSE),
IF($A58&lt;'PVC SCH80 LD Flange'!$A$17,VLOOKUP($A58,'PVC SCH80 LD Flange'!$A$8:$M$16,6,FALSE),
IF($A58&lt;CPVC!$A$105,VLOOKUP($A58,CPVC!$A$9:$M$104,6,FALSE),
IF($A58&lt;InsertFittings!$A$185,VLOOKUP($A58,InsertFittings!$A$9:$M$184,6,FALSE),
IF($A58&lt;Valves!$A$92,VLOOKUP($A58,Valves!$A$9:$Q$91,6,FALSE),
IF($A58&lt;SDR35SW!$A$133,VLOOKUP($A58,SDR35SW!$A$9:$M$132,6,FALSE),
IF($A58&lt;SDR35G!$A$151,VLOOKUP($A58,SDR35G!$A$9:$M$150,6,FALSE),
IF($A58&lt;SDR26G!$A$67,VLOOKUP($A58,SDR26G!$A$9:$N$66,7,FALSE),
IF($A58&lt;Cements!$A$95,VLOOKUP($A58,Cements!$A$8:$Q$94,6,FALSE),
IF($A58&lt;ValveBox!$A$124,VLOOKUP($A58,ValveBox!$A$9:$O$123,6,FALSE),
IF($A58&lt;'ValveBox Components'!$A$142,VLOOKUP($A58,'ValveBox Components'!$A$9:$N$141,6,FALSE),
IF($A58&lt;Drainage!$A$69,VLOOKUP($A58,Drainage!$A$8:$M$68,6,FALSE),
IF($A58&lt;Nipples!$A$82,VLOOKUP($A58,Nipples!$A$9:$Q$81,6,FALSE),
IF($A58&lt;Manifold!$A$33,VLOOKUP($A58,Manifold!$A$9:$M$32,6,FALSE),
IF($A58&lt;FlexibleRepairCouplings!$A$12,VLOOKUP($A58,FlexibleRepairCouplings!$A$9:$M$11,6,FALSE),
IF($A58&lt;DuraFix!$A$15,VLOOKUP($A58,DuraFix!$A$9:$M$14,6,FALSE),
IF($A58&lt;'Compression Fittings'!$A$16,VLOOKUP($A58,'Compression Fittings'!$A$8:$M$15,6,FALSE),
IF($A58&lt;'Hose Fittings'!$A$30,VLOOKUP($A58,'Hose Fittings'!$A$8:$M$29,6,FALSE),
IF($A58&lt;'Swing Joints'!$A$495,VLOOKUP($A58,'Swing Joints'!$A$9:$M$494,6,FALSE),
IF($A58&lt;'Swing Joints Components'!$A$135,VLOOKUP($A58,'Swing Joints Components'!$A$9:$M$134,6,FALSE),
IF($A58&lt;Nonstandard!$A$42,VLOOKUP($A58,Nonstandard!$A$31:$J$41,7,FALSE),"")))))))))))))))))))))))))))),"")</f>
        <v/>
      </c>
      <c r="E58" s="538"/>
      <c r="F58" s="539" t="str">
        <f>IFERROR(IF($A58&lt;'DWV PVC'!$A$317,VLOOKUP($A58,'DWV PVC'!$A$9:$M$316,9,FALSE),
IF($A58&lt;'DWV ABS'!$A$117,VLOOKUP($A58,'DWV ABS'!$A$8:$M$116,9,FALSE),                                                                                                                                                                                                                                                     IF($A58&lt;'PVC SCH40'!$A$425,VLOOKUP($A58,'PVC SCH40'!$A$8:$M$424,9,FALSE),
IF($A58&lt;'PVC SCH40 LD'!$A$22,VLOOKUP($A58,'PVC SCH40 LD'!$A$8:$M$21,9,FALSE),
IF($A58&lt;'Pool &amp; SPA Sweep Elbows'!$A$12,VLOOKUP($A58,'Pool &amp; SPA Sweep Elbows'!$A$8:$M$11,9,FALSE),
IF($A58&lt;'Pool &amp; SPA Pipe Extender'!$A$11,VLOOKUP($A58,'Pool &amp; SPA Pipe Extender'!$A$8:$M$10,9,FALSE),
IF($A58&lt;'PVC SCH80'!$A$250,VLOOKUP($A58,'PVC SCH80'!$A$8:$M$249,9,FALSE),
IF($A58&lt;'PVC SCH80 Flange'!$A$49,VLOOKUP($A58,'PVC SCH80 Flange'!$A$8:$M$48,9,FALSE),
IF($A58&lt;'PVC SCH80 LD Flange'!$A$17,VLOOKUP($A58,'PVC SCH80 LD Flange'!$A$8:$M$16,9,FALSE),
IF($A58&lt;CPVC!$A$105,VLOOKUP($A58,CPVC!$A$9:$M$104,9,FALSE),
IF($A58&lt;InsertFittings!$A$185,VLOOKUP($A58,InsertFittings!$A$9:$M$184,9,FALSE),
IF($A58&lt;Valves!$A$92,VLOOKUP($A58,Valves!$A$9:$Q$91,13,FALSE),
IF($A58&lt;SDR35SW!$A$133,VLOOKUP($A58,SDR35SW!$A$9:$M$132,9,FALSE),
IF($A58&lt;SDR35G!$A$151,VLOOKUP($A58,SDR35G!$A$9:$M$150,9,FALSE),                                                                                                                                                                                                                                                          IF($A58&lt;SDR26G!$A$67,VLOOKUP($A58,SDR26G!$A$9:$N$66,10,FALSE),                                                                                                                                                                                                                                                       IF($A58&lt;Cements!$A$95,VLOOKUP($A58,Cements!$A$8:$Q$94,13,FALSE),
IF($A58&lt;ValveBox!$A$124,VLOOKUP($A58,ValveBox!$A$9:$O$123,11,FALSE),
IF($A58&lt;'ValveBox Components'!$A$142,VLOOKUP($A58,'ValveBox Components'!$A$9:$N$141,10,FALSE),
IF($A58&lt;Drainage!$A$69,VLOOKUP($A58,Drainage!$A$8:$M$68,9,FALSE),                                                                                                                                                                                                                                                              IF($A58&lt;Nipples!$A$82,VLOOKUP($A58,Nipples!$A$9:$Q$81,13,FALSE),
IF($A58&lt;Manifold!$A$33,VLOOKUP($A58,Manifold!$A$9:$M$32,9,FALSE),
IF($A58&lt;FlexibleRepairCouplings!$A$12,VLOOKUP($A58,FlexibleRepairCouplings!$A$9:$M$11,9,FALSE),
IF($A58&lt;DuraFix!$A$15,VLOOKUP($A58,DuraFix!$A$9:$M$14,9,FALSE),                                                                                                                                                                                                                                                          IF($A58&lt;'Compression Fittings'!$A$16,VLOOKUP($A58,'Compression Fittings'!$A$8:$M$15,9,FALSE),
IF($A58&lt;'Hose Fittings'!$A$30,VLOOKUP($A58,'Hose Fittings'!$A$8:$M$29,9,FALSE),
IF($A58&lt;'Swing Joints'!$A$495,VLOOKUP($A58,'Swing Joints'!$A$9:$M$494,9,FALSE),
IF($A58&lt;'Swing Joints Components'!$A$135,VLOOKUP($A58,'Swing Joints Components'!$A$9:$M$134,9,FALSE),
IF($A58&lt;Nonstandard!$A$42,VLOOKUP($A58,Nonstandard!$A$31:$J$41,8,FALSE),"")))))))))))))))))))))))))))),"")</f>
        <v/>
      </c>
      <c r="G58" s="540" t="str">
        <f>IFERROR(IF($A58&lt;'DWV PVC'!$A$317,VLOOKUP($A58,'DWV PVC'!$A$9:$M$316,11,FALSE),
IF($A58&lt;'DWV ABS'!$A$117,VLOOKUP($A58,'DWV ABS'!$A$8:$M$116,11,FALSE),                                                                                                                                                                                                                                                     IF($A58&lt;'PVC SCH40'!$A$425,VLOOKUP($A58,'PVC SCH40'!$A$8:$M$424,11,FALSE),
IF($A58&lt;'PVC SCH40 LD'!$A$22,VLOOKUP($A58,'PVC SCH40 LD'!$A$8:$M$21,11,FALSE),
IF($A58&lt;'Pool &amp; SPA Sweep Elbows'!$A$12,VLOOKUP($A58,'Pool &amp; SPA Sweep Elbows'!$A$8:$M$11,11,FALSE),
IF($A58&lt;'Pool &amp; SPA Pipe Extender'!$A$11,VLOOKUP($A58,'Pool &amp; SPA Pipe Extender'!$A$8:$M$10,11,FALSE),
IF($A58&lt;'PVC SCH80'!$A$250,VLOOKUP($A58,'PVC SCH80'!$A$8:$M$249,11,FALSE),
IF($A58&lt;'PVC SCH80 Flange'!$A$49,VLOOKUP($A58,'PVC SCH80 Flange'!$A$8:$M$48,11,FALSE),
IF($A58&lt;'PVC SCH80 LD Flange'!$A$17,VLOOKUP($A58,'PVC SCH80 LD Flange'!$A$8:$M$16,11,FALSE),
IF($A58&lt;CPVC!$A$105,VLOOKUP($A58,CPVC!$A$9:$M$104,11,FALSE),
IF($A58&lt;InsertFittings!$A$185,VLOOKUP($A58,InsertFittings!$A$9:$M$184,11,FALSE),
IF($A58&lt;Valves!$A$92,VLOOKUP($A58,Valves!$A$9:$Q$91,15,FALSE),
IF($A58&lt;SDR35SW!$A$133,VLOOKUP($A58,SDR35SW!$A$9:$M$132,11,FALSE),
IF($A58&lt;SDR35G!$A$151,VLOOKUP($A58,SDR35G!$A$9:$M$150,11,FALSE),                                                                                                                                                                                                                                                          IF($A58&lt;SDR26G!$A$67,VLOOKUP($A58,SDR26G!$A$9:$N$66,12,FALSE),                                                                                                                                                                                                                                                       IF($A58&lt;Cements!$A$95,VLOOKUP($A58,Cements!$A$8:$Q$94,15,FALSE),
IF($A58&lt;ValveBox!$A$124,VLOOKUP($A58,ValveBox!$A$9:$O$123,13,FALSE),
IF($A58&lt;'ValveBox Components'!$A$142,VLOOKUP($A58,'ValveBox Components'!$A$9:$N$141,12,FALSE),
IF($A58&lt;Drainage!$A$69,VLOOKUP($A58,Drainage!$A$8:$M$68,11,FALSE),                                                                                                                                                                                                                                                           IF($A58&lt;Nipples!$A$82,VLOOKUP($A58,Nipples!$A$9:$Q$81,15,FALSE),
IF($A58&lt;Manifold!$A$33,VLOOKUP($A58,Manifold!$A$9:$M$32,11,FALSE),
IF($A58&lt;FlexibleRepairCouplings!$A$12,VLOOKUP($A58,FlexibleRepairCouplings!$A$9:$M$11,11,FALSE),
IF($A58&lt;DuraFix!$A$15,VLOOKUP($A58,DuraFix!$A$9:$M$14,11,FALSE),                                                                                                                                                                                                                                                            IF($A58&lt;'Compression Fittings'!$A$16,VLOOKUP($A58,'Compression Fittings'!$A$8:$M$15,11,FALSE),
IF($A58&lt;'Hose Fittings'!$A$30,VLOOKUP($A58,'Hose Fittings'!$A$8:$M$29,11,FALSE),
IF($A58&lt;'Swing Joints'!$A$495,VLOOKUP($A58,'Swing Joints'!$A$9:$M$494,11,FALSE),
IF($A58&lt;'Swing Joints Components'!$A$135,VLOOKUP($A58,'Swing Joints Components'!$A$9:$M$134,11,FALSE),
IF($A58&lt;Nonstandard!$A$42,VLOOKUP($A58,Nonstandard!$A$31:$J$41,10,FALSE),"")))))))))))))))))))))))))))),"")</f>
        <v/>
      </c>
      <c r="H58" s="620" t="str">
        <f>IFERROR(IF($A58&lt;'DWV PVC'!$A$317,VLOOKUP($A58,'DWV PVC'!$A$9:$M$316,7,FALSE),
IF($A58&lt;'DWV ABS'!$A$117,VLOOKUP($A58,'DWV ABS'!$A$8:$M$116,11,FALSE),                                                                                                                                                                                                                                                     IF($A58&lt;'PVC SCH40'!$A$425,VLOOKUP($A58,'PVC SCH40'!$A$8:$M$424,7,FALSE),
IF($A58&lt;'PVC SCH40 LD'!$A$22,VLOOKUP($A58,'PVC SCH40 LD'!$A$8:$M$21,7,FALSE),
IF($A58&lt;'Pool &amp; SPA Sweep Elbows'!$A$12,VLOOKUP($A58,'Pool &amp; SPA Sweep Elbows'!$A$8:$M$11,7,FALSE),
IF($A58&lt;'Pool &amp; SPA Pipe Extender'!$A$11,VLOOKUP($A58,'Pool &amp; SPA Pipe Extender'!$A$8:$M$10,7,FALSE),
IF($A58&lt;'PVC SCH80'!$A$250,VLOOKUP($A58,'PVC SCH80'!$A$8:$M$249,7,FALSE),
IF($A58&lt;'PVC SCH80 Flange'!$A$49,VLOOKUP($A58,'PVC SCH80 Flange'!$A$8:$M$48,7,FALSE),
IF($A58&lt;'PVC SCH80 LD Flange'!$A$17,VLOOKUP($A58,'PVC SCH80 LD Flange'!$A$8:$M$16,7,FALSE),
IF($A58&lt;CPVC!$A$105,VLOOKUP($A58,CPVC!$A$9:$M$104,7,FALSE),
IF($A58&lt;InsertFittings!$A$185,VLOOKUP($A58,InsertFittings!$A$9:$M$184,7,FALSE),
IF($A58&lt;Valves!$A$92,VLOOKUP($A58,Valves!$A$9:$Q$91,11,FALSE),
IF($A58&lt;SDR35SW!$A$133,VLOOKUP($A58,SDR35SW!$A$9:$M$132,7,FALSE),
IF($A58&lt;SDR35G!$A$151,VLOOKUP($A58,SDR35G!$A$9:$M$150,7,FALSE),                                                                                                                                                                                                                                                       IF($A58&lt;SDR26G!$A$67,VLOOKUP($A58,SDR26G!$A$9:$N$66,8,FALSE),                                                                                                                                                                                                                                                     IF($A58&lt;Cements!$A$95,VLOOKUP($A58,Cements!$A$8:$Q$94,11,FALSE),
IF($A58&lt;ValveBox!$A$124,VLOOKUP($A58,ValveBox!$A$9:$O$123,10,FALSE),
IF($A58&lt;'ValveBox Components'!$A$142,VLOOKUP($A58,'ValveBox Components'!$A$9:$N$141,9,FALSE),
IF($A58&lt;Drainage!$A$69,VLOOKUP($A58,Drainage!$A$8:$M$68,7,FALSE),                                                                                                                                                                                                                                                          IF($A58&lt;Nipples!$A$82,VLOOKUP($A58,Nipples!$A$9:$Q$81,11,FALSE),
IF($A58&lt;Manifold!$A$33,VLOOKUP($A58,Manifold!$A$9:$M$32,7,FALSE),
IF($A58&lt;FlexibleRepairCouplings!$A$12,VLOOKUP($A58,FlexibleRepairCouplings!$A$9:$M$11,7,FALSE),
IF($A58&lt;DuraFix!$A$15,VLOOKUP($A58,DuraFix!$A$9:$M$14,7,FALSE),                                                                                                                                                                                                                                                           IF($A58&lt;'Compression Fittings'!$A$16,VLOOKUP($A58,'Compression Fittings'!$A$8:$M$15,7,FALSE),
IF($A58&lt;'Hose Fittings'!$A$30,VLOOKUP($A58,'Hose Fittings'!$A$8:$M$29,7,FALSE),
IF($A58&lt;'Swing Joints'!$A$495,VLOOKUP($A58,'Swing Joints'!$A$9:$M$494,7,FALSE),
IF($A58&lt;'Swing Joints Components'!$A$135,VLOOKUP($A58,'Swing Joints Components'!$A$9:$M$134,7,FALSE),
IF($A58&lt;Nonstandard!$A$42,VLOOKUP($A58,Nonstandard!$A$31:$J$41,10,FALSE),"")))))))))))))))))))))))))))),"")</f>
        <v/>
      </c>
      <c r="I58" s="621"/>
      <c r="J58" s="541" t="str">
        <f t="shared" si="1"/>
        <v/>
      </c>
      <c r="K58" s="599" t="str">
        <f>IFERROR(IF($A58&lt;'DWV PVC'!$A$317,VLOOKUP($A58,'DWV PVC'!$A$9:$M$316,10,FALSE),
IF($A58&lt;'DWV ABS'!$A$117,VLOOKUP($A58,'DWV ABS'!$A$8:$M$116,10,FALSE),
IF($A58&lt;'PVC SCH40'!$A$425,VLOOKUP($A58,'PVC SCH40'!$A$8:$M$424,10,FALSE),
IF($A58&lt;'PVC SCH40 LD'!$A$22,VLOOKUP($A58,'PVC SCH40 LD'!$A$8:$M$21,10,FALSE),
IF($A58&lt;'Pool &amp; SPA Sweep Elbows'!$A$12,VLOOKUP($A58,'Pool &amp; SPA Sweep Elbows'!$A$8:$M$11,10,FALSE),
IF($A58&lt;'Pool &amp; SPA Pipe Extender'!$A$11,VLOOKUP($A58,'Pool &amp; SPA Pipe Extender'!$A$8:$M$10,10,FALSE),
IF($A58&lt;'PVC SCH80'!$A$250,VLOOKUP($A58,'PVC SCH80'!$A$8:$M$249,10,FALSE),
IF($A58&lt;'PVC SCH80 Flange'!$A$49,VLOOKUP($A58,'PVC SCH80 Flange'!$A$8:$M$48,10,FALSE),
IF($A58&lt;'PVC SCH80 LD Flange'!$A$17,VLOOKUP($A58,'PVC SCH80 LD Flange'!$A$8:$M$16,10,FALSE),
IF($A58&lt;CPVC!$A$105,VLOOKUP($A58,CPVC!$A$9:$M$104,10,FALSE),
IF($A58&lt;InsertFittings!$A$185,VLOOKUP($A58,InsertFittings!$A$9:$M$184,10,FALSE),
IF($A58&lt;Valves!$A$92,VLOOKUP($A58,Valves!$A$9:$Q$91,14,FALSE),
IF($A58&lt;SDR35SW!$A$133,VLOOKUP($A58,SDR35SW!$A$9:$M$132,10,FALSE),
IF($A58&lt;SDR35G!$A$151,VLOOKUP($A58,SDR35G!$A$9:$M$150,10,FALSE),
IF($A58&lt;SDR26G!$A$67,VLOOKUP($A58,SDR26G!$A$9:$N$66,11,FALSE),
IF($A58&lt;Cements!$A$95,VLOOKUP($A58,Cements!$A$8:$Q$94,14,FALSE),
IF($A58&lt;ValveBox!$A$124,VLOOKUP($A58,ValveBox!$A$9:$O$123,12,FALSE),
IF($A58&lt;'ValveBox Components'!$A$142,VLOOKUP($A58,'ValveBox Components'!$A$9:$N$141,11,FALSE),
IF($A58&lt;Drainage!$A$69,VLOOKUP($A58,Drainage!$A$8:$M$68,10,FALSE),
IF($A58&lt;Nipples!$A$82,VLOOKUP($A58,Nipples!$A$9:$Q$81,14,FALSE),
IF($A58&lt;Manifold!$A$33,VLOOKUP($A58,Manifold!$A$9:$M$32,10,FALSE),
IF($A58&lt;FlexibleRepairCouplings!$A$12,VLOOKUP($A58,FlexibleRepairCouplings!$A$9:$M$11,10,FALSE),
IF($A58&lt;DuraFix!$A$15,VLOOKUP($A58,DuraFix!$A$9:$M$14,10,FALSE),
IF($A58&lt;'Compression Fittings'!$A$16,VLOOKUP($A58,'Compression Fittings'!$A$8:$M$15,10,FALSE),
IF($A58&lt;'Hose Fittings'!$A$30,VLOOKUP($A58,'Hose Fittings'!$A$8:$M$29,10,FALSE),
IF($A58&lt;'Swing Joints'!$A$495,VLOOKUP($A58,'Swing Joints'!$A$9:$M$494,10,FALSE),
IF($A58&lt;'Swing Joints Components'!$A$135,VLOOKUP($A58,'Swing Joints Components'!$A$9:$M$134,10,FALSE),
IF($A58&lt;Nonstandard!$A$42,VLOOKUP($A58,Nonstandard!$A$31:$J$41,10,FALSE),"")))))))))))))))))))))))))))),"")</f>
        <v/>
      </c>
      <c r="L58" s="539" t="str">
        <f t="shared" si="0"/>
        <v>-</v>
      </c>
      <c r="M58" s="542"/>
    </row>
    <row r="59" spans="1:13" ht="15.6">
      <c r="A59" s="312">
        <v>27</v>
      </c>
      <c r="B59" s="312" t="str">
        <f>IFERROR(IF($A59&lt;'DWV PVC'!$A$317,VLOOKUP($A59,'DWV PVC'!$A$9:$M$316,4,FALSE),
IF($A59&lt;'DWV ABS'!$A$117,VLOOKUP($A59,'DWV ABS'!$A$8:$M$116,4,FALSE),
IF($A59&lt;'PVC SCH40'!$A$425,VLOOKUP($A59,'PVC SCH40'!$A$8:$M$424,4,FALSE),
IF($A59&lt;'PVC SCH40 LD'!$A$22,VLOOKUP($A59,'PVC SCH40 LD'!$A$8:$M$21,4,FALSE),
IF($A59&lt;'Pool &amp; SPA Sweep Elbows'!$A$12,VLOOKUP($A59,'Pool &amp; SPA Sweep Elbows'!$A$8:$M$11,4,FALSE),
IF($A59&lt;'Pool &amp; SPA Pipe Extender'!$A$11,VLOOKUP($A59,'Pool &amp; SPA Pipe Extender'!$A$8:$M$10,4,FALSE),
IF($A59&lt;'PVC SCH80'!$A$250,VLOOKUP($A59,'PVC SCH80'!$A$8:$M$249,4,FALSE),
IF($A59&lt;'PVC SCH80 Flange'!$A$49,VLOOKUP($A59,'PVC SCH80 Flange'!$A$8:$M$48,4,FALSE),
IF($A59&lt;'PVC SCH80 LD Flange'!$A$17,VLOOKUP($A59,'PVC SCH80 LD Flange'!$A$8:$M$16,4,FALSE),
IF($A59&lt;CPVC!$A$105,VLOOKUP($A59,CPVC!$A$9:$M$104,4,FALSE),
IF($A59&lt;InsertFittings!$A$185,VLOOKUP($A59,InsertFittings!$A$9:$M$184,4,FALSE),
IF($A59&lt;Valves!$A$92,VLOOKUP($A59,Valves!$A$9:$Q$91,4,FALSE),
IF($A59&lt;SDR35SW!$A$133,VLOOKUP($A59,SDR35SW!$A$9:$M$132,4,FALSE),
IF($A59&lt;SDR35G!$A$151,VLOOKUP($A59,SDR35G!$A$9:$M$150,4,FALSE),
IF($A59&lt;SDR26G!$A$67,VLOOKUP($A59,SDR26G!$A$9:$N$66,5,FALSE),
IF($A59&lt;Cements!$A$95,VLOOKUP($A59,Cements!$A$8:$Q$94,4,FALSE),
IF($A59&lt;ValveBox!$A$124,VLOOKUP($A59,ValveBox!$A$9:$O$123,4,FALSE),
IF($A59&lt;'ValveBox Components'!$A$142,VLOOKUP($A59,'ValveBox Components'!$A$9:$N$141,4,FALSE),
IF($A59&lt;Drainage!$A$69,VLOOKUP($A59,Drainage!$A$8:$M$68,4,FALSE),
IF($A59&lt;Nipples!$A$82,VLOOKUP($A59,Nipples!$A$9:$Q$81,4,FALSE),
IF($A59&lt;Manifold!$A$33,VLOOKUP($A59,Manifold!$A$9:$M$32,4,FALSE),
IF($A59&lt;FlexibleRepairCouplings!$A$12,VLOOKUP($A59,FlexibleRepairCouplings!$A$9:$M$11,4,FALSE),
IF($A59&lt;DuraFix!$A$15,VLOOKUP($A59,DuraFix!$A$9:$M$14,4,FALSE),
IF($A59&lt;'Compression Fittings'!$A$16,VLOOKUP($A59,'Compression Fittings'!$A$8:$M$15,4,FALSE),
IF($A59&lt;'Hose Fittings'!$A$30,VLOOKUP($A59,'Hose Fittings'!$A$8:$M$29,4,FALSE),
IF($A59&lt;'Swing Joints'!$A$495,VLOOKUP($A59,'Swing Joints'!$A$9:$M$494,4,FALSE),
IF($A59&lt;'Swing Joints Components'!$A$135,VLOOKUP($A59,'Swing Joints Components'!$A$9:$M$134,4,FALSE),
IF($A59&lt;Nonstandard!$A$42,VLOOKUP($A59,Nonstandard!$A$31:$J$41,5,FALSE),"")))))))))))))))))))))))))))),"")</f>
        <v/>
      </c>
      <c r="C59" s="312" t="str">
        <f>IFERROR(IF($A59&lt;'DWV PVC'!$A$317,VLOOKUP($A59,'DWV PVC'!$A$9:$M$316,5,FALSE),
IF($A59&lt;'DWV ABS'!$A$117,VLOOKUP($A59,'DWV ABS'!$A$8:$M$116,5,FALSE),
IF($A59&lt;'PVC SCH40'!$A$425,VLOOKUP($A59,'PVC SCH40'!$A$8:$M$424,5,FALSE),
IF($A59&lt;'PVC SCH40 LD'!$A$22,VLOOKUP($A59,'PVC SCH40 LD'!$A$8:$M$21,5,FALSE),
IF($A59&lt;'Pool &amp; SPA Sweep Elbows'!$A$12,VLOOKUP($A59,'Pool &amp; SPA Sweep Elbows'!$A$8:$M$11,5,FALSE),
IF($A59&lt;'Pool &amp; SPA Pipe Extender'!$A$11,VLOOKUP($A59,'Pool &amp; SPA Pipe Extender'!$A$8:$M$10,5,FALSE),
IF($A59&lt;'PVC SCH80'!$A$250,VLOOKUP($A59,'PVC SCH80'!$A$8:$M$249,5,FALSE),
IF($A59&lt;'PVC SCH80 Flange'!$A$49,VLOOKUP($A59,'PVC SCH80 Flange'!$A$8:$M$48,5,FALSE),
IF($A59&lt;'PVC SCH80 LD Flange'!$A$17,VLOOKUP($A59,'PVC SCH80 LD Flange'!$A$8:$M$16,5,FALSE),
IF($A59&lt;CPVC!$A$105,VLOOKUP($A59,CPVC!$A$9:$M$104,5,FALSE),
IF($A59&lt;InsertFittings!$A$185,VLOOKUP($A59,InsertFittings!$A$9:$M$184,5,FALSE),
IF($A59&lt;Valves!$A$92,VLOOKUP($A59,Valves!$A$9:$Q$91,5,FALSE),
IF($A59&lt;SDR35SW!$A$133,VLOOKUP($A59,SDR35SW!$A$9:$M$132,5,FALSE),
IF($A59&lt;SDR35G!$A$151,VLOOKUP($A59,SDR35G!$A$9:$M$150,5,FALSE),
IF($A59&lt;SDR26G!$A$67,VLOOKUP($A59,SDR26G!$A$9:$N$66,6,FALSE),
IF($A59&lt;Cements!$A$95,VLOOKUP($A59,Cements!$A$8:$Q$94,5,FALSE),
IF($A59&lt;ValveBox!$A$124,VLOOKUP($A59,ValveBox!$A$9:$O$123,5,FALSE),
IF($A59&lt;'ValveBox Components'!$A$142,VLOOKUP($A59,'ValveBox Components'!$A$9:$N$141,5,FALSE),
IF($A59&lt;Drainage!$A$69,VLOOKUP($A59,Drainage!$A$8:$M$68,5,FALSE),
IF($A59&lt;Nipples!$A$82,VLOOKUP($A59,Nipples!$A$9:$Q$81,5,FALSE),
IF($A59&lt;Manifold!$A$33,VLOOKUP($A59,Manifold!$A$9:$M$32,5,FALSE),
IF($A59&lt;FlexibleRepairCouplings!$A$12,VLOOKUP($A59,FlexibleRepairCouplings!$A$9:$M$11,5,FALSE),
IF($A59&lt;DuraFix!$A$15,VLOOKUP($A59,DuraFix!$A$9:$M$14,5,FALSE),
IF($A59&lt;'Compression Fittings'!$A$16,VLOOKUP($A59,'Compression Fittings'!$A$8:$M$15,5,FALSE),
IF($A59&lt;'Hose Fittings'!$A$30,VLOOKUP($A59,'Hose Fittings'!$A$8:$M$29,5,FALSE),
IF($A59&lt;'Swing Joints'!$A$495,VLOOKUP($A59,'Swing Joints'!$A$9:$M$494,5,FALSE),
IF($A59&lt;'Swing Joints Components'!$A$135,VLOOKUP($A59,'Swing Joints Components'!$A$9:$M$134,5,FALSE),
IF($A59&lt;Nonstandard!$A$42,VLOOKUP($A59,Nonstandard!$A$31:$J$41,6,FALSE),"")))))))))))))))))))))))))))),"")</f>
        <v/>
      </c>
      <c r="D59" s="534" t="str">
        <f>IFERROR(IF($A59&lt;'DWV PVC'!$A$317,VLOOKUP($A59,'DWV PVC'!$A$9:$M$316,6,FALSE),
IF($A59&lt;'DWV ABS'!$A$117,VLOOKUP($A59,'DWV ABS'!$A$8:$M$116,6,FALSE),
IF($A59&lt;'PVC SCH40'!$A$425,VLOOKUP($A59,'PVC SCH40'!$A$8:$M$424,6,FALSE),
IF($A59&lt;'PVC SCH40 LD'!$A$22,VLOOKUP($A59,'PVC SCH40 LD'!$A$8:$M$21,6,FALSE),
IF($A59&lt;'Pool &amp; SPA Sweep Elbows'!$A$12,VLOOKUP($A59,'Pool &amp; SPA Sweep Elbows'!$A$8:$M$11,6,FALSE),
IF($A59&lt;'Pool &amp; SPA Pipe Extender'!$A$11,VLOOKUP($A59,'Pool &amp; SPA Pipe Extender'!$A$8:$M$10,6,FALSE),
IF($A59&lt;'PVC SCH80'!$A$250,VLOOKUP($A59,'PVC SCH80'!$A$8:$M$249,6,FALSE),
IF($A59&lt;'PVC SCH80 Flange'!$A$49,VLOOKUP($A59,'PVC SCH80 Flange'!$A$8:$M$48,6,FALSE),
IF($A59&lt;'PVC SCH80 LD Flange'!$A$17,VLOOKUP($A59,'PVC SCH80 LD Flange'!$A$8:$M$16,6,FALSE),
IF($A59&lt;CPVC!$A$105,VLOOKUP($A59,CPVC!$A$9:$M$104,6,FALSE),
IF($A59&lt;InsertFittings!$A$185,VLOOKUP($A59,InsertFittings!$A$9:$M$184,6,FALSE),
IF($A59&lt;Valves!$A$92,VLOOKUP($A59,Valves!$A$9:$Q$91,6,FALSE),
IF($A59&lt;SDR35SW!$A$133,VLOOKUP($A59,SDR35SW!$A$9:$M$132,6,FALSE),
IF($A59&lt;SDR35G!$A$151,VLOOKUP($A59,SDR35G!$A$9:$M$150,6,FALSE),
IF($A59&lt;SDR26G!$A$67,VLOOKUP($A59,SDR26G!$A$9:$N$66,7,FALSE),
IF($A59&lt;Cements!$A$95,VLOOKUP($A59,Cements!$A$8:$Q$94,6,FALSE),
IF($A59&lt;ValveBox!$A$124,VLOOKUP($A59,ValveBox!$A$9:$O$123,6,FALSE),
IF($A59&lt;'ValveBox Components'!$A$142,VLOOKUP($A59,'ValveBox Components'!$A$9:$N$141,6,FALSE),
IF($A59&lt;Drainage!$A$69,VLOOKUP($A59,Drainage!$A$8:$M$68,6,FALSE),
IF($A59&lt;Nipples!$A$82,VLOOKUP($A59,Nipples!$A$9:$Q$81,6,FALSE),
IF($A59&lt;Manifold!$A$33,VLOOKUP($A59,Manifold!$A$9:$M$32,6,FALSE),
IF($A59&lt;FlexibleRepairCouplings!$A$12,VLOOKUP($A59,FlexibleRepairCouplings!$A$9:$M$11,6,FALSE),
IF($A59&lt;DuraFix!$A$15,VLOOKUP($A59,DuraFix!$A$9:$M$14,6,FALSE),
IF($A59&lt;'Compression Fittings'!$A$16,VLOOKUP($A59,'Compression Fittings'!$A$8:$M$15,6,FALSE),
IF($A59&lt;'Hose Fittings'!$A$30,VLOOKUP($A59,'Hose Fittings'!$A$8:$M$29,6,FALSE),
IF($A59&lt;'Swing Joints'!$A$495,VLOOKUP($A59,'Swing Joints'!$A$9:$M$494,6,FALSE),
IF($A59&lt;'Swing Joints Components'!$A$135,VLOOKUP($A59,'Swing Joints Components'!$A$9:$M$134,6,FALSE),
IF($A59&lt;Nonstandard!$A$42,VLOOKUP($A59,Nonstandard!$A$31:$J$41,7,FALSE),"")))))))))))))))))))))))))))),"")</f>
        <v/>
      </c>
      <c r="E59" s="316"/>
      <c r="F59" s="314" t="str">
        <f>IFERROR(IF($A59&lt;'DWV PVC'!$A$317,VLOOKUP($A59,'DWV PVC'!$A$9:$M$316,9,FALSE),
IF($A59&lt;'DWV ABS'!$A$117,VLOOKUP($A59,'DWV ABS'!$A$8:$M$116,9,FALSE),                                                                                                                                                                                                                                                     IF($A59&lt;'PVC SCH40'!$A$425,VLOOKUP($A59,'PVC SCH40'!$A$8:$M$424,9,FALSE),
IF($A59&lt;'PVC SCH40 LD'!$A$22,VLOOKUP($A59,'PVC SCH40 LD'!$A$8:$M$21,9,FALSE),
IF($A59&lt;'Pool &amp; SPA Sweep Elbows'!$A$12,VLOOKUP($A59,'Pool &amp; SPA Sweep Elbows'!$A$8:$M$11,9,FALSE),
IF($A59&lt;'Pool &amp; SPA Pipe Extender'!$A$11,VLOOKUP($A59,'Pool &amp; SPA Pipe Extender'!$A$8:$M$10,9,FALSE),
IF($A59&lt;'PVC SCH80'!$A$250,VLOOKUP($A59,'PVC SCH80'!$A$8:$M$249,9,FALSE),
IF($A59&lt;'PVC SCH80 Flange'!$A$49,VLOOKUP($A59,'PVC SCH80 Flange'!$A$8:$M$48,9,FALSE),
IF($A59&lt;'PVC SCH80 LD Flange'!$A$17,VLOOKUP($A59,'PVC SCH80 LD Flange'!$A$8:$M$16,9,FALSE),
IF($A59&lt;CPVC!$A$105,VLOOKUP($A59,CPVC!$A$9:$M$104,9,FALSE),
IF($A59&lt;InsertFittings!$A$185,VLOOKUP($A59,InsertFittings!$A$9:$M$184,9,FALSE),
IF($A59&lt;Valves!$A$92,VLOOKUP($A59,Valves!$A$9:$Q$91,13,FALSE),
IF($A59&lt;SDR35SW!$A$133,VLOOKUP($A59,SDR35SW!$A$9:$M$132,9,FALSE),
IF($A59&lt;SDR35G!$A$151,VLOOKUP($A59,SDR35G!$A$9:$M$150,9,FALSE),                                                                                                                                                                                                                                                          IF($A59&lt;SDR26G!$A$67,VLOOKUP($A59,SDR26G!$A$9:$N$66,10,FALSE),                                                                                                                                                                                                                                                       IF($A59&lt;Cements!$A$95,VLOOKUP($A59,Cements!$A$8:$Q$94,13,FALSE),
IF($A59&lt;ValveBox!$A$124,VLOOKUP($A59,ValveBox!$A$9:$O$123,11,FALSE),
IF($A59&lt;'ValveBox Components'!$A$142,VLOOKUP($A59,'ValveBox Components'!$A$9:$N$141,10,FALSE),
IF($A59&lt;Drainage!$A$69,VLOOKUP($A59,Drainage!$A$8:$M$68,9,FALSE),                                                                                                                                                                                                                                                              IF($A59&lt;Nipples!$A$82,VLOOKUP($A59,Nipples!$A$9:$Q$81,13,FALSE),
IF($A59&lt;Manifold!$A$33,VLOOKUP($A59,Manifold!$A$9:$M$32,9,FALSE),
IF($A59&lt;FlexibleRepairCouplings!$A$12,VLOOKUP($A59,FlexibleRepairCouplings!$A$9:$M$11,9,FALSE),
IF($A59&lt;DuraFix!$A$15,VLOOKUP($A59,DuraFix!$A$9:$M$14,9,FALSE),                                                                                                                                                                                                                                                          IF($A59&lt;'Compression Fittings'!$A$16,VLOOKUP($A59,'Compression Fittings'!$A$8:$M$15,9,FALSE),
IF($A59&lt;'Hose Fittings'!$A$30,VLOOKUP($A59,'Hose Fittings'!$A$8:$M$29,9,FALSE),
IF($A59&lt;'Swing Joints'!$A$495,VLOOKUP($A59,'Swing Joints'!$A$9:$M$494,9,FALSE),
IF($A59&lt;'Swing Joints Components'!$A$135,VLOOKUP($A59,'Swing Joints Components'!$A$9:$M$134,9,FALSE),
IF($A59&lt;Nonstandard!$A$42,VLOOKUP($A59,Nonstandard!$A$31:$J$41,8,FALSE),"")))))))))))))))))))))))))))),"")</f>
        <v/>
      </c>
      <c r="G59" s="533" t="str">
        <f>IFERROR(IF($A59&lt;'DWV PVC'!$A$317,VLOOKUP($A59,'DWV PVC'!$A$9:$M$316,11,FALSE),
IF($A59&lt;'DWV ABS'!$A$117,VLOOKUP($A59,'DWV ABS'!$A$8:$M$116,11,FALSE),                                                                                                                                                                                                                                                     IF($A59&lt;'PVC SCH40'!$A$425,VLOOKUP($A59,'PVC SCH40'!$A$8:$M$424,11,FALSE),
IF($A59&lt;'PVC SCH40 LD'!$A$22,VLOOKUP($A59,'PVC SCH40 LD'!$A$8:$M$21,11,FALSE),
IF($A59&lt;'Pool &amp; SPA Sweep Elbows'!$A$12,VLOOKUP($A59,'Pool &amp; SPA Sweep Elbows'!$A$8:$M$11,11,FALSE),
IF($A59&lt;'Pool &amp; SPA Pipe Extender'!$A$11,VLOOKUP($A59,'Pool &amp; SPA Pipe Extender'!$A$8:$M$10,11,FALSE),
IF($A59&lt;'PVC SCH80'!$A$250,VLOOKUP($A59,'PVC SCH80'!$A$8:$M$249,11,FALSE),
IF($A59&lt;'PVC SCH80 Flange'!$A$49,VLOOKUP($A59,'PVC SCH80 Flange'!$A$8:$M$48,11,FALSE),
IF($A59&lt;'PVC SCH80 LD Flange'!$A$17,VLOOKUP($A59,'PVC SCH80 LD Flange'!$A$8:$M$16,11,FALSE),
IF($A59&lt;CPVC!$A$105,VLOOKUP($A59,CPVC!$A$9:$M$104,11,FALSE),
IF($A59&lt;InsertFittings!$A$185,VLOOKUP($A59,InsertFittings!$A$9:$M$184,11,FALSE),
IF($A59&lt;Valves!$A$92,VLOOKUP($A59,Valves!$A$9:$Q$91,15,FALSE),
IF($A59&lt;SDR35SW!$A$133,VLOOKUP($A59,SDR35SW!$A$9:$M$132,11,FALSE),
IF($A59&lt;SDR35G!$A$151,VLOOKUP($A59,SDR35G!$A$9:$M$150,11,FALSE),                                                                                                                                                                                                                                                          IF($A59&lt;SDR26G!$A$67,VLOOKUP($A59,SDR26G!$A$9:$N$66,12,FALSE),                                                                                                                                                                                                                                                       IF($A59&lt;Cements!$A$95,VLOOKUP($A59,Cements!$A$8:$Q$94,15,FALSE),
IF($A59&lt;ValveBox!$A$124,VLOOKUP($A59,ValveBox!$A$9:$O$123,13,FALSE),
IF($A59&lt;'ValveBox Components'!$A$142,VLOOKUP($A59,'ValveBox Components'!$A$9:$N$141,12,FALSE),
IF($A59&lt;Drainage!$A$69,VLOOKUP($A59,Drainage!$A$8:$M$68,11,FALSE),                                                                                                                                                                                                                                                           IF($A59&lt;Nipples!$A$82,VLOOKUP($A59,Nipples!$A$9:$Q$81,15,FALSE),
IF($A59&lt;Manifold!$A$33,VLOOKUP($A59,Manifold!$A$9:$M$32,11,FALSE),
IF($A59&lt;FlexibleRepairCouplings!$A$12,VLOOKUP($A59,FlexibleRepairCouplings!$A$9:$M$11,11,FALSE),
IF($A59&lt;DuraFix!$A$15,VLOOKUP($A59,DuraFix!$A$9:$M$14,11,FALSE),                                                                                                                                                                                                                                                            IF($A59&lt;'Compression Fittings'!$A$16,VLOOKUP($A59,'Compression Fittings'!$A$8:$M$15,11,FALSE),
IF($A59&lt;'Hose Fittings'!$A$30,VLOOKUP($A59,'Hose Fittings'!$A$8:$M$29,11,FALSE),
IF($A59&lt;'Swing Joints'!$A$495,VLOOKUP($A59,'Swing Joints'!$A$9:$M$494,11,FALSE),
IF($A59&lt;'Swing Joints Components'!$A$135,VLOOKUP($A59,'Swing Joints Components'!$A$9:$M$134,11,FALSE),
IF($A59&lt;Nonstandard!$A$42,VLOOKUP($A59,Nonstandard!$A$31:$J$41,10,FALSE),"")))))))))))))))))))))))))))),"")</f>
        <v/>
      </c>
      <c r="H59" s="618" t="str">
        <f>IFERROR(IF($A59&lt;'DWV PVC'!$A$317,VLOOKUP($A59,'DWV PVC'!$A$9:$M$316,7,FALSE),
IF($A59&lt;'DWV ABS'!$A$117,VLOOKUP($A59,'DWV ABS'!$A$8:$M$116,11,FALSE),                                                                                                                                                                                                                                                     IF($A59&lt;'PVC SCH40'!$A$425,VLOOKUP($A59,'PVC SCH40'!$A$8:$M$424,7,FALSE),
IF($A59&lt;'PVC SCH40 LD'!$A$22,VLOOKUP($A59,'PVC SCH40 LD'!$A$8:$M$21,7,FALSE),
IF($A59&lt;'Pool &amp; SPA Sweep Elbows'!$A$12,VLOOKUP($A59,'Pool &amp; SPA Sweep Elbows'!$A$8:$M$11,7,FALSE),
IF($A59&lt;'Pool &amp; SPA Pipe Extender'!$A$11,VLOOKUP($A59,'Pool &amp; SPA Pipe Extender'!$A$8:$M$10,7,FALSE),
IF($A59&lt;'PVC SCH80'!$A$250,VLOOKUP($A59,'PVC SCH80'!$A$8:$M$249,7,FALSE),
IF($A59&lt;'PVC SCH80 Flange'!$A$49,VLOOKUP($A59,'PVC SCH80 Flange'!$A$8:$M$48,7,FALSE),
IF($A59&lt;'PVC SCH80 LD Flange'!$A$17,VLOOKUP($A59,'PVC SCH80 LD Flange'!$A$8:$M$16,7,FALSE),
IF($A59&lt;CPVC!$A$105,VLOOKUP($A59,CPVC!$A$9:$M$104,7,FALSE),
IF($A59&lt;InsertFittings!$A$185,VLOOKUP($A59,InsertFittings!$A$9:$M$184,7,FALSE),
IF($A59&lt;Valves!$A$92,VLOOKUP($A59,Valves!$A$9:$Q$91,11,FALSE),
IF($A59&lt;SDR35SW!$A$133,VLOOKUP($A59,SDR35SW!$A$9:$M$132,7,FALSE),
IF($A59&lt;SDR35G!$A$151,VLOOKUP($A59,SDR35G!$A$9:$M$150,7,FALSE),                                                                                                                                                                                                                                                       IF($A59&lt;SDR26G!$A$67,VLOOKUP($A59,SDR26G!$A$9:$N$66,8,FALSE),                                                                                                                                                                                                                                                     IF($A59&lt;Cements!$A$95,VLOOKUP($A59,Cements!$A$8:$Q$94,11,FALSE),
IF($A59&lt;ValveBox!$A$124,VLOOKUP($A59,ValveBox!$A$9:$O$123,10,FALSE),
IF($A59&lt;'ValveBox Components'!$A$142,VLOOKUP($A59,'ValveBox Components'!$A$9:$N$141,9,FALSE),
IF($A59&lt;Drainage!$A$69,VLOOKUP($A59,Drainage!$A$8:$M$68,7,FALSE),                                                                                                                                                                                                                                                          IF($A59&lt;Nipples!$A$82,VLOOKUP($A59,Nipples!$A$9:$Q$81,11,FALSE),
IF($A59&lt;Manifold!$A$33,VLOOKUP($A59,Manifold!$A$9:$M$32,7,FALSE),
IF($A59&lt;FlexibleRepairCouplings!$A$12,VLOOKUP($A59,FlexibleRepairCouplings!$A$9:$M$11,7,FALSE),
IF($A59&lt;DuraFix!$A$15,VLOOKUP($A59,DuraFix!$A$9:$M$14,7,FALSE),                                                                                                                                                                                                                                                           IF($A59&lt;'Compression Fittings'!$A$16,VLOOKUP($A59,'Compression Fittings'!$A$8:$M$15,7,FALSE),
IF($A59&lt;'Hose Fittings'!$A$30,VLOOKUP($A59,'Hose Fittings'!$A$8:$M$29,7,FALSE),
IF($A59&lt;'Swing Joints'!$A$495,VLOOKUP($A59,'Swing Joints'!$A$9:$M$494,7,FALSE),
IF($A59&lt;'Swing Joints Components'!$A$135,VLOOKUP($A59,'Swing Joints Components'!$A$9:$M$134,7,FALSE),
IF($A59&lt;Nonstandard!$A$42,VLOOKUP($A59,Nonstandard!$A$31:$J$41,10,FALSE),"")))))))))))))))))))))))))))),"")</f>
        <v/>
      </c>
      <c r="I59" s="619"/>
      <c r="J59" s="281" t="str">
        <f t="shared" si="1"/>
        <v/>
      </c>
      <c r="K59" s="313" t="str">
        <f>IFERROR(IF($A59&lt;'DWV PVC'!$A$317,VLOOKUP($A59,'DWV PVC'!$A$9:$M$316,10,FALSE),
IF($A59&lt;'DWV ABS'!$A$117,VLOOKUP($A59,'DWV ABS'!$A$8:$M$116,10,FALSE),
IF($A59&lt;'PVC SCH40'!$A$425,VLOOKUP($A59,'PVC SCH40'!$A$8:$M$424,10,FALSE),
IF($A59&lt;'PVC SCH40 LD'!$A$22,VLOOKUP($A59,'PVC SCH40 LD'!$A$8:$M$21,10,FALSE),
IF($A59&lt;'Pool &amp; SPA Sweep Elbows'!$A$12,VLOOKUP($A59,'Pool &amp; SPA Sweep Elbows'!$A$8:$M$11,10,FALSE),
IF($A59&lt;'Pool &amp; SPA Pipe Extender'!$A$11,VLOOKUP($A59,'Pool &amp; SPA Pipe Extender'!$A$8:$M$10,10,FALSE),
IF($A59&lt;'PVC SCH80'!$A$250,VLOOKUP($A59,'PVC SCH80'!$A$8:$M$249,10,FALSE),
IF($A59&lt;'PVC SCH80 Flange'!$A$49,VLOOKUP($A59,'PVC SCH80 Flange'!$A$8:$M$48,10,FALSE),
IF($A59&lt;'PVC SCH80 LD Flange'!$A$17,VLOOKUP($A59,'PVC SCH80 LD Flange'!$A$8:$M$16,10,FALSE),
IF($A59&lt;CPVC!$A$105,VLOOKUP($A59,CPVC!$A$9:$M$104,10,FALSE),
IF($A59&lt;InsertFittings!$A$185,VLOOKUP($A59,InsertFittings!$A$9:$M$184,10,FALSE),
IF($A59&lt;Valves!$A$92,VLOOKUP($A59,Valves!$A$9:$Q$91,14,FALSE),
IF($A59&lt;SDR35SW!$A$133,VLOOKUP($A59,SDR35SW!$A$9:$M$132,10,FALSE),
IF($A59&lt;SDR35G!$A$151,VLOOKUP($A59,SDR35G!$A$9:$M$150,10,FALSE),
IF($A59&lt;SDR26G!$A$67,VLOOKUP($A59,SDR26G!$A$9:$N$66,11,FALSE),
IF($A59&lt;Cements!$A$95,VLOOKUP($A59,Cements!$A$8:$Q$94,14,FALSE),
IF($A59&lt;ValveBox!$A$124,VLOOKUP($A59,ValveBox!$A$9:$O$123,12,FALSE),
IF($A59&lt;'ValveBox Components'!$A$142,VLOOKUP($A59,'ValveBox Components'!$A$9:$N$141,11,FALSE),
IF($A59&lt;Drainage!$A$69,VLOOKUP($A59,Drainage!$A$8:$M$68,10,FALSE),
IF($A59&lt;Nipples!$A$82,VLOOKUP($A59,Nipples!$A$9:$Q$81,14,FALSE),
IF($A59&lt;Manifold!$A$33,VLOOKUP($A59,Manifold!$A$9:$M$32,10,FALSE),
IF($A59&lt;FlexibleRepairCouplings!$A$12,VLOOKUP($A59,FlexibleRepairCouplings!$A$9:$M$11,10,FALSE),
IF($A59&lt;DuraFix!$A$15,VLOOKUP($A59,DuraFix!$A$9:$M$14,10,FALSE),
IF($A59&lt;'Compression Fittings'!$A$16,VLOOKUP($A59,'Compression Fittings'!$A$8:$M$15,10,FALSE),
IF($A59&lt;'Hose Fittings'!$A$30,VLOOKUP($A59,'Hose Fittings'!$A$8:$M$29,10,FALSE),
IF($A59&lt;'Swing Joints'!$A$495,VLOOKUP($A59,'Swing Joints'!$A$9:$M$494,10,FALSE),
IF($A59&lt;'Swing Joints Components'!$A$135,VLOOKUP($A59,'Swing Joints Components'!$A$9:$M$134,10,FALSE),
IF($A59&lt;Nonstandard!$A$42,VLOOKUP($A59,Nonstandard!$A$31:$J$41,10,FALSE),"")))))))))))))))))))))))))))),"")</f>
        <v/>
      </c>
      <c r="L59" s="314" t="str">
        <f t="shared" si="0"/>
        <v>-</v>
      </c>
      <c r="M59" s="315"/>
    </row>
    <row r="60" spans="1:13" ht="15.6">
      <c r="A60" s="536">
        <v>28</v>
      </c>
      <c r="B60" s="536" t="str">
        <f>IFERROR(IF($A60&lt;'DWV PVC'!$A$317,VLOOKUP($A60,'DWV PVC'!$A$9:$M$316,4,FALSE),
IF($A60&lt;'DWV ABS'!$A$117,VLOOKUP($A60,'DWV ABS'!$A$8:$M$116,4,FALSE),
IF($A60&lt;'PVC SCH40'!$A$425,VLOOKUP($A60,'PVC SCH40'!$A$8:$M$424,4,FALSE),
IF($A60&lt;'PVC SCH40 LD'!$A$22,VLOOKUP($A60,'PVC SCH40 LD'!$A$8:$M$21,4,FALSE),
IF($A60&lt;'Pool &amp; SPA Sweep Elbows'!$A$12,VLOOKUP($A60,'Pool &amp; SPA Sweep Elbows'!$A$8:$M$11,4,FALSE),
IF($A60&lt;'Pool &amp; SPA Pipe Extender'!$A$11,VLOOKUP($A60,'Pool &amp; SPA Pipe Extender'!$A$8:$M$10,4,FALSE),
IF($A60&lt;'PVC SCH80'!$A$250,VLOOKUP($A60,'PVC SCH80'!$A$8:$M$249,4,FALSE),
IF($A60&lt;'PVC SCH80 Flange'!$A$49,VLOOKUP($A60,'PVC SCH80 Flange'!$A$8:$M$48,4,FALSE),
IF($A60&lt;'PVC SCH80 LD Flange'!$A$17,VLOOKUP($A60,'PVC SCH80 LD Flange'!$A$8:$M$16,4,FALSE),
IF($A60&lt;CPVC!$A$105,VLOOKUP($A60,CPVC!$A$9:$M$104,4,FALSE),
IF($A60&lt;InsertFittings!$A$185,VLOOKUP($A60,InsertFittings!$A$9:$M$184,4,FALSE),
IF($A60&lt;Valves!$A$92,VLOOKUP($A60,Valves!$A$9:$Q$91,4,FALSE),
IF($A60&lt;SDR35SW!$A$133,VLOOKUP($A60,SDR35SW!$A$9:$M$132,4,FALSE),
IF($A60&lt;SDR35G!$A$151,VLOOKUP($A60,SDR35G!$A$9:$M$150,4,FALSE),
IF($A60&lt;SDR26G!$A$67,VLOOKUP($A60,SDR26G!$A$9:$N$66,5,FALSE),
IF($A60&lt;Cements!$A$95,VLOOKUP($A60,Cements!$A$8:$Q$94,4,FALSE),
IF($A60&lt;ValveBox!$A$124,VLOOKUP($A60,ValveBox!$A$9:$O$123,4,FALSE),
IF($A60&lt;'ValveBox Components'!$A$142,VLOOKUP($A60,'ValveBox Components'!$A$9:$N$141,4,FALSE),
IF($A60&lt;Drainage!$A$69,VLOOKUP($A60,Drainage!$A$8:$M$68,4,FALSE),
IF($A60&lt;Nipples!$A$82,VLOOKUP($A60,Nipples!$A$9:$Q$81,4,FALSE),
IF($A60&lt;Manifold!$A$33,VLOOKUP($A60,Manifold!$A$9:$M$32,4,FALSE),
IF($A60&lt;FlexibleRepairCouplings!$A$12,VLOOKUP($A60,FlexibleRepairCouplings!$A$9:$M$11,4,FALSE),
IF($A60&lt;DuraFix!$A$15,VLOOKUP($A60,DuraFix!$A$9:$M$14,4,FALSE),
IF($A60&lt;'Compression Fittings'!$A$16,VLOOKUP($A60,'Compression Fittings'!$A$8:$M$15,4,FALSE),
IF($A60&lt;'Hose Fittings'!$A$30,VLOOKUP($A60,'Hose Fittings'!$A$8:$M$29,4,FALSE),
IF($A60&lt;'Swing Joints'!$A$495,VLOOKUP($A60,'Swing Joints'!$A$9:$M$494,4,FALSE),
IF($A60&lt;'Swing Joints Components'!$A$135,VLOOKUP($A60,'Swing Joints Components'!$A$9:$M$134,4,FALSE),
IF($A60&lt;Nonstandard!$A$42,VLOOKUP($A60,Nonstandard!$A$31:$J$41,5,FALSE),"")))))))))))))))))))))))))))),"")</f>
        <v/>
      </c>
      <c r="C60" s="536" t="str">
        <f>IFERROR(IF($A60&lt;'DWV PVC'!$A$317,VLOOKUP($A60,'DWV PVC'!$A$9:$M$316,5,FALSE),
IF($A60&lt;'DWV ABS'!$A$117,VLOOKUP($A60,'DWV ABS'!$A$8:$M$116,5,FALSE),
IF($A60&lt;'PVC SCH40'!$A$425,VLOOKUP($A60,'PVC SCH40'!$A$8:$M$424,5,FALSE),
IF($A60&lt;'PVC SCH40 LD'!$A$22,VLOOKUP($A60,'PVC SCH40 LD'!$A$8:$M$21,5,FALSE),
IF($A60&lt;'Pool &amp; SPA Sweep Elbows'!$A$12,VLOOKUP($A60,'Pool &amp; SPA Sweep Elbows'!$A$8:$M$11,5,FALSE),
IF($A60&lt;'Pool &amp; SPA Pipe Extender'!$A$11,VLOOKUP($A60,'Pool &amp; SPA Pipe Extender'!$A$8:$M$10,5,FALSE),
IF($A60&lt;'PVC SCH80'!$A$250,VLOOKUP($A60,'PVC SCH80'!$A$8:$M$249,5,FALSE),
IF($A60&lt;'PVC SCH80 Flange'!$A$49,VLOOKUP($A60,'PVC SCH80 Flange'!$A$8:$M$48,5,FALSE),
IF($A60&lt;'PVC SCH80 LD Flange'!$A$17,VLOOKUP($A60,'PVC SCH80 LD Flange'!$A$8:$M$16,5,FALSE),
IF($A60&lt;CPVC!$A$105,VLOOKUP($A60,CPVC!$A$9:$M$104,5,FALSE),
IF($A60&lt;InsertFittings!$A$185,VLOOKUP($A60,InsertFittings!$A$9:$M$184,5,FALSE),
IF($A60&lt;Valves!$A$92,VLOOKUP($A60,Valves!$A$9:$Q$91,5,FALSE),
IF($A60&lt;SDR35SW!$A$133,VLOOKUP($A60,SDR35SW!$A$9:$M$132,5,FALSE),
IF($A60&lt;SDR35G!$A$151,VLOOKUP($A60,SDR35G!$A$9:$M$150,5,FALSE),
IF($A60&lt;SDR26G!$A$67,VLOOKUP($A60,SDR26G!$A$9:$N$66,6,FALSE),
IF($A60&lt;Cements!$A$95,VLOOKUP($A60,Cements!$A$8:$Q$94,5,FALSE),
IF($A60&lt;ValveBox!$A$124,VLOOKUP($A60,ValveBox!$A$9:$O$123,5,FALSE),
IF($A60&lt;'ValveBox Components'!$A$142,VLOOKUP($A60,'ValveBox Components'!$A$9:$N$141,5,FALSE),
IF($A60&lt;Drainage!$A$69,VLOOKUP($A60,Drainage!$A$8:$M$68,5,FALSE),
IF($A60&lt;Nipples!$A$82,VLOOKUP($A60,Nipples!$A$9:$Q$81,5,FALSE),
IF($A60&lt;Manifold!$A$33,VLOOKUP($A60,Manifold!$A$9:$M$32,5,FALSE),
IF($A60&lt;FlexibleRepairCouplings!$A$12,VLOOKUP($A60,FlexibleRepairCouplings!$A$9:$M$11,5,FALSE),
IF($A60&lt;DuraFix!$A$15,VLOOKUP($A60,DuraFix!$A$9:$M$14,5,FALSE),
IF($A60&lt;'Compression Fittings'!$A$16,VLOOKUP($A60,'Compression Fittings'!$A$8:$M$15,5,FALSE),
IF($A60&lt;'Hose Fittings'!$A$30,VLOOKUP($A60,'Hose Fittings'!$A$8:$M$29,5,FALSE),
IF($A60&lt;'Swing Joints'!$A$495,VLOOKUP($A60,'Swing Joints'!$A$9:$M$494,5,FALSE),
IF($A60&lt;'Swing Joints Components'!$A$135,VLOOKUP($A60,'Swing Joints Components'!$A$9:$M$134,5,FALSE),
IF($A60&lt;Nonstandard!$A$42,VLOOKUP($A60,Nonstandard!$A$31:$J$41,6,FALSE),"")))))))))))))))))))))))))))),"")</f>
        <v/>
      </c>
      <c r="D60" s="537" t="str">
        <f>IFERROR(IF($A60&lt;'DWV PVC'!$A$317,VLOOKUP($A60,'DWV PVC'!$A$9:$M$316,6,FALSE),
IF($A60&lt;'DWV ABS'!$A$117,VLOOKUP($A60,'DWV ABS'!$A$8:$M$116,6,FALSE),
IF($A60&lt;'PVC SCH40'!$A$425,VLOOKUP($A60,'PVC SCH40'!$A$8:$M$424,6,FALSE),
IF($A60&lt;'PVC SCH40 LD'!$A$22,VLOOKUP($A60,'PVC SCH40 LD'!$A$8:$M$21,6,FALSE),
IF($A60&lt;'Pool &amp; SPA Sweep Elbows'!$A$12,VLOOKUP($A60,'Pool &amp; SPA Sweep Elbows'!$A$8:$M$11,6,FALSE),
IF($A60&lt;'Pool &amp; SPA Pipe Extender'!$A$11,VLOOKUP($A60,'Pool &amp; SPA Pipe Extender'!$A$8:$M$10,6,FALSE),
IF($A60&lt;'PVC SCH80'!$A$250,VLOOKUP($A60,'PVC SCH80'!$A$8:$M$249,6,FALSE),
IF($A60&lt;'PVC SCH80 Flange'!$A$49,VLOOKUP($A60,'PVC SCH80 Flange'!$A$8:$M$48,6,FALSE),
IF($A60&lt;'PVC SCH80 LD Flange'!$A$17,VLOOKUP($A60,'PVC SCH80 LD Flange'!$A$8:$M$16,6,FALSE),
IF($A60&lt;CPVC!$A$105,VLOOKUP($A60,CPVC!$A$9:$M$104,6,FALSE),
IF($A60&lt;InsertFittings!$A$185,VLOOKUP($A60,InsertFittings!$A$9:$M$184,6,FALSE),
IF($A60&lt;Valves!$A$92,VLOOKUP($A60,Valves!$A$9:$Q$91,6,FALSE),
IF($A60&lt;SDR35SW!$A$133,VLOOKUP($A60,SDR35SW!$A$9:$M$132,6,FALSE),
IF($A60&lt;SDR35G!$A$151,VLOOKUP($A60,SDR35G!$A$9:$M$150,6,FALSE),
IF($A60&lt;SDR26G!$A$67,VLOOKUP($A60,SDR26G!$A$9:$N$66,7,FALSE),
IF($A60&lt;Cements!$A$95,VLOOKUP($A60,Cements!$A$8:$Q$94,6,FALSE),
IF($A60&lt;ValveBox!$A$124,VLOOKUP($A60,ValveBox!$A$9:$O$123,6,FALSE),
IF($A60&lt;'ValveBox Components'!$A$142,VLOOKUP($A60,'ValveBox Components'!$A$9:$N$141,6,FALSE),
IF($A60&lt;Drainage!$A$69,VLOOKUP($A60,Drainage!$A$8:$M$68,6,FALSE),
IF($A60&lt;Nipples!$A$82,VLOOKUP($A60,Nipples!$A$9:$Q$81,6,FALSE),
IF($A60&lt;Manifold!$A$33,VLOOKUP($A60,Manifold!$A$9:$M$32,6,FALSE),
IF($A60&lt;FlexibleRepairCouplings!$A$12,VLOOKUP($A60,FlexibleRepairCouplings!$A$9:$M$11,6,FALSE),
IF($A60&lt;DuraFix!$A$15,VLOOKUP($A60,DuraFix!$A$9:$M$14,6,FALSE),
IF($A60&lt;'Compression Fittings'!$A$16,VLOOKUP($A60,'Compression Fittings'!$A$8:$M$15,6,FALSE),
IF($A60&lt;'Hose Fittings'!$A$30,VLOOKUP($A60,'Hose Fittings'!$A$8:$M$29,6,FALSE),
IF($A60&lt;'Swing Joints'!$A$495,VLOOKUP($A60,'Swing Joints'!$A$9:$M$494,6,FALSE),
IF($A60&lt;'Swing Joints Components'!$A$135,VLOOKUP($A60,'Swing Joints Components'!$A$9:$M$134,6,FALSE),
IF($A60&lt;Nonstandard!$A$42,VLOOKUP($A60,Nonstandard!$A$31:$J$41,7,FALSE),"")))))))))))))))))))))))))))),"")</f>
        <v/>
      </c>
      <c r="E60" s="538"/>
      <c r="F60" s="539" t="str">
        <f>IFERROR(IF($A60&lt;'DWV PVC'!$A$317,VLOOKUP($A60,'DWV PVC'!$A$9:$M$316,9,FALSE),
IF($A60&lt;'DWV ABS'!$A$117,VLOOKUP($A60,'DWV ABS'!$A$8:$M$116,9,FALSE),                                                                                                                                                                                                                                                     IF($A60&lt;'PVC SCH40'!$A$425,VLOOKUP($A60,'PVC SCH40'!$A$8:$M$424,9,FALSE),
IF($A60&lt;'PVC SCH40 LD'!$A$22,VLOOKUP($A60,'PVC SCH40 LD'!$A$8:$M$21,9,FALSE),
IF($A60&lt;'Pool &amp; SPA Sweep Elbows'!$A$12,VLOOKUP($A60,'Pool &amp; SPA Sweep Elbows'!$A$8:$M$11,9,FALSE),
IF($A60&lt;'Pool &amp; SPA Pipe Extender'!$A$11,VLOOKUP($A60,'Pool &amp; SPA Pipe Extender'!$A$8:$M$10,9,FALSE),
IF($A60&lt;'PVC SCH80'!$A$250,VLOOKUP($A60,'PVC SCH80'!$A$8:$M$249,9,FALSE),
IF($A60&lt;'PVC SCH80 Flange'!$A$49,VLOOKUP($A60,'PVC SCH80 Flange'!$A$8:$M$48,9,FALSE),
IF($A60&lt;'PVC SCH80 LD Flange'!$A$17,VLOOKUP($A60,'PVC SCH80 LD Flange'!$A$8:$M$16,9,FALSE),
IF($A60&lt;CPVC!$A$105,VLOOKUP($A60,CPVC!$A$9:$M$104,9,FALSE),
IF($A60&lt;InsertFittings!$A$185,VLOOKUP($A60,InsertFittings!$A$9:$M$184,9,FALSE),
IF($A60&lt;Valves!$A$92,VLOOKUP($A60,Valves!$A$9:$Q$91,13,FALSE),
IF($A60&lt;SDR35SW!$A$133,VLOOKUP($A60,SDR35SW!$A$9:$M$132,9,FALSE),
IF($A60&lt;SDR35G!$A$151,VLOOKUP($A60,SDR35G!$A$9:$M$150,9,FALSE),                                                                                                                                                                                                                                                          IF($A60&lt;SDR26G!$A$67,VLOOKUP($A60,SDR26G!$A$9:$N$66,10,FALSE),                                                                                                                                                                                                                                                       IF($A60&lt;Cements!$A$95,VLOOKUP($A60,Cements!$A$8:$Q$94,13,FALSE),
IF($A60&lt;ValveBox!$A$124,VLOOKUP($A60,ValveBox!$A$9:$O$123,11,FALSE),
IF($A60&lt;'ValveBox Components'!$A$142,VLOOKUP($A60,'ValveBox Components'!$A$9:$N$141,10,FALSE),
IF($A60&lt;Drainage!$A$69,VLOOKUP($A60,Drainage!$A$8:$M$68,9,FALSE),                                                                                                                                                                                                                                                              IF($A60&lt;Nipples!$A$82,VLOOKUP($A60,Nipples!$A$9:$Q$81,13,FALSE),
IF($A60&lt;Manifold!$A$33,VLOOKUP($A60,Manifold!$A$9:$M$32,9,FALSE),
IF($A60&lt;FlexibleRepairCouplings!$A$12,VLOOKUP($A60,FlexibleRepairCouplings!$A$9:$M$11,9,FALSE),
IF($A60&lt;DuraFix!$A$15,VLOOKUP($A60,DuraFix!$A$9:$M$14,9,FALSE),                                                                                                                                                                                                                                                          IF($A60&lt;'Compression Fittings'!$A$16,VLOOKUP($A60,'Compression Fittings'!$A$8:$M$15,9,FALSE),
IF($A60&lt;'Hose Fittings'!$A$30,VLOOKUP($A60,'Hose Fittings'!$A$8:$M$29,9,FALSE),
IF($A60&lt;'Swing Joints'!$A$495,VLOOKUP($A60,'Swing Joints'!$A$9:$M$494,9,FALSE),
IF($A60&lt;'Swing Joints Components'!$A$135,VLOOKUP($A60,'Swing Joints Components'!$A$9:$M$134,9,FALSE),
IF($A60&lt;Nonstandard!$A$42,VLOOKUP($A60,Nonstandard!$A$31:$J$41,8,FALSE),"")))))))))))))))))))))))))))),"")</f>
        <v/>
      </c>
      <c r="G60" s="540" t="str">
        <f>IFERROR(IF($A60&lt;'DWV PVC'!$A$317,VLOOKUP($A60,'DWV PVC'!$A$9:$M$316,11,FALSE),
IF($A60&lt;'DWV ABS'!$A$117,VLOOKUP($A60,'DWV ABS'!$A$8:$M$116,11,FALSE),                                                                                                                                                                                                                                                     IF($A60&lt;'PVC SCH40'!$A$425,VLOOKUP($A60,'PVC SCH40'!$A$8:$M$424,11,FALSE),
IF($A60&lt;'PVC SCH40 LD'!$A$22,VLOOKUP($A60,'PVC SCH40 LD'!$A$8:$M$21,11,FALSE),
IF($A60&lt;'Pool &amp; SPA Sweep Elbows'!$A$12,VLOOKUP($A60,'Pool &amp; SPA Sweep Elbows'!$A$8:$M$11,11,FALSE),
IF($A60&lt;'Pool &amp; SPA Pipe Extender'!$A$11,VLOOKUP($A60,'Pool &amp; SPA Pipe Extender'!$A$8:$M$10,11,FALSE),
IF($A60&lt;'PVC SCH80'!$A$250,VLOOKUP($A60,'PVC SCH80'!$A$8:$M$249,11,FALSE),
IF($A60&lt;'PVC SCH80 Flange'!$A$49,VLOOKUP($A60,'PVC SCH80 Flange'!$A$8:$M$48,11,FALSE),
IF($A60&lt;'PVC SCH80 LD Flange'!$A$17,VLOOKUP($A60,'PVC SCH80 LD Flange'!$A$8:$M$16,11,FALSE),
IF($A60&lt;CPVC!$A$105,VLOOKUP($A60,CPVC!$A$9:$M$104,11,FALSE),
IF($A60&lt;InsertFittings!$A$185,VLOOKUP($A60,InsertFittings!$A$9:$M$184,11,FALSE),
IF($A60&lt;Valves!$A$92,VLOOKUP($A60,Valves!$A$9:$Q$91,15,FALSE),
IF($A60&lt;SDR35SW!$A$133,VLOOKUP($A60,SDR35SW!$A$9:$M$132,11,FALSE),
IF($A60&lt;SDR35G!$A$151,VLOOKUP($A60,SDR35G!$A$9:$M$150,11,FALSE),                                                                                                                                                                                                                                                          IF($A60&lt;SDR26G!$A$67,VLOOKUP($A60,SDR26G!$A$9:$N$66,12,FALSE),                                                                                                                                                                                                                                                       IF($A60&lt;Cements!$A$95,VLOOKUP($A60,Cements!$A$8:$Q$94,15,FALSE),
IF($A60&lt;ValveBox!$A$124,VLOOKUP($A60,ValveBox!$A$9:$O$123,13,FALSE),
IF($A60&lt;'ValveBox Components'!$A$142,VLOOKUP($A60,'ValveBox Components'!$A$9:$N$141,12,FALSE),
IF($A60&lt;Drainage!$A$69,VLOOKUP($A60,Drainage!$A$8:$M$68,11,FALSE),                                                                                                                                                                                                                                                           IF($A60&lt;Nipples!$A$82,VLOOKUP($A60,Nipples!$A$9:$Q$81,15,FALSE),
IF($A60&lt;Manifold!$A$33,VLOOKUP($A60,Manifold!$A$9:$M$32,11,FALSE),
IF($A60&lt;FlexibleRepairCouplings!$A$12,VLOOKUP($A60,FlexibleRepairCouplings!$A$9:$M$11,11,FALSE),
IF($A60&lt;DuraFix!$A$15,VLOOKUP($A60,DuraFix!$A$9:$M$14,11,FALSE),                                                                                                                                                                                                                                                            IF($A60&lt;'Compression Fittings'!$A$16,VLOOKUP($A60,'Compression Fittings'!$A$8:$M$15,11,FALSE),
IF($A60&lt;'Hose Fittings'!$A$30,VLOOKUP($A60,'Hose Fittings'!$A$8:$M$29,11,FALSE),
IF($A60&lt;'Swing Joints'!$A$495,VLOOKUP($A60,'Swing Joints'!$A$9:$M$494,11,FALSE),
IF($A60&lt;'Swing Joints Components'!$A$135,VLOOKUP($A60,'Swing Joints Components'!$A$9:$M$134,11,FALSE),
IF($A60&lt;Nonstandard!$A$42,VLOOKUP($A60,Nonstandard!$A$31:$J$41,10,FALSE),"")))))))))))))))))))))))))))),"")</f>
        <v/>
      </c>
      <c r="H60" s="620" t="str">
        <f>IFERROR(IF($A60&lt;'DWV PVC'!$A$317,VLOOKUP($A60,'DWV PVC'!$A$9:$M$316,7,FALSE),
IF($A60&lt;'DWV ABS'!$A$117,VLOOKUP($A60,'DWV ABS'!$A$8:$M$116,11,FALSE),                                                                                                                                                                                                                                                     IF($A60&lt;'PVC SCH40'!$A$425,VLOOKUP($A60,'PVC SCH40'!$A$8:$M$424,7,FALSE),
IF($A60&lt;'PVC SCH40 LD'!$A$22,VLOOKUP($A60,'PVC SCH40 LD'!$A$8:$M$21,7,FALSE),
IF($A60&lt;'Pool &amp; SPA Sweep Elbows'!$A$12,VLOOKUP($A60,'Pool &amp; SPA Sweep Elbows'!$A$8:$M$11,7,FALSE),
IF($A60&lt;'Pool &amp; SPA Pipe Extender'!$A$11,VLOOKUP($A60,'Pool &amp; SPA Pipe Extender'!$A$8:$M$10,7,FALSE),
IF($A60&lt;'PVC SCH80'!$A$250,VLOOKUP($A60,'PVC SCH80'!$A$8:$M$249,7,FALSE),
IF($A60&lt;'PVC SCH80 Flange'!$A$49,VLOOKUP($A60,'PVC SCH80 Flange'!$A$8:$M$48,7,FALSE),
IF($A60&lt;'PVC SCH80 LD Flange'!$A$17,VLOOKUP($A60,'PVC SCH80 LD Flange'!$A$8:$M$16,7,FALSE),
IF($A60&lt;CPVC!$A$105,VLOOKUP($A60,CPVC!$A$9:$M$104,7,FALSE),
IF($A60&lt;InsertFittings!$A$185,VLOOKUP($A60,InsertFittings!$A$9:$M$184,7,FALSE),
IF($A60&lt;Valves!$A$92,VLOOKUP($A60,Valves!$A$9:$Q$91,11,FALSE),
IF($A60&lt;SDR35SW!$A$133,VLOOKUP($A60,SDR35SW!$A$9:$M$132,7,FALSE),
IF($A60&lt;SDR35G!$A$151,VLOOKUP($A60,SDR35G!$A$9:$M$150,7,FALSE),                                                                                                                                                                                                                                                       IF($A60&lt;SDR26G!$A$67,VLOOKUP($A60,SDR26G!$A$9:$N$66,8,FALSE),                                                                                                                                                                                                                                                     IF($A60&lt;Cements!$A$95,VLOOKUP($A60,Cements!$A$8:$Q$94,11,FALSE),
IF($A60&lt;ValveBox!$A$124,VLOOKUP($A60,ValveBox!$A$9:$O$123,10,FALSE),
IF($A60&lt;'ValveBox Components'!$A$142,VLOOKUP($A60,'ValveBox Components'!$A$9:$N$141,9,FALSE),
IF($A60&lt;Drainage!$A$69,VLOOKUP($A60,Drainage!$A$8:$M$68,7,FALSE),                                                                                                                                                                                                                                                          IF($A60&lt;Nipples!$A$82,VLOOKUP($A60,Nipples!$A$9:$Q$81,11,FALSE),
IF($A60&lt;Manifold!$A$33,VLOOKUP($A60,Manifold!$A$9:$M$32,7,FALSE),
IF($A60&lt;FlexibleRepairCouplings!$A$12,VLOOKUP($A60,FlexibleRepairCouplings!$A$9:$M$11,7,FALSE),
IF($A60&lt;DuraFix!$A$15,VLOOKUP($A60,DuraFix!$A$9:$M$14,7,FALSE),                                                                                                                                                                                                                                                           IF($A60&lt;'Compression Fittings'!$A$16,VLOOKUP($A60,'Compression Fittings'!$A$8:$M$15,7,FALSE),
IF($A60&lt;'Hose Fittings'!$A$30,VLOOKUP($A60,'Hose Fittings'!$A$8:$M$29,7,FALSE),
IF($A60&lt;'Swing Joints'!$A$495,VLOOKUP($A60,'Swing Joints'!$A$9:$M$494,7,FALSE),
IF($A60&lt;'Swing Joints Components'!$A$135,VLOOKUP($A60,'Swing Joints Components'!$A$9:$M$134,7,FALSE),
IF($A60&lt;Nonstandard!$A$42,VLOOKUP($A60,Nonstandard!$A$31:$J$41,10,FALSE),"")))))))))))))))))))))))))))),"")</f>
        <v/>
      </c>
      <c r="I60" s="621"/>
      <c r="J60" s="541" t="str">
        <f t="shared" si="1"/>
        <v/>
      </c>
      <c r="K60" s="599" t="str">
        <f>IFERROR(IF($A60&lt;'DWV PVC'!$A$317,VLOOKUP($A60,'DWV PVC'!$A$9:$M$316,10,FALSE),
IF($A60&lt;'DWV ABS'!$A$117,VLOOKUP($A60,'DWV ABS'!$A$8:$M$116,10,FALSE),
IF($A60&lt;'PVC SCH40'!$A$425,VLOOKUP($A60,'PVC SCH40'!$A$8:$M$424,10,FALSE),
IF($A60&lt;'PVC SCH40 LD'!$A$22,VLOOKUP($A60,'PVC SCH40 LD'!$A$8:$M$21,10,FALSE),
IF($A60&lt;'Pool &amp; SPA Sweep Elbows'!$A$12,VLOOKUP($A60,'Pool &amp; SPA Sweep Elbows'!$A$8:$M$11,10,FALSE),
IF($A60&lt;'Pool &amp; SPA Pipe Extender'!$A$11,VLOOKUP($A60,'Pool &amp; SPA Pipe Extender'!$A$8:$M$10,10,FALSE),
IF($A60&lt;'PVC SCH80'!$A$250,VLOOKUP($A60,'PVC SCH80'!$A$8:$M$249,10,FALSE),
IF($A60&lt;'PVC SCH80 Flange'!$A$49,VLOOKUP($A60,'PVC SCH80 Flange'!$A$8:$M$48,10,FALSE),
IF($A60&lt;'PVC SCH80 LD Flange'!$A$17,VLOOKUP($A60,'PVC SCH80 LD Flange'!$A$8:$M$16,10,FALSE),
IF($A60&lt;CPVC!$A$105,VLOOKUP($A60,CPVC!$A$9:$M$104,10,FALSE),
IF($A60&lt;InsertFittings!$A$185,VLOOKUP($A60,InsertFittings!$A$9:$M$184,10,FALSE),
IF($A60&lt;Valves!$A$92,VLOOKUP($A60,Valves!$A$9:$Q$91,14,FALSE),
IF($A60&lt;SDR35SW!$A$133,VLOOKUP($A60,SDR35SW!$A$9:$M$132,10,FALSE),
IF($A60&lt;SDR35G!$A$151,VLOOKUP($A60,SDR35G!$A$9:$M$150,10,FALSE),
IF($A60&lt;SDR26G!$A$67,VLOOKUP($A60,SDR26G!$A$9:$N$66,11,FALSE),
IF($A60&lt;Cements!$A$95,VLOOKUP($A60,Cements!$A$8:$Q$94,14,FALSE),
IF($A60&lt;ValveBox!$A$124,VLOOKUP($A60,ValveBox!$A$9:$O$123,12,FALSE),
IF($A60&lt;'ValveBox Components'!$A$142,VLOOKUP($A60,'ValveBox Components'!$A$9:$N$141,11,FALSE),
IF($A60&lt;Drainage!$A$69,VLOOKUP($A60,Drainage!$A$8:$M$68,10,FALSE),
IF($A60&lt;Nipples!$A$82,VLOOKUP($A60,Nipples!$A$9:$Q$81,14,FALSE),
IF($A60&lt;Manifold!$A$33,VLOOKUP($A60,Manifold!$A$9:$M$32,10,FALSE),
IF($A60&lt;FlexibleRepairCouplings!$A$12,VLOOKUP($A60,FlexibleRepairCouplings!$A$9:$M$11,10,FALSE),
IF($A60&lt;DuraFix!$A$15,VLOOKUP($A60,DuraFix!$A$9:$M$14,10,FALSE),
IF($A60&lt;'Compression Fittings'!$A$16,VLOOKUP($A60,'Compression Fittings'!$A$8:$M$15,10,FALSE),
IF($A60&lt;'Hose Fittings'!$A$30,VLOOKUP($A60,'Hose Fittings'!$A$8:$M$29,10,FALSE),
IF($A60&lt;'Swing Joints'!$A$495,VLOOKUP($A60,'Swing Joints'!$A$9:$M$494,10,FALSE),
IF($A60&lt;'Swing Joints Components'!$A$135,VLOOKUP($A60,'Swing Joints Components'!$A$9:$M$134,10,FALSE),
IF($A60&lt;Nonstandard!$A$42,VLOOKUP($A60,Nonstandard!$A$31:$J$41,10,FALSE),"")))))))))))))))))))))))))))),"")</f>
        <v/>
      </c>
      <c r="L60" s="539" t="str">
        <f t="shared" si="0"/>
        <v>-</v>
      </c>
      <c r="M60" s="542"/>
    </row>
    <row r="61" spans="1:13" ht="15.6">
      <c r="A61" s="312">
        <v>29</v>
      </c>
      <c r="B61" s="312" t="str">
        <f>IFERROR(IF($A61&lt;'DWV PVC'!$A$317,VLOOKUP($A61,'DWV PVC'!$A$9:$M$316,4,FALSE),
IF($A61&lt;'DWV ABS'!$A$117,VLOOKUP($A61,'DWV ABS'!$A$8:$M$116,4,FALSE),
IF($A61&lt;'PVC SCH40'!$A$425,VLOOKUP($A61,'PVC SCH40'!$A$8:$M$424,4,FALSE),
IF($A61&lt;'PVC SCH40 LD'!$A$22,VLOOKUP($A61,'PVC SCH40 LD'!$A$8:$M$21,4,FALSE),
IF($A61&lt;'Pool &amp; SPA Sweep Elbows'!$A$12,VLOOKUP($A61,'Pool &amp; SPA Sweep Elbows'!$A$8:$M$11,4,FALSE),
IF($A61&lt;'Pool &amp; SPA Pipe Extender'!$A$11,VLOOKUP($A61,'Pool &amp; SPA Pipe Extender'!$A$8:$M$10,4,FALSE),
IF($A61&lt;'PVC SCH80'!$A$250,VLOOKUP($A61,'PVC SCH80'!$A$8:$M$249,4,FALSE),
IF($A61&lt;'PVC SCH80 Flange'!$A$49,VLOOKUP($A61,'PVC SCH80 Flange'!$A$8:$M$48,4,FALSE),
IF($A61&lt;'PVC SCH80 LD Flange'!$A$17,VLOOKUP($A61,'PVC SCH80 LD Flange'!$A$8:$M$16,4,FALSE),
IF($A61&lt;CPVC!$A$105,VLOOKUP($A61,CPVC!$A$9:$M$104,4,FALSE),
IF($A61&lt;InsertFittings!$A$185,VLOOKUP($A61,InsertFittings!$A$9:$M$184,4,FALSE),
IF($A61&lt;Valves!$A$92,VLOOKUP($A61,Valves!$A$9:$Q$91,4,FALSE),
IF($A61&lt;SDR35SW!$A$133,VLOOKUP($A61,SDR35SW!$A$9:$M$132,4,FALSE),
IF($A61&lt;SDR35G!$A$151,VLOOKUP($A61,SDR35G!$A$9:$M$150,4,FALSE),
IF($A61&lt;SDR26G!$A$67,VLOOKUP($A61,SDR26G!$A$9:$N$66,5,FALSE),
IF($A61&lt;Cements!$A$95,VLOOKUP($A61,Cements!$A$8:$Q$94,4,FALSE),
IF($A61&lt;ValveBox!$A$124,VLOOKUP($A61,ValveBox!$A$9:$O$123,4,FALSE),
IF($A61&lt;'ValveBox Components'!$A$142,VLOOKUP($A61,'ValveBox Components'!$A$9:$N$141,4,FALSE),
IF($A61&lt;Drainage!$A$69,VLOOKUP($A61,Drainage!$A$8:$M$68,4,FALSE),
IF($A61&lt;Nipples!$A$82,VLOOKUP($A61,Nipples!$A$9:$Q$81,4,FALSE),
IF($A61&lt;Manifold!$A$33,VLOOKUP($A61,Manifold!$A$9:$M$32,4,FALSE),
IF($A61&lt;FlexibleRepairCouplings!$A$12,VLOOKUP($A61,FlexibleRepairCouplings!$A$9:$M$11,4,FALSE),
IF($A61&lt;DuraFix!$A$15,VLOOKUP($A61,DuraFix!$A$9:$M$14,4,FALSE),
IF($A61&lt;'Compression Fittings'!$A$16,VLOOKUP($A61,'Compression Fittings'!$A$8:$M$15,4,FALSE),
IF($A61&lt;'Hose Fittings'!$A$30,VLOOKUP($A61,'Hose Fittings'!$A$8:$M$29,4,FALSE),
IF($A61&lt;'Swing Joints'!$A$495,VLOOKUP($A61,'Swing Joints'!$A$9:$M$494,4,FALSE),
IF($A61&lt;'Swing Joints Components'!$A$135,VLOOKUP($A61,'Swing Joints Components'!$A$9:$M$134,4,FALSE),
IF($A61&lt;Nonstandard!$A$42,VLOOKUP($A61,Nonstandard!$A$31:$J$41,5,FALSE),"")))))))))))))))))))))))))))),"")</f>
        <v/>
      </c>
      <c r="C61" s="312" t="str">
        <f>IFERROR(IF($A61&lt;'DWV PVC'!$A$317,VLOOKUP($A61,'DWV PVC'!$A$9:$M$316,5,FALSE),
IF($A61&lt;'DWV ABS'!$A$117,VLOOKUP($A61,'DWV ABS'!$A$8:$M$116,5,FALSE),
IF($A61&lt;'PVC SCH40'!$A$425,VLOOKUP($A61,'PVC SCH40'!$A$8:$M$424,5,FALSE),
IF($A61&lt;'PVC SCH40 LD'!$A$22,VLOOKUP($A61,'PVC SCH40 LD'!$A$8:$M$21,5,FALSE),
IF($A61&lt;'Pool &amp; SPA Sweep Elbows'!$A$12,VLOOKUP($A61,'Pool &amp; SPA Sweep Elbows'!$A$8:$M$11,5,FALSE),
IF($A61&lt;'Pool &amp; SPA Pipe Extender'!$A$11,VLOOKUP($A61,'Pool &amp; SPA Pipe Extender'!$A$8:$M$10,5,FALSE),
IF($A61&lt;'PVC SCH80'!$A$250,VLOOKUP($A61,'PVC SCH80'!$A$8:$M$249,5,FALSE),
IF($A61&lt;'PVC SCH80 Flange'!$A$49,VLOOKUP($A61,'PVC SCH80 Flange'!$A$8:$M$48,5,FALSE),
IF($A61&lt;'PVC SCH80 LD Flange'!$A$17,VLOOKUP($A61,'PVC SCH80 LD Flange'!$A$8:$M$16,5,FALSE),
IF($A61&lt;CPVC!$A$105,VLOOKUP($A61,CPVC!$A$9:$M$104,5,FALSE),
IF($A61&lt;InsertFittings!$A$185,VLOOKUP($A61,InsertFittings!$A$9:$M$184,5,FALSE),
IF($A61&lt;Valves!$A$92,VLOOKUP($A61,Valves!$A$9:$Q$91,5,FALSE),
IF($A61&lt;SDR35SW!$A$133,VLOOKUP($A61,SDR35SW!$A$9:$M$132,5,FALSE),
IF($A61&lt;SDR35G!$A$151,VLOOKUP($A61,SDR35G!$A$9:$M$150,5,FALSE),
IF($A61&lt;SDR26G!$A$67,VLOOKUP($A61,SDR26G!$A$9:$N$66,6,FALSE),
IF($A61&lt;Cements!$A$95,VLOOKUP($A61,Cements!$A$8:$Q$94,5,FALSE),
IF($A61&lt;ValveBox!$A$124,VLOOKUP($A61,ValveBox!$A$9:$O$123,5,FALSE),
IF($A61&lt;'ValveBox Components'!$A$142,VLOOKUP($A61,'ValveBox Components'!$A$9:$N$141,5,FALSE),
IF($A61&lt;Drainage!$A$69,VLOOKUP($A61,Drainage!$A$8:$M$68,5,FALSE),
IF($A61&lt;Nipples!$A$82,VLOOKUP($A61,Nipples!$A$9:$Q$81,5,FALSE),
IF($A61&lt;Manifold!$A$33,VLOOKUP($A61,Manifold!$A$9:$M$32,5,FALSE),
IF($A61&lt;FlexibleRepairCouplings!$A$12,VLOOKUP($A61,FlexibleRepairCouplings!$A$9:$M$11,5,FALSE),
IF($A61&lt;DuraFix!$A$15,VLOOKUP($A61,DuraFix!$A$9:$M$14,5,FALSE),
IF($A61&lt;'Compression Fittings'!$A$16,VLOOKUP($A61,'Compression Fittings'!$A$8:$M$15,5,FALSE),
IF($A61&lt;'Hose Fittings'!$A$30,VLOOKUP($A61,'Hose Fittings'!$A$8:$M$29,5,FALSE),
IF($A61&lt;'Swing Joints'!$A$495,VLOOKUP($A61,'Swing Joints'!$A$9:$M$494,5,FALSE),
IF($A61&lt;'Swing Joints Components'!$A$135,VLOOKUP($A61,'Swing Joints Components'!$A$9:$M$134,5,FALSE),
IF($A61&lt;Nonstandard!$A$42,VLOOKUP($A61,Nonstandard!$A$31:$J$41,6,FALSE),"")))))))))))))))))))))))))))),"")</f>
        <v/>
      </c>
      <c r="D61" s="534" t="str">
        <f>IFERROR(IF($A61&lt;'DWV PVC'!$A$317,VLOOKUP($A61,'DWV PVC'!$A$9:$M$316,6,FALSE),
IF($A61&lt;'DWV ABS'!$A$117,VLOOKUP($A61,'DWV ABS'!$A$8:$M$116,6,FALSE),
IF($A61&lt;'PVC SCH40'!$A$425,VLOOKUP($A61,'PVC SCH40'!$A$8:$M$424,6,FALSE),
IF($A61&lt;'PVC SCH40 LD'!$A$22,VLOOKUP($A61,'PVC SCH40 LD'!$A$8:$M$21,6,FALSE),
IF($A61&lt;'Pool &amp; SPA Sweep Elbows'!$A$12,VLOOKUP($A61,'Pool &amp; SPA Sweep Elbows'!$A$8:$M$11,6,FALSE),
IF($A61&lt;'Pool &amp; SPA Pipe Extender'!$A$11,VLOOKUP($A61,'Pool &amp; SPA Pipe Extender'!$A$8:$M$10,6,FALSE),
IF($A61&lt;'PVC SCH80'!$A$250,VLOOKUP($A61,'PVC SCH80'!$A$8:$M$249,6,FALSE),
IF($A61&lt;'PVC SCH80 Flange'!$A$49,VLOOKUP($A61,'PVC SCH80 Flange'!$A$8:$M$48,6,FALSE),
IF($A61&lt;'PVC SCH80 LD Flange'!$A$17,VLOOKUP($A61,'PVC SCH80 LD Flange'!$A$8:$M$16,6,FALSE),
IF($A61&lt;CPVC!$A$105,VLOOKUP($A61,CPVC!$A$9:$M$104,6,FALSE),
IF($A61&lt;InsertFittings!$A$185,VLOOKUP($A61,InsertFittings!$A$9:$M$184,6,FALSE),
IF($A61&lt;Valves!$A$92,VLOOKUP($A61,Valves!$A$9:$Q$91,6,FALSE),
IF($A61&lt;SDR35SW!$A$133,VLOOKUP($A61,SDR35SW!$A$9:$M$132,6,FALSE),
IF($A61&lt;SDR35G!$A$151,VLOOKUP($A61,SDR35G!$A$9:$M$150,6,FALSE),
IF($A61&lt;SDR26G!$A$67,VLOOKUP($A61,SDR26G!$A$9:$N$66,7,FALSE),
IF($A61&lt;Cements!$A$95,VLOOKUP($A61,Cements!$A$8:$Q$94,6,FALSE),
IF($A61&lt;ValveBox!$A$124,VLOOKUP($A61,ValveBox!$A$9:$O$123,6,FALSE),
IF($A61&lt;'ValveBox Components'!$A$142,VLOOKUP($A61,'ValveBox Components'!$A$9:$N$141,6,FALSE),
IF($A61&lt;Drainage!$A$69,VLOOKUP($A61,Drainage!$A$8:$M$68,6,FALSE),
IF($A61&lt;Nipples!$A$82,VLOOKUP($A61,Nipples!$A$9:$Q$81,6,FALSE),
IF($A61&lt;Manifold!$A$33,VLOOKUP($A61,Manifold!$A$9:$M$32,6,FALSE),
IF($A61&lt;FlexibleRepairCouplings!$A$12,VLOOKUP($A61,FlexibleRepairCouplings!$A$9:$M$11,6,FALSE),
IF($A61&lt;DuraFix!$A$15,VLOOKUP($A61,DuraFix!$A$9:$M$14,6,FALSE),
IF($A61&lt;'Compression Fittings'!$A$16,VLOOKUP($A61,'Compression Fittings'!$A$8:$M$15,6,FALSE),
IF($A61&lt;'Hose Fittings'!$A$30,VLOOKUP($A61,'Hose Fittings'!$A$8:$M$29,6,FALSE),
IF($A61&lt;'Swing Joints'!$A$495,VLOOKUP($A61,'Swing Joints'!$A$9:$M$494,6,FALSE),
IF($A61&lt;'Swing Joints Components'!$A$135,VLOOKUP($A61,'Swing Joints Components'!$A$9:$M$134,6,FALSE),
IF($A61&lt;Nonstandard!$A$42,VLOOKUP($A61,Nonstandard!$A$31:$J$41,7,FALSE),"")))))))))))))))))))))))))))),"")</f>
        <v/>
      </c>
      <c r="E61" s="316"/>
      <c r="F61" s="314" t="str">
        <f>IFERROR(IF($A61&lt;'DWV PVC'!$A$317,VLOOKUP($A61,'DWV PVC'!$A$9:$M$316,9,FALSE),
IF($A61&lt;'DWV ABS'!$A$117,VLOOKUP($A61,'DWV ABS'!$A$8:$M$116,9,FALSE),                                                                                                                                                                                                                                                     IF($A61&lt;'PVC SCH40'!$A$425,VLOOKUP($A61,'PVC SCH40'!$A$8:$M$424,9,FALSE),
IF($A61&lt;'PVC SCH40 LD'!$A$22,VLOOKUP($A61,'PVC SCH40 LD'!$A$8:$M$21,9,FALSE),
IF($A61&lt;'Pool &amp; SPA Sweep Elbows'!$A$12,VLOOKUP($A61,'Pool &amp; SPA Sweep Elbows'!$A$8:$M$11,9,FALSE),
IF($A61&lt;'Pool &amp; SPA Pipe Extender'!$A$11,VLOOKUP($A61,'Pool &amp; SPA Pipe Extender'!$A$8:$M$10,9,FALSE),
IF($A61&lt;'PVC SCH80'!$A$250,VLOOKUP($A61,'PVC SCH80'!$A$8:$M$249,9,FALSE),
IF($A61&lt;'PVC SCH80 Flange'!$A$49,VLOOKUP($A61,'PVC SCH80 Flange'!$A$8:$M$48,9,FALSE),
IF($A61&lt;'PVC SCH80 LD Flange'!$A$17,VLOOKUP($A61,'PVC SCH80 LD Flange'!$A$8:$M$16,9,FALSE),
IF($A61&lt;CPVC!$A$105,VLOOKUP($A61,CPVC!$A$9:$M$104,9,FALSE),
IF($A61&lt;InsertFittings!$A$185,VLOOKUP($A61,InsertFittings!$A$9:$M$184,9,FALSE),
IF($A61&lt;Valves!$A$92,VLOOKUP($A61,Valves!$A$9:$Q$91,13,FALSE),
IF($A61&lt;SDR35SW!$A$133,VLOOKUP($A61,SDR35SW!$A$9:$M$132,9,FALSE),
IF($A61&lt;SDR35G!$A$151,VLOOKUP($A61,SDR35G!$A$9:$M$150,9,FALSE),                                                                                                                                                                                                                                                          IF($A61&lt;SDR26G!$A$67,VLOOKUP($A61,SDR26G!$A$9:$N$66,10,FALSE),                                                                                                                                                                                                                                                       IF($A61&lt;Cements!$A$95,VLOOKUP($A61,Cements!$A$8:$Q$94,13,FALSE),
IF($A61&lt;ValveBox!$A$124,VLOOKUP($A61,ValveBox!$A$9:$O$123,11,FALSE),
IF($A61&lt;'ValveBox Components'!$A$142,VLOOKUP($A61,'ValveBox Components'!$A$9:$N$141,10,FALSE),
IF($A61&lt;Drainage!$A$69,VLOOKUP($A61,Drainage!$A$8:$M$68,9,FALSE),                                                                                                                                                                                                                                                              IF($A61&lt;Nipples!$A$82,VLOOKUP($A61,Nipples!$A$9:$Q$81,13,FALSE),
IF($A61&lt;Manifold!$A$33,VLOOKUP($A61,Manifold!$A$9:$M$32,9,FALSE),
IF($A61&lt;FlexibleRepairCouplings!$A$12,VLOOKUP($A61,FlexibleRepairCouplings!$A$9:$M$11,9,FALSE),
IF($A61&lt;DuraFix!$A$15,VLOOKUP($A61,DuraFix!$A$9:$M$14,9,FALSE),                                                                                                                                                                                                                                                          IF($A61&lt;'Compression Fittings'!$A$16,VLOOKUP($A61,'Compression Fittings'!$A$8:$M$15,9,FALSE),
IF($A61&lt;'Hose Fittings'!$A$30,VLOOKUP($A61,'Hose Fittings'!$A$8:$M$29,9,FALSE),
IF($A61&lt;'Swing Joints'!$A$495,VLOOKUP($A61,'Swing Joints'!$A$9:$M$494,9,FALSE),
IF($A61&lt;'Swing Joints Components'!$A$135,VLOOKUP($A61,'Swing Joints Components'!$A$9:$M$134,9,FALSE),
IF($A61&lt;Nonstandard!$A$42,VLOOKUP($A61,Nonstandard!$A$31:$J$41,8,FALSE),"")))))))))))))))))))))))))))),"")</f>
        <v/>
      </c>
      <c r="G61" s="533" t="str">
        <f>IFERROR(IF($A61&lt;'DWV PVC'!$A$317,VLOOKUP($A61,'DWV PVC'!$A$9:$M$316,11,FALSE),
IF($A61&lt;'DWV ABS'!$A$117,VLOOKUP($A61,'DWV ABS'!$A$8:$M$116,11,FALSE),                                                                                                                                                                                                                                                     IF($A61&lt;'PVC SCH40'!$A$425,VLOOKUP($A61,'PVC SCH40'!$A$8:$M$424,11,FALSE),
IF($A61&lt;'PVC SCH40 LD'!$A$22,VLOOKUP($A61,'PVC SCH40 LD'!$A$8:$M$21,11,FALSE),
IF($A61&lt;'Pool &amp; SPA Sweep Elbows'!$A$12,VLOOKUP($A61,'Pool &amp; SPA Sweep Elbows'!$A$8:$M$11,11,FALSE),
IF($A61&lt;'Pool &amp; SPA Pipe Extender'!$A$11,VLOOKUP($A61,'Pool &amp; SPA Pipe Extender'!$A$8:$M$10,11,FALSE),
IF($A61&lt;'PVC SCH80'!$A$250,VLOOKUP($A61,'PVC SCH80'!$A$8:$M$249,11,FALSE),
IF($A61&lt;'PVC SCH80 Flange'!$A$49,VLOOKUP($A61,'PVC SCH80 Flange'!$A$8:$M$48,11,FALSE),
IF($A61&lt;'PVC SCH80 LD Flange'!$A$17,VLOOKUP($A61,'PVC SCH80 LD Flange'!$A$8:$M$16,11,FALSE),
IF($A61&lt;CPVC!$A$105,VLOOKUP($A61,CPVC!$A$9:$M$104,11,FALSE),
IF($A61&lt;InsertFittings!$A$185,VLOOKUP($A61,InsertFittings!$A$9:$M$184,11,FALSE),
IF($A61&lt;Valves!$A$92,VLOOKUP($A61,Valves!$A$9:$Q$91,15,FALSE),
IF($A61&lt;SDR35SW!$A$133,VLOOKUP($A61,SDR35SW!$A$9:$M$132,11,FALSE),
IF($A61&lt;SDR35G!$A$151,VLOOKUP($A61,SDR35G!$A$9:$M$150,11,FALSE),                                                                                                                                                                                                                                                          IF($A61&lt;SDR26G!$A$67,VLOOKUP($A61,SDR26G!$A$9:$N$66,12,FALSE),                                                                                                                                                                                                                                                       IF($A61&lt;Cements!$A$95,VLOOKUP($A61,Cements!$A$8:$Q$94,15,FALSE),
IF($A61&lt;ValveBox!$A$124,VLOOKUP($A61,ValveBox!$A$9:$O$123,13,FALSE),
IF($A61&lt;'ValveBox Components'!$A$142,VLOOKUP($A61,'ValveBox Components'!$A$9:$N$141,12,FALSE),
IF($A61&lt;Drainage!$A$69,VLOOKUP($A61,Drainage!$A$8:$M$68,11,FALSE),                                                                                                                                                                                                                                                           IF($A61&lt;Nipples!$A$82,VLOOKUP($A61,Nipples!$A$9:$Q$81,15,FALSE),
IF($A61&lt;Manifold!$A$33,VLOOKUP($A61,Manifold!$A$9:$M$32,11,FALSE),
IF($A61&lt;FlexibleRepairCouplings!$A$12,VLOOKUP($A61,FlexibleRepairCouplings!$A$9:$M$11,11,FALSE),
IF($A61&lt;DuraFix!$A$15,VLOOKUP($A61,DuraFix!$A$9:$M$14,11,FALSE),                                                                                                                                                                                                                                                            IF($A61&lt;'Compression Fittings'!$A$16,VLOOKUP($A61,'Compression Fittings'!$A$8:$M$15,11,FALSE),
IF($A61&lt;'Hose Fittings'!$A$30,VLOOKUP($A61,'Hose Fittings'!$A$8:$M$29,11,FALSE),
IF($A61&lt;'Swing Joints'!$A$495,VLOOKUP($A61,'Swing Joints'!$A$9:$M$494,11,FALSE),
IF($A61&lt;'Swing Joints Components'!$A$135,VLOOKUP($A61,'Swing Joints Components'!$A$9:$M$134,11,FALSE),
IF($A61&lt;Nonstandard!$A$42,VLOOKUP($A61,Nonstandard!$A$31:$J$41,10,FALSE),"")))))))))))))))))))))))))))),"")</f>
        <v/>
      </c>
      <c r="H61" s="618" t="str">
        <f>IFERROR(IF($A61&lt;'DWV PVC'!$A$317,VLOOKUP($A61,'DWV PVC'!$A$9:$M$316,7,FALSE),
IF($A61&lt;'DWV ABS'!$A$117,VLOOKUP($A61,'DWV ABS'!$A$8:$M$116,11,FALSE),                                                                                                                                                                                                                                                     IF($A61&lt;'PVC SCH40'!$A$425,VLOOKUP($A61,'PVC SCH40'!$A$8:$M$424,7,FALSE),
IF($A61&lt;'PVC SCH40 LD'!$A$22,VLOOKUP($A61,'PVC SCH40 LD'!$A$8:$M$21,7,FALSE),
IF($A61&lt;'Pool &amp; SPA Sweep Elbows'!$A$12,VLOOKUP($A61,'Pool &amp; SPA Sweep Elbows'!$A$8:$M$11,7,FALSE),
IF($A61&lt;'Pool &amp; SPA Pipe Extender'!$A$11,VLOOKUP($A61,'Pool &amp; SPA Pipe Extender'!$A$8:$M$10,7,FALSE),
IF($A61&lt;'PVC SCH80'!$A$250,VLOOKUP($A61,'PVC SCH80'!$A$8:$M$249,7,FALSE),
IF($A61&lt;'PVC SCH80 Flange'!$A$49,VLOOKUP($A61,'PVC SCH80 Flange'!$A$8:$M$48,7,FALSE),
IF($A61&lt;'PVC SCH80 LD Flange'!$A$17,VLOOKUP($A61,'PVC SCH80 LD Flange'!$A$8:$M$16,7,FALSE),
IF($A61&lt;CPVC!$A$105,VLOOKUP($A61,CPVC!$A$9:$M$104,7,FALSE),
IF($A61&lt;InsertFittings!$A$185,VLOOKUP($A61,InsertFittings!$A$9:$M$184,7,FALSE),
IF($A61&lt;Valves!$A$92,VLOOKUP($A61,Valves!$A$9:$Q$91,11,FALSE),
IF($A61&lt;SDR35SW!$A$133,VLOOKUP($A61,SDR35SW!$A$9:$M$132,7,FALSE),
IF($A61&lt;SDR35G!$A$151,VLOOKUP($A61,SDR35G!$A$9:$M$150,7,FALSE),                                                                                                                                                                                                                                                       IF($A61&lt;SDR26G!$A$67,VLOOKUP($A61,SDR26G!$A$9:$N$66,8,FALSE),                                                                                                                                                                                                                                                     IF($A61&lt;Cements!$A$95,VLOOKUP($A61,Cements!$A$8:$Q$94,11,FALSE),
IF($A61&lt;ValveBox!$A$124,VLOOKUP($A61,ValveBox!$A$9:$O$123,10,FALSE),
IF($A61&lt;'ValveBox Components'!$A$142,VLOOKUP($A61,'ValveBox Components'!$A$9:$N$141,9,FALSE),
IF($A61&lt;Drainage!$A$69,VLOOKUP($A61,Drainage!$A$8:$M$68,7,FALSE),                                                                                                                                                                                                                                                          IF($A61&lt;Nipples!$A$82,VLOOKUP($A61,Nipples!$A$9:$Q$81,11,FALSE),
IF($A61&lt;Manifold!$A$33,VLOOKUP($A61,Manifold!$A$9:$M$32,7,FALSE),
IF($A61&lt;FlexibleRepairCouplings!$A$12,VLOOKUP($A61,FlexibleRepairCouplings!$A$9:$M$11,7,FALSE),
IF($A61&lt;DuraFix!$A$15,VLOOKUP($A61,DuraFix!$A$9:$M$14,7,FALSE),                                                                                                                                                                                                                                                           IF($A61&lt;'Compression Fittings'!$A$16,VLOOKUP($A61,'Compression Fittings'!$A$8:$M$15,7,FALSE),
IF($A61&lt;'Hose Fittings'!$A$30,VLOOKUP($A61,'Hose Fittings'!$A$8:$M$29,7,FALSE),
IF($A61&lt;'Swing Joints'!$A$495,VLOOKUP($A61,'Swing Joints'!$A$9:$M$494,7,FALSE),
IF($A61&lt;'Swing Joints Components'!$A$135,VLOOKUP($A61,'Swing Joints Components'!$A$9:$M$134,7,FALSE),
IF($A61&lt;Nonstandard!$A$42,VLOOKUP($A61,Nonstandard!$A$31:$J$41,10,FALSE),"")))))))))))))))))))))))))))),"")</f>
        <v/>
      </c>
      <c r="I61" s="619"/>
      <c r="J61" s="281" t="str">
        <f t="shared" si="1"/>
        <v/>
      </c>
      <c r="K61" s="313" t="str">
        <f>IFERROR(IF($A61&lt;'DWV PVC'!$A$317,VLOOKUP($A61,'DWV PVC'!$A$9:$M$316,10,FALSE),
IF($A61&lt;'DWV ABS'!$A$117,VLOOKUP($A61,'DWV ABS'!$A$8:$M$116,10,FALSE),
IF($A61&lt;'PVC SCH40'!$A$425,VLOOKUP($A61,'PVC SCH40'!$A$8:$M$424,10,FALSE),
IF($A61&lt;'PVC SCH40 LD'!$A$22,VLOOKUP($A61,'PVC SCH40 LD'!$A$8:$M$21,10,FALSE),
IF($A61&lt;'Pool &amp; SPA Sweep Elbows'!$A$12,VLOOKUP($A61,'Pool &amp; SPA Sweep Elbows'!$A$8:$M$11,10,FALSE),
IF($A61&lt;'Pool &amp; SPA Pipe Extender'!$A$11,VLOOKUP($A61,'Pool &amp; SPA Pipe Extender'!$A$8:$M$10,10,FALSE),
IF($A61&lt;'PVC SCH80'!$A$250,VLOOKUP($A61,'PVC SCH80'!$A$8:$M$249,10,FALSE),
IF($A61&lt;'PVC SCH80 Flange'!$A$49,VLOOKUP($A61,'PVC SCH80 Flange'!$A$8:$M$48,10,FALSE),
IF($A61&lt;'PVC SCH80 LD Flange'!$A$17,VLOOKUP($A61,'PVC SCH80 LD Flange'!$A$8:$M$16,10,FALSE),
IF($A61&lt;CPVC!$A$105,VLOOKUP($A61,CPVC!$A$9:$M$104,10,FALSE),
IF($A61&lt;InsertFittings!$A$185,VLOOKUP($A61,InsertFittings!$A$9:$M$184,10,FALSE),
IF($A61&lt;Valves!$A$92,VLOOKUP($A61,Valves!$A$9:$Q$91,14,FALSE),
IF($A61&lt;SDR35SW!$A$133,VLOOKUP($A61,SDR35SW!$A$9:$M$132,10,FALSE),
IF($A61&lt;SDR35G!$A$151,VLOOKUP($A61,SDR35G!$A$9:$M$150,10,FALSE),
IF($A61&lt;SDR26G!$A$67,VLOOKUP($A61,SDR26G!$A$9:$N$66,11,FALSE),
IF($A61&lt;Cements!$A$95,VLOOKUP($A61,Cements!$A$8:$Q$94,14,FALSE),
IF($A61&lt;ValveBox!$A$124,VLOOKUP($A61,ValveBox!$A$9:$O$123,12,FALSE),
IF($A61&lt;'ValveBox Components'!$A$142,VLOOKUP($A61,'ValveBox Components'!$A$9:$N$141,11,FALSE),
IF($A61&lt;Drainage!$A$69,VLOOKUP($A61,Drainage!$A$8:$M$68,10,FALSE),
IF($A61&lt;Nipples!$A$82,VLOOKUP($A61,Nipples!$A$9:$Q$81,14,FALSE),
IF($A61&lt;Manifold!$A$33,VLOOKUP($A61,Manifold!$A$9:$M$32,10,FALSE),
IF($A61&lt;FlexibleRepairCouplings!$A$12,VLOOKUP($A61,FlexibleRepairCouplings!$A$9:$M$11,10,FALSE),
IF($A61&lt;DuraFix!$A$15,VLOOKUP($A61,DuraFix!$A$9:$M$14,10,FALSE),
IF($A61&lt;'Compression Fittings'!$A$16,VLOOKUP($A61,'Compression Fittings'!$A$8:$M$15,10,FALSE),
IF($A61&lt;'Hose Fittings'!$A$30,VLOOKUP($A61,'Hose Fittings'!$A$8:$M$29,10,FALSE),
IF($A61&lt;'Swing Joints'!$A$495,VLOOKUP($A61,'Swing Joints'!$A$9:$M$494,10,FALSE),
IF($A61&lt;'Swing Joints Components'!$A$135,VLOOKUP($A61,'Swing Joints Components'!$A$9:$M$134,10,FALSE),
IF($A61&lt;Nonstandard!$A$42,VLOOKUP($A61,Nonstandard!$A$31:$J$41,10,FALSE),"")))))))))))))))))))))))))))),"")</f>
        <v/>
      </c>
      <c r="L61" s="314" t="str">
        <f t="shared" si="0"/>
        <v>-</v>
      </c>
      <c r="M61" s="315"/>
    </row>
    <row r="62" spans="1:13" ht="15.6">
      <c r="A62" s="536">
        <v>30</v>
      </c>
      <c r="B62" s="536" t="str">
        <f>IFERROR(IF($A62&lt;'DWV PVC'!$A$317,VLOOKUP($A62,'DWV PVC'!$A$9:$M$316,4,FALSE),
IF($A62&lt;'DWV ABS'!$A$117,VLOOKUP($A62,'DWV ABS'!$A$8:$M$116,4,FALSE),
IF($A62&lt;'PVC SCH40'!$A$425,VLOOKUP($A62,'PVC SCH40'!$A$8:$M$424,4,FALSE),
IF($A62&lt;'PVC SCH40 LD'!$A$22,VLOOKUP($A62,'PVC SCH40 LD'!$A$8:$M$21,4,FALSE),
IF($A62&lt;'Pool &amp; SPA Sweep Elbows'!$A$12,VLOOKUP($A62,'Pool &amp; SPA Sweep Elbows'!$A$8:$M$11,4,FALSE),
IF($A62&lt;'Pool &amp; SPA Pipe Extender'!$A$11,VLOOKUP($A62,'Pool &amp; SPA Pipe Extender'!$A$8:$M$10,4,FALSE),
IF($A62&lt;'PVC SCH80'!$A$250,VLOOKUP($A62,'PVC SCH80'!$A$8:$M$249,4,FALSE),
IF($A62&lt;'PVC SCH80 Flange'!$A$49,VLOOKUP($A62,'PVC SCH80 Flange'!$A$8:$M$48,4,FALSE),
IF($A62&lt;'PVC SCH80 LD Flange'!$A$17,VLOOKUP($A62,'PVC SCH80 LD Flange'!$A$8:$M$16,4,FALSE),
IF($A62&lt;CPVC!$A$105,VLOOKUP($A62,CPVC!$A$9:$M$104,4,FALSE),
IF($A62&lt;InsertFittings!$A$185,VLOOKUP($A62,InsertFittings!$A$9:$M$184,4,FALSE),
IF($A62&lt;Valves!$A$92,VLOOKUP($A62,Valves!$A$9:$Q$91,4,FALSE),
IF($A62&lt;SDR35SW!$A$133,VLOOKUP($A62,SDR35SW!$A$9:$M$132,4,FALSE),
IF($A62&lt;SDR35G!$A$151,VLOOKUP($A62,SDR35G!$A$9:$M$150,4,FALSE),
IF($A62&lt;SDR26G!$A$67,VLOOKUP($A62,SDR26G!$A$9:$N$66,5,FALSE),
IF($A62&lt;Cements!$A$95,VLOOKUP($A62,Cements!$A$8:$Q$94,4,FALSE),
IF($A62&lt;ValveBox!$A$124,VLOOKUP($A62,ValveBox!$A$9:$O$123,4,FALSE),
IF($A62&lt;'ValveBox Components'!$A$142,VLOOKUP($A62,'ValveBox Components'!$A$9:$N$141,4,FALSE),
IF($A62&lt;Drainage!$A$69,VLOOKUP($A62,Drainage!$A$8:$M$68,4,FALSE),
IF($A62&lt;Nipples!$A$82,VLOOKUP($A62,Nipples!$A$9:$Q$81,4,FALSE),
IF($A62&lt;Manifold!$A$33,VLOOKUP($A62,Manifold!$A$9:$M$32,4,FALSE),
IF($A62&lt;FlexibleRepairCouplings!$A$12,VLOOKUP($A62,FlexibleRepairCouplings!$A$9:$M$11,4,FALSE),
IF($A62&lt;DuraFix!$A$15,VLOOKUP($A62,DuraFix!$A$9:$M$14,4,FALSE),
IF($A62&lt;'Compression Fittings'!$A$16,VLOOKUP($A62,'Compression Fittings'!$A$8:$M$15,4,FALSE),
IF($A62&lt;'Hose Fittings'!$A$30,VLOOKUP($A62,'Hose Fittings'!$A$8:$M$29,4,FALSE),
IF($A62&lt;'Swing Joints'!$A$495,VLOOKUP($A62,'Swing Joints'!$A$9:$M$494,4,FALSE),
IF($A62&lt;'Swing Joints Components'!$A$135,VLOOKUP($A62,'Swing Joints Components'!$A$9:$M$134,4,FALSE),
IF($A62&lt;Nonstandard!$A$42,VLOOKUP($A62,Nonstandard!$A$31:$J$41,5,FALSE),"")))))))))))))))))))))))))))),"")</f>
        <v/>
      </c>
      <c r="C62" s="536" t="str">
        <f>IFERROR(IF($A62&lt;'DWV PVC'!$A$317,VLOOKUP($A62,'DWV PVC'!$A$9:$M$316,5,FALSE),
IF($A62&lt;'DWV ABS'!$A$117,VLOOKUP($A62,'DWV ABS'!$A$8:$M$116,5,FALSE),
IF($A62&lt;'PVC SCH40'!$A$425,VLOOKUP($A62,'PVC SCH40'!$A$8:$M$424,5,FALSE),
IF($A62&lt;'PVC SCH40 LD'!$A$22,VLOOKUP($A62,'PVC SCH40 LD'!$A$8:$M$21,5,FALSE),
IF($A62&lt;'Pool &amp; SPA Sweep Elbows'!$A$12,VLOOKUP($A62,'Pool &amp; SPA Sweep Elbows'!$A$8:$M$11,5,FALSE),
IF($A62&lt;'Pool &amp; SPA Pipe Extender'!$A$11,VLOOKUP($A62,'Pool &amp; SPA Pipe Extender'!$A$8:$M$10,5,FALSE),
IF($A62&lt;'PVC SCH80'!$A$250,VLOOKUP($A62,'PVC SCH80'!$A$8:$M$249,5,FALSE),
IF($A62&lt;'PVC SCH80 Flange'!$A$49,VLOOKUP($A62,'PVC SCH80 Flange'!$A$8:$M$48,5,FALSE),
IF($A62&lt;'PVC SCH80 LD Flange'!$A$17,VLOOKUP($A62,'PVC SCH80 LD Flange'!$A$8:$M$16,5,FALSE),
IF($A62&lt;CPVC!$A$105,VLOOKUP($A62,CPVC!$A$9:$M$104,5,FALSE),
IF($A62&lt;InsertFittings!$A$185,VLOOKUP($A62,InsertFittings!$A$9:$M$184,5,FALSE),
IF($A62&lt;Valves!$A$92,VLOOKUP($A62,Valves!$A$9:$Q$91,5,FALSE),
IF($A62&lt;SDR35SW!$A$133,VLOOKUP($A62,SDR35SW!$A$9:$M$132,5,FALSE),
IF($A62&lt;SDR35G!$A$151,VLOOKUP($A62,SDR35G!$A$9:$M$150,5,FALSE),
IF($A62&lt;SDR26G!$A$67,VLOOKUP($A62,SDR26G!$A$9:$N$66,6,FALSE),
IF($A62&lt;Cements!$A$95,VLOOKUP($A62,Cements!$A$8:$Q$94,5,FALSE),
IF($A62&lt;ValveBox!$A$124,VLOOKUP($A62,ValveBox!$A$9:$O$123,5,FALSE),
IF($A62&lt;'ValveBox Components'!$A$142,VLOOKUP($A62,'ValveBox Components'!$A$9:$N$141,5,FALSE),
IF($A62&lt;Drainage!$A$69,VLOOKUP($A62,Drainage!$A$8:$M$68,5,FALSE),
IF($A62&lt;Nipples!$A$82,VLOOKUP($A62,Nipples!$A$9:$Q$81,5,FALSE),
IF($A62&lt;Manifold!$A$33,VLOOKUP($A62,Manifold!$A$9:$M$32,5,FALSE),
IF($A62&lt;FlexibleRepairCouplings!$A$12,VLOOKUP($A62,FlexibleRepairCouplings!$A$9:$M$11,5,FALSE),
IF($A62&lt;DuraFix!$A$15,VLOOKUP($A62,DuraFix!$A$9:$M$14,5,FALSE),
IF($A62&lt;'Compression Fittings'!$A$16,VLOOKUP($A62,'Compression Fittings'!$A$8:$M$15,5,FALSE),
IF($A62&lt;'Hose Fittings'!$A$30,VLOOKUP($A62,'Hose Fittings'!$A$8:$M$29,5,FALSE),
IF($A62&lt;'Swing Joints'!$A$495,VLOOKUP($A62,'Swing Joints'!$A$9:$M$494,5,FALSE),
IF($A62&lt;'Swing Joints Components'!$A$135,VLOOKUP($A62,'Swing Joints Components'!$A$9:$M$134,5,FALSE),
IF($A62&lt;Nonstandard!$A$42,VLOOKUP($A62,Nonstandard!$A$31:$J$41,6,FALSE),"")))))))))))))))))))))))))))),"")</f>
        <v/>
      </c>
      <c r="D62" s="537" t="str">
        <f>IFERROR(IF($A62&lt;'DWV PVC'!$A$317,VLOOKUP($A62,'DWV PVC'!$A$9:$M$316,6,FALSE),
IF($A62&lt;'DWV ABS'!$A$117,VLOOKUP($A62,'DWV ABS'!$A$8:$M$116,6,FALSE),
IF($A62&lt;'PVC SCH40'!$A$425,VLOOKUP($A62,'PVC SCH40'!$A$8:$M$424,6,FALSE),
IF($A62&lt;'PVC SCH40 LD'!$A$22,VLOOKUP($A62,'PVC SCH40 LD'!$A$8:$M$21,6,FALSE),
IF($A62&lt;'Pool &amp; SPA Sweep Elbows'!$A$12,VLOOKUP($A62,'Pool &amp; SPA Sweep Elbows'!$A$8:$M$11,6,FALSE),
IF($A62&lt;'Pool &amp; SPA Pipe Extender'!$A$11,VLOOKUP($A62,'Pool &amp; SPA Pipe Extender'!$A$8:$M$10,6,FALSE),
IF($A62&lt;'PVC SCH80'!$A$250,VLOOKUP($A62,'PVC SCH80'!$A$8:$M$249,6,FALSE),
IF($A62&lt;'PVC SCH80 Flange'!$A$49,VLOOKUP($A62,'PVC SCH80 Flange'!$A$8:$M$48,6,FALSE),
IF($A62&lt;'PVC SCH80 LD Flange'!$A$17,VLOOKUP($A62,'PVC SCH80 LD Flange'!$A$8:$M$16,6,FALSE),
IF($A62&lt;CPVC!$A$105,VLOOKUP($A62,CPVC!$A$9:$M$104,6,FALSE),
IF($A62&lt;InsertFittings!$A$185,VLOOKUP($A62,InsertFittings!$A$9:$M$184,6,FALSE),
IF($A62&lt;Valves!$A$92,VLOOKUP($A62,Valves!$A$9:$Q$91,6,FALSE),
IF($A62&lt;SDR35SW!$A$133,VLOOKUP($A62,SDR35SW!$A$9:$M$132,6,FALSE),
IF($A62&lt;SDR35G!$A$151,VLOOKUP($A62,SDR35G!$A$9:$M$150,6,FALSE),
IF($A62&lt;SDR26G!$A$67,VLOOKUP($A62,SDR26G!$A$9:$N$66,7,FALSE),
IF($A62&lt;Cements!$A$95,VLOOKUP($A62,Cements!$A$8:$Q$94,6,FALSE),
IF($A62&lt;ValveBox!$A$124,VLOOKUP($A62,ValveBox!$A$9:$O$123,6,FALSE),
IF($A62&lt;'ValveBox Components'!$A$142,VLOOKUP($A62,'ValveBox Components'!$A$9:$N$141,6,FALSE),
IF($A62&lt;Drainage!$A$69,VLOOKUP($A62,Drainage!$A$8:$M$68,6,FALSE),
IF($A62&lt;Nipples!$A$82,VLOOKUP($A62,Nipples!$A$9:$Q$81,6,FALSE),
IF($A62&lt;Manifold!$A$33,VLOOKUP($A62,Manifold!$A$9:$M$32,6,FALSE),
IF($A62&lt;FlexibleRepairCouplings!$A$12,VLOOKUP($A62,FlexibleRepairCouplings!$A$9:$M$11,6,FALSE),
IF($A62&lt;DuraFix!$A$15,VLOOKUP($A62,DuraFix!$A$9:$M$14,6,FALSE),
IF($A62&lt;'Compression Fittings'!$A$16,VLOOKUP($A62,'Compression Fittings'!$A$8:$M$15,6,FALSE),
IF($A62&lt;'Hose Fittings'!$A$30,VLOOKUP($A62,'Hose Fittings'!$A$8:$M$29,6,FALSE),
IF($A62&lt;'Swing Joints'!$A$495,VLOOKUP($A62,'Swing Joints'!$A$9:$M$494,6,FALSE),
IF($A62&lt;'Swing Joints Components'!$A$135,VLOOKUP($A62,'Swing Joints Components'!$A$9:$M$134,6,FALSE),
IF($A62&lt;Nonstandard!$A$42,VLOOKUP($A62,Nonstandard!$A$31:$J$41,7,FALSE),"")))))))))))))))))))))))))))),"")</f>
        <v/>
      </c>
      <c r="E62" s="538"/>
      <c r="F62" s="539" t="str">
        <f>IFERROR(IF($A62&lt;'DWV PVC'!$A$317,VLOOKUP($A62,'DWV PVC'!$A$9:$M$316,9,FALSE),
IF($A62&lt;'DWV ABS'!$A$117,VLOOKUP($A62,'DWV ABS'!$A$8:$M$116,9,FALSE),                                                                                                                                                                                                                                                     IF($A62&lt;'PVC SCH40'!$A$425,VLOOKUP($A62,'PVC SCH40'!$A$8:$M$424,9,FALSE),
IF($A62&lt;'PVC SCH40 LD'!$A$22,VLOOKUP($A62,'PVC SCH40 LD'!$A$8:$M$21,9,FALSE),
IF($A62&lt;'Pool &amp; SPA Sweep Elbows'!$A$12,VLOOKUP($A62,'Pool &amp; SPA Sweep Elbows'!$A$8:$M$11,9,FALSE),
IF($A62&lt;'Pool &amp; SPA Pipe Extender'!$A$11,VLOOKUP($A62,'Pool &amp; SPA Pipe Extender'!$A$8:$M$10,9,FALSE),
IF($A62&lt;'PVC SCH80'!$A$250,VLOOKUP($A62,'PVC SCH80'!$A$8:$M$249,9,FALSE),
IF($A62&lt;'PVC SCH80 Flange'!$A$49,VLOOKUP($A62,'PVC SCH80 Flange'!$A$8:$M$48,9,FALSE),
IF($A62&lt;'PVC SCH80 LD Flange'!$A$17,VLOOKUP($A62,'PVC SCH80 LD Flange'!$A$8:$M$16,9,FALSE),
IF($A62&lt;CPVC!$A$105,VLOOKUP($A62,CPVC!$A$9:$M$104,9,FALSE),
IF($A62&lt;InsertFittings!$A$185,VLOOKUP($A62,InsertFittings!$A$9:$M$184,9,FALSE),
IF($A62&lt;Valves!$A$92,VLOOKUP($A62,Valves!$A$9:$Q$91,13,FALSE),
IF($A62&lt;SDR35SW!$A$133,VLOOKUP($A62,SDR35SW!$A$9:$M$132,9,FALSE),
IF($A62&lt;SDR35G!$A$151,VLOOKUP($A62,SDR35G!$A$9:$M$150,9,FALSE),                                                                                                                                                                                                                                                          IF($A62&lt;SDR26G!$A$67,VLOOKUP($A62,SDR26G!$A$9:$N$66,10,FALSE),                                                                                                                                                                                                                                                       IF($A62&lt;Cements!$A$95,VLOOKUP($A62,Cements!$A$8:$Q$94,13,FALSE),
IF($A62&lt;ValveBox!$A$124,VLOOKUP($A62,ValveBox!$A$9:$O$123,11,FALSE),
IF($A62&lt;'ValveBox Components'!$A$142,VLOOKUP($A62,'ValveBox Components'!$A$9:$N$141,10,FALSE),
IF($A62&lt;Drainage!$A$69,VLOOKUP($A62,Drainage!$A$8:$M$68,9,FALSE),                                                                                                                                                                                                                                                              IF($A62&lt;Nipples!$A$82,VLOOKUP($A62,Nipples!$A$9:$Q$81,13,FALSE),
IF($A62&lt;Manifold!$A$33,VLOOKUP($A62,Manifold!$A$9:$M$32,9,FALSE),
IF($A62&lt;FlexibleRepairCouplings!$A$12,VLOOKUP($A62,FlexibleRepairCouplings!$A$9:$M$11,9,FALSE),
IF($A62&lt;DuraFix!$A$15,VLOOKUP($A62,DuraFix!$A$9:$M$14,9,FALSE),                                                                                                                                                                                                                                                          IF($A62&lt;'Compression Fittings'!$A$16,VLOOKUP($A62,'Compression Fittings'!$A$8:$M$15,9,FALSE),
IF($A62&lt;'Hose Fittings'!$A$30,VLOOKUP($A62,'Hose Fittings'!$A$8:$M$29,9,FALSE),
IF($A62&lt;'Swing Joints'!$A$495,VLOOKUP($A62,'Swing Joints'!$A$9:$M$494,9,FALSE),
IF($A62&lt;'Swing Joints Components'!$A$135,VLOOKUP($A62,'Swing Joints Components'!$A$9:$M$134,9,FALSE),
IF($A62&lt;Nonstandard!$A$42,VLOOKUP($A62,Nonstandard!$A$31:$J$41,8,FALSE),"")))))))))))))))))))))))))))),"")</f>
        <v/>
      </c>
      <c r="G62" s="540" t="str">
        <f>IFERROR(IF($A62&lt;'DWV PVC'!$A$317,VLOOKUP($A62,'DWV PVC'!$A$9:$M$316,11,FALSE),
IF($A62&lt;'DWV ABS'!$A$117,VLOOKUP($A62,'DWV ABS'!$A$8:$M$116,11,FALSE),                                                                                                                                                                                                                                                     IF($A62&lt;'PVC SCH40'!$A$425,VLOOKUP($A62,'PVC SCH40'!$A$8:$M$424,11,FALSE),
IF($A62&lt;'PVC SCH40 LD'!$A$22,VLOOKUP($A62,'PVC SCH40 LD'!$A$8:$M$21,11,FALSE),
IF($A62&lt;'Pool &amp; SPA Sweep Elbows'!$A$12,VLOOKUP($A62,'Pool &amp; SPA Sweep Elbows'!$A$8:$M$11,11,FALSE),
IF($A62&lt;'Pool &amp; SPA Pipe Extender'!$A$11,VLOOKUP($A62,'Pool &amp; SPA Pipe Extender'!$A$8:$M$10,11,FALSE),
IF($A62&lt;'PVC SCH80'!$A$250,VLOOKUP($A62,'PVC SCH80'!$A$8:$M$249,11,FALSE),
IF($A62&lt;'PVC SCH80 Flange'!$A$49,VLOOKUP($A62,'PVC SCH80 Flange'!$A$8:$M$48,11,FALSE),
IF($A62&lt;'PVC SCH80 LD Flange'!$A$17,VLOOKUP($A62,'PVC SCH80 LD Flange'!$A$8:$M$16,11,FALSE),
IF($A62&lt;CPVC!$A$105,VLOOKUP($A62,CPVC!$A$9:$M$104,11,FALSE),
IF($A62&lt;InsertFittings!$A$185,VLOOKUP($A62,InsertFittings!$A$9:$M$184,11,FALSE),
IF($A62&lt;Valves!$A$92,VLOOKUP($A62,Valves!$A$9:$Q$91,15,FALSE),
IF($A62&lt;SDR35SW!$A$133,VLOOKUP($A62,SDR35SW!$A$9:$M$132,11,FALSE),
IF($A62&lt;SDR35G!$A$151,VLOOKUP($A62,SDR35G!$A$9:$M$150,11,FALSE),                                                                                                                                                                                                                                                          IF($A62&lt;SDR26G!$A$67,VLOOKUP($A62,SDR26G!$A$9:$N$66,12,FALSE),                                                                                                                                                                                                                                                       IF($A62&lt;Cements!$A$95,VLOOKUP($A62,Cements!$A$8:$Q$94,15,FALSE),
IF($A62&lt;ValveBox!$A$124,VLOOKUP($A62,ValveBox!$A$9:$O$123,13,FALSE),
IF($A62&lt;'ValveBox Components'!$A$142,VLOOKUP($A62,'ValveBox Components'!$A$9:$N$141,12,FALSE),
IF($A62&lt;Drainage!$A$69,VLOOKUP($A62,Drainage!$A$8:$M$68,11,FALSE),                                                                                                                                                                                                                                                           IF($A62&lt;Nipples!$A$82,VLOOKUP($A62,Nipples!$A$9:$Q$81,15,FALSE),
IF($A62&lt;Manifold!$A$33,VLOOKUP($A62,Manifold!$A$9:$M$32,11,FALSE),
IF($A62&lt;FlexibleRepairCouplings!$A$12,VLOOKUP($A62,FlexibleRepairCouplings!$A$9:$M$11,11,FALSE),
IF($A62&lt;DuraFix!$A$15,VLOOKUP($A62,DuraFix!$A$9:$M$14,11,FALSE),                                                                                                                                                                                                                                                            IF($A62&lt;'Compression Fittings'!$A$16,VLOOKUP($A62,'Compression Fittings'!$A$8:$M$15,11,FALSE),
IF($A62&lt;'Hose Fittings'!$A$30,VLOOKUP($A62,'Hose Fittings'!$A$8:$M$29,11,FALSE),
IF($A62&lt;'Swing Joints'!$A$495,VLOOKUP($A62,'Swing Joints'!$A$9:$M$494,11,FALSE),
IF($A62&lt;'Swing Joints Components'!$A$135,VLOOKUP($A62,'Swing Joints Components'!$A$9:$M$134,11,FALSE),
IF($A62&lt;Nonstandard!$A$42,VLOOKUP($A62,Nonstandard!$A$31:$J$41,10,FALSE),"")))))))))))))))))))))))))))),"")</f>
        <v/>
      </c>
      <c r="H62" s="620" t="str">
        <f>IFERROR(IF($A62&lt;'DWV PVC'!$A$317,VLOOKUP($A62,'DWV PVC'!$A$9:$M$316,7,FALSE),
IF($A62&lt;'DWV ABS'!$A$117,VLOOKUP($A62,'DWV ABS'!$A$8:$M$116,11,FALSE),                                                                                                                                                                                                                                                     IF($A62&lt;'PVC SCH40'!$A$425,VLOOKUP($A62,'PVC SCH40'!$A$8:$M$424,7,FALSE),
IF($A62&lt;'PVC SCH40 LD'!$A$22,VLOOKUP($A62,'PVC SCH40 LD'!$A$8:$M$21,7,FALSE),
IF($A62&lt;'Pool &amp; SPA Sweep Elbows'!$A$12,VLOOKUP($A62,'Pool &amp; SPA Sweep Elbows'!$A$8:$M$11,7,FALSE),
IF($A62&lt;'Pool &amp; SPA Pipe Extender'!$A$11,VLOOKUP($A62,'Pool &amp; SPA Pipe Extender'!$A$8:$M$10,7,FALSE),
IF($A62&lt;'PVC SCH80'!$A$250,VLOOKUP($A62,'PVC SCH80'!$A$8:$M$249,7,FALSE),
IF($A62&lt;'PVC SCH80 Flange'!$A$49,VLOOKUP($A62,'PVC SCH80 Flange'!$A$8:$M$48,7,FALSE),
IF($A62&lt;'PVC SCH80 LD Flange'!$A$17,VLOOKUP($A62,'PVC SCH80 LD Flange'!$A$8:$M$16,7,FALSE),
IF($A62&lt;CPVC!$A$105,VLOOKUP($A62,CPVC!$A$9:$M$104,7,FALSE),
IF($A62&lt;InsertFittings!$A$185,VLOOKUP($A62,InsertFittings!$A$9:$M$184,7,FALSE),
IF($A62&lt;Valves!$A$92,VLOOKUP($A62,Valves!$A$9:$Q$91,11,FALSE),
IF($A62&lt;SDR35SW!$A$133,VLOOKUP($A62,SDR35SW!$A$9:$M$132,7,FALSE),
IF($A62&lt;SDR35G!$A$151,VLOOKUP($A62,SDR35G!$A$9:$M$150,7,FALSE),                                                                                                                                                                                                                                                       IF($A62&lt;SDR26G!$A$67,VLOOKUP($A62,SDR26G!$A$9:$N$66,8,FALSE),                                                                                                                                                                                                                                                     IF($A62&lt;Cements!$A$95,VLOOKUP($A62,Cements!$A$8:$Q$94,11,FALSE),
IF($A62&lt;ValveBox!$A$124,VLOOKUP($A62,ValveBox!$A$9:$O$123,10,FALSE),
IF($A62&lt;'ValveBox Components'!$A$142,VLOOKUP($A62,'ValveBox Components'!$A$9:$N$141,9,FALSE),
IF($A62&lt;Drainage!$A$69,VLOOKUP($A62,Drainage!$A$8:$M$68,7,FALSE),                                                                                                                                                                                                                                                          IF($A62&lt;Nipples!$A$82,VLOOKUP($A62,Nipples!$A$9:$Q$81,11,FALSE),
IF($A62&lt;Manifold!$A$33,VLOOKUP($A62,Manifold!$A$9:$M$32,7,FALSE),
IF($A62&lt;FlexibleRepairCouplings!$A$12,VLOOKUP($A62,FlexibleRepairCouplings!$A$9:$M$11,7,FALSE),
IF($A62&lt;DuraFix!$A$15,VLOOKUP($A62,DuraFix!$A$9:$M$14,7,FALSE),                                                                                                                                                                                                                                                           IF($A62&lt;'Compression Fittings'!$A$16,VLOOKUP($A62,'Compression Fittings'!$A$8:$M$15,7,FALSE),
IF($A62&lt;'Hose Fittings'!$A$30,VLOOKUP($A62,'Hose Fittings'!$A$8:$M$29,7,FALSE),
IF($A62&lt;'Swing Joints'!$A$495,VLOOKUP($A62,'Swing Joints'!$A$9:$M$494,7,FALSE),
IF($A62&lt;'Swing Joints Components'!$A$135,VLOOKUP($A62,'Swing Joints Components'!$A$9:$M$134,7,FALSE),
IF($A62&lt;Nonstandard!$A$42,VLOOKUP($A62,Nonstandard!$A$31:$J$41,10,FALSE),"")))))))))))))))))))))))))))),"")</f>
        <v/>
      </c>
      <c r="I62" s="621"/>
      <c r="J62" s="541" t="str">
        <f t="shared" si="1"/>
        <v/>
      </c>
      <c r="K62" s="599" t="str">
        <f>IFERROR(IF($A62&lt;'DWV PVC'!$A$317,VLOOKUP($A62,'DWV PVC'!$A$9:$M$316,10,FALSE),
IF($A62&lt;'DWV ABS'!$A$117,VLOOKUP($A62,'DWV ABS'!$A$8:$M$116,10,FALSE),
IF($A62&lt;'PVC SCH40'!$A$425,VLOOKUP($A62,'PVC SCH40'!$A$8:$M$424,10,FALSE),
IF($A62&lt;'PVC SCH40 LD'!$A$22,VLOOKUP($A62,'PVC SCH40 LD'!$A$8:$M$21,10,FALSE),
IF($A62&lt;'Pool &amp; SPA Sweep Elbows'!$A$12,VLOOKUP($A62,'Pool &amp; SPA Sweep Elbows'!$A$8:$M$11,10,FALSE),
IF($A62&lt;'Pool &amp; SPA Pipe Extender'!$A$11,VLOOKUP($A62,'Pool &amp; SPA Pipe Extender'!$A$8:$M$10,10,FALSE),
IF($A62&lt;'PVC SCH80'!$A$250,VLOOKUP($A62,'PVC SCH80'!$A$8:$M$249,10,FALSE),
IF($A62&lt;'PVC SCH80 Flange'!$A$49,VLOOKUP($A62,'PVC SCH80 Flange'!$A$8:$M$48,10,FALSE),
IF($A62&lt;'PVC SCH80 LD Flange'!$A$17,VLOOKUP($A62,'PVC SCH80 LD Flange'!$A$8:$M$16,10,FALSE),
IF($A62&lt;CPVC!$A$105,VLOOKUP($A62,CPVC!$A$9:$M$104,10,FALSE),
IF($A62&lt;InsertFittings!$A$185,VLOOKUP($A62,InsertFittings!$A$9:$M$184,10,FALSE),
IF($A62&lt;Valves!$A$92,VLOOKUP($A62,Valves!$A$9:$Q$91,14,FALSE),
IF($A62&lt;SDR35SW!$A$133,VLOOKUP($A62,SDR35SW!$A$9:$M$132,10,FALSE),
IF($A62&lt;SDR35G!$A$151,VLOOKUP($A62,SDR35G!$A$9:$M$150,10,FALSE),
IF($A62&lt;SDR26G!$A$67,VLOOKUP($A62,SDR26G!$A$9:$N$66,11,FALSE),
IF($A62&lt;Cements!$A$95,VLOOKUP($A62,Cements!$A$8:$Q$94,14,FALSE),
IF($A62&lt;ValveBox!$A$124,VLOOKUP($A62,ValveBox!$A$9:$O$123,12,FALSE),
IF($A62&lt;'ValveBox Components'!$A$142,VLOOKUP($A62,'ValveBox Components'!$A$9:$N$141,11,FALSE),
IF($A62&lt;Drainage!$A$69,VLOOKUP($A62,Drainage!$A$8:$M$68,10,FALSE),
IF($A62&lt;Nipples!$A$82,VLOOKUP($A62,Nipples!$A$9:$Q$81,14,FALSE),
IF($A62&lt;Manifold!$A$33,VLOOKUP($A62,Manifold!$A$9:$M$32,10,FALSE),
IF($A62&lt;FlexibleRepairCouplings!$A$12,VLOOKUP($A62,FlexibleRepairCouplings!$A$9:$M$11,10,FALSE),
IF($A62&lt;DuraFix!$A$15,VLOOKUP($A62,DuraFix!$A$9:$M$14,10,FALSE),
IF($A62&lt;'Compression Fittings'!$A$16,VLOOKUP($A62,'Compression Fittings'!$A$8:$M$15,10,FALSE),
IF($A62&lt;'Hose Fittings'!$A$30,VLOOKUP($A62,'Hose Fittings'!$A$8:$M$29,10,FALSE),
IF($A62&lt;'Swing Joints'!$A$495,VLOOKUP($A62,'Swing Joints'!$A$9:$M$494,10,FALSE),
IF($A62&lt;'Swing Joints Components'!$A$135,VLOOKUP($A62,'Swing Joints Components'!$A$9:$M$134,10,FALSE),
IF($A62&lt;Nonstandard!$A$42,VLOOKUP($A62,Nonstandard!$A$31:$J$41,10,FALSE),"")))))))))))))))))))))))))))),"")</f>
        <v/>
      </c>
      <c r="L62" s="539" t="str">
        <f t="shared" si="0"/>
        <v>-</v>
      </c>
      <c r="M62" s="542"/>
    </row>
    <row r="63" spans="1:13" ht="15.6">
      <c r="A63" s="312">
        <v>31</v>
      </c>
      <c r="B63" s="312" t="str">
        <f>IFERROR(IF($A63&lt;'DWV PVC'!$A$317,VLOOKUP($A63,'DWV PVC'!$A$9:$M$316,4,FALSE),
IF($A63&lt;'DWV ABS'!$A$117,VLOOKUP($A63,'DWV ABS'!$A$8:$M$116,4,FALSE),
IF($A63&lt;'PVC SCH40'!$A$425,VLOOKUP($A63,'PVC SCH40'!$A$8:$M$424,4,FALSE),
IF($A63&lt;'PVC SCH40 LD'!$A$22,VLOOKUP($A63,'PVC SCH40 LD'!$A$8:$M$21,4,FALSE),
IF($A63&lt;'Pool &amp; SPA Sweep Elbows'!$A$12,VLOOKUP($A63,'Pool &amp; SPA Sweep Elbows'!$A$8:$M$11,4,FALSE),
IF($A63&lt;'Pool &amp; SPA Pipe Extender'!$A$11,VLOOKUP($A63,'Pool &amp; SPA Pipe Extender'!$A$8:$M$10,4,FALSE),
IF($A63&lt;'PVC SCH80'!$A$250,VLOOKUP($A63,'PVC SCH80'!$A$8:$M$249,4,FALSE),
IF($A63&lt;'PVC SCH80 Flange'!$A$49,VLOOKUP($A63,'PVC SCH80 Flange'!$A$8:$M$48,4,FALSE),
IF($A63&lt;'PVC SCH80 LD Flange'!$A$17,VLOOKUP($A63,'PVC SCH80 LD Flange'!$A$8:$M$16,4,FALSE),
IF($A63&lt;CPVC!$A$105,VLOOKUP($A63,CPVC!$A$9:$M$104,4,FALSE),
IF($A63&lt;InsertFittings!$A$185,VLOOKUP($A63,InsertFittings!$A$9:$M$184,4,FALSE),
IF($A63&lt;Valves!$A$92,VLOOKUP($A63,Valves!$A$9:$Q$91,4,FALSE),
IF($A63&lt;SDR35SW!$A$133,VLOOKUP($A63,SDR35SW!$A$9:$M$132,4,FALSE),
IF($A63&lt;SDR35G!$A$151,VLOOKUP($A63,SDR35G!$A$9:$M$150,4,FALSE),
IF($A63&lt;SDR26G!$A$67,VLOOKUP($A63,SDR26G!$A$9:$N$66,5,FALSE),
IF($A63&lt;Cements!$A$95,VLOOKUP($A63,Cements!$A$8:$Q$94,4,FALSE),
IF($A63&lt;ValveBox!$A$124,VLOOKUP($A63,ValveBox!$A$9:$O$123,4,FALSE),
IF($A63&lt;'ValveBox Components'!$A$142,VLOOKUP($A63,'ValveBox Components'!$A$9:$N$141,4,FALSE),
IF($A63&lt;Drainage!$A$69,VLOOKUP($A63,Drainage!$A$8:$M$68,4,FALSE),
IF($A63&lt;Nipples!$A$82,VLOOKUP($A63,Nipples!$A$9:$Q$81,4,FALSE),
IF($A63&lt;Manifold!$A$33,VLOOKUP($A63,Manifold!$A$9:$M$32,4,FALSE),
IF($A63&lt;FlexibleRepairCouplings!$A$12,VLOOKUP($A63,FlexibleRepairCouplings!$A$9:$M$11,4,FALSE),
IF($A63&lt;DuraFix!$A$15,VLOOKUP($A63,DuraFix!$A$9:$M$14,4,FALSE),
IF($A63&lt;'Compression Fittings'!$A$16,VLOOKUP($A63,'Compression Fittings'!$A$8:$M$15,4,FALSE),
IF($A63&lt;'Hose Fittings'!$A$30,VLOOKUP($A63,'Hose Fittings'!$A$8:$M$29,4,FALSE),
IF($A63&lt;'Swing Joints'!$A$495,VLOOKUP($A63,'Swing Joints'!$A$9:$M$494,4,FALSE),
IF($A63&lt;'Swing Joints Components'!$A$135,VLOOKUP($A63,'Swing Joints Components'!$A$9:$M$134,4,FALSE),
IF($A63&lt;Nonstandard!$A$42,VLOOKUP($A63,Nonstandard!$A$31:$J$41,5,FALSE),"")))))))))))))))))))))))))))),"")</f>
        <v/>
      </c>
      <c r="C63" s="312" t="str">
        <f>IFERROR(IF($A63&lt;'DWV PVC'!$A$317,VLOOKUP($A63,'DWV PVC'!$A$9:$M$316,5,FALSE),
IF($A63&lt;'DWV ABS'!$A$117,VLOOKUP($A63,'DWV ABS'!$A$8:$M$116,5,FALSE),
IF($A63&lt;'PVC SCH40'!$A$425,VLOOKUP($A63,'PVC SCH40'!$A$8:$M$424,5,FALSE),
IF($A63&lt;'PVC SCH40 LD'!$A$22,VLOOKUP($A63,'PVC SCH40 LD'!$A$8:$M$21,5,FALSE),
IF($A63&lt;'Pool &amp; SPA Sweep Elbows'!$A$12,VLOOKUP($A63,'Pool &amp; SPA Sweep Elbows'!$A$8:$M$11,5,FALSE),
IF($A63&lt;'Pool &amp; SPA Pipe Extender'!$A$11,VLOOKUP($A63,'Pool &amp; SPA Pipe Extender'!$A$8:$M$10,5,FALSE),
IF($A63&lt;'PVC SCH80'!$A$250,VLOOKUP($A63,'PVC SCH80'!$A$8:$M$249,5,FALSE),
IF($A63&lt;'PVC SCH80 Flange'!$A$49,VLOOKUP($A63,'PVC SCH80 Flange'!$A$8:$M$48,5,FALSE),
IF($A63&lt;'PVC SCH80 LD Flange'!$A$17,VLOOKUP($A63,'PVC SCH80 LD Flange'!$A$8:$M$16,5,FALSE),
IF($A63&lt;CPVC!$A$105,VLOOKUP($A63,CPVC!$A$9:$M$104,5,FALSE),
IF($A63&lt;InsertFittings!$A$185,VLOOKUP($A63,InsertFittings!$A$9:$M$184,5,FALSE),
IF($A63&lt;Valves!$A$92,VLOOKUP($A63,Valves!$A$9:$Q$91,5,FALSE),
IF($A63&lt;SDR35SW!$A$133,VLOOKUP($A63,SDR35SW!$A$9:$M$132,5,FALSE),
IF($A63&lt;SDR35G!$A$151,VLOOKUP($A63,SDR35G!$A$9:$M$150,5,FALSE),
IF($A63&lt;SDR26G!$A$67,VLOOKUP($A63,SDR26G!$A$9:$N$66,6,FALSE),
IF($A63&lt;Cements!$A$95,VLOOKUP($A63,Cements!$A$8:$Q$94,5,FALSE),
IF($A63&lt;ValveBox!$A$124,VLOOKUP($A63,ValveBox!$A$9:$O$123,5,FALSE),
IF($A63&lt;'ValveBox Components'!$A$142,VLOOKUP($A63,'ValveBox Components'!$A$9:$N$141,5,FALSE),
IF($A63&lt;Drainage!$A$69,VLOOKUP($A63,Drainage!$A$8:$M$68,5,FALSE),
IF($A63&lt;Nipples!$A$82,VLOOKUP($A63,Nipples!$A$9:$Q$81,5,FALSE),
IF($A63&lt;Manifold!$A$33,VLOOKUP($A63,Manifold!$A$9:$M$32,5,FALSE),
IF($A63&lt;FlexibleRepairCouplings!$A$12,VLOOKUP($A63,FlexibleRepairCouplings!$A$9:$M$11,5,FALSE),
IF($A63&lt;DuraFix!$A$15,VLOOKUP($A63,DuraFix!$A$9:$M$14,5,FALSE),
IF($A63&lt;'Compression Fittings'!$A$16,VLOOKUP($A63,'Compression Fittings'!$A$8:$M$15,5,FALSE),
IF($A63&lt;'Hose Fittings'!$A$30,VLOOKUP($A63,'Hose Fittings'!$A$8:$M$29,5,FALSE),
IF($A63&lt;'Swing Joints'!$A$495,VLOOKUP($A63,'Swing Joints'!$A$9:$M$494,5,FALSE),
IF($A63&lt;'Swing Joints Components'!$A$135,VLOOKUP($A63,'Swing Joints Components'!$A$9:$M$134,5,FALSE),
IF($A63&lt;Nonstandard!$A$42,VLOOKUP($A63,Nonstandard!$A$31:$J$41,6,FALSE),"")))))))))))))))))))))))))))),"")</f>
        <v/>
      </c>
      <c r="D63" s="534" t="str">
        <f>IFERROR(IF($A63&lt;'DWV PVC'!$A$317,VLOOKUP($A63,'DWV PVC'!$A$9:$M$316,6,FALSE),
IF($A63&lt;'DWV ABS'!$A$117,VLOOKUP($A63,'DWV ABS'!$A$8:$M$116,6,FALSE),
IF($A63&lt;'PVC SCH40'!$A$425,VLOOKUP($A63,'PVC SCH40'!$A$8:$M$424,6,FALSE),
IF($A63&lt;'PVC SCH40 LD'!$A$22,VLOOKUP($A63,'PVC SCH40 LD'!$A$8:$M$21,6,FALSE),
IF($A63&lt;'Pool &amp; SPA Sweep Elbows'!$A$12,VLOOKUP($A63,'Pool &amp; SPA Sweep Elbows'!$A$8:$M$11,6,FALSE),
IF($A63&lt;'Pool &amp; SPA Pipe Extender'!$A$11,VLOOKUP($A63,'Pool &amp; SPA Pipe Extender'!$A$8:$M$10,6,FALSE),
IF($A63&lt;'PVC SCH80'!$A$250,VLOOKUP($A63,'PVC SCH80'!$A$8:$M$249,6,FALSE),
IF($A63&lt;'PVC SCH80 Flange'!$A$49,VLOOKUP($A63,'PVC SCH80 Flange'!$A$8:$M$48,6,FALSE),
IF($A63&lt;'PVC SCH80 LD Flange'!$A$17,VLOOKUP($A63,'PVC SCH80 LD Flange'!$A$8:$M$16,6,FALSE),
IF($A63&lt;CPVC!$A$105,VLOOKUP($A63,CPVC!$A$9:$M$104,6,FALSE),
IF($A63&lt;InsertFittings!$A$185,VLOOKUP($A63,InsertFittings!$A$9:$M$184,6,FALSE),
IF($A63&lt;Valves!$A$92,VLOOKUP($A63,Valves!$A$9:$Q$91,6,FALSE),
IF($A63&lt;SDR35SW!$A$133,VLOOKUP($A63,SDR35SW!$A$9:$M$132,6,FALSE),
IF($A63&lt;SDR35G!$A$151,VLOOKUP($A63,SDR35G!$A$9:$M$150,6,FALSE),
IF($A63&lt;SDR26G!$A$67,VLOOKUP($A63,SDR26G!$A$9:$N$66,7,FALSE),
IF($A63&lt;Cements!$A$95,VLOOKUP($A63,Cements!$A$8:$Q$94,6,FALSE),
IF($A63&lt;ValveBox!$A$124,VLOOKUP($A63,ValveBox!$A$9:$O$123,6,FALSE),
IF($A63&lt;'ValveBox Components'!$A$142,VLOOKUP($A63,'ValveBox Components'!$A$9:$N$141,6,FALSE),
IF($A63&lt;Drainage!$A$69,VLOOKUP($A63,Drainage!$A$8:$M$68,6,FALSE),
IF($A63&lt;Nipples!$A$82,VLOOKUP($A63,Nipples!$A$9:$Q$81,6,FALSE),
IF($A63&lt;Manifold!$A$33,VLOOKUP($A63,Manifold!$A$9:$M$32,6,FALSE),
IF($A63&lt;FlexibleRepairCouplings!$A$12,VLOOKUP($A63,FlexibleRepairCouplings!$A$9:$M$11,6,FALSE),
IF($A63&lt;DuraFix!$A$15,VLOOKUP($A63,DuraFix!$A$9:$M$14,6,FALSE),
IF($A63&lt;'Compression Fittings'!$A$16,VLOOKUP($A63,'Compression Fittings'!$A$8:$M$15,6,FALSE),
IF($A63&lt;'Hose Fittings'!$A$30,VLOOKUP($A63,'Hose Fittings'!$A$8:$M$29,6,FALSE),
IF($A63&lt;'Swing Joints'!$A$495,VLOOKUP($A63,'Swing Joints'!$A$9:$M$494,6,FALSE),
IF($A63&lt;'Swing Joints Components'!$A$135,VLOOKUP($A63,'Swing Joints Components'!$A$9:$M$134,6,FALSE),
IF($A63&lt;Nonstandard!$A$42,VLOOKUP($A63,Nonstandard!$A$31:$J$41,7,FALSE),"")))))))))))))))))))))))))))),"")</f>
        <v/>
      </c>
      <c r="E63" s="316"/>
      <c r="F63" s="314" t="str">
        <f>IFERROR(IF($A63&lt;'DWV PVC'!$A$317,VLOOKUP($A63,'DWV PVC'!$A$9:$M$316,9,FALSE),
IF($A63&lt;'DWV ABS'!$A$117,VLOOKUP($A63,'DWV ABS'!$A$8:$M$116,9,FALSE),                                                                                                                                                                                                                                                     IF($A63&lt;'PVC SCH40'!$A$425,VLOOKUP($A63,'PVC SCH40'!$A$8:$M$424,9,FALSE),
IF($A63&lt;'PVC SCH40 LD'!$A$22,VLOOKUP($A63,'PVC SCH40 LD'!$A$8:$M$21,9,FALSE),
IF($A63&lt;'Pool &amp; SPA Sweep Elbows'!$A$12,VLOOKUP($A63,'Pool &amp; SPA Sweep Elbows'!$A$8:$M$11,9,FALSE),
IF($A63&lt;'Pool &amp; SPA Pipe Extender'!$A$11,VLOOKUP($A63,'Pool &amp; SPA Pipe Extender'!$A$8:$M$10,9,FALSE),
IF($A63&lt;'PVC SCH80'!$A$250,VLOOKUP($A63,'PVC SCH80'!$A$8:$M$249,9,FALSE),
IF($A63&lt;'PVC SCH80 Flange'!$A$49,VLOOKUP($A63,'PVC SCH80 Flange'!$A$8:$M$48,9,FALSE),
IF($A63&lt;'PVC SCH80 LD Flange'!$A$17,VLOOKUP($A63,'PVC SCH80 LD Flange'!$A$8:$M$16,9,FALSE),
IF($A63&lt;CPVC!$A$105,VLOOKUP($A63,CPVC!$A$9:$M$104,9,FALSE),
IF($A63&lt;InsertFittings!$A$185,VLOOKUP($A63,InsertFittings!$A$9:$M$184,9,FALSE),
IF($A63&lt;Valves!$A$92,VLOOKUP($A63,Valves!$A$9:$Q$91,13,FALSE),
IF($A63&lt;SDR35SW!$A$133,VLOOKUP($A63,SDR35SW!$A$9:$M$132,9,FALSE),
IF($A63&lt;SDR35G!$A$151,VLOOKUP($A63,SDR35G!$A$9:$M$150,9,FALSE),                                                                                                                                                                                                                                                          IF($A63&lt;SDR26G!$A$67,VLOOKUP($A63,SDR26G!$A$9:$N$66,10,FALSE),                                                                                                                                                                                                                                                       IF($A63&lt;Cements!$A$95,VLOOKUP($A63,Cements!$A$8:$Q$94,13,FALSE),
IF($A63&lt;ValveBox!$A$124,VLOOKUP($A63,ValveBox!$A$9:$O$123,11,FALSE),
IF($A63&lt;'ValveBox Components'!$A$142,VLOOKUP($A63,'ValveBox Components'!$A$9:$N$141,10,FALSE),
IF($A63&lt;Drainage!$A$69,VLOOKUP($A63,Drainage!$A$8:$M$68,9,FALSE),                                                                                                                                                                                                                                                              IF($A63&lt;Nipples!$A$82,VLOOKUP($A63,Nipples!$A$9:$Q$81,13,FALSE),
IF($A63&lt;Manifold!$A$33,VLOOKUP($A63,Manifold!$A$9:$M$32,9,FALSE),
IF($A63&lt;FlexibleRepairCouplings!$A$12,VLOOKUP($A63,FlexibleRepairCouplings!$A$9:$M$11,9,FALSE),
IF($A63&lt;DuraFix!$A$15,VLOOKUP($A63,DuraFix!$A$9:$M$14,9,FALSE),                                                                                                                                                                                                                                                          IF($A63&lt;'Compression Fittings'!$A$16,VLOOKUP($A63,'Compression Fittings'!$A$8:$M$15,9,FALSE),
IF($A63&lt;'Hose Fittings'!$A$30,VLOOKUP($A63,'Hose Fittings'!$A$8:$M$29,9,FALSE),
IF($A63&lt;'Swing Joints'!$A$495,VLOOKUP($A63,'Swing Joints'!$A$9:$M$494,9,FALSE),
IF($A63&lt;'Swing Joints Components'!$A$135,VLOOKUP($A63,'Swing Joints Components'!$A$9:$M$134,9,FALSE),
IF($A63&lt;Nonstandard!$A$42,VLOOKUP($A63,Nonstandard!$A$31:$J$41,8,FALSE),"")))))))))))))))))))))))))))),"")</f>
        <v/>
      </c>
      <c r="G63" s="533" t="str">
        <f>IFERROR(IF($A63&lt;'DWV PVC'!$A$317,VLOOKUP($A63,'DWV PVC'!$A$9:$M$316,11,FALSE),
IF($A63&lt;'DWV ABS'!$A$117,VLOOKUP($A63,'DWV ABS'!$A$8:$M$116,11,FALSE),                                                                                                                                                                                                                                                     IF($A63&lt;'PVC SCH40'!$A$425,VLOOKUP($A63,'PVC SCH40'!$A$8:$M$424,11,FALSE),
IF($A63&lt;'PVC SCH40 LD'!$A$22,VLOOKUP($A63,'PVC SCH40 LD'!$A$8:$M$21,11,FALSE),
IF($A63&lt;'Pool &amp; SPA Sweep Elbows'!$A$12,VLOOKUP($A63,'Pool &amp; SPA Sweep Elbows'!$A$8:$M$11,11,FALSE),
IF($A63&lt;'Pool &amp; SPA Pipe Extender'!$A$11,VLOOKUP($A63,'Pool &amp; SPA Pipe Extender'!$A$8:$M$10,11,FALSE),
IF($A63&lt;'PVC SCH80'!$A$250,VLOOKUP($A63,'PVC SCH80'!$A$8:$M$249,11,FALSE),
IF($A63&lt;'PVC SCH80 Flange'!$A$49,VLOOKUP($A63,'PVC SCH80 Flange'!$A$8:$M$48,11,FALSE),
IF($A63&lt;'PVC SCH80 LD Flange'!$A$17,VLOOKUP($A63,'PVC SCH80 LD Flange'!$A$8:$M$16,11,FALSE),
IF($A63&lt;CPVC!$A$105,VLOOKUP($A63,CPVC!$A$9:$M$104,11,FALSE),
IF($A63&lt;InsertFittings!$A$185,VLOOKUP($A63,InsertFittings!$A$9:$M$184,11,FALSE),
IF($A63&lt;Valves!$A$92,VLOOKUP($A63,Valves!$A$9:$Q$91,15,FALSE),
IF($A63&lt;SDR35SW!$A$133,VLOOKUP($A63,SDR35SW!$A$9:$M$132,11,FALSE),
IF($A63&lt;SDR35G!$A$151,VLOOKUP($A63,SDR35G!$A$9:$M$150,11,FALSE),                                                                                                                                                                                                                                                          IF($A63&lt;SDR26G!$A$67,VLOOKUP($A63,SDR26G!$A$9:$N$66,12,FALSE),                                                                                                                                                                                                                                                       IF($A63&lt;Cements!$A$95,VLOOKUP($A63,Cements!$A$8:$Q$94,15,FALSE),
IF($A63&lt;ValveBox!$A$124,VLOOKUP($A63,ValveBox!$A$9:$O$123,13,FALSE),
IF($A63&lt;'ValveBox Components'!$A$142,VLOOKUP($A63,'ValveBox Components'!$A$9:$N$141,12,FALSE),
IF($A63&lt;Drainage!$A$69,VLOOKUP($A63,Drainage!$A$8:$M$68,11,FALSE),                                                                                                                                                                                                                                                           IF($A63&lt;Nipples!$A$82,VLOOKUP($A63,Nipples!$A$9:$Q$81,15,FALSE),
IF($A63&lt;Manifold!$A$33,VLOOKUP($A63,Manifold!$A$9:$M$32,11,FALSE),
IF($A63&lt;FlexibleRepairCouplings!$A$12,VLOOKUP($A63,FlexibleRepairCouplings!$A$9:$M$11,11,FALSE),
IF($A63&lt;DuraFix!$A$15,VLOOKUP($A63,DuraFix!$A$9:$M$14,11,FALSE),                                                                                                                                                                                                                                                            IF($A63&lt;'Compression Fittings'!$A$16,VLOOKUP($A63,'Compression Fittings'!$A$8:$M$15,11,FALSE),
IF($A63&lt;'Hose Fittings'!$A$30,VLOOKUP($A63,'Hose Fittings'!$A$8:$M$29,11,FALSE),
IF($A63&lt;'Swing Joints'!$A$495,VLOOKUP($A63,'Swing Joints'!$A$9:$M$494,11,FALSE),
IF($A63&lt;'Swing Joints Components'!$A$135,VLOOKUP($A63,'Swing Joints Components'!$A$9:$M$134,11,FALSE),
IF($A63&lt;Nonstandard!$A$42,VLOOKUP($A63,Nonstandard!$A$31:$J$41,10,FALSE),"")))))))))))))))))))))))))))),"")</f>
        <v/>
      </c>
      <c r="H63" s="618" t="str">
        <f>IFERROR(IF($A63&lt;'DWV PVC'!$A$317,VLOOKUP($A63,'DWV PVC'!$A$9:$M$316,7,FALSE),
IF($A63&lt;'DWV ABS'!$A$117,VLOOKUP($A63,'DWV ABS'!$A$8:$M$116,11,FALSE),                                                                                                                                                                                                                                                     IF($A63&lt;'PVC SCH40'!$A$425,VLOOKUP($A63,'PVC SCH40'!$A$8:$M$424,7,FALSE),
IF($A63&lt;'PVC SCH40 LD'!$A$22,VLOOKUP($A63,'PVC SCH40 LD'!$A$8:$M$21,7,FALSE),
IF($A63&lt;'Pool &amp; SPA Sweep Elbows'!$A$12,VLOOKUP($A63,'Pool &amp; SPA Sweep Elbows'!$A$8:$M$11,7,FALSE),
IF($A63&lt;'Pool &amp; SPA Pipe Extender'!$A$11,VLOOKUP($A63,'Pool &amp; SPA Pipe Extender'!$A$8:$M$10,7,FALSE),
IF($A63&lt;'PVC SCH80'!$A$250,VLOOKUP($A63,'PVC SCH80'!$A$8:$M$249,7,FALSE),
IF($A63&lt;'PVC SCH80 Flange'!$A$49,VLOOKUP($A63,'PVC SCH80 Flange'!$A$8:$M$48,7,FALSE),
IF($A63&lt;'PVC SCH80 LD Flange'!$A$17,VLOOKUP($A63,'PVC SCH80 LD Flange'!$A$8:$M$16,7,FALSE),
IF($A63&lt;CPVC!$A$105,VLOOKUP($A63,CPVC!$A$9:$M$104,7,FALSE),
IF($A63&lt;InsertFittings!$A$185,VLOOKUP($A63,InsertFittings!$A$9:$M$184,7,FALSE),
IF($A63&lt;Valves!$A$92,VLOOKUP($A63,Valves!$A$9:$Q$91,11,FALSE),
IF($A63&lt;SDR35SW!$A$133,VLOOKUP($A63,SDR35SW!$A$9:$M$132,7,FALSE),
IF($A63&lt;SDR35G!$A$151,VLOOKUP($A63,SDR35G!$A$9:$M$150,7,FALSE),                                                                                                                                                                                                                                                       IF($A63&lt;SDR26G!$A$67,VLOOKUP($A63,SDR26G!$A$9:$N$66,8,FALSE),                                                                                                                                                                                                                                                     IF($A63&lt;Cements!$A$95,VLOOKUP($A63,Cements!$A$8:$Q$94,11,FALSE),
IF($A63&lt;ValveBox!$A$124,VLOOKUP($A63,ValveBox!$A$9:$O$123,10,FALSE),
IF($A63&lt;'ValveBox Components'!$A$142,VLOOKUP($A63,'ValveBox Components'!$A$9:$N$141,9,FALSE),
IF($A63&lt;Drainage!$A$69,VLOOKUP($A63,Drainage!$A$8:$M$68,7,FALSE),                                                                                                                                                                                                                                                          IF($A63&lt;Nipples!$A$82,VLOOKUP($A63,Nipples!$A$9:$Q$81,11,FALSE),
IF($A63&lt;Manifold!$A$33,VLOOKUP($A63,Manifold!$A$9:$M$32,7,FALSE),
IF($A63&lt;FlexibleRepairCouplings!$A$12,VLOOKUP($A63,FlexibleRepairCouplings!$A$9:$M$11,7,FALSE),
IF($A63&lt;DuraFix!$A$15,VLOOKUP($A63,DuraFix!$A$9:$M$14,7,FALSE),                                                                                                                                                                                                                                                           IF($A63&lt;'Compression Fittings'!$A$16,VLOOKUP($A63,'Compression Fittings'!$A$8:$M$15,7,FALSE),
IF($A63&lt;'Hose Fittings'!$A$30,VLOOKUP($A63,'Hose Fittings'!$A$8:$M$29,7,FALSE),
IF($A63&lt;'Swing Joints'!$A$495,VLOOKUP($A63,'Swing Joints'!$A$9:$M$494,7,FALSE),
IF($A63&lt;'Swing Joints Components'!$A$135,VLOOKUP($A63,'Swing Joints Components'!$A$9:$M$134,7,FALSE),
IF($A63&lt;Nonstandard!$A$42,VLOOKUP($A63,Nonstandard!$A$31:$J$41,10,FALSE),"")))))))))))))))))))))))))))),"")</f>
        <v/>
      </c>
      <c r="I63" s="619"/>
      <c r="J63" s="281" t="str">
        <f t="shared" si="1"/>
        <v/>
      </c>
      <c r="K63" s="313" t="str">
        <f>IFERROR(IF($A63&lt;'DWV PVC'!$A$317,VLOOKUP($A63,'DWV PVC'!$A$9:$M$316,10,FALSE),
IF($A63&lt;'DWV ABS'!$A$117,VLOOKUP($A63,'DWV ABS'!$A$8:$M$116,10,FALSE),
IF($A63&lt;'PVC SCH40'!$A$425,VLOOKUP($A63,'PVC SCH40'!$A$8:$M$424,10,FALSE),
IF($A63&lt;'PVC SCH40 LD'!$A$22,VLOOKUP($A63,'PVC SCH40 LD'!$A$8:$M$21,10,FALSE),
IF($A63&lt;'Pool &amp; SPA Sweep Elbows'!$A$12,VLOOKUP($A63,'Pool &amp; SPA Sweep Elbows'!$A$8:$M$11,10,FALSE),
IF($A63&lt;'Pool &amp; SPA Pipe Extender'!$A$11,VLOOKUP($A63,'Pool &amp; SPA Pipe Extender'!$A$8:$M$10,10,FALSE),
IF($A63&lt;'PVC SCH80'!$A$250,VLOOKUP($A63,'PVC SCH80'!$A$8:$M$249,10,FALSE),
IF($A63&lt;'PVC SCH80 Flange'!$A$49,VLOOKUP($A63,'PVC SCH80 Flange'!$A$8:$M$48,10,FALSE),
IF($A63&lt;'PVC SCH80 LD Flange'!$A$17,VLOOKUP($A63,'PVC SCH80 LD Flange'!$A$8:$M$16,10,FALSE),
IF($A63&lt;CPVC!$A$105,VLOOKUP($A63,CPVC!$A$9:$M$104,10,FALSE),
IF($A63&lt;InsertFittings!$A$185,VLOOKUP($A63,InsertFittings!$A$9:$M$184,10,FALSE),
IF($A63&lt;Valves!$A$92,VLOOKUP($A63,Valves!$A$9:$Q$91,14,FALSE),
IF($A63&lt;SDR35SW!$A$133,VLOOKUP($A63,SDR35SW!$A$9:$M$132,10,FALSE),
IF($A63&lt;SDR35G!$A$151,VLOOKUP($A63,SDR35G!$A$9:$M$150,10,FALSE),
IF($A63&lt;SDR26G!$A$67,VLOOKUP($A63,SDR26G!$A$9:$N$66,11,FALSE),
IF($A63&lt;Cements!$A$95,VLOOKUP($A63,Cements!$A$8:$Q$94,14,FALSE),
IF($A63&lt;ValveBox!$A$124,VLOOKUP($A63,ValveBox!$A$9:$O$123,12,FALSE),
IF($A63&lt;'ValveBox Components'!$A$142,VLOOKUP($A63,'ValveBox Components'!$A$9:$N$141,11,FALSE),
IF($A63&lt;Drainage!$A$69,VLOOKUP($A63,Drainage!$A$8:$M$68,10,FALSE),
IF($A63&lt;Nipples!$A$82,VLOOKUP($A63,Nipples!$A$9:$Q$81,14,FALSE),
IF($A63&lt;Manifold!$A$33,VLOOKUP($A63,Manifold!$A$9:$M$32,10,FALSE),
IF($A63&lt;FlexibleRepairCouplings!$A$12,VLOOKUP($A63,FlexibleRepairCouplings!$A$9:$M$11,10,FALSE),
IF($A63&lt;DuraFix!$A$15,VLOOKUP($A63,DuraFix!$A$9:$M$14,10,FALSE),
IF($A63&lt;'Compression Fittings'!$A$16,VLOOKUP($A63,'Compression Fittings'!$A$8:$M$15,10,FALSE),
IF($A63&lt;'Hose Fittings'!$A$30,VLOOKUP($A63,'Hose Fittings'!$A$8:$M$29,10,FALSE),
IF($A63&lt;'Swing Joints'!$A$495,VLOOKUP($A63,'Swing Joints'!$A$9:$M$494,10,FALSE),
IF($A63&lt;'Swing Joints Components'!$A$135,VLOOKUP($A63,'Swing Joints Components'!$A$9:$M$134,10,FALSE),
IF($A63&lt;Nonstandard!$A$42,VLOOKUP($A63,Nonstandard!$A$31:$J$41,10,FALSE),"")))))))))))))))))))))))))))),"")</f>
        <v/>
      </c>
      <c r="L63" s="314" t="str">
        <f t="shared" si="0"/>
        <v>-</v>
      </c>
      <c r="M63" s="315"/>
    </row>
    <row r="64" spans="1:13" ht="15.6">
      <c r="A64" s="536">
        <v>32</v>
      </c>
      <c r="B64" s="536" t="str">
        <f>IFERROR(IF($A64&lt;'DWV PVC'!$A$317,VLOOKUP($A64,'DWV PVC'!$A$9:$M$316,4,FALSE),
IF($A64&lt;'DWV ABS'!$A$117,VLOOKUP($A64,'DWV ABS'!$A$8:$M$116,4,FALSE),
IF($A64&lt;'PVC SCH40'!$A$425,VLOOKUP($A64,'PVC SCH40'!$A$8:$M$424,4,FALSE),
IF($A64&lt;'PVC SCH40 LD'!$A$22,VLOOKUP($A64,'PVC SCH40 LD'!$A$8:$M$21,4,FALSE),
IF($A64&lt;'Pool &amp; SPA Sweep Elbows'!$A$12,VLOOKUP($A64,'Pool &amp; SPA Sweep Elbows'!$A$8:$M$11,4,FALSE),
IF($A64&lt;'Pool &amp; SPA Pipe Extender'!$A$11,VLOOKUP($A64,'Pool &amp; SPA Pipe Extender'!$A$8:$M$10,4,FALSE),
IF($A64&lt;'PVC SCH80'!$A$250,VLOOKUP($A64,'PVC SCH80'!$A$8:$M$249,4,FALSE),
IF($A64&lt;'PVC SCH80 Flange'!$A$49,VLOOKUP($A64,'PVC SCH80 Flange'!$A$8:$M$48,4,FALSE),
IF($A64&lt;'PVC SCH80 LD Flange'!$A$17,VLOOKUP($A64,'PVC SCH80 LD Flange'!$A$8:$M$16,4,FALSE),
IF($A64&lt;CPVC!$A$105,VLOOKUP($A64,CPVC!$A$9:$M$104,4,FALSE),
IF($A64&lt;InsertFittings!$A$185,VLOOKUP($A64,InsertFittings!$A$9:$M$184,4,FALSE),
IF($A64&lt;Valves!$A$92,VLOOKUP($A64,Valves!$A$9:$Q$91,4,FALSE),
IF($A64&lt;SDR35SW!$A$133,VLOOKUP($A64,SDR35SW!$A$9:$M$132,4,FALSE),
IF($A64&lt;SDR35G!$A$151,VLOOKUP($A64,SDR35G!$A$9:$M$150,4,FALSE),
IF($A64&lt;SDR26G!$A$67,VLOOKUP($A64,SDR26G!$A$9:$N$66,5,FALSE),
IF($A64&lt;Cements!$A$95,VLOOKUP($A64,Cements!$A$8:$Q$94,4,FALSE),
IF($A64&lt;ValveBox!$A$124,VLOOKUP($A64,ValveBox!$A$9:$O$123,4,FALSE),
IF($A64&lt;'ValveBox Components'!$A$142,VLOOKUP($A64,'ValveBox Components'!$A$9:$N$141,4,FALSE),
IF($A64&lt;Drainage!$A$69,VLOOKUP($A64,Drainage!$A$8:$M$68,4,FALSE),
IF($A64&lt;Nipples!$A$82,VLOOKUP($A64,Nipples!$A$9:$Q$81,4,FALSE),
IF($A64&lt;Manifold!$A$33,VLOOKUP($A64,Manifold!$A$9:$M$32,4,FALSE),
IF($A64&lt;FlexibleRepairCouplings!$A$12,VLOOKUP($A64,FlexibleRepairCouplings!$A$9:$M$11,4,FALSE),
IF($A64&lt;DuraFix!$A$15,VLOOKUP($A64,DuraFix!$A$9:$M$14,4,FALSE),
IF($A64&lt;'Compression Fittings'!$A$16,VLOOKUP($A64,'Compression Fittings'!$A$8:$M$15,4,FALSE),
IF($A64&lt;'Hose Fittings'!$A$30,VLOOKUP($A64,'Hose Fittings'!$A$8:$M$29,4,FALSE),
IF($A64&lt;'Swing Joints'!$A$495,VLOOKUP($A64,'Swing Joints'!$A$9:$M$494,4,FALSE),
IF($A64&lt;'Swing Joints Components'!$A$135,VLOOKUP($A64,'Swing Joints Components'!$A$9:$M$134,4,FALSE),
IF($A64&lt;Nonstandard!$A$42,VLOOKUP($A64,Nonstandard!$A$31:$J$41,5,FALSE),"")))))))))))))))))))))))))))),"")</f>
        <v/>
      </c>
      <c r="C64" s="536" t="str">
        <f>IFERROR(IF($A64&lt;'DWV PVC'!$A$317,VLOOKUP($A64,'DWV PVC'!$A$9:$M$316,5,FALSE),
IF($A64&lt;'DWV ABS'!$A$117,VLOOKUP($A64,'DWV ABS'!$A$8:$M$116,5,FALSE),
IF($A64&lt;'PVC SCH40'!$A$425,VLOOKUP($A64,'PVC SCH40'!$A$8:$M$424,5,FALSE),
IF($A64&lt;'PVC SCH40 LD'!$A$22,VLOOKUP($A64,'PVC SCH40 LD'!$A$8:$M$21,5,FALSE),
IF($A64&lt;'Pool &amp; SPA Sweep Elbows'!$A$12,VLOOKUP($A64,'Pool &amp; SPA Sweep Elbows'!$A$8:$M$11,5,FALSE),
IF($A64&lt;'Pool &amp; SPA Pipe Extender'!$A$11,VLOOKUP($A64,'Pool &amp; SPA Pipe Extender'!$A$8:$M$10,5,FALSE),
IF($A64&lt;'PVC SCH80'!$A$250,VLOOKUP($A64,'PVC SCH80'!$A$8:$M$249,5,FALSE),
IF($A64&lt;'PVC SCH80 Flange'!$A$49,VLOOKUP($A64,'PVC SCH80 Flange'!$A$8:$M$48,5,FALSE),
IF($A64&lt;'PVC SCH80 LD Flange'!$A$17,VLOOKUP($A64,'PVC SCH80 LD Flange'!$A$8:$M$16,5,FALSE),
IF($A64&lt;CPVC!$A$105,VLOOKUP($A64,CPVC!$A$9:$M$104,5,FALSE),
IF($A64&lt;InsertFittings!$A$185,VLOOKUP($A64,InsertFittings!$A$9:$M$184,5,FALSE),
IF($A64&lt;Valves!$A$92,VLOOKUP($A64,Valves!$A$9:$Q$91,5,FALSE),
IF($A64&lt;SDR35SW!$A$133,VLOOKUP($A64,SDR35SW!$A$9:$M$132,5,FALSE),
IF($A64&lt;SDR35G!$A$151,VLOOKUP($A64,SDR35G!$A$9:$M$150,5,FALSE),
IF($A64&lt;SDR26G!$A$67,VLOOKUP($A64,SDR26G!$A$9:$N$66,6,FALSE),
IF($A64&lt;Cements!$A$95,VLOOKUP($A64,Cements!$A$8:$Q$94,5,FALSE),
IF($A64&lt;ValveBox!$A$124,VLOOKUP($A64,ValveBox!$A$9:$O$123,5,FALSE),
IF($A64&lt;'ValveBox Components'!$A$142,VLOOKUP($A64,'ValveBox Components'!$A$9:$N$141,5,FALSE),
IF($A64&lt;Drainage!$A$69,VLOOKUP($A64,Drainage!$A$8:$M$68,5,FALSE),
IF($A64&lt;Nipples!$A$82,VLOOKUP($A64,Nipples!$A$9:$Q$81,5,FALSE),
IF($A64&lt;Manifold!$A$33,VLOOKUP($A64,Manifold!$A$9:$M$32,5,FALSE),
IF($A64&lt;FlexibleRepairCouplings!$A$12,VLOOKUP($A64,FlexibleRepairCouplings!$A$9:$M$11,5,FALSE),
IF($A64&lt;DuraFix!$A$15,VLOOKUP($A64,DuraFix!$A$9:$M$14,5,FALSE),
IF($A64&lt;'Compression Fittings'!$A$16,VLOOKUP($A64,'Compression Fittings'!$A$8:$M$15,5,FALSE),
IF($A64&lt;'Hose Fittings'!$A$30,VLOOKUP($A64,'Hose Fittings'!$A$8:$M$29,5,FALSE),
IF($A64&lt;'Swing Joints'!$A$495,VLOOKUP($A64,'Swing Joints'!$A$9:$M$494,5,FALSE),
IF($A64&lt;'Swing Joints Components'!$A$135,VLOOKUP($A64,'Swing Joints Components'!$A$9:$M$134,5,FALSE),
IF($A64&lt;Nonstandard!$A$42,VLOOKUP($A64,Nonstandard!$A$31:$J$41,6,FALSE),"")))))))))))))))))))))))))))),"")</f>
        <v/>
      </c>
      <c r="D64" s="537" t="str">
        <f>IFERROR(IF($A64&lt;'DWV PVC'!$A$317,VLOOKUP($A64,'DWV PVC'!$A$9:$M$316,6,FALSE),
IF($A64&lt;'DWV ABS'!$A$117,VLOOKUP($A64,'DWV ABS'!$A$8:$M$116,6,FALSE),
IF($A64&lt;'PVC SCH40'!$A$425,VLOOKUP($A64,'PVC SCH40'!$A$8:$M$424,6,FALSE),
IF($A64&lt;'PVC SCH40 LD'!$A$22,VLOOKUP($A64,'PVC SCH40 LD'!$A$8:$M$21,6,FALSE),
IF($A64&lt;'Pool &amp; SPA Sweep Elbows'!$A$12,VLOOKUP($A64,'Pool &amp; SPA Sweep Elbows'!$A$8:$M$11,6,FALSE),
IF($A64&lt;'Pool &amp; SPA Pipe Extender'!$A$11,VLOOKUP($A64,'Pool &amp; SPA Pipe Extender'!$A$8:$M$10,6,FALSE),
IF($A64&lt;'PVC SCH80'!$A$250,VLOOKUP($A64,'PVC SCH80'!$A$8:$M$249,6,FALSE),
IF($A64&lt;'PVC SCH80 Flange'!$A$49,VLOOKUP($A64,'PVC SCH80 Flange'!$A$8:$M$48,6,FALSE),
IF($A64&lt;'PVC SCH80 LD Flange'!$A$17,VLOOKUP($A64,'PVC SCH80 LD Flange'!$A$8:$M$16,6,FALSE),
IF($A64&lt;CPVC!$A$105,VLOOKUP($A64,CPVC!$A$9:$M$104,6,FALSE),
IF($A64&lt;InsertFittings!$A$185,VLOOKUP($A64,InsertFittings!$A$9:$M$184,6,FALSE),
IF($A64&lt;Valves!$A$92,VLOOKUP($A64,Valves!$A$9:$Q$91,6,FALSE),
IF($A64&lt;SDR35SW!$A$133,VLOOKUP($A64,SDR35SW!$A$9:$M$132,6,FALSE),
IF($A64&lt;SDR35G!$A$151,VLOOKUP($A64,SDR35G!$A$9:$M$150,6,FALSE),
IF($A64&lt;SDR26G!$A$67,VLOOKUP($A64,SDR26G!$A$9:$N$66,7,FALSE),
IF($A64&lt;Cements!$A$95,VLOOKUP($A64,Cements!$A$8:$Q$94,6,FALSE),
IF($A64&lt;ValveBox!$A$124,VLOOKUP($A64,ValveBox!$A$9:$O$123,6,FALSE),
IF($A64&lt;'ValveBox Components'!$A$142,VLOOKUP($A64,'ValveBox Components'!$A$9:$N$141,6,FALSE),
IF($A64&lt;Drainage!$A$69,VLOOKUP($A64,Drainage!$A$8:$M$68,6,FALSE),
IF($A64&lt;Nipples!$A$82,VLOOKUP($A64,Nipples!$A$9:$Q$81,6,FALSE),
IF($A64&lt;Manifold!$A$33,VLOOKUP($A64,Manifold!$A$9:$M$32,6,FALSE),
IF($A64&lt;FlexibleRepairCouplings!$A$12,VLOOKUP($A64,FlexibleRepairCouplings!$A$9:$M$11,6,FALSE),
IF($A64&lt;DuraFix!$A$15,VLOOKUP($A64,DuraFix!$A$9:$M$14,6,FALSE),
IF($A64&lt;'Compression Fittings'!$A$16,VLOOKUP($A64,'Compression Fittings'!$A$8:$M$15,6,FALSE),
IF($A64&lt;'Hose Fittings'!$A$30,VLOOKUP($A64,'Hose Fittings'!$A$8:$M$29,6,FALSE),
IF($A64&lt;'Swing Joints'!$A$495,VLOOKUP($A64,'Swing Joints'!$A$9:$M$494,6,FALSE),
IF($A64&lt;'Swing Joints Components'!$A$135,VLOOKUP($A64,'Swing Joints Components'!$A$9:$M$134,6,FALSE),
IF($A64&lt;Nonstandard!$A$42,VLOOKUP($A64,Nonstandard!$A$31:$J$41,7,FALSE),"")))))))))))))))))))))))))))),"")</f>
        <v/>
      </c>
      <c r="E64" s="538"/>
      <c r="F64" s="539" t="str">
        <f>IFERROR(IF($A64&lt;'DWV PVC'!$A$317,VLOOKUP($A64,'DWV PVC'!$A$9:$M$316,9,FALSE),
IF($A64&lt;'DWV ABS'!$A$117,VLOOKUP($A64,'DWV ABS'!$A$8:$M$116,9,FALSE),                                                                                                                                                                                                                                                     IF($A64&lt;'PVC SCH40'!$A$425,VLOOKUP($A64,'PVC SCH40'!$A$8:$M$424,9,FALSE),
IF($A64&lt;'PVC SCH40 LD'!$A$22,VLOOKUP($A64,'PVC SCH40 LD'!$A$8:$M$21,9,FALSE),
IF($A64&lt;'Pool &amp; SPA Sweep Elbows'!$A$12,VLOOKUP($A64,'Pool &amp; SPA Sweep Elbows'!$A$8:$M$11,9,FALSE),
IF($A64&lt;'Pool &amp; SPA Pipe Extender'!$A$11,VLOOKUP($A64,'Pool &amp; SPA Pipe Extender'!$A$8:$M$10,9,FALSE),
IF($A64&lt;'PVC SCH80'!$A$250,VLOOKUP($A64,'PVC SCH80'!$A$8:$M$249,9,FALSE),
IF($A64&lt;'PVC SCH80 Flange'!$A$49,VLOOKUP($A64,'PVC SCH80 Flange'!$A$8:$M$48,9,FALSE),
IF($A64&lt;'PVC SCH80 LD Flange'!$A$17,VLOOKUP($A64,'PVC SCH80 LD Flange'!$A$8:$M$16,9,FALSE),
IF($A64&lt;CPVC!$A$105,VLOOKUP($A64,CPVC!$A$9:$M$104,9,FALSE),
IF($A64&lt;InsertFittings!$A$185,VLOOKUP($A64,InsertFittings!$A$9:$M$184,9,FALSE),
IF($A64&lt;Valves!$A$92,VLOOKUP($A64,Valves!$A$9:$Q$91,13,FALSE),
IF($A64&lt;SDR35SW!$A$133,VLOOKUP($A64,SDR35SW!$A$9:$M$132,9,FALSE),
IF($A64&lt;SDR35G!$A$151,VLOOKUP($A64,SDR35G!$A$9:$M$150,9,FALSE),                                                                                                                                                                                                                                                          IF($A64&lt;SDR26G!$A$67,VLOOKUP($A64,SDR26G!$A$9:$N$66,10,FALSE),                                                                                                                                                                                                                                                       IF($A64&lt;Cements!$A$95,VLOOKUP($A64,Cements!$A$8:$Q$94,13,FALSE),
IF($A64&lt;ValveBox!$A$124,VLOOKUP($A64,ValveBox!$A$9:$O$123,11,FALSE),
IF($A64&lt;'ValveBox Components'!$A$142,VLOOKUP($A64,'ValveBox Components'!$A$9:$N$141,10,FALSE),
IF($A64&lt;Drainage!$A$69,VLOOKUP($A64,Drainage!$A$8:$M$68,9,FALSE),                                                                                                                                                                                                                                                              IF($A64&lt;Nipples!$A$82,VLOOKUP($A64,Nipples!$A$9:$Q$81,13,FALSE),
IF($A64&lt;Manifold!$A$33,VLOOKUP($A64,Manifold!$A$9:$M$32,9,FALSE),
IF($A64&lt;FlexibleRepairCouplings!$A$12,VLOOKUP($A64,FlexibleRepairCouplings!$A$9:$M$11,9,FALSE),
IF($A64&lt;DuraFix!$A$15,VLOOKUP($A64,DuraFix!$A$9:$M$14,9,FALSE),                                                                                                                                                                                                                                                          IF($A64&lt;'Compression Fittings'!$A$16,VLOOKUP($A64,'Compression Fittings'!$A$8:$M$15,9,FALSE),
IF($A64&lt;'Hose Fittings'!$A$30,VLOOKUP($A64,'Hose Fittings'!$A$8:$M$29,9,FALSE),
IF($A64&lt;'Swing Joints'!$A$495,VLOOKUP($A64,'Swing Joints'!$A$9:$M$494,9,FALSE),
IF($A64&lt;'Swing Joints Components'!$A$135,VLOOKUP($A64,'Swing Joints Components'!$A$9:$M$134,9,FALSE),
IF($A64&lt;Nonstandard!$A$42,VLOOKUP($A64,Nonstandard!$A$31:$J$41,8,FALSE),"")))))))))))))))))))))))))))),"")</f>
        <v/>
      </c>
      <c r="G64" s="540" t="str">
        <f>IFERROR(IF($A64&lt;'DWV PVC'!$A$317,VLOOKUP($A64,'DWV PVC'!$A$9:$M$316,11,FALSE),
IF($A64&lt;'DWV ABS'!$A$117,VLOOKUP($A64,'DWV ABS'!$A$8:$M$116,11,FALSE),                                                                                                                                                                                                                                                     IF($A64&lt;'PVC SCH40'!$A$425,VLOOKUP($A64,'PVC SCH40'!$A$8:$M$424,11,FALSE),
IF($A64&lt;'PVC SCH40 LD'!$A$22,VLOOKUP($A64,'PVC SCH40 LD'!$A$8:$M$21,11,FALSE),
IF($A64&lt;'Pool &amp; SPA Sweep Elbows'!$A$12,VLOOKUP($A64,'Pool &amp; SPA Sweep Elbows'!$A$8:$M$11,11,FALSE),
IF($A64&lt;'Pool &amp; SPA Pipe Extender'!$A$11,VLOOKUP($A64,'Pool &amp; SPA Pipe Extender'!$A$8:$M$10,11,FALSE),
IF($A64&lt;'PVC SCH80'!$A$250,VLOOKUP($A64,'PVC SCH80'!$A$8:$M$249,11,FALSE),
IF($A64&lt;'PVC SCH80 Flange'!$A$49,VLOOKUP($A64,'PVC SCH80 Flange'!$A$8:$M$48,11,FALSE),
IF($A64&lt;'PVC SCH80 LD Flange'!$A$17,VLOOKUP($A64,'PVC SCH80 LD Flange'!$A$8:$M$16,11,FALSE),
IF($A64&lt;CPVC!$A$105,VLOOKUP($A64,CPVC!$A$9:$M$104,11,FALSE),
IF($A64&lt;InsertFittings!$A$185,VLOOKUP($A64,InsertFittings!$A$9:$M$184,11,FALSE),
IF($A64&lt;Valves!$A$92,VLOOKUP($A64,Valves!$A$9:$Q$91,15,FALSE),
IF($A64&lt;SDR35SW!$A$133,VLOOKUP($A64,SDR35SW!$A$9:$M$132,11,FALSE),
IF($A64&lt;SDR35G!$A$151,VLOOKUP($A64,SDR35G!$A$9:$M$150,11,FALSE),                                                                                                                                                                                                                                                          IF($A64&lt;SDR26G!$A$67,VLOOKUP($A64,SDR26G!$A$9:$N$66,12,FALSE),                                                                                                                                                                                                                                                       IF($A64&lt;Cements!$A$95,VLOOKUP($A64,Cements!$A$8:$Q$94,15,FALSE),
IF($A64&lt;ValveBox!$A$124,VLOOKUP($A64,ValveBox!$A$9:$O$123,13,FALSE),
IF($A64&lt;'ValveBox Components'!$A$142,VLOOKUP($A64,'ValveBox Components'!$A$9:$N$141,12,FALSE),
IF($A64&lt;Drainage!$A$69,VLOOKUP($A64,Drainage!$A$8:$M$68,11,FALSE),                                                                                                                                                                                                                                                           IF($A64&lt;Nipples!$A$82,VLOOKUP($A64,Nipples!$A$9:$Q$81,15,FALSE),
IF($A64&lt;Manifold!$A$33,VLOOKUP($A64,Manifold!$A$9:$M$32,11,FALSE),
IF($A64&lt;FlexibleRepairCouplings!$A$12,VLOOKUP($A64,FlexibleRepairCouplings!$A$9:$M$11,11,FALSE),
IF($A64&lt;DuraFix!$A$15,VLOOKUP($A64,DuraFix!$A$9:$M$14,11,FALSE),                                                                                                                                                                                                                                                            IF($A64&lt;'Compression Fittings'!$A$16,VLOOKUP($A64,'Compression Fittings'!$A$8:$M$15,11,FALSE),
IF($A64&lt;'Hose Fittings'!$A$30,VLOOKUP($A64,'Hose Fittings'!$A$8:$M$29,11,FALSE),
IF($A64&lt;'Swing Joints'!$A$495,VLOOKUP($A64,'Swing Joints'!$A$9:$M$494,11,FALSE),
IF($A64&lt;'Swing Joints Components'!$A$135,VLOOKUP($A64,'Swing Joints Components'!$A$9:$M$134,11,FALSE),
IF($A64&lt;Nonstandard!$A$42,VLOOKUP($A64,Nonstandard!$A$31:$J$41,10,FALSE),"")))))))))))))))))))))))))))),"")</f>
        <v/>
      </c>
      <c r="H64" s="620" t="str">
        <f>IFERROR(IF($A64&lt;'DWV PVC'!$A$317,VLOOKUP($A64,'DWV PVC'!$A$9:$M$316,7,FALSE),
IF($A64&lt;'DWV ABS'!$A$117,VLOOKUP($A64,'DWV ABS'!$A$8:$M$116,11,FALSE),                                                                                                                                                                                                                                                     IF($A64&lt;'PVC SCH40'!$A$425,VLOOKUP($A64,'PVC SCH40'!$A$8:$M$424,7,FALSE),
IF($A64&lt;'PVC SCH40 LD'!$A$22,VLOOKUP($A64,'PVC SCH40 LD'!$A$8:$M$21,7,FALSE),
IF($A64&lt;'Pool &amp; SPA Sweep Elbows'!$A$12,VLOOKUP($A64,'Pool &amp; SPA Sweep Elbows'!$A$8:$M$11,7,FALSE),
IF($A64&lt;'Pool &amp; SPA Pipe Extender'!$A$11,VLOOKUP($A64,'Pool &amp; SPA Pipe Extender'!$A$8:$M$10,7,FALSE),
IF($A64&lt;'PVC SCH80'!$A$250,VLOOKUP($A64,'PVC SCH80'!$A$8:$M$249,7,FALSE),
IF($A64&lt;'PVC SCH80 Flange'!$A$49,VLOOKUP($A64,'PVC SCH80 Flange'!$A$8:$M$48,7,FALSE),
IF($A64&lt;'PVC SCH80 LD Flange'!$A$17,VLOOKUP($A64,'PVC SCH80 LD Flange'!$A$8:$M$16,7,FALSE),
IF($A64&lt;CPVC!$A$105,VLOOKUP($A64,CPVC!$A$9:$M$104,7,FALSE),
IF($A64&lt;InsertFittings!$A$185,VLOOKUP($A64,InsertFittings!$A$9:$M$184,7,FALSE),
IF($A64&lt;Valves!$A$92,VLOOKUP($A64,Valves!$A$9:$Q$91,11,FALSE),
IF($A64&lt;SDR35SW!$A$133,VLOOKUP($A64,SDR35SW!$A$9:$M$132,7,FALSE),
IF($A64&lt;SDR35G!$A$151,VLOOKUP($A64,SDR35G!$A$9:$M$150,7,FALSE),                                                                                                                                                                                                                                                       IF($A64&lt;SDR26G!$A$67,VLOOKUP($A64,SDR26G!$A$9:$N$66,8,FALSE),                                                                                                                                                                                                                                                     IF($A64&lt;Cements!$A$95,VLOOKUP($A64,Cements!$A$8:$Q$94,11,FALSE),
IF($A64&lt;ValveBox!$A$124,VLOOKUP($A64,ValveBox!$A$9:$O$123,10,FALSE),
IF($A64&lt;'ValveBox Components'!$A$142,VLOOKUP($A64,'ValveBox Components'!$A$9:$N$141,9,FALSE),
IF($A64&lt;Drainage!$A$69,VLOOKUP($A64,Drainage!$A$8:$M$68,7,FALSE),                                                                                                                                                                                                                                                          IF($A64&lt;Nipples!$A$82,VLOOKUP($A64,Nipples!$A$9:$Q$81,11,FALSE),
IF($A64&lt;Manifold!$A$33,VLOOKUP($A64,Manifold!$A$9:$M$32,7,FALSE),
IF($A64&lt;FlexibleRepairCouplings!$A$12,VLOOKUP($A64,FlexibleRepairCouplings!$A$9:$M$11,7,FALSE),
IF($A64&lt;DuraFix!$A$15,VLOOKUP($A64,DuraFix!$A$9:$M$14,7,FALSE),                                                                                                                                                                                                                                                           IF($A64&lt;'Compression Fittings'!$A$16,VLOOKUP($A64,'Compression Fittings'!$A$8:$M$15,7,FALSE),
IF($A64&lt;'Hose Fittings'!$A$30,VLOOKUP($A64,'Hose Fittings'!$A$8:$M$29,7,FALSE),
IF($A64&lt;'Swing Joints'!$A$495,VLOOKUP($A64,'Swing Joints'!$A$9:$M$494,7,FALSE),
IF($A64&lt;'Swing Joints Components'!$A$135,VLOOKUP($A64,'Swing Joints Components'!$A$9:$M$134,7,FALSE),
IF($A64&lt;Nonstandard!$A$42,VLOOKUP($A64,Nonstandard!$A$31:$J$41,10,FALSE),"")))))))))))))))))))))))))))),"")</f>
        <v/>
      </c>
      <c r="I64" s="621"/>
      <c r="J64" s="541" t="str">
        <f t="shared" si="1"/>
        <v/>
      </c>
      <c r="K64" s="599" t="str">
        <f>IFERROR(IF($A64&lt;'DWV PVC'!$A$317,VLOOKUP($A64,'DWV PVC'!$A$9:$M$316,10,FALSE),
IF($A64&lt;'DWV ABS'!$A$117,VLOOKUP($A64,'DWV ABS'!$A$8:$M$116,10,FALSE),
IF($A64&lt;'PVC SCH40'!$A$425,VLOOKUP($A64,'PVC SCH40'!$A$8:$M$424,10,FALSE),
IF($A64&lt;'PVC SCH40 LD'!$A$22,VLOOKUP($A64,'PVC SCH40 LD'!$A$8:$M$21,10,FALSE),
IF($A64&lt;'Pool &amp; SPA Sweep Elbows'!$A$12,VLOOKUP($A64,'Pool &amp; SPA Sweep Elbows'!$A$8:$M$11,10,FALSE),
IF($A64&lt;'Pool &amp; SPA Pipe Extender'!$A$11,VLOOKUP($A64,'Pool &amp; SPA Pipe Extender'!$A$8:$M$10,10,FALSE),
IF($A64&lt;'PVC SCH80'!$A$250,VLOOKUP($A64,'PVC SCH80'!$A$8:$M$249,10,FALSE),
IF($A64&lt;'PVC SCH80 Flange'!$A$49,VLOOKUP($A64,'PVC SCH80 Flange'!$A$8:$M$48,10,FALSE),
IF($A64&lt;'PVC SCH80 LD Flange'!$A$17,VLOOKUP($A64,'PVC SCH80 LD Flange'!$A$8:$M$16,10,FALSE),
IF($A64&lt;CPVC!$A$105,VLOOKUP($A64,CPVC!$A$9:$M$104,10,FALSE),
IF($A64&lt;InsertFittings!$A$185,VLOOKUP($A64,InsertFittings!$A$9:$M$184,10,FALSE),
IF($A64&lt;Valves!$A$92,VLOOKUP($A64,Valves!$A$9:$Q$91,14,FALSE),
IF($A64&lt;SDR35SW!$A$133,VLOOKUP($A64,SDR35SW!$A$9:$M$132,10,FALSE),
IF($A64&lt;SDR35G!$A$151,VLOOKUP($A64,SDR35G!$A$9:$M$150,10,FALSE),
IF($A64&lt;SDR26G!$A$67,VLOOKUP($A64,SDR26G!$A$9:$N$66,11,FALSE),
IF($A64&lt;Cements!$A$95,VLOOKUP($A64,Cements!$A$8:$Q$94,14,FALSE),
IF($A64&lt;ValveBox!$A$124,VLOOKUP($A64,ValveBox!$A$9:$O$123,12,FALSE),
IF($A64&lt;'ValveBox Components'!$A$142,VLOOKUP($A64,'ValveBox Components'!$A$9:$N$141,11,FALSE),
IF($A64&lt;Drainage!$A$69,VLOOKUP($A64,Drainage!$A$8:$M$68,10,FALSE),
IF($A64&lt;Nipples!$A$82,VLOOKUP($A64,Nipples!$A$9:$Q$81,14,FALSE),
IF($A64&lt;Manifold!$A$33,VLOOKUP($A64,Manifold!$A$9:$M$32,10,FALSE),
IF($A64&lt;FlexibleRepairCouplings!$A$12,VLOOKUP($A64,FlexibleRepairCouplings!$A$9:$M$11,10,FALSE),
IF($A64&lt;DuraFix!$A$15,VLOOKUP($A64,DuraFix!$A$9:$M$14,10,FALSE),
IF($A64&lt;'Compression Fittings'!$A$16,VLOOKUP($A64,'Compression Fittings'!$A$8:$M$15,10,FALSE),
IF($A64&lt;'Hose Fittings'!$A$30,VLOOKUP($A64,'Hose Fittings'!$A$8:$M$29,10,FALSE),
IF($A64&lt;'Swing Joints'!$A$495,VLOOKUP($A64,'Swing Joints'!$A$9:$M$494,10,FALSE),
IF($A64&lt;'Swing Joints Components'!$A$135,VLOOKUP($A64,'Swing Joints Components'!$A$9:$M$134,10,FALSE),
IF($A64&lt;Nonstandard!$A$42,VLOOKUP($A64,Nonstandard!$A$31:$J$41,10,FALSE),"")))))))))))))))))))))))))))),"")</f>
        <v/>
      </c>
      <c r="L64" s="539" t="str">
        <f t="shared" si="0"/>
        <v>-</v>
      </c>
      <c r="M64" s="542"/>
    </row>
    <row r="65" spans="1:13" ht="15.6">
      <c r="A65" s="312">
        <v>33</v>
      </c>
      <c r="B65" s="312" t="str">
        <f>IFERROR(IF($A65&lt;'DWV PVC'!$A$317,VLOOKUP($A65,'DWV PVC'!$A$9:$M$316,4,FALSE),
IF($A65&lt;'DWV ABS'!$A$117,VLOOKUP($A65,'DWV ABS'!$A$8:$M$116,4,FALSE),
IF($A65&lt;'PVC SCH40'!$A$425,VLOOKUP($A65,'PVC SCH40'!$A$8:$M$424,4,FALSE),
IF($A65&lt;'PVC SCH40 LD'!$A$22,VLOOKUP($A65,'PVC SCH40 LD'!$A$8:$M$21,4,FALSE),
IF($A65&lt;'Pool &amp; SPA Sweep Elbows'!$A$12,VLOOKUP($A65,'Pool &amp; SPA Sweep Elbows'!$A$8:$M$11,4,FALSE),
IF($A65&lt;'Pool &amp; SPA Pipe Extender'!$A$11,VLOOKUP($A65,'Pool &amp; SPA Pipe Extender'!$A$8:$M$10,4,FALSE),
IF($A65&lt;'PVC SCH80'!$A$250,VLOOKUP($A65,'PVC SCH80'!$A$8:$M$249,4,FALSE),
IF($A65&lt;'PVC SCH80 Flange'!$A$49,VLOOKUP($A65,'PVC SCH80 Flange'!$A$8:$M$48,4,FALSE),
IF($A65&lt;'PVC SCH80 LD Flange'!$A$17,VLOOKUP($A65,'PVC SCH80 LD Flange'!$A$8:$M$16,4,FALSE),
IF($A65&lt;CPVC!$A$105,VLOOKUP($A65,CPVC!$A$9:$M$104,4,FALSE),
IF($A65&lt;InsertFittings!$A$185,VLOOKUP($A65,InsertFittings!$A$9:$M$184,4,FALSE),
IF($A65&lt;Valves!$A$92,VLOOKUP($A65,Valves!$A$9:$Q$91,4,FALSE),
IF($A65&lt;SDR35SW!$A$133,VLOOKUP($A65,SDR35SW!$A$9:$M$132,4,FALSE),
IF($A65&lt;SDR35G!$A$151,VLOOKUP($A65,SDR35G!$A$9:$M$150,4,FALSE),
IF($A65&lt;SDR26G!$A$67,VLOOKUP($A65,SDR26G!$A$9:$N$66,5,FALSE),
IF($A65&lt;Cements!$A$95,VLOOKUP($A65,Cements!$A$8:$Q$94,4,FALSE),
IF($A65&lt;ValveBox!$A$124,VLOOKUP($A65,ValveBox!$A$9:$O$123,4,FALSE),
IF($A65&lt;'ValveBox Components'!$A$142,VLOOKUP($A65,'ValveBox Components'!$A$9:$N$141,4,FALSE),
IF($A65&lt;Drainage!$A$69,VLOOKUP($A65,Drainage!$A$8:$M$68,4,FALSE),
IF($A65&lt;Nipples!$A$82,VLOOKUP($A65,Nipples!$A$9:$Q$81,4,FALSE),
IF($A65&lt;Manifold!$A$33,VLOOKUP($A65,Manifold!$A$9:$M$32,4,FALSE),
IF($A65&lt;FlexibleRepairCouplings!$A$12,VLOOKUP($A65,FlexibleRepairCouplings!$A$9:$M$11,4,FALSE),
IF($A65&lt;DuraFix!$A$15,VLOOKUP($A65,DuraFix!$A$9:$M$14,4,FALSE),
IF($A65&lt;'Compression Fittings'!$A$16,VLOOKUP($A65,'Compression Fittings'!$A$8:$M$15,4,FALSE),
IF($A65&lt;'Hose Fittings'!$A$30,VLOOKUP($A65,'Hose Fittings'!$A$8:$M$29,4,FALSE),
IF($A65&lt;'Swing Joints'!$A$495,VLOOKUP($A65,'Swing Joints'!$A$9:$M$494,4,FALSE),
IF($A65&lt;'Swing Joints Components'!$A$135,VLOOKUP($A65,'Swing Joints Components'!$A$9:$M$134,4,FALSE),
IF($A65&lt;Nonstandard!$A$42,VLOOKUP($A65,Nonstandard!$A$31:$J$41,5,FALSE),"")))))))))))))))))))))))))))),"")</f>
        <v/>
      </c>
      <c r="C65" s="312" t="str">
        <f>IFERROR(IF($A65&lt;'DWV PVC'!$A$317,VLOOKUP($A65,'DWV PVC'!$A$9:$M$316,5,FALSE),
IF($A65&lt;'DWV ABS'!$A$117,VLOOKUP($A65,'DWV ABS'!$A$8:$M$116,5,FALSE),
IF($A65&lt;'PVC SCH40'!$A$425,VLOOKUP($A65,'PVC SCH40'!$A$8:$M$424,5,FALSE),
IF($A65&lt;'PVC SCH40 LD'!$A$22,VLOOKUP($A65,'PVC SCH40 LD'!$A$8:$M$21,5,FALSE),
IF($A65&lt;'Pool &amp; SPA Sweep Elbows'!$A$12,VLOOKUP($A65,'Pool &amp; SPA Sweep Elbows'!$A$8:$M$11,5,FALSE),
IF($A65&lt;'Pool &amp; SPA Pipe Extender'!$A$11,VLOOKUP($A65,'Pool &amp; SPA Pipe Extender'!$A$8:$M$10,5,FALSE),
IF($A65&lt;'PVC SCH80'!$A$250,VLOOKUP($A65,'PVC SCH80'!$A$8:$M$249,5,FALSE),
IF($A65&lt;'PVC SCH80 Flange'!$A$49,VLOOKUP($A65,'PVC SCH80 Flange'!$A$8:$M$48,5,FALSE),
IF($A65&lt;'PVC SCH80 LD Flange'!$A$17,VLOOKUP($A65,'PVC SCH80 LD Flange'!$A$8:$M$16,5,FALSE),
IF($A65&lt;CPVC!$A$105,VLOOKUP($A65,CPVC!$A$9:$M$104,5,FALSE),
IF($A65&lt;InsertFittings!$A$185,VLOOKUP($A65,InsertFittings!$A$9:$M$184,5,FALSE),
IF($A65&lt;Valves!$A$92,VLOOKUP($A65,Valves!$A$9:$Q$91,5,FALSE),
IF($A65&lt;SDR35SW!$A$133,VLOOKUP($A65,SDR35SW!$A$9:$M$132,5,FALSE),
IF($A65&lt;SDR35G!$A$151,VLOOKUP($A65,SDR35G!$A$9:$M$150,5,FALSE),
IF($A65&lt;SDR26G!$A$67,VLOOKUP($A65,SDR26G!$A$9:$N$66,6,FALSE),
IF($A65&lt;Cements!$A$95,VLOOKUP($A65,Cements!$A$8:$Q$94,5,FALSE),
IF($A65&lt;ValveBox!$A$124,VLOOKUP($A65,ValveBox!$A$9:$O$123,5,FALSE),
IF($A65&lt;'ValveBox Components'!$A$142,VLOOKUP($A65,'ValveBox Components'!$A$9:$N$141,5,FALSE),
IF($A65&lt;Drainage!$A$69,VLOOKUP($A65,Drainage!$A$8:$M$68,5,FALSE),
IF($A65&lt;Nipples!$A$82,VLOOKUP($A65,Nipples!$A$9:$Q$81,5,FALSE),
IF($A65&lt;Manifold!$A$33,VLOOKUP($A65,Manifold!$A$9:$M$32,5,FALSE),
IF($A65&lt;FlexibleRepairCouplings!$A$12,VLOOKUP($A65,FlexibleRepairCouplings!$A$9:$M$11,5,FALSE),
IF($A65&lt;DuraFix!$A$15,VLOOKUP($A65,DuraFix!$A$9:$M$14,5,FALSE),
IF($A65&lt;'Compression Fittings'!$A$16,VLOOKUP($A65,'Compression Fittings'!$A$8:$M$15,5,FALSE),
IF($A65&lt;'Hose Fittings'!$A$30,VLOOKUP($A65,'Hose Fittings'!$A$8:$M$29,5,FALSE),
IF($A65&lt;'Swing Joints'!$A$495,VLOOKUP($A65,'Swing Joints'!$A$9:$M$494,5,FALSE),
IF($A65&lt;'Swing Joints Components'!$A$135,VLOOKUP($A65,'Swing Joints Components'!$A$9:$M$134,5,FALSE),
IF($A65&lt;Nonstandard!$A$42,VLOOKUP($A65,Nonstandard!$A$31:$J$41,6,FALSE),"")))))))))))))))))))))))))))),"")</f>
        <v/>
      </c>
      <c r="D65" s="534" t="str">
        <f>IFERROR(IF($A65&lt;'DWV PVC'!$A$317,VLOOKUP($A65,'DWV PVC'!$A$9:$M$316,6,FALSE),
IF($A65&lt;'DWV ABS'!$A$117,VLOOKUP($A65,'DWV ABS'!$A$8:$M$116,6,FALSE),
IF($A65&lt;'PVC SCH40'!$A$425,VLOOKUP($A65,'PVC SCH40'!$A$8:$M$424,6,FALSE),
IF($A65&lt;'PVC SCH40 LD'!$A$22,VLOOKUP($A65,'PVC SCH40 LD'!$A$8:$M$21,6,FALSE),
IF($A65&lt;'Pool &amp; SPA Sweep Elbows'!$A$12,VLOOKUP($A65,'Pool &amp; SPA Sweep Elbows'!$A$8:$M$11,6,FALSE),
IF($A65&lt;'Pool &amp; SPA Pipe Extender'!$A$11,VLOOKUP($A65,'Pool &amp; SPA Pipe Extender'!$A$8:$M$10,6,FALSE),
IF($A65&lt;'PVC SCH80'!$A$250,VLOOKUP($A65,'PVC SCH80'!$A$8:$M$249,6,FALSE),
IF($A65&lt;'PVC SCH80 Flange'!$A$49,VLOOKUP($A65,'PVC SCH80 Flange'!$A$8:$M$48,6,FALSE),
IF($A65&lt;'PVC SCH80 LD Flange'!$A$17,VLOOKUP($A65,'PVC SCH80 LD Flange'!$A$8:$M$16,6,FALSE),
IF($A65&lt;CPVC!$A$105,VLOOKUP($A65,CPVC!$A$9:$M$104,6,FALSE),
IF($A65&lt;InsertFittings!$A$185,VLOOKUP($A65,InsertFittings!$A$9:$M$184,6,FALSE),
IF($A65&lt;Valves!$A$92,VLOOKUP($A65,Valves!$A$9:$Q$91,6,FALSE),
IF($A65&lt;SDR35SW!$A$133,VLOOKUP($A65,SDR35SW!$A$9:$M$132,6,FALSE),
IF($A65&lt;SDR35G!$A$151,VLOOKUP($A65,SDR35G!$A$9:$M$150,6,FALSE),
IF($A65&lt;SDR26G!$A$67,VLOOKUP($A65,SDR26G!$A$9:$N$66,7,FALSE),
IF($A65&lt;Cements!$A$95,VLOOKUP($A65,Cements!$A$8:$Q$94,6,FALSE),
IF($A65&lt;ValveBox!$A$124,VLOOKUP($A65,ValveBox!$A$9:$O$123,6,FALSE),
IF($A65&lt;'ValveBox Components'!$A$142,VLOOKUP($A65,'ValveBox Components'!$A$9:$N$141,6,FALSE),
IF($A65&lt;Drainage!$A$69,VLOOKUP($A65,Drainage!$A$8:$M$68,6,FALSE),
IF($A65&lt;Nipples!$A$82,VLOOKUP($A65,Nipples!$A$9:$Q$81,6,FALSE),
IF($A65&lt;Manifold!$A$33,VLOOKUP($A65,Manifold!$A$9:$M$32,6,FALSE),
IF($A65&lt;FlexibleRepairCouplings!$A$12,VLOOKUP($A65,FlexibleRepairCouplings!$A$9:$M$11,6,FALSE),
IF($A65&lt;DuraFix!$A$15,VLOOKUP($A65,DuraFix!$A$9:$M$14,6,FALSE),
IF($A65&lt;'Compression Fittings'!$A$16,VLOOKUP($A65,'Compression Fittings'!$A$8:$M$15,6,FALSE),
IF($A65&lt;'Hose Fittings'!$A$30,VLOOKUP($A65,'Hose Fittings'!$A$8:$M$29,6,FALSE),
IF($A65&lt;'Swing Joints'!$A$495,VLOOKUP($A65,'Swing Joints'!$A$9:$M$494,6,FALSE),
IF($A65&lt;'Swing Joints Components'!$A$135,VLOOKUP($A65,'Swing Joints Components'!$A$9:$M$134,6,FALSE),
IF($A65&lt;Nonstandard!$A$42,VLOOKUP($A65,Nonstandard!$A$31:$J$41,7,FALSE),"")))))))))))))))))))))))))))),"")</f>
        <v/>
      </c>
      <c r="E65" s="316"/>
      <c r="F65" s="314" t="str">
        <f>IFERROR(IF($A65&lt;'DWV PVC'!$A$317,VLOOKUP($A65,'DWV PVC'!$A$9:$M$316,9,FALSE),
IF($A65&lt;'DWV ABS'!$A$117,VLOOKUP($A65,'DWV ABS'!$A$8:$M$116,9,FALSE),                                                                                                                                                                                                                                                     IF($A65&lt;'PVC SCH40'!$A$425,VLOOKUP($A65,'PVC SCH40'!$A$8:$M$424,9,FALSE),
IF($A65&lt;'PVC SCH40 LD'!$A$22,VLOOKUP($A65,'PVC SCH40 LD'!$A$8:$M$21,9,FALSE),
IF($A65&lt;'Pool &amp; SPA Sweep Elbows'!$A$12,VLOOKUP($A65,'Pool &amp; SPA Sweep Elbows'!$A$8:$M$11,9,FALSE),
IF($A65&lt;'Pool &amp; SPA Pipe Extender'!$A$11,VLOOKUP($A65,'Pool &amp; SPA Pipe Extender'!$A$8:$M$10,9,FALSE),
IF($A65&lt;'PVC SCH80'!$A$250,VLOOKUP($A65,'PVC SCH80'!$A$8:$M$249,9,FALSE),
IF($A65&lt;'PVC SCH80 Flange'!$A$49,VLOOKUP($A65,'PVC SCH80 Flange'!$A$8:$M$48,9,FALSE),
IF($A65&lt;'PVC SCH80 LD Flange'!$A$17,VLOOKUP($A65,'PVC SCH80 LD Flange'!$A$8:$M$16,9,FALSE),
IF($A65&lt;CPVC!$A$105,VLOOKUP($A65,CPVC!$A$9:$M$104,9,FALSE),
IF($A65&lt;InsertFittings!$A$185,VLOOKUP($A65,InsertFittings!$A$9:$M$184,9,FALSE),
IF($A65&lt;Valves!$A$92,VLOOKUP($A65,Valves!$A$9:$Q$91,13,FALSE),
IF($A65&lt;SDR35SW!$A$133,VLOOKUP($A65,SDR35SW!$A$9:$M$132,9,FALSE),
IF($A65&lt;SDR35G!$A$151,VLOOKUP($A65,SDR35G!$A$9:$M$150,9,FALSE),                                                                                                                                                                                                                                                          IF($A65&lt;SDR26G!$A$67,VLOOKUP($A65,SDR26G!$A$9:$N$66,10,FALSE),                                                                                                                                                                                                                                                       IF($A65&lt;Cements!$A$95,VLOOKUP($A65,Cements!$A$8:$Q$94,13,FALSE),
IF($A65&lt;ValveBox!$A$124,VLOOKUP($A65,ValveBox!$A$9:$O$123,11,FALSE),
IF($A65&lt;'ValveBox Components'!$A$142,VLOOKUP($A65,'ValveBox Components'!$A$9:$N$141,10,FALSE),
IF($A65&lt;Drainage!$A$69,VLOOKUP($A65,Drainage!$A$8:$M$68,9,FALSE),                                                                                                                                                                                                                                                              IF($A65&lt;Nipples!$A$82,VLOOKUP($A65,Nipples!$A$9:$Q$81,13,FALSE),
IF($A65&lt;Manifold!$A$33,VLOOKUP($A65,Manifold!$A$9:$M$32,9,FALSE),
IF($A65&lt;FlexibleRepairCouplings!$A$12,VLOOKUP($A65,FlexibleRepairCouplings!$A$9:$M$11,9,FALSE),
IF($A65&lt;DuraFix!$A$15,VLOOKUP($A65,DuraFix!$A$9:$M$14,9,FALSE),                                                                                                                                                                                                                                                          IF($A65&lt;'Compression Fittings'!$A$16,VLOOKUP($A65,'Compression Fittings'!$A$8:$M$15,9,FALSE),
IF($A65&lt;'Hose Fittings'!$A$30,VLOOKUP($A65,'Hose Fittings'!$A$8:$M$29,9,FALSE),
IF($A65&lt;'Swing Joints'!$A$495,VLOOKUP($A65,'Swing Joints'!$A$9:$M$494,9,FALSE),
IF($A65&lt;'Swing Joints Components'!$A$135,VLOOKUP($A65,'Swing Joints Components'!$A$9:$M$134,9,FALSE),
IF($A65&lt;Nonstandard!$A$42,VLOOKUP($A65,Nonstandard!$A$31:$J$41,8,FALSE),"")))))))))))))))))))))))))))),"")</f>
        <v/>
      </c>
      <c r="G65" s="533" t="str">
        <f>IFERROR(IF($A65&lt;'DWV PVC'!$A$317,VLOOKUP($A65,'DWV PVC'!$A$9:$M$316,11,FALSE),
IF($A65&lt;'DWV ABS'!$A$117,VLOOKUP($A65,'DWV ABS'!$A$8:$M$116,11,FALSE),                                                                                                                                                                                                                                                     IF($A65&lt;'PVC SCH40'!$A$425,VLOOKUP($A65,'PVC SCH40'!$A$8:$M$424,11,FALSE),
IF($A65&lt;'PVC SCH40 LD'!$A$22,VLOOKUP($A65,'PVC SCH40 LD'!$A$8:$M$21,11,FALSE),
IF($A65&lt;'Pool &amp; SPA Sweep Elbows'!$A$12,VLOOKUP($A65,'Pool &amp; SPA Sweep Elbows'!$A$8:$M$11,11,FALSE),
IF($A65&lt;'Pool &amp; SPA Pipe Extender'!$A$11,VLOOKUP($A65,'Pool &amp; SPA Pipe Extender'!$A$8:$M$10,11,FALSE),
IF($A65&lt;'PVC SCH80'!$A$250,VLOOKUP($A65,'PVC SCH80'!$A$8:$M$249,11,FALSE),
IF($A65&lt;'PVC SCH80 Flange'!$A$49,VLOOKUP($A65,'PVC SCH80 Flange'!$A$8:$M$48,11,FALSE),
IF($A65&lt;'PVC SCH80 LD Flange'!$A$17,VLOOKUP($A65,'PVC SCH80 LD Flange'!$A$8:$M$16,11,FALSE),
IF($A65&lt;CPVC!$A$105,VLOOKUP($A65,CPVC!$A$9:$M$104,11,FALSE),
IF($A65&lt;InsertFittings!$A$185,VLOOKUP($A65,InsertFittings!$A$9:$M$184,11,FALSE),
IF($A65&lt;Valves!$A$92,VLOOKUP($A65,Valves!$A$9:$Q$91,15,FALSE),
IF($A65&lt;SDR35SW!$A$133,VLOOKUP($A65,SDR35SW!$A$9:$M$132,11,FALSE),
IF($A65&lt;SDR35G!$A$151,VLOOKUP($A65,SDR35G!$A$9:$M$150,11,FALSE),                                                                                                                                                                                                                                                          IF($A65&lt;SDR26G!$A$67,VLOOKUP($A65,SDR26G!$A$9:$N$66,12,FALSE),                                                                                                                                                                                                                                                       IF($A65&lt;Cements!$A$95,VLOOKUP($A65,Cements!$A$8:$Q$94,15,FALSE),
IF($A65&lt;ValveBox!$A$124,VLOOKUP($A65,ValveBox!$A$9:$O$123,13,FALSE),
IF($A65&lt;'ValveBox Components'!$A$142,VLOOKUP($A65,'ValveBox Components'!$A$9:$N$141,12,FALSE),
IF($A65&lt;Drainage!$A$69,VLOOKUP($A65,Drainage!$A$8:$M$68,11,FALSE),                                                                                                                                                                                                                                                           IF($A65&lt;Nipples!$A$82,VLOOKUP($A65,Nipples!$A$9:$Q$81,15,FALSE),
IF($A65&lt;Manifold!$A$33,VLOOKUP($A65,Manifold!$A$9:$M$32,11,FALSE),
IF($A65&lt;FlexibleRepairCouplings!$A$12,VLOOKUP($A65,FlexibleRepairCouplings!$A$9:$M$11,11,FALSE),
IF($A65&lt;DuraFix!$A$15,VLOOKUP($A65,DuraFix!$A$9:$M$14,11,FALSE),                                                                                                                                                                                                                                                            IF($A65&lt;'Compression Fittings'!$A$16,VLOOKUP($A65,'Compression Fittings'!$A$8:$M$15,11,FALSE),
IF($A65&lt;'Hose Fittings'!$A$30,VLOOKUP($A65,'Hose Fittings'!$A$8:$M$29,11,FALSE),
IF($A65&lt;'Swing Joints'!$A$495,VLOOKUP($A65,'Swing Joints'!$A$9:$M$494,11,FALSE),
IF($A65&lt;'Swing Joints Components'!$A$135,VLOOKUP($A65,'Swing Joints Components'!$A$9:$M$134,11,FALSE),
IF($A65&lt;Nonstandard!$A$42,VLOOKUP($A65,Nonstandard!$A$31:$J$41,10,FALSE),"")))))))))))))))))))))))))))),"")</f>
        <v/>
      </c>
      <c r="H65" s="618" t="str">
        <f>IFERROR(IF($A65&lt;'DWV PVC'!$A$317,VLOOKUP($A65,'DWV PVC'!$A$9:$M$316,7,FALSE),
IF($A65&lt;'DWV ABS'!$A$117,VLOOKUP($A65,'DWV ABS'!$A$8:$M$116,11,FALSE),                                                                                                                                                                                                                                                     IF($A65&lt;'PVC SCH40'!$A$425,VLOOKUP($A65,'PVC SCH40'!$A$8:$M$424,7,FALSE),
IF($A65&lt;'PVC SCH40 LD'!$A$22,VLOOKUP($A65,'PVC SCH40 LD'!$A$8:$M$21,7,FALSE),
IF($A65&lt;'Pool &amp; SPA Sweep Elbows'!$A$12,VLOOKUP($A65,'Pool &amp; SPA Sweep Elbows'!$A$8:$M$11,7,FALSE),
IF($A65&lt;'Pool &amp; SPA Pipe Extender'!$A$11,VLOOKUP($A65,'Pool &amp; SPA Pipe Extender'!$A$8:$M$10,7,FALSE),
IF($A65&lt;'PVC SCH80'!$A$250,VLOOKUP($A65,'PVC SCH80'!$A$8:$M$249,7,FALSE),
IF($A65&lt;'PVC SCH80 Flange'!$A$49,VLOOKUP($A65,'PVC SCH80 Flange'!$A$8:$M$48,7,FALSE),
IF($A65&lt;'PVC SCH80 LD Flange'!$A$17,VLOOKUP($A65,'PVC SCH80 LD Flange'!$A$8:$M$16,7,FALSE),
IF($A65&lt;CPVC!$A$105,VLOOKUP($A65,CPVC!$A$9:$M$104,7,FALSE),
IF($A65&lt;InsertFittings!$A$185,VLOOKUP($A65,InsertFittings!$A$9:$M$184,7,FALSE),
IF($A65&lt;Valves!$A$92,VLOOKUP($A65,Valves!$A$9:$Q$91,11,FALSE),
IF($A65&lt;SDR35SW!$A$133,VLOOKUP($A65,SDR35SW!$A$9:$M$132,7,FALSE),
IF($A65&lt;SDR35G!$A$151,VLOOKUP($A65,SDR35G!$A$9:$M$150,7,FALSE),                                                                                                                                                                                                                                                       IF($A65&lt;SDR26G!$A$67,VLOOKUP($A65,SDR26G!$A$9:$N$66,8,FALSE),                                                                                                                                                                                                                                                     IF($A65&lt;Cements!$A$95,VLOOKUP($A65,Cements!$A$8:$Q$94,11,FALSE),
IF($A65&lt;ValveBox!$A$124,VLOOKUP($A65,ValveBox!$A$9:$O$123,10,FALSE),
IF($A65&lt;'ValveBox Components'!$A$142,VLOOKUP($A65,'ValveBox Components'!$A$9:$N$141,9,FALSE),
IF($A65&lt;Drainage!$A$69,VLOOKUP($A65,Drainage!$A$8:$M$68,7,FALSE),                                                                                                                                                                                                                                                          IF($A65&lt;Nipples!$A$82,VLOOKUP($A65,Nipples!$A$9:$Q$81,11,FALSE),
IF($A65&lt;Manifold!$A$33,VLOOKUP($A65,Manifold!$A$9:$M$32,7,FALSE),
IF($A65&lt;FlexibleRepairCouplings!$A$12,VLOOKUP($A65,FlexibleRepairCouplings!$A$9:$M$11,7,FALSE),
IF($A65&lt;DuraFix!$A$15,VLOOKUP($A65,DuraFix!$A$9:$M$14,7,FALSE),                                                                                                                                                                                                                                                           IF($A65&lt;'Compression Fittings'!$A$16,VLOOKUP($A65,'Compression Fittings'!$A$8:$M$15,7,FALSE),
IF($A65&lt;'Hose Fittings'!$A$30,VLOOKUP($A65,'Hose Fittings'!$A$8:$M$29,7,FALSE),
IF($A65&lt;'Swing Joints'!$A$495,VLOOKUP($A65,'Swing Joints'!$A$9:$M$494,7,FALSE),
IF($A65&lt;'Swing Joints Components'!$A$135,VLOOKUP($A65,'Swing Joints Components'!$A$9:$M$134,7,FALSE),
IF($A65&lt;Nonstandard!$A$42,VLOOKUP($A65,Nonstandard!$A$31:$J$41,10,FALSE),"")))))))))))))))))))))))))))),"")</f>
        <v/>
      </c>
      <c r="I65" s="619"/>
      <c r="J65" s="281" t="str">
        <f t="shared" si="1"/>
        <v/>
      </c>
      <c r="K65" s="313" t="str">
        <f>IFERROR(IF($A65&lt;'DWV PVC'!$A$317,VLOOKUP($A65,'DWV PVC'!$A$9:$M$316,10,FALSE),
IF($A65&lt;'DWV ABS'!$A$117,VLOOKUP($A65,'DWV ABS'!$A$8:$M$116,10,FALSE),
IF($A65&lt;'PVC SCH40'!$A$425,VLOOKUP($A65,'PVC SCH40'!$A$8:$M$424,10,FALSE),
IF($A65&lt;'PVC SCH40 LD'!$A$22,VLOOKUP($A65,'PVC SCH40 LD'!$A$8:$M$21,10,FALSE),
IF($A65&lt;'Pool &amp; SPA Sweep Elbows'!$A$12,VLOOKUP($A65,'Pool &amp; SPA Sweep Elbows'!$A$8:$M$11,10,FALSE),
IF($A65&lt;'Pool &amp; SPA Pipe Extender'!$A$11,VLOOKUP($A65,'Pool &amp; SPA Pipe Extender'!$A$8:$M$10,10,FALSE),
IF($A65&lt;'PVC SCH80'!$A$250,VLOOKUP($A65,'PVC SCH80'!$A$8:$M$249,10,FALSE),
IF($A65&lt;'PVC SCH80 Flange'!$A$49,VLOOKUP($A65,'PVC SCH80 Flange'!$A$8:$M$48,10,FALSE),
IF($A65&lt;'PVC SCH80 LD Flange'!$A$17,VLOOKUP($A65,'PVC SCH80 LD Flange'!$A$8:$M$16,10,FALSE),
IF($A65&lt;CPVC!$A$105,VLOOKUP($A65,CPVC!$A$9:$M$104,10,FALSE),
IF($A65&lt;InsertFittings!$A$185,VLOOKUP($A65,InsertFittings!$A$9:$M$184,10,FALSE),
IF($A65&lt;Valves!$A$92,VLOOKUP($A65,Valves!$A$9:$Q$91,14,FALSE),
IF($A65&lt;SDR35SW!$A$133,VLOOKUP($A65,SDR35SW!$A$9:$M$132,10,FALSE),
IF($A65&lt;SDR35G!$A$151,VLOOKUP($A65,SDR35G!$A$9:$M$150,10,FALSE),
IF($A65&lt;SDR26G!$A$67,VLOOKUP($A65,SDR26G!$A$9:$N$66,11,FALSE),
IF($A65&lt;Cements!$A$95,VLOOKUP($A65,Cements!$A$8:$Q$94,14,FALSE),
IF($A65&lt;ValveBox!$A$124,VLOOKUP($A65,ValveBox!$A$9:$O$123,12,FALSE),
IF($A65&lt;'ValveBox Components'!$A$142,VLOOKUP($A65,'ValveBox Components'!$A$9:$N$141,11,FALSE),
IF($A65&lt;Drainage!$A$69,VLOOKUP($A65,Drainage!$A$8:$M$68,10,FALSE),
IF($A65&lt;Nipples!$A$82,VLOOKUP($A65,Nipples!$A$9:$Q$81,14,FALSE),
IF($A65&lt;Manifold!$A$33,VLOOKUP($A65,Manifold!$A$9:$M$32,10,FALSE),
IF($A65&lt;FlexibleRepairCouplings!$A$12,VLOOKUP($A65,FlexibleRepairCouplings!$A$9:$M$11,10,FALSE),
IF($A65&lt;DuraFix!$A$15,VLOOKUP($A65,DuraFix!$A$9:$M$14,10,FALSE),
IF($A65&lt;'Compression Fittings'!$A$16,VLOOKUP($A65,'Compression Fittings'!$A$8:$M$15,10,FALSE),
IF($A65&lt;'Hose Fittings'!$A$30,VLOOKUP($A65,'Hose Fittings'!$A$8:$M$29,10,FALSE),
IF($A65&lt;'Swing Joints'!$A$495,VLOOKUP($A65,'Swing Joints'!$A$9:$M$494,10,FALSE),
IF($A65&lt;'Swing Joints Components'!$A$135,VLOOKUP($A65,'Swing Joints Components'!$A$9:$M$134,10,FALSE),
IF($A65&lt;Nonstandard!$A$42,VLOOKUP($A65,Nonstandard!$A$31:$J$41,10,FALSE),"")))))))))))))))))))))))))))),"")</f>
        <v/>
      </c>
      <c r="L65" s="314" t="str">
        <f t="shared" si="0"/>
        <v>-</v>
      </c>
      <c r="M65" s="315"/>
    </row>
    <row r="66" spans="1:13" ht="15.6">
      <c r="A66" s="536">
        <v>34</v>
      </c>
      <c r="B66" s="536" t="str">
        <f>IFERROR(IF($A66&lt;'DWV PVC'!$A$317,VLOOKUP($A66,'DWV PVC'!$A$9:$M$316,4,FALSE),
IF($A66&lt;'DWV ABS'!$A$117,VLOOKUP($A66,'DWV ABS'!$A$8:$M$116,4,FALSE),
IF($A66&lt;'PVC SCH40'!$A$425,VLOOKUP($A66,'PVC SCH40'!$A$8:$M$424,4,FALSE),
IF($A66&lt;'PVC SCH40 LD'!$A$22,VLOOKUP($A66,'PVC SCH40 LD'!$A$8:$M$21,4,FALSE),
IF($A66&lt;'Pool &amp; SPA Sweep Elbows'!$A$12,VLOOKUP($A66,'Pool &amp; SPA Sweep Elbows'!$A$8:$M$11,4,FALSE),
IF($A66&lt;'Pool &amp; SPA Pipe Extender'!$A$11,VLOOKUP($A66,'Pool &amp; SPA Pipe Extender'!$A$8:$M$10,4,FALSE),
IF($A66&lt;'PVC SCH80'!$A$250,VLOOKUP($A66,'PVC SCH80'!$A$8:$M$249,4,FALSE),
IF($A66&lt;'PVC SCH80 Flange'!$A$49,VLOOKUP($A66,'PVC SCH80 Flange'!$A$8:$M$48,4,FALSE),
IF($A66&lt;'PVC SCH80 LD Flange'!$A$17,VLOOKUP($A66,'PVC SCH80 LD Flange'!$A$8:$M$16,4,FALSE),
IF($A66&lt;CPVC!$A$105,VLOOKUP($A66,CPVC!$A$9:$M$104,4,FALSE),
IF($A66&lt;InsertFittings!$A$185,VLOOKUP($A66,InsertFittings!$A$9:$M$184,4,FALSE),
IF($A66&lt;Valves!$A$92,VLOOKUP($A66,Valves!$A$9:$Q$91,4,FALSE),
IF($A66&lt;SDR35SW!$A$133,VLOOKUP($A66,SDR35SW!$A$9:$M$132,4,FALSE),
IF($A66&lt;SDR35G!$A$151,VLOOKUP($A66,SDR35G!$A$9:$M$150,4,FALSE),
IF($A66&lt;SDR26G!$A$67,VLOOKUP($A66,SDR26G!$A$9:$N$66,5,FALSE),
IF($A66&lt;Cements!$A$95,VLOOKUP($A66,Cements!$A$8:$Q$94,4,FALSE),
IF($A66&lt;ValveBox!$A$124,VLOOKUP($A66,ValveBox!$A$9:$O$123,4,FALSE),
IF($A66&lt;'ValveBox Components'!$A$142,VLOOKUP($A66,'ValveBox Components'!$A$9:$N$141,4,FALSE),
IF($A66&lt;Drainage!$A$69,VLOOKUP($A66,Drainage!$A$8:$M$68,4,FALSE),
IF($A66&lt;Nipples!$A$82,VLOOKUP($A66,Nipples!$A$9:$Q$81,4,FALSE),
IF($A66&lt;Manifold!$A$33,VLOOKUP($A66,Manifold!$A$9:$M$32,4,FALSE),
IF($A66&lt;FlexibleRepairCouplings!$A$12,VLOOKUP($A66,FlexibleRepairCouplings!$A$9:$M$11,4,FALSE),
IF($A66&lt;DuraFix!$A$15,VLOOKUP($A66,DuraFix!$A$9:$M$14,4,FALSE),
IF($A66&lt;'Compression Fittings'!$A$16,VLOOKUP($A66,'Compression Fittings'!$A$8:$M$15,4,FALSE),
IF($A66&lt;'Hose Fittings'!$A$30,VLOOKUP($A66,'Hose Fittings'!$A$8:$M$29,4,FALSE),
IF($A66&lt;'Swing Joints'!$A$495,VLOOKUP($A66,'Swing Joints'!$A$9:$M$494,4,FALSE),
IF($A66&lt;'Swing Joints Components'!$A$135,VLOOKUP($A66,'Swing Joints Components'!$A$9:$M$134,4,FALSE),
IF($A66&lt;Nonstandard!$A$42,VLOOKUP($A66,Nonstandard!$A$31:$J$41,5,FALSE),"")))))))))))))))))))))))))))),"")</f>
        <v/>
      </c>
      <c r="C66" s="536" t="str">
        <f>IFERROR(IF($A66&lt;'DWV PVC'!$A$317,VLOOKUP($A66,'DWV PVC'!$A$9:$M$316,5,FALSE),
IF($A66&lt;'DWV ABS'!$A$117,VLOOKUP($A66,'DWV ABS'!$A$8:$M$116,5,FALSE),
IF($A66&lt;'PVC SCH40'!$A$425,VLOOKUP($A66,'PVC SCH40'!$A$8:$M$424,5,FALSE),
IF($A66&lt;'PVC SCH40 LD'!$A$22,VLOOKUP($A66,'PVC SCH40 LD'!$A$8:$M$21,5,FALSE),
IF($A66&lt;'Pool &amp; SPA Sweep Elbows'!$A$12,VLOOKUP($A66,'Pool &amp; SPA Sweep Elbows'!$A$8:$M$11,5,FALSE),
IF($A66&lt;'Pool &amp; SPA Pipe Extender'!$A$11,VLOOKUP($A66,'Pool &amp; SPA Pipe Extender'!$A$8:$M$10,5,FALSE),
IF($A66&lt;'PVC SCH80'!$A$250,VLOOKUP($A66,'PVC SCH80'!$A$8:$M$249,5,FALSE),
IF($A66&lt;'PVC SCH80 Flange'!$A$49,VLOOKUP($A66,'PVC SCH80 Flange'!$A$8:$M$48,5,FALSE),
IF($A66&lt;'PVC SCH80 LD Flange'!$A$17,VLOOKUP($A66,'PVC SCH80 LD Flange'!$A$8:$M$16,5,FALSE),
IF($A66&lt;CPVC!$A$105,VLOOKUP($A66,CPVC!$A$9:$M$104,5,FALSE),
IF($A66&lt;InsertFittings!$A$185,VLOOKUP($A66,InsertFittings!$A$9:$M$184,5,FALSE),
IF($A66&lt;Valves!$A$92,VLOOKUP($A66,Valves!$A$9:$Q$91,5,FALSE),
IF($A66&lt;SDR35SW!$A$133,VLOOKUP($A66,SDR35SW!$A$9:$M$132,5,FALSE),
IF($A66&lt;SDR35G!$A$151,VLOOKUP($A66,SDR35G!$A$9:$M$150,5,FALSE),
IF($A66&lt;SDR26G!$A$67,VLOOKUP($A66,SDR26G!$A$9:$N$66,6,FALSE),
IF($A66&lt;Cements!$A$95,VLOOKUP($A66,Cements!$A$8:$Q$94,5,FALSE),
IF($A66&lt;ValveBox!$A$124,VLOOKUP($A66,ValveBox!$A$9:$O$123,5,FALSE),
IF($A66&lt;'ValveBox Components'!$A$142,VLOOKUP($A66,'ValveBox Components'!$A$9:$N$141,5,FALSE),
IF($A66&lt;Drainage!$A$69,VLOOKUP($A66,Drainage!$A$8:$M$68,5,FALSE),
IF($A66&lt;Nipples!$A$82,VLOOKUP($A66,Nipples!$A$9:$Q$81,5,FALSE),
IF($A66&lt;Manifold!$A$33,VLOOKUP($A66,Manifold!$A$9:$M$32,5,FALSE),
IF($A66&lt;FlexibleRepairCouplings!$A$12,VLOOKUP($A66,FlexibleRepairCouplings!$A$9:$M$11,5,FALSE),
IF($A66&lt;DuraFix!$A$15,VLOOKUP($A66,DuraFix!$A$9:$M$14,5,FALSE),
IF($A66&lt;'Compression Fittings'!$A$16,VLOOKUP($A66,'Compression Fittings'!$A$8:$M$15,5,FALSE),
IF($A66&lt;'Hose Fittings'!$A$30,VLOOKUP($A66,'Hose Fittings'!$A$8:$M$29,5,FALSE),
IF($A66&lt;'Swing Joints'!$A$495,VLOOKUP($A66,'Swing Joints'!$A$9:$M$494,5,FALSE),
IF($A66&lt;'Swing Joints Components'!$A$135,VLOOKUP($A66,'Swing Joints Components'!$A$9:$M$134,5,FALSE),
IF($A66&lt;Nonstandard!$A$42,VLOOKUP($A66,Nonstandard!$A$31:$J$41,6,FALSE),"")))))))))))))))))))))))))))),"")</f>
        <v/>
      </c>
      <c r="D66" s="537" t="str">
        <f>IFERROR(IF($A66&lt;'DWV PVC'!$A$317,VLOOKUP($A66,'DWV PVC'!$A$9:$M$316,6,FALSE),
IF($A66&lt;'DWV ABS'!$A$117,VLOOKUP($A66,'DWV ABS'!$A$8:$M$116,6,FALSE),
IF($A66&lt;'PVC SCH40'!$A$425,VLOOKUP($A66,'PVC SCH40'!$A$8:$M$424,6,FALSE),
IF($A66&lt;'PVC SCH40 LD'!$A$22,VLOOKUP($A66,'PVC SCH40 LD'!$A$8:$M$21,6,FALSE),
IF($A66&lt;'Pool &amp; SPA Sweep Elbows'!$A$12,VLOOKUP($A66,'Pool &amp; SPA Sweep Elbows'!$A$8:$M$11,6,FALSE),
IF($A66&lt;'Pool &amp; SPA Pipe Extender'!$A$11,VLOOKUP($A66,'Pool &amp; SPA Pipe Extender'!$A$8:$M$10,6,FALSE),
IF($A66&lt;'PVC SCH80'!$A$250,VLOOKUP($A66,'PVC SCH80'!$A$8:$M$249,6,FALSE),
IF($A66&lt;'PVC SCH80 Flange'!$A$49,VLOOKUP($A66,'PVC SCH80 Flange'!$A$8:$M$48,6,FALSE),
IF($A66&lt;'PVC SCH80 LD Flange'!$A$17,VLOOKUP($A66,'PVC SCH80 LD Flange'!$A$8:$M$16,6,FALSE),
IF($A66&lt;CPVC!$A$105,VLOOKUP($A66,CPVC!$A$9:$M$104,6,FALSE),
IF($A66&lt;InsertFittings!$A$185,VLOOKUP($A66,InsertFittings!$A$9:$M$184,6,FALSE),
IF($A66&lt;Valves!$A$92,VLOOKUP($A66,Valves!$A$9:$Q$91,6,FALSE),
IF($A66&lt;SDR35SW!$A$133,VLOOKUP($A66,SDR35SW!$A$9:$M$132,6,FALSE),
IF($A66&lt;SDR35G!$A$151,VLOOKUP($A66,SDR35G!$A$9:$M$150,6,FALSE),
IF($A66&lt;SDR26G!$A$67,VLOOKUP($A66,SDR26G!$A$9:$N$66,7,FALSE),
IF($A66&lt;Cements!$A$95,VLOOKUP($A66,Cements!$A$8:$Q$94,6,FALSE),
IF($A66&lt;ValveBox!$A$124,VLOOKUP($A66,ValveBox!$A$9:$O$123,6,FALSE),
IF($A66&lt;'ValveBox Components'!$A$142,VLOOKUP($A66,'ValveBox Components'!$A$9:$N$141,6,FALSE),
IF($A66&lt;Drainage!$A$69,VLOOKUP($A66,Drainage!$A$8:$M$68,6,FALSE),
IF($A66&lt;Nipples!$A$82,VLOOKUP($A66,Nipples!$A$9:$Q$81,6,FALSE),
IF($A66&lt;Manifold!$A$33,VLOOKUP($A66,Manifold!$A$9:$M$32,6,FALSE),
IF($A66&lt;FlexibleRepairCouplings!$A$12,VLOOKUP($A66,FlexibleRepairCouplings!$A$9:$M$11,6,FALSE),
IF($A66&lt;DuraFix!$A$15,VLOOKUP($A66,DuraFix!$A$9:$M$14,6,FALSE),
IF($A66&lt;'Compression Fittings'!$A$16,VLOOKUP($A66,'Compression Fittings'!$A$8:$M$15,6,FALSE),
IF($A66&lt;'Hose Fittings'!$A$30,VLOOKUP($A66,'Hose Fittings'!$A$8:$M$29,6,FALSE),
IF($A66&lt;'Swing Joints'!$A$495,VLOOKUP($A66,'Swing Joints'!$A$9:$M$494,6,FALSE),
IF($A66&lt;'Swing Joints Components'!$A$135,VLOOKUP($A66,'Swing Joints Components'!$A$9:$M$134,6,FALSE),
IF($A66&lt;Nonstandard!$A$42,VLOOKUP($A66,Nonstandard!$A$31:$J$41,7,FALSE),"")))))))))))))))))))))))))))),"")</f>
        <v/>
      </c>
      <c r="E66" s="538"/>
      <c r="F66" s="539" t="str">
        <f>IFERROR(IF($A66&lt;'DWV PVC'!$A$317,VLOOKUP($A66,'DWV PVC'!$A$9:$M$316,9,FALSE),
IF($A66&lt;'DWV ABS'!$A$117,VLOOKUP($A66,'DWV ABS'!$A$8:$M$116,9,FALSE),                                                                                                                                                                                                                                                     IF($A66&lt;'PVC SCH40'!$A$425,VLOOKUP($A66,'PVC SCH40'!$A$8:$M$424,9,FALSE),
IF($A66&lt;'PVC SCH40 LD'!$A$22,VLOOKUP($A66,'PVC SCH40 LD'!$A$8:$M$21,9,FALSE),
IF($A66&lt;'Pool &amp; SPA Sweep Elbows'!$A$12,VLOOKUP($A66,'Pool &amp; SPA Sweep Elbows'!$A$8:$M$11,9,FALSE),
IF($A66&lt;'Pool &amp; SPA Pipe Extender'!$A$11,VLOOKUP($A66,'Pool &amp; SPA Pipe Extender'!$A$8:$M$10,9,FALSE),
IF($A66&lt;'PVC SCH80'!$A$250,VLOOKUP($A66,'PVC SCH80'!$A$8:$M$249,9,FALSE),
IF($A66&lt;'PVC SCH80 Flange'!$A$49,VLOOKUP($A66,'PVC SCH80 Flange'!$A$8:$M$48,9,FALSE),
IF($A66&lt;'PVC SCH80 LD Flange'!$A$17,VLOOKUP($A66,'PVC SCH80 LD Flange'!$A$8:$M$16,9,FALSE),
IF($A66&lt;CPVC!$A$105,VLOOKUP($A66,CPVC!$A$9:$M$104,9,FALSE),
IF($A66&lt;InsertFittings!$A$185,VLOOKUP($A66,InsertFittings!$A$9:$M$184,9,FALSE),
IF($A66&lt;Valves!$A$92,VLOOKUP($A66,Valves!$A$9:$Q$91,13,FALSE),
IF($A66&lt;SDR35SW!$A$133,VLOOKUP($A66,SDR35SW!$A$9:$M$132,9,FALSE),
IF($A66&lt;SDR35G!$A$151,VLOOKUP($A66,SDR35G!$A$9:$M$150,9,FALSE),                                                                                                                                                                                                                                                          IF($A66&lt;SDR26G!$A$67,VLOOKUP($A66,SDR26G!$A$9:$N$66,10,FALSE),                                                                                                                                                                                                                                                       IF($A66&lt;Cements!$A$95,VLOOKUP($A66,Cements!$A$8:$Q$94,13,FALSE),
IF($A66&lt;ValveBox!$A$124,VLOOKUP($A66,ValveBox!$A$9:$O$123,11,FALSE),
IF($A66&lt;'ValveBox Components'!$A$142,VLOOKUP($A66,'ValveBox Components'!$A$9:$N$141,10,FALSE),
IF($A66&lt;Drainage!$A$69,VLOOKUP($A66,Drainage!$A$8:$M$68,9,FALSE),                                                                                                                                                                                                                                                              IF($A66&lt;Nipples!$A$82,VLOOKUP($A66,Nipples!$A$9:$Q$81,13,FALSE),
IF($A66&lt;Manifold!$A$33,VLOOKUP($A66,Manifold!$A$9:$M$32,9,FALSE),
IF($A66&lt;FlexibleRepairCouplings!$A$12,VLOOKUP($A66,FlexibleRepairCouplings!$A$9:$M$11,9,FALSE),
IF($A66&lt;DuraFix!$A$15,VLOOKUP($A66,DuraFix!$A$9:$M$14,9,FALSE),                                                                                                                                                                                                                                                          IF($A66&lt;'Compression Fittings'!$A$16,VLOOKUP($A66,'Compression Fittings'!$A$8:$M$15,9,FALSE),
IF($A66&lt;'Hose Fittings'!$A$30,VLOOKUP($A66,'Hose Fittings'!$A$8:$M$29,9,FALSE),
IF($A66&lt;'Swing Joints'!$A$495,VLOOKUP($A66,'Swing Joints'!$A$9:$M$494,9,FALSE),
IF($A66&lt;'Swing Joints Components'!$A$135,VLOOKUP($A66,'Swing Joints Components'!$A$9:$M$134,9,FALSE),
IF($A66&lt;Nonstandard!$A$42,VLOOKUP($A66,Nonstandard!$A$31:$J$41,8,FALSE),"")))))))))))))))))))))))))))),"")</f>
        <v/>
      </c>
      <c r="G66" s="540" t="str">
        <f>IFERROR(IF($A66&lt;'DWV PVC'!$A$317,VLOOKUP($A66,'DWV PVC'!$A$9:$M$316,11,FALSE),
IF($A66&lt;'DWV ABS'!$A$117,VLOOKUP($A66,'DWV ABS'!$A$8:$M$116,11,FALSE),                                                                                                                                                                                                                                                     IF($A66&lt;'PVC SCH40'!$A$425,VLOOKUP($A66,'PVC SCH40'!$A$8:$M$424,11,FALSE),
IF($A66&lt;'PVC SCH40 LD'!$A$22,VLOOKUP($A66,'PVC SCH40 LD'!$A$8:$M$21,11,FALSE),
IF($A66&lt;'Pool &amp; SPA Sweep Elbows'!$A$12,VLOOKUP($A66,'Pool &amp; SPA Sweep Elbows'!$A$8:$M$11,11,FALSE),
IF($A66&lt;'Pool &amp; SPA Pipe Extender'!$A$11,VLOOKUP($A66,'Pool &amp; SPA Pipe Extender'!$A$8:$M$10,11,FALSE),
IF($A66&lt;'PVC SCH80'!$A$250,VLOOKUP($A66,'PVC SCH80'!$A$8:$M$249,11,FALSE),
IF($A66&lt;'PVC SCH80 Flange'!$A$49,VLOOKUP($A66,'PVC SCH80 Flange'!$A$8:$M$48,11,FALSE),
IF($A66&lt;'PVC SCH80 LD Flange'!$A$17,VLOOKUP($A66,'PVC SCH80 LD Flange'!$A$8:$M$16,11,FALSE),
IF($A66&lt;CPVC!$A$105,VLOOKUP($A66,CPVC!$A$9:$M$104,11,FALSE),
IF($A66&lt;InsertFittings!$A$185,VLOOKUP($A66,InsertFittings!$A$9:$M$184,11,FALSE),
IF($A66&lt;Valves!$A$92,VLOOKUP($A66,Valves!$A$9:$Q$91,15,FALSE),
IF($A66&lt;SDR35SW!$A$133,VLOOKUP($A66,SDR35SW!$A$9:$M$132,11,FALSE),
IF($A66&lt;SDR35G!$A$151,VLOOKUP($A66,SDR35G!$A$9:$M$150,11,FALSE),                                                                                                                                                                                                                                                          IF($A66&lt;SDR26G!$A$67,VLOOKUP($A66,SDR26G!$A$9:$N$66,12,FALSE),                                                                                                                                                                                                                                                       IF($A66&lt;Cements!$A$95,VLOOKUP($A66,Cements!$A$8:$Q$94,15,FALSE),
IF($A66&lt;ValveBox!$A$124,VLOOKUP($A66,ValveBox!$A$9:$O$123,13,FALSE),
IF($A66&lt;'ValveBox Components'!$A$142,VLOOKUP($A66,'ValveBox Components'!$A$9:$N$141,12,FALSE),
IF($A66&lt;Drainage!$A$69,VLOOKUP($A66,Drainage!$A$8:$M$68,11,FALSE),                                                                                                                                                                                                                                                           IF($A66&lt;Nipples!$A$82,VLOOKUP($A66,Nipples!$A$9:$Q$81,15,FALSE),
IF($A66&lt;Manifold!$A$33,VLOOKUP($A66,Manifold!$A$9:$M$32,11,FALSE),
IF($A66&lt;FlexibleRepairCouplings!$A$12,VLOOKUP($A66,FlexibleRepairCouplings!$A$9:$M$11,11,FALSE),
IF($A66&lt;DuraFix!$A$15,VLOOKUP($A66,DuraFix!$A$9:$M$14,11,FALSE),                                                                                                                                                                                                                                                            IF($A66&lt;'Compression Fittings'!$A$16,VLOOKUP($A66,'Compression Fittings'!$A$8:$M$15,11,FALSE),
IF($A66&lt;'Hose Fittings'!$A$30,VLOOKUP($A66,'Hose Fittings'!$A$8:$M$29,11,FALSE),
IF($A66&lt;'Swing Joints'!$A$495,VLOOKUP($A66,'Swing Joints'!$A$9:$M$494,11,FALSE),
IF($A66&lt;'Swing Joints Components'!$A$135,VLOOKUP($A66,'Swing Joints Components'!$A$9:$M$134,11,FALSE),
IF($A66&lt;Nonstandard!$A$42,VLOOKUP($A66,Nonstandard!$A$31:$J$41,10,FALSE),"")))))))))))))))))))))))))))),"")</f>
        <v/>
      </c>
      <c r="H66" s="620" t="str">
        <f>IFERROR(IF($A66&lt;'DWV PVC'!$A$317,VLOOKUP($A66,'DWV PVC'!$A$9:$M$316,7,FALSE),
IF($A66&lt;'DWV ABS'!$A$117,VLOOKUP($A66,'DWV ABS'!$A$8:$M$116,11,FALSE),                                                                                                                                                                                                                                                     IF($A66&lt;'PVC SCH40'!$A$425,VLOOKUP($A66,'PVC SCH40'!$A$8:$M$424,7,FALSE),
IF($A66&lt;'PVC SCH40 LD'!$A$22,VLOOKUP($A66,'PVC SCH40 LD'!$A$8:$M$21,7,FALSE),
IF($A66&lt;'Pool &amp; SPA Sweep Elbows'!$A$12,VLOOKUP($A66,'Pool &amp; SPA Sweep Elbows'!$A$8:$M$11,7,FALSE),
IF($A66&lt;'Pool &amp; SPA Pipe Extender'!$A$11,VLOOKUP($A66,'Pool &amp; SPA Pipe Extender'!$A$8:$M$10,7,FALSE),
IF($A66&lt;'PVC SCH80'!$A$250,VLOOKUP($A66,'PVC SCH80'!$A$8:$M$249,7,FALSE),
IF($A66&lt;'PVC SCH80 Flange'!$A$49,VLOOKUP($A66,'PVC SCH80 Flange'!$A$8:$M$48,7,FALSE),
IF($A66&lt;'PVC SCH80 LD Flange'!$A$17,VLOOKUP($A66,'PVC SCH80 LD Flange'!$A$8:$M$16,7,FALSE),
IF($A66&lt;CPVC!$A$105,VLOOKUP($A66,CPVC!$A$9:$M$104,7,FALSE),
IF($A66&lt;InsertFittings!$A$185,VLOOKUP($A66,InsertFittings!$A$9:$M$184,7,FALSE),
IF($A66&lt;Valves!$A$92,VLOOKUP($A66,Valves!$A$9:$Q$91,11,FALSE),
IF($A66&lt;SDR35SW!$A$133,VLOOKUP($A66,SDR35SW!$A$9:$M$132,7,FALSE),
IF($A66&lt;SDR35G!$A$151,VLOOKUP($A66,SDR35G!$A$9:$M$150,7,FALSE),                                                                                                                                                                                                                                                       IF($A66&lt;SDR26G!$A$67,VLOOKUP($A66,SDR26G!$A$9:$N$66,8,FALSE),                                                                                                                                                                                                                                                     IF($A66&lt;Cements!$A$95,VLOOKUP($A66,Cements!$A$8:$Q$94,11,FALSE),
IF($A66&lt;ValveBox!$A$124,VLOOKUP($A66,ValveBox!$A$9:$O$123,10,FALSE),
IF($A66&lt;'ValveBox Components'!$A$142,VLOOKUP($A66,'ValveBox Components'!$A$9:$N$141,9,FALSE),
IF($A66&lt;Drainage!$A$69,VLOOKUP($A66,Drainage!$A$8:$M$68,7,FALSE),                                                                                                                                                                                                                                                          IF($A66&lt;Nipples!$A$82,VLOOKUP($A66,Nipples!$A$9:$Q$81,11,FALSE),
IF($A66&lt;Manifold!$A$33,VLOOKUP($A66,Manifold!$A$9:$M$32,7,FALSE),
IF($A66&lt;FlexibleRepairCouplings!$A$12,VLOOKUP($A66,FlexibleRepairCouplings!$A$9:$M$11,7,FALSE),
IF($A66&lt;DuraFix!$A$15,VLOOKUP($A66,DuraFix!$A$9:$M$14,7,FALSE),                                                                                                                                                                                                                                                           IF($A66&lt;'Compression Fittings'!$A$16,VLOOKUP($A66,'Compression Fittings'!$A$8:$M$15,7,FALSE),
IF($A66&lt;'Hose Fittings'!$A$30,VLOOKUP($A66,'Hose Fittings'!$A$8:$M$29,7,FALSE),
IF($A66&lt;'Swing Joints'!$A$495,VLOOKUP($A66,'Swing Joints'!$A$9:$M$494,7,FALSE),
IF($A66&lt;'Swing Joints Components'!$A$135,VLOOKUP($A66,'Swing Joints Components'!$A$9:$M$134,7,FALSE),
IF($A66&lt;Nonstandard!$A$42,VLOOKUP($A66,Nonstandard!$A$31:$J$41,10,FALSE),"")))))))))))))))))))))))))))),"")</f>
        <v/>
      </c>
      <c r="I66" s="621"/>
      <c r="J66" s="541" t="str">
        <f t="shared" si="1"/>
        <v/>
      </c>
      <c r="K66" s="599" t="str">
        <f>IFERROR(IF($A66&lt;'DWV PVC'!$A$317,VLOOKUP($A66,'DWV PVC'!$A$9:$M$316,10,FALSE),
IF($A66&lt;'DWV ABS'!$A$117,VLOOKUP($A66,'DWV ABS'!$A$8:$M$116,10,FALSE),
IF($A66&lt;'PVC SCH40'!$A$425,VLOOKUP($A66,'PVC SCH40'!$A$8:$M$424,10,FALSE),
IF($A66&lt;'PVC SCH40 LD'!$A$22,VLOOKUP($A66,'PVC SCH40 LD'!$A$8:$M$21,10,FALSE),
IF($A66&lt;'Pool &amp; SPA Sweep Elbows'!$A$12,VLOOKUP($A66,'Pool &amp; SPA Sweep Elbows'!$A$8:$M$11,10,FALSE),
IF($A66&lt;'Pool &amp; SPA Pipe Extender'!$A$11,VLOOKUP($A66,'Pool &amp; SPA Pipe Extender'!$A$8:$M$10,10,FALSE),
IF($A66&lt;'PVC SCH80'!$A$250,VLOOKUP($A66,'PVC SCH80'!$A$8:$M$249,10,FALSE),
IF($A66&lt;'PVC SCH80 Flange'!$A$49,VLOOKUP($A66,'PVC SCH80 Flange'!$A$8:$M$48,10,FALSE),
IF($A66&lt;'PVC SCH80 LD Flange'!$A$17,VLOOKUP($A66,'PVC SCH80 LD Flange'!$A$8:$M$16,10,FALSE),
IF($A66&lt;CPVC!$A$105,VLOOKUP($A66,CPVC!$A$9:$M$104,10,FALSE),
IF($A66&lt;InsertFittings!$A$185,VLOOKUP($A66,InsertFittings!$A$9:$M$184,10,FALSE),
IF($A66&lt;Valves!$A$92,VLOOKUP($A66,Valves!$A$9:$Q$91,14,FALSE),
IF($A66&lt;SDR35SW!$A$133,VLOOKUP($A66,SDR35SW!$A$9:$M$132,10,FALSE),
IF($A66&lt;SDR35G!$A$151,VLOOKUP($A66,SDR35G!$A$9:$M$150,10,FALSE),
IF($A66&lt;SDR26G!$A$67,VLOOKUP($A66,SDR26G!$A$9:$N$66,11,FALSE),
IF($A66&lt;Cements!$A$95,VLOOKUP($A66,Cements!$A$8:$Q$94,14,FALSE),
IF($A66&lt;ValveBox!$A$124,VLOOKUP($A66,ValveBox!$A$9:$O$123,12,FALSE),
IF($A66&lt;'ValveBox Components'!$A$142,VLOOKUP($A66,'ValveBox Components'!$A$9:$N$141,11,FALSE),
IF($A66&lt;Drainage!$A$69,VLOOKUP($A66,Drainage!$A$8:$M$68,10,FALSE),
IF($A66&lt;Nipples!$A$82,VLOOKUP($A66,Nipples!$A$9:$Q$81,14,FALSE),
IF($A66&lt;Manifold!$A$33,VLOOKUP($A66,Manifold!$A$9:$M$32,10,FALSE),
IF($A66&lt;FlexibleRepairCouplings!$A$12,VLOOKUP($A66,FlexibleRepairCouplings!$A$9:$M$11,10,FALSE),
IF($A66&lt;DuraFix!$A$15,VLOOKUP($A66,DuraFix!$A$9:$M$14,10,FALSE),
IF($A66&lt;'Compression Fittings'!$A$16,VLOOKUP($A66,'Compression Fittings'!$A$8:$M$15,10,FALSE),
IF($A66&lt;'Hose Fittings'!$A$30,VLOOKUP($A66,'Hose Fittings'!$A$8:$M$29,10,FALSE),
IF($A66&lt;'Swing Joints'!$A$495,VLOOKUP($A66,'Swing Joints'!$A$9:$M$494,10,FALSE),
IF($A66&lt;'Swing Joints Components'!$A$135,VLOOKUP($A66,'Swing Joints Components'!$A$9:$M$134,10,FALSE),
IF($A66&lt;Nonstandard!$A$42,VLOOKUP($A66,Nonstandard!$A$31:$J$41,10,FALSE),"")))))))))))))))))))))))))))),"")</f>
        <v/>
      </c>
      <c r="L66" s="539" t="str">
        <f t="shared" si="0"/>
        <v>-</v>
      </c>
      <c r="M66" s="542"/>
    </row>
    <row r="67" spans="1:13" ht="15.6">
      <c r="A67" s="312">
        <v>35</v>
      </c>
      <c r="B67" s="312" t="str">
        <f>IFERROR(IF($A67&lt;'DWV PVC'!$A$317,VLOOKUP($A67,'DWV PVC'!$A$9:$M$316,4,FALSE),
IF($A67&lt;'DWV ABS'!$A$117,VLOOKUP($A67,'DWV ABS'!$A$8:$M$116,4,FALSE),
IF($A67&lt;'PVC SCH40'!$A$425,VLOOKUP($A67,'PVC SCH40'!$A$8:$M$424,4,FALSE),
IF($A67&lt;'PVC SCH40 LD'!$A$22,VLOOKUP($A67,'PVC SCH40 LD'!$A$8:$M$21,4,FALSE),
IF($A67&lt;'Pool &amp; SPA Sweep Elbows'!$A$12,VLOOKUP($A67,'Pool &amp; SPA Sweep Elbows'!$A$8:$M$11,4,FALSE),
IF($A67&lt;'Pool &amp; SPA Pipe Extender'!$A$11,VLOOKUP($A67,'Pool &amp; SPA Pipe Extender'!$A$8:$M$10,4,FALSE),
IF($A67&lt;'PVC SCH80'!$A$250,VLOOKUP($A67,'PVC SCH80'!$A$8:$M$249,4,FALSE),
IF($A67&lt;'PVC SCH80 Flange'!$A$49,VLOOKUP($A67,'PVC SCH80 Flange'!$A$8:$M$48,4,FALSE),
IF($A67&lt;'PVC SCH80 LD Flange'!$A$17,VLOOKUP($A67,'PVC SCH80 LD Flange'!$A$8:$M$16,4,FALSE),
IF($A67&lt;CPVC!$A$105,VLOOKUP($A67,CPVC!$A$9:$M$104,4,FALSE),
IF($A67&lt;InsertFittings!$A$185,VLOOKUP($A67,InsertFittings!$A$9:$M$184,4,FALSE),
IF($A67&lt;Valves!$A$92,VLOOKUP($A67,Valves!$A$9:$Q$91,4,FALSE),
IF($A67&lt;SDR35SW!$A$133,VLOOKUP($A67,SDR35SW!$A$9:$M$132,4,FALSE),
IF($A67&lt;SDR35G!$A$151,VLOOKUP($A67,SDR35G!$A$9:$M$150,4,FALSE),
IF($A67&lt;SDR26G!$A$67,VLOOKUP($A67,SDR26G!$A$9:$N$66,5,FALSE),
IF($A67&lt;Cements!$A$95,VLOOKUP($A67,Cements!$A$8:$Q$94,4,FALSE),
IF($A67&lt;ValveBox!$A$124,VLOOKUP($A67,ValveBox!$A$9:$O$123,4,FALSE),
IF($A67&lt;'ValveBox Components'!$A$142,VLOOKUP($A67,'ValveBox Components'!$A$9:$N$141,4,FALSE),
IF($A67&lt;Drainage!$A$69,VLOOKUP($A67,Drainage!$A$8:$M$68,4,FALSE),
IF($A67&lt;Nipples!$A$82,VLOOKUP($A67,Nipples!$A$9:$Q$81,4,FALSE),
IF($A67&lt;Manifold!$A$33,VLOOKUP($A67,Manifold!$A$9:$M$32,4,FALSE),
IF($A67&lt;FlexibleRepairCouplings!$A$12,VLOOKUP($A67,FlexibleRepairCouplings!$A$9:$M$11,4,FALSE),
IF($A67&lt;DuraFix!$A$15,VLOOKUP($A67,DuraFix!$A$9:$M$14,4,FALSE),
IF($A67&lt;'Compression Fittings'!$A$16,VLOOKUP($A67,'Compression Fittings'!$A$8:$M$15,4,FALSE),
IF($A67&lt;'Hose Fittings'!$A$30,VLOOKUP($A67,'Hose Fittings'!$A$8:$M$29,4,FALSE),
IF($A67&lt;'Swing Joints'!$A$495,VLOOKUP($A67,'Swing Joints'!$A$9:$M$494,4,FALSE),
IF($A67&lt;'Swing Joints Components'!$A$135,VLOOKUP($A67,'Swing Joints Components'!$A$9:$M$134,4,FALSE),
IF($A67&lt;Nonstandard!$A$42,VLOOKUP($A67,Nonstandard!$A$31:$J$41,5,FALSE),"")))))))))))))))))))))))))))),"")</f>
        <v/>
      </c>
      <c r="C67" s="312" t="str">
        <f>IFERROR(IF($A67&lt;'DWV PVC'!$A$317,VLOOKUP($A67,'DWV PVC'!$A$9:$M$316,5,FALSE),
IF($A67&lt;'DWV ABS'!$A$117,VLOOKUP($A67,'DWV ABS'!$A$8:$M$116,5,FALSE),
IF($A67&lt;'PVC SCH40'!$A$425,VLOOKUP($A67,'PVC SCH40'!$A$8:$M$424,5,FALSE),
IF($A67&lt;'PVC SCH40 LD'!$A$22,VLOOKUP($A67,'PVC SCH40 LD'!$A$8:$M$21,5,FALSE),
IF($A67&lt;'Pool &amp; SPA Sweep Elbows'!$A$12,VLOOKUP($A67,'Pool &amp; SPA Sweep Elbows'!$A$8:$M$11,5,FALSE),
IF($A67&lt;'Pool &amp; SPA Pipe Extender'!$A$11,VLOOKUP($A67,'Pool &amp; SPA Pipe Extender'!$A$8:$M$10,5,FALSE),
IF($A67&lt;'PVC SCH80'!$A$250,VLOOKUP($A67,'PVC SCH80'!$A$8:$M$249,5,FALSE),
IF($A67&lt;'PVC SCH80 Flange'!$A$49,VLOOKUP($A67,'PVC SCH80 Flange'!$A$8:$M$48,5,FALSE),
IF($A67&lt;'PVC SCH80 LD Flange'!$A$17,VLOOKUP($A67,'PVC SCH80 LD Flange'!$A$8:$M$16,5,FALSE),
IF($A67&lt;CPVC!$A$105,VLOOKUP($A67,CPVC!$A$9:$M$104,5,FALSE),
IF($A67&lt;InsertFittings!$A$185,VLOOKUP($A67,InsertFittings!$A$9:$M$184,5,FALSE),
IF($A67&lt;Valves!$A$92,VLOOKUP($A67,Valves!$A$9:$Q$91,5,FALSE),
IF($A67&lt;SDR35SW!$A$133,VLOOKUP($A67,SDR35SW!$A$9:$M$132,5,FALSE),
IF($A67&lt;SDR35G!$A$151,VLOOKUP($A67,SDR35G!$A$9:$M$150,5,FALSE),
IF($A67&lt;SDR26G!$A$67,VLOOKUP($A67,SDR26G!$A$9:$N$66,6,FALSE),
IF($A67&lt;Cements!$A$95,VLOOKUP($A67,Cements!$A$8:$Q$94,5,FALSE),
IF($A67&lt;ValveBox!$A$124,VLOOKUP($A67,ValveBox!$A$9:$O$123,5,FALSE),
IF($A67&lt;'ValveBox Components'!$A$142,VLOOKUP($A67,'ValveBox Components'!$A$9:$N$141,5,FALSE),
IF($A67&lt;Drainage!$A$69,VLOOKUP($A67,Drainage!$A$8:$M$68,5,FALSE),
IF($A67&lt;Nipples!$A$82,VLOOKUP($A67,Nipples!$A$9:$Q$81,5,FALSE),
IF($A67&lt;Manifold!$A$33,VLOOKUP($A67,Manifold!$A$9:$M$32,5,FALSE),
IF($A67&lt;FlexibleRepairCouplings!$A$12,VLOOKUP($A67,FlexibleRepairCouplings!$A$9:$M$11,5,FALSE),
IF($A67&lt;DuraFix!$A$15,VLOOKUP($A67,DuraFix!$A$9:$M$14,5,FALSE),
IF($A67&lt;'Compression Fittings'!$A$16,VLOOKUP($A67,'Compression Fittings'!$A$8:$M$15,5,FALSE),
IF($A67&lt;'Hose Fittings'!$A$30,VLOOKUP($A67,'Hose Fittings'!$A$8:$M$29,5,FALSE),
IF($A67&lt;'Swing Joints'!$A$495,VLOOKUP($A67,'Swing Joints'!$A$9:$M$494,5,FALSE),
IF($A67&lt;'Swing Joints Components'!$A$135,VLOOKUP($A67,'Swing Joints Components'!$A$9:$M$134,5,FALSE),
IF($A67&lt;Nonstandard!$A$42,VLOOKUP($A67,Nonstandard!$A$31:$J$41,6,FALSE),"")))))))))))))))))))))))))))),"")</f>
        <v/>
      </c>
      <c r="D67" s="534" t="str">
        <f>IFERROR(IF($A67&lt;'DWV PVC'!$A$317,VLOOKUP($A67,'DWV PVC'!$A$9:$M$316,6,FALSE),
IF($A67&lt;'DWV ABS'!$A$117,VLOOKUP($A67,'DWV ABS'!$A$8:$M$116,6,FALSE),
IF($A67&lt;'PVC SCH40'!$A$425,VLOOKUP($A67,'PVC SCH40'!$A$8:$M$424,6,FALSE),
IF($A67&lt;'PVC SCH40 LD'!$A$22,VLOOKUP($A67,'PVC SCH40 LD'!$A$8:$M$21,6,FALSE),
IF($A67&lt;'Pool &amp; SPA Sweep Elbows'!$A$12,VLOOKUP($A67,'Pool &amp; SPA Sweep Elbows'!$A$8:$M$11,6,FALSE),
IF($A67&lt;'Pool &amp; SPA Pipe Extender'!$A$11,VLOOKUP($A67,'Pool &amp; SPA Pipe Extender'!$A$8:$M$10,6,FALSE),
IF($A67&lt;'PVC SCH80'!$A$250,VLOOKUP($A67,'PVC SCH80'!$A$8:$M$249,6,FALSE),
IF($A67&lt;'PVC SCH80 Flange'!$A$49,VLOOKUP($A67,'PVC SCH80 Flange'!$A$8:$M$48,6,FALSE),
IF($A67&lt;'PVC SCH80 LD Flange'!$A$17,VLOOKUP($A67,'PVC SCH80 LD Flange'!$A$8:$M$16,6,FALSE),
IF($A67&lt;CPVC!$A$105,VLOOKUP($A67,CPVC!$A$9:$M$104,6,FALSE),
IF($A67&lt;InsertFittings!$A$185,VLOOKUP($A67,InsertFittings!$A$9:$M$184,6,FALSE),
IF($A67&lt;Valves!$A$92,VLOOKUP($A67,Valves!$A$9:$Q$91,6,FALSE),
IF($A67&lt;SDR35SW!$A$133,VLOOKUP($A67,SDR35SW!$A$9:$M$132,6,FALSE),
IF($A67&lt;SDR35G!$A$151,VLOOKUP($A67,SDR35G!$A$9:$M$150,6,FALSE),
IF($A67&lt;SDR26G!$A$67,VLOOKUP($A67,SDR26G!$A$9:$N$66,7,FALSE),
IF($A67&lt;Cements!$A$95,VLOOKUP($A67,Cements!$A$8:$Q$94,6,FALSE),
IF($A67&lt;ValveBox!$A$124,VLOOKUP($A67,ValveBox!$A$9:$O$123,6,FALSE),
IF($A67&lt;'ValveBox Components'!$A$142,VLOOKUP($A67,'ValveBox Components'!$A$9:$N$141,6,FALSE),
IF($A67&lt;Drainage!$A$69,VLOOKUP($A67,Drainage!$A$8:$M$68,6,FALSE),
IF($A67&lt;Nipples!$A$82,VLOOKUP($A67,Nipples!$A$9:$Q$81,6,FALSE),
IF($A67&lt;Manifold!$A$33,VLOOKUP($A67,Manifold!$A$9:$M$32,6,FALSE),
IF($A67&lt;FlexibleRepairCouplings!$A$12,VLOOKUP($A67,FlexibleRepairCouplings!$A$9:$M$11,6,FALSE),
IF($A67&lt;DuraFix!$A$15,VLOOKUP($A67,DuraFix!$A$9:$M$14,6,FALSE),
IF($A67&lt;'Compression Fittings'!$A$16,VLOOKUP($A67,'Compression Fittings'!$A$8:$M$15,6,FALSE),
IF($A67&lt;'Hose Fittings'!$A$30,VLOOKUP($A67,'Hose Fittings'!$A$8:$M$29,6,FALSE),
IF($A67&lt;'Swing Joints'!$A$495,VLOOKUP($A67,'Swing Joints'!$A$9:$M$494,6,FALSE),
IF($A67&lt;'Swing Joints Components'!$A$135,VLOOKUP($A67,'Swing Joints Components'!$A$9:$M$134,6,FALSE),
IF($A67&lt;Nonstandard!$A$42,VLOOKUP($A67,Nonstandard!$A$31:$J$41,7,FALSE),"")))))))))))))))))))))))))))),"")</f>
        <v/>
      </c>
      <c r="E67" s="316"/>
      <c r="F67" s="314" t="str">
        <f>IFERROR(IF($A67&lt;'DWV PVC'!$A$317,VLOOKUP($A67,'DWV PVC'!$A$9:$M$316,9,FALSE),
IF($A67&lt;'DWV ABS'!$A$117,VLOOKUP($A67,'DWV ABS'!$A$8:$M$116,9,FALSE),                                                                                                                                                                                                                                                     IF($A67&lt;'PVC SCH40'!$A$425,VLOOKUP($A67,'PVC SCH40'!$A$8:$M$424,9,FALSE),
IF($A67&lt;'PVC SCH40 LD'!$A$22,VLOOKUP($A67,'PVC SCH40 LD'!$A$8:$M$21,9,FALSE),
IF($A67&lt;'Pool &amp; SPA Sweep Elbows'!$A$12,VLOOKUP($A67,'Pool &amp; SPA Sweep Elbows'!$A$8:$M$11,9,FALSE),
IF($A67&lt;'Pool &amp; SPA Pipe Extender'!$A$11,VLOOKUP($A67,'Pool &amp; SPA Pipe Extender'!$A$8:$M$10,9,FALSE),
IF($A67&lt;'PVC SCH80'!$A$250,VLOOKUP($A67,'PVC SCH80'!$A$8:$M$249,9,FALSE),
IF($A67&lt;'PVC SCH80 Flange'!$A$49,VLOOKUP($A67,'PVC SCH80 Flange'!$A$8:$M$48,9,FALSE),
IF($A67&lt;'PVC SCH80 LD Flange'!$A$17,VLOOKUP($A67,'PVC SCH80 LD Flange'!$A$8:$M$16,9,FALSE),
IF($A67&lt;CPVC!$A$105,VLOOKUP($A67,CPVC!$A$9:$M$104,9,FALSE),
IF($A67&lt;InsertFittings!$A$185,VLOOKUP($A67,InsertFittings!$A$9:$M$184,9,FALSE),
IF($A67&lt;Valves!$A$92,VLOOKUP($A67,Valves!$A$9:$Q$91,13,FALSE),
IF($A67&lt;SDR35SW!$A$133,VLOOKUP($A67,SDR35SW!$A$9:$M$132,9,FALSE),
IF($A67&lt;SDR35G!$A$151,VLOOKUP($A67,SDR35G!$A$9:$M$150,9,FALSE),                                                                                                                                                                                                                                                          IF($A67&lt;SDR26G!$A$67,VLOOKUP($A67,SDR26G!$A$9:$N$66,10,FALSE),                                                                                                                                                                                                                                                       IF($A67&lt;Cements!$A$95,VLOOKUP($A67,Cements!$A$8:$Q$94,13,FALSE),
IF($A67&lt;ValveBox!$A$124,VLOOKUP($A67,ValveBox!$A$9:$O$123,11,FALSE),
IF($A67&lt;'ValveBox Components'!$A$142,VLOOKUP($A67,'ValveBox Components'!$A$9:$N$141,10,FALSE),
IF($A67&lt;Drainage!$A$69,VLOOKUP($A67,Drainage!$A$8:$M$68,9,FALSE),                                                                                                                                                                                                                                                              IF($A67&lt;Nipples!$A$82,VLOOKUP($A67,Nipples!$A$9:$Q$81,13,FALSE),
IF($A67&lt;Manifold!$A$33,VLOOKUP($A67,Manifold!$A$9:$M$32,9,FALSE),
IF($A67&lt;FlexibleRepairCouplings!$A$12,VLOOKUP($A67,FlexibleRepairCouplings!$A$9:$M$11,9,FALSE),
IF($A67&lt;DuraFix!$A$15,VLOOKUP($A67,DuraFix!$A$9:$M$14,9,FALSE),                                                                                                                                                                                                                                                          IF($A67&lt;'Compression Fittings'!$A$16,VLOOKUP($A67,'Compression Fittings'!$A$8:$M$15,9,FALSE),
IF($A67&lt;'Hose Fittings'!$A$30,VLOOKUP($A67,'Hose Fittings'!$A$8:$M$29,9,FALSE),
IF($A67&lt;'Swing Joints'!$A$495,VLOOKUP($A67,'Swing Joints'!$A$9:$M$494,9,FALSE),
IF($A67&lt;'Swing Joints Components'!$A$135,VLOOKUP($A67,'Swing Joints Components'!$A$9:$M$134,9,FALSE),
IF($A67&lt;Nonstandard!$A$42,VLOOKUP($A67,Nonstandard!$A$31:$J$41,8,FALSE),"")))))))))))))))))))))))))))),"")</f>
        <v/>
      </c>
      <c r="G67" s="533" t="str">
        <f>IFERROR(IF($A67&lt;'DWV PVC'!$A$317,VLOOKUP($A67,'DWV PVC'!$A$9:$M$316,11,FALSE),
IF($A67&lt;'DWV ABS'!$A$117,VLOOKUP($A67,'DWV ABS'!$A$8:$M$116,11,FALSE),                                                                                                                                                                                                                                                     IF($A67&lt;'PVC SCH40'!$A$425,VLOOKUP($A67,'PVC SCH40'!$A$8:$M$424,11,FALSE),
IF($A67&lt;'PVC SCH40 LD'!$A$22,VLOOKUP($A67,'PVC SCH40 LD'!$A$8:$M$21,11,FALSE),
IF($A67&lt;'Pool &amp; SPA Sweep Elbows'!$A$12,VLOOKUP($A67,'Pool &amp; SPA Sweep Elbows'!$A$8:$M$11,11,FALSE),
IF($A67&lt;'Pool &amp; SPA Pipe Extender'!$A$11,VLOOKUP($A67,'Pool &amp; SPA Pipe Extender'!$A$8:$M$10,11,FALSE),
IF($A67&lt;'PVC SCH80'!$A$250,VLOOKUP($A67,'PVC SCH80'!$A$8:$M$249,11,FALSE),
IF($A67&lt;'PVC SCH80 Flange'!$A$49,VLOOKUP($A67,'PVC SCH80 Flange'!$A$8:$M$48,11,FALSE),
IF($A67&lt;'PVC SCH80 LD Flange'!$A$17,VLOOKUP($A67,'PVC SCH80 LD Flange'!$A$8:$M$16,11,FALSE),
IF($A67&lt;CPVC!$A$105,VLOOKUP($A67,CPVC!$A$9:$M$104,11,FALSE),
IF($A67&lt;InsertFittings!$A$185,VLOOKUP($A67,InsertFittings!$A$9:$M$184,11,FALSE),
IF($A67&lt;Valves!$A$92,VLOOKUP($A67,Valves!$A$9:$Q$91,15,FALSE),
IF($A67&lt;SDR35SW!$A$133,VLOOKUP($A67,SDR35SW!$A$9:$M$132,11,FALSE),
IF($A67&lt;SDR35G!$A$151,VLOOKUP($A67,SDR35G!$A$9:$M$150,11,FALSE),                                                                                                                                                                                                                                                          IF($A67&lt;SDR26G!$A$67,VLOOKUP($A67,SDR26G!$A$9:$N$66,12,FALSE),                                                                                                                                                                                                                                                       IF($A67&lt;Cements!$A$95,VLOOKUP($A67,Cements!$A$8:$Q$94,15,FALSE),
IF($A67&lt;ValveBox!$A$124,VLOOKUP($A67,ValveBox!$A$9:$O$123,13,FALSE),
IF($A67&lt;'ValveBox Components'!$A$142,VLOOKUP($A67,'ValveBox Components'!$A$9:$N$141,12,FALSE),
IF($A67&lt;Drainage!$A$69,VLOOKUP($A67,Drainage!$A$8:$M$68,11,FALSE),                                                                                                                                                                                                                                                           IF($A67&lt;Nipples!$A$82,VLOOKUP($A67,Nipples!$A$9:$Q$81,15,FALSE),
IF($A67&lt;Manifold!$A$33,VLOOKUP($A67,Manifold!$A$9:$M$32,11,FALSE),
IF($A67&lt;FlexibleRepairCouplings!$A$12,VLOOKUP($A67,FlexibleRepairCouplings!$A$9:$M$11,11,FALSE),
IF($A67&lt;DuraFix!$A$15,VLOOKUP($A67,DuraFix!$A$9:$M$14,11,FALSE),                                                                                                                                                                                                                                                            IF($A67&lt;'Compression Fittings'!$A$16,VLOOKUP($A67,'Compression Fittings'!$A$8:$M$15,11,FALSE),
IF($A67&lt;'Hose Fittings'!$A$30,VLOOKUP($A67,'Hose Fittings'!$A$8:$M$29,11,FALSE),
IF($A67&lt;'Swing Joints'!$A$495,VLOOKUP($A67,'Swing Joints'!$A$9:$M$494,11,FALSE),
IF($A67&lt;'Swing Joints Components'!$A$135,VLOOKUP($A67,'Swing Joints Components'!$A$9:$M$134,11,FALSE),
IF($A67&lt;Nonstandard!$A$42,VLOOKUP($A67,Nonstandard!$A$31:$J$41,10,FALSE),"")))))))))))))))))))))))))))),"")</f>
        <v/>
      </c>
      <c r="H67" s="618" t="str">
        <f>IFERROR(IF($A67&lt;'DWV PVC'!$A$317,VLOOKUP($A67,'DWV PVC'!$A$9:$M$316,7,FALSE),
IF($A67&lt;'DWV ABS'!$A$117,VLOOKUP($A67,'DWV ABS'!$A$8:$M$116,11,FALSE),                                                                                                                                                                                                                                                     IF($A67&lt;'PVC SCH40'!$A$425,VLOOKUP($A67,'PVC SCH40'!$A$8:$M$424,7,FALSE),
IF($A67&lt;'PVC SCH40 LD'!$A$22,VLOOKUP($A67,'PVC SCH40 LD'!$A$8:$M$21,7,FALSE),
IF($A67&lt;'Pool &amp; SPA Sweep Elbows'!$A$12,VLOOKUP($A67,'Pool &amp; SPA Sweep Elbows'!$A$8:$M$11,7,FALSE),
IF($A67&lt;'Pool &amp; SPA Pipe Extender'!$A$11,VLOOKUP($A67,'Pool &amp; SPA Pipe Extender'!$A$8:$M$10,7,FALSE),
IF($A67&lt;'PVC SCH80'!$A$250,VLOOKUP($A67,'PVC SCH80'!$A$8:$M$249,7,FALSE),
IF($A67&lt;'PVC SCH80 Flange'!$A$49,VLOOKUP($A67,'PVC SCH80 Flange'!$A$8:$M$48,7,FALSE),
IF($A67&lt;'PVC SCH80 LD Flange'!$A$17,VLOOKUP($A67,'PVC SCH80 LD Flange'!$A$8:$M$16,7,FALSE),
IF($A67&lt;CPVC!$A$105,VLOOKUP($A67,CPVC!$A$9:$M$104,7,FALSE),
IF($A67&lt;InsertFittings!$A$185,VLOOKUP($A67,InsertFittings!$A$9:$M$184,7,FALSE),
IF($A67&lt;Valves!$A$92,VLOOKUP($A67,Valves!$A$9:$Q$91,11,FALSE),
IF($A67&lt;SDR35SW!$A$133,VLOOKUP($A67,SDR35SW!$A$9:$M$132,7,FALSE),
IF($A67&lt;SDR35G!$A$151,VLOOKUP($A67,SDR35G!$A$9:$M$150,7,FALSE),                                                                                                                                                                                                                                                       IF($A67&lt;SDR26G!$A$67,VLOOKUP($A67,SDR26G!$A$9:$N$66,8,FALSE),                                                                                                                                                                                                                                                     IF($A67&lt;Cements!$A$95,VLOOKUP($A67,Cements!$A$8:$Q$94,11,FALSE),
IF($A67&lt;ValveBox!$A$124,VLOOKUP($A67,ValveBox!$A$9:$O$123,10,FALSE),
IF($A67&lt;'ValveBox Components'!$A$142,VLOOKUP($A67,'ValveBox Components'!$A$9:$N$141,9,FALSE),
IF($A67&lt;Drainage!$A$69,VLOOKUP($A67,Drainage!$A$8:$M$68,7,FALSE),                                                                                                                                                                                                                                                          IF($A67&lt;Nipples!$A$82,VLOOKUP($A67,Nipples!$A$9:$Q$81,11,FALSE),
IF($A67&lt;Manifold!$A$33,VLOOKUP($A67,Manifold!$A$9:$M$32,7,FALSE),
IF($A67&lt;FlexibleRepairCouplings!$A$12,VLOOKUP($A67,FlexibleRepairCouplings!$A$9:$M$11,7,FALSE),
IF($A67&lt;DuraFix!$A$15,VLOOKUP($A67,DuraFix!$A$9:$M$14,7,FALSE),                                                                                                                                                                                                                                                           IF($A67&lt;'Compression Fittings'!$A$16,VLOOKUP($A67,'Compression Fittings'!$A$8:$M$15,7,FALSE),
IF($A67&lt;'Hose Fittings'!$A$30,VLOOKUP($A67,'Hose Fittings'!$A$8:$M$29,7,FALSE),
IF($A67&lt;'Swing Joints'!$A$495,VLOOKUP($A67,'Swing Joints'!$A$9:$M$494,7,FALSE),
IF($A67&lt;'Swing Joints Components'!$A$135,VLOOKUP($A67,'Swing Joints Components'!$A$9:$M$134,7,FALSE),
IF($A67&lt;Nonstandard!$A$42,VLOOKUP($A67,Nonstandard!$A$31:$J$41,10,FALSE),"")))))))))))))))))))))))))))),"")</f>
        <v/>
      </c>
      <c r="I67" s="619"/>
      <c r="J67" s="281" t="str">
        <f t="shared" si="1"/>
        <v/>
      </c>
      <c r="K67" s="313" t="str">
        <f>IFERROR(IF($A67&lt;'DWV PVC'!$A$317,VLOOKUP($A67,'DWV PVC'!$A$9:$M$316,10,FALSE),
IF($A67&lt;'DWV ABS'!$A$117,VLOOKUP($A67,'DWV ABS'!$A$8:$M$116,10,FALSE),
IF($A67&lt;'PVC SCH40'!$A$425,VLOOKUP($A67,'PVC SCH40'!$A$8:$M$424,10,FALSE),
IF($A67&lt;'PVC SCH40 LD'!$A$22,VLOOKUP($A67,'PVC SCH40 LD'!$A$8:$M$21,10,FALSE),
IF($A67&lt;'Pool &amp; SPA Sweep Elbows'!$A$12,VLOOKUP($A67,'Pool &amp; SPA Sweep Elbows'!$A$8:$M$11,10,FALSE),
IF($A67&lt;'Pool &amp; SPA Pipe Extender'!$A$11,VLOOKUP($A67,'Pool &amp; SPA Pipe Extender'!$A$8:$M$10,10,FALSE),
IF($A67&lt;'PVC SCH80'!$A$250,VLOOKUP($A67,'PVC SCH80'!$A$8:$M$249,10,FALSE),
IF($A67&lt;'PVC SCH80 Flange'!$A$49,VLOOKUP($A67,'PVC SCH80 Flange'!$A$8:$M$48,10,FALSE),
IF($A67&lt;'PVC SCH80 LD Flange'!$A$17,VLOOKUP($A67,'PVC SCH80 LD Flange'!$A$8:$M$16,10,FALSE),
IF($A67&lt;CPVC!$A$105,VLOOKUP($A67,CPVC!$A$9:$M$104,10,FALSE),
IF($A67&lt;InsertFittings!$A$185,VLOOKUP($A67,InsertFittings!$A$9:$M$184,10,FALSE),
IF($A67&lt;Valves!$A$92,VLOOKUP($A67,Valves!$A$9:$Q$91,14,FALSE),
IF($A67&lt;SDR35SW!$A$133,VLOOKUP($A67,SDR35SW!$A$9:$M$132,10,FALSE),
IF($A67&lt;SDR35G!$A$151,VLOOKUP($A67,SDR35G!$A$9:$M$150,10,FALSE),
IF($A67&lt;SDR26G!$A$67,VLOOKUP($A67,SDR26G!$A$9:$N$66,11,FALSE),
IF($A67&lt;Cements!$A$95,VLOOKUP($A67,Cements!$A$8:$Q$94,14,FALSE),
IF($A67&lt;ValveBox!$A$124,VLOOKUP($A67,ValveBox!$A$9:$O$123,12,FALSE),
IF($A67&lt;'ValveBox Components'!$A$142,VLOOKUP($A67,'ValveBox Components'!$A$9:$N$141,11,FALSE),
IF($A67&lt;Drainage!$A$69,VLOOKUP($A67,Drainage!$A$8:$M$68,10,FALSE),
IF($A67&lt;Nipples!$A$82,VLOOKUP($A67,Nipples!$A$9:$Q$81,14,FALSE),
IF($A67&lt;Manifold!$A$33,VLOOKUP($A67,Manifold!$A$9:$M$32,10,FALSE),
IF($A67&lt;FlexibleRepairCouplings!$A$12,VLOOKUP($A67,FlexibleRepairCouplings!$A$9:$M$11,10,FALSE),
IF($A67&lt;DuraFix!$A$15,VLOOKUP($A67,DuraFix!$A$9:$M$14,10,FALSE),
IF($A67&lt;'Compression Fittings'!$A$16,VLOOKUP($A67,'Compression Fittings'!$A$8:$M$15,10,FALSE),
IF($A67&lt;'Hose Fittings'!$A$30,VLOOKUP($A67,'Hose Fittings'!$A$8:$M$29,10,FALSE),
IF($A67&lt;'Swing Joints'!$A$495,VLOOKUP($A67,'Swing Joints'!$A$9:$M$494,10,FALSE),
IF($A67&lt;'Swing Joints Components'!$A$135,VLOOKUP($A67,'Swing Joints Components'!$A$9:$M$134,10,FALSE),
IF($A67&lt;Nonstandard!$A$42,VLOOKUP($A67,Nonstandard!$A$31:$J$41,10,FALSE),"")))))))))))))))))))))))))))),"")</f>
        <v/>
      </c>
      <c r="L67" s="314" t="str">
        <f t="shared" si="0"/>
        <v>-</v>
      </c>
      <c r="M67" s="315"/>
    </row>
    <row r="68" spans="1:13" ht="15.6">
      <c r="A68" s="536">
        <v>36</v>
      </c>
      <c r="B68" s="536" t="str">
        <f>IFERROR(IF($A68&lt;'DWV PVC'!$A$317,VLOOKUP($A68,'DWV PVC'!$A$9:$M$316,4,FALSE),
IF($A68&lt;'DWV ABS'!$A$117,VLOOKUP($A68,'DWV ABS'!$A$8:$M$116,4,FALSE),
IF($A68&lt;'PVC SCH40'!$A$425,VLOOKUP($A68,'PVC SCH40'!$A$8:$M$424,4,FALSE),
IF($A68&lt;'PVC SCH40 LD'!$A$22,VLOOKUP($A68,'PVC SCH40 LD'!$A$8:$M$21,4,FALSE),
IF($A68&lt;'Pool &amp; SPA Sweep Elbows'!$A$12,VLOOKUP($A68,'Pool &amp; SPA Sweep Elbows'!$A$8:$M$11,4,FALSE),
IF($A68&lt;'Pool &amp; SPA Pipe Extender'!$A$11,VLOOKUP($A68,'Pool &amp; SPA Pipe Extender'!$A$8:$M$10,4,FALSE),
IF($A68&lt;'PVC SCH80'!$A$250,VLOOKUP($A68,'PVC SCH80'!$A$8:$M$249,4,FALSE),
IF($A68&lt;'PVC SCH80 Flange'!$A$49,VLOOKUP($A68,'PVC SCH80 Flange'!$A$8:$M$48,4,FALSE),
IF($A68&lt;'PVC SCH80 LD Flange'!$A$17,VLOOKUP($A68,'PVC SCH80 LD Flange'!$A$8:$M$16,4,FALSE),
IF($A68&lt;CPVC!$A$105,VLOOKUP($A68,CPVC!$A$9:$M$104,4,FALSE),
IF($A68&lt;InsertFittings!$A$185,VLOOKUP($A68,InsertFittings!$A$9:$M$184,4,FALSE),
IF($A68&lt;Valves!$A$92,VLOOKUP($A68,Valves!$A$9:$Q$91,4,FALSE),
IF($A68&lt;SDR35SW!$A$133,VLOOKUP($A68,SDR35SW!$A$9:$M$132,4,FALSE),
IF($A68&lt;SDR35G!$A$151,VLOOKUP($A68,SDR35G!$A$9:$M$150,4,FALSE),
IF($A68&lt;SDR26G!$A$67,VLOOKUP($A68,SDR26G!$A$9:$N$66,5,FALSE),
IF($A68&lt;Cements!$A$95,VLOOKUP($A68,Cements!$A$8:$Q$94,4,FALSE),
IF($A68&lt;ValveBox!$A$124,VLOOKUP($A68,ValveBox!$A$9:$O$123,4,FALSE),
IF($A68&lt;'ValveBox Components'!$A$142,VLOOKUP($A68,'ValveBox Components'!$A$9:$N$141,4,FALSE),
IF($A68&lt;Drainage!$A$69,VLOOKUP($A68,Drainage!$A$8:$M$68,4,FALSE),
IF($A68&lt;Nipples!$A$82,VLOOKUP($A68,Nipples!$A$9:$Q$81,4,FALSE),
IF($A68&lt;Manifold!$A$33,VLOOKUP($A68,Manifold!$A$9:$M$32,4,FALSE),
IF($A68&lt;FlexibleRepairCouplings!$A$12,VLOOKUP($A68,FlexibleRepairCouplings!$A$9:$M$11,4,FALSE),
IF($A68&lt;DuraFix!$A$15,VLOOKUP($A68,DuraFix!$A$9:$M$14,4,FALSE),
IF($A68&lt;'Compression Fittings'!$A$16,VLOOKUP($A68,'Compression Fittings'!$A$8:$M$15,4,FALSE),
IF($A68&lt;'Hose Fittings'!$A$30,VLOOKUP($A68,'Hose Fittings'!$A$8:$M$29,4,FALSE),
IF($A68&lt;'Swing Joints'!$A$495,VLOOKUP($A68,'Swing Joints'!$A$9:$M$494,4,FALSE),
IF($A68&lt;'Swing Joints Components'!$A$135,VLOOKUP($A68,'Swing Joints Components'!$A$9:$M$134,4,FALSE),
IF($A68&lt;Nonstandard!$A$42,VLOOKUP($A68,Nonstandard!$A$31:$J$41,5,FALSE),"")))))))))))))))))))))))))))),"")</f>
        <v/>
      </c>
      <c r="C68" s="536" t="str">
        <f>IFERROR(IF($A68&lt;'DWV PVC'!$A$317,VLOOKUP($A68,'DWV PVC'!$A$9:$M$316,5,FALSE),
IF($A68&lt;'DWV ABS'!$A$117,VLOOKUP($A68,'DWV ABS'!$A$8:$M$116,5,FALSE),
IF($A68&lt;'PVC SCH40'!$A$425,VLOOKUP($A68,'PVC SCH40'!$A$8:$M$424,5,FALSE),
IF($A68&lt;'PVC SCH40 LD'!$A$22,VLOOKUP($A68,'PVC SCH40 LD'!$A$8:$M$21,5,FALSE),
IF($A68&lt;'Pool &amp; SPA Sweep Elbows'!$A$12,VLOOKUP($A68,'Pool &amp; SPA Sweep Elbows'!$A$8:$M$11,5,FALSE),
IF($A68&lt;'Pool &amp; SPA Pipe Extender'!$A$11,VLOOKUP($A68,'Pool &amp; SPA Pipe Extender'!$A$8:$M$10,5,FALSE),
IF($A68&lt;'PVC SCH80'!$A$250,VLOOKUP($A68,'PVC SCH80'!$A$8:$M$249,5,FALSE),
IF($A68&lt;'PVC SCH80 Flange'!$A$49,VLOOKUP($A68,'PVC SCH80 Flange'!$A$8:$M$48,5,FALSE),
IF($A68&lt;'PVC SCH80 LD Flange'!$A$17,VLOOKUP($A68,'PVC SCH80 LD Flange'!$A$8:$M$16,5,FALSE),
IF($A68&lt;CPVC!$A$105,VLOOKUP($A68,CPVC!$A$9:$M$104,5,FALSE),
IF($A68&lt;InsertFittings!$A$185,VLOOKUP($A68,InsertFittings!$A$9:$M$184,5,FALSE),
IF($A68&lt;Valves!$A$92,VLOOKUP($A68,Valves!$A$9:$Q$91,5,FALSE),
IF($A68&lt;SDR35SW!$A$133,VLOOKUP($A68,SDR35SW!$A$9:$M$132,5,FALSE),
IF($A68&lt;SDR35G!$A$151,VLOOKUP($A68,SDR35G!$A$9:$M$150,5,FALSE),
IF($A68&lt;SDR26G!$A$67,VLOOKUP($A68,SDR26G!$A$9:$N$66,6,FALSE),
IF($A68&lt;Cements!$A$95,VLOOKUP($A68,Cements!$A$8:$Q$94,5,FALSE),
IF($A68&lt;ValveBox!$A$124,VLOOKUP($A68,ValveBox!$A$9:$O$123,5,FALSE),
IF($A68&lt;'ValveBox Components'!$A$142,VLOOKUP($A68,'ValveBox Components'!$A$9:$N$141,5,FALSE),
IF($A68&lt;Drainage!$A$69,VLOOKUP($A68,Drainage!$A$8:$M$68,5,FALSE),
IF($A68&lt;Nipples!$A$82,VLOOKUP($A68,Nipples!$A$9:$Q$81,5,FALSE),
IF($A68&lt;Manifold!$A$33,VLOOKUP($A68,Manifold!$A$9:$M$32,5,FALSE),
IF($A68&lt;FlexibleRepairCouplings!$A$12,VLOOKUP($A68,FlexibleRepairCouplings!$A$9:$M$11,5,FALSE),
IF($A68&lt;DuraFix!$A$15,VLOOKUP($A68,DuraFix!$A$9:$M$14,5,FALSE),
IF($A68&lt;'Compression Fittings'!$A$16,VLOOKUP($A68,'Compression Fittings'!$A$8:$M$15,5,FALSE),
IF($A68&lt;'Hose Fittings'!$A$30,VLOOKUP($A68,'Hose Fittings'!$A$8:$M$29,5,FALSE),
IF($A68&lt;'Swing Joints'!$A$495,VLOOKUP($A68,'Swing Joints'!$A$9:$M$494,5,FALSE),
IF($A68&lt;'Swing Joints Components'!$A$135,VLOOKUP($A68,'Swing Joints Components'!$A$9:$M$134,5,FALSE),
IF($A68&lt;Nonstandard!$A$42,VLOOKUP($A68,Nonstandard!$A$31:$J$41,6,FALSE),"")))))))))))))))))))))))))))),"")</f>
        <v/>
      </c>
      <c r="D68" s="537" t="str">
        <f>IFERROR(IF($A68&lt;'DWV PVC'!$A$317,VLOOKUP($A68,'DWV PVC'!$A$9:$M$316,6,FALSE),
IF($A68&lt;'DWV ABS'!$A$117,VLOOKUP($A68,'DWV ABS'!$A$8:$M$116,6,FALSE),
IF($A68&lt;'PVC SCH40'!$A$425,VLOOKUP($A68,'PVC SCH40'!$A$8:$M$424,6,FALSE),
IF($A68&lt;'PVC SCH40 LD'!$A$22,VLOOKUP($A68,'PVC SCH40 LD'!$A$8:$M$21,6,FALSE),
IF($A68&lt;'Pool &amp; SPA Sweep Elbows'!$A$12,VLOOKUP($A68,'Pool &amp; SPA Sweep Elbows'!$A$8:$M$11,6,FALSE),
IF($A68&lt;'Pool &amp; SPA Pipe Extender'!$A$11,VLOOKUP($A68,'Pool &amp; SPA Pipe Extender'!$A$8:$M$10,6,FALSE),
IF($A68&lt;'PVC SCH80'!$A$250,VLOOKUP($A68,'PVC SCH80'!$A$8:$M$249,6,FALSE),
IF($A68&lt;'PVC SCH80 Flange'!$A$49,VLOOKUP($A68,'PVC SCH80 Flange'!$A$8:$M$48,6,FALSE),
IF($A68&lt;'PVC SCH80 LD Flange'!$A$17,VLOOKUP($A68,'PVC SCH80 LD Flange'!$A$8:$M$16,6,FALSE),
IF($A68&lt;CPVC!$A$105,VLOOKUP($A68,CPVC!$A$9:$M$104,6,FALSE),
IF($A68&lt;InsertFittings!$A$185,VLOOKUP($A68,InsertFittings!$A$9:$M$184,6,FALSE),
IF($A68&lt;Valves!$A$92,VLOOKUP($A68,Valves!$A$9:$Q$91,6,FALSE),
IF($A68&lt;SDR35SW!$A$133,VLOOKUP($A68,SDR35SW!$A$9:$M$132,6,FALSE),
IF($A68&lt;SDR35G!$A$151,VLOOKUP($A68,SDR35G!$A$9:$M$150,6,FALSE),
IF($A68&lt;SDR26G!$A$67,VLOOKUP($A68,SDR26G!$A$9:$N$66,7,FALSE),
IF($A68&lt;Cements!$A$95,VLOOKUP($A68,Cements!$A$8:$Q$94,6,FALSE),
IF($A68&lt;ValveBox!$A$124,VLOOKUP($A68,ValveBox!$A$9:$O$123,6,FALSE),
IF($A68&lt;'ValveBox Components'!$A$142,VLOOKUP($A68,'ValveBox Components'!$A$9:$N$141,6,FALSE),
IF($A68&lt;Drainage!$A$69,VLOOKUP($A68,Drainage!$A$8:$M$68,6,FALSE),
IF($A68&lt;Nipples!$A$82,VLOOKUP($A68,Nipples!$A$9:$Q$81,6,FALSE),
IF($A68&lt;Manifold!$A$33,VLOOKUP($A68,Manifold!$A$9:$M$32,6,FALSE),
IF($A68&lt;FlexibleRepairCouplings!$A$12,VLOOKUP($A68,FlexibleRepairCouplings!$A$9:$M$11,6,FALSE),
IF($A68&lt;DuraFix!$A$15,VLOOKUP($A68,DuraFix!$A$9:$M$14,6,FALSE),
IF($A68&lt;'Compression Fittings'!$A$16,VLOOKUP($A68,'Compression Fittings'!$A$8:$M$15,6,FALSE),
IF($A68&lt;'Hose Fittings'!$A$30,VLOOKUP($A68,'Hose Fittings'!$A$8:$M$29,6,FALSE),
IF($A68&lt;'Swing Joints'!$A$495,VLOOKUP($A68,'Swing Joints'!$A$9:$M$494,6,FALSE),
IF($A68&lt;'Swing Joints Components'!$A$135,VLOOKUP($A68,'Swing Joints Components'!$A$9:$M$134,6,FALSE),
IF($A68&lt;Nonstandard!$A$42,VLOOKUP($A68,Nonstandard!$A$31:$J$41,7,FALSE),"")))))))))))))))))))))))))))),"")</f>
        <v/>
      </c>
      <c r="E68" s="538"/>
      <c r="F68" s="539" t="str">
        <f>IFERROR(IF($A68&lt;'DWV PVC'!$A$317,VLOOKUP($A68,'DWV PVC'!$A$9:$M$316,9,FALSE),
IF($A68&lt;'DWV ABS'!$A$117,VLOOKUP($A68,'DWV ABS'!$A$8:$M$116,9,FALSE),                                                                                                                                                                                                                                                     IF($A68&lt;'PVC SCH40'!$A$425,VLOOKUP($A68,'PVC SCH40'!$A$8:$M$424,9,FALSE),
IF($A68&lt;'PVC SCH40 LD'!$A$22,VLOOKUP($A68,'PVC SCH40 LD'!$A$8:$M$21,9,FALSE),
IF($A68&lt;'Pool &amp; SPA Sweep Elbows'!$A$12,VLOOKUP($A68,'Pool &amp; SPA Sweep Elbows'!$A$8:$M$11,9,FALSE),
IF($A68&lt;'Pool &amp; SPA Pipe Extender'!$A$11,VLOOKUP($A68,'Pool &amp; SPA Pipe Extender'!$A$8:$M$10,9,FALSE),
IF($A68&lt;'PVC SCH80'!$A$250,VLOOKUP($A68,'PVC SCH80'!$A$8:$M$249,9,FALSE),
IF($A68&lt;'PVC SCH80 Flange'!$A$49,VLOOKUP($A68,'PVC SCH80 Flange'!$A$8:$M$48,9,FALSE),
IF($A68&lt;'PVC SCH80 LD Flange'!$A$17,VLOOKUP($A68,'PVC SCH80 LD Flange'!$A$8:$M$16,9,FALSE),
IF($A68&lt;CPVC!$A$105,VLOOKUP($A68,CPVC!$A$9:$M$104,9,FALSE),
IF($A68&lt;InsertFittings!$A$185,VLOOKUP($A68,InsertFittings!$A$9:$M$184,9,FALSE),
IF($A68&lt;Valves!$A$92,VLOOKUP($A68,Valves!$A$9:$Q$91,13,FALSE),
IF($A68&lt;SDR35SW!$A$133,VLOOKUP($A68,SDR35SW!$A$9:$M$132,9,FALSE),
IF($A68&lt;SDR35G!$A$151,VLOOKUP($A68,SDR35G!$A$9:$M$150,9,FALSE),                                                                                                                                                                                                                                                          IF($A68&lt;SDR26G!$A$67,VLOOKUP($A68,SDR26G!$A$9:$N$66,10,FALSE),                                                                                                                                                                                                                                                       IF($A68&lt;Cements!$A$95,VLOOKUP($A68,Cements!$A$8:$Q$94,13,FALSE),
IF($A68&lt;ValveBox!$A$124,VLOOKUP($A68,ValveBox!$A$9:$O$123,11,FALSE),
IF($A68&lt;'ValveBox Components'!$A$142,VLOOKUP($A68,'ValveBox Components'!$A$9:$N$141,10,FALSE),
IF($A68&lt;Drainage!$A$69,VLOOKUP($A68,Drainage!$A$8:$M$68,9,FALSE),                                                                                                                                                                                                                                                              IF($A68&lt;Nipples!$A$82,VLOOKUP($A68,Nipples!$A$9:$Q$81,13,FALSE),
IF($A68&lt;Manifold!$A$33,VLOOKUP($A68,Manifold!$A$9:$M$32,9,FALSE),
IF($A68&lt;FlexibleRepairCouplings!$A$12,VLOOKUP($A68,FlexibleRepairCouplings!$A$9:$M$11,9,FALSE),
IF($A68&lt;DuraFix!$A$15,VLOOKUP($A68,DuraFix!$A$9:$M$14,9,FALSE),                                                                                                                                                                                                                                                          IF($A68&lt;'Compression Fittings'!$A$16,VLOOKUP($A68,'Compression Fittings'!$A$8:$M$15,9,FALSE),
IF($A68&lt;'Hose Fittings'!$A$30,VLOOKUP($A68,'Hose Fittings'!$A$8:$M$29,9,FALSE),
IF($A68&lt;'Swing Joints'!$A$495,VLOOKUP($A68,'Swing Joints'!$A$9:$M$494,9,FALSE),
IF($A68&lt;'Swing Joints Components'!$A$135,VLOOKUP($A68,'Swing Joints Components'!$A$9:$M$134,9,FALSE),
IF($A68&lt;Nonstandard!$A$42,VLOOKUP($A68,Nonstandard!$A$31:$J$41,8,FALSE),"")))))))))))))))))))))))))))),"")</f>
        <v/>
      </c>
      <c r="G68" s="540" t="str">
        <f>IFERROR(IF($A68&lt;'DWV PVC'!$A$317,VLOOKUP($A68,'DWV PVC'!$A$9:$M$316,11,FALSE),
IF($A68&lt;'DWV ABS'!$A$117,VLOOKUP($A68,'DWV ABS'!$A$8:$M$116,11,FALSE),                                                                                                                                                                                                                                                     IF($A68&lt;'PVC SCH40'!$A$425,VLOOKUP($A68,'PVC SCH40'!$A$8:$M$424,11,FALSE),
IF($A68&lt;'PVC SCH40 LD'!$A$22,VLOOKUP($A68,'PVC SCH40 LD'!$A$8:$M$21,11,FALSE),
IF($A68&lt;'Pool &amp; SPA Sweep Elbows'!$A$12,VLOOKUP($A68,'Pool &amp; SPA Sweep Elbows'!$A$8:$M$11,11,FALSE),
IF($A68&lt;'Pool &amp; SPA Pipe Extender'!$A$11,VLOOKUP($A68,'Pool &amp; SPA Pipe Extender'!$A$8:$M$10,11,FALSE),
IF($A68&lt;'PVC SCH80'!$A$250,VLOOKUP($A68,'PVC SCH80'!$A$8:$M$249,11,FALSE),
IF($A68&lt;'PVC SCH80 Flange'!$A$49,VLOOKUP($A68,'PVC SCH80 Flange'!$A$8:$M$48,11,FALSE),
IF($A68&lt;'PVC SCH80 LD Flange'!$A$17,VLOOKUP($A68,'PVC SCH80 LD Flange'!$A$8:$M$16,11,FALSE),
IF($A68&lt;CPVC!$A$105,VLOOKUP($A68,CPVC!$A$9:$M$104,11,FALSE),
IF($A68&lt;InsertFittings!$A$185,VLOOKUP($A68,InsertFittings!$A$9:$M$184,11,FALSE),
IF($A68&lt;Valves!$A$92,VLOOKUP($A68,Valves!$A$9:$Q$91,15,FALSE),
IF($A68&lt;SDR35SW!$A$133,VLOOKUP($A68,SDR35SW!$A$9:$M$132,11,FALSE),
IF($A68&lt;SDR35G!$A$151,VLOOKUP($A68,SDR35G!$A$9:$M$150,11,FALSE),                                                                                                                                                                                                                                                          IF($A68&lt;SDR26G!$A$67,VLOOKUP($A68,SDR26G!$A$9:$N$66,12,FALSE),                                                                                                                                                                                                                                                       IF($A68&lt;Cements!$A$95,VLOOKUP($A68,Cements!$A$8:$Q$94,15,FALSE),
IF($A68&lt;ValveBox!$A$124,VLOOKUP($A68,ValveBox!$A$9:$O$123,13,FALSE),
IF($A68&lt;'ValveBox Components'!$A$142,VLOOKUP($A68,'ValveBox Components'!$A$9:$N$141,12,FALSE),
IF($A68&lt;Drainage!$A$69,VLOOKUP($A68,Drainage!$A$8:$M$68,11,FALSE),                                                                                                                                                                                                                                                           IF($A68&lt;Nipples!$A$82,VLOOKUP($A68,Nipples!$A$9:$Q$81,15,FALSE),
IF($A68&lt;Manifold!$A$33,VLOOKUP($A68,Manifold!$A$9:$M$32,11,FALSE),
IF($A68&lt;FlexibleRepairCouplings!$A$12,VLOOKUP($A68,FlexibleRepairCouplings!$A$9:$M$11,11,FALSE),
IF($A68&lt;DuraFix!$A$15,VLOOKUP($A68,DuraFix!$A$9:$M$14,11,FALSE),                                                                                                                                                                                                                                                            IF($A68&lt;'Compression Fittings'!$A$16,VLOOKUP($A68,'Compression Fittings'!$A$8:$M$15,11,FALSE),
IF($A68&lt;'Hose Fittings'!$A$30,VLOOKUP($A68,'Hose Fittings'!$A$8:$M$29,11,FALSE),
IF($A68&lt;'Swing Joints'!$A$495,VLOOKUP($A68,'Swing Joints'!$A$9:$M$494,11,FALSE),
IF($A68&lt;'Swing Joints Components'!$A$135,VLOOKUP($A68,'Swing Joints Components'!$A$9:$M$134,11,FALSE),
IF($A68&lt;Nonstandard!$A$42,VLOOKUP($A68,Nonstandard!$A$31:$J$41,10,FALSE),"")))))))))))))))))))))))))))),"")</f>
        <v/>
      </c>
      <c r="H68" s="620" t="str">
        <f>IFERROR(IF($A68&lt;'DWV PVC'!$A$317,VLOOKUP($A68,'DWV PVC'!$A$9:$M$316,7,FALSE),
IF($A68&lt;'DWV ABS'!$A$117,VLOOKUP($A68,'DWV ABS'!$A$8:$M$116,11,FALSE),                                                                                                                                                                                                                                                     IF($A68&lt;'PVC SCH40'!$A$425,VLOOKUP($A68,'PVC SCH40'!$A$8:$M$424,7,FALSE),
IF($A68&lt;'PVC SCH40 LD'!$A$22,VLOOKUP($A68,'PVC SCH40 LD'!$A$8:$M$21,7,FALSE),
IF($A68&lt;'Pool &amp; SPA Sweep Elbows'!$A$12,VLOOKUP($A68,'Pool &amp; SPA Sweep Elbows'!$A$8:$M$11,7,FALSE),
IF($A68&lt;'Pool &amp; SPA Pipe Extender'!$A$11,VLOOKUP($A68,'Pool &amp; SPA Pipe Extender'!$A$8:$M$10,7,FALSE),
IF($A68&lt;'PVC SCH80'!$A$250,VLOOKUP($A68,'PVC SCH80'!$A$8:$M$249,7,FALSE),
IF($A68&lt;'PVC SCH80 Flange'!$A$49,VLOOKUP($A68,'PVC SCH80 Flange'!$A$8:$M$48,7,FALSE),
IF($A68&lt;'PVC SCH80 LD Flange'!$A$17,VLOOKUP($A68,'PVC SCH80 LD Flange'!$A$8:$M$16,7,FALSE),
IF($A68&lt;CPVC!$A$105,VLOOKUP($A68,CPVC!$A$9:$M$104,7,FALSE),
IF($A68&lt;InsertFittings!$A$185,VLOOKUP($A68,InsertFittings!$A$9:$M$184,7,FALSE),
IF($A68&lt;Valves!$A$92,VLOOKUP($A68,Valves!$A$9:$Q$91,11,FALSE),
IF($A68&lt;SDR35SW!$A$133,VLOOKUP($A68,SDR35SW!$A$9:$M$132,7,FALSE),
IF($A68&lt;SDR35G!$A$151,VLOOKUP($A68,SDR35G!$A$9:$M$150,7,FALSE),                                                                                                                                                                                                                                                       IF($A68&lt;SDR26G!$A$67,VLOOKUP($A68,SDR26G!$A$9:$N$66,8,FALSE),                                                                                                                                                                                                                                                     IF($A68&lt;Cements!$A$95,VLOOKUP($A68,Cements!$A$8:$Q$94,11,FALSE),
IF($A68&lt;ValveBox!$A$124,VLOOKUP($A68,ValveBox!$A$9:$O$123,10,FALSE),
IF($A68&lt;'ValveBox Components'!$A$142,VLOOKUP($A68,'ValveBox Components'!$A$9:$N$141,9,FALSE),
IF($A68&lt;Drainage!$A$69,VLOOKUP($A68,Drainage!$A$8:$M$68,7,FALSE),                                                                                                                                                                                                                                                          IF($A68&lt;Nipples!$A$82,VLOOKUP($A68,Nipples!$A$9:$Q$81,11,FALSE),
IF($A68&lt;Manifold!$A$33,VLOOKUP($A68,Manifold!$A$9:$M$32,7,FALSE),
IF($A68&lt;FlexibleRepairCouplings!$A$12,VLOOKUP($A68,FlexibleRepairCouplings!$A$9:$M$11,7,FALSE),
IF($A68&lt;DuraFix!$A$15,VLOOKUP($A68,DuraFix!$A$9:$M$14,7,FALSE),                                                                                                                                                                                                                                                           IF($A68&lt;'Compression Fittings'!$A$16,VLOOKUP($A68,'Compression Fittings'!$A$8:$M$15,7,FALSE),
IF($A68&lt;'Hose Fittings'!$A$30,VLOOKUP($A68,'Hose Fittings'!$A$8:$M$29,7,FALSE),
IF($A68&lt;'Swing Joints'!$A$495,VLOOKUP($A68,'Swing Joints'!$A$9:$M$494,7,FALSE),
IF($A68&lt;'Swing Joints Components'!$A$135,VLOOKUP($A68,'Swing Joints Components'!$A$9:$M$134,7,FALSE),
IF($A68&lt;Nonstandard!$A$42,VLOOKUP($A68,Nonstandard!$A$31:$J$41,10,FALSE),"")))))))))))))))))))))))))))),"")</f>
        <v/>
      </c>
      <c r="I68" s="621"/>
      <c r="J68" s="541" t="str">
        <f t="shared" si="1"/>
        <v/>
      </c>
      <c r="K68" s="599" t="str">
        <f>IFERROR(IF($A68&lt;'DWV PVC'!$A$317,VLOOKUP($A68,'DWV PVC'!$A$9:$M$316,10,FALSE),
IF($A68&lt;'DWV ABS'!$A$117,VLOOKUP($A68,'DWV ABS'!$A$8:$M$116,10,FALSE),
IF($A68&lt;'PVC SCH40'!$A$425,VLOOKUP($A68,'PVC SCH40'!$A$8:$M$424,10,FALSE),
IF($A68&lt;'PVC SCH40 LD'!$A$22,VLOOKUP($A68,'PVC SCH40 LD'!$A$8:$M$21,10,FALSE),
IF($A68&lt;'Pool &amp; SPA Sweep Elbows'!$A$12,VLOOKUP($A68,'Pool &amp; SPA Sweep Elbows'!$A$8:$M$11,10,FALSE),
IF($A68&lt;'Pool &amp; SPA Pipe Extender'!$A$11,VLOOKUP($A68,'Pool &amp; SPA Pipe Extender'!$A$8:$M$10,10,FALSE),
IF($A68&lt;'PVC SCH80'!$A$250,VLOOKUP($A68,'PVC SCH80'!$A$8:$M$249,10,FALSE),
IF($A68&lt;'PVC SCH80 Flange'!$A$49,VLOOKUP($A68,'PVC SCH80 Flange'!$A$8:$M$48,10,FALSE),
IF($A68&lt;'PVC SCH80 LD Flange'!$A$17,VLOOKUP($A68,'PVC SCH80 LD Flange'!$A$8:$M$16,10,FALSE),
IF($A68&lt;CPVC!$A$105,VLOOKUP($A68,CPVC!$A$9:$M$104,10,FALSE),
IF($A68&lt;InsertFittings!$A$185,VLOOKUP($A68,InsertFittings!$A$9:$M$184,10,FALSE),
IF($A68&lt;Valves!$A$92,VLOOKUP($A68,Valves!$A$9:$Q$91,14,FALSE),
IF($A68&lt;SDR35SW!$A$133,VLOOKUP($A68,SDR35SW!$A$9:$M$132,10,FALSE),
IF($A68&lt;SDR35G!$A$151,VLOOKUP($A68,SDR35G!$A$9:$M$150,10,FALSE),
IF($A68&lt;SDR26G!$A$67,VLOOKUP($A68,SDR26G!$A$9:$N$66,11,FALSE),
IF($A68&lt;Cements!$A$95,VLOOKUP($A68,Cements!$A$8:$Q$94,14,FALSE),
IF($A68&lt;ValveBox!$A$124,VLOOKUP($A68,ValveBox!$A$9:$O$123,12,FALSE),
IF($A68&lt;'ValveBox Components'!$A$142,VLOOKUP($A68,'ValveBox Components'!$A$9:$N$141,11,FALSE),
IF($A68&lt;Drainage!$A$69,VLOOKUP($A68,Drainage!$A$8:$M$68,10,FALSE),
IF($A68&lt;Nipples!$A$82,VLOOKUP($A68,Nipples!$A$9:$Q$81,14,FALSE),
IF($A68&lt;Manifold!$A$33,VLOOKUP($A68,Manifold!$A$9:$M$32,10,FALSE),
IF($A68&lt;FlexibleRepairCouplings!$A$12,VLOOKUP($A68,FlexibleRepairCouplings!$A$9:$M$11,10,FALSE),
IF($A68&lt;DuraFix!$A$15,VLOOKUP($A68,DuraFix!$A$9:$M$14,10,FALSE),
IF($A68&lt;'Compression Fittings'!$A$16,VLOOKUP($A68,'Compression Fittings'!$A$8:$M$15,10,FALSE),
IF($A68&lt;'Hose Fittings'!$A$30,VLOOKUP($A68,'Hose Fittings'!$A$8:$M$29,10,FALSE),
IF($A68&lt;'Swing Joints'!$A$495,VLOOKUP($A68,'Swing Joints'!$A$9:$M$494,10,FALSE),
IF($A68&lt;'Swing Joints Components'!$A$135,VLOOKUP($A68,'Swing Joints Components'!$A$9:$M$134,10,FALSE),
IF($A68&lt;Nonstandard!$A$42,VLOOKUP($A68,Nonstandard!$A$31:$J$41,10,FALSE),"")))))))))))))))))))))))))))),"")</f>
        <v/>
      </c>
      <c r="L68" s="539" t="str">
        <f t="shared" si="0"/>
        <v>-</v>
      </c>
      <c r="M68" s="542"/>
    </row>
    <row r="69" spans="1:13" ht="15.6">
      <c r="A69" s="312">
        <v>37</v>
      </c>
      <c r="B69" s="312" t="str">
        <f>IFERROR(IF($A69&lt;'DWV PVC'!$A$317,VLOOKUP($A69,'DWV PVC'!$A$9:$M$316,4,FALSE),
IF($A69&lt;'DWV ABS'!$A$117,VLOOKUP($A69,'DWV ABS'!$A$8:$M$116,4,FALSE),
IF($A69&lt;'PVC SCH40'!$A$425,VLOOKUP($A69,'PVC SCH40'!$A$8:$M$424,4,FALSE),
IF($A69&lt;'PVC SCH40 LD'!$A$22,VLOOKUP($A69,'PVC SCH40 LD'!$A$8:$M$21,4,FALSE),
IF($A69&lt;'Pool &amp; SPA Sweep Elbows'!$A$12,VLOOKUP($A69,'Pool &amp; SPA Sweep Elbows'!$A$8:$M$11,4,FALSE),
IF($A69&lt;'Pool &amp; SPA Pipe Extender'!$A$11,VLOOKUP($A69,'Pool &amp; SPA Pipe Extender'!$A$8:$M$10,4,FALSE),
IF($A69&lt;'PVC SCH80'!$A$250,VLOOKUP($A69,'PVC SCH80'!$A$8:$M$249,4,FALSE),
IF($A69&lt;'PVC SCH80 Flange'!$A$49,VLOOKUP($A69,'PVC SCH80 Flange'!$A$8:$M$48,4,FALSE),
IF($A69&lt;'PVC SCH80 LD Flange'!$A$17,VLOOKUP($A69,'PVC SCH80 LD Flange'!$A$8:$M$16,4,FALSE),
IF($A69&lt;CPVC!$A$105,VLOOKUP($A69,CPVC!$A$9:$M$104,4,FALSE),
IF($A69&lt;InsertFittings!$A$185,VLOOKUP($A69,InsertFittings!$A$9:$M$184,4,FALSE),
IF($A69&lt;Valves!$A$92,VLOOKUP($A69,Valves!$A$9:$Q$91,4,FALSE),
IF($A69&lt;SDR35SW!$A$133,VLOOKUP($A69,SDR35SW!$A$9:$M$132,4,FALSE),
IF($A69&lt;SDR35G!$A$151,VLOOKUP($A69,SDR35G!$A$9:$M$150,4,FALSE),
IF($A69&lt;SDR26G!$A$67,VLOOKUP($A69,SDR26G!$A$9:$N$66,5,FALSE),
IF($A69&lt;Cements!$A$95,VLOOKUP($A69,Cements!$A$8:$Q$94,4,FALSE),
IF($A69&lt;ValveBox!$A$124,VLOOKUP($A69,ValveBox!$A$9:$O$123,4,FALSE),
IF($A69&lt;'ValveBox Components'!$A$142,VLOOKUP($A69,'ValveBox Components'!$A$9:$N$141,4,FALSE),
IF($A69&lt;Drainage!$A$69,VLOOKUP($A69,Drainage!$A$8:$M$68,4,FALSE),
IF($A69&lt;Nipples!$A$82,VLOOKUP($A69,Nipples!$A$9:$Q$81,4,FALSE),
IF($A69&lt;Manifold!$A$33,VLOOKUP($A69,Manifold!$A$9:$M$32,4,FALSE),
IF($A69&lt;FlexibleRepairCouplings!$A$12,VLOOKUP($A69,FlexibleRepairCouplings!$A$9:$M$11,4,FALSE),
IF($A69&lt;DuraFix!$A$15,VLOOKUP($A69,DuraFix!$A$9:$M$14,4,FALSE),
IF($A69&lt;'Compression Fittings'!$A$16,VLOOKUP($A69,'Compression Fittings'!$A$8:$M$15,4,FALSE),
IF($A69&lt;'Hose Fittings'!$A$30,VLOOKUP($A69,'Hose Fittings'!$A$8:$M$29,4,FALSE),
IF($A69&lt;'Swing Joints'!$A$495,VLOOKUP($A69,'Swing Joints'!$A$9:$M$494,4,FALSE),
IF($A69&lt;'Swing Joints Components'!$A$135,VLOOKUP($A69,'Swing Joints Components'!$A$9:$M$134,4,FALSE),
IF($A69&lt;Nonstandard!$A$42,VLOOKUP($A69,Nonstandard!$A$31:$J$41,5,FALSE),"")))))))))))))))))))))))))))),"")</f>
        <v/>
      </c>
      <c r="C69" s="312" t="str">
        <f>IFERROR(IF($A69&lt;'DWV PVC'!$A$317,VLOOKUP($A69,'DWV PVC'!$A$9:$M$316,5,FALSE),
IF($A69&lt;'DWV ABS'!$A$117,VLOOKUP($A69,'DWV ABS'!$A$8:$M$116,5,FALSE),
IF($A69&lt;'PVC SCH40'!$A$425,VLOOKUP($A69,'PVC SCH40'!$A$8:$M$424,5,FALSE),
IF($A69&lt;'PVC SCH40 LD'!$A$22,VLOOKUP($A69,'PVC SCH40 LD'!$A$8:$M$21,5,FALSE),
IF($A69&lt;'Pool &amp; SPA Sweep Elbows'!$A$12,VLOOKUP($A69,'Pool &amp; SPA Sweep Elbows'!$A$8:$M$11,5,FALSE),
IF($A69&lt;'Pool &amp; SPA Pipe Extender'!$A$11,VLOOKUP($A69,'Pool &amp; SPA Pipe Extender'!$A$8:$M$10,5,FALSE),
IF($A69&lt;'PVC SCH80'!$A$250,VLOOKUP($A69,'PVC SCH80'!$A$8:$M$249,5,FALSE),
IF($A69&lt;'PVC SCH80 Flange'!$A$49,VLOOKUP($A69,'PVC SCH80 Flange'!$A$8:$M$48,5,FALSE),
IF($A69&lt;'PVC SCH80 LD Flange'!$A$17,VLOOKUP($A69,'PVC SCH80 LD Flange'!$A$8:$M$16,5,FALSE),
IF($A69&lt;CPVC!$A$105,VLOOKUP($A69,CPVC!$A$9:$M$104,5,FALSE),
IF($A69&lt;InsertFittings!$A$185,VLOOKUP($A69,InsertFittings!$A$9:$M$184,5,FALSE),
IF($A69&lt;Valves!$A$92,VLOOKUP($A69,Valves!$A$9:$Q$91,5,FALSE),
IF($A69&lt;SDR35SW!$A$133,VLOOKUP($A69,SDR35SW!$A$9:$M$132,5,FALSE),
IF($A69&lt;SDR35G!$A$151,VLOOKUP($A69,SDR35G!$A$9:$M$150,5,FALSE),
IF($A69&lt;SDR26G!$A$67,VLOOKUP($A69,SDR26G!$A$9:$N$66,6,FALSE),
IF($A69&lt;Cements!$A$95,VLOOKUP($A69,Cements!$A$8:$Q$94,5,FALSE),
IF($A69&lt;ValveBox!$A$124,VLOOKUP($A69,ValveBox!$A$9:$O$123,5,FALSE),
IF($A69&lt;'ValveBox Components'!$A$142,VLOOKUP($A69,'ValveBox Components'!$A$9:$N$141,5,FALSE),
IF($A69&lt;Drainage!$A$69,VLOOKUP($A69,Drainage!$A$8:$M$68,5,FALSE),
IF($A69&lt;Nipples!$A$82,VLOOKUP($A69,Nipples!$A$9:$Q$81,5,FALSE),
IF($A69&lt;Manifold!$A$33,VLOOKUP($A69,Manifold!$A$9:$M$32,5,FALSE),
IF($A69&lt;FlexibleRepairCouplings!$A$12,VLOOKUP($A69,FlexibleRepairCouplings!$A$9:$M$11,5,FALSE),
IF($A69&lt;DuraFix!$A$15,VLOOKUP($A69,DuraFix!$A$9:$M$14,5,FALSE),
IF($A69&lt;'Compression Fittings'!$A$16,VLOOKUP($A69,'Compression Fittings'!$A$8:$M$15,5,FALSE),
IF($A69&lt;'Hose Fittings'!$A$30,VLOOKUP($A69,'Hose Fittings'!$A$8:$M$29,5,FALSE),
IF($A69&lt;'Swing Joints'!$A$495,VLOOKUP($A69,'Swing Joints'!$A$9:$M$494,5,FALSE),
IF($A69&lt;'Swing Joints Components'!$A$135,VLOOKUP($A69,'Swing Joints Components'!$A$9:$M$134,5,FALSE),
IF($A69&lt;Nonstandard!$A$42,VLOOKUP($A69,Nonstandard!$A$31:$J$41,6,FALSE),"")))))))))))))))))))))))))))),"")</f>
        <v/>
      </c>
      <c r="D69" s="534" t="str">
        <f>IFERROR(IF($A69&lt;'DWV PVC'!$A$317,VLOOKUP($A69,'DWV PVC'!$A$9:$M$316,6,FALSE),
IF($A69&lt;'DWV ABS'!$A$117,VLOOKUP($A69,'DWV ABS'!$A$8:$M$116,6,FALSE),
IF($A69&lt;'PVC SCH40'!$A$425,VLOOKUP($A69,'PVC SCH40'!$A$8:$M$424,6,FALSE),
IF($A69&lt;'PVC SCH40 LD'!$A$22,VLOOKUP($A69,'PVC SCH40 LD'!$A$8:$M$21,6,FALSE),
IF($A69&lt;'Pool &amp; SPA Sweep Elbows'!$A$12,VLOOKUP($A69,'Pool &amp; SPA Sweep Elbows'!$A$8:$M$11,6,FALSE),
IF($A69&lt;'Pool &amp; SPA Pipe Extender'!$A$11,VLOOKUP($A69,'Pool &amp; SPA Pipe Extender'!$A$8:$M$10,6,FALSE),
IF($A69&lt;'PVC SCH80'!$A$250,VLOOKUP($A69,'PVC SCH80'!$A$8:$M$249,6,FALSE),
IF($A69&lt;'PVC SCH80 Flange'!$A$49,VLOOKUP($A69,'PVC SCH80 Flange'!$A$8:$M$48,6,FALSE),
IF($A69&lt;'PVC SCH80 LD Flange'!$A$17,VLOOKUP($A69,'PVC SCH80 LD Flange'!$A$8:$M$16,6,FALSE),
IF($A69&lt;CPVC!$A$105,VLOOKUP($A69,CPVC!$A$9:$M$104,6,FALSE),
IF($A69&lt;InsertFittings!$A$185,VLOOKUP($A69,InsertFittings!$A$9:$M$184,6,FALSE),
IF($A69&lt;Valves!$A$92,VLOOKUP($A69,Valves!$A$9:$Q$91,6,FALSE),
IF($A69&lt;SDR35SW!$A$133,VLOOKUP($A69,SDR35SW!$A$9:$M$132,6,FALSE),
IF($A69&lt;SDR35G!$A$151,VLOOKUP($A69,SDR35G!$A$9:$M$150,6,FALSE),
IF($A69&lt;SDR26G!$A$67,VLOOKUP($A69,SDR26G!$A$9:$N$66,7,FALSE),
IF($A69&lt;Cements!$A$95,VLOOKUP($A69,Cements!$A$8:$Q$94,6,FALSE),
IF($A69&lt;ValveBox!$A$124,VLOOKUP($A69,ValveBox!$A$9:$O$123,6,FALSE),
IF($A69&lt;'ValveBox Components'!$A$142,VLOOKUP($A69,'ValveBox Components'!$A$9:$N$141,6,FALSE),
IF($A69&lt;Drainage!$A$69,VLOOKUP($A69,Drainage!$A$8:$M$68,6,FALSE),
IF($A69&lt;Nipples!$A$82,VLOOKUP($A69,Nipples!$A$9:$Q$81,6,FALSE),
IF($A69&lt;Manifold!$A$33,VLOOKUP($A69,Manifold!$A$9:$M$32,6,FALSE),
IF($A69&lt;FlexibleRepairCouplings!$A$12,VLOOKUP($A69,FlexibleRepairCouplings!$A$9:$M$11,6,FALSE),
IF($A69&lt;DuraFix!$A$15,VLOOKUP($A69,DuraFix!$A$9:$M$14,6,FALSE),
IF($A69&lt;'Compression Fittings'!$A$16,VLOOKUP($A69,'Compression Fittings'!$A$8:$M$15,6,FALSE),
IF($A69&lt;'Hose Fittings'!$A$30,VLOOKUP($A69,'Hose Fittings'!$A$8:$M$29,6,FALSE),
IF($A69&lt;'Swing Joints'!$A$495,VLOOKUP($A69,'Swing Joints'!$A$9:$M$494,6,FALSE),
IF($A69&lt;'Swing Joints Components'!$A$135,VLOOKUP($A69,'Swing Joints Components'!$A$9:$M$134,6,FALSE),
IF($A69&lt;Nonstandard!$A$42,VLOOKUP($A69,Nonstandard!$A$31:$J$41,7,FALSE),"")))))))))))))))))))))))))))),"")</f>
        <v/>
      </c>
      <c r="E69" s="316"/>
      <c r="F69" s="314" t="str">
        <f>IFERROR(IF($A69&lt;'DWV PVC'!$A$317,VLOOKUP($A69,'DWV PVC'!$A$9:$M$316,9,FALSE),
IF($A69&lt;'DWV ABS'!$A$117,VLOOKUP($A69,'DWV ABS'!$A$8:$M$116,9,FALSE),                                                                                                                                                                                                                                                     IF($A69&lt;'PVC SCH40'!$A$425,VLOOKUP($A69,'PVC SCH40'!$A$8:$M$424,9,FALSE),
IF($A69&lt;'PVC SCH40 LD'!$A$22,VLOOKUP($A69,'PVC SCH40 LD'!$A$8:$M$21,9,FALSE),
IF($A69&lt;'Pool &amp; SPA Sweep Elbows'!$A$12,VLOOKUP($A69,'Pool &amp; SPA Sweep Elbows'!$A$8:$M$11,9,FALSE),
IF($A69&lt;'Pool &amp; SPA Pipe Extender'!$A$11,VLOOKUP($A69,'Pool &amp; SPA Pipe Extender'!$A$8:$M$10,9,FALSE),
IF($A69&lt;'PVC SCH80'!$A$250,VLOOKUP($A69,'PVC SCH80'!$A$8:$M$249,9,FALSE),
IF($A69&lt;'PVC SCH80 Flange'!$A$49,VLOOKUP($A69,'PVC SCH80 Flange'!$A$8:$M$48,9,FALSE),
IF($A69&lt;'PVC SCH80 LD Flange'!$A$17,VLOOKUP($A69,'PVC SCH80 LD Flange'!$A$8:$M$16,9,FALSE),
IF($A69&lt;CPVC!$A$105,VLOOKUP($A69,CPVC!$A$9:$M$104,9,FALSE),
IF($A69&lt;InsertFittings!$A$185,VLOOKUP($A69,InsertFittings!$A$9:$M$184,9,FALSE),
IF($A69&lt;Valves!$A$92,VLOOKUP($A69,Valves!$A$9:$Q$91,13,FALSE),
IF($A69&lt;SDR35SW!$A$133,VLOOKUP($A69,SDR35SW!$A$9:$M$132,9,FALSE),
IF($A69&lt;SDR35G!$A$151,VLOOKUP($A69,SDR35G!$A$9:$M$150,9,FALSE),                                                                                                                                                                                                                                                          IF($A69&lt;SDR26G!$A$67,VLOOKUP($A69,SDR26G!$A$9:$N$66,10,FALSE),                                                                                                                                                                                                                                                       IF($A69&lt;Cements!$A$95,VLOOKUP($A69,Cements!$A$8:$Q$94,13,FALSE),
IF($A69&lt;ValveBox!$A$124,VLOOKUP($A69,ValveBox!$A$9:$O$123,11,FALSE),
IF($A69&lt;'ValveBox Components'!$A$142,VLOOKUP($A69,'ValveBox Components'!$A$9:$N$141,10,FALSE),
IF($A69&lt;Drainage!$A$69,VLOOKUP($A69,Drainage!$A$8:$M$68,9,FALSE),                                                                                                                                                                                                                                                              IF($A69&lt;Nipples!$A$82,VLOOKUP($A69,Nipples!$A$9:$Q$81,13,FALSE),
IF($A69&lt;Manifold!$A$33,VLOOKUP($A69,Manifold!$A$9:$M$32,9,FALSE),
IF($A69&lt;FlexibleRepairCouplings!$A$12,VLOOKUP($A69,FlexibleRepairCouplings!$A$9:$M$11,9,FALSE),
IF($A69&lt;DuraFix!$A$15,VLOOKUP($A69,DuraFix!$A$9:$M$14,9,FALSE),                                                                                                                                                                                                                                                          IF($A69&lt;'Compression Fittings'!$A$16,VLOOKUP($A69,'Compression Fittings'!$A$8:$M$15,9,FALSE),
IF($A69&lt;'Hose Fittings'!$A$30,VLOOKUP($A69,'Hose Fittings'!$A$8:$M$29,9,FALSE),
IF($A69&lt;'Swing Joints'!$A$495,VLOOKUP($A69,'Swing Joints'!$A$9:$M$494,9,FALSE),
IF($A69&lt;'Swing Joints Components'!$A$135,VLOOKUP($A69,'Swing Joints Components'!$A$9:$M$134,9,FALSE),
IF($A69&lt;Nonstandard!$A$42,VLOOKUP($A69,Nonstandard!$A$31:$J$41,8,FALSE),"")))))))))))))))))))))))))))),"")</f>
        <v/>
      </c>
      <c r="G69" s="533" t="str">
        <f>IFERROR(IF($A69&lt;'DWV PVC'!$A$317,VLOOKUP($A69,'DWV PVC'!$A$9:$M$316,11,FALSE),
IF($A69&lt;'DWV ABS'!$A$117,VLOOKUP($A69,'DWV ABS'!$A$8:$M$116,11,FALSE),                                                                                                                                                                                                                                                     IF($A69&lt;'PVC SCH40'!$A$425,VLOOKUP($A69,'PVC SCH40'!$A$8:$M$424,11,FALSE),
IF($A69&lt;'PVC SCH40 LD'!$A$22,VLOOKUP($A69,'PVC SCH40 LD'!$A$8:$M$21,11,FALSE),
IF($A69&lt;'Pool &amp; SPA Sweep Elbows'!$A$12,VLOOKUP($A69,'Pool &amp; SPA Sweep Elbows'!$A$8:$M$11,11,FALSE),
IF($A69&lt;'Pool &amp; SPA Pipe Extender'!$A$11,VLOOKUP($A69,'Pool &amp; SPA Pipe Extender'!$A$8:$M$10,11,FALSE),
IF($A69&lt;'PVC SCH80'!$A$250,VLOOKUP($A69,'PVC SCH80'!$A$8:$M$249,11,FALSE),
IF($A69&lt;'PVC SCH80 Flange'!$A$49,VLOOKUP($A69,'PVC SCH80 Flange'!$A$8:$M$48,11,FALSE),
IF($A69&lt;'PVC SCH80 LD Flange'!$A$17,VLOOKUP($A69,'PVC SCH80 LD Flange'!$A$8:$M$16,11,FALSE),
IF($A69&lt;CPVC!$A$105,VLOOKUP($A69,CPVC!$A$9:$M$104,11,FALSE),
IF($A69&lt;InsertFittings!$A$185,VLOOKUP($A69,InsertFittings!$A$9:$M$184,11,FALSE),
IF($A69&lt;Valves!$A$92,VLOOKUP($A69,Valves!$A$9:$Q$91,15,FALSE),
IF($A69&lt;SDR35SW!$A$133,VLOOKUP($A69,SDR35SW!$A$9:$M$132,11,FALSE),
IF($A69&lt;SDR35G!$A$151,VLOOKUP($A69,SDR35G!$A$9:$M$150,11,FALSE),                                                                                                                                                                                                                                                          IF($A69&lt;SDR26G!$A$67,VLOOKUP($A69,SDR26G!$A$9:$N$66,12,FALSE),                                                                                                                                                                                                                                                       IF($A69&lt;Cements!$A$95,VLOOKUP($A69,Cements!$A$8:$Q$94,15,FALSE),
IF($A69&lt;ValveBox!$A$124,VLOOKUP($A69,ValveBox!$A$9:$O$123,13,FALSE),
IF($A69&lt;'ValveBox Components'!$A$142,VLOOKUP($A69,'ValveBox Components'!$A$9:$N$141,12,FALSE),
IF($A69&lt;Drainage!$A$69,VLOOKUP($A69,Drainage!$A$8:$M$68,11,FALSE),                                                                                                                                                                                                                                                           IF($A69&lt;Nipples!$A$82,VLOOKUP($A69,Nipples!$A$9:$Q$81,15,FALSE),
IF($A69&lt;Manifold!$A$33,VLOOKUP($A69,Manifold!$A$9:$M$32,11,FALSE),
IF($A69&lt;FlexibleRepairCouplings!$A$12,VLOOKUP($A69,FlexibleRepairCouplings!$A$9:$M$11,11,FALSE),
IF($A69&lt;DuraFix!$A$15,VLOOKUP($A69,DuraFix!$A$9:$M$14,11,FALSE),                                                                                                                                                                                                                                                            IF($A69&lt;'Compression Fittings'!$A$16,VLOOKUP($A69,'Compression Fittings'!$A$8:$M$15,11,FALSE),
IF($A69&lt;'Hose Fittings'!$A$30,VLOOKUP($A69,'Hose Fittings'!$A$8:$M$29,11,FALSE),
IF($A69&lt;'Swing Joints'!$A$495,VLOOKUP($A69,'Swing Joints'!$A$9:$M$494,11,FALSE),
IF($A69&lt;'Swing Joints Components'!$A$135,VLOOKUP($A69,'Swing Joints Components'!$A$9:$M$134,11,FALSE),
IF($A69&lt;Nonstandard!$A$42,VLOOKUP($A69,Nonstandard!$A$31:$J$41,10,FALSE),"")))))))))))))))))))))))))))),"")</f>
        <v/>
      </c>
      <c r="H69" s="618" t="str">
        <f>IFERROR(IF($A69&lt;'DWV PVC'!$A$317,VLOOKUP($A69,'DWV PVC'!$A$9:$M$316,7,FALSE),
IF($A69&lt;'DWV ABS'!$A$117,VLOOKUP($A69,'DWV ABS'!$A$8:$M$116,11,FALSE),                                                                                                                                                                                                                                                     IF($A69&lt;'PVC SCH40'!$A$425,VLOOKUP($A69,'PVC SCH40'!$A$8:$M$424,7,FALSE),
IF($A69&lt;'PVC SCH40 LD'!$A$22,VLOOKUP($A69,'PVC SCH40 LD'!$A$8:$M$21,7,FALSE),
IF($A69&lt;'Pool &amp; SPA Sweep Elbows'!$A$12,VLOOKUP($A69,'Pool &amp; SPA Sweep Elbows'!$A$8:$M$11,7,FALSE),
IF($A69&lt;'Pool &amp; SPA Pipe Extender'!$A$11,VLOOKUP($A69,'Pool &amp; SPA Pipe Extender'!$A$8:$M$10,7,FALSE),
IF($A69&lt;'PVC SCH80'!$A$250,VLOOKUP($A69,'PVC SCH80'!$A$8:$M$249,7,FALSE),
IF($A69&lt;'PVC SCH80 Flange'!$A$49,VLOOKUP($A69,'PVC SCH80 Flange'!$A$8:$M$48,7,FALSE),
IF($A69&lt;'PVC SCH80 LD Flange'!$A$17,VLOOKUP($A69,'PVC SCH80 LD Flange'!$A$8:$M$16,7,FALSE),
IF($A69&lt;CPVC!$A$105,VLOOKUP($A69,CPVC!$A$9:$M$104,7,FALSE),
IF($A69&lt;InsertFittings!$A$185,VLOOKUP($A69,InsertFittings!$A$9:$M$184,7,FALSE),
IF($A69&lt;Valves!$A$92,VLOOKUP($A69,Valves!$A$9:$Q$91,11,FALSE),
IF($A69&lt;SDR35SW!$A$133,VLOOKUP($A69,SDR35SW!$A$9:$M$132,7,FALSE),
IF($A69&lt;SDR35G!$A$151,VLOOKUP($A69,SDR35G!$A$9:$M$150,7,FALSE),                                                                                                                                                                                                                                                       IF($A69&lt;SDR26G!$A$67,VLOOKUP($A69,SDR26G!$A$9:$N$66,8,FALSE),                                                                                                                                                                                                                                                     IF($A69&lt;Cements!$A$95,VLOOKUP($A69,Cements!$A$8:$Q$94,11,FALSE),
IF($A69&lt;ValveBox!$A$124,VLOOKUP($A69,ValveBox!$A$9:$O$123,10,FALSE),
IF($A69&lt;'ValveBox Components'!$A$142,VLOOKUP($A69,'ValveBox Components'!$A$9:$N$141,9,FALSE),
IF($A69&lt;Drainage!$A$69,VLOOKUP($A69,Drainage!$A$8:$M$68,7,FALSE),                                                                                                                                                                                                                                                          IF($A69&lt;Nipples!$A$82,VLOOKUP($A69,Nipples!$A$9:$Q$81,11,FALSE),
IF($A69&lt;Manifold!$A$33,VLOOKUP($A69,Manifold!$A$9:$M$32,7,FALSE),
IF($A69&lt;FlexibleRepairCouplings!$A$12,VLOOKUP($A69,FlexibleRepairCouplings!$A$9:$M$11,7,FALSE),
IF($A69&lt;DuraFix!$A$15,VLOOKUP($A69,DuraFix!$A$9:$M$14,7,FALSE),                                                                                                                                                                                                                                                           IF($A69&lt;'Compression Fittings'!$A$16,VLOOKUP($A69,'Compression Fittings'!$A$8:$M$15,7,FALSE),
IF($A69&lt;'Hose Fittings'!$A$30,VLOOKUP($A69,'Hose Fittings'!$A$8:$M$29,7,FALSE),
IF($A69&lt;'Swing Joints'!$A$495,VLOOKUP($A69,'Swing Joints'!$A$9:$M$494,7,FALSE),
IF($A69&lt;'Swing Joints Components'!$A$135,VLOOKUP($A69,'Swing Joints Components'!$A$9:$M$134,7,FALSE),
IF($A69&lt;Nonstandard!$A$42,VLOOKUP($A69,Nonstandard!$A$31:$J$41,10,FALSE),"")))))))))))))))))))))))))))),"")</f>
        <v/>
      </c>
      <c r="I69" s="619"/>
      <c r="J69" s="281" t="str">
        <f t="shared" si="1"/>
        <v/>
      </c>
      <c r="K69" s="313" t="str">
        <f>IFERROR(IF($A69&lt;'DWV PVC'!$A$317,VLOOKUP($A69,'DWV PVC'!$A$9:$M$316,10,FALSE),
IF($A69&lt;'DWV ABS'!$A$117,VLOOKUP($A69,'DWV ABS'!$A$8:$M$116,10,FALSE),
IF($A69&lt;'PVC SCH40'!$A$425,VLOOKUP($A69,'PVC SCH40'!$A$8:$M$424,10,FALSE),
IF($A69&lt;'PVC SCH40 LD'!$A$22,VLOOKUP($A69,'PVC SCH40 LD'!$A$8:$M$21,10,FALSE),
IF($A69&lt;'Pool &amp; SPA Sweep Elbows'!$A$12,VLOOKUP($A69,'Pool &amp; SPA Sweep Elbows'!$A$8:$M$11,10,FALSE),
IF($A69&lt;'Pool &amp; SPA Pipe Extender'!$A$11,VLOOKUP($A69,'Pool &amp; SPA Pipe Extender'!$A$8:$M$10,10,FALSE),
IF($A69&lt;'PVC SCH80'!$A$250,VLOOKUP($A69,'PVC SCH80'!$A$8:$M$249,10,FALSE),
IF($A69&lt;'PVC SCH80 Flange'!$A$49,VLOOKUP($A69,'PVC SCH80 Flange'!$A$8:$M$48,10,FALSE),
IF($A69&lt;'PVC SCH80 LD Flange'!$A$17,VLOOKUP($A69,'PVC SCH80 LD Flange'!$A$8:$M$16,10,FALSE),
IF($A69&lt;CPVC!$A$105,VLOOKUP($A69,CPVC!$A$9:$M$104,10,FALSE),
IF($A69&lt;InsertFittings!$A$185,VLOOKUP($A69,InsertFittings!$A$9:$M$184,10,FALSE),
IF($A69&lt;Valves!$A$92,VLOOKUP($A69,Valves!$A$9:$Q$91,14,FALSE),
IF($A69&lt;SDR35SW!$A$133,VLOOKUP($A69,SDR35SW!$A$9:$M$132,10,FALSE),
IF($A69&lt;SDR35G!$A$151,VLOOKUP($A69,SDR35G!$A$9:$M$150,10,FALSE),
IF($A69&lt;SDR26G!$A$67,VLOOKUP($A69,SDR26G!$A$9:$N$66,11,FALSE),
IF($A69&lt;Cements!$A$95,VLOOKUP($A69,Cements!$A$8:$Q$94,14,FALSE),
IF($A69&lt;ValveBox!$A$124,VLOOKUP($A69,ValveBox!$A$9:$O$123,12,FALSE),
IF($A69&lt;'ValveBox Components'!$A$142,VLOOKUP($A69,'ValveBox Components'!$A$9:$N$141,11,FALSE),
IF($A69&lt;Drainage!$A$69,VLOOKUP($A69,Drainage!$A$8:$M$68,10,FALSE),
IF($A69&lt;Nipples!$A$82,VLOOKUP($A69,Nipples!$A$9:$Q$81,14,FALSE),
IF($A69&lt;Manifold!$A$33,VLOOKUP($A69,Manifold!$A$9:$M$32,10,FALSE),
IF($A69&lt;FlexibleRepairCouplings!$A$12,VLOOKUP($A69,FlexibleRepairCouplings!$A$9:$M$11,10,FALSE),
IF($A69&lt;DuraFix!$A$15,VLOOKUP($A69,DuraFix!$A$9:$M$14,10,FALSE),
IF($A69&lt;'Compression Fittings'!$A$16,VLOOKUP($A69,'Compression Fittings'!$A$8:$M$15,10,FALSE),
IF($A69&lt;'Hose Fittings'!$A$30,VLOOKUP($A69,'Hose Fittings'!$A$8:$M$29,10,FALSE),
IF($A69&lt;'Swing Joints'!$A$495,VLOOKUP($A69,'Swing Joints'!$A$9:$M$494,10,FALSE),
IF($A69&lt;'Swing Joints Components'!$A$135,VLOOKUP($A69,'Swing Joints Components'!$A$9:$M$134,10,FALSE),
IF($A69&lt;Nonstandard!$A$42,VLOOKUP($A69,Nonstandard!$A$31:$J$41,10,FALSE),"")))))))))))))))))))))))))))),"")</f>
        <v/>
      </c>
      <c r="L69" s="314" t="str">
        <f t="shared" si="0"/>
        <v>-</v>
      </c>
      <c r="M69" s="315"/>
    </row>
    <row r="70" spans="1:13" ht="15.6">
      <c r="A70" s="536">
        <v>38</v>
      </c>
      <c r="B70" s="536" t="str">
        <f>IFERROR(IF($A70&lt;'DWV PVC'!$A$317,VLOOKUP($A70,'DWV PVC'!$A$9:$M$316,4,FALSE),
IF($A70&lt;'DWV ABS'!$A$117,VLOOKUP($A70,'DWV ABS'!$A$8:$M$116,4,FALSE),
IF($A70&lt;'PVC SCH40'!$A$425,VLOOKUP($A70,'PVC SCH40'!$A$8:$M$424,4,FALSE),
IF($A70&lt;'PVC SCH40 LD'!$A$22,VLOOKUP($A70,'PVC SCH40 LD'!$A$8:$M$21,4,FALSE),
IF($A70&lt;'Pool &amp; SPA Sweep Elbows'!$A$12,VLOOKUP($A70,'Pool &amp; SPA Sweep Elbows'!$A$8:$M$11,4,FALSE),
IF($A70&lt;'Pool &amp; SPA Pipe Extender'!$A$11,VLOOKUP($A70,'Pool &amp; SPA Pipe Extender'!$A$8:$M$10,4,FALSE),
IF($A70&lt;'PVC SCH80'!$A$250,VLOOKUP($A70,'PVC SCH80'!$A$8:$M$249,4,FALSE),
IF($A70&lt;'PVC SCH80 Flange'!$A$49,VLOOKUP($A70,'PVC SCH80 Flange'!$A$8:$M$48,4,FALSE),
IF($A70&lt;'PVC SCH80 LD Flange'!$A$17,VLOOKUP($A70,'PVC SCH80 LD Flange'!$A$8:$M$16,4,FALSE),
IF($A70&lt;CPVC!$A$105,VLOOKUP($A70,CPVC!$A$9:$M$104,4,FALSE),
IF($A70&lt;InsertFittings!$A$185,VLOOKUP($A70,InsertFittings!$A$9:$M$184,4,FALSE),
IF($A70&lt;Valves!$A$92,VLOOKUP($A70,Valves!$A$9:$Q$91,4,FALSE),
IF($A70&lt;SDR35SW!$A$133,VLOOKUP($A70,SDR35SW!$A$9:$M$132,4,FALSE),
IF($A70&lt;SDR35G!$A$151,VLOOKUP($A70,SDR35G!$A$9:$M$150,4,FALSE),
IF($A70&lt;SDR26G!$A$67,VLOOKUP($A70,SDR26G!$A$9:$N$66,5,FALSE),
IF($A70&lt;Cements!$A$95,VLOOKUP($A70,Cements!$A$8:$Q$94,4,FALSE),
IF($A70&lt;ValveBox!$A$124,VLOOKUP($A70,ValveBox!$A$9:$O$123,4,FALSE),
IF($A70&lt;'ValveBox Components'!$A$142,VLOOKUP($A70,'ValveBox Components'!$A$9:$N$141,4,FALSE),
IF($A70&lt;Drainage!$A$69,VLOOKUP($A70,Drainage!$A$8:$M$68,4,FALSE),
IF($A70&lt;Nipples!$A$82,VLOOKUP($A70,Nipples!$A$9:$Q$81,4,FALSE),
IF($A70&lt;Manifold!$A$33,VLOOKUP($A70,Manifold!$A$9:$M$32,4,FALSE),
IF($A70&lt;FlexibleRepairCouplings!$A$12,VLOOKUP($A70,FlexibleRepairCouplings!$A$9:$M$11,4,FALSE),
IF($A70&lt;DuraFix!$A$15,VLOOKUP($A70,DuraFix!$A$9:$M$14,4,FALSE),
IF($A70&lt;'Compression Fittings'!$A$16,VLOOKUP($A70,'Compression Fittings'!$A$8:$M$15,4,FALSE),
IF($A70&lt;'Hose Fittings'!$A$30,VLOOKUP($A70,'Hose Fittings'!$A$8:$M$29,4,FALSE),
IF($A70&lt;'Swing Joints'!$A$495,VLOOKUP($A70,'Swing Joints'!$A$9:$M$494,4,FALSE),
IF($A70&lt;'Swing Joints Components'!$A$135,VLOOKUP($A70,'Swing Joints Components'!$A$9:$M$134,4,FALSE),
IF($A70&lt;Nonstandard!$A$42,VLOOKUP($A70,Nonstandard!$A$31:$J$41,5,FALSE),"")))))))))))))))))))))))))))),"")</f>
        <v/>
      </c>
      <c r="C70" s="536" t="str">
        <f>IFERROR(IF($A70&lt;'DWV PVC'!$A$317,VLOOKUP($A70,'DWV PVC'!$A$9:$M$316,5,FALSE),
IF($A70&lt;'DWV ABS'!$A$117,VLOOKUP($A70,'DWV ABS'!$A$8:$M$116,5,FALSE),
IF($A70&lt;'PVC SCH40'!$A$425,VLOOKUP($A70,'PVC SCH40'!$A$8:$M$424,5,FALSE),
IF($A70&lt;'PVC SCH40 LD'!$A$22,VLOOKUP($A70,'PVC SCH40 LD'!$A$8:$M$21,5,FALSE),
IF($A70&lt;'Pool &amp; SPA Sweep Elbows'!$A$12,VLOOKUP($A70,'Pool &amp; SPA Sweep Elbows'!$A$8:$M$11,5,FALSE),
IF($A70&lt;'Pool &amp; SPA Pipe Extender'!$A$11,VLOOKUP($A70,'Pool &amp; SPA Pipe Extender'!$A$8:$M$10,5,FALSE),
IF($A70&lt;'PVC SCH80'!$A$250,VLOOKUP($A70,'PVC SCH80'!$A$8:$M$249,5,FALSE),
IF($A70&lt;'PVC SCH80 Flange'!$A$49,VLOOKUP($A70,'PVC SCH80 Flange'!$A$8:$M$48,5,FALSE),
IF($A70&lt;'PVC SCH80 LD Flange'!$A$17,VLOOKUP($A70,'PVC SCH80 LD Flange'!$A$8:$M$16,5,FALSE),
IF($A70&lt;CPVC!$A$105,VLOOKUP($A70,CPVC!$A$9:$M$104,5,FALSE),
IF($A70&lt;InsertFittings!$A$185,VLOOKUP($A70,InsertFittings!$A$9:$M$184,5,FALSE),
IF($A70&lt;Valves!$A$92,VLOOKUP($A70,Valves!$A$9:$Q$91,5,FALSE),
IF($A70&lt;SDR35SW!$A$133,VLOOKUP($A70,SDR35SW!$A$9:$M$132,5,FALSE),
IF($A70&lt;SDR35G!$A$151,VLOOKUP($A70,SDR35G!$A$9:$M$150,5,FALSE),
IF($A70&lt;SDR26G!$A$67,VLOOKUP($A70,SDR26G!$A$9:$N$66,6,FALSE),
IF($A70&lt;Cements!$A$95,VLOOKUP($A70,Cements!$A$8:$Q$94,5,FALSE),
IF($A70&lt;ValveBox!$A$124,VLOOKUP($A70,ValveBox!$A$9:$O$123,5,FALSE),
IF($A70&lt;'ValveBox Components'!$A$142,VLOOKUP($A70,'ValveBox Components'!$A$9:$N$141,5,FALSE),
IF($A70&lt;Drainage!$A$69,VLOOKUP($A70,Drainage!$A$8:$M$68,5,FALSE),
IF($A70&lt;Nipples!$A$82,VLOOKUP($A70,Nipples!$A$9:$Q$81,5,FALSE),
IF($A70&lt;Manifold!$A$33,VLOOKUP($A70,Manifold!$A$9:$M$32,5,FALSE),
IF($A70&lt;FlexibleRepairCouplings!$A$12,VLOOKUP($A70,FlexibleRepairCouplings!$A$9:$M$11,5,FALSE),
IF($A70&lt;DuraFix!$A$15,VLOOKUP($A70,DuraFix!$A$9:$M$14,5,FALSE),
IF($A70&lt;'Compression Fittings'!$A$16,VLOOKUP($A70,'Compression Fittings'!$A$8:$M$15,5,FALSE),
IF($A70&lt;'Hose Fittings'!$A$30,VLOOKUP($A70,'Hose Fittings'!$A$8:$M$29,5,FALSE),
IF($A70&lt;'Swing Joints'!$A$495,VLOOKUP($A70,'Swing Joints'!$A$9:$M$494,5,FALSE),
IF($A70&lt;'Swing Joints Components'!$A$135,VLOOKUP($A70,'Swing Joints Components'!$A$9:$M$134,5,FALSE),
IF($A70&lt;Nonstandard!$A$42,VLOOKUP($A70,Nonstandard!$A$31:$J$41,6,FALSE),"")))))))))))))))))))))))))))),"")</f>
        <v/>
      </c>
      <c r="D70" s="537" t="str">
        <f>IFERROR(IF($A70&lt;'DWV PVC'!$A$317,VLOOKUP($A70,'DWV PVC'!$A$9:$M$316,6,FALSE),
IF($A70&lt;'DWV ABS'!$A$117,VLOOKUP($A70,'DWV ABS'!$A$8:$M$116,6,FALSE),
IF($A70&lt;'PVC SCH40'!$A$425,VLOOKUP($A70,'PVC SCH40'!$A$8:$M$424,6,FALSE),
IF($A70&lt;'PVC SCH40 LD'!$A$22,VLOOKUP($A70,'PVC SCH40 LD'!$A$8:$M$21,6,FALSE),
IF($A70&lt;'Pool &amp; SPA Sweep Elbows'!$A$12,VLOOKUP($A70,'Pool &amp; SPA Sweep Elbows'!$A$8:$M$11,6,FALSE),
IF($A70&lt;'Pool &amp; SPA Pipe Extender'!$A$11,VLOOKUP($A70,'Pool &amp; SPA Pipe Extender'!$A$8:$M$10,6,FALSE),
IF($A70&lt;'PVC SCH80'!$A$250,VLOOKUP($A70,'PVC SCH80'!$A$8:$M$249,6,FALSE),
IF($A70&lt;'PVC SCH80 Flange'!$A$49,VLOOKUP($A70,'PVC SCH80 Flange'!$A$8:$M$48,6,FALSE),
IF($A70&lt;'PVC SCH80 LD Flange'!$A$17,VLOOKUP($A70,'PVC SCH80 LD Flange'!$A$8:$M$16,6,FALSE),
IF($A70&lt;CPVC!$A$105,VLOOKUP($A70,CPVC!$A$9:$M$104,6,FALSE),
IF($A70&lt;InsertFittings!$A$185,VLOOKUP($A70,InsertFittings!$A$9:$M$184,6,FALSE),
IF($A70&lt;Valves!$A$92,VLOOKUP($A70,Valves!$A$9:$Q$91,6,FALSE),
IF($A70&lt;SDR35SW!$A$133,VLOOKUP($A70,SDR35SW!$A$9:$M$132,6,FALSE),
IF($A70&lt;SDR35G!$A$151,VLOOKUP($A70,SDR35G!$A$9:$M$150,6,FALSE),
IF($A70&lt;SDR26G!$A$67,VLOOKUP($A70,SDR26G!$A$9:$N$66,7,FALSE),
IF($A70&lt;Cements!$A$95,VLOOKUP($A70,Cements!$A$8:$Q$94,6,FALSE),
IF($A70&lt;ValveBox!$A$124,VLOOKUP($A70,ValveBox!$A$9:$O$123,6,FALSE),
IF($A70&lt;'ValveBox Components'!$A$142,VLOOKUP($A70,'ValveBox Components'!$A$9:$N$141,6,FALSE),
IF($A70&lt;Drainage!$A$69,VLOOKUP($A70,Drainage!$A$8:$M$68,6,FALSE),
IF($A70&lt;Nipples!$A$82,VLOOKUP($A70,Nipples!$A$9:$Q$81,6,FALSE),
IF($A70&lt;Manifold!$A$33,VLOOKUP($A70,Manifold!$A$9:$M$32,6,FALSE),
IF($A70&lt;FlexibleRepairCouplings!$A$12,VLOOKUP($A70,FlexibleRepairCouplings!$A$9:$M$11,6,FALSE),
IF($A70&lt;DuraFix!$A$15,VLOOKUP($A70,DuraFix!$A$9:$M$14,6,FALSE),
IF($A70&lt;'Compression Fittings'!$A$16,VLOOKUP($A70,'Compression Fittings'!$A$8:$M$15,6,FALSE),
IF($A70&lt;'Hose Fittings'!$A$30,VLOOKUP($A70,'Hose Fittings'!$A$8:$M$29,6,FALSE),
IF($A70&lt;'Swing Joints'!$A$495,VLOOKUP($A70,'Swing Joints'!$A$9:$M$494,6,FALSE),
IF($A70&lt;'Swing Joints Components'!$A$135,VLOOKUP($A70,'Swing Joints Components'!$A$9:$M$134,6,FALSE),
IF($A70&lt;Nonstandard!$A$42,VLOOKUP($A70,Nonstandard!$A$31:$J$41,7,FALSE),"")))))))))))))))))))))))))))),"")</f>
        <v/>
      </c>
      <c r="E70" s="538"/>
      <c r="F70" s="539" t="str">
        <f>IFERROR(IF($A70&lt;'DWV PVC'!$A$317,VLOOKUP($A70,'DWV PVC'!$A$9:$M$316,9,FALSE),
IF($A70&lt;'DWV ABS'!$A$117,VLOOKUP($A70,'DWV ABS'!$A$8:$M$116,9,FALSE),                                                                                                                                                                                                                                                     IF($A70&lt;'PVC SCH40'!$A$425,VLOOKUP($A70,'PVC SCH40'!$A$8:$M$424,9,FALSE),
IF($A70&lt;'PVC SCH40 LD'!$A$22,VLOOKUP($A70,'PVC SCH40 LD'!$A$8:$M$21,9,FALSE),
IF($A70&lt;'Pool &amp; SPA Sweep Elbows'!$A$12,VLOOKUP($A70,'Pool &amp; SPA Sweep Elbows'!$A$8:$M$11,9,FALSE),
IF($A70&lt;'Pool &amp; SPA Pipe Extender'!$A$11,VLOOKUP($A70,'Pool &amp; SPA Pipe Extender'!$A$8:$M$10,9,FALSE),
IF($A70&lt;'PVC SCH80'!$A$250,VLOOKUP($A70,'PVC SCH80'!$A$8:$M$249,9,FALSE),
IF($A70&lt;'PVC SCH80 Flange'!$A$49,VLOOKUP($A70,'PVC SCH80 Flange'!$A$8:$M$48,9,FALSE),
IF($A70&lt;'PVC SCH80 LD Flange'!$A$17,VLOOKUP($A70,'PVC SCH80 LD Flange'!$A$8:$M$16,9,FALSE),
IF($A70&lt;CPVC!$A$105,VLOOKUP($A70,CPVC!$A$9:$M$104,9,FALSE),
IF($A70&lt;InsertFittings!$A$185,VLOOKUP($A70,InsertFittings!$A$9:$M$184,9,FALSE),
IF($A70&lt;Valves!$A$92,VLOOKUP($A70,Valves!$A$9:$Q$91,13,FALSE),
IF($A70&lt;SDR35SW!$A$133,VLOOKUP($A70,SDR35SW!$A$9:$M$132,9,FALSE),
IF($A70&lt;SDR35G!$A$151,VLOOKUP($A70,SDR35G!$A$9:$M$150,9,FALSE),                                                                                                                                                                                                                                                          IF($A70&lt;SDR26G!$A$67,VLOOKUP($A70,SDR26G!$A$9:$N$66,10,FALSE),                                                                                                                                                                                                                                                       IF($A70&lt;Cements!$A$95,VLOOKUP($A70,Cements!$A$8:$Q$94,13,FALSE),
IF($A70&lt;ValveBox!$A$124,VLOOKUP($A70,ValveBox!$A$9:$O$123,11,FALSE),
IF($A70&lt;'ValveBox Components'!$A$142,VLOOKUP($A70,'ValveBox Components'!$A$9:$N$141,10,FALSE),
IF($A70&lt;Drainage!$A$69,VLOOKUP($A70,Drainage!$A$8:$M$68,9,FALSE),                                                                                                                                                                                                                                                              IF($A70&lt;Nipples!$A$82,VLOOKUP($A70,Nipples!$A$9:$Q$81,13,FALSE),
IF($A70&lt;Manifold!$A$33,VLOOKUP($A70,Manifold!$A$9:$M$32,9,FALSE),
IF($A70&lt;FlexibleRepairCouplings!$A$12,VLOOKUP($A70,FlexibleRepairCouplings!$A$9:$M$11,9,FALSE),
IF($A70&lt;DuraFix!$A$15,VLOOKUP($A70,DuraFix!$A$9:$M$14,9,FALSE),                                                                                                                                                                                                                                                          IF($A70&lt;'Compression Fittings'!$A$16,VLOOKUP($A70,'Compression Fittings'!$A$8:$M$15,9,FALSE),
IF($A70&lt;'Hose Fittings'!$A$30,VLOOKUP($A70,'Hose Fittings'!$A$8:$M$29,9,FALSE),
IF($A70&lt;'Swing Joints'!$A$495,VLOOKUP($A70,'Swing Joints'!$A$9:$M$494,9,FALSE),
IF($A70&lt;'Swing Joints Components'!$A$135,VLOOKUP($A70,'Swing Joints Components'!$A$9:$M$134,9,FALSE),
IF($A70&lt;Nonstandard!$A$42,VLOOKUP($A70,Nonstandard!$A$31:$J$41,8,FALSE),"")))))))))))))))))))))))))))),"")</f>
        <v/>
      </c>
      <c r="G70" s="540" t="str">
        <f>IFERROR(IF($A70&lt;'DWV PVC'!$A$317,VLOOKUP($A70,'DWV PVC'!$A$9:$M$316,11,FALSE),
IF($A70&lt;'DWV ABS'!$A$117,VLOOKUP($A70,'DWV ABS'!$A$8:$M$116,11,FALSE),                                                                                                                                                                                                                                                     IF($A70&lt;'PVC SCH40'!$A$425,VLOOKUP($A70,'PVC SCH40'!$A$8:$M$424,11,FALSE),
IF($A70&lt;'PVC SCH40 LD'!$A$22,VLOOKUP($A70,'PVC SCH40 LD'!$A$8:$M$21,11,FALSE),
IF($A70&lt;'Pool &amp; SPA Sweep Elbows'!$A$12,VLOOKUP($A70,'Pool &amp; SPA Sweep Elbows'!$A$8:$M$11,11,FALSE),
IF($A70&lt;'Pool &amp; SPA Pipe Extender'!$A$11,VLOOKUP($A70,'Pool &amp; SPA Pipe Extender'!$A$8:$M$10,11,FALSE),
IF($A70&lt;'PVC SCH80'!$A$250,VLOOKUP($A70,'PVC SCH80'!$A$8:$M$249,11,FALSE),
IF($A70&lt;'PVC SCH80 Flange'!$A$49,VLOOKUP($A70,'PVC SCH80 Flange'!$A$8:$M$48,11,FALSE),
IF($A70&lt;'PVC SCH80 LD Flange'!$A$17,VLOOKUP($A70,'PVC SCH80 LD Flange'!$A$8:$M$16,11,FALSE),
IF($A70&lt;CPVC!$A$105,VLOOKUP($A70,CPVC!$A$9:$M$104,11,FALSE),
IF($A70&lt;InsertFittings!$A$185,VLOOKUP($A70,InsertFittings!$A$9:$M$184,11,FALSE),
IF($A70&lt;Valves!$A$92,VLOOKUP($A70,Valves!$A$9:$Q$91,15,FALSE),
IF($A70&lt;SDR35SW!$A$133,VLOOKUP($A70,SDR35SW!$A$9:$M$132,11,FALSE),
IF($A70&lt;SDR35G!$A$151,VLOOKUP($A70,SDR35G!$A$9:$M$150,11,FALSE),                                                                                                                                                                                                                                                          IF($A70&lt;SDR26G!$A$67,VLOOKUP($A70,SDR26G!$A$9:$N$66,12,FALSE),                                                                                                                                                                                                                                                       IF($A70&lt;Cements!$A$95,VLOOKUP($A70,Cements!$A$8:$Q$94,15,FALSE),
IF($A70&lt;ValveBox!$A$124,VLOOKUP($A70,ValveBox!$A$9:$O$123,13,FALSE),
IF($A70&lt;'ValveBox Components'!$A$142,VLOOKUP($A70,'ValveBox Components'!$A$9:$N$141,12,FALSE),
IF($A70&lt;Drainage!$A$69,VLOOKUP($A70,Drainage!$A$8:$M$68,11,FALSE),                                                                                                                                                                                                                                                           IF($A70&lt;Nipples!$A$82,VLOOKUP($A70,Nipples!$A$9:$Q$81,15,FALSE),
IF($A70&lt;Manifold!$A$33,VLOOKUP($A70,Manifold!$A$9:$M$32,11,FALSE),
IF($A70&lt;FlexibleRepairCouplings!$A$12,VLOOKUP($A70,FlexibleRepairCouplings!$A$9:$M$11,11,FALSE),
IF($A70&lt;DuraFix!$A$15,VLOOKUP($A70,DuraFix!$A$9:$M$14,11,FALSE),                                                                                                                                                                                                                                                            IF($A70&lt;'Compression Fittings'!$A$16,VLOOKUP($A70,'Compression Fittings'!$A$8:$M$15,11,FALSE),
IF($A70&lt;'Hose Fittings'!$A$30,VLOOKUP($A70,'Hose Fittings'!$A$8:$M$29,11,FALSE),
IF($A70&lt;'Swing Joints'!$A$495,VLOOKUP($A70,'Swing Joints'!$A$9:$M$494,11,FALSE),
IF($A70&lt;'Swing Joints Components'!$A$135,VLOOKUP($A70,'Swing Joints Components'!$A$9:$M$134,11,FALSE),
IF($A70&lt;Nonstandard!$A$42,VLOOKUP($A70,Nonstandard!$A$31:$J$41,10,FALSE),"")))))))))))))))))))))))))))),"")</f>
        <v/>
      </c>
      <c r="H70" s="620" t="str">
        <f>IFERROR(IF($A70&lt;'DWV PVC'!$A$317,VLOOKUP($A70,'DWV PVC'!$A$9:$M$316,7,FALSE),
IF($A70&lt;'DWV ABS'!$A$117,VLOOKUP($A70,'DWV ABS'!$A$8:$M$116,11,FALSE),                                                                                                                                                                                                                                                     IF($A70&lt;'PVC SCH40'!$A$425,VLOOKUP($A70,'PVC SCH40'!$A$8:$M$424,7,FALSE),
IF($A70&lt;'PVC SCH40 LD'!$A$22,VLOOKUP($A70,'PVC SCH40 LD'!$A$8:$M$21,7,FALSE),
IF($A70&lt;'Pool &amp; SPA Sweep Elbows'!$A$12,VLOOKUP($A70,'Pool &amp; SPA Sweep Elbows'!$A$8:$M$11,7,FALSE),
IF($A70&lt;'Pool &amp; SPA Pipe Extender'!$A$11,VLOOKUP($A70,'Pool &amp; SPA Pipe Extender'!$A$8:$M$10,7,FALSE),
IF($A70&lt;'PVC SCH80'!$A$250,VLOOKUP($A70,'PVC SCH80'!$A$8:$M$249,7,FALSE),
IF($A70&lt;'PVC SCH80 Flange'!$A$49,VLOOKUP($A70,'PVC SCH80 Flange'!$A$8:$M$48,7,FALSE),
IF($A70&lt;'PVC SCH80 LD Flange'!$A$17,VLOOKUP($A70,'PVC SCH80 LD Flange'!$A$8:$M$16,7,FALSE),
IF($A70&lt;CPVC!$A$105,VLOOKUP($A70,CPVC!$A$9:$M$104,7,FALSE),
IF($A70&lt;InsertFittings!$A$185,VLOOKUP($A70,InsertFittings!$A$9:$M$184,7,FALSE),
IF($A70&lt;Valves!$A$92,VLOOKUP($A70,Valves!$A$9:$Q$91,11,FALSE),
IF($A70&lt;SDR35SW!$A$133,VLOOKUP($A70,SDR35SW!$A$9:$M$132,7,FALSE),
IF($A70&lt;SDR35G!$A$151,VLOOKUP($A70,SDR35G!$A$9:$M$150,7,FALSE),                                                                                                                                                                                                                                                       IF($A70&lt;SDR26G!$A$67,VLOOKUP($A70,SDR26G!$A$9:$N$66,8,FALSE),                                                                                                                                                                                                                                                     IF($A70&lt;Cements!$A$95,VLOOKUP($A70,Cements!$A$8:$Q$94,11,FALSE),
IF($A70&lt;ValveBox!$A$124,VLOOKUP($A70,ValveBox!$A$9:$O$123,10,FALSE),
IF($A70&lt;'ValveBox Components'!$A$142,VLOOKUP($A70,'ValveBox Components'!$A$9:$N$141,9,FALSE),
IF($A70&lt;Drainage!$A$69,VLOOKUP($A70,Drainage!$A$8:$M$68,7,FALSE),                                                                                                                                                                                                                                                          IF($A70&lt;Nipples!$A$82,VLOOKUP($A70,Nipples!$A$9:$Q$81,11,FALSE),
IF($A70&lt;Manifold!$A$33,VLOOKUP($A70,Manifold!$A$9:$M$32,7,FALSE),
IF($A70&lt;FlexibleRepairCouplings!$A$12,VLOOKUP($A70,FlexibleRepairCouplings!$A$9:$M$11,7,FALSE),
IF($A70&lt;DuraFix!$A$15,VLOOKUP($A70,DuraFix!$A$9:$M$14,7,FALSE),                                                                                                                                                                                                                                                           IF($A70&lt;'Compression Fittings'!$A$16,VLOOKUP($A70,'Compression Fittings'!$A$8:$M$15,7,FALSE),
IF($A70&lt;'Hose Fittings'!$A$30,VLOOKUP($A70,'Hose Fittings'!$A$8:$M$29,7,FALSE),
IF($A70&lt;'Swing Joints'!$A$495,VLOOKUP($A70,'Swing Joints'!$A$9:$M$494,7,FALSE),
IF($A70&lt;'Swing Joints Components'!$A$135,VLOOKUP($A70,'Swing Joints Components'!$A$9:$M$134,7,FALSE),
IF($A70&lt;Nonstandard!$A$42,VLOOKUP($A70,Nonstandard!$A$31:$J$41,10,FALSE),"")))))))))))))))))))))))))))),"")</f>
        <v/>
      </c>
      <c r="I70" s="621"/>
      <c r="J70" s="541" t="str">
        <f t="shared" si="1"/>
        <v/>
      </c>
      <c r="K70" s="599" t="str">
        <f>IFERROR(IF($A70&lt;'DWV PVC'!$A$317,VLOOKUP($A70,'DWV PVC'!$A$9:$M$316,10,FALSE),
IF($A70&lt;'DWV ABS'!$A$117,VLOOKUP($A70,'DWV ABS'!$A$8:$M$116,10,FALSE),
IF($A70&lt;'PVC SCH40'!$A$425,VLOOKUP($A70,'PVC SCH40'!$A$8:$M$424,10,FALSE),
IF($A70&lt;'PVC SCH40 LD'!$A$22,VLOOKUP($A70,'PVC SCH40 LD'!$A$8:$M$21,10,FALSE),
IF($A70&lt;'Pool &amp; SPA Sweep Elbows'!$A$12,VLOOKUP($A70,'Pool &amp; SPA Sweep Elbows'!$A$8:$M$11,10,FALSE),
IF($A70&lt;'Pool &amp; SPA Pipe Extender'!$A$11,VLOOKUP($A70,'Pool &amp; SPA Pipe Extender'!$A$8:$M$10,10,FALSE),
IF($A70&lt;'PVC SCH80'!$A$250,VLOOKUP($A70,'PVC SCH80'!$A$8:$M$249,10,FALSE),
IF($A70&lt;'PVC SCH80 Flange'!$A$49,VLOOKUP($A70,'PVC SCH80 Flange'!$A$8:$M$48,10,FALSE),
IF($A70&lt;'PVC SCH80 LD Flange'!$A$17,VLOOKUP($A70,'PVC SCH80 LD Flange'!$A$8:$M$16,10,FALSE),
IF($A70&lt;CPVC!$A$105,VLOOKUP($A70,CPVC!$A$9:$M$104,10,FALSE),
IF($A70&lt;InsertFittings!$A$185,VLOOKUP($A70,InsertFittings!$A$9:$M$184,10,FALSE),
IF($A70&lt;Valves!$A$92,VLOOKUP($A70,Valves!$A$9:$Q$91,14,FALSE),
IF($A70&lt;SDR35SW!$A$133,VLOOKUP($A70,SDR35SW!$A$9:$M$132,10,FALSE),
IF($A70&lt;SDR35G!$A$151,VLOOKUP($A70,SDR35G!$A$9:$M$150,10,FALSE),
IF($A70&lt;SDR26G!$A$67,VLOOKUP($A70,SDR26G!$A$9:$N$66,11,FALSE),
IF($A70&lt;Cements!$A$95,VLOOKUP($A70,Cements!$A$8:$Q$94,14,FALSE),
IF($A70&lt;ValveBox!$A$124,VLOOKUP($A70,ValveBox!$A$9:$O$123,12,FALSE),
IF($A70&lt;'ValveBox Components'!$A$142,VLOOKUP($A70,'ValveBox Components'!$A$9:$N$141,11,FALSE),
IF($A70&lt;Drainage!$A$69,VLOOKUP($A70,Drainage!$A$8:$M$68,10,FALSE),
IF($A70&lt;Nipples!$A$82,VLOOKUP($A70,Nipples!$A$9:$Q$81,14,FALSE),
IF($A70&lt;Manifold!$A$33,VLOOKUP($A70,Manifold!$A$9:$M$32,10,FALSE),
IF($A70&lt;FlexibleRepairCouplings!$A$12,VLOOKUP($A70,FlexibleRepairCouplings!$A$9:$M$11,10,FALSE),
IF($A70&lt;DuraFix!$A$15,VLOOKUP($A70,DuraFix!$A$9:$M$14,10,FALSE),
IF($A70&lt;'Compression Fittings'!$A$16,VLOOKUP($A70,'Compression Fittings'!$A$8:$M$15,10,FALSE),
IF($A70&lt;'Hose Fittings'!$A$30,VLOOKUP($A70,'Hose Fittings'!$A$8:$M$29,10,FALSE),
IF($A70&lt;'Swing Joints'!$A$495,VLOOKUP($A70,'Swing Joints'!$A$9:$M$494,10,FALSE),
IF($A70&lt;'Swing Joints Components'!$A$135,VLOOKUP($A70,'Swing Joints Components'!$A$9:$M$134,10,FALSE),
IF($A70&lt;Nonstandard!$A$42,VLOOKUP($A70,Nonstandard!$A$31:$J$41,10,FALSE),"")))))))))))))))))))))))))))),"")</f>
        <v/>
      </c>
      <c r="L70" s="539" t="str">
        <f t="shared" si="0"/>
        <v>-</v>
      </c>
      <c r="M70" s="542"/>
    </row>
    <row r="71" spans="1:13" ht="15.6">
      <c r="A71" s="312">
        <v>39</v>
      </c>
      <c r="B71" s="312" t="str">
        <f>IFERROR(IF($A71&lt;'DWV PVC'!$A$317,VLOOKUP($A71,'DWV PVC'!$A$9:$M$316,4,FALSE),
IF($A71&lt;'DWV ABS'!$A$117,VLOOKUP($A71,'DWV ABS'!$A$8:$M$116,4,FALSE),
IF($A71&lt;'PVC SCH40'!$A$425,VLOOKUP($A71,'PVC SCH40'!$A$8:$M$424,4,FALSE),
IF($A71&lt;'PVC SCH40 LD'!$A$22,VLOOKUP($A71,'PVC SCH40 LD'!$A$8:$M$21,4,FALSE),
IF($A71&lt;'Pool &amp; SPA Sweep Elbows'!$A$12,VLOOKUP($A71,'Pool &amp; SPA Sweep Elbows'!$A$8:$M$11,4,FALSE),
IF($A71&lt;'Pool &amp; SPA Pipe Extender'!$A$11,VLOOKUP($A71,'Pool &amp; SPA Pipe Extender'!$A$8:$M$10,4,FALSE),
IF($A71&lt;'PVC SCH80'!$A$250,VLOOKUP($A71,'PVC SCH80'!$A$8:$M$249,4,FALSE),
IF($A71&lt;'PVC SCH80 Flange'!$A$49,VLOOKUP($A71,'PVC SCH80 Flange'!$A$8:$M$48,4,FALSE),
IF($A71&lt;'PVC SCH80 LD Flange'!$A$17,VLOOKUP($A71,'PVC SCH80 LD Flange'!$A$8:$M$16,4,FALSE),
IF($A71&lt;CPVC!$A$105,VLOOKUP($A71,CPVC!$A$9:$M$104,4,FALSE),
IF($A71&lt;InsertFittings!$A$185,VLOOKUP($A71,InsertFittings!$A$9:$M$184,4,FALSE),
IF($A71&lt;Valves!$A$92,VLOOKUP($A71,Valves!$A$9:$Q$91,4,FALSE),
IF($A71&lt;SDR35SW!$A$133,VLOOKUP($A71,SDR35SW!$A$9:$M$132,4,FALSE),
IF($A71&lt;SDR35G!$A$151,VLOOKUP($A71,SDR35G!$A$9:$M$150,4,FALSE),
IF($A71&lt;SDR26G!$A$67,VLOOKUP($A71,SDR26G!$A$9:$N$66,5,FALSE),
IF($A71&lt;Cements!$A$95,VLOOKUP($A71,Cements!$A$8:$Q$94,4,FALSE),
IF($A71&lt;ValveBox!$A$124,VLOOKUP($A71,ValveBox!$A$9:$O$123,4,FALSE),
IF($A71&lt;'ValveBox Components'!$A$142,VLOOKUP($A71,'ValveBox Components'!$A$9:$N$141,4,FALSE),
IF($A71&lt;Drainage!$A$69,VLOOKUP($A71,Drainage!$A$8:$M$68,4,FALSE),
IF($A71&lt;Nipples!$A$82,VLOOKUP($A71,Nipples!$A$9:$Q$81,4,FALSE),
IF($A71&lt;Manifold!$A$33,VLOOKUP($A71,Manifold!$A$9:$M$32,4,FALSE),
IF($A71&lt;FlexibleRepairCouplings!$A$12,VLOOKUP($A71,FlexibleRepairCouplings!$A$9:$M$11,4,FALSE),
IF($A71&lt;DuraFix!$A$15,VLOOKUP($A71,DuraFix!$A$9:$M$14,4,FALSE),
IF($A71&lt;'Compression Fittings'!$A$16,VLOOKUP($A71,'Compression Fittings'!$A$8:$M$15,4,FALSE),
IF($A71&lt;'Hose Fittings'!$A$30,VLOOKUP($A71,'Hose Fittings'!$A$8:$M$29,4,FALSE),
IF($A71&lt;'Swing Joints'!$A$495,VLOOKUP($A71,'Swing Joints'!$A$9:$M$494,4,FALSE),
IF($A71&lt;'Swing Joints Components'!$A$135,VLOOKUP($A71,'Swing Joints Components'!$A$9:$M$134,4,FALSE),
IF($A71&lt;Nonstandard!$A$42,VLOOKUP($A71,Nonstandard!$A$31:$J$41,5,FALSE),"")))))))))))))))))))))))))))),"")</f>
        <v/>
      </c>
      <c r="C71" s="312" t="str">
        <f>IFERROR(IF($A71&lt;'DWV PVC'!$A$317,VLOOKUP($A71,'DWV PVC'!$A$9:$M$316,5,FALSE),
IF($A71&lt;'DWV ABS'!$A$117,VLOOKUP($A71,'DWV ABS'!$A$8:$M$116,5,FALSE),
IF($A71&lt;'PVC SCH40'!$A$425,VLOOKUP($A71,'PVC SCH40'!$A$8:$M$424,5,FALSE),
IF($A71&lt;'PVC SCH40 LD'!$A$22,VLOOKUP($A71,'PVC SCH40 LD'!$A$8:$M$21,5,FALSE),
IF($A71&lt;'Pool &amp; SPA Sweep Elbows'!$A$12,VLOOKUP($A71,'Pool &amp; SPA Sweep Elbows'!$A$8:$M$11,5,FALSE),
IF($A71&lt;'Pool &amp; SPA Pipe Extender'!$A$11,VLOOKUP($A71,'Pool &amp; SPA Pipe Extender'!$A$8:$M$10,5,FALSE),
IF($A71&lt;'PVC SCH80'!$A$250,VLOOKUP($A71,'PVC SCH80'!$A$8:$M$249,5,FALSE),
IF($A71&lt;'PVC SCH80 Flange'!$A$49,VLOOKUP($A71,'PVC SCH80 Flange'!$A$8:$M$48,5,FALSE),
IF($A71&lt;'PVC SCH80 LD Flange'!$A$17,VLOOKUP($A71,'PVC SCH80 LD Flange'!$A$8:$M$16,5,FALSE),
IF($A71&lt;CPVC!$A$105,VLOOKUP($A71,CPVC!$A$9:$M$104,5,FALSE),
IF($A71&lt;InsertFittings!$A$185,VLOOKUP($A71,InsertFittings!$A$9:$M$184,5,FALSE),
IF($A71&lt;Valves!$A$92,VLOOKUP($A71,Valves!$A$9:$Q$91,5,FALSE),
IF($A71&lt;SDR35SW!$A$133,VLOOKUP($A71,SDR35SW!$A$9:$M$132,5,FALSE),
IF($A71&lt;SDR35G!$A$151,VLOOKUP($A71,SDR35G!$A$9:$M$150,5,FALSE),
IF($A71&lt;SDR26G!$A$67,VLOOKUP($A71,SDR26G!$A$9:$N$66,6,FALSE),
IF($A71&lt;Cements!$A$95,VLOOKUP($A71,Cements!$A$8:$Q$94,5,FALSE),
IF($A71&lt;ValveBox!$A$124,VLOOKUP($A71,ValveBox!$A$9:$O$123,5,FALSE),
IF($A71&lt;'ValveBox Components'!$A$142,VLOOKUP($A71,'ValveBox Components'!$A$9:$N$141,5,FALSE),
IF($A71&lt;Drainage!$A$69,VLOOKUP($A71,Drainage!$A$8:$M$68,5,FALSE),
IF($A71&lt;Nipples!$A$82,VLOOKUP($A71,Nipples!$A$9:$Q$81,5,FALSE),
IF($A71&lt;Manifold!$A$33,VLOOKUP($A71,Manifold!$A$9:$M$32,5,FALSE),
IF($A71&lt;FlexibleRepairCouplings!$A$12,VLOOKUP($A71,FlexibleRepairCouplings!$A$9:$M$11,5,FALSE),
IF($A71&lt;DuraFix!$A$15,VLOOKUP($A71,DuraFix!$A$9:$M$14,5,FALSE),
IF($A71&lt;'Compression Fittings'!$A$16,VLOOKUP($A71,'Compression Fittings'!$A$8:$M$15,5,FALSE),
IF($A71&lt;'Hose Fittings'!$A$30,VLOOKUP($A71,'Hose Fittings'!$A$8:$M$29,5,FALSE),
IF($A71&lt;'Swing Joints'!$A$495,VLOOKUP($A71,'Swing Joints'!$A$9:$M$494,5,FALSE),
IF($A71&lt;'Swing Joints Components'!$A$135,VLOOKUP($A71,'Swing Joints Components'!$A$9:$M$134,5,FALSE),
IF($A71&lt;Nonstandard!$A$42,VLOOKUP($A71,Nonstandard!$A$31:$J$41,6,FALSE),"")))))))))))))))))))))))))))),"")</f>
        <v/>
      </c>
      <c r="D71" s="534" t="str">
        <f>IFERROR(IF($A71&lt;'DWV PVC'!$A$317,VLOOKUP($A71,'DWV PVC'!$A$9:$M$316,6,FALSE),
IF($A71&lt;'DWV ABS'!$A$117,VLOOKUP($A71,'DWV ABS'!$A$8:$M$116,6,FALSE),
IF($A71&lt;'PVC SCH40'!$A$425,VLOOKUP($A71,'PVC SCH40'!$A$8:$M$424,6,FALSE),
IF($A71&lt;'PVC SCH40 LD'!$A$22,VLOOKUP($A71,'PVC SCH40 LD'!$A$8:$M$21,6,FALSE),
IF($A71&lt;'Pool &amp; SPA Sweep Elbows'!$A$12,VLOOKUP($A71,'Pool &amp; SPA Sweep Elbows'!$A$8:$M$11,6,FALSE),
IF($A71&lt;'Pool &amp; SPA Pipe Extender'!$A$11,VLOOKUP($A71,'Pool &amp; SPA Pipe Extender'!$A$8:$M$10,6,FALSE),
IF($A71&lt;'PVC SCH80'!$A$250,VLOOKUP($A71,'PVC SCH80'!$A$8:$M$249,6,FALSE),
IF($A71&lt;'PVC SCH80 Flange'!$A$49,VLOOKUP($A71,'PVC SCH80 Flange'!$A$8:$M$48,6,FALSE),
IF($A71&lt;'PVC SCH80 LD Flange'!$A$17,VLOOKUP($A71,'PVC SCH80 LD Flange'!$A$8:$M$16,6,FALSE),
IF($A71&lt;CPVC!$A$105,VLOOKUP($A71,CPVC!$A$9:$M$104,6,FALSE),
IF($A71&lt;InsertFittings!$A$185,VLOOKUP($A71,InsertFittings!$A$9:$M$184,6,FALSE),
IF($A71&lt;Valves!$A$92,VLOOKUP($A71,Valves!$A$9:$Q$91,6,FALSE),
IF($A71&lt;SDR35SW!$A$133,VLOOKUP($A71,SDR35SW!$A$9:$M$132,6,FALSE),
IF($A71&lt;SDR35G!$A$151,VLOOKUP($A71,SDR35G!$A$9:$M$150,6,FALSE),
IF($A71&lt;SDR26G!$A$67,VLOOKUP($A71,SDR26G!$A$9:$N$66,7,FALSE),
IF($A71&lt;Cements!$A$95,VLOOKUP($A71,Cements!$A$8:$Q$94,6,FALSE),
IF($A71&lt;ValveBox!$A$124,VLOOKUP($A71,ValveBox!$A$9:$O$123,6,FALSE),
IF($A71&lt;'ValveBox Components'!$A$142,VLOOKUP($A71,'ValveBox Components'!$A$9:$N$141,6,FALSE),
IF($A71&lt;Drainage!$A$69,VLOOKUP($A71,Drainage!$A$8:$M$68,6,FALSE),
IF($A71&lt;Nipples!$A$82,VLOOKUP($A71,Nipples!$A$9:$Q$81,6,FALSE),
IF($A71&lt;Manifold!$A$33,VLOOKUP($A71,Manifold!$A$9:$M$32,6,FALSE),
IF($A71&lt;FlexibleRepairCouplings!$A$12,VLOOKUP($A71,FlexibleRepairCouplings!$A$9:$M$11,6,FALSE),
IF($A71&lt;DuraFix!$A$15,VLOOKUP($A71,DuraFix!$A$9:$M$14,6,FALSE),
IF($A71&lt;'Compression Fittings'!$A$16,VLOOKUP($A71,'Compression Fittings'!$A$8:$M$15,6,FALSE),
IF($A71&lt;'Hose Fittings'!$A$30,VLOOKUP($A71,'Hose Fittings'!$A$8:$M$29,6,FALSE),
IF($A71&lt;'Swing Joints'!$A$495,VLOOKUP($A71,'Swing Joints'!$A$9:$M$494,6,FALSE),
IF($A71&lt;'Swing Joints Components'!$A$135,VLOOKUP($A71,'Swing Joints Components'!$A$9:$M$134,6,FALSE),
IF($A71&lt;Nonstandard!$A$42,VLOOKUP($A71,Nonstandard!$A$31:$J$41,7,FALSE),"")))))))))))))))))))))))))))),"")</f>
        <v/>
      </c>
      <c r="E71" s="316"/>
      <c r="F71" s="314" t="str">
        <f>IFERROR(IF($A71&lt;'DWV PVC'!$A$317,VLOOKUP($A71,'DWV PVC'!$A$9:$M$316,9,FALSE),
IF($A71&lt;'DWV ABS'!$A$117,VLOOKUP($A71,'DWV ABS'!$A$8:$M$116,9,FALSE),                                                                                                                                                                                                                                                     IF($A71&lt;'PVC SCH40'!$A$425,VLOOKUP($A71,'PVC SCH40'!$A$8:$M$424,9,FALSE),
IF($A71&lt;'PVC SCH40 LD'!$A$22,VLOOKUP($A71,'PVC SCH40 LD'!$A$8:$M$21,9,FALSE),
IF($A71&lt;'Pool &amp; SPA Sweep Elbows'!$A$12,VLOOKUP($A71,'Pool &amp; SPA Sweep Elbows'!$A$8:$M$11,9,FALSE),
IF($A71&lt;'Pool &amp; SPA Pipe Extender'!$A$11,VLOOKUP($A71,'Pool &amp; SPA Pipe Extender'!$A$8:$M$10,9,FALSE),
IF($A71&lt;'PVC SCH80'!$A$250,VLOOKUP($A71,'PVC SCH80'!$A$8:$M$249,9,FALSE),
IF($A71&lt;'PVC SCH80 Flange'!$A$49,VLOOKUP($A71,'PVC SCH80 Flange'!$A$8:$M$48,9,FALSE),
IF($A71&lt;'PVC SCH80 LD Flange'!$A$17,VLOOKUP($A71,'PVC SCH80 LD Flange'!$A$8:$M$16,9,FALSE),
IF($A71&lt;CPVC!$A$105,VLOOKUP($A71,CPVC!$A$9:$M$104,9,FALSE),
IF($A71&lt;InsertFittings!$A$185,VLOOKUP($A71,InsertFittings!$A$9:$M$184,9,FALSE),
IF($A71&lt;Valves!$A$92,VLOOKUP($A71,Valves!$A$9:$Q$91,13,FALSE),
IF($A71&lt;SDR35SW!$A$133,VLOOKUP($A71,SDR35SW!$A$9:$M$132,9,FALSE),
IF($A71&lt;SDR35G!$A$151,VLOOKUP($A71,SDR35G!$A$9:$M$150,9,FALSE),                                                                                                                                                                                                                                                          IF($A71&lt;SDR26G!$A$67,VLOOKUP($A71,SDR26G!$A$9:$N$66,10,FALSE),                                                                                                                                                                                                                                                       IF($A71&lt;Cements!$A$95,VLOOKUP($A71,Cements!$A$8:$Q$94,13,FALSE),
IF($A71&lt;ValveBox!$A$124,VLOOKUP($A71,ValveBox!$A$9:$O$123,11,FALSE),
IF($A71&lt;'ValveBox Components'!$A$142,VLOOKUP($A71,'ValveBox Components'!$A$9:$N$141,10,FALSE),
IF($A71&lt;Drainage!$A$69,VLOOKUP($A71,Drainage!$A$8:$M$68,9,FALSE),                                                                                                                                                                                                                                                              IF($A71&lt;Nipples!$A$82,VLOOKUP($A71,Nipples!$A$9:$Q$81,13,FALSE),
IF($A71&lt;Manifold!$A$33,VLOOKUP($A71,Manifold!$A$9:$M$32,9,FALSE),
IF($A71&lt;FlexibleRepairCouplings!$A$12,VLOOKUP($A71,FlexibleRepairCouplings!$A$9:$M$11,9,FALSE),
IF($A71&lt;DuraFix!$A$15,VLOOKUP($A71,DuraFix!$A$9:$M$14,9,FALSE),                                                                                                                                                                                                                                                          IF($A71&lt;'Compression Fittings'!$A$16,VLOOKUP($A71,'Compression Fittings'!$A$8:$M$15,9,FALSE),
IF($A71&lt;'Hose Fittings'!$A$30,VLOOKUP($A71,'Hose Fittings'!$A$8:$M$29,9,FALSE),
IF($A71&lt;'Swing Joints'!$A$495,VLOOKUP($A71,'Swing Joints'!$A$9:$M$494,9,FALSE),
IF($A71&lt;'Swing Joints Components'!$A$135,VLOOKUP($A71,'Swing Joints Components'!$A$9:$M$134,9,FALSE),
IF($A71&lt;Nonstandard!$A$42,VLOOKUP($A71,Nonstandard!$A$31:$J$41,8,FALSE),"")))))))))))))))))))))))))))),"")</f>
        <v/>
      </c>
      <c r="G71" s="533" t="str">
        <f>IFERROR(IF($A71&lt;'DWV PVC'!$A$317,VLOOKUP($A71,'DWV PVC'!$A$9:$M$316,11,FALSE),
IF($A71&lt;'DWV ABS'!$A$117,VLOOKUP($A71,'DWV ABS'!$A$8:$M$116,11,FALSE),                                                                                                                                                                                                                                                     IF($A71&lt;'PVC SCH40'!$A$425,VLOOKUP($A71,'PVC SCH40'!$A$8:$M$424,11,FALSE),
IF($A71&lt;'PVC SCH40 LD'!$A$22,VLOOKUP($A71,'PVC SCH40 LD'!$A$8:$M$21,11,FALSE),
IF($A71&lt;'Pool &amp; SPA Sweep Elbows'!$A$12,VLOOKUP($A71,'Pool &amp; SPA Sweep Elbows'!$A$8:$M$11,11,FALSE),
IF($A71&lt;'Pool &amp; SPA Pipe Extender'!$A$11,VLOOKUP($A71,'Pool &amp; SPA Pipe Extender'!$A$8:$M$10,11,FALSE),
IF($A71&lt;'PVC SCH80'!$A$250,VLOOKUP($A71,'PVC SCH80'!$A$8:$M$249,11,FALSE),
IF($A71&lt;'PVC SCH80 Flange'!$A$49,VLOOKUP($A71,'PVC SCH80 Flange'!$A$8:$M$48,11,FALSE),
IF($A71&lt;'PVC SCH80 LD Flange'!$A$17,VLOOKUP($A71,'PVC SCH80 LD Flange'!$A$8:$M$16,11,FALSE),
IF($A71&lt;CPVC!$A$105,VLOOKUP($A71,CPVC!$A$9:$M$104,11,FALSE),
IF($A71&lt;InsertFittings!$A$185,VLOOKUP($A71,InsertFittings!$A$9:$M$184,11,FALSE),
IF($A71&lt;Valves!$A$92,VLOOKUP($A71,Valves!$A$9:$Q$91,15,FALSE),
IF($A71&lt;SDR35SW!$A$133,VLOOKUP($A71,SDR35SW!$A$9:$M$132,11,FALSE),
IF($A71&lt;SDR35G!$A$151,VLOOKUP($A71,SDR35G!$A$9:$M$150,11,FALSE),                                                                                                                                                                                                                                                          IF($A71&lt;SDR26G!$A$67,VLOOKUP($A71,SDR26G!$A$9:$N$66,12,FALSE),                                                                                                                                                                                                                                                       IF($A71&lt;Cements!$A$95,VLOOKUP($A71,Cements!$A$8:$Q$94,15,FALSE),
IF($A71&lt;ValveBox!$A$124,VLOOKUP($A71,ValveBox!$A$9:$O$123,13,FALSE),
IF($A71&lt;'ValveBox Components'!$A$142,VLOOKUP($A71,'ValveBox Components'!$A$9:$N$141,12,FALSE),
IF($A71&lt;Drainage!$A$69,VLOOKUP($A71,Drainage!$A$8:$M$68,11,FALSE),                                                                                                                                                                                                                                                           IF($A71&lt;Nipples!$A$82,VLOOKUP($A71,Nipples!$A$9:$Q$81,15,FALSE),
IF($A71&lt;Manifold!$A$33,VLOOKUP($A71,Manifold!$A$9:$M$32,11,FALSE),
IF($A71&lt;FlexibleRepairCouplings!$A$12,VLOOKUP($A71,FlexibleRepairCouplings!$A$9:$M$11,11,FALSE),
IF($A71&lt;DuraFix!$A$15,VLOOKUP($A71,DuraFix!$A$9:$M$14,11,FALSE),                                                                                                                                                                                                                                                            IF($A71&lt;'Compression Fittings'!$A$16,VLOOKUP($A71,'Compression Fittings'!$A$8:$M$15,11,FALSE),
IF($A71&lt;'Hose Fittings'!$A$30,VLOOKUP($A71,'Hose Fittings'!$A$8:$M$29,11,FALSE),
IF($A71&lt;'Swing Joints'!$A$495,VLOOKUP($A71,'Swing Joints'!$A$9:$M$494,11,FALSE),
IF($A71&lt;'Swing Joints Components'!$A$135,VLOOKUP($A71,'Swing Joints Components'!$A$9:$M$134,11,FALSE),
IF($A71&lt;Nonstandard!$A$42,VLOOKUP($A71,Nonstandard!$A$31:$J$41,10,FALSE),"")))))))))))))))))))))))))))),"")</f>
        <v/>
      </c>
      <c r="H71" s="618" t="str">
        <f>IFERROR(IF($A71&lt;'DWV PVC'!$A$317,VLOOKUP($A71,'DWV PVC'!$A$9:$M$316,7,FALSE),
IF($A71&lt;'DWV ABS'!$A$117,VLOOKUP($A71,'DWV ABS'!$A$8:$M$116,11,FALSE),                                                                                                                                                                                                                                                     IF($A71&lt;'PVC SCH40'!$A$425,VLOOKUP($A71,'PVC SCH40'!$A$8:$M$424,7,FALSE),
IF($A71&lt;'PVC SCH40 LD'!$A$22,VLOOKUP($A71,'PVC SCH40 LD'!$A$8:$M$21,7,FALSE),
IF($A71&lt;'Pool &amp; SPA Sweep Elbows'!$A$12,VLOOKUP($A71,'Pool &amp; SPA Sweep Elbows'!$A$8:$M$11,7,FALSE),
IF($A71&lt;'Pool &amp; SPA Pipe Extender'!$A$11,VLOOKUP($A71,'Pool &amp; SPA Pipe Extender'!$A$8:$M$10,7,FALSE),
IF($A71&lt;'PVC SCH80'!$A$250,VLOOKUP($A71,'PVC SCH80'!$A$8:$M$249,7,FALSE),
IF($A71&lt;'PVC SCH80 Flange'!$A$49,VLOOKUP($A71,'PVC SCH80 Flange'!$A$8:$M$48,7,FALSE),
IF($A71&lt;'PVC SCH80 LD Flange'!$A$17,VLOOKUP($A71,'PVC SCH80 LD Flange'!$A$8:$M$16,7,FALSE),
IF($A71&lt;CPVC!$A$105,VLOOKUP($A71,CPVC!$A$9:$M$104,7,FALSE),
IF($A71&lt;InsertFittings!$A$185,VLOOKUP($A71,InsertFittings!$A$9:$M$184,7,FALSE),
IF($A71&lt;Valves!$A$92,VLOOKUP($A71,Valves!$A$9:$Q$91,11,FALSE),
IF($A71&lt;SDR35SW!$A$133,VLOOKUP($A71,SDR35SW!$A$9:$M$132,7,FALSE),
IF($A71&lt;SDR35G!$A$151,VLOOKUP($A71,SDR35G!$A$9:$M$150,7,FALSE),                                                                                                                                                                                                                                                       IF($A71&lt;SDR26G!$A$67,VLOOKUP($A71,SDR26G!$A$9:$N$66,8,FALSE),                                                                                                                                                                                                                                                     IF($A71&lt;Cements!$A$95,VLOOKUP($A71,Cements!$A$8:$Q$94,11,FALSE),
IF($A71&lt;ValveBox!$A$124,VLOOKUP($A71,ValveBox!$A$9:$O$123,10,FALSE),
IF($A71&lt;'ValveBox Components'!$A$142,VLOOKUP($A71,'ValveBox Components'!$A$9:$N$141,9,FALSE),
IF($A71&lt;Drainage!$A$69,VLOOKUP($A71,Drainage!$A$8:$M$68,7,FALSE),                                                                                                                                                                                                                                                          IF($A71&lt;Nipples!$A$82,VLOOKUP($A71,Nipples!$A$9:$Q$81,11,FALSE),
IF($A71&lt;Manifold!$A$33,VLOOKUP($A71,Manifold!$A$9:$M$32,7,FALSE),
IF($A71&lt;FlexibleRepairCouplings!$A$12,VLOOKUP($A71,FlexibleRepairCouplings!$A$9:$M$11,7,FALSE),
IF($A71&lt;DuraFix!$A$15,VLOOKUP($A71,DuraFix!$A$9:$M$14,7,FALSE),                                                                                                                                                                                                                                                           IF($A71&lt;'Compression Fittings'!$A$16,VLOOKUP($A71,'Compression Fittings'!$A$8:$M$15,7,FALSE),
IF($A71&lt;'Hose Fittings'!$A$30,VLOOKUP($A71,'Hose Fittings'!$A$8:$M$29,7,FALSE),
IF($A71&lt;'Swing Joints'!$A$495,VLOOKUP($A71,'Swing Joints'!$A$9:$M$494,7,FALSE),
IF($A71&lt;'Swing Joints Components'!$A$135,VLOOKUP($A71,'Swing Joints Components'!$A$9:$M$134,7,FALSE),
IF($A71&lt;Nonstandard!$A$42,VLOOKUP($A71,Nonstandard!$A$31:$J$41,10,FALSE),"")))))))))))))))))))))))))))),"")</f>
        <v/>
      </c>
      <c r="I71" s="619"/>
      <c r="J71" s="281" t="str">
        <f t="shared" si="1"/>
        <v/>
      </c>
      <c r="K71" s="313" t="str">
        <f>IFERROR(IF($A71&lt;'DWV PVC'!$A$317,VLOOKUP($A71,'DWV PVC'!$A$9:$M$316,10,FALSE),
IF($A71&lt;'DWV ABS'!$A$117,VLOOKUP($A71,'DWV ABS'!$A$8:$M$116,10,FALSE),
IF($A71&lt;'PVC SCH40'!$A$425,VLOOKUP($A71,'PVC SCH40'!$A$8:$M$424,10,FALSE),
IF($A71&lt;'PVC SCH40 LD'!$A$22,VLOOKUP($A71,'PVC SCH40 LD'!$A$8:$M$21,10,FALSE),
IF($A71&lt;'Pool &amp; SPA Sweep Elbows'!$A$12,VLOOKUP($A71,'Pool &amp; SPA Sweep Elbows'!$A$8:$M$11,10,FALSE),
IF($A71&lt;'Pool &amp; SPA Pipe Extender'!$A$11,VLOOKUP($A71,'Pool &amp; SPA Pipe Extender'!$A$8:$M$10,10,FALSE),
IF($A71&lt;'PVC SCH80'!$A$250,VLOOKUP($A71,'PVC SCH80'!$A$8:$M$249,10,FALSE),
IF($A71&lt;'PVC SCH80 Flange'!$A$49,VLOOKUP($A71,'PVC SCH80 Flange'!$A$8:$M$48,10,FALSE),
IF($A71&lt;'PVC SCH80 LD Flange'!$A$17,VLOOKUP($A71,'PVC SCH80 LD Flange'!$A$8:$M$16,10,FALSE),
IF($A71&lt;CPVC!$A$105,VLOOKUP($A71,CPVC!$A$9:$M$104,10,FALSE),
IF($A71&lt;InsertFittings!$A$185,VLOOKUP($A71,InsertFittings!$A$9:$M$184,10,FALSE),
IF($A71&lt;Valves!$A$92,VLOOKUP($A71,Valves!$A$9:$Q$91,14,FALSE),
IF($A71&lt;SDR35SW!$A$133,VLOOKUP($A71,SDR35SW!$A$9:$M$132,10,FALSE),
IF($A71&lt;SDR35G!$A$151,VLOOKUP($A71,SDR35G!$A$9:$M$150,10,FALSE),
IF($A71&lt;SDR26G!$A$67,VLOOKUP($A71,SDR26G!$A$9:$N$66,11,FALSE),
IF($A71&lt;Cements!$A$95,VLOOKUP($A71,Cements!$A$8:$Q$94,14,FALSE),
IF($A71&lt;ValveBox!$A$124,VLOOKUP($A71,ValveBox!$A$9:$O$123,12,FALSE),
IF($A71&lt;'ValveBox Components'!$A$142,VLOOKUP($A71,'ValveBox Components'!$A$9:$N$141,11,FALSE),
IF($A71&lt;Drainage!$A$69,VLOOKUP($A71,Drainage!$A$8:$M$68,10,FALSE),
IF($A71&lt;Nipples!$A$82,VLOOKUP($A71,Nipples!$A$9:$Q$81,14,FALSE),
IF($A71&lt;Manifold!$A$33,VLOOKUP($A71,Manifold!$A$9:$M$32,10,FALSE),
IF($A71&lt;FlexibleRepairCouplings!$A$12,VLOOKUP($A71,FlexibleRepairCouplings!$A$9:$M$11,10,FALSE),
IF($A71&lt;DuraFix!$A$15,VLOOKUP($A71,DuraFix!$A$9:$M$14,10,FALSE),
IF($A71&lt;'Compression Fittings'!$A$16,VLOOKUP($A71,'Compression Fittings'!$A$8:$M$15,10,FALSE),
IF($A71&lt;'Hose Fittings'!$A$30,VLOOKUP($A71,'Hose Fittings'!$A$8:$M$29,10,FALSE),
IF($A71&lt;'Swing Joints'!$A$495,VLOOKUP($A71,'Swing Joints'!$A$9:$M$494,10,FALSE),
IF($A71&lt;'Swing Joints Components'!$A$135,VLOOKUP($A71,'Swing Joints Components'!$A$9:$M$134,10,FALSE),
IF($A71&lt;Nonstandard!$A$42,VLOOKUP($A71,Nonstandard!$A$31:$J$41,10,FALSE),"")))))))))))))))))))))))))))),"")</f>
        <v/>
      </c>
      <c r="L71" s="314" t="str">
        <f t="shared" si="0"/>
        <v>-</v>
      </c>
      <c r="M71" s="315"/>
    </row>
    <row r="72" spans="1:13" ht="15.6">
      <c r="A72" s="536">
        <v>40</v>
      </c>
      <c r="B72" s="536" t="str">
        <f>IFERROR(IF($A72&lt;'DWV PVC'!$A$317,VLOOKUP($A72,'DWV PVC'!$A$9:$M$316,4,FALSE),
IF($A72&lt;'DWV ABS'!$A$117,VLOOKUP($A72,'DWV ABS'!$A$8:$M$116,4,FALSE),
IF($A72&lt;'PVC SCH40'!$A$425,VLOOKUP($A72,'PVC SCH40'!$A$8:$M$424,4,FALSE),
IF($A72&lt;'PVC SCH40 LD'!$A$22,VLOOKUP($A72,'PVC SCH40 LD'!$A$8:$M$21,4,FALSE),
IF($A72&lt;'Pool &amp; SPA Sweep Elbows'!$A$12,VLOOKUP($A72,'Pool &amp; SPA Sweep Elbows'!$A$8:$M$11,4,FALSE),
IF($A72&lt;'Pool &amp; SPA Pipe Extender'!$A$11,VLOOKUP($A72,'Pool &amp; SPA Pipe Extender'!$A$8:$M$10,4,FALSE),
IF($A72&lt;'PVC SCH80'!$A$250,VLOOKUP($A72,'PVC SCH80'!$A$8:$M$249,4,FALSE),
IF($A72&lt;'PVC SCH80 Flange'!$A$49,VLOOKUP($A72,'PVC SCH80 Flange'!$A$8:$M$48,4,FALSE),
IF($A72&lt;'PVC SCH80 LD Flange'!$A$17,VLOOKUP($A72,'PVC SCH80 LD Flange'!$A$8:$M$16,4,FALSE),
IF($A72&lt;CPVC!$A$105,VLOOKUP($A72,CPVC!$A$9:$M$104,4,FALSE),
IF($A72&lt;InsertFittings!$A$185,VLOOKUP($A72,InsertFittings!$A$9:$M$184,4,FALSE),
IF($A72&lt;Valves!$A$92,VLOOKUP($A72,Valves!$A$9:$Q$91,4,FALSE),
IF($A72&lt;SDR35SW!$A$133,VLOOKUP($A72,SDR35SW!$A$9:$M$132,4,FALSE),
IF($A72&lt;SDR35G!$A$151,VLOOKUP($A72,SDR35G!$A$9:$M$150,4,FALSE),
IF($A72&lt;SDR26G!$A$67,VLOOKUP($A72,SDR26G!$A$9:$N$66,5,FALSE),
IF($A72&lt;Cements!$A$95,VLOOKUP($A72,Cements!$A$8:$Q$94,4,FALSE),
IF($A72&lt;ValveBox!$A$124,VLOOKUP($A72,ValveBox!$A$9:$O$123,4,FALSE),
IF($A72&lt;'ValveBox Components'!$A$142,VLOOKUP($A72,'ValveBox Components'!$A$9:$N$141,4,FALSE),
IF($A72&lt;Drainage!$A$69,VLOOKUP($A72,Drainage!$A$8:$M$68,4,FALSE),
IF($A72&lt;Nipples!$A$82,VLOOKUP($A72,Nipples!$A$9:$Q$81,4,FALSE),
IF($A72&lt;Manifold!$A$33,VLOOKUP($A72,Manifold!$A$9:$M$32,4,FALSE),
IF($A72&lt;FlexibleRepairCouplings!$A$12,VLOOKUP($A72,FlexibleRepairCouplings!$A$9:$M$11,4,FALSE),
IF($A72&lt;DuraFix!$A$15,VLOOKUP($A72,DuraFix!$A$9:$M$14,4,FALSE),
IF($A72&lt;'Compression Fittings'!$A$16,VLOOKUP($A72,'Compression Fittings'!$A$8:$M$15,4,FALSE),
IF($A72&lt;'Hose Fittings'!$A$30,VLOOKUP($A72,'Hose Fittings'!$A$8:$M$29,4,FALSE),
IF($A72&lt;'Swing Joints'!$A$495,VLOOKUP($A72,'Swing Joints'!$A$9:$M$494,4,FALSE),
IF($A72&lt;'Swing Joints Components'!$A$135,VLOOKUP($A72,'Swing Joints Components'!$A$9:$M$134,4,FALSE),
IF($A72&lt;Nonstandard!$A$42,VLOOKUP($A72,Nonstandard!$A$31:$J$41,5,FALSE),"")))))))))))))))))))))))))))),"")</f>
        <v/>
      </c>
      <c r="C72" s="536" t="str">
        <f>IFERROR(IF($A72&lt;'DWV PVC'!$A$317,VLOOKUP($A72,'DWV PVC'!$A$9:$M$316,5,FALSE),
IF($A72&lt;'DWV ABS'!$A$117,VLOOKUP($A72,'DWV ABS'!$A$8:$M$116,5,FALSE),
IF($A72&lt;'PVC SCH40'!$A$425,VLOOKUP($A72,'PVC SCH40'!$A$8:$M$424,5,FALSE),
IF($A72&lt;'PVC SCH40 LD'!$A$22,VLOOKUP($A72,'PVC SCH40 LD'!$A$8:$M$21,5,FALSE),
IF($A72&lt;'Pool &amp; SPA Sweep Elbows'!$A$12,VLOOKUP($A72,'Pool &amp; SPA Sweep Elbows'!$A$8:$M$11,5,FALSE),
IF($A72&lt;'Pool &amp; SPA Pipe Extender'!$A$11,VLOOKUP($A72,'Pool &amp; SPA Pipe Extender'!$A$8:$M$10,5,FALSE),
IF($A72&lt;'PVC SCH80'!$A$250,VLOOKUP($A72,'PVC SCH80'!$A$8:$M$249,5,FALSE),
IF($A72&lt;'PVC SCH80 Flange'!$A$49,VLOOKUP($A72,'PVC SCH80 Flange'!$A$8:$M$48,5,FALSE),
IF($A72&lt;'PVC SCH80 LD Flange'!$A$17,VLOOKUP($A72,'PVC SCH80 LD Flange'!$A$8:$M$16,5,FALSE),
IF($A72&lt;CPVC!$A$105,VLOOKUP($A72,CPVC!$A$9:$M$104,5,FALSE),
IF($A72&lt;InsertFittings!$A$185,VLOOKUP($A72,InsertFittings!$A$9:$M$184,5,FALSE),
IF($A72&lt;Valves!$A$92,VLOOKUP($A72,Valves!$A$9:$Q$91,5,FALSE),
IF($A72&lt;SDR35SW!$A$133,VLOOKUP($A72,SDR35SW!$A$9:$M$132,5,FALSE),
IF($A72&lt;SDR35G!$A$151,VLOOKUP($A72,SDR35G!$A$9:$M$150,5,FALSE),
IF($A72&lt;SDR26G!$A$67,VLOOKUP($A72,SDR26G!$A$9:$N$66,6,FALSE),
IF($A72&lt;Cements!$A$95,VLOOKUP($A72,Cements!$A$8:$Q$94,5,FALSE),
IF($A72&lt;ValveBox!$A$124,VLOOKUP($A72,ValveBox!$A$9:$O$123,5,FALSE),
IF($A72&lt;'ValveBox Components'!$A$142,VLOOKUP($A72,'ValveBox Components'!$A$9:$N$141,5,FALSE),
IF($A72&lt;Drainage!$A$69,VLOOKUP($A72,Drainage!$A$8:$M$68,5,FALSE),
IF($A72&lt;Nipples!$A$82,VLOOKUP($A72,Nipples!$A$9:$Q$81,5,FALSE),
IF($A72&lt;Manifold!$A$33,VLOOKUP($A72,Manifold!$A$9:$M$32,5,FALSE),
IF($A72&lt;FlexibleRepairCouplings!$A$12,VLOOKUP($A72,FlexibleRepairCouplings!$A$9:$M$11,5,FALSE),
IF($A72&lt;DuraFix!$A$15,VLOOKUP($A72,DuraFix!$A$9:$M$14,5,FALSE),
IF($A72&lt;'Compression Fittings'!$A$16,VLOOKUP($A72,'Compression Fittings'!$A$8:$M$15,5,FALSE),
IF($A72&lt;'Hose Fittings'!$A$30,VLOOKUP($A72,'Hose Fittings'!$A$8:$M$29,5,FALSE),
IF($A72&lt;'Swing Joints'!$A$495,VLOOKUP($A72,'Swing Joints'!$A$9:$M$494,5,FALSE),
IF($A72&lt;'Swing Joints Components'!$A$135,VLOOKUP($A72,'Swing Joints Components'!$A$9:$M$134,5,FALSE),
IF($A72&lt;Nonstandard!$A$42,VLOOKUP($A72,Nonstandard!$A$31:$J$41,6,FALSE),"")))))))))))))))))))))))))))),"")</f>
        <v/>
      </c>
      <c r="D72" s="537" t="str">
        <f>IFERROR(IF($A72&lt;'DWV PVC'!$A$317,VLOOKUP($A72,'DWV PVC'!$A$9:$M$316,6,FALSE),
IF($A72&lt;'DWV ABS'!$A$117,VLOOKUP($A72,'DWV ABS'!$A$8:$M$116,6,FALSE),
IF($A72&lt;'PVC SCH40'!$A$425,VLOOKUP($A72,'PVC SCH40'!$A$8:$M$424,6,FALSE),
IF($A72&lt;'PVC SCH40 LD'!$A$22,VLOOKUP($A72,'PVC SCH40 LD'!$A$8:$M$21,6,FALSE),
IF($A72&lt;'Pool &amp; SPA Sweep Elbows'!$A$12,VLOOKUP($A72,'Pool &amp; SPA Sweep Elbows'!$A$8:$M$11,6,FALSE),
IF($A72&lt;'Pool &amp; SPA Pipe Extender'!$A$11,VLOOKUP($A72,'Pool &amp; SPA Pipe Extender'!$A$8:$M$10,6,FALSE),
IF($A72&lt;'PVC SCH80'!$A$250,VLOOKUP($A72,'PVC SCH80'!$A$8:$M$249,6,FALSE),
IF($A72&lt;'PVC SCH80 Flange'!$A$49,VLOOKUP($A72,'PVC SCH80 Flange'!$A$8:$M$48,6,FALSE),
IF($A72&lt;'PVC SCH80 LD Flange'!$A$17,VLOOKUP($A72,'PVC SCH80 LD Flange'!$A$8:$M$16,6,FALSE),
IF($A72&lt;CPVC!$A$105,VLOOKUP($A72,CPVC!$A$9:$M$104,6,FALSE),
IF($A72&lt;InsertFittings!$A$185,VLOOKUP($A72,InsertFittings!$A$9:$M$184,6,FALSE),
IF($A72&lt;Valves!$A$92,VLOOKUP($A72,Valves!$A$9:$Q$91,6,FALSE),
IF($A72&lt;SDR35SW!$A$133,VLOOKUP($A72,SDR35SW!$A$9:$M$132,6,FALSE),
IF($A72&lt;SDR35G!$A$151,VLOOKUP($A72,SDR35G!$A$9:$M$150,6,FALSE),
IF($A72&lt;SDR26G!$A$67,VLOOKUP($A72,SDR26G!$A$9:$N$66,7,FALSE),
IF($A72&lt;Cements!$A$95,VLOOKUP($A72,Cements!$A$8:$Q$94,6,FALSE),
IF($A72&lt;ValveBox!$A$124,VLOOKUP($A72,ValveBox!$A$9:$O$123,6,FALSE),
IF($A72&lt;'ValveBox Components'!$A$142,VLOOKUP($A72,'ValveBox Components'!$A$9:$N$141,6,FALSE),
IF($A72&lt;Drainage!$A$69,VLOOKUP($A72,Drainage!$A$8:$M$68,6,FALSE),
IF($A72&lt;Nipples!$A$82,VLOOKUP($A72,Nipples!$A$9:$Q$81,6,FALSE),
IF($A72&lt;Manifold!$A$33,VLOOKUP($A72,Manifold!$A$9:$M$32,6,FALSE),
IF($A72&lt;FlexibleRepairCouplings!$A$12,VLOOKUP($A72,FlexibleRepairCouplings!$A$9:$M$11,6,FALSE),
IF($A72&lt;DuraFix!$A$15,VLOOKUP($A72,DuraFix!$A$9:$M$14,6,FALSE),
IF($A72&lt;'Compression Fittings'!$A$16,VLOOKUP($A72,'Compression Fittings'!$A$8:$M$15,6,FALSE),
IF($A72&lt;'Hose Fittings'!$A$30,VLOOKUP($A72,'Hose Fittings'!$A$8:$M$29,6,FALSE),
IF($A72&lt;'Swing Joints'!$A$495,VLOOKUP($A72,'Swing Joints'!$A$9:$M$494,6,FALSE),
IF($A72&lt;'Swing Joints Components'!$A$135,VLOOKUP($A72,'Swing Joints Components'!$A$9:$M$134,6,FALSE),
IF($A72&lt;Nonstandard!$A$42,VLOOKUP($A72,Nonstandard!$A$31:$J$41,7,FALSE),"")))))))))))))))))))))))))))),"")</f>
        <v/>
      </c>
      <c r="E72" s="538"/>
      <c r="F72" s="539" t="str">
        <f>IFERROR(IF($A72&lt;'DWV PVC'!$A$317,VLOOKUP($A72,'DWV PVC'!$A$9:$M$316,9,FALSE),
IF($A72&lt;'DWV ABS'!$A$117,VLOOKUP($A72,'DWV ABS'!$A$8:$M$116,9,FALSE),                                                                                                                                                                                                                                                     IF($A72&lt;'PVC SCH40'!$A$425,VLOOKUP($A72,'PVC SCH40'!$A$8:$M$424,9,FALSE),
IF($A72&lt;'PVC SCH40 LD'!$A$22,VLOOKUP($A72,'PVC SCH40 LD'!$A$8:$M$21,9,FALSE),
IF($A72&lt;'Pool &amp; SPA Sweep Elbows'!$A$12,VLOOKUP($A72,'Pool &amp; SPA Sweep Elbows'!$A$8:$M$11,9,FALSE),
IF($A72&lt;'Pool &amp; SPA Pipe Extender'!$A$11,VLOOKUP($A72,'Pool &amp; SPA Pipe Extender'!$A$8:$M$10,9,FALSE),
IF($A72&lt;'PVC SCH80'!$A$250,VLOOKUP($A72,'PVC SCH80'!$A$8:$M$249,9,FALSE),
IF($A72&lt;'PVC SCH80 Flange'!$A$49,VLOOKUP($A72,'PVC SCH80 Flange'!$A$8:$M$48,9,FALSE),
IF($A72&lt;'PVC SCH80 LD Flange'!$A$17,VLOOKUP($A72,'PVC SCH80 LD Flange'!$A$8:$M$16,9,FALSE),
IF($A72&lt;CPVC!$A$105,VLOOKUP($A72,CPVC!$A$9:$M$104,9,FALSE),
IF($A72&lt;InsertFittings!$A$185,VLOOKUP($A72,InsertFittings!$A$9:$M$184,9,FALSE),
IF($A72&lt;Valves!$A$92,VLOOKUP($A72,Valves!$A$9:$Q$91,13,FALSE),
IF($A72&lt;SDR35SW!$A$133,VLOOKUP($A72,SDR35SW!$A$9:$M$132,9,FALSE),
IF($A72&lt;SDR35G!$A$151,VLOOKUP($A72,SDR35G!$A$9:$M$150,9,FALSE),                                                                                                                                                                                                                                                          IF($A72&lt;SDR26G!$A$67,VLOOKUP($A72,SDR26G!$A$9:$N$66,10,FALSE),                                                                                                                                                                                                                                                       IF($A72&lt;Cements!$A$95,VLOOKUP($A72,Cements!$A$8:$Q$94,13,FALSE),
IF($A72&lt;ValveBox!$A$124,VLOOKUP($A72,ValveBox!$A$9:$O$123,11,FALSE),
IF($A72&lt;'ValveBox Components'!$A$142,VLOOKUP($A72,'ValveBox Components'!$A$9:$N$141,10,FALSE),
IF($A72&lt;Drainage!$A$69,VLOOKUP($A72,Drainage!$A$8:$M$68,9,FALSE),                                                                                                                                                                                                                                                              IF($A72&lt;Nipples!$A$82,VLOOKUP($A72,Nipples!$A$9:$Q$81,13,FALSE),
IF($A72&lt;Manifold!$A$33,VLOOKUP($A72,Manifold!$A$9:$M$32,9,FALSE),
IF($A72&lt;FlexibleRepairCouplings!$A$12,VLOOKUP($A72,FlexibleRepairCouplings!$A$9:$M$11,9,FALSE),
IF($A72&lt;DuraFix!$A$15,VLOOKUP($A72,DuraFix!$A$9:$M$14,9,FALSE),                                                                                                                                                                                                                                                          IF($A72&lt;'Compression Fittings'!$A$16,VLOOKUP($A72,'Compression Fittings'!$A$8:$M$15,9,FALSE),
IF($A72&lt;'Hose Fittings'!$A$30,VLOOKUP($A72,'Hose Fittings'!$A$8:$M$29,9,FALSE),
IF($A72&lt;'Swing Joints'!$A$495,VLOOKUP($A72,'Swing Joints'!$A$9:$M$494,9,FALSE),
IF($A72&lt;'Swing Joints Components'!$A$135,VLOOKUP($A72,'Swing Joints Components'!$A$9:$M$134,9,FALSE),
IF($A72&lt;Nonstandard!$A$42,VLOOKUP($A72,Nonstandard!$A$31:$J$41,8,FALSE),"")))))))))))))))))))))))))))),"")</f>
        <v/>
      </c>
      <c r="G72" s="540" t="str">
        <f>IFERROR(IF($A72&lt;'DWV PVC'!$A$317,VLOOKUP($A72,'DWV PVC'!$A$9:$M$316,11,FALSE),
IF($A72&lt;'DWV ABS'!$A$117,VLOOKUP($A72,'DWV ABS'!$A$8:$M$116,11,FALSE),                                                                                                                                                                                                                                                     IF($A72&lt;'PVC SCH40'!$A$425,VLOOKUP($A72,'PVC SCH40'!$A$8:$M$424,11,FALSE),
IF($A72&lt;'PVC SCH40 LD'!$A$22,VLOOKUP($A72,'PVC SCH40 LD'!$A$8:$M$21,11,FALSE),
IF($A72&lt;'Pool &amp; SPA Sweep Elbows'!$A$12,VLOOKUP($A72,'Pool &amp; SPA Sweep Elbows'!$A$8:$M$11,11,FALSE),
IF($A72&lt;'Pool &amp; SPA Pipe Extender'!$A$11,VLOOKUP($A72,'Pool &amp; SPA Pipe Extender'!$A$8:$M$10,11,FALSE),
IF($A72&lt;'PVC SCH80'!$A$250,VLOOKUP($A72,'PVC SCH80'!$A$8:$M$249,11,FALSE),
IF($A72&lt;'PVC SCH80 Flange'!$A$49,VLOOKUP($A72,'PVC SCH80 Flange'!$A$8:$M$48,11,FALSE),
IF($A72&lt;'PVC SCH80 LD Flange'!$A$17,VLOOKUP($A72,'PVC SCH80 LD Flange'!$A$8:$M$16,11,FALSE),
IF($A72&lt;CPVC!$A$105,VLOOKUP($A72,CPVC!$A$9:$M$104,11,FALSE),
IF($A72&lt;InsertFittings!$A$185,VLOOKUP($A72,InsertFittings!$A$9:$M$184,11,FALSE),
IF($A72&lt;Valves!$A$92,VLOOKUP($A72,Valves!$A$9:$Q$91,15,FALSE),
IF($A72&lt;SDR35SW!$A$133,VLOOKUP($A72,SDR35SW!$A$9:$M$132,11,FALSE),
IF($A72&lt;SDR35G!$A$151,VLOOKUP($A72,SDR35G!$A$9:$M$150,11,FALSE),                                                                                                                                                                                                                                                          IF($A72&lt;SDR26G!$A$67,VLOOKUP($A72,SDR26G!$A$9:$N$66,12,FALSE),                                                                                                                                                                                                                                                       IF($A72&lt;Cements!$A$95,VLOOKUP($A72,Cements!$A$8:$Q$94,15,FALSE),
IF($A72&lt;ValveBox!$A$124,VLOOKUP($A72,ValveBox!$A$9:$O$123,13,FALSE),
IF($A72&lt;'ValveBox Components'!$A$142,VLOOKUP($A72,'ValveBox Components'!$A$9:$N$141,12,FALSE),
IF($A72&lt;Drainage!$A$69,VLOOKUP($A72,Drainage!$A$8:$M$68,11,FALSE),                                                                                                                                                                                                                                                           IF($A72&lt;Nipples!$A$82,VLOOKUP($A72,Nipples!$A$9:$Q$81,15,FALSE),
IF($A72&lt;Manifold!$A$33,VLOOKUP($A72,Manifold!$A$9:$M$32,11,FALSE),
IF($A72&lt;FlexibleRepairCouplings!$A$12,VLOOKUP($A72,FlexibleRepairCouplings!$A$9:$M$11,11,FALSE),
IF($A72&lt;DuraFix!$A$15,VLOOKUP($A72,DuraFix!$A$9:$M$14,11,FALSE),                                                                                                                                                                                                                                                            IF($A72&lt;'Compression Fittings'!$A$16,VLOOKUP($A72,'Compression Fittings'!$A$8:$M$15,11,FALSE),
IF($A72&lt;'Hose Fittings'!$A$30,VLOOKUP($A72,'Hose Fittings'!$A$8:$M$29,11,FALSE),
IF($A72&lt;'Swing Joints'!$A$495,VLOOKUP($A72,'Swing Joints'!$A$9:$M$494,11,FALSE),
IF($A72&lt;'Swing Joints Components'!$A$135,VLOOKUP($A72,'Swing Joints Components'!$A$9:$M$134,11,FALSE),
IF($A72&lt;Nonstandard!$A$42,VLOOKUP($A72,Nonstandard!$A$31:$J$41,10,FALSE),"")))))))))))))))))))))))))))),"")</f>
        <v/>
      </c>
      <c r="H72" s="620" t="str">
        <f>IFERROR(IF($A72&lt;'DWV PVC'!$A$317,VLOOKUP($A72,'DWV PVC'!$A$9:$M$316,7,FALSE),
IF($A72&lt;'DWV ABS'!$A$117,VLOOKUP($A72,'DWV ABS'!$A$8:$M$116,11,FALSE),                                                                                                                                                                                                                                                     IF($A72&lt;'PVC SCH40'!$A$425,VLOOKUP($A72,'PVC SCH40'!$A$8:$M$424,7,FALSE),
IF($A72&lt;'PVC SCH40 LD'!$A$22,VLOOKUP($A72,'PVC SCH40 LD'!$A$8:$M$21,7,FALSE),
IF($A72&lt;'Pool &amp; SPA Sweep Elbows'!$A$12,VLOOKUP($A72,'Pool &amp; SPA Sweep Elbows'!$A$8:$M$11,7,FALSE),
IF($A72&lt;'Pool &amp; SPA Pipe Extender'!$A$11,VLOOKUP($A72,'Pool &amp; SPA Pipe Extender'!$A$8:$M$10,7,FALSE),
IF($A72&lt;'PVC SCH80'!$A$250,VLOOKUP($A72,'PVC SCH80'!$A$8:$M$249,7,FALSE),
IF($A72&lt;'PVC SCH80 Flange'!$A$49,VLOOKUP($A72,'PVC SCH80 Flange'!$A$8:$M$48,7,FALSE),
IF($A72&lt;'PVC SCH80 LD Flange'!$A$17,VLOOKUP($A72,'PVC SCH80 LD Flange'!$A$8:$M$16,7,FALSE),
IF($A72&lt;CPVC!$A$105,VLOOKUP($A72,CPVC!$A$9:$M$104,7,FALSE),
IF($A72&lt;InsertFittings!$A$185,VLOOKUP($A72,InsertFittings!$A$9:$M$184,7,FALSE),
IF($A72&lt;Valves!$A$92,VLOOKUP($A72,Valves!$A$9:$Q$91,11,FALSE),
IF($A72&lt;SDR35SW!$A$133,VLOOKUP($A72,SDR35SW!$A$9:$M$132,7,FALSE),
IF($A72&lt;SDR35G!$A$151,VLOOKUP($A72,SDR35G!$A$9:$M$150,7,FALSE),                                                                                                                                                                                                                                                       IF($A72&lt;SDR26G!$A$67,VLOOKUP($A72,SDR26G!$A$9:$N$66,8,FALSE),                                                                                                                                                                                                                                                     IF($A72&lt;Cements!$A$95,VLOOKUP($A72,Cements!$A$8:$Q$94,11,FALSE),
IF($A72&lt;ValveBox!$A$124,VLOOKUP($A72,ValveBox!$A$9:$O$123,10,FALSE),
IF($A72&lt;'ValveBox Components'!$A$142,VLOOKUP($A72,'ValveBox Components'!$A$9:$N$141,9,FALSE),
IF($A72&lt;Drainage!$A$69,VLOOKUP($A72,Drainage!$A$8:$M$68,7,FALSE),                                                                                                                                                                                                                                                          IF($A72&lt;Nipples!$A$82,VLOOKUP($A72,Nipples!$A$9:$Q$81,11,FALSE),
IF($A72&lt;Manifold!$A$33,VLOOKUP($A72,Manifold!$A$9:$M$32,7,FALSE),
IF($A72&lt;FlexibleRepairCouplings!$A$12,VLOOKUP($A72,FlexibleRepairCouplings!$A$9:$M$11,7,FALSE),
IF($A72&lt;DuraFix!$A$15,VLOOKUP($A72,DuraFix!$A$9:$M$14,7,FALSE),                                                                                                                                                                                                                                                           IF($A72&lt;'Compression Fittings'!$A$16,VLOOKUP($A72,'Compression Fittings'!$A$8:$M$15,7,FALSE),
IF($A72&lt;'Hose Fittings'!$A$30,VLOOKUP($A72,'Hose Fittings'!$A$8:$M$29,7,FALSE),
IF($A72&lt;'Swing Joints'!$A$495,VLOOKUP($A72,'Swing Joints'!$A$9:$M$494,7,FALSE),
IF($A72&lt;'Swing Joints Components'!$A$135,VLOOKUP($A72,'Swing Joints Components'!$A$9:$M$134,7,FALSE),
IF($A72&lt;Nonstandard!$A$42,VLOOKUP($A72,Nonstandard!$A$31:$J$41,10,FALSE),"")))))))))))))))))))))))))))),"")</f>
        <v/>
      </c>
      <c r="I72" s="621"/>
      <c r="J72" s="541" t="str">
        <f t="shared" si="1"/>
        <v/>
      </c>
      <c r="K72" s="599" t="str">
        <f>IFERROR(IF($A72&lt;'DWV PVC'!$A$317,VLOOKUP($A72,'DWV PVC'!$A$9:$M$316,10,FALSE),
IF($A72&lt;'DWV ABS'!$A$117,VLOOKUP($A72,'DWV ABS'!$A$8:$M$116,10,FALSE),
IF($A72&lt;'PVC SCH40'!$A$425,VLOOKUP($A72,'PVC SCH40'!$A$8:$M$424,10,FALSE),
IF($A72&lt;'PVC SCH40 LD'!$A$22,VLOOKUP($A72,'PVC SCH40 LD'!$A$8:$M$21,10,FALSE),
IF($A72&lt;'Pool &amp; SPA Sweep Elbows'!$A$12,VLOOKUP($A72,'Pool &amp; SPA Sweep Elbows'!$A$8:$M$11,10,FALSE),
IF($A72&lt;'Pool &amp; SPA Pipe Extender'!$A$11,VLOOKUP($A72,'Pool &amp; SPA Pipe Extender'!$A$8:$M$10,10,FALSE),
IF($A72&lt;'PVC SCH80'!$A$250,VLOOKUP($A72,'PVC SCH80'!$A$8:$M$249,10,FALSE),
IF($A72&lt;'PVC SCH80 Flange'!$A$49,VLOOKUP($A72,'PVC SCH80 Flange'!$A$8:$M$48,10,FALSE),
IF($A72&lt;'PVC SCH80 LD Flange'!$A$17,VLOOKUP($A72,'PVC SCH80 LD Flange'!$A$8:$M$16,10,FALSE),
IF($A72&lt;CPVC!$A$105,VLOOKUP($A72,CPVC!$A$9:$M$104,10,FALSE),
IF($A72&lt;InsertFittings!$A$185,VLOOKUP($A72,InsertFittings!$A$9:$M$184,10,FALSE),
IF($A72&lt;Valves!$A$92,VLOOKUP($A72,Valves!$A$9:$Q$91,14,FALSE),
IF($A72&lt;SDR35SW!$A$133,VLOOKUP($A72,SDR35SW!$A$9:$M$132,10,FALSE),
IF($A72&lt;SDR35G!$A$151,VLOOKUP($A72,SDR35G!$A$9:$M$150,10,FALSE),
IF($A72&lt;SDR26G!$A$67,VLOOKUP($A72,SDR26G!$A$9:$N$66,11,FALSE),
IF($A72&lt;Cements!$A$95,VLOOKUP($A72,Cements!$A$8:$Q$94,14,FALSE),
IF($A72&lt;ValveBox!$A$124,VLOOKUP($A72,ValveBox!$A$9:$O$123,12,FALSE),
IF($A72&lt;'ValveBox Components'!$A$142,VLOOKUP($A72,'ValveBox Components'!$A$9:$N$141,11,FALSE),
IF($A72&lt;Drainage!$A$69,VLOOKUP($A72,Drainage!$A$8:$M$68,10,FALSE),
IF($A72&lt;Nipples!$A$82,VLOOKUP($A72,Nipples!$A$9:$Q$81,14,FALSE),
IF($A72&lt;Manifold!$A$33,VLOOKUP($A72,Manifold!$A$9:$M$32,10,FALSE),
IF($A72&lt;FlexibleRepairCouplings!$A$12,VLOOKUP($A72,FlexibleRepairCouplings!$A$9:$M$11,10,FALSE),
IF($A72&lt;DuraFix!$A$15,VLOOKUP($A72,DuraFix!$A$9:$M$14,10,FALSE),
IF($A72&lt;'Compression Fittings'!$A$16,VLOOKUP($A72,'Compression Fittings'!$A$8:$M$15,10,FALSE),
IF($A72&lt;'Hose Fittings'!$A$30,VLOOKUP($A72,'Hose Fittings'!$A$8:$M$29,10,FALSE),
IF($A72&lt;'Swing Joints'!$A$495,VLOOKUP($A72,'Swing Joints'!$A$9:$M$494,10,FALSE),
IF($A72&lt;'Swing Joints Components'!$A$135,VLOOKUP($A72,'Swing Joints Components'!$A$9:$M$134,10,FALSE),
IF($A72&lt;Nonstandard!$A$42,VLOOKUP($A72,Nonstandard!$A$31:$J$41,10,FALSE),"")))))))))))))))))))))))))))),"")</f>
        <v/>
      </c>
      <c r="L72" s="539" t="str">
        <f t="shared" si="0"/>
        <v>-</v>
      </c>
      <c r="M72" s="542"/>
    </row>
    <row r="73" spans="1:13" ht="15.6">
      <c r="A73" s="312">
        <v>41</v>
      </c>
      <c r="B73" s="312" t="str">
        <f>IFERROR(IF($A73&lt;'DWV PVC'!$A$317,VLOOKUP($A73,'DWV PVC'!$A$9:$M$316,4,FALSE),
IF($A73&lt;'DWV ABS'!$A$117,VLOOKUP($A73,'DWV ABS'!$A$8:$M$116,4,FALSE),
IF($A73&lt;'PVC SCH40'!$A$425,VLOOKUP($A73,'PVC SCH40'!$A$8:$M$424,4,FALSE),
IF($A73&lt;'PVC SCH40 LD'!$A$22,VLOOKUP($A73,'PVC SCH40 LD'!$A$8:$M$21,4,FALSE),
IF($A73&lt;'Pool &amp; SPA Sweep Elbows'!$A$12,VLOOKUP($A73,'Pool &amp; SPA Sweep Elbows'!$A$8:$M$11,4,FALSE),
IF($A73&lt;'Pool &amp; SPA Pipe Extender'!$A$11,VLOOKUP($A73,'Pool &amp; SPA Pipe Extender'!$A$8:$M$10,4,FALSE),
IF($A73&lt;'PVC SCH80'!$A$250,VLOOKUP($A73,'PVC SCH80'!$A$8:$M$249,4,FALSE),
IF($A73&lt;'PVC SCH80 Flange'!$A$49,VLOOKUP($A73,'PVC SCH80 Flange'!$A$8:$M$48,4,FALSE),
IF($A73&lt;'PVC SCH80 LD Flange'!$A$17,VLOOKUP($A73,'PVC SCH80 LD Flange'!$A$8:$M$16,4,FALSE),
IF($A73&lt;CPVC!$A$105,VLOOKUP($A73,CPVC!$A$9:$M$104,4,FALSE),
IF($A73&lt;InsertFittings!$A$185,VLOOKUP($A73,InsertFittings!$A$9:$M$184,4,FALSE),
IF($A73&lt;Valves!$A$92,VLOOKUP($A73,Valves!$A$9:$Q$91,4,FALSE),
IF($A73&lt;SDR35SW!$A$133,VLOOKUP($A73,SDR35SW!$A$9:$M$132,4,FALSE),
IF($A73&lt;SDR35G!$A$151,VLOOKUP($A73,SDR35G!$A$9:$M$150,4,FALSE),
IF($A73&lt;SDR26G!$A$67,VLOOKUP($A73,SDR26G!$A$9:$N$66,5,FALSE),
IF($A73&lt;Cements!$A$95,VLOOKUP($A73,Cements!$A$8:$Q$94,4,FALSE),
IF($A73&lt;ValveBox!$A$124,VLOOKUP($A73,ValveBox!$A$9:$O$123,4,FALSE),
IF($A73&lt;'ValveBox Components'!$A$142,VLOOKUP($A73,'ValveBox Components'!$A$9:$N$141,4,FALSE),
IF($A73&lt;Drainage!$A$69,VLOOKUP($A73,Drainage!$A$8:$M$68,4,FALSE),
IF($A73&lt;Nipples!$A$82,VLOOKUP($A73,Nipples!$A$9:$Q$81,4,FALSE),
IF($A73&lt;Manifold!$A$33,VLOOKUP($A73,Manifold!$A$9:$M$32,4,FALSE),
IF($A73&lt;FlexibleRepairCouplings!$A$12,VLOOKUP($A73,FlexibleRepairCouplings!$A$9:$M$11,4,FALSE),
IF($A73&lt;DuraFix!$A$15,VLOOKUP($A73,DuraFix!$A$9:$M$14,4,FALSE),
IF($A73&lt;'Compression Fittings'!$A$16,VLOOKUP($A73,'Compression Fittings'!$A$8:$M$15,4,FALSE),
IF($A73&lt;'Hose Fittings'!$A$30,VLOOKUP($A73,'Hose Fittings'!$A$8:$M$29,4,FALSE),
IF($A73&lt;'Swing Joints'!$A$495,VLOOKUP($A73,'Swing Joints'!$A$9:$M$494,4,FALSE),
IF($A73&lt;'Swing Joints Components'!$A$135,VLOOKUP($A73,'Swing Joints Components'!$A$9:$M$134,4,FALSE),
IF($A73&lt;Nonstandard!$A$42,VLOOKUP($A73,Nonstandard!$A$31:$J$41,5,FALSE),"")))))))))))))))))))))))))))),"")</f>
        <v/>
      </c>
      <c r="C73" s="312" t="str">
        <f>IFERROR(IF($A73&lt;'DWV PVC'!$A$317,VLOOKUP($A73,'DWV PVC'!$A$9:$M$316,5,FALSE),
IF($A73&lt;'DWV ABS'!$A$117,VLOOKUP($A73,'DWV ABS'!$A$8:$M$116,5,FALSE),
IF($A73&lt;'PVC SCH40'!$A$425,VLOOKUP($A73,'PVC SCH40'!$A$8:$M$424,5,FALSE),
IF($A73&lt;'PVC SCH40 LD'!$A$22,VLOOKUP($A73,'PVC SCH40 LD'!$A$8:$M$21,5,FALSE),
IF($A73&lt;'Pool &amp; SPA Sweep Elbows'!$A$12,VLOOKUP($A73,'Pool &amp; SPA Sweep Elbows'!$A$8:$M$11,5,FALSE),
IF($A73&lt;'Pool &amp; SPA Pipe Extender'!$A$11,VLOOKUP($A73,'Pool &amp; SPA Pipe Extender'!$A$8:$M$10,5,FALSE),
IF($A73&lt;'PVC SCH80'!$A$250,VLOOKUP($A73,'PVC SCH80'!$A$8:$M$249,5,FALSE),
IF($A73&lt;'PVC SCH80 Flange'!$A$49,VLOOKUP($A73,'PVC SCH80 Flange'!$A$8:$M$48,5,FALSE),
IF($A73&lt;'PVC SCH80 LD Flange'!$A$17,VLOOKUP($A73,'PVC SCH80 LD Flange'!$A$8:$M$16,5,FALSE),
IF($A73&lt;CPVC!$A$105,VLOOKUP($A73,CPVC!$A$9:$M$104,5,FALSE),
IF($A73&lt;InsertFittings!$A$185,VLOOKUP($A73,InsertFittings!$A$9:$M$184,5,FALSE),
IF($A73&lt;Valves!$A$92,VLOOKUP($A73,Valves!$A$9:$Q$91,5,FALSE),
IF($A73&lt;SDR35SW!$A$133,VLOOKUP($A73,SDR35SW!$A$9:$M$132,5,FALSE),
IF($A73&lt;SDR35G!$A$151,VLOOKUP($A73,SDR35G!$A$9:$M$150,5,FALSE),
IF($A73&lt;SDR26G!$A$67,VLOOKUP($A73,SDR26G!$A$9:$N$66,6,FALSE),
IF($A73&lt;Cements!$A$95,VLOOKUP($A73,Cements!$A$8:$Q$94,5,FALSE),
IF($A73&lt;ValveBox!$A$124,VLOOKUP($A73,ValveBox!$A$9:$O$123,5,FALSE),
IF($A73&lt;'ValveBox Components'!$A$142,VLOOKUP($A73,'ValveBox Components'!$A$9:$N$141,5,FALSE),
IF($A73&lt;Drainage!$A$69,VLOOKUP($A73,Drainage!$A$8:$M$68,5,FALSE),
IF($A73&lt;Nipples!$A$82,VLOOKUP($A73,Nipples!$A$9:$Q$81,5,FALSE),
IF($A73&lt;Manifold!$A$33,VLOOKUP($A73,Manifold!$A$9:$M$32,5,FALSE),
IF($A73&lt;FlexibleRepairCouplings!$A$12,VLOOKUP($A73,FlexibleRepairCouplings!$A$9:$M$11,5,FALSE),
IF($A73&lt;DuraFix!$A$15,VLOOKUP($A73,DuraFix!$A$9:$M$14,5,FALSE),
IF($A73&lt;'Compression Fittings'!$A$16,VLOOKUP($A73,'Compression Fittings'!$A$8:$M$15,5,FALSE),
IF($A73&lt;'Hose Fittings'!$A$30,VLOOKUP($A73,'Hose Fittings'!$A$8:$M$29,5,FALSE),
IF($A73&lt;'Swing Joints'!$A$495,VLOOKUP($A73,'Swing Joints'!$A$9:$M$494,5,FALSE),
IF($A73&lt;'Swing Joints Components'!$A$135,VLOOKUP($A73,'Swing Joints Components'!$A$9:$M$134,5,FALSE),
IF($A73&lt;Nonstandard!$A$42,VLOOKUP($A73,Nonstandard!$A$31:$J$41,6,FALSE),"")))))))))))))))))))))))))))),"")</f>
        <v/>
      </c>
      <c r="D73" s="534" t="str">
        <f>IFERROR(IF($A73&lt;'DWV PVC'!$A$317,VLOOKUP($A73,'DWV PVC'!$A$9:$M$316,6,FALSE),
IF($A73&lt;'DWV ABS'!$A$117,VLOOKUP($A73,'DWV ABS'!$A$8:$M$116,6,FALSE),
IF($A73&lt;'PVC SCH40'!$A$425,VLOOKUP($A73,'PVC SCH40'!$A$8:$M$424,6,FALSE),
IF($A73&lt;'PVC SCH40 LD'!$A$22,VLOOKUP($A73,'PVC SCH40 LD'!$A$8:$M$21,6,FALSE),
IF($A73&lt;'Pool &amp; SPA Sweep Elbows'!$A$12,VLOOKUP($A73,'Pool &amp; SPA Sweep Elbows'!$A$8:$M$11,6,FALSE),
IF($A73&lt;'Pool &amp; SPA Pipe Extender'!$A$11,VLOOKUP($A73,'Pool &amp; SPA Pipe Extender'!$A$8:$M$10,6,FALSE),
IF($A73&lt;'PVC SCH80'!$A$250,VLOOKUP($A73,'PVC SCH80'!$A$8:$M$249,6,FALSE),
IF($A73&lt;'PVC SCH80 Flange'!$A$49,VLOOKUP($A73,'PVC SCH80 Flange'!$A$8:$M$48,6,FALSE),
IF($A73&lt;'PVC SCH80 LD Flange'!$A$17,VLOOKUP($A73,'PVC SCH80 LD Flange'!$A$8:$M$16,6,FALSE),
IF($A73&lt;CPVC!$A$105,VLOOKUP($A73,CPVC!$A$9:$M$104,6,FALSE),
IF($A73&lt;InsertFittings!$A$185,VLOOKUP($A73,InsertFittings!$A$9:$M$184,6,FALSE),
IF($A73&lt;Valves!$A$92,VLOOKUP($A73,Valves!$A$9:$Q$91,6,FALSE),
IF($A73&lt;SDR35SW!$A$133,VLOOKUP($A73,SDR35SW!$A$9:$M$132,6,FALSE),
IF($A73&lt;SDR35G!$A$151,VLOOKUP($A73,SDR35G!$A$9:$M$150,6,FALSE),
IF($A73&lt;SDR26G!$A$67,VLOOKUP($A73,SDR26G!$A$9:$N$66,7,FALSE),
IF($A73&lt;Cements!$A$95,VLOOKUP($A73,Cements!$A$8:$Q$94,6,FALSE),
IF($A73&lt;ValveBox!$A$124,VLOOKUP($A73,ValveBox!$A$9:$O$123,6,FALSE),
IF($A73&lt;'ValveBox Components'!$A$142,VLOOKUP($A73,'ValveBox Components'!$A$9:$N$141,6,FALSE),
IF($A73&lt;Drainage!$A$69,VLOOKUP($A73,Drainage!$A$8:$M$68,6,FALSE),
IF($A73&lt;Nipples!$A$82,VLOOKUP($A73,Nipples!$A$9:$Q$81,6,FALSE),
IF($A73&lt;Manifold!$A$33,VLOOKUP($A73,Manifold!$A$9:$M$32,6,FALSE),
IF($A73&lt;FlexibleRepairCouplings!$A$12,VLOOKUP($A73,FlexibleRepairCouplings!$A$9:$M$11,6,FALSE),
IF($A73&lt;DuraFix!$A$15,VLOOKUP($A73,DuraFix!$A$9:$M$14,6,FALSE),
IF($A73&lt;'Compression Fittings'!$A$16,VLOOKUP($A73,'Compression Fittings'!$A$8:$M$15,6,FALSE),
IF($A73&lt;'Hose Fittings'!$A$30,VLOOKUP($A73,'Hose Fittings'!$A$8:$M$29,6,FALSE),
IF($A73&lt;'Swing Joints'!$A$495,VLOOKUP($A73,'Swing Joints'!$A$9:$M$494,6,FALSE),
IF($A73&lt;'Swing Joints Components'!$A$135,VLOOKUP($A73,'Swing Joints Components'!$A$9:$M$134,6,FALSE),
IF($A73&lt;Nonstandard!$A$42,VLOOKUP($A73,Nonstandard!$A$31:$J$41,7,FALSE),"")))))))))))))))))))))))))))),"")</f>
        <v/>
      </c>
      <c r="E73" s="316"/>
      <c r="F73" s="314" t="str">
        <f>IFERROR(IF($A73&lt;'DWV PVC'!$A$317,VLOOKUP($A73,'DWV PVC'!$A$9:$M$316,9,FALSE),
IF($A73&lt;'DWV ABS'!$A$117,VLOOKUP($A73,'DWV ABS'!$A$8:$M$116,9,FALSE),                                                                                                                                                                                                                                                     IF($A73&lt;'PVC SCH40'!$A$425,VLOOKUP($A73,'PVC SCH40'!$A$8:$M$424,9,FALSE),
IF($A73&lt;'PVC SCH40 LD'!$A$22,VLOOKUP($A73,'PVC SCH40 LD'!$A$8:$M$21,9,FALSE),
IF($A73&lt;'Pool &amp; SPA Sweep Elbows'!$A$12,VLOOKUP($A73,'Pool &amp; SPA Sweep Elbows'!$A$8:$M$11,9,FALSE),
IF($A73&lt;'Pool &amp; SPA Pipe Extender'!$A$11,VLOOKUP($A73,'Pool &amp; SPA Pipe Extender'!$A$8:$M$10,9,FALSE),
IF($A73&lt;'PVC SCH80'!$A$250,VLOOKUP($A73,'PVC SCH80'!$A$8:$M$249,9,FALSE),
IF($A73&lt;'PVC SCH80 Flange'!$A$49,VLOOKUP($A73,'PVC SCH80 Flange'!$A$8:$M$48,9,FALSE),
IF($A73&lt;'PVC SCH80 LD Flange'!$A$17,VLOOKUP($A73,'PVC SCH80 LD Flange'!$A$8:$M$16,9,FALSE),
IF($A73&lt;CPVC!$A$105,VLOOKUP($A73,CPVC!$A$9:$M$104,9,FALSE),
IF($A73&lt;InsertFittings!$A$185,VLOOKUP($A73,InsertFittings!$A$9:$M$184,9,FALSE),
IF($A73&lt;Valves!$A$92,VLOOKUP($A73,Valves!$A$9:$Q$91,13,FALSE),
IF($A73&lt;SDR35SW!$A$133,VLOOKUP($A73,SDR35SW!$A$9:$M$132,9,FALSE),
IF($A73&lt;SDR35G!$A$151,VLOOKUP($A73,SDR35G!$A$9:$M$150,9,FALSE),                                                                                                                                                                                                                                                          IF($A73&lt;SDR26G!$A$67,VLOOKUP($A73,SDR26G!$A$9:$N$66,10,FALSE),                                                                                                                                                                                                                                                       IF($A73&lt;Cements!$A$95,VLOOKUP($A73,Cements!$A$8:$Q$94,13,FALSE),
IF($A73&lt;ValveBox!$A$124,VLOOKUP($A73,ValveBox!$A$9:$O$123,11,FALSE),
IF($A73&lt;'ValveBox Components'!$A$142,VLOOKUP($A73,'ValveBox Components'!$A$9:$N$141,10,FALSE),
IF($A73&lt;Drainage!$A$69,VLOOKUP($A73,Drainage!$A$8:$M$68,9,FALSE),                                                                                                                                                                                                                                                              IF($A73&lt;Nipples!$A$82,VLOOKUP($A73,Nipples!$A$9:$Q$81,13,FALSE),
IF($A73&lt;Manifold!$A$33,VLOOKUP($A73,Manifold!$A$9:$M$32,9,FALSE),
IF($A73&lt;FlexibleRepairCouplings!$A$12,VLOOKUP($A73,FlexibleRepairCouplings!$A$9:$M$11,9,FALSE),
IF($A73&lt;DuraFix!$A$15,VLOOKUP($A73,DuraFix!$A$9:$M$14,9,FALSE),                                                                                                                                                                                                                                                          IF($A73&lt;'Compression Fittings'!$A$16,VLOOKUP($A73,'Compression Fittings'!$A$8:$M$15,9,FALSE),
IF($A73&lt;'Hose Fittings'!$A$30,VLOOKUP($A73,'Hose Fittings'!$A$8:$M$29,9,FALSE),
IF($A73&lt;'Swing Joints'!$A$495,VLOOKUP($A73,'Swing Joints'!$A$9:$M$494,9,FALSE),
IF($A73&lt;'Swing Joints Components'!$A$135,VLOOKUP($A73,'Swing Joints Components'!$A$9:$M$134,9,FALSE),
IF($A73&lt;Nonstandard!$A$42,VLOOKUP($A73,Nonstandard!$A$31:$J$41,8,FALSE),"")))))))))))))))))))))))))))),"")</f>
        <v/>
      </c>
      <c r="G73" s="533" t="str">
        <f>IFERROR(IF($A73&lt;'DWV PVC'!$A$317,VLOOKUP($A73,'DWV PVC'!$A$9:$M$316,11,FALSE),
IF($A73&lt;'DWV ABS'!$A$117,VLOOKUP($A73,'DWV ABS'!$A$8:$M$116,11,FALSE),                                                                                                                                                                                                                                                     IF($A73&lt;'PVC SCH40'!$A$425,VLOOKUP($A73,'PVC SCH40'!$A$8:$M$424,11,FALSE),
IF($A73&lt;'PVC SCH40 LD'!$A$22,VLOOKUP($A73,'PVC SCH40 LD'!$A$8:$M$21,11,FALSE),
IF($A73&lt;'Pool &amp; SPA Sweep Elbows'!$A$12,VLOOKUP($A73,'Pool &amp; SPA Sweep Elbows'!$A$8:$M$11,11,FALSE),
IF($A73&lt;'Pool &amp; SPA Pipe Extender'!$A$11,VLOOKUP($A73,'Pool &amp; SPA Pipe Extender'!$A$8:$M$10,11,FALSE),
IF($A73&lt;'PVC SCH80'!$A$250,VLOOKUP($A73,'PVC SCH80'!$A$8:$M$249,11,FALSE),
IF($A73&lt;'PVC SCH80 Flange'!$A$49,VLOOKUP($A73,'PVC SCH80 Flange'!$A$8:$M$48,11,FALSE),
IF($A73&lt;'PVC SCH80 LD Flange'!$A$17,VLOOKUP($A73,'PVC SCH80 LD Flange'!$A$8:$M$16,11,FALSE),
IF($A73&lt;CPVC!$A$105,VLOOKUP($A73,CPVC!$A$9:$M$104,11,FALSE),
IF($A73&lt;InsertFittings!$A$185,VLOOKUP($A73,InsertFittings!$A$9:$M$184,11,FALSE),
IF($A73&lt;Valves!$A$92,VLOOKUP($A73,Valves!$A$9:$Q$91,15,FALSE),
IF($A73&lt;SDR35SW!$A$133,VLOOKUP($A73,SDR35SW!$A$9:$M$132,11,FALSE),
IF($A73&lt;SDR35G!$A$151,VLOOKUP($A73,SDR35G!$A$9:$M$150,11,FALSE),                                                                                                                                                                                                                                                          IF($A73&lt;SDR26G!$A$67,VLOOKUP($A73,SDR26G!$A$9:$N$66,12,FALSE),                                                                                                                                                                                                                                                       IF($A73&lt;Cements!$A$95,VLOOKUP($A73,Cements!$A$8:$Q$94,15,FALSE),
IF($A73&lt;ValveBox!$A$124,VLOOKUP($A73,ValveBox!$A$9:$O$123,13,FALSE),
IF($A73&lt;'ValveBox Components'!$A$142,VLOOKUP($A73,'ValveBox Components'!$A$9:$N$141,12,FALSE),
IF($A73&lt;Drainage!$A$69,VLOOKUP($A73,Drainage!$A$8:$M$68,11,FALSE),                                                                                                                                                                                                                                                           IF($A73&lt;Nipples!$A$82,VLOOKUP($A73,Nipples!$A$9:$Q$81,15,FALSE),
IF($A73&lt;Manifold!$A$33,VLOOKUP($A73,Manifold!$A$9:$M$32,11,FALSE),
IF($A73&lt;FlexibleRepairCouplings!$A$12,VLOOKUP($A73,FlexibleRepairCouplings!$A$9:$M$11,11,FALSE),
IF($A73&lt;DuraFix!$A$15,VLOOKUP($A73,DuraFix!$A$9:$M$14,11,FALSE),                                                                                                                                                                                                                                                            IF($A73&lt;'Compression Fittings'!$A$16,VLOOKUP($A73,'Compression Fittings'!$A$8:$M$15,11,FALSE),
IF($A73&lt;'Hose Fittings'!$A$30,VLOOKUP($A73,'Hose Fittings'!$A$8:$M$29,11,FALSE),
IF($A73&lt;'Swing Joints'!$A$495,VLOOKUP($A73,'Swing Joints'!$A$9:$M$494,11,FALSE),
IF($A73&lt;'Swing Joints Components'!$A$135,VLOOKUP($A73,'Swing Joints Components'!$A$9:$M$134,11,FALSE),
IF($A73&lt;Nonstandard!$A$42,VLOOKUP($A73,Nonstandard!$A$31:$J$41,10,FALSE),"")))))))))))))))))))))))))))),"")</f>
        <v/>
      </c>
      <c r="H73" s="618" t="str">
        <f>IFERROR(IF($A73&lt;'DWV PVC'!$A$317,VLOOKUP($A73,'DWV PVC'!$A$9:$M$316,7,FALSE),
IF($A73&lt;'DWV ABS'!$A$117,VLOOKUP($A73,'DWV ABS'!$A$8:$M$116,11,FALSE),                                                                                                                                                                                                                                                     IF($A73&lt;'PVC SCH40'!$A$425,VLOOKUP($A73,'PVC SCH40'!$A$8:$M$424,7,FALSE),
IF($A73&lt;'PVC SCH40 LD'!$A$22,VLOOKUP($A73,'PVC SCH40 LD'!$A$8:$M$21,7,FALSE),
IF($A73&lt;'Pool &amp; SPA Sweep Elbows'!$A$12,VLOOKUP($A73,'Pool &amp; SPA Sweep Elbows'!$A$8:$M$11,7,FALSE),
IF($A73&lt;'Pool &amp; SPA Pipe Extender'!$A$11,VLOOKUP($A73,'Pool &amp; SPA Pipe Extender'!$A$8:$M$10,7,FALSE),
IF($A73&lt;'PVC SCH80'!$A$250,VLOOKUP($A73,'PVC SCH80'!$A$8:$M$249,7,FALSE),
IF($A73&lt;'PVC SCH80 Flange'!$A$49,VLOOKUP($A73,'PVC SCH80 Flange'!$A$8:$M$48,7,FALSE),
IF($A73&lt;'PVC SCH80 LD Flange'!$A$17,VLOOKUP($A73,'PVC SCH80 LD Flange'!$A$8:$M$16,7,FALSE),
IF($A73&lt;CPVC!$A$105,VLOOKUP($A73,CPVC!$A$9:$M$104,7,FALSE),
IF($A73&lt;InsertFittings!$A$185,VLOOKUP($A73,InsertFittings!$A$9:$M$184,7,FALSE),
IF($A73&lt;Valves!$A$92,VLOOKUP($A73,Valves!$A$9:$Q$91,11,FALSE),
IF($A73&lt;SDR35SW!$A$133,VLOOKUP($A73,SDR35SW!$A$9:$M$132,7,FALSE),
IF($A73&lt;SDR35G!$A$151,VLOOKUP($A73,SDR35G!$A$9:$M$150,7,FALSE),                                                                                                                                                                                                                                                       IF($A73&lt;SDR26G!$A$67,VLOOKUP($A73,SDR26G!$A$9:$N$66,8,FALSE),                                                                                                                                                                                                                                                     IF($A73&lt;Cements!$A$95,VLOOKUP($A73,Cements!$A$8:$Q$94,11,FALSE),
IF($A73&lt;ValveBox!$A$124,VLOOKUP($A73,ValveBox!$A$9:$O$123,10,FALSE),
IF($A73&lt;'ValveBox Components'!$A$142,VLOOKUP($A73,'ValveBox Components'!$A$9:$N$141,9,FALSE),
IF($A73&lt;Drainage!$A$69,VLOOKUP($A73,Drainage!$A$8:$M$68,7,FALSE),                                                                                                                                                                                                                                                          IF($A73&lt;Nipples!$A$82,VLOOKUP($A73,Nipples!$A$9:$Q$81,11,FALSE),
IF($A73&lt;Manifold!$A$33,VLOOKUP($A73,Manifold!$A$9:$M$32,7,FALSE),
IF($A73&lt;FlexibleRepairCouplings!$A$12,VLOOKUP($A73,FlexibleRepairCouplings!$A$9:$M$11,7,FALSE),
IF($A73&lt;DuraFix!$A$15,VLOOKUP($A73,DuraFix!$A$9:$M$14,7,FALSE),                                                                                                                                                                                                                                                           IF($A73&lt;'Compression Fittings'!$A$16,VLOOKUP($A73,'Compression Fittings'!$A$8:$M$15,7,FALSE),
IF($A73&lt;'Hose Fittings'!$A$30,VLOOKUP($A73,'Hose Fittings'!$A$8:$M$29,7,FALSE),
IF($A73&lt;'Swing Joints'!$A$495,VLOOKUP($A73,'Swing Joints'!$A$9:$M$494,7,FALSE),
IF($A73&lt;'Swing Joints Components'!$A$135,VLOOKUP($A73,'Swing Joints Components'!$A$9:$M$134,7,FALSE),
IF($A73&lt;Nonstandard!$A$42,VLOOKUP($A73,Nonstandard!$A$31:$J$41,10,FALSE),"")))))))))))))))))))))))))))),"")</f>
        <v/>
      </c>
      <c r="I73" s="619"/>
      <c r="J73" s="281" t="str">
        <f t="shared" si="1"/>
        <v/>
      </c>
      <c r="K73" s="313" t="str">
        <f>IFERROR(IF($A73&lt;'DWV PVC'!$A$317,VLOOKUP($A73,'DWV PVC'!$A$9:$M$316,10,FALSE),
IF($A73&lt;'DWV ABS'!$A$117,VLOOKUP($A73,'DWV ABS'!$A$8:$M$116,10,FALSE),
IF($A73&lt;'PVC SCH40'!$A$425,VLOOKUP($A73,'PVC SCH40'!$A$8:$M$424,10,FALSE),
IF($A73&lt;'PVC SCH40 LD'!$A$22,VLOOKUP($A73,'PVC SCH40 LD'!$A$8:$M$21,10,FALSE),
IF($A73&lt;'Pool &amp; SPA Sweep Elbows'!$A$12,VLOOKUP($A73,'Pool &amp; SPA Sweep Elbows'!$A$8:$M$11,10,FALSE),
IF($A73&lt;'Pool &amp; SPA Pipe Extender'!$A$11,VLOOKUP($A73,'Pool &amp; SPA Pipe Extender'!$A$8:$M$10,10,FALSE),
IF($A73&lt;'PVC SCH80'!$A$250,VLOOKUP($A73,'PVC SCH80'!$A$8:$M$249,10,FALSE),
IF($A73&lt;'PVC SCH80 Flange'!$A$49,VLOOKUP($A73,'PVC SCH80 Flange'!$A$8:$M$48,10,FALSE),
IF($A73&lt;'PVC SCH80 LD Flange'!$A$17,VLOOKUP($A73,'PVC SCH80 LD Flange'!$A$8:$M$16,10,FALSE),
IF($A73&lt;CPVC!$A$105,VLOOKUP($A73,CPVC!$A$9:$M$104,10,FALSE),
IF($A73&lt;InsertFittings!$A$185,VLOOKUP($A73,InsertFittings!$A$9:$M$184,10,FALSE),
IF($A73&lt;Valves!$A$92,VLOOKUP($A73,Valves!$A$9:$Q$91,14,FALSE),
IF($A73&lt;SDR35SW!$A$133,VLOOKUP($A73,SDR35SW!$A$9:$M$132,10,FALSE),
IF($A73&lt;SDR35G!$A$151,VLOOKUP($A73,SDR35G!$A$9:$M$150,10,FALSE),
IF($A73&lt;SDR26G!$A$67,VLOOKUP($A73,SDR26G!$A$9:$N$66,11,FALSE),
IF($A73&lt;Cements!$A$95,VLOOKUP($A73,Cements!$A$8:$Q$94,14,FALSE),
IF($A73&lt;ValveBox!$A$124,VLOOKUP($A73,ValveBox!$A$9:$O$123,12,FALSE),
IF($A73&lt;'ValveBox Components'!$A$142,VLOOKUP($A73,'ValveBox Components'!$A$9:$N$141,11,FALSE),
IF($A73&lt;Drainage!$A$69,VLOOKUP($A73,Drainage!$A$8:$M$68,10,FALSE),
IF($A73&lt;Nipples!$A$82,VLOOKUP($A73,Nipples!$A$9:$Q$81,14,FALSE),
IF($A73&lt;Manifold!$A$33,VLOOKUP($A73,Manifold!$A$9:$M$32,10,FALSE),
IF($A73&lt;FlexibleRepairCouplings!$A$12,VLOOKUP($A73,FlexibleRepairCouplings!$A$9:$M$11,10,FALSE),
IF($A73&lt;DuraFix!$A$15,VLOOKUP($A73,DuraFix!$A$9:$M$14,10,FALSE),
IF($A73&lt;'Compression Fittings'!$A$16,VLOOKUP($A73,'Compression Fittings'!$A$8:$M$15,10,FALSE),
IF($A73&lt;'Hose Fittings'!$A$30,VLOOKUP($A73,'Hose Fittings'!$A$8:$M$29,10,FALSE),
IF($A73&lt;'Swing Joints'!$A$495,VLOOKUP($A73,'Swing Joints'!$A$9:$M$494,10,FALSE),
IF($A73&lt;'Swing Joints Components'!$A$135,VLOOKUP($A73,'Swing Joints Components'!$A$9:$M$134,10,FALSE),
IF($A73&lt;Nonstandard!$A$42,VLOOKUP($A73,Nonstandard!$A$31:$J$41,10,FALSE),"")))))))))))))))))))))))))))),"")</f>
        <v/>
      </c>
      <c r="L73" s="314" t="str">
        <f t="shared" si="0"/>
        <v>-</v>
      </c>
      <c r="M73" s="315"/>
    </row>
    <row r="74" spans="1:13" ht="15.6">
      <c r="A74" s="536">
        <v>42</v>
      </c>
      <c r="B74" s="536" t="str">
        <f>IFERROR(IF($A74&lt;'DWV PVC'!$A$317,VLOOKUP($A74,'DWV PVC'!$A$9:$M$316,4,FALSE),
IF($A74&lt;'DWV ABS'!$A$117,VLOOKUP($A74,'DWV ABS'!$A$8:$M$116,4,FALSE),
IF($A74&lt;'PVC SCH40'!$A$425,VLOOKUP($A74,'PVC SCH40'!$A$8:$M$424,4,FALSE),
IF($A74&lt;'PVC SCH40 LD'!$A$22,VLOOKUP($A74,'PVC SCH40 LD'!$A$8:$M$21,4,FALSE),
IF($A74&lt;'Pool &amp; SPA Sweep Elbows'!$A$12,VLOOKUP($A74,'Pool &amp; SPA Sweep Elbows'!$A$8:$M$11,4,FALSE),
IF($A74&lt;'Pool &amp; SPA Pipe Extender'!$A$11,VLOOKUP($A74,'Pool &amp; SPA Pipe Extender'!$A$8:$M$10,4,FALSE),
IF($A74&lt;'PVC SCH80'!$A$250,VLOOKUP($A74,'PVC SCH80'!$A$8:$M$249,4,FALSE),
IF($A74&lt;'PVC SCH80 Flange'!$A$49,VLOOKUP($A74,'PVC SCH80 Flange'!$A$8:$M$48,4,FALSE),
IF($A74&lt;'PVC SCH80 LD Flange'!$A$17,VLOOKUP($A74,'PVC SCH80 LD Flange'!$A$8:$M$16,4,FALSE),
IF($A74&lt;CPVC!$A$105,VLOOKUP($A74,CPVC!$A$9:$M$104,4,FALSE),
IF($A74&lt;InsertFittings!$A$185,VLOOKUP($A74,InsertFittings!$A$9:$M$184,4,FALSE),
IF($A74&lt;Valves!$A$92,VLOOKUP($A74,Valves!$A$9:$Q$91,4,FALSE),
IF($A74&lt;SDR35SW!$A$133,VLOOKUP($A74,SDR35SW!$A$9:$M$132,4,FALSE),
IF($A74&lt;SDR35G!$A$151,VLOOKUP($A74,SDR35G!$A$9:$M$150,4,FALSE),
IF($A74&lt;SDR26G!$A$67,VLOOKUP($A74,SDR26G!$A$9:$N$66,5,FALSE),
IF($A74&lt;Cements!$A$95,VLOOKUP($A74,Cements!$A$8:$Q$94,4,FALSE),
IF($A74&lt;ValveBox!$A$124,VLOOKUP($A74,ValveBox!$A$9:$O$123,4,FALSE),
IF($A74&lt;'ValveBox Components'!$A$142,VLOOKUP($A74,'ValveBox Components'!$A$9:$N$141,4,FALSE),
IF($A74&lt;Drainage!$A$69,VLOOKUP($A74,Drainage!$A$8:$M$68,4,FALSE),
IF($A74&lt;Nipples!$A$82,VLOOKUP($A74,Nipples!$A$9:$Q$81,4,FALSE),
IF($A74&lt;Manifold!$A$33,VLOOKUP($A74,Manifold!$A$9:$M$32,4,FALSE),
IF($A74&lt;FlexibleRepairCouplings!$A$12,VLOOKUP($A74,FlexibleRepairCouplings!$A$9:$M$11,4,FALSE),
IF($A74&lt;DuraFix!$A$15,VLOOKUP($A74,DuraFix!$A$9:$M$14,4,FALSE),
IF($A74&lt;'Compression Fittings'!$A$16,VLOOKUP($A74,'Compression Fittings'!$A$8:$M$15,4,FALSE),
IF($A74&lt;'Hose Fittings'!$A$30,VLOOKUP($A74,'Hose Fittings'!$A$8:$M$29,4,FALSE),
IF($A74&lt;'Swing Joints'!$A$495,VLOOKUP($A74,'Swing Joints'!$A$9:$M$494,4,FALSE),
IF($A74&lt;'Swing Joints Components'!$A$135,VLOOKUP($A74,'Swing Joints Components'!$A$9:$M$134,4,FALSE),
IF($A74&lt;Nonstandard!$A$42,VLOOKUP($A74,Nonstandard!$A$31:$J$41,5,FALSE),"")))))))))))))))))))))))))))),"")</f>
        <v/>
      </c>
      <c r="C74" s="536" t="str">
        <f>IFERROR(IF($A74&lt;'DWV PVC'!$A$317,VLOOKUP($A74,'DWV PVC'!$A$9:$M$316,5,FALSE),
IF($A74&lt;'DWV ABS'!$A$117,VLOOKUP($A74,'DWV ABS'!$A$8:$M$116,5,FALSE),
IF($A74&lt;'PVC SCH40'!$A$425,VLOOKUP($A74,'PVC SCH40'!$A$8:$M$424,5,FALSE),
IF($A74&lt;'PVC SCH40 LD'!$A$22,VLOOKUP($A74,'PVC SCH40 LD'!$A$8:$M$21,5,FALSE),
IF($A74&lt;'Pool &amp; SPA Sweep Elbows'!$A$12,VLOOKUP($A74,'Pool &amp; SPA Sweep Elbows'!$A$8:$M$11,5,FALSE),
IF($A74&lt;'Pool &amp; SPA Pipe Extender'!$A$11,VLOOKUP($A74,'Pool &amp; SPA Pipe Extender'!$A$8:$M$10,5,FALSE),
IF($A74&lt;'PVC SCH80'!$A$250,VLOOKUP($A74,'PVC SCH80'!$A$8:$M$249,5,FALSE),
IF($A74&lt;'PVC SCH80 Flange'!$A$49,VLOOKUP($A74,'PVC SCH80 Flange'!$A$8:$M$48,5,FALSE),
IF($A74&lt;'PVC SCH80 LD Flange'!$A$17,VLOOKUP($A74,'PVC SCH80 LD Flange'!$A$8:$M$16,5,FALSE),
IF($A74&lt;CPVC!$A$105,VLOOKUP($A74,CPVC!$A$9:$M$104,5,FALSE),
IF($A74&lt;InsertFittings!$A$185,VLOOKUP($A74,InsertFittings!$A$9:$M$184,5,FALSE),
IF($A74&lt;Valves!$A$92,VLOOKUP($A74,Valves!$A$9:$Q$91,5,FALSE),
IF($A74&lt;SDR35SW!$A$133,VLOOKUP($A74,SDR35SW!$A$9:$M$132,5,FALSE),
IF($A74&lt;SDR35G!$A$151,VLOOKUP($A74,SDR35G!$A$9:$M$150,5,FALSE),
IF($A74&lt;SDR26G!$A$67,VLOOKUP($A74,SDR26G!$A$9:$N$66,6,FALSE),
IF($A74&lt;Cements!$A$95,VLOOKUP($A74,Cements!$A$8:$Q$94,5,FALSE),
IF($A74&lt;ValveBox!$A$124,VLOOKUP($A74,ValveBox!$A$9:$O$123,5,FALSE),
IF($A74&lt;'ValveBox Components'!$A$142,VLOOKUP($A74,'ValveBox Components'!$A$9:$N$141,5,FALSE),
IF($A74&lt;Drainage!$A$69,VLOOKUP($A74,Drainage!$A$8:$M$68,5,FALSE),
IF($A74&lt;Nipples!$A$82,VLOOKUP($A74,Nipples!$A$9:$Q$81,5,FALSE),
IF($A74&lt;Manifold!$A$33,VLOOKUP($A74,Manifold!$A$9:$M$32,5,FALSE),
IF($A74&lt;FlexibleRepairCouplings!$A$12,VLOOKUP($A74,FlexibleRepairCouplings!$A$9:$M$11,5,FALSE),
IF($A74&lt;DuraFix!$A$15,VLOOKUP($A74,DuraFix!$A$9:$M$14,5,FALSE),
IF($A74&lt;'Compression Fittings'!$A$16,VLOOKUP($A74,'Compression Fittings'!$A$8:$M$15,5,FALSE),
IF($A74&lt;'Hose Fittings'!$A$30,VLOOKUP($A74,'Hose Fittings'!$A$8:$M$29,5,FALSE),
IF($A74&lt;'Swing Joints'!$A$495,VLOOKUP($A74,'Swing Joints'!$A$9:$M$494,5,FALSE),
IF($A74&lt;'Swing Joints Components'!$A$135,VLOOKUP($A74,'Swing Joints Components'!$A$9:$M$134,5,FALSE),
IF($A74&lt;Nonstandard!$A$42,VLOOKUP($A74,Nonstandard!$A$31:$J$41,6,FALSE),"")))))))))))))))))))))))))))),"")</f>
        <v/>
      </c>
      <c r="D74" s="537" t="str">
        <f>IFERROR(IF($A74&lt;'DWV PVC'!$A$317,VLOOKUP($A74,'DWV PVC'!$A$9:$M$316,6,FALSE),
IF($A74&lt;'DWV ABS'!$A$117,VLOOKUP($A74,'DWV ABS'!$A$8:$M$116,6,FALSE),
IF($A74&lt;'PVC SCH40'!$A$425,VLOOKUP($A74,'PVC SCH40'!$A$8:$M$424,6,FALSE),
IF($A74&lt;'PVC SCH40 LD'!$A$22,VLOOKUP($A74,'PVC SCH40 LD'!$A$8:$M$21,6,FALSE),
IF($A74&lt;'Pool &amp; SPA Sweep Elbows'!$A$12,VLOOKUP($A74,'Pool &amp; SPA Sweep Elbows'!$A$8:$M$11,6,FALSE),
IF($A74&lt;'Pool &amp; SPA Pipe Extender'!$A$11,VLOOKUP($A74,'Pool &amp; SPA Pipe Extender'!$A$8:$M$10,6,FALSE),
IF($A74&lt;'PVC SCH80'!$A$250,VLOOKUP($A74,'PVC SCH80'!$A$8:$M$249,6,FALSE),
IF($A74&lt;'PVC SCH80 Flange'!$A$49,VLOOKUP($A74,'PVC SCH80 Flange'!$A$8:$M$48,6,FALSE),
IF($A74&lt;'PVC SCH80 LD Flange'!$A$17,VLOOKUP($A74,'PVC SCH80 LD Flange'!$A$8:$M$16,6,FALSE),
IF($A74&lt;CPVC!$A$105,VLOOKUP($A74,CPVC!$A$9:$M$104,6,FALSE),
IF($A74&lt;InsertFittings!$A$185,VLOOKUP($A74,InsertFittings!$A$9:$M$184,6,FALSE),
IF($A74&lt;Valves!$A$92,VLOOKUP($A74,Valves!$A$9:$Q$91,6,FALSE),
IF($A74&lt;SDR35SW!$A$133,VLOOKUP($A74,SDR35SW!$A$9:$M$132,6,FALSE),
IF($A74&lt;SDR35G!$A$151,VLOOKUP($A74,SDR35G!$A$9:$M$150,6,FALSE),
IF($A74&lt;SDR26G!$A$67,VLOOKUP($A74,SDR26G!$A$9:$N$66,7,FALSE),
IF($A74&lt;Cements!$A$95,VLOOKUP($A74,Cements!$A$8:$Q$94,6,FALSE),
IF($A74&lt;ValveBox!$A$124,VLOOKUP($A74,ValveBox!$A$9:$O$123,6,FALSE),
IF($A74&lt;'ValveBox Components'!$A$142,VLOOKUP($A74,'ValveBox Components'!$A$9:$N$141,6,FALSE),
IF($A74&lt;Drainage!$A$69,VLOOKUP($A74,Drainage!$A$8:$M$68,6,FALSE),
IF($A74&lt;Nipples!$A$82,VLOOKUP($A74,Nipples!$A$9:$Q$81,6,FALSE),
IF($A74&lt;Manifold!$A$33,VLOOKUP($A74,Manifold!$A$9:$M$32,6,FALSE),
IF($A74&lt;FlexibleRepairCouplings!$A$12,VLOOKUP($A74,FlexibleRepairCouplings!$A$9:$M$11,6,FALSE),
IF($A74&lt;DuraFix!$A$15,VLOOKUP($A74,DuraFix!$A$9:$M$14,6,FALSE),
IF($A74&lt;'Compression Fittings'!$A$16,VLOOKUP($A74,'Compression Fittings'!$A$8:$M$15,6,FALSE),
IF($A74&lt;'Hose Fittings'!$A$30,VLOOKUP($A74,'Hose Fittings'!$A$8:$M$29,6,FALSE),
IF($A74&lt;'Swing Joints'!$A$495,VLOOKUP($A74,'Swing Joints'!$A$9:$M$494,6,FALSE),
IF($A74&lt;'Swing Joints Components'!$A$135,VLOOKUP($A74,'Swing Joints Components'!$A$9:$M$134,6,FALSE),
IF($A74&lt;Nonstandard!$A$42,VLOOKUP($A74,Nonstandard!$A$31:$J$41,7,FALSE),"")))))))))))))))))))))))))))),"")</f>
        <v/>
      </c>
      <c r="E74" s="538"/>
      <c r="F74" s="539" t="str">
        <f>IFERROR(IF($A74&lt;'DWV PVC'!$A$317,VLOOKUP($A74,'DWV PVC'!$A$9:$M$316,9,FALSE),
IF($A74&lt;'DWV ABS'!$A$117,VLOOKUP($A74,'DWV ABS'!$A$8:$M$116,9,FALSE),                                                                                                                                                                                                                                                     IF($A74&lt;'PVC SCH40'!$A$425,VLOOKUP($A74,'PVC SCH40'!$A$8:$M$424,9,FALSE),
IF($A74&lt;'PVC SCH40 LD'!$A$22,VLOOKUP($A74,'PVC SCH40 LD'!$A$8:$M$21,9,FALSE),
IF($A74&lt;'Pool &amp; SPA Sweep Elbows'!$A$12,VLOOKUP($A74,'Pool &amp; SPA Sweep Elbows'!$A$8:$M$11,9,FALSE),
IF($A74&lt;'Pool &amp; SPA Pipe Extender'!$A$11,VLOOKUP($A74,'Pool &amp; SPA Pipe Extender'!$A$8:$M$10,9,FALSE),
IF($A74&lt;'PVC SCH80'!$A$250,VLOOKUP($A74,'PVC SCH80'!$A$8:$M$249,9,FALSE),
IF($A74&lt;'PVC SCH80 Flange'!$A$49,VLOOKUP($A74,'PVC SCH80 Flange'!$A$8:$M$48,9,FALSE),
IF($A74&lt;'PVC SCH80 LD Flange'!$A$17,VLOOKUP($A74,'PVC SCH80 LD Flange'!$A$8:$M$16,9,FALSE),
IF($A74&lt;CPVC!$A$105,VLOOKUP($A74,CPVC!$A$9:$M$104,9,FALSE),
IF($A74&lt;InsertFittings!$A$185,VLOOKUP($A74,InsertFittings!$A$9:$M$184,9,FALSE),
IF($A74&lt;Valves!$A$92,VLOOKUP($A74,Valves!$A$9:$Q$91,13,FALSE),
IF($A74&lt;SDR35SW!$A$133,VLOOKUP($A74,SDR35SW!$A$9:$M$132,9,FALSE),
IF($A74&lt;SDR35G!$A$151,VLOOKUP($A74,SDR35G!$A$9:$M$150,9,FALSE),                                                                                                                                                                                                                                                          IF($A74&lt;SDR26G!$A$67,VLOOKUP($A74,SDR26G!$A$9:$N$66,10,FALSE),                                                                                                                                                                                                                                                       IF($A74&lt;Cements!$A$95,VLOOKUP($A74,Cements!$A$8:$Q$94,13,FALSE),
IF($A74&lt;ValveBox!$A$124,VLOOKUP($A74,ValveBox!$A$9:$O$123,11,FALSE),
IF($A74&lt;'ValveBox Components'!$A$142,VLOOKUP($A74,'ValveBox Components'!$A$9:$N$141,10,FALSE),
IF($A74&lt;Drainage!$A$69,VLOOKUP($A74,Drainage!$A$8:$M$68,9,FALSE),                                                                                                                                                                                                                                                              IF($A74&lt;Nipples!$A$82,VLOOKUP($A74,Nipples!$A$9:$Q$81,13,FALSE),
IF($A74&lt;Manifold!$A$33,VLOOKUP($A74,Manifold!$A$9:$M$32,9,FALSE),
IF($A74&lt;FlexibleRepairCouplings!$A$12,VLOOKUP($A74,FlexibleRepairCouplings!$A$9:$M$11,9,FALSE),
IF($A74&lt;DuraFix!$A$15,VLOOKUP($A74,DuraFix!$A$9:$M$14,9,FALSE),                                                                                                                                                                                                                                                          IF($A74&lt;'Compression Fittings'!$A$16,VLOOKUP($A74,'Compression Fittings'!$A$8:$M$15,9,FALSE),
IF($A74&lt;'Hose Fittings'!$A$30,VLOOKUP($A74,'Hose Fittings'!$A$8:$M$29,9,FALSE),
IF($A74&lt;'Swing Joints'!$A$495,VLOOKUP($A74,'Swing Joints'!$A$9:$M$494,9,FALSE),
IF($A74&lt;'Swing Joints Components'!$A$135,VLOOKUP($A74,'Swing Joints Components'!$A$9:$M$134,9,FALSE),
IF($A74&lt;Nonstandard!$A$42,VLOOKUP($A74,Nonstandard!$A$31:$J$41,8,FALSE),"")))))))))))))))))))))))))))),"")</f>
        <v/>
      </c>
      <c r="G74" s="540" t="str">
        <f>IFERROR(IF($A74&lt;'DWV PVC'!$A$317,VLOOKUP($A74,'DWV PVC'!$A$9:$M$316,11,FALSE),
IF($A74&lt;'DWV ABS'!$A$117,VLOOKUP($A74,'DWV ABS'!$A$8:$M$116,11,FALSE),                                                                                                                                                                                                                                                     IF($A74&lt;'PVC SCH40'!$A$425,VLOOKUP($A74,'PVC SCH40'!$A$8:$M$424,11,FALSE),
IF($A74&lt;'PVC SCH40 LD'!$A$22,VLOOKUP($A74,'PVC SCH40 LD'!$A$8:$M$21,11,FALSE),
IF($A74&lt;'Pool &amp; SPA Sweep Elbows'!$A$12,VLOOKUP($A74,'Pool &amp; SPA Sweep Elbows'!$A$8:$M$11,11,FALSE),
IF($A74&lt;'Pool &amp; SPA Pipe Extender'!$A$11,VLOOKUP($A74,'Pool &amp; SPA Pipe Extender'!$A$8:$M$10,11,FALSE),
IF($A74&lt;'PVC SCH80'!$A$250,VLOOKUP($A74,'PVC SCH80'!$A$8:$M$249,11,FALSE),
IF($A74&lt;'PVC SCH80 Flange'!$A$49,VLOOKUP($A74,'PVC SCH80 Flange'!$A$8:$M$48,11,FALSE),
IF($A74&lt;'PVC SCH80 LD Flange'!$A$17,VLOOKUP($A74,'PVC SCH80 LD Flange'!$A$8:$M$16,11,FALSE),
IF($A74&lt;CPVC!$A$105,VLOOKUP($A74,CPVC!$A$9:$M$104,11,FALSE),
IF($A74&lt;InsertFittings!$A$185,VLOOKUP($A74,InsertFittings!$A$9:$M$184,11,FALSE),
IF($A74&lt;Valves!$A$92,VLOOKUP($A74,Valves!$A$9:$Q$91,15,FALSE),
IF($A74&lt;SDR35SW!$A$133,VLOOKUP($A74,SDR35SW!$A$9:$M$132,11,FALSE),
IF($A74&lt;SDR35G!$A$151,VLOOKUP($A74,SDR35G!$A$9:$M$150,11,FALSE),                                                                                                                                                                                                                                                          IF($A74&lt;SDR26G!$A$67,VLOOKUP($A74,SDR26G!$A$9:$N$66,12,FALSE),                                                                                                                                                                                                                                                       IF($A74&lt;Cements!$A$95,VLOOKUP($A74,Cements!$A$8:$Q$94,15,FALSE),
IF($A74&lt;ValveBox!$A$124,VLOOKUP($A74,ValveBox!$A$9:$O$123,13,FALSE),
IF($A74&lt;'ValveBox Components'!$A$142,VLOOKUP($A74,'ValveBox Components'!$A$9:$N$141,12,FALSE),
IF($A74&lt;Drainage!$A$69,VLOOKUP($A74,Drainage!$A$8:$M$68,11,FALSE),                                                                                                                                                                                                                                                           IF($A74&lt;Nipples!$A$82,VLOOKUP($A74,Nipples!$A$9:$Q$81,15,FALSE),
IF($A74&lt;Manifold!$A$33,VLOOKUP($A74,Manifold!$A$9:$M$32,11,FALSE),
IF($A74&lt;FlexibleRepairCouplings!$A$12,VLOOKUP($A74,FlexibleRepairCouplings!$A$9:$M$11,11,FALSE),
IF($A74&lt;DuraFix!$A$15,VLOOKUP($A74,DuraFix!$A$9:$M$14,11,FALSE),                                                                                                                                                                                                                                                            IF($A74&lt;'Compression Fittings'!$A$16,VLOOKUP($A74,'Compression Fittings'!$A$8:$M$15,11,FALSE),
IF($A74&lt;'Hose Fittings'!$A$30,VLOOKUP($A74,'Hose Fittings'!$A$8:$M$29,11,FALSE),
IF($A74&lt;'Swing Joints'!$A$495,VLOOKUP($A74,'Swing Joints'!$A$9:$M$494,11,FALSE),
IF($A74&lt;'Swing Joints Components'!$A$135,VLOOKUP($A74,'Swing Joints Components'!$A$9:$M$134,11,FALSE),
IF($A74&lt;Nonstandard!$A$42,VLOOKUP($A74,Nonstandard!$A$31:$J$41,10,FALSE),"")))))))))))))))))))))))))))),"")</f>
        <v/>
      </c>
      <c r="H74" s="620" t="str">
        <f>IFERROR(IF($A74&lt;'DWV PVC'!$A$317,VLOOKUP($A74,'DWV PVC'!$A$9:$M$316,7,FALSE),
IF($A74&lt;'DWV ABS'!$A$117,VLOOKUP($A74,'DWV ABS'!$A$8:$M$116,11,FALSE),                                                                                                                                                                                                                                                     IF($A74&lt;'PVC SCH40'!$A$425,VLOOKUP($A74,'PVC SCH40'!$A$8:$M$424,7,FALSE),
IF($A74&lt;'PVC SCH40 LD'!$A$22,VLOOKUP($A74,'PVC SCH40 LD'!$A$8:$M$21,7,FALSE),
IF($A74&lt;'Pool &amp; SPA Sweep Elbows'!$A$12,VLOOKUP($A74,'Pool &amp; SPA Sweep Elbows'!$A$8:$M$11,7,FALSE),
IF($A74&lt;'Pool &amp; SPA Pipe Extender'!$A$11,VLOOKUP($A74,'Pool &amp; SPA Pipe Extender'!$A$8:$M$10,7,FALSE),
IF($A74&lt;'PVC SCH80'!$A$250,VLOOKUP($A74,'PVC SCH80'!$A$8:$M$249,7,FALSE),
IF($A74&lt;'PVC SCH80 Flange'!$A$49,VLOOKUP($A74,'PVC SCH80 Flange'!$A$8:$M$48,7,FALSE),
IF($A74&lt;'PVC SCH80 LD Flange'!$A$17,VLOOKUP($A74,'PVC SCH80 LD Flange'!$A$8:$M$16,7,FALSE),
IF($A74&lt;CPVC!$A$105,VLOOKUP($A74,CPVC!$A$9:$M$104,7,FALSE),
IF($A74&lt;InsertFittings!$A$185,VLOOKUP($A74,InsertFittings!$A$9:$M$184,7,FALSE),
IF($A74&lt;Valves!$A$92,VLOOKUP($A74,Valves!$A$9:$Q$91,11,FALSE),
IF($A74&lt;SDR35SW!$A$133,VLOOKUP($A74,SDR35SW!$A$9:$M$132,7,FALSE),
IF($A74&lt;SDR35G!$A$151,VLOOKUP($A74,SDR35G!$A$9:$M$150,7,FALSE),                                                                                                                                                                                                                                                       IF($A74&lt;SDR26G!$A$67,VLOOKUP($A74,SDR26G!$A$9:$N$66,8,FALSE),                                                                                                                                                                                                                                                     IF($A74&lt;Cements!$A$95,VLOOKUP($A74,Cements!$A$8:$Q$94,11,FALSE),
IF($A74&lt;ValveBox!$A$124,VLOOKUP($A74,ValveBox!$A$9:$O$123,10,FALSE),
IF($A74&lt;'ValveBox Components'!$A$142,VLOOKUP($A74,'ValveBox Components'!$A$9:$N$141,9,FALSE),
IF($A74&lt;Drainage!$A$69,VLOOKUP($A74,Drainage!$A$8:$M$68,7,FALSE),                                                                                                                                                                                                                                                          IF($A74&lt;Nipples!$A$82,VLOOKUP($A74,Nipples!$A$9:$Q$81,11,FALSE),
IF($A74&lt;Manifold!$A$33,VLOOKUP($A74,Manifold!$A$9:$M$32,7,FALSE),
IF($A74&lt;FlexibleRepairCouplings!$A$12,VLOOKUP($A74,FlexibleRepairCouplings!$A$9:$M$11,7,FALSE),
IF($A74&lt;DuraFix!$A$15,VLOOKUP($A74,DuraFix!$A$9:$M$14,7,FALSE),                                                                                                                                                                                                                                                           IF($A74&lt;'Compression Fittings'!$A$16,VLOOKUP($A74,'Compression Fittings'!$A$8:$M$15,7,FALSE),
IF($A74&lt;'Hose Fittings'!$A$30,VLOOKUP($A74,'Hose Fittings'!$A$8:$M$29,7,FALSE),
IF($A74&lt;'Swing Joints'!$A$495,VLOOKUP($A74,'Swing Joints'!$A$9:$M$494,7,FALSE),
IF($A74&lt;'Swing Joints Components'!$A$135,VLOOKUP($A74,'Swing Joints Components'!$A$9:$M$134,7,FALSE),
IF($A74&lt;Nonstandard!$A$42,VLOOKUP($A74,Nonstandard!$A$31:$J$41,10,FALSE),"")))))))))))))))))))))))))))),"")</f>
        <v/>
      </c>
      <c r="I74" s="621"/>
      <c r="J74" s="541" t="str">
        <f t="shared" si="1"/>
        <v/>
      </c>
      <c r="K74" s="599" t="str">
        <f>IFERROR(IF($A74&lt;'DWV PVC'!$A$317,VLOOKUP($A74,'DWV PVC'!$A$9:$M$316,10,FALSE),
IF($A74&lt;'DWV ABS'!$A$117,VLOOKUP($A74,'DWV ABS'!$A$8:$M$116,10,FALSE),
IF($A74&lt;'PVC SCH40'!$A$425,VLOOKUP($A74,'PVC SCH40'!$A$8:$M$424,10,FALSE),
IF($A74&lt;'PVC SCH40 LD'!$A$22,VLOOKUP($A74,'PVC SCH40 LD'!$A$8:$M$21,10,FALSE),
IF($A74&lt;'Pool &amp; SPA Sweep Elbows'!$A$12,VLOOKUP($A74,'Pool &amp; SPA Sweep Elbows'!$A$8:$M$11,10,FALSE),
IF($A74&lt;'Pool &amp; SPA Pipe Extender'!$A$11,VLOOKUP($A74,'Pool &amp; SPA Pipe Extender'!$A$8:$M$10,10,FALSE),
IF($A74&lt;'PVC SCH80'!$A$250,VLOOKUP($A74,'PVC SCH80'!$A$8:$M$249,10,FALSE),
IF($A74&lt;'PVC SCH80 Flange'!$A$49,VLOOKUP($A74,'PVC SCH80 Flange'!$A$8:$M$48,10,FALSE),
IF($A74&lt;'PVC SCH80 LD Flange'!$A$17,VLOOKUP($A74,'PVC SCH80 LD Flange'!$A$8:$M$16,10,FALSE),
IF($A74&lt;CPVC!$A$105,VLOOKUP($A74,CPVC!$A$9:$M$104,10,FALSE),
IF($A74&lt;InsertFittings!$A$185,VLOOKUP($A74,InsertFittings!$A$9:$M$184,10,FALSE),
IF($A74&lt;Valves!$A$92,VLOOKUP($A74,Valves!$A$9:$Q$91,14,FALSE),
IF($A74&lt;SDR35SW!$A$133,VLOOKUP($A74,SDR35SW!$A$9:$M$132,10,FALSE),
IF($A74&lt;SDR35G!$A$151,VLOOKUP($A74,SDR35G!$A$9:$M$150,10,FALSE),
IF($A74&lt;SDR26G!$A$67,VLOOKUP($A74,SDR26G!$A$9:$N$66,11,FALSE),
IF($A74&lt;Cements!$A$95,VLOOKUP($A74,Cements!$A$8:$Q$94,14,FALSE),
IF($A74&lt;ValveBox!$A$124,VLOOKUP($A74,ValveBox!$A$9:$O$123,12,FALSE),
IF($A74&lt;'ValveBox Components'!$A$142,VLOOKUP($A74,'ValveBox Components'!$A$9:$N$141,11,FALSE),
IF($A74&lt;Drainage!$A$69,VLOOKUP($A74,Drainage!$A$8:$M$68,10,FALSE),
IF($A74&lt;Nipples!$A$82,VLOOKUP($A74,Nipples!$A$9:$Q$81,14,FALSE),
IF($A74&lt;Manifold!$A$33,VLOOKUP($A74,Manifold!$A$9:$M$32,10,FALSE),
IF($A74&lt;FlexibleRepairCouplings!$A$12,VLOOKUP($A74,FlexibleRepairCouplings!$A$9:$M$11,10,FALSE),
IF($A74&lt;DuraFix!$A$15,VLOOKUP($A74,DuraFix!$A$9:$M$14,10,FALSE),
IF($A74&lt;'Compression Fittings'!$A$16,VLOOKUP($A74,'Compression Fittings'!$A$8:$M$15,10,FALSE),
IF($A74&lt;'Hose Fittings'!$A$30,VLOOKUP($A74,'Hose Fittings'!$A$8:$M$29,10,FALSE),
IF($A74&lt;'Swing Joints'!$A$495,VLOOKUP($A74,'Swing Joints'!$A$9:$M$494,10,FALSE),
IF($A74&lt;'Swing Joints Components'!$A$135,VLOOKUP($A74,'Swing Joints Components'!$A$9:$M$134,10,FALSE),
IF($A74&lt;Nonstandard!$A$42,VLOOKUP($A74,Nonstandard!$A$31:$J$41,10,FALSE),"")))))))))))))))))))))))))))),"")</f>
        <v/>
      </c>
      <c r="L74" s="539" t="str">
        <f t="shared" si="0"/>
        <v>-</v>
      </c>
      <c r="M74" s="542"/>
    </row>
    <row r="75" spans="1:13" ht="15.6">
      <c r="A75" s="312">
        <v>43</v>
      </c>
      <c r="B75" s="312" t="str">
        <f>IFERROR(IF($A75&lt;'DWV PVC'!$A$317,VLOOKUP($A75,'DWV PVC'!$A$9:$M$316,4,FALSE),
IF($A75&lt;'DWV ABS'!$A$117,VLOOKUP($A75,'DWV ABS'!$A$8:$M$116,4,FALSE),
IF($A75&lt;'PVC SCH40'!$A$425,VLOOKUP($A75,'PVC SCH40'!$A$8:$M$424,4,FALSE),
IF($A75&lt;'PVC SCH40 LD'!$A$22,VLOOKUP($A75,'PVC SCH40 LD'!$A$8:$M$21,4,FALSE),
IF($A75&lt;'Pool &amp; SPA Sweep Elbows'!$A$12,VLOOKUP($A75,'Pool &amp; SPA Sweep Elbows'!$A$8:$M$11,4,FALSE),
IF($A75&lt;'Pool &amp; SPA Pipe Extender'!$A$11,VLOOKUP($A75,'Pool &amp; SPA Pipe Extender'!$A$8:$M$10,4,FALSE),
IF($A75&lt;'PVC SCH80'!$A$250,VLOOKUP($A75,'PVC SCH80'!$A$8:$M$249,4,FALSE),
IF($A75&lt;'PVC SCH80 Flange'!$A$49,VLOOKUP($A75,'PVC SCH80 Flange'!$A$8:$M$48,4,FALSE),
IF($A75&lt;'PVC SCH80 LD Flange'!$A$17,VLOOKUP($A75,'PVC SCH80 LD Flange'!$A$8:$M$16,4,FALSE),
IF($A75&lt;CPVC!$A$105,VLOOKUP($A75,CPVC!$A$9:$M$104,4,FALSE),
IF($A75&lt;InsertFittings!$A$185,VLOOKUP($A75,InsertFittings!$A$9:$M$184,4,FALSE),
IF($A75&lt;Valves!$A$92,VLOOKUP($A75,Valves!$A$9:$Q$91,4,FALSE),
IF($A75&lt;SDR35SW!$A$133,VLOOKUP($A75,SDR35SW!$A$9:$M$132,4,FALSE),
IF($A75&lt;SDR35G!$A$151,VLOOKUP($A75,SDR35G!$A$9:$M$150,4,FALSE),
IF($A75&lt;SDR26G!$A$67,VLOOKUP($A75,SDR26G!$A$9:$N$66,5,FALSE),
IF($A75&lt;Cements!$A$95,VLOOKUP($A75,Cements!$A$8:$Q$94,4,FALSE),
IF($A75&lt;ValveBox!$A$124,VLOOKUP($A75,ValveBox!$A$9:$O$123,4,FALSE),
IF($A75&lt;'ValveBox Components'!$A$142,VLOOKUP($A75,'ValveBox Components'!$A$9:$N$141,4,FALSE),
IF($A75&lt;Drainage!$A$69,VLOOKUP($A75,Drainage!$A$8:$M$68,4,FALSE),
IF($A75&lt;Nipples!$A$82,VLOOKUP($A75,Nipples!$A$9:$Q$81,4,FALSE),
IF($A75&lt;Manifold!$A$33,VLOOKUP($A75,Manifold!$A$9:$M$32,4,FALSE),
IF($A75&lt;FlexibleRepairCouplings!$A$12,VLOOKUP($A75,FlexibleRepairCouplings!$A$9:$M$11,4,FALSE),
IF($A75&lt;DuraFix!$A$15,VLOOKUP($A75,DuraFix!$A$9:$M$14,4,FALSE),
IF($A75&lt;'Compression Fittings'!$A$16,VLOOKUP($A75,'Compression Fittings'!$A$8:$M$15,4,FALSE),
IF($A75&lt;'Hose Fittings'!$A$30,VLOOKUP($A75,'Hose Fittings'!$A$8:$M$29,4,FALSE),
IF($A75&lt;'Swing Joints'!$A$495,VLOOKUP($A75,'Swing Joints'!$A$9:$M$494,4,FALSE),
IF($A75&lt;'Swing Joints Components'!$A$135,VLOOKUP($A75,'Swing Joints Components'!$A$9:$M$134,4,FALSE),
IF($A75&lt;Nonstandard!$A$42,VLOOKUP($A75,Nonstandard!$A$31:$J$41,5,FALSE),"")))))))))))))))))))))))))))),"")</f>
        <v/>
      </c>
      <c r="C75" s="312" t="str">
        <f>IFERROR(IF($A75&lt;'DWV PVC'!$A$317,VLOOKUP($A75,'DWV PVC'!$A$9:$M$316,5,FALSE),
IF($A75&lt;'DWV ABS'!$A$117,VLOOKUP($A75,'DWV ABS'!$A$8:$M$116,5,FALSE),
IF($A75&lt;'PVC SCH40'!$A$425,VLOOKUP($A75,'PVC SCH40'!$A$8:$M$424,5,FALSE),
IF($A75&lt;'PVC SCH40 LD'!$A$22,VLOOKUP($A75,'PVC SCH40 LD'!$A$8:$M$21,5,FALSE),
IF($A75&lt;'Pool &amp; SPA Sweep Elbows'!$A$12,VLOOKUP($A75,'Pool &amp; SPA Sweep Elbows'!$A$8:$M$11,5,FALSE),
IF($A75&lt;'Pool &amp; SPA Pipe Extender'!$A$11,VLOOKUP($A75,'Pool &amp; SPA Pipe Extender'!$A$8:$M$10,5,FALSE),
IF($A75&lt;'PVC SCH80'!$A$250,VLOOKUP($A75,'PVC SCH80'!$A$8:$M$249,5,FALSE),
IF($A75&lt;'PVC SCH80 Flange'!$A$49,VLOOKUP($A75,'PVC SCH80 Flange'!$A$8:$M$48,5,FALSE),
IF($A75&lt;'PVC SCH80 LD Flange'!$A$17,VLOOKUP($A75,'PVC SCH80 LD Flange'!$A$8:$M$16,5,FALSE),
IF($A75&lt;CPVC!$A$105,VLOOKUP($A75,CPVC!$A$9:$M$104,5,FALSE),
IF($A75&lt;InsertFittings!$A$185,VLOOKUP($A75,InsertFittings!$A$9:$M$184,5,FALSE),
IF($A75&lt;Valves!$A$92,VLOOKUP($A75,Valves!$A$9:$Q$91,5,FALSE),
IF($A75&lt;SDR35SW!$A$133,VLOOKUP($A75,SDR35SW!$A$9:$M$132,5,FALSE),
IF($A75&lt;SDR35G!$A$151,VLOOKUP($A75,SDR35G!$A$9:$M$150,5,FALSE),
IF($A75&lt;SDR26G!$A$67,VLOOKUP($A75,SDR26G!$A$9:$N$66,6,FALSE),
IF($A75&lt;Cements!$A$95,VLOOKUP($A75,Cements!$A$8:$Q$94,5,FALSE),
IF($A75&lt;ValveBox!$A$124,VLOOKUP($A75,ValveBox!$A$9:$O$123,5,FALSE),
IF($A75&lt;'ValveBox Components'!$A$142,VLOOKUP($A75,'ValveBox Components'!$A$9:$N$141,5,FALSE),
IF($A75&lt;Drainage!$A$69,VLOOKUP($A75,Drainage!$A$8:$M$68,5,FALSE),
IF($A75&lt;Nipples!$A$82,VLOOKUP($A75,Nipples!$A$9:$Q$81,5,FALSE),
IF($A75&lt;Manifold!$A$33,VLOOKUP($A75,Manifold!$A$9:$M$32,5,FALSE),
IF($A75&lt;FlexibleRepairCouplings!$A$12,VLOOKUP($A75,FlexibleRepairCouplings!$A$9:$M$11,5,FALSE),
IF($A75&lt;DuraFix!$A$15,VLOOKUP($A75,DuraFix!$A$9:$M$14,5,FALSE),
IF($A75&lt;'Compression Fittings'!$A$16,VLOOKUP($A75,'Compression Fittings'!$A$8:$M$15,5,FALSE),
IF($A75&lt;'Hose Fittings'!$A$30,VLOOKUP($A75,'Hose Fittings'!$A$8:$M$29,5,FALSE),
IF($A75&lt;'Swing Joints'!$A$495,VLOOKUP($A75,'Swing Joints'!$A$9:$M$494,5,FALSE),
IF($A75&lt;'Swing Joints Components'!$A$135,VLOOKUP($A75,'Swing Joints Components'!$A$9:$M$134,5,FALSE),
IF($A75&lt;Nonstandard!$A$42,VLOOKUP($A75,Nonstandard!$A$31:$J$41,6,FALSE),"")))))))))))))))))))))))))))),"")</f>
        <v/>
      </c>
      <c r="D75" s="534" t="str">
        <f>IFERROR(IF($A75&lt;'DWV PVC'!$A$317,VLOOKUP($A75,'DWV PVC'!$A$9:$M$316,6,FALSE),
IF($A75&lt;'DWV ABS'!$A$117,VLOOKUP($A75,'DWV ABS'!$A$8:$M$116,6,FALSE),
IF($A75&lt;'PVC SCH40'!$A$425,VLOOKUP($A75,'PVC SCH40'!$A$8:$M$424,6,FALSE),
IF($A75&lt;'PVC SCH40 LD'!$A$22,VLOOKUP($A75,'PVC SCH40 LD'!$A$8:$M$21,6,FALSE),
IF($A75&lt;'Pool &amp; SPA Sweep Elbows'!$A$12,VLOOKUP($A75,'Pool &amp; SPA Sweep Elbows'!$A$8:$M$11,6,FALSE),
IF($A75&lt;'Pool &amp; SPA Pipe Extender'!$A$11,VLOOKUP($A75,'Pool &amp; SPA Pipe Extender'!$A$8:$M$10,6,FALSE),
IF($A75&lt;'PVC SCH80'!$A$250,VLOOKUP($A75,'PVC SCH80'!$A$8:$M$249,6,FALSE),
IF($A75&lt;'PVC SCH80 Flange'!$A$49,VLOOKUP($A75,'PVC SCH80 Flange'!$A$8:$M$48,6,FALSE),
IF($A75&lt;'PVC SCH80 LD Flange'!$A$17,VLOOKUP($A75,'PVC SCH80 LD Flange'!$A$8:$M$16,6,FALSE),
IF($A75&lt;CPVC!$A$105,VLOOKUP($A75,CPVC!$A$9:$M$104,6,FALSE),
IF($A75&lt;InsertFittings!$A$185,VLOOKUP($A75,InsertFittings!$A$9:$M$184,6,FALSE),
IF($A75&lt;Valves!$A$92,VLOOKUP($A75,Valves!$A$9:$Q$91,6,FALSE),
IF($A75&lt;SDR35SW!$A$133,VLOOKUP($A75,SDR35SW!$A$9:$M$132,6,FALSE),
IF($A75&lt;SDR35G!$A$151,VLOOKUP($A75,SDR35G!$A$9:$M$150,6,FALSE),
IF($A75&lt;SDR26G!$A$67,VLOOKUP($A75,SDR26G!$A$9:$N$66,7,FALSE),
IF($A75&lt;Cements!$A$95,VLOOKUP($A75,Cements!$A$8:$Q$94,6,FALSE),
IF($A75&lt;ValveBox!$A$124,VLOOKUP($A75,ValveBox!$A$9:$O$123,6,FALSE),
IF($A75&lt;'ValveBox Components'!$A$142,VLOOKUP($A75,'ValveBox Components'!$A$9:$N$141,6,FALSE),
IF($A75&lt;Drainage!$A$69,VLOOKUP($A75,Drainage!$A$8:$M$68,6,FALSE),
IF($A75&lt;Nipples!$A$82,VLOOKUP($A75,Nipples!$A$9:$Q$81,6,FALSE),
IF($A75&lt;Manifold!$A$33,VLOOKUP($A75,Manifold!$A$9:$M$32,6,FALSE),
IF($A75&lt;FlexibleRepairCouplings!$A$12,VLOOKUP($A75,FlexibleRepairCouplings!$A$9:$M$11,6,FALSE),
IF($A75&lt;DuraFix!$A$15,VLOOKUP($A75,DuraFix!$A$9:$M$14,6,FALSE),
IF($A75&lt;'Compression Fittings'!$A$16,VLOOKUP($A75,'Compression Fittings'!$A$8:$M$15,6,FALSE),
IF($A75&lt;'Hose Fittings'!$A$30,VLOOKUP($A75,'Hose Fittings'!$A$8:$M$29,6,FALSE),
IF($A75&lt;'Swing Joints'!$A$495,VLOOKUP($A75,'Swing Joints'!$A$9:$M$494,6,FALSE),
IF($A75&lt;'Swing Joints Components'!$A$135,VLOOKUP($A75,'Swing Joints Components'!$A$9:$M$134,6,FALSE),
IF($A75&lt;Nonstandard!$A$42,VLOOKUP($A75,Nonstandard!$A$31:$J$41,7,FALSE),"")))))))))))))))))))))))))))),"")</f>
        <v/>
      </c>
      <c r="E75" s="316"/>
      <c r="F75" s="314" t="str">
        <f>IFERROR(IF($A75&lt;'DWV PVC'!$A$317,VLOOKUP($A75,'DWV PVC'!$A$9:$M$316,9,FALSE),
IF($A75&lt;'DWV ABS'!$A$117,VLOOKUP($A75,'DWV ABS'!$A$8:$M$116,9,FALSE),                                                                                                                                                                                                                                                     IF($A75&lt;'PVC SCH40'!$A$425,VLOOKUP($A75,'PVC SCH40'!$A$8:$M$424,9,FALSE),
IF($A75&lt;'PVC SCH40 LD'!$A$22,VLOOKUP($A75,'PVC SCH40 LD'!$A$8:$M$21,9,FALSE),
IF($A75&lt;'Pool &amp; SPA Sweep Elbows'!$A$12,VLOOKUP($A75,'Pool &amp; SPA Sweep Elbows'!$A$8:$M$11,9,FALSE),
IF($A75&lt;'Pool &amp; SPA Pipe Extender'!$A$11,VLOOKUP($A75,'Pool &amp; SPA Pipe Extender'!$A$8:$M$10,9,FALSE),
IF($A75&lt;'PVC SCH80'!$A$250,VLOOKUP($A75,'PVC SCH80'!$A$8:$M$249,9,FALSE),
IF($A75&lt;'PVC SCH80 Flange'!$A$49,VLOOKUP($A75,'PVC SCH80 Flange'!$A$8:$M$48,9,FALSE),
IF($A75&lt;'PVC SCH80 LD Flange'!$A$17,VLOOKUP($A75,'PVC SCH80 LD Flange'!$A$8:$M$16,9,FALSE),
IF($A75&lt;CPVC!$A$105,VLOOKUP($A75,CPVC!$A$9:$M$104,9,FALSE),
IF($A75&lt;InsertFittings!$A$185,VLOOKUP($A75,InsertFittings!$A$9:$M$184,9,FALSE),
IF($A75&lt;Valves!$A$92,VLOOKUP($A75,Valves!$A$9:$Q$91,13,FALSE),
IF($A75&lt;SDR35SW!$A$133,VLOOKUP($A75,SDR35SW!$A$9:$M$132,9,FALSE),
IF($A75&lt;SDR35G!$A$151,VLOOKUP($A75,SDR35G!$A$9:$M$150,9,FALSE),                                                                                                                                                                                                                                                          IF($A75&lt;SDR26G!$A$67,VLOOKUP($A75,SDR26G!$A$9:$N$66,10,FALSE),                                                                                                                                                                                                                                                       IF($A75&lt;Cements!$A$95,VLOOKUP($A75,Cements!$A$8:$Q$94,13,FALSE),
IF($A75&lt;ValveBox!$A$124,VLOOKUP($A75,ValveBox!$A$9:$O$123,11,FALSE),
IF($A75&lt;'ValveBox Components'!$A$142,VLOOKUP($A75,'ValveBox Components'!$A$9:$N$141,10,FALSE),
IF($A75&lt;Drainage!$A$69,VLOOKUP($A75,Drainage!$A$8:$M$68,9,FALSE),                                                                                                                                                                                                                                                              IF($A75&lt;Nipples!$A$82,VLOOKUP($A75,Nipples!$A$9:$Q$81,13,FALSE),
IF($A75&lt;Manifold!$A$33,VLOOKUP($A75,Manifold!$A$9:$M$32,9,FALSE),
IF($A75&lt;FlexibleRepairCouplings!$A$12,VLOOKUP($A75,FlexibleRepairCouplings!$A$9:$M$11,9,FALSE),
IF($A75&lt;DuraFix!$A$15,VLOOKUP($A75,DuraFix!$A$9:$M$14,9,FALSE),                                                                                                                                                                                                                                                          IF($A75&lt;'Compression Fittings'!$A$16,VLOOKUP($A75,'Compression Fittings'!$A$8:$M$15,9,FALSE),
IF($A75&lt;'Hose Fittings'!$A$30,VLOOKUP($A75,'Hose Fittings'!$A$8:$M$29,9,FALSE),
IF($A75&lt;'Swing Joints'!$A$495,VLOOKUP($A75,'Swing Joints'!$A$9:$M$494,9,FALSE),
IF($A75&lt;'Swing Joints Components'!$A$135,VLOOKUP($A75,'Swing Joints Components'!$A$9:$M$134,9,FALSE),
IF($A75&lt;Nonstandard!$A$42,VLOOKUP($A75,Nonstandard!$A$31:$J$41,8,FALSE),"")))))))))))))))))))))))))))),"")</f>
        <v/>
      </c>
      <c r="G75" s="533" t="str">
        <f>IFERROR(IF($A75&lt;'DWV PVC'!$A$317,VLOOKUP($A75,'DWV PVC'!$A$9:$M$316,11,FALSE),
IF($A75&lt;'DWV ABS'!$A$117,VLOOKUP($A75,'DWV ABS'!$A$8:$M$116,11,FALSE),                                                                                                                                                                                                                                                     IF($A75&lt;'PVC SCH40'!$A$425,VLOOKUP($A75,'PVC SCH40'!$A$8:$M$424,11,FALSE),
IF($A75&lt;'PVC SCH40 LD'!$A$22,VLOOKUP($A75,'PVC SCH40 LD'!$A$8:$M$21,11,FALSE),
IF($A75&lt;'Pool &amp; SPA Sweep Elbows'!$A$12,VLOOKUP($A75,'Pool &amp; SPA Sweep Elbows'!$A$8:$M$11,11,FALSE),
IF($A75&lt;'Pool &amp; SPA Pipe Extender'!$A$11,VLOOKUP($A75,'Pool &amp; SPA Pipe Extender'!$A$8:$M$10,11,FALSE),
IF($A75&lt;'PVC SCH80'!$A$250,VLOOKUP($A75,'PVC SCH80'!$A$8:$M$249,11,FALSE),
IF($A75&lt;'PVC SCH80 Flange'!$A$49,VLOOKUP($A75,'PVC SCH80 Flange'!$A$8:$M$48,11,FALSE),
IF($A75&lt;'PVC SCH80 LD Flange'!$A$17,VLOOKUP($A75,'PVC SCH80 LD Flange'!$A$8:$M$16,11,FALSE),
IF($A75&lt;CPVC!$A$105,VLOOKUP($A75,CPVC!$A$9:$M$104,11,FALSE),
IF($A75&lt;InsertFittings!$A$185,VLOOKUP($A75,InsertFittings!$A$9:$M$184,11,FALSE),
IF($A75&lt;Valves!$A$92,VLOOKUP($A75,Valves!$A$9:$Q$91,15,FALSE),
IF($A75&lt;SDR35SW!$A$133,VLOOKUP($A75,SDR35SW!$A$9:$M$132,11,FALSE),
IF($A75&lt;SDR35G!$A$151,VLOOKUP($A75,SDR35G!$A$9:$M$150,11,FALSE),                                                                                                                                                                                                                                                          IF($A75&lt;SDR26G!$A$67,VLOOKUP($A75,SDR26G!$A$9:$N$66,12,FALSE),                                                                                                                                                                                                                                                       IF($A75&lt;Cements!$A$95,VLOOKUP($A75,Cements!$A$8:$Q$94,15,FALSE),
IF($A75&lt;ValveBox!$A$124,VLOOKUP($A75,ValveBox!$A$9:$O$123,13,FALSE),
IF($A75&lt;'ValveBox Components'!$A$142,VLOOKUP($A75,'ValveBox Components'!$A$9:$N$141,12,FALSE),
IF($A75&lt;Drainage!$A$69,VLOOKUP($A75,Drainage!$A$8:$M$68,11,FALSE),                                                                                                                                                                                                                                                           IF($A75&lt;Nipples!$A$82,VLOOKUP($A75,Nipples!$A$9:$Q$81,15,FALSE),
IF($A75&lt;Manifold!$A$33,VLOOKUP($A75,Manifold!$A$9:$M$32,11,FALSE),
IF($A75&lt;FlexibleRepairCouplings!$A$12,VLOOKUP($A75,FlexibleRepairCouplings!$A$9:$M$11,11,FALSE),
IF($A75&lt;DuraFix!$A$15,VLOOKUP($A75,DuraFix!$A$9:$M$14,11,FALSE),                                                                                                                                                                                                                                                            IF($A75&lt;'Compression Fittings'!$A$16,VLOOKUP($A75,'Compression Fittings'!$A$8:$M$15,11,FALSE),
IF($A75&lt;'Hose Fittings'!$A$30,VLOOKUP($A75,'Hose Fittings'!$A$8:$M$29,11,FALSE),
IF($A75&lt;'Swing Joints'!$A$495,VLOOKUP($A75,'Swing Joints'!$A$9:$M$494,11,FALSE),
IF($A75&lt;'Swing Joints Components'!$A$135,VLOOKUP($A75,'Swing Joints Components'!$A$9:$M$134,11,FALSE),
IF($A75&lt;Nonstandard!$A$42,VLOOKUP($A75,Nonstandard!$A$31:$J$41,10,FALSE),"")))))))))))))))))))))))))))),"")</f>
        <v/>
      </c>
      <c r="H75" s="618" t="str">
        <f>IFERROR(IF($A75&lt;'DWV PVC'!$A$317,VLOOKUP($A75,'DWV PVC'!$A$9:$M$316,7,FALSE),
IF($A75&lt;'DWV ABS'!$A$117,VLOOKUP($A75,'DWV ABS'!$A$8:$M$116,11,FALSE),                                                                                                                                                                                                                                                     IF($A75&lt;'PVC SCH40'!$A$425,VLOOKUP($A75,'PVC SCH40'!$A$8:$M$424,7,FALSE),
IF($A75&lt;'PVC SCH40 LD'!$A$22,VLOOKUP($A75,'PVC SCH40 LD'!$A$8:$M$21,7,FALSE),
IF($A75&lt;'Pool &amp; SPA Sweep Elbows'!$A$12,VLOOKUP($A75,'Pool &amp; SPA Sweep Elbows'!$A$8:$M$11,7,FALSE),
IF($A75&lt;'Pool &amp; SPA Pipe Extender'!$A$11,VLOOKUP($A75,'Pool &amp; SPA Pipe Extender'!$A$8:$M$10,7,FALSE),
IF($A75&lt;'PVC SCH80'!$A$250,VLOOKUP($A75,'PVC SCH80'!$A$8:$M$249,7,FALSE),
IF($A75&lt;'PVC SCH80 Flange'!$A$49,VLOOKUP($A75,'PVC SCH80 Flange'!$A$8:$M$48,7,FALSE),
IF($A75&lt;'PVC SCH80 LD Flange'!$A$17,VLOOKUP($A75,'PVC SCH80 LD Flange'!$A$8:$M$16,7,FALSE),
IF($A75&lt;CPVC!$A$105,VLOOKUP($A75,CPVC!$A$9:$M$104,7,FALSE),
IF($A75&lt;InsertFittings!$A$185,VLOOKUP($A75,InsertFittings!$A$9:$M$184,7,FALSE),
IF($A75&lt;Valves!$A$92,VLOOKUP($A75,Valves!$A$9:$Q$91,11,FALSE),
IF($A75&lt;SDR35SW!$A$133,VLOOKUP($A75,SDR35SW!$A$9:$M$132,7,FALSE),
IF($A75&lt;SDR35G!$A$151,VLOOKUP($A75,SDR35G!$A$9:$M$150,7,FALSE),                                                                                                                                                                                                                                                       IF($A75&lt;SDR26G!$A$67,VLOOKUP($A75,SDR26G!$A$9:$N$66,8,FALSE),                                                                                                                                                                                                                                                     IF($A75&lt;Cements!$A$95,VLOOKUP($A75,Cements!$A$8:$Q$94,11,FALSE),
IF($A75&lt;ValveBox!$A$124,VLOOKUP($A75,ValveBox!$A$9:$O$123,10,FALSE),
IF($A75&lt;'ValveBox Components'!$A$142,VLOOKUP($A75,'ValveBox Components'!$A$9:$N$141,9,FALSE),
IF($A75&lt;Drainage!$A$69,VLOOKUP($A75,Drainage!$A$8:$M$68,7,FALSE),                                                                                                                                                                                                                                                          IF($A75&lt;Nipples!$A$82,VLOOKUP($A75,Nipples!$A$9:$Q$81,11,FALSE),
IF($A75&lt;Manifold!$A$33,VLOOKUP($A75,Manifold!$A$9:$M$32,7,FALSE),
IF($A75&lt;FlexibleRepairCouplings!$A$12,VLOOKUP($A75,FlexibleRepairCouplings!$A$9:$M$11,7,FALSE),
IF($A75&lt;DuraFix!$A$15,VLOOKUP($A75,DuraFix!$A$9:$M$14,7,FALSE),                                                                                                                                                                                                                                                           IF($A75&lt;'Compression Fittings'!$A$16,VLOOKUP($A75,'Compression Fittings'!$A$8:$M$15,7,FALSE),
IF($A75&lt;'Hose Fittings'!$A$30,VLOOKUP($A75,'Hose Fittings'!$A$8:$M$29,7,FALSE),
IF($A75&lt;'Swing Joints'!$A$495,VLOOKUP($A75,'Swing Joints'!$A$9:$M$494,7,FALSE),
IF($A75&lt;'Swing Joints Components'!$A$135,VLOOKUP($A75,'Swing Joints Components'!$A$9:$M$134,7,FALSE),
IF($A75&lt;Nonstandard!$A$42,VLOOKUP($A75,Nonstandard!$A$31:$J$41,10,FALSE),"")))))))))))))))))))))))))))),"")</f>
        <v/>
      </c>
      <c r="I75" s="619"/>
      <c r="J75" s="281" t="str">
        <f t="shared" si="1"/>
        <v/>
      </c>
      <c r="K75" s="313" t="str">
        <f>IFERROR(IF($A75&lt;'DWV PVC'!$A$317,VLOOKUP($A75,'DWV PVC'!$A$9:$M$316,10,FALSE),
IF($A75&lt;'DWV ABS'!$A$117,VLOOKUP($A75,'DWV ABS'!$A$8:$M$116,10,FALSE),
IF($A75&lt;'PVC SCH40'!$A$425,VLOOKUP($A75,'PVC SCH40'!$A$8:$M$424,10,FALSE),
IF($A75&lt;'PVC SCH40 LD'!$A$22,VLOOKUP($A75,'PVC SCH40 LD'!$A$8:$M$21,10,FALSE),
IF($A75&lt;'Pool &amp; SPA Sweep Elbows'!$A$12,VLOOKUP($A75,'Pool &amp; SPA Sweep Elbows'!$A$8:$M$11,10,FALSE),
IF($A75&lt;'Pool &amp; SPA Pipe Extender'!$A$11,VLOOKUP($A75,'Pool &amp; SPA Pipe Extender'!$A$8:$M$10,10,FALSE),
IF($A75&lt;'PVC SCH80'!$A$250,VLOOKUP($A75,'PVC SCH80'!$A$8:$M$249,10,FALSE),
IF($A75&lt;'PVC SCH80 Flange'!$A$49,VLOOKUP($A75,'PVC SCH80 Flange'!$A$8:$M$48,10,FALSE),
IF($A75&lt;'PVC SCH80 LD Flange'!$A$17,VLOOKUP($A75,'PVC SCH80 LD Flange'!$A$8:$M$16,10,FALSE),
IF($A75&lt;CPVC!$A$105,VLOOKUP($A75,CPVC!$A$9:$M$104,10,FALSE),
IF($A75&lt;InsertFittings!$A$185,VLOOKUP($A75,InsertFittings!$A$9:$M$184,10,FALSE),
IF($A75&lt;Valves!$A$92,VLOOKUP($A75,Valves!$A$9:$Q$91,14,FALSE),
IF($A75&lt;SDR35SW!$A$133,VLOOKUP($A75,SDR35SW!$A$9:$M$132,10,FALSE),
IF($A75&lt;SDR35G!$A$151,VLOOKUP($A75,SDR35G!$A$9:$M$150,10,FALSE),
IF($A75&lt;SDR26G!$A$67,VLOOKUP($A75,SDR26G!$A$9:$N$66,11,FALSE),
IF($A75&lt;Cements!$A$95,VLOOKUP($A75,Cements!$A$8:$Q$94,14,FALSE),
IF($A75&lt;ValveBox!$A$124,VLOOKUP($A75,ValveBox!$A$9:$O$123,12,FALSE),
IF($A75&lt;'ValveBox Components'!$A$142,VLOOKUP($A75,'ValveBox Components'!$A$9:$N$141,11,FALSE),
IF($A75&lt;Drainage!$A$69,VLOOKUP($A75,Drainage!$A$8:$M$68,10,FALSE),
IF($A75&lt;Nipples!$A$82,VLOOKUP($A75,Nipples!$A$9:$Q$81,14,FALSE),
IF($A75&lt;Manifold!$A$33,VLOOKUP($A75,Manifold!$A$9:$M$32,10,FALSE),
IF($A75&lt;FlexibleRepairCouplings!$A$12,VLOOKUP($A75,FlexibleRepairCouplings!$A$9:$M$11,10,FALSE),
IF($A75&lt;DuraFix!$A$15,VLOOKUP($A75,DuraFix!$A$9:$M$14,10,FALSE),
IF($A75&lt;'Compression Fittings'!$A$16,VLOOKUP($A75,'Compression Fittings'!$A$8:$M$15,10,FALSE),
IF($A75&lt;'Hose Fittings'!$A$30,VLOOKUP($A75,'Hose Fittings'!$A$8:$M$29,10,FALSE),
IF($A75&lt;'Swing Joints'!$A$495,VLOOKUP($A75,'Swing Joints'!$A$9:$M$494,10,FALSE),
IF($A75&lt;'Swing Joints Components'!$A$135,VLOOKUP($A75,'Swing Joints Components'!$A$9:$M$134,10,FALSE),
IF($A75&lt;Nonstandard!$A$42,VLOOKUP($A75,Nonstandard!$A$31:$J$41,10,FALSE),"")))))))))))))))))))))))))))),"")</f>
        <v/>
      </c>
      <c r="L75" s="314" t="str">
        <f t="shared" si="0"/>
        <v>-</v>
      </c>
      <c r="M75" s="315"/>
    </row>
    <row r="76" spans="1:13" ht="15.6">
      <c r="A76" s="536">
        <v>44</v>
      </c>
      <c r="B76" s="536" t="str">
        <f>IFERROR(IF($A76&lt;'DWV PVC'!$A$317,VLOOKUP($A76,'DWV PVC'!$A$9:$M$316,4,FALSE),
IF($A76&lt;'DWV ABS'!$A$117,VLOOKUP($A76,'DWV ABS'!$A$8:$M$116,4,FALSE),
IF($A76&lt;'PVC SCH40'!$A$425,VLOOKUP($A76,'PVC SCH40'!$A$8:$M$424,4,FALSE),
IF($A76&lt;'PVC SCH40 LD'!$A$22,VLOOKUP($A76,'PVC SCH40 LD'!$A$8:$M$21,4,FALSE),
IF($A76&lt;'Pool &amp; SPA Sweep Elbows'!$A$12,VLOOKUP($A76,'Pool &amp; SPA Sweep Elbows'!$A$8:$M$11,4,FALSE),
IF($A76&lt;'Pool &amp; SPA Pipe Extender'!$A$11,VLOOKUP($A76,'Pool &amp; SPA Pipe Extender'!$A$8:$M$10,4,FALSE),
IF($A76&lt;'PVC SCH80'!$A$250,VLOOKUP($A76,'PVC SCH80'!$A$8:$M$249,4,FALSE),
IF($A76&lt;'PVC SCH80 Flange'!$A$49,VLOOKUP($A76,'PVC SCH80 Flange'!$A$8:$M$48,4,FALSE),
IF($A76&lt;'PVC SCH80 LD Flange'!$A$17,VLOOKUP($A76,'PVC SCH80 LD Flange'!$A$8:$M$16,4,FALSE),
IF($A76&lt;CPVC!$A$105,VLOOKUP($A76,CPVC!$A$9:$M$104,4,FALSE),
IF($A76&lt;InsertFittings!$A$185,VLOOKUP($A76,InsertFittings!$A$9:$M$184,4,FALSE),
IF($A76&lt;Valves!$A$92,VLOOKUP($A76,Valves!$A$9:$Q$91,4,FALSE),
IF($A76&lt;SDR35SW!$A$133,VLOOKUP($A76,SDR35SW!$A$9:$M$132,4,FALSE),
IF($A76&lt;SDR35G!$A$151,VLOOKUP($A76,SDR35G!$A$9:$M$150,4,FALSE),
IF($A76&lt;SDR26G!$A$67,VLOOKUP($A76,SDR26G!$A$9:$N$66,5,FALSE),
IF($A76&lt;Cements!$A$95,VLOOKUP($A76,Cements!$A$8:$Q$94,4,FALSE),
IF($A76&lt;ValveBox!$A$124,VLOOKUP($A76,ValveBox!$A$9:$O$123,4,FALSE),
IF($A76&lt;'ValveBox Components'!$A$142,VLOOKUP($A76,'ValveBox Components'!$A$9:$N$141,4,FALSE),
IF($A76&lt;Drainage!$A$69,VLOOKUP($A76,Drainage!$A$8:$M$68,4,FALSE),
IF($A76&lt;Nipples!$A$82,VLOOKUP($A76,Nipples!$A$9:$Q$81,4,FALSE),
IF($A76&lt;Manifold!$A$33,VLOOKUP($A76,Manifold!$A$9:$M$32,4,FALSE),
IF($A76&lt;FlexibleRepairCouplings!$A$12,VLOOKUP($A76,FlexibleRepairCouplings!$A$9:$M$11,4,FALSE),
IF($A76&lt;DuraFix!$A$15,VLOOKUP($A76,DuraFix!$A$9:$M$14,4,FALSE),
IF($A76&lt;'Compression Fittings'!$A$16,VLOOKUP($A76,'Compression Fittings'!$A$8:$M$15,4,FALSE),
IF($A76&lt;'Hose Fittings'!$A$30,VLOOKUP($A76,'Hose Fittings'!$A$8:$M$29,4,FALSE),
IF($A76&lt;'Swing Joints'!$A$495,VLOOKUP($A76,'Swing Joints'!$A$9:$M$494,4,FALSE),
IF($A76&lt;'Swing Joints Components'!$A$135,VLOOKUP($A76,'Swing Joints Components'!$A$9:$M$134,4,FALSE),
IF($A76&lt;Nonstandard!$A$42,VLOOKUP($A76,Nonstandard!$A$31:$J$41,5,FALSE),"")))))))))))))))))))))))))))),"")</f>
        <v/>
      </c>
      <c r="C76" s="536" t="str">
        <f>IFERROR(IF($A76&lt;'DWV PVC'!$A$317,VLOOKUP($A76,'DWV PVC'!$A$9:$M$316,5,FALSE),
IF($A76&lt;'DWV ABS'!$A$117,VLOOKUP($A76,'DWV ABS'!$A$8:$M$116,5,FALSE),
IF($A76&lt;'PVC SCH40'!$A$425,VLOOKUP($A76,'PVC SCH40'!$A$8:$M$424,5,FALSE),
IF($A76&lt;'PVC SCH40 LD'!$A$22,VLOOKUP($A76,'PVC SCH40 LD'!$A$8:$M$21,5,FALSE),
IF($A76&lt;'Pool &amp; SPA Sweep Elbows'!$A$12,VLOOKUP($A76,'Pool &amp; SPA Sweep Elbows'!$A$8:$M$11,5,FALSE),
IF($A76&lt;'Pool &amp; SPA Pipe Extender'!$A$11,VLOOKUP($A76,'Pool &amp; SPA Pipe Extender'!$A$8:$M$10,5,FALSE),
IF($A76&lt;'PVC SCH80'!$A$250,VLOOKUP($A76,'PVC SCH80'!$A$8:$M$249,5,FALSE),
IF($A76&lt;'PVC SCH80 Flange'!$A$49,VLOOKUP($A76,'PVC SCH80 Flange'!$A$8:$M$48,5,FALSE),
IF($A76&lt;'PVC SCH80 LD Flange'!$A$17,VLOOKUP($A76,'PVC SCH80 LD Flange'!$A$8:$M$16,5,FALSE),
IF($A76&lt;CPVC!$A$105,VLOOKUP($A76,CPVC!$A$9:$M$104,5,FALSE),
IF($A76&lt;InsertFittings!$A$185,VLOOKUP($A76,InsertFittings!$A$9:$M$184,5,FALSE),
IF($A76&lt;Valves!$A$92,VLOOKUP($A76,Valves!$A$9:$Q$91,5,FALSE),
IF($A76&lt;SDR35SW!$A$133,VLOOKUP($A76,SDR35SW!$A$9:$M$132,5,FALSE),
IF($A76&lt;SDR35G!$A$151,VLOOKUP($A76,SDR35G!$A$9:$M$150,5,FALSE),
IF($A76&lt;SDR26G!$A$67,VLOOKUP($A76,SDR26G!$A$9:$N$66,6,FALSE),
IF($A76&lt;Cements!$A$95,VLOOKUP($A76,Cements!$A$8:$Q$94,5,FALSE),
IF($A76&lt;ValveBox!$A$124,VLOOKUP($A76,ValveBox!$A$9:$O$123,5,FALSE),
IF($A76&lt;'ValveBox Components'!$A$142,VLOOKUP($A76,'ValveBox Components'!$A$9:$N$141,5,FALSE),
IF($A76&lt;Drainage!$A$69,VLOOKUP($A76,Drainage!$A$8:$M$68,5,FALSE),
IF($A76&lt;Nipples!$A$82,VLOOKUP($A76,Nipples!$A$9:$Q$81,5,FALSE),
IF($A76&lt;Manifold!$A$33,VLOOKUP($A76,Manifold!$A$9:$M$32,5,FALSE),
IF($A76&lt;FlexibleRepairCouplings!$A$12,VLOOKUP($A76,FlexibleRepairCouplings!$A$9:$M$11,5,FALSE),
IF($A76&lt;DuraFix!$A$15,VLOOKUP($A76,DuraFix!$A$9:$M$14,5,FALSE),
IF($A76&lt;'Compression Fittings'!$A$16,VLOOKUP($A76,'Compression Fittings'!$A$8:$M$15,5,FALSE),
IF($A76&lt;'Hose Fittings'!$A$30,VLOOKUP($A76,'Hose Fittings'!$A$8:$M$29,5,FALSE),
IF($A76&lt;'Swing Joints'!$A$495,VLOOKUP($A76,'Swing Joints'!$A$9:$M$494,5,FALSE),
IF($A76&lt;'Swing Joints Components'!$A$135,VLOOKUP($A76,'Swing Joints Components'!$A$9:$M$134,5,FALSE),
IF($A76&lt;Nonstandard!$A$42,VLOOKUP($A76,Nonstandard!$A$31:$J$41,6,FALSE),"")))))))))))))))))))))))))))),"")</f>
        <v/>
      </c>
      <c r="D76" s="537" t="str">
        <f>IFERROR(IF($A76&lt;'DWV PVC'!$A$317,VLOOKUP($A76,'DWV PVC'!$A$9:$M$316,6,FALSE),
IF($A76&lt;'DWV ABS'!$A$117,VLOOKUP($A76,'DWV ABS'!$A$8:$M$116,6,FALSE),
IF($A76&lt;'PVC SCH40'!$A$425,VLOOKUP($A76,'PVC SCH40'!$A$8:$M$424,6,FALSE),
IF($A76&lt;'PVC SCH40 LD'!$A$22,VLOOKUP($A76,'PVC SCH40 LD'!$A$8:$M$21,6,FALSE),
IF($A76&lt;'Pool &amp; SPA Sweep Elbows'!$A$12,VLOOKUP($A76,'Pool &amp; SPA Sweep Elbows'!$A$8:$M$11,6,FALSE),
IF($A76&lt;'Pool &amp; SPA Pipe Extender'!$A$11,VLOOKUP($A76,'Pool &amp; SPA Pipe Extender'!$A$8:$M$10,6,FALSE),
IF($A76&lt;'PVC SCH80'!$A$250,VLOOKUP($A76,'PVC SCH80'!$A$8:$M$249,6,FALSE),
IF($A76&lt;'PVC SCH80 Flange'!$A$49,VLOOKUP($A76,'PVC SCH80 Flange'!$A$8:$M$48,6,FALSE),
IF($A76&lt;'PVC SCH80 LD Flange'!$A$17,VLOOKUP($A76,'PVC SCH80 LD Flange'!$A$8:$M$16,6,FALSE),
IF($A76&lt;CPVC!$A$105,VLOOKUP($A76,CPVC!$A$9:$M$104,6,FALSE),
IF($A76&lt;InsertFittings!$A$185,VLOOKUP($A76,InsertFittings!$A$9:$M$184,6,FALSE),
IF($A76&lt;Valves!$A$92,VLOOKUP($A76,Valves!$A$9:$Q$91,6,FALSE),
IF($A76&lt;SDR35SW!$A$133,VLOOKUP($A76,SDR35SW!$A$9:$M$132,6,FALSE),
IF($A76&lt;SDR35G!$A$151,VLOOKUP($A76,SDR35G!$A$9:$M$150,6,FALSE),
IF($A76&lt;SDR26G!$A$67,VLOOKUP($A76,SDR26G!$A$9:$N$66,7,FALSE),
IF($A76&lt;Cements!$A$95,VLOOKUP($A76,Cements!$A$8:$Q$94,6,FALSE),
IF($A76&lt;ValveBox!$A$124,VLOOKUP($A76,ValveBox!$A$9:$O$123,6,FALSE),
IF($A76&lt;'ValveBox Components'!$A$142,VLOOKUP($A76,'ValveBox Components'!$A$9:$N$141,6,FALSE),
IF($A76&lt;Drainage!$A$69,VLOOKUP($A76,Drainage!$A$8:$M$68,6,FALSE),
IF($A76&lt;Nipples!$A$82,VLOOKUP($A76,Nipples!$A$9:$Q$81,6,FALSE),
IF($A76&lt;Manifold!$A$33,VLOOKUP($A76,Manifold!$A$9:$M$32,6,FALSE),
IF($A76&lt;FlexibleRepairCouplings!$A$12,VLOOKUP($A76,FlexibleRepairCouplings!$A$9:$M$11,6,FALSE),
IF($A76&lt;DuraFix!$A$15,VLOOKUP($A76,DuraFix!$A$9:$M$14,6,FALSE),
IF($A76&lt;'Compression Fittings'!$A$16,VLOOKUP($A76,'Compression Fittings'!$A$8:$M$15,6,FALSE),
IF($A76&lt;'Hose Fittings'!$A$30,VLOOKUP($A76,'Hose Fittings'!$A$8:$M$29,6,FALSE),
IF($A76&lt;'Swing Joints'!$A$495,VLOOKUP($A76,'Swing Joints'!$A$9:$M$494,6,FALSE),
IF($A76&lt;'Swing Joints Components'!$A$135,VLOOKUP($A76,'Swing Joints Components'!$A$9:$M$134,6,FALSE),
IF($A76&lt;Nonstandard!$A$42,VLOOKUP($A76,Nonstandard!$A$31:$J$41,7,FALSE),"")))))))))))))))))))))))))))),"")</f>
        <v/>
      </c>
      <c r="E76" s="538"/>
      <c r="F76" s="539" t="str">
        <f>IFERROR(IF($A76&lt;'DWV PVC'!$A$317,VLOOKUP($A76,'DWV PVC'!$A$9:$M$316,9,FALSE),
IF($A76&lt;'DWV ABS'!$A$117,VLOOKUP($A76,'DWV ABS'!$A$8:$M$116,9,FALSE),                                                                                                                                                                                                                                                     IF($A76&lt;'PVC SCH40'!$A$425,VLOOKUP($A76,'PVC SCH40'!$A$8:$M$424,9,FALSE),
IF($A76&lt;'PVC SCH40 LD'!$A$22,VLOOKUP($A76,'PVC SCH40 LD'!$A$8:$M$21,9,FALSE),
IF($A76&lt;'Pool &amp; SPA Sweep Elbows'!$A$12,VLOOKUP($A76,'Pool &amp; SPA Sweep Elbows'!$A$8:$M$11,9,FALSE),
IF($A76&lt;'Pool &amp; SPA Pipe Extender'!$A$11,VLOOKUP($A76,'Pool &amp; SPA Pipe Extender'!$A$8:$M$10,9,FALSE),
IF($A76&lt;'PVC SCH80'!$A$250,VLOOKUP($A76,'PVC SCH80'!$A$8:$M$249,9,FALSE),
IF($A76&lt;'PVC SCH80 Flange'!$A$49,VLOOKUP($A76,'PVC SCH80 Flange'!$A$8:$M$48,9,FALSE),
IF($A76&lt;'PVC SCH80 LD Flange'!$A$17,VLOOKUP($A76,'PVC SCH80 LD Flange'!$A$8:$M$16,9,FALSE),
IF($A76&lt;CPVC!$A$105,VLOOKUP($A76,CPVC!$A$9:$M$104,9,FALSE),
IF($A76&lt;InsertFittings!$A$185,VLOOKUP($A76,InsertFittings!$A$9:$M$184,9,FALSE),
IF($A76&lt;Valves!$A$92,VLOOKUP($A76,Valves!$A$9:$Q$91,13,FALSE),
IF($A76&lt;SDR35SW!$A$133,VLOOKUP($A76,SDR35SW!$A$9:$M$132,9,FALSE),
IF($A76&lt;SDR35G!$A$151,VLOOKUP($A76,SDR35G!$A$9:$M$150,9,FALSE),                                                                                                                                                                                                                                                          IF($A76&lt;SDR26G!$A$67,VLOOKUP($A76,SDR26G!$A$9:$N$66,10,FALSE),                                                                                                                                                                                                                                                       IF($A76&lt;Cements!$A$95,VLOOKUP($A76,Cements!$A$8:$Q$94,13,FALSE),
IF($A76&lt;ValveBox!$A$124,VLOOKUP($A76,ValveBox!$A$9:$O$123,11,FALSE),
IF($A76&lt;'ValveBox Components'!$A$142,VLOOKUP($A76,'ValveBox Components'!$A$9:$N$141,10,FALSE),
IF($A76&lt;Drainage!$A$69,VLOOKUP($A76,Drainage!$A$8:$M$68,9,FALSE),                                                                                                                                                                                                                                                              IF($A76&lt;Nipples!$A$82,VLOOKUP($A76,Nipples!$A$9:$Q$81,13,FALSE),
IF($A76&lt;Manifold!$A$33,VLOOKUP($A76,Manifold!$A$9:$M$32,9,FALSE),
IF($A76&lt;FlexibleRepairCouplings!$A$12,VLOOKUP($A76,FlexibleRepairCouplings!$A$9:$M$11,9,FALSE),
IF($A76&lt;DuraFix!$A$15,VLOOKUP($A76,DuraFix!$A$9:$M$14,9,FALSE),                                                                                                                                                                                                                                                          IF($A76&lt;'Compression Fittings'!$A$16,VLOOKUP($A76,'Compression Fittings'!$A$8:$M$15,9,FALSE),
IF($A76&lt;'Hose Fittings'!$A$30,VLOOKUP($A76,'Hose Fittings'!$A$8:$M$29,9,FALSE),
IF($A76&lt;'Swing Joints'!$A$495,VLOOKUP($A76,'Swing Joints'!$A$9:$M$494,9,FALSE),
IF($A76&lt;'Swing Joints Components'!$A$135,VLOOKUP($A76,'Swing Joints Components'!$A$9:$M$134,9,FALSE),
IF($A76&lt;Nonstandard!$A$42,VLOOKUP($A76,Nonstandard!$A$31:$J$41,8,FALSE),"")))))))))))))))))))))))))))),"")</f>
        <v/>
      </c>
      <c r="G76" s="540" t="str">
        <f>IFERROR(IF($A76&lt;'DWV PVC'!$A$317,VLOOKUP($A76,'DWV PVC'!$A$9:$M$316,11,FALSE),
IF($A76&lt;'DWV ABS'!$A$117,VLOOKUP($A76,'DWV ABS'!$A$8:$M$116,11,FALSE),                                                                                                                                                                                                                                                     IF($A76&lt;'PVC SCH40'!$A$425,VLOOKUP($A76,'PVC SCH40'!$A$8:$M$424,11,FALSE),
IF($A76&lt;'PVC SCH40 LD'!$A$22,VLOOKUP($A76,'PVC SCH40 LD'!$A$8:$M$21,11,FALSE),
IF($A76&lt;'Pool &amp; SPA Sweep Elbows'!$A$12,VLOOKUP($A76,'Pool &amp; SPA Sweep Elbows'!$A$8:$M$11,11,FALSE),
IF($A76&lt;'Pool &amp; SPA Pipe Extender'!$A$11,VLOOKUP($A76,'Pool &amp; SPA Pipe Extender'!$A$8:$M$10,11,FALSE),
IF($A76&lt;'PVC SCH80'!$A$250,VLOOKUP($A76,'PVC SCH80'!$A$8:$M$249,11,FALSE),
IF($A76&lt;'PVC SCH80 Flange'!$A$49,VLOOKUP($A76,'PVC SCH80 Flange'!$A$8:$M$48,11,FALSE),
IF($A76&lt;'PVC SCH80 LD Flange'!$A$17,VLOOKUP($A76,'PVC SCH80 LD Flange'!$A$8:$M$16,11,FALSE),
IF($A76&lt;CPVC!$A$105,VLOOKUP($A76,CPVC!$A$9:$M$104,11,FALSE),
IF($A76&lt;InsertFittings!$A$185,VLOOKUP($A76,InsertFittings!$A$9:$M$184,11,FALSE),
IF($A76&lt;Valves!$A$92,VLOOKUP($A76,Valves!$A$9:$Q$91,15,FALSE),
IF($A76&lt;SDR35SW!$A$133,VLOOKUP($A76,SDR35SW!$A$9:$M$132,11,FALSE),
IF($A76&lt;SDR35G!$A$151,VLOOKUP($A76,SDR35G!$A$9:$M$150,11,FALSE),                                                                                                                                                                                                                                                          IF($A76&lt;SDR26G!$A$67,VLOOKUP($A76,SDR26G!$A$9:$N$66,12,FALSE),                                                                                                                                                                                                                                                       IF($A76&lt;Cements!$A$95,VLOOKUP($A76,Cements!$A$8:$Q$94,15,FALSE),
IF($A76&lt;ValveBox!$A$124,VLOOKUP($A76,ValveBox!$A$9:$O$123,13,FALSE),
IF($A76&lt;'ValveBox Components'!$A$142,VLOOKUP($A76,'ValveBox Components'!$A$9:$N$141,12,FALSE),
IF($A76&lt;Drainage!$A$69,VLOOKUP($A76,Drainage!$A$8:$M$68,11,FALSE),                                                                                                                                                                                                                                                           IF($A76&lt;Nipples!$A$82,VLOOKUP($A76,Nipples!$A$9:$Q$81,15,FALSE),
IF($A76&lt;Manifold!$A$33,VLOOKUP($A76,Manifold!$A$9:$M$32,11,FALSE),
IF($A76&lt;FlexibleRepairCouplings!$A$12,VLOOKUP($A76,FlexibleRepairCouplings!$A$9:$M$11,11,FALSE),
IF($A76&lt;DuraFix!$A$15,VLOOKUP($A76,DuraFix!$A$9:$M$14,11,FALSE),                                                                                                                                                                                                                                                            IF($A76&lt;'Compression Fittings'!$A$16,VLOOKUP($A76,'Compression Fittings'!$A$8:$M$15,11,FALSE),
IF($A76&lt;'Hose Fittings'!$A$30,VLOOKUP($A76,'Hose Fittings'!$A$8:$M$29,11,FALSE),
IF($A76&lt;'Swing Joints'!$A$495,VLOOKUP($A76,'Swing Joints'!$A$9:$M$494,11,FALSE),
IF($A76&lt;'Swing Joints Components'!$A$135,VLOOKUP($A76,'Swing Joints Components'!$A$9:$M$134,11,FALSE),
IF($A76&lt;Nonstandard!$A$42,VLOOKUP($A76,Nonstandard!$A$31:$J$41,10,FALSE),"")))))))))))))))))))))))))))),"")</f>
        <v/>
      </c>
      <c r="H76" s="620" t="str">
        <f>IFERROR(IF($A76&lt;'DWV PVC'!$A$317,VLOOKUP($A76,'DWV PVC'!$A$9:$M$316,7,FALSE),
IF($A76&lt;'DWV ABS'!$A$117,VLOOKUP($A76,'DWV ABS'!$A$8:$M$116,11,FALSE),                                                                                                                                                                                                                                                     IF($A76&lt;'PVC SCH40'!$A$425,VLOOKUP($A76,'PVC SCH40'!$A$8:$M$424,7,FALSE),
IF($A76&lt;'PVC SCH40 LD'!$A$22,VLOOKUP($A76,'PVC SCH40 LD'!$A$8:$M$21,7,FALSE),
IF($A76&lt;'Pool &amp; SPA Sweep Elbows'!$A$12,VLOOKUP($A76,'Pool &amp; SPA Sweep Elbows'!$A$8:$M$11,7,FALSE),
IF($A76&lt;'Pool &amp; SPA Pipe Extender'!$A$11,VLOOKUP($A76,'Pool &amp; SPA Pipe Extender'!$A$8:$M$10,7,FALSE),
IF($A76&lt;'PVC SCH80'!$A$250,VLOOKUP($A76,'PVC SCH80'!$A$8:$M$249,7,FALSE),
IF($A76&lt;'PVC SCH80 Flange'!$A$49,VLOOKUP($A76,'PVC SCH80 Flange'!$A$8:$M$48,7,FALSE),
IF($A76&lt;'PVC SCH80 LD Flange'!$A$17,VLOOKUP($A76,'PVC SCH80 LD Flange'!$A$8:$M$16,7,FALSE),
IF($A76&lt;CPVC!$A$105,VLOOKUP($A76,CPVC!$A$9:$M$104,7,FALSE),
IF($A76&lt;InsertFittings!$A$185,VLOOKUP($A76,InsertFittings!$A$9:$M$184,7,FALSE),
IF($A76&lt;Valves!$A$92,VLOOKUP($A76,Valves!$A$9:$Q$91,11,FALSE),
IF($A76&lt;SDR35SW!$A$133,VLOOKUP($A76,SDR35SW!$A$9:$M$132,7,FALSE),
IF($A76&lt;SDR35G!$A$151,VLOOKUP($A76,SDR35G!$A$9:$M$150,7,FALSE),                                                                                                                                                                                                                                                       IF($A76&lt;SDR26G!$A$67,VLOOKUP($A76,SDR26G!$A$9:$N$66,8,FALSE),                                                                                                                                                                                                                                                     IF($A76&lt;Cements!$A$95,VLOOKUP($A76,Cements!$A$8:$Q$94,11,FALSE),
IF($A76&lt;ValveBox!$A$124,VLOOKUP($A76,ValveBox!$A$9:$O$123,10,FALSE),
IF($A76&lt;'ValveBox Components'!$A$142,VLOOKUP($A76,'ValveBox Components'!$A$9:$N$141,9,FALSE),
IF($A76&lt;Drainage!$A$69,VLOOKUP($A76,Drainage!$A$8:$M$68,7,FALSE),                                                                                                                                                                                                                                                          IF($A76&lt;Nipples!$A$82,VLOOKUP($A76,Nipples!$A$9:$Q$81,11,FALSE),
IF($A76&lt;Manifold!$A$33,VLOOKUP($A76,Manifold!$A$9:$M$32,7,FALSE),
IF($A76&lt;FlexibleRepairCouplings!$A$12,VLOOKUP($A76,FlexibleRepairCouplings!$A$9:$M$11,7,FALSE),
IF($A76&lt;DuraFix!$A$15,VLOOKUP($A76,DuraFix!$A$9:$M$14,7,FALSE),                                                                                                                                                                                                                                                           IF($A76&lt;'Compression Fittings'!$A$16,VLOOKUP($A76,'Compression Fittings'!$A$8:$M$15,7,FALSE),
IF($A76&lt;'Hose Fittings'!$A$30,VLOOKUP($A76,'Hose Fittings'!$A$8:$M$29,7,FALSE),
IF($A76&lt;'Swing Joints'!$A$495,VLOOKUP($A76,'Swing Joints'!$A$9:$M$494,7,FALSE),
IF($A76&lt;'Swing Joints Components'!$A$135,VLOOKUP($A76,'Swing Joints Components'!$A$9:$M$134,7,FALSE),
IF($A76&lt;Nonstandard!$A$42,VLOOKUP($A76,Nonstandard!$A$31:$J$41,10,FALSE),"")))))))))))))))))))))))))))),"")</f>
        <v/>
      </c>
      <c r="I76" s="621"/>
      <c r="J76" s="541" t="str">
        <f t="shared" si="1"/>
        <v/>
      </c>
      <c r="K76" s="599" t="str">
        <f>IFERROR(IF($A76&lt;'DWV PVC'!$A$317,VLOOKUP($A76,'DWV PVC'!$A$9:$M$316,10,FALSE),
IF($A76&lt;'DWV ABS'!$A$117,VLOOKUP($A76,'DWV ABS'!$A$8:$M$116,10,FALSE),
IF($A76&lt;'PVC SCH40'!$A$425,VLOOKUP($A76,'PVC SCH40'!$A$8:$M$424,10,FALSE),
IF($A76&lt;'PVC SCH40 LD'!$A$22,VLOOKUP($A76,'PVC SCH40 LD'!$A$8:$M$21,10,FALSE),
IF($A76&lt;'Pool &amp; SPA Sweep Elbows'!$A$12,VLOOKUP($A76,'Pool &amp; SPA Sweep Elbows'!$A$8:$M$11,10,FALSE),
IF($A76&lt;'Pool &amp; SPA Pipe Extender'!$A$11,VLOOKUP($A76,'Pool &amp; SPA Pipe Extender'!$A$8:$M$10,10,FALSE),
IF($A76&lt;'PVC SCH80'!$A$250,VLOOKUP($A76,'PVC SCH80'!$A$8:$M$249,10,FALSE),
IF($A76&lt;'PVC SCH80 Flange'!$A$49,VLOOKUP($A76,'PVC SCH80 Flange'!$A$8:$M$48,10,FALSE),
IF($A76&lt;'PVC SCH80 LD Flange'!$A$17,VLOOKUP($A76,'PVC SCH80 LD Flange'!$A$8:$M$16,10,FALSE),
IF($A76&lt;CPVC!$A$105,VLOOKUP($A76,CPVC!$A$9:$M$104,10,FALSE),
IF($A76&lt;InsertFittings!$A$185,VLOOKUP($A76,InsertFittings!$A$9:$M$184,10,FALSE),
IF($A76&lt;Valves!$A$92,VLOOKUP($A76,Valves!$A$9:$Q$91,14,FALSE),
IF($A76&lt;SDR35SW!$A$133,VLOOKUP($A76,SDR35SW!$A$9:$M$132,10,FALSE),
IF($A76&lt;SDR35G!$A$151,VLOOKUP($A76,SDR35G!$A$9:$M$150,10,FALSE),
IF($A76&lt;SDR26G!$A$67,VLOOKUP($A76,SDR26G!$A$9:$N$66,11,FALSE),
IF($A76&lt;Cements!$A$95,VLOOKUP($A76,Cements!$A$8:$Q$94,14,FALSE),
IF($A76&lt;ValveBox!$A$124,VLOOKUP($A76,ValveBox!$A$9:$O$123,12,FALSE),
IF($A76&lt;'ValveBox Components'!$A$142,VLOOKUP($A76,'ValveBox Components'!$A$9:$N$141,11,FALSE),
IF($A76&lt;Drainage!$A$69,VLOOKUP($A76,Drainage!$A$8:$M$68,10,FALSE),
IF($A76&lt;Nipples!$A$82,VLOOKUP($A76,Nipples!$A$9:$Q$81,14,FALSE),
IF($A76&lt;Manifold!$A$33,VLOOKUP($A76,Manifold!$A$9:$M$32,10,FALSE),
IF($A76&lt;FlexibleRepairCouplings!$A$12,VLOOKUP($A76,FlexibleRepairCouplings!$A$9:$M$11,10,FALSE),
IF($A76&lt;DuraFix!$A$15,VLOOKUP($A76,DuraFix!$A$9:$M$14,10,FALSE),
IF($A76&lt;'Compression Fittings'!$A$16,VLOOKUP($A76,'Compression Fittings'!$A$8:$M$15,10,FALSE),
IF($A76&lt;'Hose Fittings'!$A$30,VLOOKUP($A76,'Hose Fittings'!$A$8:$M$29,10,FALSE),
IF($A76&lt;'Swing Joints'!$A$495,VLOOKUP($A76,'Swing Joints'!$A$9:$M$494,10,FALSE),
IF($A76&lt;'Swing Joints Components'!$A$135,VLOOKUP($A76,'Swing Joints Components'!$A$9:$M$134,10,FALSE),
IF($A76&lt;Nonstandard!$A$42,VLOOKUP($A76,Nonstandard!$A$31:$J$41,10,FALSE),"")))))))))))))))))))))))))))),"")</f>
        <v/>
      </c>
      <c r="L76" s="539" t="str">
        <f t="shared" si="0"/>
        <v>-</v>
      </c>
      <c r="M76" s="542"/>
    </row>
    <row r="77" spans="1:13" ht="15.6">
      <c r="A77" s="312">
        <v>45</v>
      </c>
      <c r="B77" s="312" t="str">
        <f>IFERROR(IF($A77&lt;'DWV PVC'!$A$317,VLOOKUP($A77,'DWV PVC'!$A$9:$M$316,4,FALSE),
IF($A77&lt;'DWV ABS'!$A$117,VLOOKUP($A77,'DWV ABS'!$A$8:$M$116,4,FALSE),
IF($A77&lt;'PVC SCH40'!$A$425,VLOOKUP($A77,'PVC SCH40'!$A$8:$M$424,4,FALSE),
IF($A77&lt;'PVC SCH40 LD'!$A$22,VLOOKUP($A77,'PVC SCH40 LD'!$A$8:$M$21,4,FALSE),
IF($A77&lt;'Pool &amp; SPA Sweep Elbows'!$A$12,VLOOKUP($A77,'Pool &amp; SPA Sweep Elbows'!$A$8:$M$11,4,FALSE),
IF($A77&lt;'Pool &amp; SPA Pipe Extender'!$A$11,VLOOKUP($A77,'Pool &amp; SPA Pipe Extender'!$A$8:$M$10,4,FALSE),
IF($A77&lt;'PVC SCH80'!$A$250,VLOOKUP($A77,'PVC SCH80'!$A$8:$M$249,4,FALSE),
IF($A77&lt;'PVC SCH80 Flange'!$A$49,VLOOKUP($A77,'PVC SCH80 Flange'!$A$8:$M$48,4,FALSE),
IF($A77&lt;'PVC SCH80 LD Flange'!$A$17,VLOOKUP($A77,'PVC SCH80 LD Flange'!$A$8:$M$16,4,FALSE),
IF($A77&lt;CPVC!$A$105,VLOOKUP($A77,CPVC!$A$9:$M$104,4,FALSE),
IF($A77&lt;InsertFittings!$A$185,VLOOKUP($A77,InsertFittings!$A$9:$M$184,4,FALSE),
IF($A77&lt;Valves!$A$92,VLOOKUP($A77,Valves!$A$9:$Q$91,4,FALSE),
IF($A77&lt;SDR35SW!$A$133,VLOOKUP($A77,SDR35SW!$A$9:$M$132,4,FALSE),
IF($A77&lt;SDR35G!$A$151,VLOOKUP($A77,SDR35G!$A$9:$M$150,4,FALSE),
IF($A77&lt;SDR26G!$A$67,VLOOKUP($A77,SDR26G!$A$9:$N$66,5,FALSE),
IF($A77&lt;Cements!$A$95,VLOOKUP($A77,Cements!$A$8:$Q$94,4,FALSE),
IF($A77&lt;ValveBox!$A$124,VLOOKUP($A77,ValveBox!$A$9:$O$123,4,FALSE),
IF($A77&lt;'ValveBox Components'!$A$142,VLOOKUP($A77,'ValveBox Components'!$A$9:$N$141,4,FALSE),
IF($A77&lt;Drainage!$A$69,VLOOKUP($A77,Drainage!$A$8:$M$68,4,FALSE),
IF($A77&lt;Nipples!$A$82,VLOOKUP($A77,Nipples!$A$9:$Q$81,4,FALSE),
IF($A77&lt;Manifold!$A$33,VLOOKUP($A77,Manifold!$A$9:$M$32,4,FALSE),
IF($A77&lt;FlexibleRepairCouplings!$A$12,VLOOKUP($A77,FlexibleRepairCouplings!$A$9:$M$11,4,FALSE),
IF($A77&lt;DuraFix!$A$15,VLOOKUP($A77,DuraFix!$A$9:$M$14,4,FALSE),
IF($A77&lt;'Compression Fittings'!$A$16,VLOOKUP($A77,'Compression Fittings'!$A$8:$M$15,4,FALSE),
IF($A77&lt;'Hose Fittings'!$A$30,VLOOKUP($A77,'Hose Fittings'!$A$8:$M$29,4,FALSE),
IF($A77&lt;'Swing Joints'!$A$495,VLOOKUP($A77,'Swing Joints'!$A$9:$M$494,4,FALSE),
IF($A77&lt;'Swing Joints Components'!$A$135,VLOOKUP($A77,'Swing Joints Components'!$A$9:$M$134,4,FALSE),
IF($A77&lt;Nonstandard!$A$42,VLOOKUP($A77,Nonstandard!$A$31:$J$41,5,FALSE),"")))))))))))))))))))))))))))),"")</f>
        <v/>
      </c>
      <c r="C77" s="312" t="str">
        <f>IFERROR(IF($A77&lt;'DWV PVC'!$A$317,VLOOKUP($A77,'DWV PVC'!$A$9:$M$316,5,FALSE),
IF($A77&lt;'DWV ABS'!$A$117,VLOOKUP($A77,'DWV ABS'!$A$8:$M$116,5,FALSE),
IF($A77&lt;'PVC SCH40'!$A$425,VLOOKUP($A77,'PVC SCH40'!$A$8:$M$424,5,FALSE),
IF($A77&lt;'PVC SCH40 LD'!$A$22,VLOOKUP($A77,'PVC SCH40 LD'!$A$8:$M$21,5,FALSE),
IF($A77&lt;'Pool &amp; SPA Sweep Elbows'!$A$12,VLOOKUP($A77,'Pool &amp; SPA Sweep Elbows'!$A$8:$M$11,5,FALSE),
IF($A77&lt;'Pool &amp; SPA Pipe Extender'!$A$11,VLOOKUP($A77,'Pool &amp; SPA Pipe Extender'!$A$8:$M$10,5,FALSE),
IF($A77&lt;'PVC SCH80'!$A$250,VLOOKUP($A77,'PVC SCH80'!$A$8:$M$249,5,FALSE),
IF($A77&lt;'PVC SCH80 Flange'!$A$49,VLOOKUP($A77,'PVC SCH80 Flange'!$A$8:$M$48,5,FALSE),
IF($A77&lt;'PVC SCH80 LD Flange'!$A$17,VLOOKUP($A77,'PVC SCH80 LD Flange'!$A$8:$M$16,5,FALSE),
IF($A77&lt;CPVC!$A$105,VLOOKUP($A77,CPVC!$A$9:$M$104,5,FALSE),
IF($A77&lt;InsertFittings!$A$185,VLOOKUP($A77,InsertFittings!$A$9:$M$184,5,FALSE),
IF($A77&lt;Valves!$A$92,VLOOKUP($A77,Valves!$A$9:$Q$91,5,FALSE),
IF($A77&lt;SDR35SW!$A$133,VLOOKUP($A77,SDR35SW!$A$9:$M$132,5,FALSE),
IF($A77&lt;SDR35G!$A$151,VLOOKUP($A77,SDR35G!$A$9:$M$150,5,FALSE),
IF($A77&lt;SDR26G!$A$67,VLOOKUP($A77,SDR26G!$A$9:$N$66,6,FALSE),
IF($A77&lt;Cements!$A$95,VLOOKUP($A77,Cements!$A$8:$Q$94,5,FALSE),
IF($A77&lt;ValveBox!$A$124,VLOOKUP($A77,ValveBox!$A$9:$O$123,5,FALSE),
IF($A77&lt;'ValveBox Components'!$A$142,VLOOKUP($A77,'ValveBox Components'!$A$9:$N$141,5,FALSE),
IF($A77&lt;Drainage!$A$69,VLOOKUP($A77,Drainage!$A$8:$M$68,5,FALSE),
IF($A77&lt;Nipples!$A$82,VLOOKUP($A77,Nipples!$A$9:$Q$81,5,FALSE),
IF($A77&lt;Manifold!$A$33,VLOOKUP($A77,Manifold!$A$9:$M$32,5,FALSE),
IF($A77&lt;FlexibleRepairCouplings!$A$12,VLOOKUP($A77,FlexibleRepairCouplings!$A$9:$M$11,5,FALSE),
IF($A77&lt;DuraFix!$A$15,VLOOKUP($A77,DuraFix!$A$9:$M$14,5,FALSE),
IF($A77&lt;'Compression Fittings'!$A$16,VLOOKUP($A77,'Compression Fittings'!$A$8:$M$15,5,FALSE),
IF($A77&lt;'Hose Fittings'!$A$30,VLOOKUP($A77,'Hose Fittings'!$A$8:$M$29,5,FALSE),
IF($A77&lt;'Swing Joints'!$A$495,VLOOKUP($A77,'Swing Joints'!$A$9:$M$494,5,FALSE),
IF($A77&lt;'Swing Joints Components'!$A$135,VLOOKUP($A77,'Swing Joints Components'!$A$9:$M$134,5,FALSE),
IF($A77&lt;Nonstandard!$A$42,VLOOKUP($A77,Nonstandard!$A$31:$J$41,6,FALSE),"")))))))))))))))))))))))))))),"")</f>
        <v/>
      </c>
      <c r="D77" s="534" t="str">
        <f>IFERROR(IF($A77&lt;'DWV PVC'!$A$317,VLOOKUP($A77,'DWV PVC'!$A$9:$M$316,6,FALSE),
IF($A77&lt;'DWV ABS'!$A$117,VLOOKUP($A77,'DWV ABS'!$A$8:$M$116,6,FALSE),
IF($A77&lt;'PVC SCH40'!$A$425,VLOOKUP($A77,'PVC SCH40'!$A$8:$M$424,6,FALSE),
IF($A77&lt;'PVC SCH40 LD'!$A$22,VLOOKUP($A77,'PVC SCH40 LD'!$A$8:$M$21,6,FALSE),
IF($A77&lt;'Pool &amp; SPA Sweep Elbows'!$A$12,VLOOKUP($A77,'Pool &amp; SPA Sweep Elbows'!$A$8:$M$11,6,FALSE),
IF($A77&lt;'Pool &amp; SPA Pipe Extender'!$A$11,VLOOKUP($A77,'Pool &amp; SPA Pipe Extender'!$A$8:$M$10,6,FALSE),
IF($A77&lt;'PVC SCH80'!$A$250,VLOOKUP($A77,'PVC SCH80'!$A$8:$M$249,6,FALSE),
IF($A77&lt;'PVC SCH80 Flange'!$A$49,VLOOKUP($A77,'PVC SCH80 Flange'!$A$8:$M$48,6,FALSE),
IF($A77&lt;'PVC SCH80 LD Flange'!$A$17,VLOOKUP($A77,'PVC SCH80 LD Flange'!$A$8:$M$16,6,FALSE),
IF($A77&lt;CPVC!$A$105,VLOOKUP($A77,CPVC!$A$9:$M$104,6,FALSE),
IF($A77&lt;InsertFittings!$A$185,VLOOKUP($A77,InsertFittings!$A$9:$M$184,6,FALSE),
IF($A77&lt;Valves!$A$92,VLOOKUP($A77,Valves!$A$9:$Q$91,6,FALSE),
IF($A77&lt;SDR35SW!$A$133,VLOOKUP($A77,SDR35SW!$A$9:$M$132,6,FALSE),
IF($A77&lt;SDR35G!$A$151,VLOOKUP($A77,SDR35G!$A$9:$M$150,6,FALSE),
IF($A77&lt;SDR26G!$A$67,VLOOKUP($A77,SDR26G!$A$9:$N$66,7,FALSE),
IF($A77&lt;Cements!$A$95,VLOOKUP($A77,Cements!$A$8:$Q$94,6,FALSE),
IF($A77&lt;ValveBox!$A$124,VLOOKUP($A77,ValveBox!$A$9:$O$123,6,FALSE),
IF($A77&lt;'ValveBox Components'!$A$142,VLOOKUP($A77,'ValveBox Components'!$A$9:$N$141,6,FALSE),
IF($A77&lt;Drainage!$A$69,VLOOKUP($A77,Drainage!$A$8:$M$68,6,FALSE),
IF($A77&lt;Nipples!$A$82,VLOOKUP($A77,Nipples!$A$9:$Q$81,6,FALSE),
IF($A77&lt;Manifold!$A$33,VLOOKUP($A77,Manifold!$A$9:$M$32,6,FALSE),
IF($A77&lt;FlexibleRepairCouplings!$A$12,VLOOKUP($A77,FlexibleRepairCouplings!$A$9:$M$11,6,FALSE),
IF($A77&lt;DuraFix!$A$15,VLOOKUP($A77,DuraFix!$A$9:$M$14,6,FALSE),
IF($A77&lt;'Compression Fittings'!$A$16,VLOOKUP($A77,'Compression Fittings'!$A$8:$M$15,6,FALSE),
IF($A77&lt;'Hose Fittings'!$A$30,VLOOKUP($A77,'Hose Fittings'!$A$8:$M$29,6,FALSE),
IF($A77&lt;'Swing Joints'!$A$495,VLOOKUP($A77,'Swing Joints'!$A$9:$M$494,6,FALSE),
IF($A77&lt;'Swing Joints Components'!$A$135,VLOOKUP($A77,'Swing Joints Components'!$A$9:$M$134,6,FALSE),
IF($A77&lt;Nonstandard!$A$42,VLOOKUP($A77,Nonstandard!$A$31:$J$41,7,FALSE),"")))))))))))))))))))))))))))),"")</f>
        <v/>
      </c>
      <c r="E77" s="316"/>
      <c r="F77" s="314" t="str">
        <f>IFERROR(IF($A77&lt;'DWV PVC'!$A$317,VLOOKUP($A77,'DWV PVC'!$A$9:$M$316,9,FALSE),
IF($A77&lt;'DWV ABS'!$A$117,VLOOKUP($A77,'DWV ABS'!$A$8:$M$116,9,FALSE),                                                                                                                                                                                                                                                     IF($A77&lt;'PVC SCH40'!$A$425,VLOOKUP($A77,'PVC SCH40'!$A$8:$M$424,9,FALSE),
IF($A77&lt;'PVC SCH40 LD'!$A$22,VLOOKUP($A77,'PVC SCH40 LD'!$A$8:$M$21,9,FALSE),
IF($A77&lt;'Pool &amp; SPA Sweep Elbows'!$A$12,VLOOKUP($A77,'Pool &amp; SPA Sweep Elbows'!$A$8:$M$11,9,FALSE),
IF($A77&lt;'Pool &amp; SPA Pipe Extender'!$A$11,VLOOKUP($A77,'Pool &amp; SPA Pipe Extender'!$A$8:$M$10,9,FALSE),
IF($A77&lt;'PVC SCH80'!$A$250,VLOOKUP($A77,'PVC SCH80'!$A$8:$M$249,9,FALSE),
IF($A77&lt;'PVC SCH80 Flange'!$A$49,VLOOKUP($A77,'PVC SCH80 Flange'!$A$8:$M$48,9,FALSE),
IF($A77&lt;'PVC SCH80 LD Flange'!$A$17,VLOOKUP($A77,'PVC SCH80 LD Flange'!$A$8:$M$16,9,FALSE),
IF($A77&lt;CPVC!$A$105,VLOOKUP($A77,CPVC!$A$9:$M$104,9,FALSE),
IF($A77&lt;InsertFittings!$A$185,VLOOKUP($A77,InsertFittings!$A$9:$M$184,9,FALSE),
IF($A77&lt;Valves!$A$92,VLOOKUP($A77,Valves!$A$9:$Q$91,13,FALSE),
IF($A77&lt;SDR35SW!$A$133,VLOOKUP($A77,SDR35SW!$A$9:$M$132,9,FALSE),
IF($A77&lt;SDR35G!$A$151,VLOOKUP($A77,SDR35G!$A$9:$M$150,9,FALSE),                                                                                                                                                                                                                                                          IF($A77&lt;SDR26G!$A$67,VLOOKUP($A77,SDR26G!$A$9:$N$66,10,FALSE),                                                                                                                                                                                                                                                       IF($A77&lt;Cements!$A$95,VLOOKUP($A77,Cements!$A$8:$Q$94,13,FALSE),
IF($A77&lt;ValveBox!$A$124,VLOOKUP($A77,ValveBox!$A$9:$O$123,11,FALSE),
IF($A77&lt;'ValveBox Components'!$A$142,VLOOKUP($A77,'ValveBox Components'!$A$9:$N$141,10,FALSE),
IF($A77&lt;Drainage!$A$69,VLOOKUP($A77,Drainage!$A$8:$M$68,9,FALSE),                                                                                                                                                                                                                                                              IF($A77&lt;Nipples!$A$82,VLOOKUP($A77,Nipples!$A$9:$Q$81,13,FALSE),
IF($A77&lt;Manifold!$A$33,VLOOKUP($A77,Manifold!$A$9:$M$32,9,FALSE),
IF($A77&lt;FlexibleRepairCouplings!$A$12,VLOOKUP($A77,FlexibleRepairCouplings!$A$9:$M$11,9,FALSE),
IF($A77&lt;DuraFix!$A$15,VLOOKUP($A77,DuraFix!$A$9:$M$14,9,FALSE),                                                                                                                                                                                                                                                          IF($A77&lt;'Compression Fittings'!$A$16,VLOOKUP($A77,'Compression Fittings'!$A$8:$M$15,9,FALSE),
IF($A77&lt;'Hose Fittings'!$A$30,VLOOKUP($A77,'Hose Fittings'!$A$8:$M$29,9,FALSE),
IF($A77&lt;'Swing Joints'!$A$495,VLOOKUP($A77,'Swing Joints'!$A$9:$M$494,9,FALSE),
IF($A77&lt;'Swing Joints Components'!$A$135,VLOOKUP($A77,'Swing Joints Components'!$A$9:$M$134,9,FALSE),
IF($A77&lt;Nonstandard!$A$42,VLOOKUP($A77,Nonstandard!$A$31:$J$41,8,FALSE),"")))))))))))))))))))))))))))),"")</f>
        <v/>
      </c>
      <c r="G77" s="533" t="str">
        <f>IFERROR(IF($A77&lt;'DWV PVC'!$A$317,VLOOKUP($A77,'DWV PVC'!$A$9:$M$316,11,FALSE),
IF($A77&lt;'DWV ABS'!$A$117,VLOOKUP($A77,'DWV ABS'!$A$8:$M$116,11,FALSE),                                                                                                                                                                                                                                                     IF($A77&lt;'PVC SCH40'!$A$425,VLOOKUP($A77,'PVC SCH40'!$A$8:$M$424,11,FALSE),
IF($A77&lt;'PVC SCH40 LD'!$A$22,VLOOKUP($A77,'PVC SCH40 LD'!$A$8:$M$21,11,FALSE),
IF($A77&lt;'Pool &amp; SPA Sweep Elbows'!$A$12,VLOOKUP($A77,'Pool &amp; SPA Sweep Elbows'!$A$8:$M$11,11,FALSE),
IF($A77&lt;'Pool &amp; SPA Pipe Extender'!$A$11,VLOOKUP($A77,'Pool &amp; SPA Pipe Extender'!$A$8:$M$10,11,FALSE),
IF($A77&lt;'PVC SCH80'!$A$250,VLOOKUP($A77,'PVC SCH80'!$A$8:$M$249,11,FALSE),
IF($A77&lt;'PVC SCH80 Flange'!$A$49,VLOOKUP($A77,'PVC SCH80 Flange'!$A$8:$M$48,11,FALSE),
IF($A77&lt;'PVC SCH80 LD Flange'!$A$17,VLOOKUP($A77,'PVC SCH80 LD Flange'!$A$8:$M$16,11,FALSE),
IF($A77&lt;CPVC!$A$105,VLOOKUP($A77,CPVC!$A$9:$M$104,11,FALSE),
IF($A77&lt;InsertFittings!$A$185,VLOOKUP($A77,InsertFittings!$A$9:$M$184,11,FALSE),
IF($A77&lt;Valves!$A$92,VLOOKUP($A77,Valves!$A$9:$Q$91,15,FALSE),
IF($A77&lt;SDR35SW!$A$133,VLOOKUP($A77,SDR35SW!$A$9:$M$132,11,FALSE),
IF($A77&lt;SDR35G!$A$151,VLOOKUP($A77,SDR35G!$A$9:$M$150,11,FALSE),                                                                                                                                                                                                                                                          IF($A77&lt;SDR26G!$A$67,VLOOKUP($A77,SDR26G!$A$9:$N$66,12,FALSE),                                                                                                                                                                                                                                                       IF($A77&lt;Cements!$A$95,VLOOKUP($A77,Cements!$A$8:$Q$94,15,FALSE),
IF($A77&lt;ValveBox!$A$124,VLOOKUP($A77,ValveBox!$A$9:$O$123,13,FALSE),
IF($A77&lt;'ValveBox Components'!$A$142,VLOOKUP($A77,'ValveBox Components'!$A$9:$N$141,12,FALSE),
IF($A77&lt;Drainage!$A$69,VLOOKUP($A77,Drainage!$A$8:$M$68,11,FALSE),                                                                                                                                                                                                                                                           IF($A77&lt;Nipples!$A$82,VLOOKUP($A77,Nipples!$A$9:$Q$81,15,FALSE),
IF($A77&lt;Manifold!$A$33,VLOOKUP($A77,Manifold!$A$9:$M$32,11,FALSE),
IF($A77&lt;FlexibleRepairCouplings!$A$12,VLOOKUP($A77,FlexibleRepairCouplings!$A$9:$M$11,11,FALSE),
IF($A77&lt;DuraFix!$A$15,VLOOKUP($A77,DuraFix!$A$9:$M$14,11,FALSE),                                                                                                                                                                                                                                                            IF($A77&lt;'Compression Fittings'!$A$16,VLOOKUP($A77,'Compression Fittings'!$A$8:$M$15,11,FALSE),
IF($A77&lt;'Hose Fittings'!$A$30,VLOOKUP($A77,'Hose Fittings'!$A$8:$M$29,11,FALSE),
IF($A77&lt;'Swing Joints'!$A$495,VLOOKUP($A77,'Swing Joints'!$A$9:$M$494,11,FALSE),
IF($A77&lt;'Swing Joints Components'!$A$135,VLOOKUP($A77,'Swing Joints Components'!$A$9:$M$134,11,FALSE),
IF($A77&lt;Nonstandard!$A$42,VLOOKUP($A77,Nonstandard!$A$31:$J$41,10,FALSE),"")))))))))))))))))))))))))))),"")</f>
        <v/>
      </c>
      <c r="H77" s="618" t="str">
        <f>IFERROR(IF($A77&lt;'DWV PVC'!$A$317,VLOOKUP($A77,'DWV PVC'!$A$9:$M$316,7,FALSE),
IF($A77&lt;'DWV ABS'!$A$117,VLOOKUP($A77,'DWV ABS'!$A$8:$M$116,11,FALSE),                                                                                                                                                                                                                                                     IF($A77&lt;'PVC SCH40'!$A$425,VLOOKUP($A77,'PVC SCH40'!$A$8:$M$424,7,FALSE),
IF($A77&lt;'PVC SCH40 LD'!$A$22,VLOOKUP($A77,'PVC SCH40 LD'!$A$8:$M$21,7,FALSE),
IF($A77&lt;'Pool &amp; SPA Sweep Elbows'!$A$12,VLOOKUP($A77,'Pool &amp; SPA Sweep Elbows'!$A$8:$M$11,7,FALSE),
IF($A77&lt;'Pool &amp; SPA Pipe Extender'!$A$11,VLOOKUP($A77,'Pool &amp; SPA Pipe Extender'!$A$8:$M$10,7,FALSE),
IF($A77&lt;'PVC SCH80'!$A$250,VLOOKUP($A77,'PVC SCH80'!$A$8:$M$249,7,FALSE),
IF($A77&lt;'PVC SCH80 Flange'!$A$49,VLOOKUP($A77,'PVC SCH80 Flange'!$A$8:$M$48,7,FALSE),
IF($A77&lt;'PVC SCH80 LD Flange'!$A$17,VLOOKUP($A77,'PVC SCH80 LD Flange'!$A$8:$M$16,7,FALSE),
IF($A77&lt;CPVC!$A$105,VLOOKUP($A77,CPVC!$A$9:$M$104,7,FALSE),
IF($A77&lt;InsertFittings!$A$185,VLOOKUP($A77,InsertFittings!$A$9:$M$184,7,FALSE),
IF($A77&lt;Valves!$A$92,VLOOKUP($A77,Valves!$A$9:$Q$91,11,FALSE),
IF($A77&lt;SDR35SW!$A$133,VLOOKUP($A77,SDR35SW!$A$9:$M$132,7,FALSE),
IF($A77&lt;SDR35G!$A$151,VLOOKUP($A77,SDR35G!$A$9:$M$150,7,FALSE),                                                                                                                                                                                                                                                       IF($A77&lt;SDR26G!$A$67,VLOOKUP($A77,SDR26G!$A$9:$N$66,8,FALSE),                                                                                                                                                                                                                                                     IF($A77&lt;Cements!$A$95,VLOOKUP($A77,Cements!$A$8:$Q$94,11,FALSE),
IF($A77&lt;ValveBox!$A$124,VLOOKUP($A77,ValveBox!$A$9:$O$123,10,FALSE),
IF($A77&lt;'ValveBox Components'!$A$142,VLOOKUP($A77,'ValveBox Components'!$A$9:$N$141,9,FALSE),
IF($A77&lt;Drainage!$A$69,VLOOKUP($A77,Drainage!$A$8:$M$68,7,FALSE),                                                                                                                                                                                                                                                          IF($A77&lt;Nipples!$A$82,VLOOKUP($A77,Nipples!$A$9:$Q$81,11,FALSE),
IF($A77&lt;Manifold!$A$33,VLOOKUP($A77,Manifold!$A$9:$M$32,7,FALSE),
IF($A77&lt;FlexibleRepairCouplings!$A$12,VLOOKUP($A77,FlexibleRepairCouplings!$A$9:$M$11,7,FALSE),
IF($A77&lt;DuraFix!$A$15,VLOOKUP($A77,DuraFix!$A$9:$M$14,7,FALSE),                                                                                                                                                                                                                                                           IF($A77&lt;'Compression Fittings'!$A$16,VLOOKUP($A77,'Compression Fittings'!$A$8:$M$15,7,FALSE),
IF($A77&lt;'Hose Fittings'!$A$30,VLOOKUP($A77,'Hose Fittings'!$A$8:$M$29,7,FALSE),
IF($A77&lt;'Swing Joints'!$A$495,VLOOKUP($A77,'Swing Joints'!$A$9:$M$494,7,FALSE),
IF($A77&lt;'Swing Joints Components'!$A$135,VLOOKUP($A77,'Swing Joints Components'!$A$9:$M$134,7,FALSE),
IF($A77&lt;Nonstandard!$A$42,VLOOKUP($A77,Nonstandard!$A$31:$J$41,10,FALSE),"")))))))))))))))))))))))))))),"")</f>
        <v/>
      </c>
      <c r="I77" s="619"/>
      <c r="J77" s="281" t="str">
        <f t="shared" si="1"/>
        <v/>
      </c>
      <c r="K77" s="313" t="str">
        <f>IFERROR(IF($A77&lt;'DWV PVC'!$A$317,VLOOKUP($A77,'DWV PVC'!$A$9:$M$316,10,FALSE),
IF($A77&lt;'DWV ABS'!$A$117,VLOOKUP($A77,'DWV ABS'!$A$8:$M$116,10,FALSE),
IF($A77&lt;'PVC SCH40'!$A$425,VLOOKUP($A77,'PVC SCH40'!$A$8:$M$424,10,FALSE),
IF($A77&lt;'PVC SCH40 LD'!$A$22,VLOOKUP($A77,'PVC SCH40 LD'!$A$8:$M$21,10,FALSE),
IF($A77&lt;'Pool &amp; SPA Sweep Elbows'!$A$12,VLOOKUP($A77,'Pool &amp; SPA Sweep Elbows'!$A$8:$M$11,10,FALSE),
IF($A77&lt;'Pool &amp; SPA Pipe Extender'!$A$11,VLOOKUP($A77,'Pool &amp; SPA Pipe Extender'!$A$8:$M$10,10,FALSE),
IF($A77&lt;'PVC SCH80'!$A$250,VLOOKUP($A77,'PVC SCH80'!$A$8:$M$249,10,FALSE),
IF($A77&lt;'PVC SCH80 Flange'!$A$49,VLOOKUP($A77,'PVC SCH80 Flange'!$A$8:$M$48,10,FALSE),
IF($A77&lt;'PVC SCH80 LD Flange'!$A$17,VLOOKUP($A77,'PVC SCH80 LD Flange'!$A$8:$M$16,10,FALSE),
IF($A77&lt;CPVC!$A$105,VLOOKUP($A77,CPVC!$A$9:$M$104,10,FALSE),
IF($A77&lt;InsertFittings!$A$185,VLOOKUP($A77,InsertFittings!$A$9:$M$184,10,FALSE),
IF($A77&lt;Valves!$A$92,VLOOKUP($A77,Valves!$A$9:$Q$91,14,FALSE),
IF($A77&lt;SDR35SW!$A$133,VLOOKUP($A77,SDR35SW!$A$9:$M$132,10,FALSE),
IF($A77&lt;SDR35G!$A$151,VLOOKUP($A77,SDR35G!$A$9:$M$150,10,FALSE),
IF($A77&lt;SDR26G!$A$67,VLOOKUP($A77,SDR26G!$A$9:$N$66,11,FALSE),
IF($A77&lt;Cements!$A$95,VLOOKUP($A77,Cements!$A$8:$Q$94,14,FALSE),
IF($A77&lt;ValveBox!$A$124,VLOOKUP($A77,ValveBox!$A$9:$O$123,12,FALSE),
IF($A77&lt;'ValveBox Components'!$A$142,VLOOKUP($A77,'ValveBox Components'!$A$9:$N$141,11,FALSE),
IF($A77&lt;Drainage!$A$69,VLOOKUP($A77,Drainage!$A$8:$M$68,10,FALSE),
IF($A77&lt;Nipples!$A$82,VLOOKUP($A77,Nipples!$A$9:$Q$81,14,FALSE),
IF($A77&lt;Manifold!$A$33,VLOOKUP($A77,Manifold!$A$9:$M$32,10,FALSE),
IF($A77&lt;FlexibleRepairCouplings!$A$12,VLOOKUP($A77,FlexibleRepairCouplings!$A$9:$M$11,10,FALSE),
IF($A77&lt;DuraFix!$A$15,VLOOKUP($A77,DuraFix!$A$9:$M$14,10,FALSE),
IF($A77&lt;'Compression Fittings'!$A$16,VLOOKUP($A77,'Compression Fittings'!$A$8:$M$15,10,FALSE),
IF($A77&lt;'Hose Fittings'!$A$30,VLOOKUP($A77,'Hose Fittings'!$A$8:$M$29,10,FALSE),
IF($A77&lt;'Swing Joints'!$A$495,VLOOKUP($A77,'Swing Joints'!$A$9:$M$494,10,FALSE),
IF($A77&lt;'Swing Joints Components'!$A$135,VLOOKUP($A77,'Swing Joints Components'!$A$9:$M$134,10,FALSE),
IF($A77&lt;Nonstandard!$A$42,VLOOKUP($A77,Nonstandard!$A$31:$J$41,10,FALSE),"")))))))))))))))))))))))))))),"")</f>
        <v/>
      </c>
      <c r="L77" s="314" t="str">
        <f t="shared" si="0"/>
        <v>-</v>
      </c>
      <c r="M77" s="315"/>
    </row>
    <row r="78" spans="1:13" ht="15.6">
      <c r="A78" s="536">
        <v>46</v>
      </c>
      <c r="B78" s="536" t="str">
        <f>IFERROR(IF($A78&lt;'DWV PVC'!$A$317,VLOOKUP($A78,'DWV PVC'!$A$9:$M$316,4,FALSE),
IF($A78&lt;'DWV ABS'!$A$117,VLOOKUP($A78,'DWV ABS'!$A$8:$M$116,4,FALSE),
IF($A78&lt;'PVC SCH40'!$A$425,VLOOKUP($A78,'PVC SCH40'!$A$8:$M$424,4,FALSE),
IF($A78&lt;'PVC SCH40 LD'!$A$22,VLOOKUP($A78,'PVC SCH40 LD'!$A$8:$M$21,4,FALSE),
IF($A78&lt;'Pool &amp; SPA Sweep Elbows'!$A$12,VLOOKUP($A78,'Pool &amp; SPA Sweep Elbows'!$A$8:$M$11,4,FALSE),
IF($A78&lt;'Pool &amp; SPA Pipe Extender'!$A$11,VLOOKUP($A78,'Pool &amp; SPA Pipe Extender'!$A$8:$M$10,4,FALSE),
IF($A78&lt;'PVC SCH80'!$A$250,VLOOKUP($A78,'PVC SCH80'!$A$8:$M$249,4,FALSE),
IF($A78&lt;'PVC SCH80 Flange'!$A$49,VLOOKUP($A78,'PVC SCH80 Flange'!$A$8:$M$48,4,FALSE),
IF($A78&lt;'PVC SCH80 LD Flange'!$A$17,VLOOKUP($A78,'PVC SCH80 LD Flange'!$A$8:$M$16,4,FALSE),
IF($A78&lt;CPVC!$A$105,VLOOKUP($A78,CPVC!$A$9:$M$104,4,FALSE),
IF($A78&lt;InsertFittings!$A$185,VLOOKUP($A78,InsertFittings!$A$9:$M$184,4,FALSE),
IF($A78&lt;Valves!$A$92,VLOOKUP($A78,Valves!$A$9:$Q$91,4,FALSE),
IF($A78&lt;SDR35SW!$A$133,VLOOKUP($A78,SDR35SW!$A$9:$M$132,4,FALSE),
IF($A78&lt;SDR35G!$A$151,VLOOKUP($A78,SDR35G!$A$9:$M$150,4,FALSE),
IF($A78&lt;SDR26G!$A$67,VLOOKUP($A78,SDR26G!$A$9:$N$66,5,FALSE),
IF($A78&lt;Cements!$A$95,VLOOKUP($A78,Cements!$A$8:$Q$94,4,FALSE),
IF($A78&lt;ValveBox!$A$124,VLOOKUP($A78,ValveBox!$A$9:$O$123,4,FALSE),
IF($A78&lt;'ValveBox Components'!$A$142,VLOOKUP($A78,'ValveBox Components'!$A$9:$N$141,4,FALSE),
IF($A78&lt;Drainage!$A$69,VLOOKUP($A78,Drainage!$A$8:$M$68,4,FALSE),
IF($A78&lt;Nipples!$A$82,VLOOKUP($A78,Nipples!$A$9:$Q$81,4,FALSE),
IF($A78&lt;Manifold!$A$33,VLOOKUP($A78,Manifold!$A$9:$M$32,4,FALSE),
IF($A78&lt;FlexibleRepairCouplings!$A$12,VLOOKUP($A78,FlexibleRepairCouplings!$A$9:$M$11,4,FALSE),
IF($A78&lt;DuraFix!$A$15,VLOOKUP($A78,DuraFix!$A$9:$M$14,4,FALSE),
IF($A78&lt;'Compression Fittings'!$A$16,VLOOKUP($A78,'Compression Fittings'!$A$8:$M$15,4,FALSE),
IF($A78&lt;'Hose Fittings'!$A$30,VLOOKUP($A78,'Hose Fittings'!$A$8:$M$29,4,FALSE),
IF($A78&lt;'Swing Joints'!$A$495,VLOOKUP($A78,'Swing Joints'!$A$9:$M$494,4,FALSE),
IF($A78&lt;'Swing Joints Components'!$A$135,VLOOKUP($A78,'Swing Joints Components'!$A$9:$M$134,4,FALSE),
IF($A78&lt;Nonstandard!$A$42,VLOOKUP($A78,Nonstandard!$A$31:$J$41,5,FALSE),"")))))))))))))))))))))))))))),"")</f>
        <v/>
      </c>
      <c r="C78" s="536" t="str">
        <f>IFERROR(IF($A78&lt;'DWV PVC'!$A$317,VLOOKUP($A78,'DWV PVC'!$A$9:$M$316,5,FALSE),
IF($A78&lt;'DWV ABS'!$A$117,VLOOKUP($A78,'DWV ABS'!$A$8:$M$116,5,FALSE),
IF($A78&lt;'PVC SCH40'!$A$425,VLOOKUP($A78,'PVC SCH40'!$A$8:$M$424,5,FALSE),
IF($A78&lt;'PVC SCH40 LD'!$A$22,VLOOKUP($A78,'PVC SCH40 LD'!$A$8:$M$21,5,FALSE),
IF($A78&lt;'Pool &amp; SPA Sweep Elbows'!$A$12,VLOOKUP($A78,'Pool &amp; SPA Sweep Elbows'!$A$8:$M$11,5,FALSE),
IF($A78&lt;'Pool &amp; SPA Pipe Extender'!$A$11,VLOOKUP($A78,'Pool &amp; SPA Pipe Extender'!$A$8:$M$10,5,FALSE),
IF($A78&lt;'PVC SCH80'!$A$250,VLOOKUP($A78,'PVC SCH80'!$A$8:$M$249,5,FALSE),
IF($A78&lt;'PVC SCH80 Flange'!$A$49,VLOOKUP($A78,'PVC SCH80 Flange'!$A$8:$M$48,5,FALSE),
IF($A78&lt;'PVC SCH80 LD Flange'!$A$17,VLOOKUP($A78,'PVC SCH80 LD Flange'!$A$8:$M$16,5,FALSE),
IF($A78&lt;CPVC!$A$105,VLOOKUP($A78,CPVC!$A$9:$M$104,5,FALSE),
IF($A78&lt;InsertFittings!$A$185,VLOOKUP($A78,InsertFittings!$A$9:$M$184,5,FALSE),
IF($A78&lt;Valves!$A$92,VLOOKUP($A78,Valves!$A$9:$Q$91,5,FALSE),
IF($A78&lt;SDR35SW!$A$133,VLOOKUP($A78,SDR35SW!$A$9:$M$132,5,FALSE),
IF($A78&lt;SDR35G!$A$151,VLOOKUP($A78,SDR35G!$A$9:$M$150,5,FALSE),
IF($A78&lt;SDR26G!$A$67,VLOOKUP($A78,SDR26G!$A$9:$N$66,6,FALSE),
IF($A78&lt;Cements!$A$95,VLOOKUP($A78,Cements!$A$8:$Q$94,5,FALSE),
IF($A78&lt;ValveBox!$A$124,VLOOKUP($A78,ValveBox!$A$9:$O$123,5,FALSE),
IF($A78&lt;'ValveBox Components'!$A$142,VLOOKUP($A78,'ValveBox Components'!$A$9:$N$141,5,FALSE),
IF($A78&lt;Drainage!$A$69,VLOOKUP($A78,Drainage!$A$8:$M$68,5,FALSE),
IF($A78&lt;Nipples!$A$82,VLOOKUP($A78,Nipples!$A$9:$Q$81,5,FALSE),
IF($A78&lt;Manifold!$A$33,VLOOKUP($A78,Manifold!$A$9:$M$32,5,FALSE),
IF($A78&lt;FlexibleRepairCouplings!$A$12,VLOOKUP($A78,FlexibleRepairCouplings!$A$9:$M$11,5,FALSE),
IF($A78&lt;DuraFix!$A$15,VLOOKUP($A78,DuraFix!$A$9:$M$14,5,FALSE),
IF($A78&lt;'Compression Fittings'!$A$16,VLOOKUP($A78,'Compression Fittings'!$A$8:$M$15,5,FALSE),
IF($A78&lt;'Hose Fittings'!$A$30,VLOOKUP($A78,'Hose Fittings'!$A$8:$M$29,5,FALSE),
IF($A78&lt;'Swing Joints'!$A$495,VLOOKUP($A78,'Swing Joints'!$A$9:$M$494,5,FALSE),
IF($A78&lt;'Swing Joints Components'!$A$135,VLOOKUP($A78,'Swing Joints Components'!$A$9:$M$134,5,FALSE),
IF($A78&lt;Nonstandard!$A$42,VLOOKUP($A78,Nonstandard!$A$31:$J$41,6,FALSE),"")))))))))))))))))))))))))))),"")</f>
        <v/>
      </c>
      <c r="D78" s="537" t="str">
        <f>IFERROR(IF($A78&lt;'DWV PVC'!$A$317,VLOOKUP($A78,'DWV PVC'!$A$9:$M$316,6,FALSE),
IF($A78&lt;'DWV ABS'!$A$117,VLOOKUP($A78,'DWV ABS'!$A$8:$M$116,6,FALSE),
IF($A78&lt;'PVC SCH40'!$A$425,VLOOKUP($A78,'PVC SCH40'!$A$8:$M$424,6,FALSE),
IF($A78&lt;'PVC SCH40 LD'!$A$22,VLOOKUP($A78,'PVC SCH40 LD'!$A$8:$M$21,6,FALSE),
IF($A78&lt;'Pool &amp; SPA Sweep Elbows'!$A$12,VLOOKUP($A78,'Pool &amp; SPA Sweep Elbows'!$A$8:$M$11,6,FALSE),
IF($A78&lt;'Pool &amp; SPA Pipe Extender'!$A$11,VLOOKUP($A78,'Pool &amp; SPA Pipe Extender'!$A$8:$M$10,6,FALSE),
IF($A78&lt;'PVC SCH80'!$A$250,VLOOKUP($A78,'PVC SCH80'!$A$8:$M$249,6,FALSE),
IF($A78&lt;'PVC SCH80 Flange'!$A$49,VLOOKUP($A78,'PVC SCH80 Flange'!$A$8:$M$48,6,FALSE),
IF($A78&lt;'PVC SCH80 LD Flange'!$A$17,VLOOKUP($A78,'PVC SCH80 LD Flange'!$A$8:$M$16,6,FALSE),
IF($A78&lt;CPVC!$A$105,VLOOKUP($A78,CPVC!$A$9:$M$104,6,FALSE),
IF($A78&lt;InsertFittings!$A$185,VLOOKUP($A78,InsertFittings!$A$9:$M$184,6,FALSE),
IF($A78&lt;Valves!$A$92,VLOOKUP($A78,Valves!$A$9:$Q$91,6,FALSE),
IF($A78&lt;SDR35SW!$A$133,VLOOKUP($A78,SDR35SW!$A$9:$M$132,6,FALSE),
IF($A78&lt;SDR35G!$A$151,VLOOKUP($A78,SDR35G!$A$9:$M$150,6,FALSE),
IF($A78&lt;SDR26G!$A$67,VLOOKUP($A78,SDR26G!$A$9:$N$66,7,FALSE),
IF($A78&lt;Cements!$A$95,VLOOKUP($A78,Cements!$A$8:$Q$94,6,FALSE),
IF($A78&lt;ValveBox!$A$124,VLOOKUP($A78,ValveBox!$A$9:$O$123,6,FALSE),
IF($A78&lt;'ValveBox Components'!$A$142,VLOOKUP($A78,'ValveBox Components'!$A$9:$N$141,6,FALSE),
IF($A78&lt;Drainage!$A$69,VLOOKUP($A78,Drainage!$A$8:$M$68,6,FALSE),
IF($A78&lt;Nipples!$A$82,VLOOKUP($A78,Nipples!$A$9:$Q$81,6,FALSE),
IF($A78&lt;Manifold!$A$33,VLOOKUP($A78,Manifold!$A$9:$M$32,6,FALSE),
IF($A78&lt;FlexibleRepairCouplings!$A$12,VLOOKUP($A78,FlexibleRepairCouplings!$A$9:$M$11,6,FALSE),
IF($A78&lt;DuraFix!$A$15,VLOOKUP($A78,DuraFix!$A$9:$M$14,6,FALSE),
IF($A78&lt;'Compression Fittings'!$A$16,VLOOKUP($A78,'Compression Fittings'!$A$8:$M$15,6,FALSE),
IF($A78&lt;'Hose Fittings'!$A$30,VLOOKUP($A78,'Hose Fittings'!$A$8:$M$29,6,FALSE),
IF($A78&lt;'Swing Joints'!$A$495,VLOOKUP($A78,'Swing Joints'!$A$9:$M$494,6,FALSE),
IF($A78&lt;'Swing Joints Components'!$A$135,VLOOKUP($A78,'Swing Joints Components'!$A$9:$M$134,6,FALSE),
IF($A78&lt;Nonstandard!$A$42,VLOOKUP($A78,Nonstandard!$A$31:$J$41,7,FALSE),"")))))))))))))))))))))))))))),"")</f>
        <v/>
      </c>
      <c r="E78" s="538"/>
      <c r="F78" s="539" t="str">
        <f>IFERROR(IF($A78&lt;'DWV PVC'!$A$317,VLOOKUP($A78,'DWV PVC'!$A$9:$M$316,9,FALSE),
IF($A78&lt;'DWV ABS'!$A$117,VLOOKUP($A78,'DWV ABS'!$A$8:$M$116,9,FALSE),                                                                                                                                                                                                                                                     IF($A78&lt;'PVC SCH40'!$A$425,VLOOKUP($A78,'PVC SCH40'!$A$8:$M$424,9,FALSE),
IF($A78&lt;'PVC SCH40 LD'!$A$22,VLOOKUP($A78,'PVC SCH40 LD'!$A$8:$M$21,9,FALSE),
IF($A78&lt;'Pool &amp; SPA Sweep Elbows'!$A$12,VLOOKUP($A78,'Pool &amp; SPA Sweep Elbows'!$A$8:$M$11,9,FALSE),
IF($A78&lt;'Pool &amp; SPA Pipe Extender'!$A$11,VLOOKUP($A78,'Pool &amp; SPA Pipe Extender'!$A$8:$M$10,9,FALSE),
IF($A78&lt;'PVC SCH80'!$A$250,VLOOKUP($A78,'PVC SCH80'!$A$8:$M$249,9,FALSE),
IF($A78&lt;'PVC SCH80 Flange'!$A$49,VLOOKUP($A78,'PVC SCH80 Flange'!$A$8:$M$48,9,FALSE),
IF($A78&lt;'PVC SCH80 LD Flange'!$A$17,VLOOKUP($A78,'PVC SCH80 LD Flange'!$A$8:$M$16,9,FALSE),
IF($A78&lt;CPVC!$A$105,VLOOKUP($A78,CPVC!$A$9:$M$104,9,FALSE),
IF($A78&lt;InsertFittings!$A$185,VLOOKUP($A78,InsertFittings!$A$9:$M$184,9,FALSE),
IF($A78&lt;Valves!$A$92,VLOOKUP($A78,Valves!$A$9:$Q$91,13,FALSE),
IF($A78&lt;SDR35SW!$A$133,VLOOKUP($A78,SDR35SW!$A$9:$M$132,9,FALSE),
IF($A78&lt;SDR35G!$A$151,VLOOKUP($A78,SDR35G!$A$9:$M$150,9,FALSE),                                                                                                                                                                                                                                                          IF($A78&lt;SDR26G!$A$67,VLOOKUP($A78,SDR26G!$A$9:$N$66,10,FALSE),                                                                                                                                                                                                                                                       IF($A78&lt;Cements!$A$95,VLOOKUP($A78,Cements!$A$8:$Q$94,13,FALSE),
IF($A78&lt;ValveBox!$A$124,VLOOKUP($A78,ValveBox!$A$9:$O$123,11,FALSE),
IF($A78&lt;'ValveBox Components'!$A$142,VLOOKUP($A78,'ValveBox Components'!$A$9:$N$141,10,FALSE),
IF($A78&lt;Drainage!$A$69,VLOOKUP($A78,Drainage!$A$8:$M$68,9,FALSE),                                                                                                                                                                                                                                                              IF($A78&lt;Nipples!$A$82,VLOOKUP($A78,Nipples!$A$9:$Q$81,13,FALSE),
IF($A78&lt;Manifold!$A$33,VLOOKUP($A78,Manifold!$A$9:$M$32,9,FALSE),
IF($A78&lt;FlexibleRepairCouplings!$A$12,VLOOKUP($A78,FlexibleRepairCouplings!$A$9:$M$11,9,FALSE),
IF($A78&lt;DuraFix!$A$15,VLOOKUP($A78,DuraFix!$A$9:$M$14,9,FALSE),                                                                                                                                                                                                                                                          IF($A78&lt;'Compression Fittings'!$A$16,VLOOKUP($A78,'Compression Fittings'!$A$8:$M$15,9,FALSE),
IF($A78&lt;'Hose Fittings'!$A$30,VLOOKUP($A78,'Hose Fittings'!$A$8:$M$29,9,FALSE),
IF($A78&lt;'Swing Joints'!$A$495,VLOOKUP($A78,'Swing Joints'!$A$9:$M$494,9,FALSE),
IF($A78&lt;'Swing Joints Components'!$A$135,VLOOKUP($A78,'Swing Joints Components'!$A$9:$M$134,9,FALSE),
IF($A78&lt;Nonstandard!$A$42,VLOOKUP($A78,Nonstandard!$A$31:$J$41,8,FALSE),"")))))))))))))))))))))))))))),"")</f>
        <v/>
      </c>
      <c r="G78" s="540" t="str">
        <f>IFERROR(IF($A78&lt;'DWV PVC'!$A$317,VLOOKUP($A78,'DWV PVC'!$A$9:$M$316,11,FALSE),
IF($A78&lt;'DWV ABS'!$A$117,VLOOKUP($A78,'DWV ABS'!$A$8:$M$116,11,FALSE),                                                                                                                                                                                                                                                     IF($A78&lt;'PVC SCH40'!$A$425,VLOOKUP($A78,'PVC SCH40'!$A$8:$M$424,11,FALSE),
IF($A78&lt;'PVC SCH40 LD'!$A$22,VLOOKUP($A78,'PVC SCH40 LD'!$A$8:$M$21,11,FALSE),
IF($A78&lt;'Pool &amp; SPA Sweep Elbows'!$A$12,VLOOKUP($A78,'Pool &amp; SPA Sweep Elbows'!$A$8:$M$11,11,FALSE),
IF($A78&lt;'Pool &amp; SPA Pipe Extender'!$A$11,VLOOKUP($A78,'Pool &amp; SPA Pipe Extender'!$A$8:$M$10,11,FALSE),
IF($A78&lt;'PVC SCH80'!$A$250,VLOOKUP($A78,'PVC SCH80'!$A$8:$M$249,11,FALSE),
IF($A78&lt;'PVC SCH80 Flange'!$A$49,VLOOKUP($A78,'PVC SCH80 Flange'!$A$8:$M$48,11,FALSE),
IF($A78&lt;'PVC SCH80 LD Flange'!$A$17,VLOOKUP($A78,'PVC SCH80 LD Flange'!$A$8:$M$16,11,FALSE),
IF($A78&lt;CPVC!$A$105,VLOOKUP($A78,CPVC!$A$9:$M$104,11,FALSE),
IF($A78&lt;InsertFittings!$A$185,VLOOKUP($A78,InsertFittings!$A$9:$M$184,11,FALSE),
IF($A78&lt;Valves!$A$92,VLOOKUP($A78,Valves!$A$9:$Q$91,15,FALSE),
IF($A78&lt;SDR35SW!$A$133,VLOOKUP($A78,SDR35SW!$A$9:$M$132,11,FALSE),
IF($A78&lt;SDR35G!$A$151,VLOOKUP($A78,SDR35G!$A$9:$M$150,11,FALSE),                                                                                                                                                                                                                                                          IF($A78&lt;SDR26G!$A$67,VLOOKUP($A78,SDR26G!$A$9:$N$66,12,FALSE),                                                                                                                                                                                                                                                       IF($A78&lt;Cements!$A$95,VLOOKUP($A78,Cements!$A$8:$Q$94,15,FALSE),
IF($A78&lt;ValveBox!$A$124,VLOOKUP($A78,ValveBox!$A$9:$O$123,13,FALSE),
IF($A78&lt;'ValveBox Components'!$A$142,VLOOKUP($A78,'ValveBox Components'!$A$9:$N$141,12,FALSE),
IF($A78&lt;Drainage!$A$69,VLOOKUP($A78,Drainage!$A$8:$M$68,11,FALSE),                                                                                                                                                                                                                                                           IF($A78&lt;Nipples!$A$82,VLOOKUP($A78,Nipples!$A$9:$Q$81,15,FALSE),
IF($A78&lt;Manifold!$A$33,VLOOKUP($A78,Manifold!$A$9:$M$32,11,FALSE),
IF($A78&lt;FlexibleRepairCouplings!$A$12,VLOOKUP($A78,FlexibleRepairCouplings!$A$9:$M$11,11,FALSE),
IF($A78&lt;DuraFix!$A$15,VLOOKUP($A78,DuraFix!$A$9:$M$14,11,FALSE),                                                                                                                                                                                                                                                            IF($A78&lt;'Compression Fittings'!$A$16,VLOOKUP($A78,'Compression Fittings'!$A$8:$M$15,11,FALSE),
IF($A78&lt;'Hose Fittings'!$A$30,VLOOKUP($A78,'Hose Fittings'!$A$8:$M$29,11,FALSE),
IF($A78&lt;'Swing Joints'!$A$495,VLOOKUP($A78,'Swing Joints'!$A$9:$M$494,11,FALSE),
IF($A78&lt;'Swing Joints Components'!$A$135,VLOOKUP($A78,'Swing Joints Components'!$A$9:$M$134,11,FALSE),
IF($A78&lt;Nonstandard!$A$42,VLOOKUP($A78,Nonstandard!$A$31:$J$41,10,FALSE),"")))))))))))))))))))))))))))),"")</f>
        <v/>
      </c>
      <c r="H78" s="620" t="str">
        <f>IFERROR(IF($A78&lt;'DWV PVC'!$A$317,VLOOKUP($A78,'DWV PVC'!$A$9:$M$316,7,FALSE),
IF($A78&lt;'DWV ABS'!$A$117,VLOOKUP($A78,'DWV ABS'!$A$8:$M$116,11,FALSE),                                                                                                                                                                                                                                                     IF($A78&lt;'PVC SCH40'!$A$425,VLOOKUP($A78,'PVC SCH40'!$A$8:$M$424,7,FALSE),
IF($A78&lt;'PVC SCH40 LD'!$A$22,VLOOKUP($A78,'PVC SCH40 LD'!$A$8:$M$21,7,FALSE),
IF($A78&lt;'Pool &amp; SPA Sweep Elbows'!$A$12,VLOOKUP($A78,'Pool &amp; SPA Sweep Elbows'!$A$8:$M$11,7,FALSE),
IF($A78&lt;'Pool &amp; SPA Pipe Extender'!$A$11,VLOOKUP($A78,'Pool &amp; SPA Pipe Extender'!$A$8:$M$10,7,FALSE),
IF($A78&lt;'PVC SCH80'!$A$250,VLOOKUP($A78,'PVC SCH80'!$A$8:$M$249,7,FALSE),
IF($A78&lt;'PVC SCH80 Flange'!$A$49,VLOOKUP($A78,'PVC SCH80 Flange'!$A$8:$M$48,7,FALSE),
IF($A78&lt;'PVC SCH80 LD Flange'!$A$17,VLOOKUP($A78,'PVC SCH80 LD Flange'!$A$8:$M$16,7,FALSE),
IF($A78&lt;CPVC!$A$105,VLOOKUP($A78,CPVC!$A$9:$M$104,7,FALSE),
IF($A78&lt;InsertFittings!$A$185,VLOOKUP($A78,InsertFittings!$A$9:$M$184,7,FALSE),
IF($A78&lt;Valves!$A$92,VLOOKUP($A78,Valves!$A$9:$Q$91,11,FALSE),
IF($A78&lt;SDR35SW!$A$133,VLOOKUP($A78,SDR35SW!$A$9:$M$132,7,FALSE),
IF($A78&lt;SDR35G!$A$151,VLOOKUP($A78,SDR35G!$A$9:$M$150,7,FALSE),                                                                                                                                                                                                                                                       IF($A78&lt;SDR26G!$A$67,VLOOKUP($A78,SDR26G!$A$9:$N$66,8,FALSE),                                                                                                                                                                                                                                                     IF($A78&lt;Cements!$A$95,VLOOKUP($A78,Cements!$A$8:$Q$94,11,FALSE),
IF($A78&lt;ValveBox!$A$124,VLOOKUP($A78,ValveBox!$A$9:$O$123,10,FALSE),
IF($A78&lt;'ValveBox Components'!$A$142,VLOOKUP($A78,'ValveBox Components'!$A$9:$N$141,9,FALSE),
IF($A78&lt;Drainage!$A$69,VLOOKUP($A78,Drainage!$A$8:$M$68,7,FALSE),                                                                                                                                                                                                                                                          IF($A78&lt;Nipples!$A$82,VLOOKUP($A78,Nipples!$A$9:$Q$81,11,FALSE),
IF($A78&lt;Manifold!$A$33,VLOOKUP($A78,Manifold!$A$9:$M$32,7,FALSE),
IF($A78&lt;FlexibleRepairCouplings!$A$12,VLOOKUP($A78,FlexibleRepairCouplings!$A$9:$M$11,7,FALSE),
IF($A78&lt;DuraFix!$A$15,VLOOKUP($A78,DuraFix!$A$9:$M$14,7,FALSE),                                                                                                                                                                                                                                                           IF($A78&lt;'Compression Fittings'!$A$16,VLOOKUP($A78,'Compression Fittings'!$A$8:$M$15,7,FALSE),
IF($A78&lt;'Hose Fittings'!$A$30,VLOOKUP($A78,'Hose Fittings'!$A$8:$M$29,7,FALSE),
IF($A78&lt;'Swing Joints'!$A$495,VLOOKUP($A78,'Swing Joints'!$A$9:$M$494,7,FALSE),
IF($A78&lt;'Swing Joints Components'!$A$135,VLOOKUP($A78,'Swing Joints Components'!$A$9:$M$134,7,FALSE),
IF($A78&lt;Nonstandard!$A$42,VLOOKUP($A78,Nonstandard!$A$31:$J$41,10,FALSE),"")))))))))))))))))))))))))))),"")</f>
        <v/>
      </c>
      <c r="I78" s="621"/>
      <c r="J78" s="541" t="str">
        <f t="shared" si="1"/>
        <v/>
      </c>
      <c r="K78" s="599" t="str">
        <f>IFERROR(IF($A78&lt;'DWV PVC'!$A$317,VLOOKUP($A78,'DWV PVC'!$A$9:$M$316,10,FALSE),
IF($A78&lt;'DWV ABS'!$A$117,VLOOKUP($A78,'DWV ABS'!$A$8:$M$116,10,FALSE),
IF($A78&lt;'PVC SCH40'!$A$425,VLOOKUP($A78,'PVC SCH40'!$A$8:$M$424,10,FALSE),
IF($A78&lt;'PVC SCH40 LD'!$A$22,VLOOKUP($A78,'PVC SCH40 LD'!$A$8:$M$21,10,FALSE),
IF($A78&lt;'Pool &amp; SPA Sweep Elbows'!$A$12,VLOOKUP($A78,'Pool &amp; SPA Sweep Elbows'!$A$8:$M$11,10,FALSE),
IF($A78&lt;'Pool &amp; SPA Pipe Extender'!$A$11,VLOOKUP($A78,'Pool &amp; SPA Pipe Extender'!$A$8:$M$10,10,FALSE),
IF($A78&lt;'PVC SCH80'!$A$250,VLOOKUP($A78,'PVC SCH80'!$A$8:$M$249,10,FALSE),
IF($A78&lt;'PVC SCH80 Flange'!$A$49,VLOOKUP($A78,'PVC SCH80 Flange'!$A$8:$M$48,10,FALSE),
IF($A78&lt;'PVC SCH80 LD Flange'!$A$17,VLOOKUP($A78,'PVC SCH80 LD Flange'!$A$8:$M$16,10,FALSE),
IF($A78&lt;CPVC!$A$105,VLOOKUP($A78,CPVC!$A$9:$M$104,10,FALSE),
IF($A78&lt;InsertFittings!$A$185,VLOOKUP($A78,InsertFittings!$A$9:$M$184,10,FALSE),
IF($A78&lt;Valves!$A$92,VLOOKUP($A78,Valves!$A$9:$Q$91,14,FALSE),
IF($A78&lt;SDR35SW!$A$133,VLOOKUP($A78,SDR35SW!$A$9:$M$132,10,FALSE),
IF($A78&lt;SDR35G!$A$151,VLOOKUP($A78,SDR35G!$A$9:$M$150,10,FALSE),
IF($A78&lt;SDR26G!$A$67,VLOOKUP($A78,SDR26G!$A$9:$N$66,11,FALSE),
IF($A78&lt;Cements!$A$95,VLOOKUP($A78,Cements!$A$8:$Q$94,14,FALSE),
IF($A78&lt;ValveBox!$A$124,VLOOKUP($A78,ValveBox!$A$9:$O$123,12,FALSE),
IF($A78&lt;'ValveBox Components'!$A$142,VLOOKUP($A78,'ValveBox Components'!$A$9:$N$141,11,FALSE),
IF($A78&lt;Drainage!$A$69,VLOOKUP($A78,Drainage!$A$8:$M$68,10,FALSE),
IF($A78&lt;Nipples!$A$82,VLOOKUP($A78,Nipples!$A$9:$Q$81,14,FALSE),
IF($A78&lt;Manifold!$A$33,VLOOKUP($A78,Manifold!$A$9:$M$32,10,FALSE),
IF($A78&lt;FlexibleRepairCouplings!$A$12,VLOOKUP($A78,FlexibleRepairCouplings!$A$9:$M$11,10,FALSE),
IF($A78&lt;DuraFix!$A$15,VLOOKUP($A78,DuraFix!$A$9:$M$14,10,FALSE),
IF($A78&lt;'Compression Fittings'!$A$16,VLOOKUP($A78,'Compression Fittings'!$A$8:$M$15,10,FALSE),
IF($A78&lt;'Hose Fittings'!$A$30,VLOOKUP($A78,'Hose Fittings'!$A$8:$M$29,10,FALSE),
IF($A78&lt;'Swing Joints'!$A$495,VLOOKUP($A78,'Swing Joints'!$A$9:$M$494,10,FALSE),
IF($A78&lt;'Swing Joints Components'!$A$135,VLOOKUP($A78,'Swing Joints Components'!$A$9:$M$134,10,FALSE),
IF($A78&lt;Nonstandard!$A$42,VLOOKUP($A78,Nonstandard!$A$31:$J$41,10,FALSE),"")))))))))))))))))))))))))))),"")</f>
        <v/>
      </c>
      <c r="L78" s="539" t="str">
        <f t="shared" si="0"/>
        <v>-</v>
      </c>
      <c r="M78" s="542"/>
    </row>
    <row r="79" spans="1:13" ht="15.6">
      <c r="A79" s="312">
        <v>47</v>
      </c>
      <c r="B79" s="312" t="str">
        <f>IFERROR(IF($A79&lt;'DWV PVC'!$A$317,VLOOKUP($A79,'DWV PVC'!$A$9:$M$316,4,FALSE),
IF($A79&lt;'DWV ABS'!$A$117,VLOOKUP($A79,'DWV ABS'!$A$8:$M$116,4,FALSE),
IF($A79&lt;'PVC SCH40'!$A$425,VLOOKUP($A79,'PVC SCH40'!$A$8:$M$424,4,FALSE),
IF($A79&lt;'PVC SCH40 LD'!$A$22,VLOOKUP($A79,'PVC SCH40 LD'!$A$8:$M$21,4,FALSE),
IF($A79&lt;'Pool &amp; SPA Sweep Elbows'!$A$12,VLOOKUP($A79,'Pool &amp; SPA Sweep Elbows'!$A$8:$M$11,4,FALSE),
IF($A79&lt;'Pool &amp; SPA Pipe Extender'!$A$11,VLOOKUP($A79,'Pool &amp; SPA Pipe Extender'!$A$8:$M$10,4,FALSE),
IF($A79&lt;'PVC SCH80'!$A$250,VLOOKUP($A79,'PVC SCH80'!$A$8:$M$249,4,FALSE),
IF($A79&lt;'PVC SCH80 Flange'!$A$49,VLOOKUP($A79,'PVC SCH80 Flange'!$A$8:$M$48,4,FALSE),
IF($A79&lt;'PVC SCH80 LD Flange'!$A$17,VLOOKUP($A79,'PVC SCH80 LD Flange'!$A$8:$M$16,4,FALSE),
IF($A79&lt;CPVC!$A$105,VLOOKUP($A79,CPVC!$A$9:$M$104,4,FALSE),
IF($A79&lt;InsertFittings!$A$185,VLOOKUP($A79,InsertFittings!$A$9:$M$184,4,FALSE),
IF($A79&lt;Valves!$A$92,VLOOKUP($A79,Valves!$A$9:$Q$91,4,FALSE),
IF($A79&lt;SDR35SW!$A$133,VLOOKUP($A79,SDR35SW!$A$9:$M$132,4,FALSE),
IF($A79&lt;SDR35G!$A$151,VLOOKUP($A79,SDR35G!$A$9:$M$150,4,FALSE),
IF($A79&lt;SDR26G!$A$67,VLOOKUP($A79,SDR26G!$A$9:$N$66,5,FALSE),
IF($A79&lt;Cements!$A$95,VLOOKUP($A79,Cements!$A$8:$Q$94,4,FALSE),
IF($A79&lt;ValveBox!$A$124,VLOOKUP($A79,ValveBox!$A$9:$O$123,4,FALSE),
IF($A79&lt;'ValveBox Components'!$A$142,VLOOKUP($A79,'ValveBox Components'!$A$9:$N$141,4,FALSE),
IF($A79&lt;Drainage!$A$69,VLOOKUP($A79,Drainage!$A$8:$M$68,4,FALSE),
IF($A79&lt;Nipples!$A$82,VLOOKUP($A79,Nipples!$A$9:$Q$81,4,FALSE),
IF($A79&lt;Manifold!$A$33,VLOOKUP($A79,Manifold!$A$9:$M$32,4,FALSE),
IF($A79&lt;FlexibleRepairCouplings!$A$12,VLOOKUP($A79,FlexibleRepairCouplings!$A$9:$M$11,4,FALSE),
IF($A79&lt;DuraFix!$A$15,VLOOKUP($A79,DuraFix!$A$9:$M$14,4,FALSE),
IF($A79&lt;'Compression Fittings'!$A$16,VLOOKUP($A79,'Compression Fittings'!$A$8:$M$15,4,FALSE),
IF($A79&lt;'Hose Fittings'!$A$30,VLOOKUP($A79,'Hose Fittings'!$A$8:$M$29,4,FALSE),
IF($A79&lt;'Swing Joints'!$A$495,VLOOKUP($A79,'Swing Joints'!$A$9:$M$494,4,FALSE),
IF($A79&lt;'Swing Joints Components'!$A$135,VLOOKUP($A79,'Swing Joints Components'!$A$9:$M$134,4,FALSE),
IF($A79&lt;Nonstandard!$A$42,VLOOKUP($A79,Nonstandard!$A$31:$J$41,5,FALSE),"")))))))))))))))))))))))))))),"")</f>
        <v/>
      </c>
      <c r="C79" s="312" t="str">
        <f>IFERROR(IF($A79&lt;'DWV PVC'!$A$317,VLOOKUP($A79,'DWV PVC'!$A$9:$M$316,5,FALSE),
IF($A79&lt;'DWV ABS'!$A$117,VLOOKUP($A79,'DWV ABS'!$A$8:$M$116,5,FALSE),
IF($A79&lt;'PVC SCH40'!$A$425,VLOOKUP($A79,'PVC SCH40'!$A$8:$M$424,5,FALSE),
IF($A79&lt;'PVC SCH40 LD'!$A$22,VLOOKUP($A79,'PVC SCH40 LD'!$A$8:$M$21,5,FALSE),
IF($A79&lt;'Pool &amp; SPA Sweep Elbows'!$A$12,VLOOKUP($A79,'Pool &amp; SPA Sweep Elbows'!$A$8:$M$11,5,FALSE),
IF($A79&lt;'Pool &amp; SPA Pipe Extender'!$A$11,VLOOKUP($A79,'Pool &amp; SPA Pipe Extender'!$A$8:$M$10,5,FALSE),
IF($A79&lt;'PVC SCH80'!$A$250,VLOOKUP($A79,'PVC SCH80'!$A$8:$M$249,5,FALSE),
IF($A79&lt;'PVC SCH80 Flange'!$A$49,VLOOKUP($A79,'PVC SCH80 Flange'!$A$8:$M$48,5,FALSE),
IF($A79&lt;'PVC SCH80 LD Flange'!$A$17,VLOOKUP($A79,'PVC SCH80 LD Flange'!$A$8:$M$16,5,FALSE),
IF($A79&lt;CPVC!$A$105,VLOOKUP($A79,CPVC!$A$9:$M$104,5,FALSE),
IF($A79&lt;InsertFittings!$A$185,VLOOKUP($A79,InsertFittings!$A$9:$M$184,5,FALSE),
IF($A79&lt;Valves!$A$92,VLOOKUP($A79,Valves!$A$9:$Q$91,5,FALSE),
IF($A79&lt;SDR35SW!$A$133,VLOOKUP($A79,SDR35SW!$A$9:$M$132,5,FALSE),
IF($A79&lt;SDR35G!$A$151,VLOOKUP($A79,SDR35G!$A$9:$M$150,5,FALSE),
IF($A79&lt;SDR26G!$A$67,VLOOKUP($A79,SDR26G!$A$9:$N$66,6,FALSE),
IF($A79&lt;Cements!$A$95,VLOOKUP($A79,Cements!$A$8:$Q$94,5,FALSE),
IF($A79&lt;ValveBox!$A$124,VLOOKUP($A79,ValveBox!$A$9:$O$123,5,FALSE),
IF($A79&lt;'ValveBox Components'!$A$142,VLOOKUP($A79,'ValveBox Components'!$A$9:$N$141,5,FALSE),
IF($A79&lt;Drainage!$A$69,VLOOKUP($A79,Drainage!$A$8:$M$68,5,FALSE),
IF($A79&lt;Nipples!$A$82,VLOOKUP($A79,Nipples!$A$9:$Q$81,5,FALSE),
IF($A79&lt;Manifold!$A$33,VLOOKUP($A79,Manifold!$A$9:$M$32,5,FALSE),
IF($A79&lt;FlexibleRepairCouplings!$A$12,VLOOKUP($A79,FlexibleRepairCouplings!$A$9:$M$11,5,FALSE),
IF($A79&lt;DuraFix!$A$15,VLOOKUP($A79,DuraFix!$A$9:$M$14,5,FALSE),
IF($A79&lt;'Compression Fittings'!$A$16,VLOOKUP($A79,'Compression Fittings'!$A$8:$M$15,5,FALSE),
IF($A79&lt;'Hose Fittings'!$A$30,VLOOKUP($A79,'Hose Fittings'!$A$8:$M$29,5,FALSE),
IF($A79&lt;'Swing Joints'!$A$495,VLOOKUP($A79,'Swing Joints'!$A$9:$M$494,5,FALSE),
IF($A79&lt;'Swing Joints Components'!$A$135,VLOOKUP($A79,'Swing Joints Components'!$A$9:$M$134,5,FALSE),
IF($A79&lt;Nonstandard!$A$42,VLOOKUP($A79,Nonstandard!$A$31:$J$41,6,FALSE),"")))))))))))))))))))))))))))),"")</f>
        <v/>
      </c>
      <c r="D79" s="534" t="str">
        <f>IFERROR(IF($A79&lt;'DWV PVC'!$A$317,VLOOKUP($A79,'DWV PVC'!$A$9:$M$316,6,FALSE),
IF($A79&lt;'DWV ABS'!$A$117,VLOOKUP($A79,'DWV ABS'!$A$8:$M$116,6,FALSE),
IF($A79&lt;'PVC SCH40'!$A$425,VLOOKUP($A79,'PVC SCH40'!$A$8:$M$424,6,FALSE),
IF($A79&lt;'PVC SCH40 LD'!$A$22,VLOOKUP($A79,'PVC SCH40 LD'!$A$8:$M$21,6,FALSE),
IF($A79&lt;'Pool &amp; SPA Sweep Elbows'!$A$12,VLOOKUP($A79,'Pool &amp; SPA Sweep Elbows'!$A$8:$M$11,6,FALSE),
IF($A79&lt;'Pool &amp; SPA Pipe Extender'!$A$11,VLOOKUP($A79,'Pool &amp; SPA Pipe Extender'!$A$8:$M$10,6,FALSE),
IF($A79&lt;'PVC SCH80'!$A$250,VLOOKUP($A79,'PVC SCH80'!$A$8:$M$249,6,FALSE),
IF($A79&lt;'PVC SCH80 Flange'!$A$49,VLOOKUP($A79,'PVC SCH80 Flange'!$A$8:$M$48,6,FALSE),
IF($A79&lt;'PVC SCH80 LD Flange'!$A$17,VLOOKUP($A79,'PVC SCH80 LD Flange'!$A$8:$M$16,6,FALSE),
IF($A79&lt;CPVC!$A$105,VLOOKUP($A79,CPVC!$A$9:$M$104,6,FALSE),
IF($A79&lt;InsertFittings!$A$185,VLOOKUP($A79,InsertFittings!$A$9:$M$184,6,FALSE),
IF($A79&lt;Valves!$A$92,VLOOKUP($A79,Valves!$A$9:$Q$91,6,FALSE),
IF($A79&lt;SDR35SW!$A$133,VLOOKUP($A79,SDR35SW!$A$9:$M$132,6,FALSE),
IF($A79&lt;SDR35G!$A$151,VLOOKUP($A79,SDR35G!$A$9:$M$150,6,FALSE),
IF($A79&lt;SDR26G!$A$67,VLOOKUP($A79,SDR26G!$A$9:$N$66,7,FALSE),
IF($A79&lt;Cements!$A$95,VLOOKUP($A79,Cements!$A$8:$Q$94,6,FALSE),
IF($A79&lt;ValveBox!$A$124,VLOOKUP($A79,ValveBox!$A$9:$O$123,6,FALSE),
IF($A79&lt;'ValveBox Components'!$A$142,VLOOKUP($A79,'ValveBox Components'!$A$9:$N$141,6,FALSE),
IF($A79&lt;Drainage!$A$69,VLOOKUP($A79,Drainage!$A$8:$M$68,6,FALSE),
IF($A79&lt;Nipples!$A$82,VLOOKUP($A79,Nipples!$A$9:$Q$81,6,FALSE),
IF($A79&lt;Manifold!$A$33,VLOOKUP($A79,Manifold!$A$9:$M$32,6,FALSE),
IF($A79&lt;FlexibleRepairCouplings!$A$12,VLOOKUP($A79,FlexibleRepairCouplings!$A$9:$M$11,6,FALSE),
IF($A79&lt;DuraFix!$A$15,VLOOKUP($A79,DuraFix!$A$9:$M$14,6,FALSE),
IF($A79&lt;'Compression Fittings'!$A$16,VLOOKUP($A79,'Compression Fittings'!$A$8:$M$15,6,FALSE),
IF($A79&lt;'Hose Fittings'!$A$30,VLOOKUP($A79,'Hose Fittings'!$A$8:$M$29,6,FALSE),
IF($A79&lt;'Swing Joints'!$A$495,VLOOKUP($A79,'Swing Joints'!$A$9:$M$494,6,FALSE),
IF($A79&lt;'Swing Joints Components'!$A$135,VLOOKUP($A79,'Swing Joints Components'!$A$9:$M$134,6,FALSE),
IF($A79&lt;Nonstandard!$A$42,VLOOKUP($A79,Nonstandard!$A$31:$J$41,7,FALSE),"")))))))))))))))))))))))))))),"")</f>
        <v/>
      </c>
      <c r="E79" s="316"/>
      <c r="F79" s="314" t="str">
        <f>IFERROR(IF($A79&lt;'DWV PVC'!$A$317,VLOOKUP($A79,'DWV PVC'!$A$9:$M$316,9,FALSE),
IF($A79&lt;'DWV ABS'!$A$117,VLOOKUP($A79,'DWV ABS'!$A$8:$M$116,9,FALSE),                                                                                                                                                                                                                                                     IF($A79&lt;'PVC SCH40'!$A$425,VLOOKUP($A79,'PVC SCH40'!$A$8:$M$424,9,FALSE),
IF($A79&lt;'PVC SCH40 LD'!$A$22,VLOOKUP($A79,'PVC SCH40 LD'!$A$8:$M$21,9,FALSE),
IF($A79&lt;'Pool &amp; SPA Sweep Elbows'!$A$12,VLOOKUP($A79,'Pool &amp; SPA Sweep Elbows'!$A$8:$M$11,9,FALSE),
IF($A79&lt;'Pool &amp; SPA Pipe Extender'!$A$11,VLOOKUP($A79,'Pool &amp; SPA Pipe Extender'!$A$8:$M$10,9,FALSE),
IF($A79&lt;'PVC SCH80'!$A$250,VLOOKUP($A79,'PVC SCH80'!$A$8:$M$249,9,FALSE),
IF($A79&lt;'PVC SCH80 Flange'!$A$49,VLOOKUP($A79,'PVC SCH80 Flange'!$A$8:$M$48,9,FALSE),
IF($A79&lt;'PVC SCH80 LD Flange'!$A$17,VLOOKUP($A79,'PVC SCH80 LD Flange'!$A$8:$M$16,9,FALSE),
IF($A79&lt;CPVC!$A$105,VLOOKUP($A79,CPVC!$A$9:$M$104,9,FALSE),
IF($A79&lt;InsertFittings!$A$185,VLOOKUP($A79,InsertFittings!$A$9:$M$184,9,FALSE),
IF($A79&lt;Valves!$A$92,VLOOKUP($A79,Valves!$A$9:$Q$91,13,FALSE),
IF($A79&lt;SDR35SW!$A$133,VLOOKUP($A79,SDR35SW!$A$9:$M$132,9,FALSE),
IF($A79&lt;SDR35G!$A$151,VLOOKUP($A79,SDR35G!$A$9:$M$150,9,FALSE),                                                                                                                                                                                                                                                          IF($A79&lt;SDR26G!$A$67,VLOOKUP($A79,SDR26G!$A$9:$N$66,10,FALSE),                                                                                                                                                                                                                                                       IF($A79&lt;Cements!$A$95,VLOOKUP($A79,Cements!$A$8:$Q$94,13,FALSE),
IF($A79&lt;ValveBox!$A$124,VLOOKUP($A79,ValveBox!$A$9:$O$123,11,FALSE),
IF($A79&lt;'ValveBox Components'!$A$142,VLOOKUP($A79,'ValveBox Components'!$A$9:$N$141,10,FALSE),
IF($A79&lt;Drainage!$A$69,VLOOKUP($A79,Drainage!$A$8:$M$68,9,FALSE),                                                                                                                                                                                                                                                              IF($A79&lt;Nipples!$A$82,VLOOKUP($A79,Nipples!$A$9:$Q$81,13,FALSE),
IF($A79&lt;Manifold!$A$33,VLOOKUP($A79,Manifold!$A$9:$M$32,9,FALSE),
IF($A79&lt;FlexibleRepairCouplings!$A$12,VLOOKUP($A79,FlexibleRepairCouplings!$A$9:$M$11,9,FALSE),
IF($A79&lt;DuraFix!$A$15,VLOOKUP($A79,DuraFix!$A$9:$M$14,9,FALSE),                                                                                                                                                                                                                                                          IF($A79&lt;'Compression Fittings'!$A$16,VLOOKUP($A79,'Compression Fittings'!$A$8:$M$15,9,FALSE),
IF($A79&lt;'Hose Fittings'!$A$30,VLOOKUP($A79,'Hose Fittings'!$A$8:$M$29,9,FALSE),
IF($A79&lt;'Swing Joints'!$A$495,VLOOKUP($A79,'Swing Joints'!$A$9:$M$494,9,FALSE),
IF($A79&lt;'Swing Joints Components'!$A$135,VLOOKUP($A79,'Swing Joints Components'!$A$9:$M$134,9,FALSE),
IF($A79&lt;Nonstandard!$A$42,VLOOKUP($A79,Nonstandard!$A$31:$J$41,8,FALSE),"")))))))))))))))))))))))))))),"")</f>
        <v/>
      </c>
      <c r="G79" s="533" t="str">
        <f>IFERROR(IF($A79&lt;'DWV PVC'!$A$317,VLOOKUP($A79,'DWV PVC'!$A$9:$M$316,11,FALSE),
IF($A79&lt;'DWV ABS'!$A$117,VLOOKUP($A79,'DWV ABS'!$A$8:$M$116,11,FALSE),                                                                                                                                                                                                                                                     IF($A79&lt;'PVC SCH40'!$A$425,VLOOKUP($A79,'PVC SCH40'!$A$8:$M$424,11,FALSE),
IF($A79&lt;'PVC SCH40 LD'!$A$22,VLOOKUP($A79,'PVC SCH40 LD'!$A$8:$M$21,11,FALSE),
IF($A79&lt;'Pool &amp; SPA Sweep Elbows'!$A$12,VLOOKUP($A79,'Pool &amp; SPA Sweep Elbows'!$A$8:$M$11,11,FALSE),
IF($A79&lt;'Pool &amp; SPA Pipe Extender'!$A$11,VLOOKUP($A79,'Pool &amp; SPA Pipe Extender'!$A$8:$M$10,11,FALSE),
IF($A79&lt;'PVC SCH80'!$A$250,VLOOKUP($A79,'PVC SCH80'!$A$8:$M$249,11,FALSE),
IF($A79&lt;'PVC SCH80 Flange'!$A$49,VLOOKUP($A79,'PVC SCH80 Flange'!$A$8:$M$48,11,FALSE),
IF($A79&lt;'PVC SCH80 LD Flange'!$A$17,VLOOKUP($A79,'PVC SCH80 LD Flange'!$A$8:$M$16,11,FALSE),
IF($A79&lt;CPVC!$A$105,VLOOKUP($A79,CPVC!$A$9:$M$104,11,FALSE),
IF($A79&lt;InsertFittings!$A$185,VLOOKUP($A79,InsertFittings!$A$9:$M$184,11,FALSE),
IF($A79&lt;Valves!$A$92,VLOOKUP($A79,Valves!$A$9:$Q$91,15,FALSE),
IF($A79&lt;SDR35SW!$A$133,VLOOKUP($A79,SDR35SW!$A$9:$M$132,11,FALSE),
IF($A79&lt;SDR35G!$A$151,VLOOKUP($A79,SDR35G!$A$9:$M$150,11,FALSE),                                                                                                                                                                                                                                                          IF($A79&lt;SDR26G!$A$67,VLOOKUP($A79,SDR26G!$A$9:$N$66,12,FALSE),                                                                                                                                                                                                                                                       IF($A79&lt;Cements!$A$95,VLOOKUP($A79,Cements!$A$8:$Q$94,15,FALSE),
IF($A79&lt;ValveBox!$A$124,VLOOKUP($A79,ValveBox!$A$9:$O$123,13,FALSE),
IF($A79&lt;'ValveBox Components'!$A$142,VLOOKUP($A79,'ValveBox Components'!$A$9:$N$141,12,FALSE),
IF($A79&lt;Drainage!$A$69,VLOOKUP($A79,Drainage!$A$8:$M$68,11,FALSE),                                                                                                                                                                                                                                                           IF($A79&lt;Nipples!$A$82,VLOOKUP($A79,Nipples!$A$9:$Q$81,15,FALSE),
IF($A79&lt;Manifold!$A$33,VLOOKUP($A79,Manifold!$A$9:$M$32,11,FALSE),
IF($A79&lt;FlexibleRepairCouplings!$A$12,VLOOKUP($A79,FlexibleRepairCouplings!$A$9:$M$11,11,FALSE),
IF($A79&lt;DuraFix!$A$15,VLOOKUP($A79,DuraFix!$A$9:$M$14,11,FALSE),                                                                                                                                                                                                                                                            IF($A79&lt;'Compression Fittings'!$A$16,VLOOKUP($A79,'Compression Fittings'!$A$8:$M$15,11,FALSE),
IF($A79&lt;'Hose Fittings'!$A$30,VLOOKUP($A79,'Hose Fittings'!$A$8:$M$29,11,FALSE),
IF($A79&lt;'Swing Joints'!$A$495,VLOOKUP($A79,'Swing Joints'!$A$9:$M$494,11,FALSE),
IF($A79&lt;'Swing Joints Components'!$A$135,VLOOKUP($A79,'Swing Joints Components'!$A$9:$M$134,11,FALSE),
IF($A79&lt;Nonstandard!$A$42,VLOOKUP($A79,Nonstandard!$A$31:$J$41,10,FALSE),"")))))))))))))))))))))))))))),"")</f>
        <v/>
      </c>
      <c r="H79" s="618" t="str">
        <f>IFERROR(IF($A79&lt;'DWV PVC'!$A$317,VLOOKUP($A79,'DWV PVC'!$A$9:$M$316,7,FALSE),
IF($A79&lt;'DWV ABS'!$A$117,VLOOKUP($A79,'DWV ABS'!$A$8:$M$116,11,FALSE),                                                                                                                                                                                                                                                     IF($A79&lt;'PVC SCH40'!$A$425,VLOOKUP($A79,'PVC SCH40'!$A$8:$M$424,7,FALSE),
IF($A79&lt;'PVC SCH40 LD'!$A$22,VLOOKUP($A79,'PVC SCH40 LD'!$A$8:$M$21,7,FALSE),
IF($A79&lt;'Pool &amp; SPA Sweep Elbows'!$A$12,VLOOKUP($A79,'Pool &amp; SPA Sweep Elbows'!$A$8:$M$11,7,FALSE),
IF($A79&lt;'Pool &amp; SPA Pipe Extender'!$A$11,VLOOKUP($A79,'Pool &amp; SPA Pipe Extender'!$A$8:$M$10,7,FALSE),
IF($A79&lt;'PVC SCH80'!$A$250,VLOOKUP($A79,'PVC SCH80'!$A$8:$M$249,7,FALSE),
IF($A79&lt;'PVC SCH80 Flange'!$A$49,VLOOKUP($A79,'PVC SCH80 Flange'!$A$8:$M$48,7,FALSE),
IF($A79&lt;'PVC SCH80 LD Flange'!$A$17,VLOOKUP($A79,'PVC SCH80 LD Flange'!$A$8:$M$16,7,FALSE),
IF($A79&lt;CPVC!$A$105,VLOOKUP($A79,CPVC!$A$9:$M$104,7,FALSE),
IF($A79&lt;InsertFittings!$A$185,VLOOKUP($A79,InsertFittings!$A$9:$M$184,7,FALSE),
IF($A79&lt;Valves!$A$92,VLOOKUP($A79,Valves!$A$9:$Q$91,11,FALSE),
IF($A79&lt;SDR35SW!$A$133,VLOOKUP($A79,SDR35SW!$A$9:$M$132,7,FALSE),
IF($A79&lt;SDR35G!$A$151,VLOOKUP($A79,SDR35G!$A$9:$M$150,7,FALSE),                                                                                                                                                                                                                                                       IF($A79&lt;SDR26G!$A$67,VLOOKUP($A79,SDR26G!$A$9:$N$66,8,FALSE),                                                                                                                                                                                                                                                     IF($A79&lt;Cements!$A$95,VLOOKUP($A79,Cements!$A$8:$Q$94,11,FALSE),
IF($A79&lt;ValveBox!$A$124,VLOOKUP($A79,ValveBox!$A$9:$O$123,10,FALSE),
IF($A79&lt;'ValveBox Components'!$A$142,VLOOKUP($A79,'ValveBox Components'!$A$9:$N$141,9,FALSE),
IF($A79&lt;Drainage!$A$69,VLOOKUP($A79,Drainage!$A$8:$M$68,7,FALSE),                                                                                                                                                                                                                                                          IF($A79&lt;Nipples!$A$82,VLOOKUP($A79,Nipples!$A$9:$Q$81,11,FALSE),
IF($A79&lt;Manifold!$A$33,VLOOKUP($A79,Manifold!$A$9:$M$32,7,FALSE),
IF($A79&lt;FlexibleRepairCouplings!$A$12,VLOOKUP($A79,FlexibleRepairCouplings!$A$9:$M$11,7,FALSE),
IF($A79&lt;DuraFix!$A$15,VLOOKUP($A79,DuraFix!$A$9:$M$14,7,FALSE),                                                                                                                                                                                                                                                           IF($A79&lt;'Compression Fittings'!$A$16,VLOOKUP($A79,'Compression Fittings'!$A$8:$M$15,7,FALSE),
IF($A79&lt;'Hose Fittings'!$A$30,VLOOKUP($A79,'Hose Fittings'!$A$8:$M$29,7,FALSE),
IF($A79&lt;'Swing Joints'!$A$495,VLOOKUP($A79,'Swing Joints'!$A$9:$M$494,7,FALSE),
IF($A79&lt;'Swing Joints Components'!$A$135,VLOOKUP($A79,'Swing Joints Components'!$A$9:$M$134,7,FALSE),
IF($A79&lt;Nonstandard!$A$42,VLOOKUP($A79,Nonstandard!$A$31:$J$41,10,FALSE),"")))))))))))))))))))))))))))),"")</f>
        <v/>
      </c>
      <c r="I79" s="619"/>
      <c r="J79" s="281" t="str">
        <f t="shared" si="1"/>
        <v/>
      </c>
      <c r="K79" s="313" t="str">
        <f>IFERROR(IF($A79&lt;'DWV PVC'!$A$317,VLOOKUP($A79,'DWV PVC'!$A$9:$M$316,10,FALSE),
IF($A79&lt;'DWV ABS'!$A$117,VLOOKUP($A79,'DWV ABS'!$A$8:$M$116,10,FALSE),
IF($A79&lt;'PVC SCH40'!$A$425,VLOOKUP($A79,'PVC SCH40'!$A$8:$M$424,10,FALSE),
IF($A79&lt;'PVC SCH40 LD'!$A$22,VLOOKUP($A79,'PVC SCH40 LD'!$A$8:$M$21,10,FALSE),
IF($A79&lt;'Pool &amp; SPA Sweep Elbows'!$A$12,VLOOKUP($A79,'Pool &amp; SPA Sweep Elbows'!$A$8:$M$11,10,FALSE),
IF($A79&lt;'Pool &amp; SPA Pipe Extender'!$A$11,VLOOKUP($A79,'Pool &amp; SPA Pipe Extender'!$A$8:$M$10,10,FALSE),
IF($A79&lt;'PVC SCH80'!$A$250,VLOOKUP($A79,'PVC SCH80'!$A$8:$M$249,10,FALSE),
IF($A79&lt;'PVC SCH80 Flange'!$A$49,VLOOKUP($A79,'PVC SCH80 Flange'!$A$8:$M$48,10,FALSE),
IF($A79&lt;'PVC SCH80 LD Flange'!$A$17,VLOOKUP($A79,'PVC SCH80 LD Flange'!$A$8:$M$16,10,FALSE),
IF($A79&lt;CPVC!$A$105,VLOOKUP($A79,CPVC!$A$9:$M$104,10,FALSE),
IF($A79&lt;InsertFittings!$A$185,VLOOKUP($A79,InsertFittings!$A$9:$M$184,10,FALSE),
IF($A79&lt;Valves!$A$92,VLOOKUP($A79,Valves!$A$9:$Q$91,14,FALSE),
IF($A79&lt;SDR35SW!$A$133,VLOOKUP($A79,SDR35SW!$A$9:$M$132,10,FALSE),
IF($A79&lt;SDR35G!$A$151,VLOOKUP($A79,SDR35G!$A$9:$M$150,10,FALSE),
IF($A79&lt;SDR26G!$A$67,VLOOKUP($A79,SDR26G!$A$9:$N$66,11,FALSE),
IF($A79&lt;Cements!$A$95,VLOOKUP($A79,Cements!$A$8:$Q$94,14,FALSE),
IF($A79&lt;ValveBox!$A$124,VLOOKUP($A79,ValveBox!$A$9:$O$123,12,FALSE),
IF($A79&lt;'ValveBox Components'!$A$142,VLOOKUP($A79,'ValveBox Components'!$A$9:$N$141,11,FALSE),
IF($A79&lt;Drainage!$A$69,VLOOKUP($A79,Drainage!$A$8:$M$68,10,FALSE),
IF($A79&lt;Nipples!$A$82,VLOOKUP($A79,Nipples!$A$9:$Q$81,14,FALSE),
IF($A79&lt;Manifold!$A$33,VLOOKUP($A79,Manifold!$A$9:$M$32,10,FALSE),
IF($A79&lt;FlexibleRepairCouplings!$A$12,VLOOKUP($A79,FlexibleRepairCouplings!$A$9:$M$11,10,FALSE),
IF($A79&lt;DuraFix!$A$15,VLOOKUP($A79,DuraFix!$A$9:$M$14,10,FALSE),
IF($A79&lt;'Compression Fittings'!$A$16,VLOOKUP($A79,'Compression Fittings'!$A$8:$M$15,10,FALSE),
IF($A79&lt;'Hose Fittings'!$A$30,VLOOKUP($A79,'Hose Fittings'!$A$8:$M$29,10,FALSE),
IF($A79&lt;'Swing Joints'!$A$495,VLOOKUP($A79,'Swing Joints'!$A$9:$M$494,10,FALSE),
IF($A79&lt;'Swing Joints Components'!$A$135,VLOOKUP($A79,'Swing Joints Components'!$A$9:$M$134,10,FALSE),
IF($A79&lt;Nonstandard!$A$42,VLOOKUP($A79,Nonstandard!$A$31:$J$41,10,FALSE),"")))))))))))))))))))))))))))),"")</f>
        <v/>
      </c>
      <c r="L79" s="314" t="str">
        <f t="shared" si="0"/>
        <v>-</v>
      </c>
      <c r="M79" s="315"/>
    </row>
    <row r="80" spans="1:13" ht="15.6">
      <c r="A80" s="536">
        <v>48</v>
      </c>
      <c r="B80" s="536" t="str">
        <f>IFERROR(IF($A80&lt;'DWV PVC'!$A$317,VLOOKUP($A80,'DWV PVC'!$A$9:$M$316,4,FALSE),
IF($A80&lt;'DWV ABS'!$A$117,VLOOKUP($A80,'DWV ABS'!$A$8:$M$116,4,FALSE),
IF($A80&lt;'PVC SCH40'!$A$425,VLOOKUP($A80,'PVC SCH40'!$A$8:$M$424,4,FALSE),
IF($A80&lt;'PVC SCH40 LD'!$A$22,VLOOKUP($A80,'PVC SCH40 LD'!$A$8:$M$21,4,FALSE),
IF($A80&lt;'Pool &amp; SPA Sweep Elbows'!$A$12,VLOOKUP($A80,'Pool &amp; SPA Sweep Elbows'!$A$8:$M$11,4,FALSE),
IF($A80&lt;'Pool &amp; SPA Pipe Extender'!$A$11,VLOOKUP($A80,'Pool &amp; SPA Pipe Extender'!$A$8:$M$10,4,FALSE),
IF($A80&lt;'PVC SCH80'!$A$250,VLOOKUP($A80,'PVC SCH80'!$A$8:$M$249,4,FALSE),
IF($A80&lt;'PVC SCH80 Flange'!$A$49,VLOOKUP($A80,'PVC SCH80 Flange'!$A$8:$M$48,4,FALSE),
IF($A80&lt;'PVC SCH80 LD Flange'!$A$17,VLOOKUP($A80,'PVC SCH80 LD Flange'!$A$8:$M$16,4,FALSE),
IF($A80&lt;CPVC!$A$105,VLOOKUP($A80,CPVC!$A$9:$M$104,4,FALSE),
IF($A80&lt;InsertFittings!$A$185,VLOOKUP($A80,InsertFittings!$A$9:$M$184,4,FALSE),
IF($A80&lt;Valves!$A$92,VLOOKUP($A80,Valves!$A$9:$Q$91,4,FALSE),
IF($A80&lt;SDR35SW!$A$133,VLOOKUP($A80,SDR35SW!$A$9:$M$132,4,FALSE),
IF($A80&lt;SDR35G!$A$151,VLOOKUP($A80,SDR35G!$A$9:$M$150,4,FALSE),
IF($A80&lt;SDR26G!$A$67,VLOOKUP($A80,SDR26G!$A$9:$N$66,5,FALSE),
IF($A80&lt;Cements!$A$95,VLOOKUP($A80,Cements!$A$8:$Q$94,4,FALSE),
IF($A80&lt;ValveBox!$A$124,VLOOKUP($A80,ValveBox!$A$9:$O$123,4,FALSE),
IF($A80&lt;'ValveBox Components'!$A$142,VLOOKUP($A80,'ValveBox Components'!$A$9:$N$141,4,FALSE),
IF($A80&lt;Drainage!$A$69,VLOOKUP($A80,Drainage!$A$8:$M$68,4,FALSE),
IF($A80&lt;Nipples!$A$82,VLOOKUP($A80,Nipples!$A$9:$Q$81,4,FALSE),
IF($A80&lt;Manifold!$A$33,VLOOKUP($A80,Manifold!$A$9:$M$32,4,FALSE),
IF($A80&lt;FlexibleRepairCouplings!$A$12,VLOOKUP($A80,FlexibleRepairCouplings!$A$9:$M$11,4,FALSE),
IF($A80&lt;DuraFix!$A$15,VLOOKUP($A80,DuraFix!$A$9:$M$14,4,FALSE),
IF($A80&lt;'Compression Fittings'!$A$16,VLOOKUP($A80,'Compression Fittings'!$A$8:$M$15,4,FALSE),
IF($A80&lt;'Hose Fittings'!$A$30,VLOOKUP($A80,'Hose Fittings'!$A$8:$M$29,4,FALSE),
IF($A80&lt;'Swing Joints'!$A$495,VLOOKUP($A80,'Swing Joints'!$A$9:$M$494,4,FALSE),
IF($A80&lt;'Swing Joints Components'!$A$135,VLOOKUP($A80,'Swing Joints Components'!$A$9:$M$134,4,FALSE),
IF($A80&lt;Nonstandard!$A$42,VLOOKUP($A80,Nonstandard!$A$31:$J$41,5,FALSE),"")))))))))))))))))))))))))))),"")</f>
        <v/>
      </c>
      <c r="C80" s="536" t="str">
        <f>IFERROR(IF($A80&lt;'DWV PVC'!$A$317,VLOOKUP($A80,'DWV PVC'!$A$9:$M$316,5,FALSE),
IF($A80&lt;'DWV ABS'!$A$117,VLOOKUP($A80,'DWV ABS'!$A$8:$M$116,5,FALSE),
IF($A80&lt;'PVC SCH40'!$A$425,VLOOKUP($A80,'PVC SCH40'!$A$8:$M$424,5,FALSE),
IF($A80&lt;'PVC SCH40 LD'!$A$22,VLOOKUP($A80,'PVC SCH40 LD'!$A$8:$M$21,5,FALSE),
IF($A80&lt;'Pool &amp; SPA Sweep Elbows'!$A$12,VLOOKUP($A80,'Pool &amp; SPA Sweep Elbows'!$A$8:$M$11,5,FALSE),
IF($A80&lt;'Pool &amp; SPA Pipe Extender'!$A$11,VLOOKUP($A80,'Pool &amp; SPA Pipe Extender'!$A$8:$M$10,5,FALSE),
IF($A80&lt;'PVC SCH80'!$A$250,VLOOKUP($A80,'PVC SCH80'!$A$8:$M$249,5,FALSE),
IF($A80&lt;'PVC SCH80 Flange'!$A$49,VLOOKUP($A80,'PVC SCH80 Flange'!$A$8:$M$48,5,FALSE),
IF($A80&lt;'PVC SCH80 LD Flange'!$A$17,VLOOKUP($A80,'PVC SCH80 LD Flange'!$A$8:$M$16,5,FALSE),
IF($A80&lt;CPVC!$A$105,VLOOKUP($A80,CPVC!$A$9:$M$104,5,FALSE),
IF($A80&lt;InsertFittings!$A$185,VLOOKUP($A80,InsertFittings!$A$9:$M$184,5,FALSE),
IF($A80&lt;Valves!$A$92,VLOOKUP($A80,Valves!$A$9:$Q$91,5,FALSE),
IF($A80&lt;SDR35SW!$A$133,VLOOKUP($A80,SDR35SW!$A$9:$M$132,5,FALSE),
IF($A80&lt;SDR35G!$A$151,VLOOKUP($A80,SDR35G!$A$9:$M$150,5,FALSE),
IF($A80&lt;SDR26G!$A$67,VLOOKUP($A80,SDR26G!$A$9:$N$66,6,FALSE),
IF($A80&lt;Cements!$A$95,VLOOKUP($A80,Cements!$A$8:$Q$94,5,FALSE),
IF($A80&lt;ValveBox!$A$124,VLOOKUP($A80,ValveBox!$A$9:$O$123,5,FALSE),
IF($A80&lt;'ValveBox Components'!$A$142,VLOOKUP($A80,'ValveBox Components'!$A$9:$N$141,5,FALSE),
IF($A80&lt;Drainage!$A$69,VLOOKUP($A80,Drainage!$A$8:$M$68,5,FALSE),
IF($A80&lt;Nipples!$A$82,VLOOKUP($A80,Nipples!$A$9:$Q$81,5,FALSE),
IF($A80&lt;Manifold!$A$33,VLOOKUP($A80,Manifold!$A$9:$M$32,5,FALSE),
IF($A80&lt;FlexibleRepairCouplings!$A$12,VLOOKUP($A80,FlexibleRepairCouplings!$A$9:$M$11,5,FALSE),
IF($A80&lt;DuraFix!$A$15,VLOOKUP($A80,DuraFix!$A$9:$M$14,5,FALSE),
IF($A80&lt;'Compression Fittings'!$A$16,VLOOKUP($A80,'Compression Fittings'!$A$8:$M$15,5,FALSE),
IF($A80&lt;'Hose Fittings'!$A$30,VLOOKUP($A80,'Hose Fittings'!$A$8:$M$29,5,FALSE),
IF($A80&lt;'Swing Joints'!$A$495,VLOOKUP($A80,'Swing Joints'!$A$9:$M$494,5,FALSE),
IF($A80&lt;'Swing Joints Components'!$A$135,VLOOKUP($A80,'Swing Joints Components'!$A$9:$M$134,5,FALSE),
IF($A80&lt;Nonstandard!$A$42,VLOOKUP($A80,Nonstandard!$A$31:$J$41,6,FALSE),"")))))))))))))))))))))))))))),"")</f>
        <v/>
      </c>
      <c r="D80" s="537" t="str">
        <f>IFERROR(IF($A80&lt;'DWV PVC'!$A$317,VLOOKUP($A80,'DWV PVC'!$A$9:$M$316,6,FALSE),
IF($A80&lt;'DWV ABS'!$A$117,VLOOKUP($A80,'DWV ABS'!$A$8:$M$116,6,FALSE),
IF($A80&lt;'PVC SCH40'!$A$425,VLOOKUP($A80,'PVC SCH40'!$A$8:$M$424,6,FALSE),
IF($A80&lt;'PVC SCH40 LD'!$A$22,VLOOKUP($A80,'PVC SCH40 LD'!$A$8:$M$21,6,FALSE),
IF($A80&lt;'Pool &amp; SPA Sweep Elbows'!$A$12,VLOOKUP($A80,'Pool &amp; SPA Sweep Elbows'!$A$8:$M$11,6,FALSE),
IF($A80&lt;'Pool &amp; SPA Pipe Extender'!$A$11,VLOOKUP($A80,'Pool &amp; SPA Pipe Extender'!$A$8:$M$10,6,FALSE),
IF($A80&lt;'PVC SCH80'!$A$250,VLOOKUP($A80,'PVC SCH80'!$A$8:$M$249,6,FALSE),
IF($A80&lt;'PVC SCH80 Flange'!$A$49,VLOOKUP($A80,'PVC SCH80 Flange'!$A$8:$M$48,6,FALSE),
IF($A80&lt;'PVC SCH80 LD Flange'!$A$17,VLOOKUP($A80,'PVC SCH80 LD Flange'!$A$8:$M$16,6,FALSE),
IF($A80&lt;CPVC!$A$105,VLOOKUP($A80,CPVC!$A$9:$M$104,6,FALSE),
IF($A80&lt;InsertFittings!$A$185,VLOOKUP($A80,InsertFittings!$A$9:$M$184,6,FALSE),
IF($A80&lt;Valves!$A$92,VLOOKUP($A80,Valves!$A$9:$Q$91,6,FALSE),
IF($A80&lt;SDR35SW!$A$133,VLOOKUP($A80,SDR35SW!$A$9:$M$132,6,FALSE),
IF($A80&lt;SDR35G!$A$151,VLOOKUP($A80,SDR35G!$A$9:$M$150,6,FALSE),
IF($A80&lt;SDR26G!$A$67,VLOOKUP($A80,SDR26G!$A$9:$N$66,7,FALSE),
IF($A80&lt;Cements!$A$95,VLOOKUP($A80,Cements!$A$8:$Q$94,6,FALSE),
IF($A80&lt;ValveBox!$A$124,VLOOKUP($A80,ValveBox!$A$9:$O$123,6,FALSE),
IF($A80&lt;'ValveBox Components'!$A$142,VLOOKUP($A80,'ValveBox Components'!$A$9:$N$141,6,FALSE),
IF($A80&lt;Drainage!$A$69,VLOOKUP($A80,Drainage!$A$8:$M$68,6,FALSE),
IF($A80&lt;Nipples!$A$82,VLOOKUP($A80,Nipples!$A$9:$Q$81,6,FALSE),
IF($A80&lt;Manifold!$A$33,VLOOKUP($A80,Manifold!$A$9:$M$32,6,FALSE),
IF($A80&lt;FlexibleRepairCouplings!$A$12,VLOOKUP($A80,FlexibleRepairCouplings!$A$9:$M$11,6,FALSE),
IF($A80&lt;DuraFix!$A$15,VLOOKUP($A80,DuraFix!$A$9:$M$14,6,FALSE),
IF($A80&lt;'Compression Fittings'!$A$16,VLOOKUP($A80,'Compression Fittings'!$A$8:$M$15,6,FALSE),
IF($A80&lt;'Hose Fittings'!$A$30,VLOOKUP($A80,'Hose Fittings'!$A$8:$M$29,6,FALSE),
IF($A80&lt;'Swing Joints'!$A$495,VLOOKUP($A80,'Swing Joints'!$A$9:$M$494,6,FALSE),
IF($A80&lt;'Swing Joints Components'!$A$135,VLOOKUP($A80,'Swing Joints Components'!$A$9:$M$134,6,FALSE),
IF($A80&lt;Nonstandard!$A$42,VLOOKUP($A80,Nonstandard!$A$31:$J$41,7,FALSE),"")))))))))))))))))))))))))))),"")</f>
        <v/>
      </c>
      <c r="E80" s="538"/>
      <c r="F80" s="539" t="str">
        <f>IFERROR(IF($A80&lt;'DWV PVC'!$A$317,VLOOKUP($A80,'DWV PVC'!$A$9:$M$316,9,FALSE),
IF($A80&lt;'DWV ABS'!$A$117,VLOOKUP($A80,'DWV ABS'!$A$8:$M$116,9,FALSE),                                                                                                                                                                                                                                                     IF($A80&lt;'PVC SCH40'!$A$425,VLOOKUP($A80,'PVC SCH40'!$A$8:$M$424,9,FALSE),
IF($A80&lt;'PVC SCH40 LD'!$A$22,VLOOKUP($A80,'PVC SCH40 LD'!$A$8:$M$21,9,FALSE),
IF($A80&lt;'Pool &amp; SPA Sweep Elbows'!$A$12,VLOOKUP($A80,'Pool &amp; SPA Sweep Elbows'!$A$8:$M$11,9,FALSE),
IF($A80&lt;'Pool &amp; SPA Pipe Extender'!$A$11,VLOOKUP($A80,'Pool &amp; SPA Pipe Extender'!$A$8:$M$10,9,FALSE),
IF($A80&lt;'PVC SCH80'!$A$250,VLOOKUP($A80,'PVC SCH80'!$A$8:$M$249,9,FALSE),
IF($A80&lt;'PVC SCH80 Flange'!$A$49,VLOOKUP($A80,'PVC SCH80 Flange'!$A$8:$M$48,9,FALSE),
IF($A80&lt;'PVC SCH80 LD Flange'!$A$17,VLOOKUP($A80,'PVC SCH80 LD Flange'!$A$8:$M$16,9,FALSE),
IF($A80&lt;CPVC!$A$105,VLOOKUP($A80,CPVC!$A$9:$M$104,9,FALSE),
IF($A80&lt;InsertFittings!$A$185,VLOOKUP($A80,InsertFittings!$A$9:$M$184,9,FALSE),
IF($A80&lt;Valves!$A$92,VLOOKUP($A80,Valves!$A$9:$Q$91,13,FALSE),
IF($A80&lt;SDR35SW!$A$133,VLOOKUP($A80,SDR35SW!$A$9:$M$132,9,FALSE),
IF($A80&lt;SDR35G!$A$151,VLOOKUP($A80,SDR35G!$A$9:$M$150,9,FALSE),                                                                                                                                                                                                                                                          IF($A80&lt;SDR26G!$A$67,VLOOKUP($A80,SDR26G!$A$9:$N$66,10,FALSE),                                                                                                                                                                                                                                                       IF($A80&lt;Cements!$A$95,VLOOKUP($A80,Cements!$A$8:$Q$94,13,FALSE),
IF($A80&lt;ValveBox!$A$124,VLOOKUP($A80,ValveBox!$A$9:$O$123,11,FALSE),
IF($A80&lt;'ValveBox Components'!$A$142,VLOOKUP($A80,'ValveBox Components'!$A$9:$N$141,10,FALSE),
IF($A80&lt;Drainage!$A$69,VLOOKUP($A80,Drainage!$A$8:$M$68,9,FALSE),                                                                                                                                                                                                                                                              IF($A80&lt;Nipples!$A$82,VLOOKUP($A80,Nipples!$A$9:$Q$81,13,FALSE),
IF($A80&lt;Manifold!$A$33,VLOOKUP($A80,Manifold!$A$9:$M$32,9,FALSE),
IF($A80&lt;FlexibleRepairCouplings!$A$12,VLOOKUP($A80,FlexibleRepairCouplings!$A$9:$M$11,9,FALSE),
IF($A80&lt;DuraFix!$A$15,VLOOKUP($A80,DuraFix!$A$9:$M$14,9,FALSE),                                                                                                                                                                                                                                                          IF($A80&lt;'Compression Fittings'!$A$16,VLOOKUP($A80,'Compression Fittings'!$A$8:$M$15,9,FALSE),
IF($A80&lt;'Hose Fittings'!$A$30,VLOOKUP($A80,'Hose Fittings'!$A$8:$M$29,9,FALSE),
IF($A80&lt;'Swing Joints'!$A$495,VLOOKUP($A80,'Swing Joints'!$A$9:$M$494,9,FALSE),
IF($A80&lt;'Swing Joints Components'!$A$135,VLOOKUP($A80,'Swing Joints Components'!$A$9:$M$134,9,FALSE),
IF($A80&lt;Nonstandard!$A$42,VLOOKUP($A80,Nonstandard!$A$31:$J$41,8,FALSE),"")))))))))))))))))))))))))))),"")</f>
        <v/>
      </c>
      <c r="G80" s="540" t="str">
        <f>IFERROR(IF($A80&lt;'DWV PVC'!$A$317,VLOOKUP($A80,'DWV PVC'!$A$9:$M$316,11,FALSE),
IF($A80&lt;'DWV ABS'!$A$117,VLOOKUP($A80,'DWV ABS'!$A$8:$M$116,11,FALSE),                                                                                                                                                                                                                                                     IF($A80&lt;'PVC SCH40'!$A$425,VLOOKUP($A80,'PVC SCH40'!$A$8:$M$424,11,FALSE),
IF($A80&lt;'PVC SCH40 LD'!$A$22,VLOOKUP($A80,'PVC SCH40 LD'!$A$8:$M$21,11,FALSE),
IF($A80&lt;'Pool &amp; SPA Sweep Elbows'!$A$12,VLOOKUP($A80,'Pool &amp; SPA Sweep Elbows'!$A$8:$M$11,11,FALSE),
IF($A80&lt;'Pool &amp; SPA Pipe Extender'!$A$11,VLOOKUP($A80,'Pool &amp; SPA Pipe Extender'!$A$8:$M$10,11,FALSE),
IF($A80&lt;'PVC SCH80'!$A$250,VLOOKUP($A80,'PVC SCH80'!$A$8:$M$249,11,FALSE),
IF($A80&lt;'PVC SCH80 Flange'!$A$49,VLOOKUP($A80,'PVC SCH80 Flange'!$A$8:$M$48,11,FALSE),
IF($A80&lt;'PVC SCH80 LD Flange'!$A$17,VLOOKUP($A80,'PVC SCH80 LD Flange'!$A$8:$M$16,11,FALSE),
IF($A80&lt;CPVC!$A$105,VLOOKUP($A80,CPVC!$A$9:$M$104,11,FALSE),
IF($A80&lt;InsertFittings!$A$185,VLOOKUP($A80,InsertFittings!$A$9:$M$184,11,FALSE),
IF($A80&lt;Valves!$A$92,VLOOKUP($A80,Valves!$A$9:$Q$91,15,FALSE),
IF($A80&lt;SDR35SW!$A$133,VLOOKUP($A80,SDR35SW!$A$9:$M$132,11,FALSE),
IF($A80&lt;SDR35G!$A$151,VLOOKUP($A80,SDR35G!$A$9:$M$150,11,FALSE),                                                                                                                                                                                                                                                          IF($A80&lt;SDR26G!$A$67,VLOOKUP($A80,SDR26G!$A$9:$N$66,12,FALSE),                                                                                                                                                                                                                                                       IF($A80&lt;Cements!$A$95,VLOOKUP($A80,Cements!$A$8:$Q$94,15,FALSE),
IF($A80&lt;ValveBox!$A$124,VLOOKUP($A80,ValveBox!$A$9:$O$123,13,FALSE),
IF($A80&lt;'ValveBox Components'!$A$142,VLOOKUP($A80,'ValveBox Components'!$A$9:$N$141,12,FALSE),
IF($A80&lt;Drainage!$A$69,VLOOKUP($A80,Drainage!$A$8:$M$68,11,FALSE),                                                                                                                                                                                                                                                           IF($A80&lt;Nipples!$A$82,VLOOKUP($A80,Nipples!$A$9:$Q$81,15,FALSE),
IF($A80&lt;Manifold!$A$33,VLOOKUP($A80,Manifold!$A$9:$M$32,11,FALSE),
IF($A80&lt;FlexibleRepairCouplings!$A$12,VLOOKUP($A80,FlexibleRepairCouplings!$A$9:$M$11,11,FALSE),
IF($A80&lt;DuraFix!$A$15,VLOOKUP($A80,DuraFix!$A$9:$M$14,11,FALSE),                                                                                                                                                                                                                                                            IF($A80&lt;'Compression Fittings'!$A$16,VLOOKUP($A80,'Compression Fittings'!$A$8:$M$15,11,FALSE),
IF($A80&lt;'Hose Fittings'!$A$30,VLOOKUP($A80,'Hose Fittings'!$A$8:$M$29,11,FALSE),
IF($A80&lt;'Swing Joints'!$A$495,VLOOKUP($A80,'Swing Joints'!$A$9:$M$494,11,FALSE),
IF($A80&lt;'Swing Joints Components'!$A$135,VLOOKUP($A80,'Swing Joints Components'!$A$9:$M$134,11,FALSE),
IF($A80&lt;Nonstandard!$A$42,VLOOKUP($A80,Nonstandard!$A$31:$J$41,10,FALSE),"")))))))))))))))))))))))))))),"")</f>
        <v/>
      </c>
      <c r="H80" s="620" t="str">
        <f>IFERROR(IF($A80&lt;'DWV PVC'!$A$317,VLOOKUP($A80,'DWV PVC'!$A$9:$M$316,7,FALSE),
IF($A80&lt;'DWV ABS'!$A$117,VLOOKUP($A80,'DWV ABS'!$A$8:$M$116,11,FALSE),                                                                                                                                                                                                                                                     IF($A80&lt;'PVC SCH40'!$A$425,VLOOKUP($A80,'PVC SCH40'!$A$8:$M$424,7,FALSE),
IF($A80&lt;'PVC SCH40 LD'!$A$22,VLOOKUP($A80,'PVC SCH40 LD'!$A$8:$M$21,7,FALSE),
IF($A80&lt;'Pool &amp; SPA Sweep Elbows'!$A$12,VLOOKUP($A80,'Pool &amp; SPA Sweep Elbows'!$A$8:$M$11,7,FALSE),
IF($A80&lt;'Pool &amp; SPA Pipe Extender'!$A$11,VLOOKUP($A80,'Pool &amp; SPA Pipe Extender'!$A$8:$M$10,7,FALSE),
IF($A80&lt;'PVC SCH80'!$A$250,VLOOKUP($A80,'PVC SCH80'!$A$8:$M$249,7,FALSE),
IF($A80&lt;'PVC SCH80 Flange'!$A$49,VLOOKUP($A80,'PVC SCH80 Flange'!$A$8:$M$48,7,FALSE),
IF($A80&lt;'PVC SCH80 LD Flange'!$A$17,VLOOKUP($A80,'PVC SCH80 LD Flange'!$A$8:$M$16,7,FALSE),
IF($A80&lt;CPVC!$A$105,VLOOKUP($A80,CPVC!$A$9:$M$104,7,FALSE),
IF($A80&lt;InsertFittings!$A$185,VLOOKUP($A80,InsertFittings!$A$9:$M$184,7,FALSE),
IF($A80&lt;Valves!$A$92,VLOOKUP($A80,Valves!$A$9:$Q$91,11,FALSE),
IF($A80&lt;SDR35SW!$A$133,VLOOKUP($A80,SDR35SW!$A$9:$M$132,7,FALSE),
IF($A80&lt;SDR35G!$A$151,VLOOKUP($A80,SDR35G!$A$9:$M$150,7,FALSE),                                                                                                                                                                                                                                                       IF($A80&lt;SDR26G!$A$67,VLOOKUP($A80,SDR26G!$A$9:$N$66,8,FALSE),                                                                                                                                                                                                                                                     IF($A80&lt;Cements!$A$95,VLOOKUP($A80,Cements!$A$8:$Q$94,11,FALSE),
IF($A80&lt;ValveBox!$A$124,VLOOKUP($A80,ValveBox!$A$9:$O$123,10,FALSE),
IF($A80&lt;'ValveBox Components'!$A$142,VLOOKUP($A80,'ValveBox Components'!$A$9:$N$141,9,FALSE),
IF($A80&lt;Drainage!$A$69,VLOOKUP($A80,Drainage!$A$8:$M$68,7,FALSE),                                                                                                                                                                                                                                                          IF($A80&lt;Nipples!$A$82,VLOOKUP($A80,Nipples!$A$9:$Q$81,11,FALSE),
IF($A80&lt;Manifold!$A$33,VLOOKUP($A80,Manifold!$A$9:$M$32,7,FALSE),
IF($A80&lt;FlexibleRepairCouplings!$A$12,VLOOKUP($A80,FlexibleRepairCouplings!$A$9:$M$11,7,FALSE),
IF($A80&lt;DuraFix!$A$15,VLOOKUP($A80,DuraFix!$A$9:$M$14,7,FALSE),                                                                                                                                                                                                                                                           IF($A80&lt;'Compression Fittings'!$A$16,VLOOKUP($A80,'Compression Fittings'!$A$8:$M$15,7,FALSE),
IF($A80&lt;'Hose Fittings'!$A$30,VLOOKUP($A80,'Hose Fittings'!$A$8:$M$29,7,FALSE),
IF($A80&lt;'Swing Joints'!$A$495,VLOOKUP($A80,'Swing Joints'!$A$9:$M$494,7,FALSE),
IF($A80&lt;'Swing Joints Components'!$A$135,VLOOKUP($A80,'Swing Joints Components'!$A$9:$M$134,7,FALSE),
IF($A80&lt;Nonstandard!$A$42,VLOOKUP($A80,Nonstandard!$A$31:$J$41,10,FALSE),"")))))))))))))))))))))))))))),"")</f>
        <v/>
      </c>
      <c r="I80" s="621"/>
      <c r="J80" s="541" t="str">
        <f t="shared" si="1"/>
        <v/>
      </c>
      <c r="K80" s="599" t="str">
        <f>IFERROR(IF($A80&lt;'DWV PVC'!$A$317,VLOOKUP($A80,'DWV PVC'!$A$9:$M$316,10,FALSE),
IF($A80&lt;'DWV ABS'!$A$117,VLOOKUP($A80,'DWV ABS'!$A$8:$M$116,10,FALSE),
IF($A80&lt;'PVC SCH40'!$A$425,VLOOKUP($A80,'PVC SCH40'!$A$8:$M$424,10,FALSE),
IF($A80&lt;'PVC SCH40 LD'!$A$22,VLOOKUP($A80,'PVC SCH40 LD'!$A$8:$M$21,10,FALSE),
IF($A80&lt;'Pool &amp; SPA Sweep Elbows'!$A$12,VLOOKUP($A80,'Pool &amp; SPA Sweep Elbows'!$A$8:$M$11,10,FALSE),
IF($A80&lt;'Pool &amp; SPA Pipe Extender'!$A$11,VLOOKUP($A80,'Pool &amp; SPA Pipe Extender'!$A$8:$M$10,10,FALSE),
IF($A80&lt;'PVC SCH80'!$A$250,VLOOKUP($A80,'PVC SCH80'!$A$8:$M$249,10,FALSE),
IF($A80&lt;'PVC SCH80 Flange'!$A$49,VLOOKUP($A80,'PVC SCH80 Flange'!$A$8:$M$48,10,FALSE),
IF($A80&lt;'PVC SCH80 LD Flange'!$A$17,VLOOKUP($A80,'PVC SCH80 LD Flange'!$A$8:$M$16,10,FALSE),
IF($A80&lt;CPVC!$A$105,VLOOKUP($A80,CPVC!$A$9:$M$104,10,FALSE),
IF($A80&lt;InsertFittings!$A$185,VLOOKUP($A80,InsertFittings!$A$9:$M$184,10,FALSE),
IF($A80&lt;Valves!$A$92,VLOOKUP($A80,Valves!$A$9:$Q$91,14,FALSE),
IF($A80&lt;SDR35SW!$A$133,VLOOKUP($A80,SDR35SW!$A$9:$M$132,10,FALSE),
IF($A80&lt;SDR35G!$A$151,VLOOKUP($A80,SDR35G!$A$9:$M$150,10,FALSE),
IF($A80&lt;SDR26G!$A$67,VLOOKUP($A80,SDR26G!$A$9:$N$66,11,FALSE),
IF($A80&lt;Cements!$A$95,VLOOKUP($A80,Cements!$A$8:$Q$94,14,FALSE),
IF($A80&lt;ValveBox!$A$124,VLOOKUP($A80,ValveBox!$A$9:$O$123,12,FALSE),
IF($A80&lt;'ValveBox Components'!$A$142,VLOOKUP($A80,'ValveBox Components'!$A$9:$N$141,11,FALSE),
IF($A80&lt;Drainage!$A$69,VLOOKUP($A80,Drainage!$A$8:$M$68,10,FALSE),
IF($A80&lt;Nipples!$A$82,VLOOKUP($A80,Nipples!$A$9:$Q$81,14,FALSE),
IF($A80&lt;Manifold!$A$33,VLOOKUP($A80,Manifold!$A$9:$M$32,10,FALSE),
IF($A80&lt;FlexibleRepairCouplings!$A$12,VLOOKUP($A80,FlexibleRepairCouplings!$A$9:$M$11,10,FALSE),
IF($A80&lt;DuraFix!$A$15,VLOOKUP($A80,DuraFix!$A$9:$M$14,10,FALSE),
IF($A80&lt;'Compression Fittings'!$A$16,VLOOKUP($A80,'Compression Fittings'!$A$8:$M$15,10,FALSE),
IF($A80&lt;'Hose Fittings'!$A$30,VLOOKUP($A80,'Hose Fittings'!$A$8:$M$29,10,FALSE),
IF($A80&lt;'Swing Joints'!$A$495,VLOOKUP($A80,'Swing Joints'!$A$9:$M$494,10,FALSE),
IF($A80&lt;'Swing Joints Components'!$A$135,VLOOKUP($A80,'Swing Joints Components'!$A$9:$M$134,10,FALSE),
IF($A80&lt;Nonstandard!$A$42,VLOOKUP($A80,Nonstandard!$A$31:$J$41,10,FALSE),"")))))))))))))))))))))))))))),"")</f>
        <v/>
      </c>
      <c r="L80" s="539" t="str">
        <f t="shared" si="0"/>
        <v>-</v>
      </c>
      <c r="M80" s="542"/>
    </row>
    <row r="81" spans="1:13" ht="15.6">
      <c r="A81" s="312">
        <v>49</v>
      </c>
      <c r="B81" s="312" t="str">
        <f>IFERROR(IF($A81&lt;'DWV PVC'!$A$317,VLOOKUP($A81,'DWV PVC'!$A$9:$M$316,4,FALSE),
IF($A81&lt;'DWV ABS'!$A$117,VLOOKUP($A81,'DWV ABS'!$A$8:$M$116,4,FALSE),
IF($A81&lt;'PVC SCH40'!$A$425,VLOOKUP($A81,'PVC SCH40'!$A$8:$M$424,4,FALSE),
IF($A81&lt;'PVC SCH40 LD'!$A$22,VLOOKUP($A81,'PVC SCH40 LD'!$A$8:$M$21,4,FALSE),
IF($A81&lt;'Pool &amp; SPA Sweep Elbows'!$A$12,VLOOKUP($A81,'Pool &amp; SPA Sweep Elbows'!$A$8:$M$11,4,FALSE),
IF($A81&lt;'Pool &amp; SPA Pipe Extender'!$A$11,VLOOKUP($A81,'Pool &amp; SPA Pipe Extender'!$A$8:$M$10,4,FALSE),
IF($A81&lt;'PVC SCH80'!$A$250,VLOOKUP($A81,'PVC SCH80'!$A$8:$M$249,4,FALSE),
IF($A81&lt;'PVC SCH80 Flange'!$A$49,VLOOKUP($A81,'PVC SCH80 Flange'!$A$8:$M$48,4,FALSE),
IF($A81&lt;'PVC SCH80 LD Flange'!$A$17,VLOOKUP($A81,'PVC SCH80 LD Flange'!$A$8:$M$16,4,FALSE),
IF($A81&lt;CPVC!$A$105,VLOOKUP($A81,CPVC!$A$9:$M$104,4,FALSE),
IF($A81&lt;InsertFittings!$A$185,VLOOKUP($A81,InsertFittings!$A$9:$M$184,4,FALSE),
IF($A81&lt;Valves!$A$92,VLOOKUP($A81,Valves!$A$9:$Q$91,4,FALSE),
IF($A81&lt;SDR35SW!$A$133,VLOOKUP($A81,SDR35SW!$A$9:$M$132,4,FALSE),
IF($A81&lt;SDR35G!$A$151,VLOOKUP($A81,SDR35G!$A$9:$M$150,4,FALSE),
IF($A81&lt;SDR26G!$A$67,VLOOKUP($A81,SDR26G!$A$9:$N$66,5,FALSE),
IF($A81&lt;Cements!$A$95,VLOOKUP($A81,Cements!$A$8:$Q$94,4,FALSE),
IF($A81&lt;ValveBox!$A$124,VLOOKUP($A81,ValveBox!$A$9:$O$123,4,FALSE),
IF($A81&lt;'ValveBox Components'!$A$142,VLOOKUP($A81,'ValveBox Components'!$A$9:$N$141,4,FALSE),
IF($A81&lt;Drainage!$A$69,VLOOKUP($A81,Drainage!$A$8:$M$68,4,FALSE),
IF($A81&lt;Nipples!$A$82,VLOOKUP($A81,Nipples!$A$9:$Q$81,4,FALSE),
IF($A81&lt;Manifold!$A$33,VLOOKUP($A81,Manifold!$A$9:$M$32,4,FALSE),
IF($A81&lt;FlexibleRepairCouplings!$A$12,VLOOKUP($A81,FlexibleRepairCouplings!$A$9:$M$11,4,FALSE),
IF($A81&lt;DuraFix!$A$15,VLOOKUP($A81,DuraFix!$A$9:$M$14,4,FALSE),
IF($A81&lt;'Compression Fittings'!$A$16,VLOOKUP($A81,'Compression Fittings'!$A$8:$M$15,4,FALSE),
IF($A81&lt;'Hose Fittings'!$A$30,VLOOKUP($A81,'Hose Fittings'!$A$8:$M$29,4,FALSE),
IF($A81&lt;'Swing Joints'!$A$495,VLOOKUP($A81,'Swing Joints'!$A$9:$M$494,4,FALSE),
IF($A81&lt;'Swing Joints Components'!$A$135,VLOOKUP($A81,'Swing Joints Components'!$A$9:$M$134,4,FALSE),
IF($A81&lt;Nonstandard!$A$42,VLOOKUP($A81,Nonstandard!$A$31:$J$41,5,FALSE),"")))))))))))))))))))))))))))),"")</f>
        <v/>
      </c>
      <c r="C81" s="312" t="str">
        <f>IFERROR(IF($A81&lt;'DWV PVC'!$A$317,VLOOKUP($A81,'DWV PVC'!$A$9:$M$316,5,FALSE),
IF($A81&lt;'DWV ABS'!$A$117,VLOOKUP($A81,'DWV ABS'!$A$8:$M$116,5,FALSE),
IF($A81&lt;'PVC SCH40'!$A$425,VLOOKUP($A81,'PVC SCH40'!$A$8:$M$424,5,FALSE),
IF($A81&lt;'PVC SCH40 LD'!$A$22,VLOOKUP($A81,'PVC SCH40 LD'!$A$8:$M$21,5,FALSE),
IF($A81&lt;'Pool &amp; SPA Sweep Elbows'!$A$12,VLOOKUP($A81,'Pool &amp; SPA Sweep Elbows'!$A$8:$M$11,5,FALSE),
IF($A81&lt;'Pool &amp; SPA Pipe Extender'!$A$11,VLOOKUP($A81,'Pool &amp; SPA Pipe Extender'!$A$8:$M$10,5,FALSE),
IF($A81&lt;'PVC SCH80'!$A$250,VLOOKUP($A81,'PVC SCH80'!$A$8:$M$249,5,FALSE),
IF($A81&lt;'PVC SCH80 Flange'!$A$49,VLOOKUP($A81,'PVC SCH80 Flange'!$A$8:$M$48,5,FALSE),
IF($A81&lt;'PVC SCH80 LD Flange'!$A$17,VLOOKUP($A81,'PVC SCH80 LD Flange'!$A$8:$M$16,5,FALSE),
IF($A81&lt;CPVC!$A$105,VLOOKUP($A81,CPVC!$A$9:$M$104,5,FALSE),
IF($A81&lt;InsertFittings!$A$185,VLOOKUP($A81,InsertFittings!$A$9:$M$184,5,FALSE),
IF($A81&lt;Valves!$A$92,VLOOKUP($A81,Valves!$A$9:$Q$91,5,FALSE),
IF($A81&lt;SDR35SW!$A$133,VLOOKUP($A81,SDR35SW!$A$9:$M$132,5,FALSE),
IF($A81&lt;SDR35G!$A$151,VLOOKUP($A81,SDR35G!$A$9:$M$150,5,FALSE),
IF($A81&lt;SDR26G!$A$67,VLOOKUP($A81,SDR26G!$A$9:$N$66,6,FALSE),
IF($A81&lt;Cements!$A$95,VLOOKUP($A81,Cements!$A$8:$Q$94,5,FALSE),
IF($A81&lt;ValveBox!$A$124,VLOOKUP($A81,ValveBox!$A$9:$O$123,5,FALSE),
IF($A81&lt;'ValveBox Components'!$A$142,VLOOKUP($A81,'ValveBox Components'!$A$9:$N$141,5,FALSE),
IF($A81&lt;Drainage!$A$69,VLOOKUP($A81,Drainage!$A$8:$M$68,5,FALSE),
IF($A81&lt;Nipples!$A$82,VLOOKUP($A81,Nipples!$A$9:$Q$81,5,FALSE),
IF($A81&lt;Manifold!$A$33,VLOOKUP($A81,Manifold!$A$9:$M$32,5,FALSE),
IF($A81&lt;FlexibleRepairCouplings!$A$12,VLOOKUP($A81,FlexibleRepairCouplings!$A$9:$M$11,5,FALSE),
IF($A81&lt;DuraFix!$A$15,VLOOKUP($A81,DuraFix!$A$9:$M$14,5,FALSE),
IF($A81&lt;'Compression Fittings'!$A$16,VLOOKUP($A81,'Compression Fittings'!$A$8:$M$15,5,FALSE),
IF($A81&lt;'Hose Fittings'!$A$30,VLOOKUP($A81,'Hose Fittings'!$A$8:$M$29,5,FALSE),
IF($A81&lt;'Swing Joints'!$A$495,VLOOKUP($A81,'Swing Joints'!$A$9:$M$494,5,FALSE),
IF($A81&lt;'Swing Joints Components'!$A$135,VLOOKUP($A81,'Swing Joints Components'!$A$9:$M$134,5,FALSE),
IF($A81&lt;Nonstandard!$A$42,VLOOKUP($A81,Nonstandard!$A$31:$J$41,6,FALSE),"")))))))))))))))))))))))))))),"")</f>
        <v/>
      </c>
      <c r="D81" s="534" t="str">
        <f>IFERROR(IF($A81&lt;'DWV PVC'!$A$317,VLOOKUP($A81,'DWV PVC'!$A$9:$M$316,6,FALSE),
IF($A81&lt;'DWV ABS'!$A$117,VLOOKUP($A81,'DWV ABS'!$A$8:$M$116,6,FALSE),
IF($A81&lt;'PVC SCH40'!$A$425,VLOOKUP($A81,'PVC SCH40'!$A$8:$M$424,6,FALSE),
IF($A81&lt;'PVC SCH40 LD'!$A$22,VLOOKUP($A81,'PVC SCH40 LD'!$A$8:$M$21,6,FALSE),
IF($A81&lt;'Pool &amp; SPA Sweep Elbows'!$A$12,VLOOKUP($A81,'Pool &amp; SPA Sweep Elbows'!$A$8:$M$11,6,FALSE),
IF($A81&lt;'Pool &amp; SPA Pipe Extender'!$A$11,VLOOKUP($A81,'Pool &amp; SPA Pipe Extender'!$A$8:$M$10,6,FALSE),
IF($A81&lt;'PVC SCH80'!$A$250,VLOOKUP($A81,'PVC SCH80'!$A$8:$M$249,6,FALSE),
IF($A81&lt;'PVC SCH80 Flange'!$A$49,VLOOKUP($A81,'PVC SCH80 Flange'!$A$8:$M$48,6,FALSE),
IF($A81&lt;'PVC SCH80 LD Flange'!$A$17,VLOOKUP($A81,'PVC SCH80 LD Flange'!$A$8:$M$16,6,FALSE),
IF($A81&lt;CPVC!$A$105,VLOOKUP($A81,CPVC!$A$9:$M$104,6,FALSE),
IF($A81&lt;InsertFittings!$A$185,VLOOKUP($A81,InsertFittings!$A$9:$M$184,6,FALSE),
IF($A81&lt;Valves!$A$92,VLOOKUP($A81,Valves!$A$9:$Q$91,6,FALSE),
IF($A81&lt;SDR35SW!$A$133,VLOOKUP($A81,SDR35SW!$A$9:$M$132,6,FALSE),
IF($A81&lt;SDR35G!$A$151,VLOOKUP($A81,SDR35G!$A$9:$M$150,6,FALSE),
IF($A81&lt;SDR26G!$A$67,VLOOKUP($A81,SDR26G!$A$9:$N$66,7,FALSE),
IF($A81&lt;Cements!$A$95,VLOOKUP($A81,Cements!$A$8:$Q$94,6,FALSE),
IF($A81&lt;ValveBox!$A$124,VLOOKUP($A81,ValveBox!$A$9:$O$123,6,FALSE),
IF($A81&lt;'ValveBox Components'!$A$142,VLOOKUP($A81,'ValveBox Components'!$A$9:$N$141,6,FALSE),
IF($A81&lt;Drainage!$A$69,VLOOKUP($A81,Drainage!$A$8:$M$68,6,FALSE),
IF($A81&lt;Nipples!$A$82,VLOOKUP($A81,Nipples!$A$9:$Q$81,6,FALSE),
IF($A81&lt;Manifold!$A$33,VLOOKUP($A81,Manifold!$A$9:$M$32,6,FALSE),
IF($A81&lt;FlexibleRepairCouplings!$A$12,VLOOKUP($A81,FlexibleRepairCouplings!$A$9:$M$11,6,FALSE),
IF($A81&lt;DuraFix!$A$15,VLOOKUP($A81,DuraFix!$A$9:$M$14,6,FALSE),
IF($A81&lt;'Compression Fittings'!$A$16,VLOOKUP($A81,'Compression Fittings'!$A$8:$M$15,6,FALSE),
IF($A81&lt;'Hose Fittings'!$A$30,VLOOKUP($A81,'Hose Fittings'!$A$8:$M$29,6,FALSE),
IF($A81&lt;'Swing Joints'!$A$495,VLOOKUP($A81,'Swing Joints'!$A$9:$M$494,6,FALSE),
IF($A81&lt;'Swing Joints Components'!$A$135,VLOOKUP($A81,'Swing Joints Components'!$A$9:$M$134,6,FALSE),
IF($A81&lt;Nonstandard!$A$42,VLOOKUP($A81,Nonstandard!$A$31:$J$41,7,FALSE),"")))))))))))))))))))))))))))),"")</f>
        <v/>
      </c>
      <c r="E81" s="316"/>
      <c r="F81" s="314" t="str">
        <f>IFERROR(IF($A81&lt;'DWV PVC'!$A$317,VLOOKUP($A81,'DWV PVC'!$A$9:$M$316,9,FALSE),
IF($A81&lt;'DWV ABS'!$A$117,VLOOKUP($A81,'DWV ABS'!$A$8:$M$116,9,FALSE),                                                                                                                                                                                                                                                     IF($A81&lt;'PVC SCH40'!$A$425,VLOOKUP($A81,'PVC SCH40'!$A$8:$M$424,9,FALSE),
IF($A81&lt;'PVC SCH40 LD'!$A$22,VLOOKUP($A81,'PVC SCH40 LD'!$A$8:$M$21,9,FALSE),
IF($A81&lt;'Pool &amp; SPA Sweep Elbows'!$A$12,VLOOKUP($A81,'Pool &amp; SPA Sweep Elbows'!$A$8:$M$11,9,FALSE),
IF($A81&lt;'Pool &amp; SPA Pipe Extender'!$A$11,VLOOKUP($A81,'Pool &amp; SPA Pipe Extender'!$A$8:$M$10,9,FALSE),
IF($A81&lt;'PVC SCH80'!$A$250,VLOOKUP($A81,'PVC SCH80'!$A$8:$M$249,9,FALSE),
IF($A81&lt;'PVC SCH80 Flange'!$A$49,VLOOKUP($A81,'PVC SCH80 Flange'!$A$8:$M$48,9,FALSE),
IF($A81&lt;'PVC SCH80 LD Flange'!$A$17,VLOOKUP($A81,'PVC SCH80 LD Flange'!$A$8:$M$16,9,FALSE),
IF($A81&lt;CPVC!$A$105,VLOOKUP($A81,CPVC!$A$9:$M$104,9,FALSE),
IF($A81&lt;InsertFittings!$A$185,VLOOKUP($A81,InsertFittings!$A$9:$M$184,9,FALSE),
IF($A81&lt;Valves!$A$92,VLOOKUP($A81,Valves!$A$9:$Q$91,13,FALSE),
IF($A81&lt;SDR35SW!$A$133,VLOOKUP($A81,SDR35SW!$A$9:$M$132,9,FALSE),
IF($A81&lt;SDR35G!$A$151,VLOOKUP($A81,SDR35G!$A$9:$M$150,9,FALSE),                                                                                                                                                                                                                                                          IF($A81&lt;SDR26G!$A$67,VLOOKUP($A81,SDR26G!$A$9:$N$66,10,FALSE),                                                                                                                                                                                                                                                       IF($A81&lt;Cements!$A$95,VLOOKUP($A81,Cements!$A$8:$Q$94,13,FALSE),
IF($A81&lt;ValveBox!$A$124,VLOOKUP($A81,ValveBox!$A$9:$O$123,11,FALSE),
IF($A81&lt;'ValveBox Components'!$A$142,VLOOKUP($A81,'ValveBox Components'!$A$9:$N$141,10,FALSE),
IF($A81&lt;Drainage!$A$69,VLOOKUP($A81,Drainage!$A$8:$M$68,9,FALSE),                                                                                                                                                                                                                                                              IF($A81&lt;Nipples!$A$82,VLOOKUP($A81,Nipples!$A$9:$Q$81,13,FALSE),
IF($A81&lt;Manifold!$A$33,VLOOKUP($A81,Manifold!$A$9:$M$32,9,FALSE),
IF($A81&lt;FlexibleRepairCouplings!$A$12,VLOOKUP($A81,FlexibleRepairCouplings!$A$9:$M$11,9,FALSE),
IF($A81&lt;DuraFix!$A$15,VLOOKUP($A81,DuraFix!$A$9:$M$14,9,FALSE),                                                                                                                                                                                                                                                          IF($A81&lt;'Compression Fittings'!$A$16,VLOOKUP($A81,'Compression Fittings'!$A$8:$M$15,9,FALSE),
IF($A81&lt;'Hose Fittings'!$A$30,VLOOKUP($A81,'Hose Fittings'!$A$8:$M$29,9,FALSE),
IF($A81&lt;'Swing Joints'!$A$495,VLOOKUP($A81,'Swing Joints'!$A$9:$M$494,9,FALSE),
IF($A81&lt;'Swing Joints Components'!$A$135,VLOOKUP($A81,'Swing Joints Components'!$A$9:$M$134,9,FALSE),
IF($A81&lt;Nonstandard!$A$42,VLOOKUP($A81,Nonstandard!$A$31:$J$41,8,FALSE),"")))))))))))))))))))))))))))),"")</f>
        <v/>
      </c>
      <c r="G81" s="533" t="str">
        <f>IFERROR(IF($A81&lt;'DWV PVC'!$A$317,VLOOKUP($A81,'DWV PVC'!$A$9:$M$316,11,FALSE),
IF($A81&lt;'DWV ABS'!$A$117,VLOOKUP($A81,'DWV ABS'!$A$8:$M$116,11,FALSE),                                                                                                                                                                                                                                                     IF($A81&lt;'PVC SCH40'!$A$425,VLOOKUP($A81,'PVC SCH40'!$A$8:$M$424,11,FALSE),
IF($A81&lt;'PVC SCH40 LD'!$A$22,VLOOKUP($A81,'PVC SCH40 LD'!$A$8:$M$21,11,FALSE),
IF($A81&lt;'Pool &amp; SPA Sweep Elbows'!$A$12,VLOOKUP($A81,'Pool &amp; SPA Sweep Elbows'!$A$8:$M$11,11,FALSE),
IF($A81&lt;'Pool &amp; SPA Pipe Extender'!$A$11,VLOOKUP($A81,'Pool &amp; SPA Pipe Extender'!$A$8:$M$10,11,FALSE),
IF($A81&lt;'PVC SCH80'!$A$250,VLOOKUP($A81,'PVC SCH80'!$A$8:$M$249,11,FALSE),
IF($A81&lt;'PVC SCH80 Flange'!$A$49,VLOOKUP($A81,'PVC SCH80 Flange'!$A$8:$M$48,11,FALSE),
IF($A81&lt;'PVC SCH80 LD Flange'!$A$17,VLOOKUP($A81,'PVC SCH80 LD Flange'!$A$8:$M$16,11,FALSE),
IF($A81&lt;CPVC!$A$105,VLOOKUP($A81,CPVC!$A$9:$M$104,11,FALSE),
IF($A81&lt;InsertFittings!$A$185,VLOOKUP($A81,InsertFittings!$A$9:$M$184,11,FALSE),
IF($A81&lt;Valves!$A$92,VLOOKUP($A81,Valves!$A$9:$Q$91,15,FALSE),
IF($A81&lt;SDR35SW!$A$133,VLOOKUP($A81,SDR35SW!$A$9:$M$132,11,FALSE),
IF($A81&lt;SDR35G!$A$151,VLOOKUP($A81,SDR35G!$A$9:$M$150,11,FALSE),                                                                                                                                                                                                                                                          IF($A81&lt;SDR26G!$A$67,VLOOKUP($A81,SDR26G!$A$9:$N$66,12,FALSE),                                                                                                                                                                                                                                                       IF($A81&lt;Cements!$A$95,VLOOKUP($A81,Cements!$A$8:$Q$94,15,FALSE),
IF($A81&lt;ValveBox!$A$124,VLOOKUP($A81,ValveBox!$A$9:$O$123,13,FALSE),
IF($A81&lt;'ValveBox Components'!$A$142,VLOOKUP($A81,'ValveBox Components'!$A$9:$N$141,12,FALSE),
IF($A81&lt;Drainage!$A$69,VLOOKUP($A81,Drainage!$A$8:$M$68,11,FALSE),                                                                                                                                                                                                                                                           IF($A81&lt;Nipples!$A$82,VLOOKUP($A81,Nipples!$A$9:$Q$81,15,FALSE),
IF($A81&lt;Manifold!$A$33,VLOOKUP($A81,Manifold!$A$9:$M$32,11,FALSE),
IF($A81&lt;FlexibleRepairCouplings!$A$12,VLOOKUP($A81,FlexibleRepairCouplings!$A$9:$M$11,11,FALSE),
IF($A81&lt;DuraFix!$A$15,VLOOKUP($A81,DuraFix!$A$9:$M$14,11,FALSE),                                                                                                                                                                                                                                                            IF($A81&lt;'Compression Fittings'!$A$16,VLOOKUP($A81,'Compression Fittings'!$A$8:$M$15,11,FALSE),
IF($A81&lt;'Hose Fittings'!$A$30,VLOOKUP($A81,'Hose Fittings'!$A$8:$M$29,11,FALSE),
IF($A81&lt;'Swing Joints'!$A$495,VLOOKUP($A81,'Swing Joints'!$A$9:$M$494,11,FALSE),
IF($A81&lt;'Swing Joints Components'!$A$135,VLOOKUP($A81,'Swing Joints Components'!$A$9:$M$134,11,FALSE),
IF($A81&lt;Nonstandard!$A$42,VLOOKUP($A81,Nonstandard!$A$31:$J$41,10,FALSE),"")))))))))))))))))))))))))))),"")</f>
        <v/>
      </c>
      <c r="H81" s="618" t="str">
        <f>IFERROR(IF($A81&lt;'DWV PVC'!$A$317,VLOOKUP($A81,'DWV PVC'!$A$9:$M$316,7,FALSE),
IF($A81&lt;'DWV ABS'!$A$117,VLOOKUP($A81,'DWV ABS'!$A$8:$M$116,11,FALSE),                                                                                                                                                                                                                                                     IF($A81&lt;'PVC SCH40'!$A$425,VLOOKUP($A81,'PVC SCH40'!$A$8:$M$424,7,FALSE),
IF($A81&lt;'PVC SCH40 LD'!$A$22,VLOOKUP($A81,'PVC SCH40 LD'!$A$8:$M$21,7,FALSE),
IF($A81&lt;'Pool &amp; SPA Sweep Elbows'!$A$12,VLOOKUP($A81,'Pool &amp; SPA Sweep Elbows'!$A$8:$M$11,7,FALSE),
IF($A81&lt;'Pool &amp; SPA Pipe Extender'!$A$11,VLOOKUP($A81,'Pool &amp; SPA Pipe Extender'!$A$8:$M$10,7,FALSE),
IF($A81&lt;'PVC SCH80'!$A$250,VLOOKUP($A81,'PVC SCH80'!$A$8:$M$249,7,FALSE),
IF($A81&lt;'PVC SCH80 Flange'!$A$49,VLOOKUP($A81,'PVC SCH80 Flange'!$A$8:$M$48,7,FALSE),
IF($A81&lt;'PVC SCH80 LD Flange'!$A$17,VLOOKUP($A81,'PVC SCH80 LD Flange'!$A$8:$M$16,7,FALSE),
IF($A81&lt;CPVC!$A$105,VLOOKUP($A81,CPVC!$A$9:$M$104,7,FALSE),
IF($A81&lt;InsertFittings!$A$185,VLOOKUP($A81,InsertFittings!$A$9:$M$184,7,FALSE),
IF($A81&lt;Valves!$A$92,VLOOKUP($A81,Valves!$A$9:$Q$91,11,FALSE),
IF($A81&lt;SDR35SW!$A$133,VLOOKUP($A81,SDR35SW!$A$9:$M$132,7,FALSE),
IF($A81&lt;SDR35G!$A$151,VLOOKUP($A81,SDR35G!$A$9:$M$150,7,FALSE),                                                                                                                                                                                                                                                       IF($A81&lt;SDR26G!$A$67,VLOOKUP($A81,SDR26G!$A$9:$N$66,8,FALSE),                                                                                                                                                                                                                                                     IF($A81&lt;Cements!$A$95,VLOOKUP($A81,Cements!$A$8:$Q$94,11,FALSE),
IF($A81&lt;ValveBox!$A$124,VLOOKUP($A81,ValveBox!$A$9:$O$123,10,FALSE),
IF($A81&lt;'ValveBox Components'!$A$142,VLOOKUP($A81,'ValveBox Components'!$A$9:$N$141,9,FALSE),
IF($A81&lt;Drainage!$A$69,VLOOKUP($A81,Drainage!$A$8:$M$68,7,FALSE),                                                                                                                                                                                                                                                          IF($A81&lt;Nipples!$A$82,VLOOKUP($A81,Nipples!$A$9:$Q$81,11,FALSE),
IF($A81&lt;Manifold!$A$33,VLOOKUP($A81,Manifold!$A$9:$M$32,7,FALSE),
IF($A81&lt;FlexibleRepairCouplings!$A$12,VLOOKUP($A81,FlexibleRepairCouplings!$A$9:$M$11,7,FALSE),
IF($A81&lt;DuraFix!$A$15,VLOOKUP($A81,DuraFix!$A$9:$M$14,7,FALSE),                                                                                                                                                                                                                                                           IF($A81&lt;'Compression Fittings'!$A$16,VLOOKUP($A81,'Compression Fittings'!$A$8:$M$15,7,FALSE),
IF($A81&lt;'Hose Fittings'!$A$30,VLOOKUP($A81,'Hose Fittings'!$A$8:$M$29,7,FALSE),
IF($A81&lt;'Swing Joints'!$A$495,VLOOKUP($A81,'Swing Joints'!$A$9:$M$494,7,FALSE),
IF($A81&lt;'Swing Joints Components'!$A$135,VLOOKUP($A81,'Swing Joints Components'!$A$9:$M$134,7,FALSE),
IF($A81&lt;Nonstandard!$A$42,VLOOKUP($A81,Nonstandard!$A$31:$J$41,10,FALSE),"")))))))))))))))))))))))))))),"")</f>
        <v/>
      </c>
      <c r="I81" s="619"/>
      <c r="J81" s="281" t="str">
        <f t="shared" si="1"/>
        <v/>
      </c>
      <c r="K81" s="313" t="str">
        <f>IFERROR(IF($A81&lt;'DWV PVC'!$A$317,VLOOKUP($A81,'DWV PVC'!$A$9:$M$316,10,FALSE),
IF($A81&lt;'DWV ABS'!$A$117,VLOOKUP($A81,'DWV ABS'!$A$8:$M$116,10,FALSE),
IF($A81&lt;'PVC SCH40'!$A$425,VLOOKUP($A81,'PVC SCH40'!$A$8:$M$424,10,FALSE),
IF($A81&lt;'PVC SCH40 LD'!$A$22,VLOOKUP($A81,'PVC SCH40 LD'!$A$8:$M$21,10,FALSE),
IF($A81&lt;'Pool &amp; SPA Sweep Elbows'!$A$12,VLOOKUP($A81,'Pool &amp; SPA Sweep Elbows'!$A$8:$M$11,10,FALSE),
IF($A81&lt;'Pool &amp; SPA Pipe Extender'!$A$11,VLOOKUP($A81,'Pool &amp; SPA Pipe Extender'!$A$8:$M$10,10,FALSE),
IF($A81&lt;'PVC SCH80'!$A$250,VLOOKUP($A81,'PVC SCH80'!$A$8:$M$249,10,FALSE),
IF($A81&lt;'PVC SCH80 Flange'!$A$49,VLOOKUP($A81,'PVC SCH80 Flange'!$A$8:$M$48,10,FALSE),
IF($A81&lt;'PVC SCH80 LD Flange'!$A$17,VLOOKUP($A81,'PVC SCH80 LD Flange'!$A$8:$M$16,10,FALSE),
IF($A81&lt;CPVC!$A$105,VLOOKUP($A81,CPVC!$A$9:$M$104,10,FALSE),
IF($A81&lt;InsertFittings!$A$185,VLOOKUP($A81,InsertFittings!$A$9:$M$184,10,FALSE),
IF($A81&lt;Valves!$A$92,VLOOKUP($A81,Valves!$A$9:$Q$91,14,FALSE),
IF($A81&lt;SDR35SW!$A$133,VLOOKUP($A81,SDR35SW!$A$9:$M$132,10,FALSE),
IF($A81&lt;SDR35G!$A$151,VLOOKUP($A81,SDR35G!$A$9:$M$150,10,FALSE),
IF($A81&lt;SDR26G!$A$67,VLOOKUP($A81,SDR26G!$A$9:$N$66,11,FALSE),
IF($A81&lt;Cements!$A$95,VLOOKUP($A81,Cements!$A$8:$Q$94,14,FALSE),
IF($A81&lt;ValveBox!$A$124,VLOOKUP($A81,ValveBox!$A$9:$O$123,12,FALSE),
IF($A81&lt;'ValveBox Components'!$A$142,VLOOKUP($A81,'ValveBox Components'!$A$9:$N$141,11,FALSE),
IF($A81&lt;Drainage!$A$69,VLOOKUP($A81,Drainage!$A$8:$M$68,10,FALSE),
IF($A81&lt;Nipples!$A$82,VLOOKUP($A81,Nipples!$A$9:$Q$81,14,FALSE),
IF($A81&lt;Manifold!$A$33,VLOOKUP($A81,Manifold!$A$9:$M$32,10,FALSE),
IF($A81&lt;FlexibleRepairCouplings!$A$12,VLOOKUP($A81,FlexibleRepairCouplings!$A$9:$M$11,10,FALSE),
IF($A81&lt;DuraFix!$A$15,VLOOKUP($A81,DuraFix!$A$9:$M$14,10,FALSE),
IF($A81&lt;'Compression Fittings'!$A$16,VLOOKUP($A81,'Compression Fittings'!$A$8:$M$15,10,FALSE),
IF($A81&lt;'Hose Fittings'!$A$30,VLOOKUP($A81,'Hose Fittings'!$A$8:$M$29,10,FALSE),
IF($A81&lt;'Swing Joints'!$A$495,VLOOKUP($A81,'Swing Joints'!$A$9:$M$494,10,FALSE),
IF($A81&lt;'Swing Joints Components'!$A$135,VLOOKUP($A81,'Swing Joints Components'!$A$9:$M$134,10,FALSE),
IF($A81&lt;Nonstandard!$A$42,VLOOKUP($A81,Nonstandard!$A$31:$J$41,10,FALSE),"")))))))))))))))))))))))))))),"")</f>
        <v/>
      </c>
      <c r="L81" s="314" t="str">
        <f t="shared" si="0"/>
        <v>-</v>
      </c>
      <c r="M81" s="315"/>
    </row>
    <row r="82" spans="1:13" ht="15.6">
      <c r="A82" s="536">
        <v>50</v>
      </c>
      <c r="B82" s="536" t="str">
        <f>IFERROR(IF($A82&lt;'DWV PVC'!$A$317,VLOOKUP($A82,'DWV PVC'!$A$9:$M$316,4,FALSE),
IF($A82&lt;'DWV ABS'!$A$117,VLOOKUP($A82,'DWV ABS'!$A$8:$M$116,4,FALSE),
IF($A82&lt;'PVC SCH40'!$A$425,VLOOKUP($A82,'PVC SCH40'!$A$8:$M$424,4,FALSE),
IF($A82&lt;'PVC SCH40 LD'!$A$22,VLOOKUP($A82,'PVC SCH40 LD'!$A$8:$M$21,4,FALSE),
IF($A82&lt;'Pool &amp; SPA Sweep Elbows'!$A$12,VLOOKUP($A82,'Pool &amp; SPA Sweep Elbows'!$A$8:$M$11,4,FALSE),
IF($A82&lt;'Pool &amp; SPA Pipe Extender'!$A$11,VLOOKUP($A82,'Pool &amp; SPA Pipe Extender'!$A$8:$M$10,4,FALSE),
IF($A82&lt;'PVC SCH80'!$A$250,VLOOKUP($A82,'PVC SCH80'!$A$8:$M$249,4,FALSE),
IF($A82&lt;'PVC SCH80 Flange'!$A$49,VLOOKUP($A82,'PVC SCH80 Flange'!$A$8:$M$48,4,FALSE),
IF($A82&lt;'PVC SCH80 LD Flange'!$A$17,VLOOKUP($A82,'PVC SCH80 LD Flange'!$A$8:$M$16,4,FALSE),
IF($A82&lt;CPVC!$A$105,VLOOKUP($A82,CPVC!$A$9:$M$104,4,FALSE),
IF($A82&lt;InsertFittings!$A$185,VLOOKUP($A82,InsertFittings!$A$9:$M$184,4,FALSE),
IF($A82&lt;Valves!$A$92,VLOOKUP($A82,Valves!$A$9:$Q$91,4,FALSE),
IF($A82&lt;SDR35SW!$A$133,VLOOKUP($A82,SDR35SW!$A$9:$M$132,4,FALSE),
IF($A82&lt;SDR35G!$A$151,VLOOKUP($A82,SDR35G!$A$9:$M$150,4,FALSE),
IF($A82&lt;SDR26G!$A$67,VLOOKUP($A82,SDR26G!$A$9:$N$66,5,FALSE),
IF($A82&lt;Cements!$A$95,VLOOKUP($A82,Cements!$A$8:$Q$94,4,FALSE),
IF($A82&lt;ValveBox!$A$124,VLOOKUP($A82,ValveBox!$A$9:$O$123,4,FALSE),
IF($A82&lt;'ValveBox Components'!$A$142,VLOOKUP($A82,'ValveBox Components'!$A$9:$N$141,4,FALSE),
IF($A82&lt;Drainage!$A$69,VLOOKUP($A82,Drainage!$A$8:$M$68,4,FALSE),
IF($A82&lt;Nipples!$A$82,VLOOKUP($A82,Nipples!$A$9:$Q$81,4,FALSE),
IF($A82&lt;Manifold!$A$33,VLOOKUP($A82,Manifold!$A$9:$M$32,4,FALSE),
IF($A82&lt;FlexibleRepairCouplings!$A$12,VLOOKUP($A82,FlexibleRepairCouplings!$A$9:$M$11,4,FALSE),
IF($A82&lt;DuraFix!$A$15,VLOOKUP($A82,DuraFix!$A$9:$M$14,4,FALSE),
IF($A82&lt;'Compression Fittings'!$A$16,VLOOKUP($A82,'Compression Fittings'!$A$8:$M$15,4,FALSE),
IF($A82&lt;'Hose Fittings'!$A$30,VLOOKUP($A82,'Hose Fittings'!$A$8:$M$29,4,FALSE),
IF($A82&lt;'Swing Joints'!$A$495,VLOOKUP($A82,'Swing Joints'!$A$9:$M$494,4,FALSE),
IF($A82&lt;'Swing Joints Components'!$A$135,VLOOKUP($A82,'Swing Joints Components'!$A$9:$M$134,4,FALSE),
IF($A82&lt;Nonstandard!$A$42,VLOOKUP($A82,Nonstandard!$A$31:$J$41,5,FALSE),"")))))))))))))))))))))))))))),"")</f>
        <v/>
      </c>
      <c r="C82" s="536" t="str">
        <f>IFERROR(IF($A82&lt;'DWV PVC'!$A$317,VLOOKUP($A82,'DWV PVC'!$A$9:$M$316,5,FALSE),
IF($A82&lt;'DWV ABS'!$A$117,VLOOKUP($A82,'DWV ABS'!$A$8:$M$116,5,FALSE),
IF($A82&lt;'PVC SCH40'!$A$425,VLOOKUP($A82,'PVC SCH40'!$A$8:$M$424,5,FALSE),
IF($A82&lt;'PVC SCH40 LD'!$A$22,VLOOKUP($A82,'PVC SCH40 LD'!$A$8:$M$21,5,FALSE),
IF($A82&lt;'Pool &amp; SPA Sweep Elbows'!$A$12,VLOOKUP($A82,'Pool &amp; SPA Sweep Elbows'!$A$8:$M$11,5,FALSE),
IF($A82&lt;'Pool &amp; SPA Pipe Extender'!$A$11,VLOOKUP($A82,'Pool &amp; SPA Pipe Extender'!$A$8:$M$10,5,FALSE),
IF($A82&lt;'PVC SCH80'!$A$250,VLOOKUP($A82,'PVC SCH80'!$A$8:$M$249,5,FALSE),
IF($A82&lt;'PVC SCH80 Flange'!$A$49,VLOOKUP($A82,'PVC SCH80 Flange'!$A$8:$M$48,5,FALSE),
IF($A82&lt;'PVC SCH80 LD Flange'!$A$17,VLOOKUP($A82,'PVC SCH80 LD Flange'!$A$8:$M$16,5,FALSE),
IF($A82&lt;CPVC!$A$105,VLOOKUP($A82,CPVC!$A$9:$M$104,5,FALSE),
IF($A82&lt;InsertFittings!$A$185,VLOOKUP($A82,InsertFittings!$A$9:$M$184,5,FALSE),
IF($A82&lt;Valves!$A$92,VLOOKUP($A82,Valves!$A$9:$Q$91,5,FALSE),
IF($A82&lt;SDR35SW!$A$133,VLOOKUP($A82,SDR35SW!$A$9:$M$132,5,FALSE),
IF($A82&lt;SDR35G!$A$151,VLOOKUP($A82,SDR35G!$A$9:$M$150,5,FALSE),
IF($A82&lt;SDR26G!$A$67,VLOOKUP($A82,SDR26G!$A$9:$N$66,6,FALSE),
IF($A82&lt;Cements!$A$95,VLOOKUP($A82,Cements!$A$8:$Q$94,5,FALSE),
IF($A82&lt;ValveBox!$A$124,VLOOKUP($A82,ValveBox!$A$9:$O$123,5,FALSE),
IF($A82&lt;'ValveBox Components'!$A$142,VLOOKUP($A82,'ValveBox Components'!$A$9:$N$141,5,FALSE),
IF($A82&lt;Drainage!$A$69,VLOOKUP($A82,Drainage!$A$8:$M$68,5,FALSE),
IF($A82&lt;Nipples!$A$82,VLOOKUP($A82,Nipples!$A$9:$Q$81,5,FALSE),
IF($A82&lt;Manifold!$A$33,VLOOKUP($A82,Manifold!$A$9:$M$32,5,FALSE),
IF($A82&lt;FlexibleRepairCouplings!$A$12,VLOOKUP($A82,FlexibleRepairCouplings!$A$9:$M$11,5,FALSE),
IF($A82&lt;DuraFix!$A$15,VLOOKUP($A82,DuraFix!$A$9:$M$14,5,FALSE),
IF($A82&lt;'Compression Fittings'!$A$16,VLOOKUP($A82,'Compression Fittings'!$A$8:$M$15,5,FALSE),
IF($A82&lt;'Hose Fittings'!$A$30,VLOOKUP($A82,'Hose Fittings'!$A$8:$M$29,5,FALSE),
IF($A82&lt;'Swing Joints'!$A$495,VLOOKUP($A82,'Swing Joints'!$A$9:$M$494,5,FALSE),
IF($A82&lt;'Swing Joints Components'!$A$135,VLOOKUP($A82,'Swing Joints Components'!$A$9:$M$134,5,FALSE),
IF($A82&lt;Nonstandard!$A$42,VLOOKUP($A82,Nonstandard!$A$31:$J$41,6,FALSE),"")))))))))))))))))))))))))))),"")</f>
        <v/>
      </c>
      <c r="D82" s="537" t="str">
        <f>IFERROR(IF($A82&lt;'DWV PVC'!$A$317,VLOOKUP($A82,'DWV PVC'!$A$9:$M$316,6,FALSE),
IF($A82&lt;'DWV ABS'!$A$117,VLOOKUP($A82,'DWV ABS'!$A$8:$M$116,6,FALSE),
IF($A82&lt;'PVC SCH40'!$A$425,VLOOKUP($A82,'PVC SCH40'!$A$8:$M$424,6,FALSE),
IF($A82&lt;'PVC SCH40 LD'!$A$22,VLOOKUP($A82,'PVC SCH40 LD'!$A$8:$M$21,6,FALSE),
IF($A82&lt;'Pool &amp; SPA Sweep Elbows'!$A$12,VLOOKUP($A82,'Pool &amp; SPA Sweep Elbows'!$A$8:$M$11,6,FALSE),
IF($A82&lt;'Pool &amp; SPA Pipe Extender'!$A$11,VLOOKUP($A82,'Pool &amp; SPA Pipe Extender'!$A$8:$M$10,6,FALSE),
IF($A82&lt;'PVC SCH80'!$A$250,VLOOKUP($A82,'PVC SCH80'!$A$8:$M$249,6,FALSE),
IF($A82&lt;'PVC SCH80 Flange'!$A$49,VLOOKUP($A82,'PVC SCH80 Flange'!$A$8:$M$48,6,FALSE),
IF($A82&lt;'PVC SCH80 LD Flange'!$A$17,VLOOKUP($A82,'PVC SCH80 LD Flange'!$A$8:$M$16,6,FALSE),
IF($A82&lt;CPVC!$A$105,VLOOKUP($A82,CPVC!$A$9:$M$104,6,FALSE),
IF($A82&lt;InsertFittings!$A$185,VLOOKUP($A82,InsertFittings!$A$9:$M$184,6,FALSE),
IF($A82&lt;Valves!$A$92,VLOOKUP($A82,Valves!$A$9:$Q$91,6,FALSE),
IF($A82&lt;SDR35SW!$A$133,VLOOKUP($A82,SDR35SW!$A$9:$M$132,6,FALSE),
IF($A82&lt;SDR35G!$A$151,VLOOKUP($A82,SDR35G!$A$9:$M$150,6,FALSE),
IF($A82&lt;SDR26G!$A$67,VLOOKUP($A82,SDR26G!$A$9:$N$66,7,FALSE),
IF($A82&lt;Cements!$A$95,VLOOKUP($A82,Cements!$A$8:$Q$94,6,FALSE),
IF($A82&lt;ValveBox!$A$124,VLOOKUP($A82,ValveBox!$A$9:$O$123,6,FALSE),
IF($A82&lt;'ValveBox Components'!$A$142,VLOOKUP($A82,'ValveBox Components'!$A$9:$N$141,6,FALSE),
IF($A82&lt;Drainage!$A$69,VLOOKUP($A82,Drainage!$A$8:$M$68,6,FALSE),
IF($A82&lt;Nipples!$A$82,VLOOKUP($A82,Nipples!$A$9:$Q$81,6,FALSE),
IF($A82&lt;Manifold!$A$33,VLOOKUP($A82,Manifold!$A$9:$M$32,6,FALSE),
IF($A82&lt;FlexibleRepairCouplings!$A$12,VLOOKUP($A82,FlexibleRepairCouplings!$A$9:$M$11,6,FALSE),
IF($A82&lt;DuraFix!$A$15,VLOOKUP($A82,DuraFix!$A$9:$M$14,6,FALSE),
IF($A82&lt;'Compression Fittings'!$A$16,VLOOKUP($A82,'Compression Fittings'!$A$8:$M$15,6,FALSE),
IF($A82&lt;'Hose Fittings'!$A$30,VLOOKUP($A82,'Hose Fittings'!$A$8:$M$29,6,FALSE),
IF($A82&lt;'Swing Joints'!$A$495,VLOOKUP($A82,'Swing Joints'!$A$9:$M$494,6,FALSE),
IF($A82&lt;'Swing Joints Components'!$A$135,VLOOKUP($A82,'Swing Joints Components'!$A$9:$M$134,6,FALSE),
IF($A82&lt;Nonstandard!$A$42,VLOOKUP($A82,Nonstandard!$A$31:$J$41,7,FALSE),"")))))))))))))))))))))))))))),"")</f>
        <v/>
      </c>
      <c r="E82" s="538"/>
      <c r="F82" s="539" t="str">
        <f>IFERROR(IF($A82&lt;'DWV PVC'!$A$317,VLOOKUP($A82,'DWV PVC'!$A$9:$M$316,9,FALSE),
IF($A82&lt;'DWV ABS'!$A$117,VLOOKUP($A82,'DWV ABS'!$A$8:$M$116,9,FALSE),                                                                                                                                                                                                                                                     IF($A82&lt;'PVC SCH40'!$A$425,VLOOKUP($A82,'PVC SCH40'!$A$8:$M$424,9,FALSE),
IF($A82&lt;'PVC SCH40 LD'!$A$22,VLOOKUP($A82,'PVC SCH40 LD'!$A$8:$M$21,9,FALSE),
IF($A82&lt;'Pool &amp; SPA Sweep Elbows'!$A$12,VLOOKUP($A82,'Pool &amp; SPA Sweep Elbows'!$A$8:$M$11,9,FALSE),
IF($A82&lt;'Pool &amp; SPA Pipe Extender'!$A$11,VLOOKUP($A82,'Pool &amp; SPA Pipe Extender'!$A$8:$M$10,9,FALSE),
IF($A82&lt;'PVC SCH80'!$A$250,VLOOKUP($A82,'PVC SCH80'!$A$8:$M$249,9,FALSE),
IF($A82&lt;'PVC SCH80 Flange'!$A$49,VLOOKUP($A82,'PVC SCH80 Flange'!$A$8:$M$48,9,FALSE),
IF($A82&lt;'PVC SCH80 LD Flange'!$A$17,VLOOKUP($A82,'PVC SCH80 LD Flange'!$A$8:$M$16,9,FALSE),
IF($A82&lt;CPVC!$A$105,VLOOKUP($A82,CPVC!$A$9:$M$104,9,FALSE),
IF($A82&lt;InsertFittings!$A$185,VLOOKUP($A82,InsertFittings!$A$9:$M$184,9,FALSE),
IF($A82&lt;Valves!$A$92,VLOOKUP($A82,Valves!$A$9:$Q$91,13,FALSE),
IF($A82&lt;SDR35SW!$A$133,VLOOKUP($A82,SDR35SW!$A$9:$M$132,9,FALSE),
IF($A82&lt;SDR35G!$A$151,VLOOKUP($A82,SDR35G!$A$9:$M$150,9,FALSE),                                                                                                                                                                                                                                                          IF($A82&lt;SDR26G!$A$67,VLOOKUP($A82,SDR26G!$A$9:$N$66,10,FALSE),                                                                                                                                                                                                                                                       IF($A82&lt;Cements!$A$95,VLOOKUP($A82,Cements!$A$8:$Q$94,13,FALSE),
IF($A82&lt;ValveBox!$A$124,VLOOKUP($A82,ValveBox!$A$9:$O$123,11,FALSE),
IF($A82&lt;'ValveBox Components'!$A$142,VLOOKUP($A82,'ValveBox Components'!$A$9:$N$141,10,FALSE),
IF($A82&lt;Drainage!$A$69,VLOOKUP($A82,Drainage!$A$8:$M$68,9,FALSE),                                                                                                                                                                                                                                                              IF($A82&lt;Nipples!$A$82,VLOOKUP($A82,Nipples!$A$9:$Q$81,13,FALSE),
IF($A82&lt;Manifold!$A$33,VLOOKUP($A82,Manifold!$A$9:$M$32,9,FALSE),
IF($A82&lt;FlexibleRepairCouplings!$A$12,VLOOKUP($A82,FlexibleRepairCouplings!$A$9:$M$11,9,FALSE),
IF($A82&lt;DuraFix!$A$15,VLOOKUP($A82,DuraFix!$A$9:$M$14,9,FALSE),                                                                                                                                                                                                                                                          IF($A82&lt;'Compression Fittings'!$A$16,VLOOKUP($A82,'Compression Fittings'!$A$8:$M$15,9,FALSE),
IF($A82&lt;'Hose Fittings'!$A$30,VLOOKUP($A82,'Hose Fittings'!$A$8:$M$29,9,FALSE),
IF($A82&lt;'Swing Joints'!$A$495,VLOOKUP($A82,'Swing Joints'!$A$9:$M$494,9,FALSE),
IF($A82&lt;'Swing Joints Components'!$A$135,VLOOKUP($A82,'Swing Joints Components'!$A$9:$M$134,9,FALSE),
IF($A82&lt;Nonstandard!$A$42,VLOOKUP($A82,Nonstandard!$A$31:$J$41,8,FALSE),"")))))))))))))))))))))))))))),"")</f>
        <v/>
      </c>
      <c r="G82" s="540" t="str">
        <f>IFERROR(IF($A82&lt;'DWV PVC'!$A$317,VLOOKUP($A82,'DWV PVC'!$A$9:$M$316,11,FALSE),
IF($A82&lt;'DWV ABS'!$A$117,VLOOKUP($A82,'DWV ABS'!$A$8:$M$116,11,FALSE),                                                                                                                                                                                                                                                     IF($A82&lt;'PVC SCH40'!$A$425,VLOOKUP($A82,'PVC SCH40'!$A$8:$M$424,11,FALSE),
IF($A82&lt;'PVC SCH40 LD'!$A$22,VLOOKUP($A82,'PVC SCH40 LD'!$A$8:$M$21,11,FALSE),
IF($A82&lt;'Pool &amp; SPA Sweep Elbows'!$A$12,VLOOKUP($A82,'Pool &amp; SPA Sweep Elbows'!$A$8:$M$11,11,FALSE),
IF($A82&lt;'Pool &amp; SPA Pipe Extender'!$A$11,VLOOKUP($A82,'Pool &amp; SPA Pipe Extender'!$A$8:$M$10,11,FALSE),
IF($A82&lt;'PVC SCH80'!$A$250,VLOOKUP($A82,'PVC SCH80'!$A$8:$M$249,11,FALSE),
IF($A82&lt;'PVC SCH80 Flange'!$A$49,VLOOKUP($A82,'PVC SCH80 Flange'!$A$8:$M$48,11,FALSE),
IF($A82&lt;'PVC SCH80 LD Flange'!$A$17,VLOOKUP($A82,'PVC SCH80 LD Flange'!$A$8:$M$16,11,FALSE),
IF($A82&lt;CPVC!$A$105,VLOOKUP($A82,CPVC!$A$9:$M$104,11,FALSE),
IF($A82&lt;InsertFittings!$A$185,VLOOKUP($A82,InsertFittings!$A$9:$M$184,11,FALSE),
IF($A82&lt;Valves!$A$92,VLOOKUP($A82,Valves!$A$9:$Q$91,15,FALSE),
IF($A82&lt;SDR35SW!$A$133,VLOOKUP($A82,SDR35SW!$A$9:$M$132,11,FALSE),
IF($A82&lt;SDR35G!$A$151,VLOOKUP($A82,SDR35G!$A$9:$M$150,11,FALSE),                                                                                                                                                                                                                                                          IF($A82&lt;SDR26G!$A$67,VLOOKUP($A82,SDR26G!$A$9:$N$66,12,FALSE),                                                                                                                                                                                                                                                       IF($A82&lt;Cements!$A$95,VLOOKUP($A82,Cements!$A$8:$Q$94,15,FALSE),
IF($A82&lt;ValveBox!$A$124,VLOOKUP($A82,ValveBox!$A$9:$O$123,13,FALSE),
IF($A82&lt;'ValveBox Components'!$A$142,VLOOKUP($A82,'ValveBox Components'!$A$9:$N$141,12,FALSE),
IF($A82&lt;Drainage!$A$69,VLOOKUP($A82,Drainage!$A$8:$M$68,11,FALSE),                                                                                                                                                                                                                                                           IF($A82&lt;Nipples!$A$82,VLOOKUP($A82,Nipples!$A$9:$Q$81,15,FALSE),
IF($A82&lt;Manifold!$A$33,VLOOKUP($A82,Manifold!$A$9:$M$32,11,FALSE),
IF($A82&lt;FlexibleRepairCouplings!$A$12,VLOOKUP($A82,FlexibleRepairCouplings!$A$9:$M$11,11,FALSE),
IF($A82&lt;DuraFix!$A$15,VLOOKUP($A82,DuraFix!$A$9:$M$14,11,FALSE),                                                                                                                                                                                                                                                            IF($A82&lt;'Compression Fittings'!$A$16,VLOOKUP($A82,'Compression Fittings'!$A$8:$M$15,11,FALSE),
IF($A82&lt;'Hose Fittings'!$A$30,VLOOKUP($A82,'Hose Fittings'!$A$8:$M$29,11,FALSE),
IF($A82&lt;'Swing Joints'!$A$495,VLOOKUP($A82,'Swing Joints'!$A$9:$M$494,11,FALSE),
IF($A82&lt;'Swing Joints Components'!$A$135,VLOOKUP($A82,'Swing Joints Components'!$A$9:$M$134,11,FALSE),
IF($A82&lt;Nonstandard!$A$42,VLOOKUP($A82,Nonstandard!$A$31:$J$41,10,FALSE),"")))))))))))))))))))))))))))),"")</f>
        <v/>
      </c>
      <c r="H82" s="620" t="str">
        <f>IFERROR(IF($A82&lt;'DWV PVC'!$A$317,VLOOKUP($A82,'DWV PVC'!$A$9:$M$316,7,FALSE),
IF($A82&lt;'DWV ABS'!$A$117,VLOOKUP($A82,'DWV ABS'!$A$8:$M$116,11,FALSE),                                                                                                                                                                                                                                                     IF($A82&lt;'PVC SCH40'!$A$425,VLOOKUP($A82,'PVC SCH40'!$A$8:$M$424,7,FALSE),
IF($A82&lt;'PVC SCH40 LD'!$A$22,VLOOKUP($A82,'PVC SCH40 LD'!$A$8:$M$21,7,FALSE),
IF($A82&lt;'Pool &amp; SPA Sweep Elbows'!$A$12,VLOOKUP($A82,'Pool &amp; SPA Sweep Elbows'!$A$8:$M$11,7,FALSE),
IF($A82&lt;'Pool &amp; SPA Pipe Extender'!$A$11,VLOOKUP($A82,'Pool &amp; SPA Pipe Extender'!$A$8:$M$10,7,FALSE),
IF($A82&lt;'PVC SCH80'!$A$250,VLOOKUP($A82,'PVC SCH80'!$A$8:$M$249,7,FALSE),
IF($A82&lt;'PVC SCH80 Flange'!$A$49,VLOOKUP($A82,'PVC SCH80 Flange'!$A$8:$M$48,7,FALSE),
IF($A82&lt;'PVC SCH80 LD Flange'!$A$17,VLOOKUP($A82,'PVC SCH80 LD Flange'!$A$8:$M$16,7,FALSE),
IF($A82&lt;CPVC!$A$105,VLOOKUP($A82,CPVC!$A$9:$M$104,7,FALSE),
IF($A82&lt;InsertFittings!$A$185,VLOOKUP($A82,InsertFittings!$A$9:$M$184,7,FALSE),
IF($A82&lt;Valves!$A$92,VLOOKUP($A82,Valves!$A$9:$Q$91,11,FALSE),
IF($A82&lt;SDR35SW!$A$133,VLOOKUP($A82,SDR35SW!$A$9:$M$132,7,FALSE),
IF($A82&lt;SDR35G!$A$151,VLOOKUP($A82,SDR35G!$A$9:$M$150,7,FALSE),                                                                                                                                                                                                                                                       IF($A82&lt;SDR26G!$A$67,VLOOKUP($A82,SDR26G!$A$9:$N$66,8,FALSE),                                                                                                                                                                                                                                                     IF($A82&lt;Cements!$A$95,VLOOKUP($A82,Cements!$A$8:$Q$94,11,FALSE),
IF($A82&lt;ValveBox!$A$124,VLOOKUP($A82,ValveBox!$A$9:$O$123,10,FALSE),
IF($A82&lt;'ValveBox Components'!$A$142,VLOOKUP($A82,'ValveBox Components'!$A$9:$N$141,9,FALSE),
IF($A82&lt;Drainage!$A$69,VLOOKUP($A82,Drainage!$A$8:$M$68,7,FALSE),                                                                                                                                                                                                                                                          IF($A82&lt;Nipples!$A$82,VLOOKUP($A82,Nipples!$A$9:$Q$81,11,FALSE),
IF($A82&lt;Manifold!$A$33,VLOOKUP($A82,Manifold!$A$9:$M$32,7,FALSE),
IF($A82&lt;FlexibleRepairCouplings!$A$12,VLOOKUP($A82,FlexibleRepairCouplings!$A$9:$M$11,7,FALSE),
IF($A82&lt;DuraFix!$A$15,VLOOKUP($A82,DuraFix!$A$9:$M$14,7,FALSE),                                                                                                                                                                                                                                                           IF($A82&lt;'Compression Fittings'!$A$16,VLOOKUP($A82,'Compression Fittings'!$A$8:$M$15,7,FALSE),
IF($A82&lt;'Hose Fittings'!$A$30,VLOOKUP($A82,'Hose Fittings'!$A$8:$M$29,7,FALSE),
IF($A82&lt;'Swing Joints'!$A$495,VLOOKUP($A82,'Swing Joints'!$A$9:$M$494,7,FALSE),
IF($A82&lt;'Swing Joints Components'!$A$135,VLOOKUP($A82,'Swing Joints Components'!$A$9:$M$134,7,FALSE),
IF($A82&lt;Nonstandard!$A$42,VLOOKUP($A82,Nonstandard!$A$31:$J$41,10,FALSE),"")))))))))))))))))))))))))))),"")</f>
        <v/>
      </c>
      <c r="I82" s="621"/>
      <c r="J82" s="541" t="str">
        <f t="shared" si="1"/>
        <v/>
      </c>
      <c r="K82" s="599" t="str">
        <f>IFERROR(IF($A82&lt;'DWV PVC'!$A$317,VLOOKUP($A82,'DWV PVC'!$A$9:$M$316,10,FALSE),
IF($A82&lt;'DWV ABS'!$A$117,VLOOKUP($A82,'DWV ABS'!$A$8:$M$116,10,FALSE),
IF($A82&lt;'PVC SCH40'!$A$425,VLOOKUP($A82,'PVC SCH40'!$A$8:$M$424,10,FALSE),
IF($A82&lt;'PVC SCH40 LD'!$A$22,VLOOKUP($A82,'PVC SCH40 LD'!$A$8:$M$21,10,FALSE),
IF($A82&lt;'Pool &amp; SPA Sweep Elbows'!$A$12,VLOOKUP($A82,'Pool &amp; SPA Sweep Elbows'!$A$8:$M$11,10,FALSE),
IF($A82&lt;'Pool &amp; SPA Pipe Extender'!$A$11,VLOOKUP($A82,'Pool &amp; SPA Pipe Extender'!$A$8:$M$10,10,FALSE),
IF($A82&lt;'PVC SCH80'!$A$250,VLOOKUP($A82,'PVC SCH80'!$A$8:$M$249,10,FALSE),
IF($A82&lt;'PVC SCH80 Flange'!$A$49,VLOOKUP($A82,'PVC SCH80 Flange'!$A$8:$M$48,10,FALSE),
IF($A82&lt;'PVC SCH80 LD Flange'!$A$17,VLOOKUP($A82,'PVC SCH80 LD Flange'!$A$8:$M$16,10,FALSE),
IF($A82&lt;CPVC!$A$105,VLOOKUP($A82,CPVC!$A$9:$M$104,10,FALSE),
IF($A82&lt;InsertFittings!$A$185,VLOOKUP($A82,InsertFittings!$A$9:$M$184,10,FALSE),
IF($A82&lt;Valves!$A$92,VLOOKUP($A82,Valves!$A$9:$Q$91,14,FALSE),
IF($A82&lt;SDR35SW!$A$133,VLOOKUP($A82,SDR35SW!$A$9:$M$132,10,FALSE),
IF($A82&lt;SDR35G!$A$151,VLOOKUP($A82,SDR35G!$A$9:$M$150,10,FALSE),
IF($A82&lt;SDR26G!$A$67,VLOOKUP($A82,SDR26G!$A$9:$N$66,11,FALSE),
IF($A82&lt;Cements!$A$95,VLOOKUP($A82,Cements!$A$8:$Q$94,14,FALSE),
IF($A82&lt;ValveBox!$A$124,VLOOKUP($A82,ValveBox!$A$9:$O$123,12,FALSE),
IF($A82&lt;'ValveBox Components'!$A$142,VLOOKUP($A82,'ValveBox Components'!$A$9:$N$141,11,FALSE),
IF($A82&lt;Drainage!$A$69,VLOOKUP($A82,Drainage!$A$8:$M$68,10,FALSE),
IF($A82&lt;Nipples!$A$82,VLOOKUP($A82,Nipples!$A$9:$Q$81,14,FALSE),
IF($A82&lt;Manifold!$A$33,VLOOKUP($A82,Manifold!$A$9:$M$32,10,FALSE),
IF($A82&lt;FlexibleRepairCouplings!$A$12,VLOOKUP($A82,FlexibleRepairCouplings!$A$9:$M$11,10,FALSE),
IF($A82&lt;DuraFix!$A$15,VLOOKUP($A82,DuraFix!$A$9:$M$14,10,FALSE),
IF($A82&lt;'Compression Fittings'!$A$16,VLOOKUP($A82,'Compression Fittings'!$A$8:$M$15,10,FALSE),
IF($A82&lt;'Hose Fittings'!$A$30,VLOOKUP($A82,'Hose Fittings'!$A$8:$M$29,10,FALSE),
IF($A82&lt;'Swing Joints'!$A$495,VLOOKUP($A82,'Swing Joints'!$A$9:$M$494,10,FALSE),
IF($A82&lt;'Swing Joints Components'!$A$135,VLOOKUP($A82,'Swing Joints Components'!$A$9:$M$134,10,FALSE),
IF($A82&lt;Nonstandard!$A$42,VLOOKUP($A82,Nonstandard!$A$31:$J$41,10,FALSE),"")))))))))))))))))))))))))))),"")</f>
        <v/>
      </c>
      <c r="L82" s="539" t="str">
        <f t="shared" si="0"/>
        <v>-</v>
      </c>
      <c r="M82" s="542"/>
    </row>
    <row r="83" spans="1:13" ht="15.6">
      <c r="A83" s="312">
        <v>51</v>
      </c>
      <c r="B83" s="312" t="str">
        <f>IFERROR(IF($A83&lt;'DWV PVC'!$A$317,VLOOKUP($A83,'DWV PVC'!$A$9:$M$316,4,FALSE),
IF($A83&lt;'DWV ABS'!$A$117,VLOOKUP($A83,'DWV ABS'!$A$8:$M$116,4,FALSE),
IF($A83&lt;'PVC SCH40'!$A$425,VLOOKUP($A83,'PVC SCH40'!$A$8:$M$424,4,FALSE),
IF($A83&lt;'PVC SCH40 LD'!$A$22,VLOOKUP($A83,'PVC SCH40 LD'!$A$8:$M$21,4,FALSE),
IF($A83&lt;'Pool &amp; SPA Sweep Elbows'!$A$12,VLOOKUP($A83,'Pool &amp; SPA Sweep Elbows'!$A$8:$M$11,4,FALSE),
IF($A83&lt;'Pool &amp; SPA Pipe Extender'!$A$11,VLOOKUP($A83,'Pool &amp; SPA Pipe Extender'!$A$8:$M$10,4,FALSE),
IF($A83&lt;'PVC SCH80'!$A$250,VLOOKUP($A83,'PVC SCH80'!$A$8:$M$249,4,FALSE),
IF($A83&lt;'PVC SCH80 Flange'!$A$49,VLOOKUP($A83,'PVC SCH80 Flange'!$A$8:$M$48,4,FALSE),
IF($A83&lt;'PVC SCH80 LD Flange'!$A$17,VLOOKUP($A83,'PVC SCH80 LD Flange'!$A$8:$M$16,4,FALSE),
IF($A83&lt;CPVC!$A$105,VLOOKUP($A83,CPVC!$A$9:$M$104,4,FALSE),
IF($A83&lt;InsertFittings!$A$185,VLOOKUP($A83,InsertFittings!$A$9:$M$184,4,FALSE),
IF($A83&lt;Valves!$A$92,VLOOKUP($A83,Valves!$A$9:$Q$91,4,FALSE),
IF($A83&lt;SDR35SW!$A$133,VLOOKUP($A83,SDR35SW!$A$9:$M$132,4,FALSE),
IF($A83&lt;SDR35G!$A$151,VLOOKUP($A83,SDR35G!$A$9:$M$150,4,FALSE),
IF($A83&lt;SDR26G!$A$67,VLOOKUP($A83,SDR26G!$A$9:$N$66,5,FALSE),
IF($A83&lt;Cements!$A$95,VLOOKUP($A83,Cements!$A$8:$Q$94,4,FALSE),
IF($A83&lt;ValveBox!$A$124,VLOOKUP($A83,ValveBox!$A$9:$O$123,4,FALSE),
IF($A83&lt;'ValveBox Components'!$A$142,VLOOKUP($A83,'ValveBox Components'!$A$9:$N$141,4,FALSE),
IF($A83&lt;Drainage!$A$69,VLOOKUP($A83,Drainage!$A$8:$M$68,4,FALSE),
IF($A83&lt;Nipples!$A$82,VLOOKUP($A83,Nipples!$A$9:$Q$81,4,FALSE),
IF($A83&lt;Manifold!$A$33,VLOOKUP($A83,Manifold!$A$9:$M$32,4,FALSE),
IF($A83&lt;FlexibleRepairCouplings!$A$12,VLOOKUP($A83,FlexibleRepairCouplings!$A$9:$M$11,4,FALSE),
IF($A83&lt;DuraFix!$A$15,VLOOKUP($A83,DuraFix!$A$9:$M$14,4,FALSE),
IF($A83&lt;'Compression Fittings'!$A$16,VLOOKUP($A83,'Compression Fittings'!$A$8:$M$15,4,FALSE),
IF($A83&lt;'Hose Fittings'!$A$30,VLOOKUP($A83,'Hose Fittings'!$A$8:$M$29,4,FALSE),
IF($A83&lt;'Swing Joints'!$A$495,VLOOKUP($A83,'Swing Joints'!$A$9:$M$494,4,FALSE),
IF($A83&lt;'Swing Joints Components'!$A$135,VLOOKUP($A83,'Swing Joints Components'!$A$9:$M$134,4,FALSE),
IF($A83&lt;Nonstandard!$A$42,VLOOKUP($A83,Nonstandard!$A$31:$J$41,5,FALSE),"")))))))))))))))))))))))))))),"")</f>
        <v/>
      </c>
      <c r="C83" s="312" t="str">
        <f>IFERROR(IF($A83&lt;'DWV PVC'!$A$317,VLOOKUP($A83,'DWV PVC'!$A$9:$M$316,5,FALSE),
IF($A83&lt;'DWV ABS'!$A$117,VLOOKUP($A83,'DWV ABS'!$A$8:$M$116,5,FALSE),
IF($A83&lt;'PVC SCH40'!$A$425,VLOOKUP($A83,'PVC SCH40'!$A$8:$M$424,5,FALSE),
IF($A83&lt;'PVC SCH40 LD'!$A$22,VLOOKUP($A83,'PVC SCH40 LD'!$A$8:$M$21,5,FALSE),
IF($A83&lt;'Pool &amp; SPA Sweep Elbows'!$A$12,VLOOKUP($A83,'Pool &amp; SPA Sweep Elbows'!$A$8:$M$11,5,FALSE),
IF($A83&lt;'Pool &amp; SPA Pipe Extender'!$A$11,VLOOKUP($A83,'Pool &amp; SPA Pipe Extender'!$A$8:$M$10,5,FALSE),
IF($A83&lt;'PVC SCH80'!$A$250,VLOOKUP($A83,'PVC SCH80'!$A$8:$M$249,5,FALSE),
IF($A83&lt;'PVC SCH80 Flange'!$A$49,VLOOKUP($A83,'PVC SCH80 Flange'!$A$8:$M$48,5,FALSE),
IF($A83&lt;'PVC SCH80 LD Flange'!$A$17,VLOOKUP($A83,'PVC SCH80 LD Flange'!$A$8:$M$16,5,FALSE),
IF($A83&lt;CPVC!$A$105,VLOOKUP($A83,CPVC!$A$9:$M$104,5,FALSE),
IF($A83&lt;InsertFittings!$A$185,VLOOKUP($A83,InsertFittings!$A$9:$M$184,5,FALSE),
IF($A83&lt;Valves!$A$92,VLOOKUP($A83,Valves!$A$9:$Q$91,5,FALSE),
IF($A83&lt;SDR35SW!$A$133,VLOOKUP($A83,SDR35SW!$A$9:$M$132,5,FALSE),
IF($A83&lt;SDR35G!$A$151,VLOOKUP($A83,SDR35G!$A$9:$M$150,5,FALSE),
IF($A83&lt;SDR26G!$A$67,VLOOKUP($A83,SDR26G!$A$9:$N$66,6,FALSE),
IF($A83&lt;Cements!$A$95,VLOOKUP($A83,Cements!$A$8:$Q$94,5,FALSE),
IF($A83&lt;ValveBox!$A$124,VLOOKUP($A83,ValveBox!$A$9:$O$123,5,FALSE),
IF($A83&lt;'ValveBox Components'!$A$142,VLOOKUP($A83,'ValveBox Components'!$A$9:$N$141,5,FALSE),
IF($A83&lt;Drainage!$A$69,VLOOKUP($A83,Drainage!$A$8:$M$68,5,FALSE),
IF($A83&lt;Nipples!$A$82,VLOOKUP($A83,Nipples!$A$9:$Q$81,5,FALSE),
IF($A83&lt;Manifold!$A$33,VLOOKUP($A83,Manifold!$A$9:$M$32,5,FALSE),
IF($A83&lt;FlexibleRepairCouplings!$A$12,VLOOKUP($A83,FlexibleRepairCouplings!$A$9:$M$11,5,FALSE),
IF($A83&lt;DuraFix!$A$15,VLOOKUP($A83,DuraFix!$A$9:$M$14,5,FALSE),
IF($A83&lt;'Compression Fittings'!$A$16,VLOOKUP($A83,'Compression Fittings'!$A$8:$M$15,5,FALSE),
IF($A83&lt;'Hose Fittings'!$A$30,VLOOKUP($A83,'Hose Fittings'!$A$8:$M$29,5,FALSE),
IF($A83&lt;'Swing Joints'!$A$495,VLOOKUP($A83,'Swing Joints'!$A$9:$M$494,5,FALSE),
IF($A83&lt;'Swing Joints Components'!$A$135,VLOOKUP($A83,'Swing Joints Components'!$A$9:$M$134,5,FALSE),
IF($A83&lt;Nonstandard!$A$42,VLOOKUP($A83,Nonstandard!$A$31:$J$41,6,FALSE),"")))))))))))))))))))))))))))),"")</f>
        <v/>
      </c>
      <c r="D83" s="534" t="str">
        <f>IFERROR(IF($A83&lt;'DWV PVC'!$A$317,VLOOKUP($A83,'DWV PVC'!$A$9:$M$316,6,FALSE),
IF($A83&lt;'DWV ABS'!$A$117,VLOOKUP($A83,'DWV ABS'!$A$8:$M$116,6,FALSE),
IF($A83&lt;'PVC SCH40'!$A$425,VLOOKUP($A83,'PVC SCH40'!$A$8:$M$424,6,FALSE),
IF($A83&lt;'PVC SCH40 LD'!$A$22,VLOOKUP($A83,'PVC SCH40 LD'!$A$8:$M$21,6,FALSE),
IF($A83&lt;'Pool &amp; SPA Sweep Elbows'!$A$12,VLOOKUP($A83,'Pool &amp; SPA Sweep Elbows'!$A$8:$M$11,6,FALSE),
IF($A83&lt;'Pool &amp; SPA Pipe Extender'!$A$11,VLOOKUP($A83,'Pool &amp; SPA Pipe Extender'!$A$8:$M$10,6,FALSE),
IF($A83&lt;'PVC SCH80'!$A$250,VLOOKUP($A83,'PVC SCH80'!$A$8:$M$249,6,FALSE),
IF($A83&lt;'PVC SCH80 Flange'!$A$49,VLOOKUP($A83,'PVC SCH80 Flange'!$A$8:$M$48,6,FALSE),
IF($A83&lt;'PVC SCH80 LD Flange'!$A$17,VLOOKUP($A83,'PVC SCH80 LD Flange'!$A$8:$M$16,6,FALSE),
IF($A83&lt;CPVC!$A$105,VLOOKUP($A83,CPVC!$A$9:$M$104,6,FALSE),
IF($A83&lt;InsertFittings!$A$185,VLOOKUP($A83,InsertFittings!$A$9:$M$184,6,FALSE),
IF($A83&lt;Valves!$A$92,VLOOKUP($A83,Valves!$A$9:$Q$91,6,FALSE),
IF($A83&lt;SDR35SW!$A$133,VLOOKUP($A83,SDR35SW!$A$9:$M$132,6,FALSE),
IF($A83&lt;SDR35G!$A$151,VLOOKUP($A83,SDR35G!$A$9:$M$150,6,FALSE),
IF($A83&lt;SDR26G!$A$67,VLOOKUP($A83,SDR26G!$A$9:$N$66,7,FALSE),
IF($A83&lt;Cements!$A$95,VLOOKUP($A83,Cements!$A$8:$Q$94,6,FALSE),
IF($A83&lt;ValveBox!$A$124,VLOOKUP($A83,ValveBox!$A$9:$O$123,6,FALSE),
IF($A83&lt;'ValveBox Components'!$A$142,VLOOKUP($A83,'ValveBox Components'!$A$9:$N$141,6,FALSE),
IF($A83&lt;Drainage!$A$69,VLOOKUP($A83,Drainage!$A$8:$M$68,6,FALSE),
IF($A83&lt;Nipples!$A$82,VLOOKUP($A83,Nipples!$A$9:$Q$81,6,FALSE),
IF($A83&lt;Manifold!$A$33,VLOOKUP($A83,Manifold!$A$9:$M$32,6,FALSE),
IF($A83&lt;FlexibleRepairCouplings!$A$12,VLOOKUP($A83,FlexibleRepairCouplings!$A$9:$M$11,6,FALSE),
IF($A83&lt;DuraFix!$A$15,VLOOKUP($A83,DuraFix!$A$9:$M$14,6,FALSE),
IF($A83&lt;'Compression Fittings'!$A$16,VLOOKUP($A83,'Compression Fittings'!$A$8:$M$15,6,FALSE),
IF($A83&lt;'Hose Fittings'!$A$30,VLOOKUP($A83,'Hose Fittings'!$A$8:$M$29,6,FALSE),
IF($A83&lt;'Swing Joints'!$A$495,VLOOKUP($A83,'Swing Joints'!$A$9:$M$494,6,FALSE),
IF($A83&lt;'Swing Joints Components'!$A$135,VLOOKUP($A83,'Swing Joints Components'!$A$9:$M$134,6,FALSE),
IF($A83&lt;Nonstandard!$A$42,VLOOKUP($A83,Nonstandard!$A$31:$J$41,7,FALSE),"")))))))))))))))))))))))))))),"")</f>
        <v/>
      </c>
      <c r="E83" s="316"/>
      <c r="F83" s="314" t="str">
        <f>IFERROR(IF($A83&lt;'DWV PVC'!$A$317,VLOOKUP($A83,'DWV PVC'!$A$9:$M$316,9,FALSE),
IF($A83&lt;'DWV ABS'!$A$117,VLOOKUP($A83,'DWV ABS'!$A$8:$M$116,9,FALSE),                                                                                                                                                                                                                                                     IF($A83&lt;'PVC SCH40'!$A$425,VLOOKUP($A83,'PVC SCH40'!$A$8:$M$424,9,FALSE),
IF($A83&lt;'PVC SCH40 LD'!$A$22,VLOOKUP($A83,'PVC SCH40 LD'!$A$8:$M$21,9,FALSE),
IF($A83&lt;'Pool &amp; SPA Sweep Elbows'!$A$12,VLOOKUP($A83,'Pool &amp; SPA Sweep Elbows'!$A$8:$M$11,9,FALSE),
IF($A83&lt;'Pool &amp; SPA Pipe Extender'!$A$11,VLOOKUP($A83,'Pool &amp; SPA Pipe Extender'!$A$8:$M$10,9,FALSE),
IF($A83&lt;'PVC SCH80'!$A$250,VLOOKUP($A83,'PVC SCH80'!$A$8:$M$249,9,FALSE),
IF($A83&lt;'PVC SCH80 Flange'!$A$49,VLOOKUP($A83,'PVC SCH80 Flange'!$A$8:$M$48,9,FALSE),
IF($A83&lt;'PVC SCH80 LD Flange'!$A$17,VLOOKUP($A83,'PVC SCH80 LD Flange'!$A$8:$M$16,9,FALSE),
IF($A83&lt;CPVC!$A$105,VLOOKUP($A83,CPVC!$A$9:$M$104,9,FALSE),
IF($A83&lt;InsertFittings!$A$185,VLOOKUP($A83,InsertFittings!$A$9:$M$184,9,FALSE),
IF($A83&lt;Valves!$A$92,VLOOKUP($A83,Valves!$A$9:$Q$91,13,FALSE),
IF($A83&lt;SDR35SW!$A$133,VLOOKUP($A83,SDR35SW!$A$9:$M$132,9,FALSE),
IF($A83&lt;SDR35G!$A$151,VLOOKUP($A83,SDR35G!$A$9:$M$150,9,FALSE),                                                                                                                                                                                                                                                          IF($A83&lt;SDR26G!$A$67,VLOOKUP($A83,SDR26G!$A$9:$N$66,10,FALSE),                                                                                                                                                                                                                                                       IF($A83&lt;Cements!$A$95,VLOOKUP($A83,Cements!$A$8:$Q$94,13,FALSE),
IF($A83&lt;ValveBox!$A$124,VLOOKUP($A83,ValveBox!$A$9:$O$123,11,FALSE),
IF($A83&lt;'ValveBox Components'!$A$142,VLOOKUP($A83,'ValveBox Components'!$A$9:$N$141,10,FALSE),
IF($A83&lt;Drainage!$A$69,VLOOKUP($A83,Drainage!$A$8:$M$68,9,FALSE),                                                                                                                                                                                                                                                              IF($A83&lt;Nipples!$A$82,VLOOKUP($A83,Nipples!$A$9:$Q$81,13,FALSE),
IF($A83&lt;Manifold!$A$33,VLOOKUP($A83,Manifold!$A$9:$M$32,9,FALSE),
IF($A83&lt;FlexibleRepairCouplings!$A$12,VLOOKUP($A83,FlexibleRepairCouplings!$A$9:$M$11,9,FALSE),
IF($A83&lt;DuraFix!$A$15,VLOOKUP($A83,DuraFix!$A$9:$M$14,9,FALSE),                                                                                                                                                                                                                                                          IF($A83&lt;'Compression Fittings'!$A$16,VLOOKUP($A83,'Compression Fittings'!$A$8:$M$15,9,FALSE),
IF($A83&lt;'Hose Fittings'!$A$30,VLOOKUP($A83,'Hose Fittings'!$A$8:$M$29,9,FALSE),
IF($A83&lt;'Swing Joints'!$A$495,VLOOKUP($A83,'Swing Joints'!$A$9:$M$494,9,FALSE),
IF($A83&lt;'Swing Joints Components'!$A$135,VLOOKUP($A83,'Swing Joints Components'!$A$9:$M$134,9,FALSE),
IF($A83&lt;Nonstandard!$A$42,VLOOKUP($A83,Nonstandard!$A$31:$J$41,8,FALSE),"")))))))))))))))))))))))))))),"")</f>
        <v/>
      </c>
      <c r="G83" s="533" t="str">
        <f>IFERROR(IF($A83&lt;'DWV PVC'!$A$317,VLOOKUP($A83,'DWV PVC'!$A$9:$M$316,11,FALSE),
IF($A83&lt;'DWV ABS'!$A$117,VLOOKUP($A83,'DWV ABS'!$A$8:$M$116,11,FALSE),                                                                                                                                                                                                                                                     IF($A83&lt;'PVC SCH40'!$A$425,VLOOKUP($A83,'PVC SCH40'!$A$8:$M$424,11,FALSE),
IF($A83&lt;'PVC SCH40 LD'!$A$22,VLOOKUP($A83,'PVC SCH40 LD'!$A$8:$M$21,11,FALSE),
IF($A83&lt;'Pool &amp; SPA Sweep Elbows'!$A$12,VLOOKUP($A83,'Pool &amp; SPA Sweep Elbows'!$A$8:$M$11,11,FALSE),
IF($A83&lt;'Pool &amp; SPA Pipe Extender'!$A$11,VLOOKUP($A83,'Pool &amp; SPA Pipe Extender'!$A$8:$M$10,11,FALSE),
IF($A83&lt;'PVC SCH80'!$A$250,VLOOKUP($A83,'PVC SCH80'!$A$8:$M$249,11,FALSE),
IF($A83&lt;'PVC SCH80 Flange'!$A$49,VLOOKUP($A83,'PVC SCH80 Flange'!$A$8:$M$48,11,FALSE),
IF($A83&lt;'PVC SCH80 LD Flange'!$A$17,VLOOKUP($A83,'PVC SCH80 LD Flange'!$A$8:$M$16,11,FALSE),
IF($A83&lt;CPVC!$A$105,VLOOKUP($A83,CPVC!$A$9:$M$104,11,FALSE),
IF($A83&lt;InsertFittings!$A$185,VLOOKUP($A83,InsertFittings!$A$9:$M$184,11,FALSE),
IF($A83&lt;Valves!$A$92,VLOOKUP($A83,Valves!$A$9:$Q$91,15,FALSE),
IF($A83&lt;SDR35SW!$A$133,VLOOKUP($A83,SDR35SW!$A$9:$M$132,11,FALSE),
IF($A83&lt;SDR35G!$A$151,VLOOKUP($A83,SDR35G!$A$9:$M$150,11,FALSE),                                                                                                                                                                                                                                                          IF($A83&lt;SDR26G!$A$67,VLOOKUP($A83,SDR26G!$A$9:$N$66,12,FALSE),                                                                                                                                                                                                                                                       IF($A83&lt;Cements!$A$95,VLOOKUP($A83,Cements!$A$8:$Q$94,15,FALSE),
IF($A83&lt;ValveBox!$A$124,VLOOKUP($A83,ValveBox!$A$9:$O$123,13,FALSE),
IF($A83&lt;'ValveBox Components'!$A$142,VLOOKUP($A83,'ValveBox Components'!$A$9:$N$141,12,FALSE),
IF($A83&lt;Drainage!$A$69,VLOOKUP($A83,Drainage!$A$8:$M$68,11,FALSE),                                                                                                                                                                                                                                                           IF($A83&lt;Nipples!$A$82,VLOOKUP($A83,Nipples!$A$9:$Q$81,15,FALSE),
IF($A83&lt;Manifold!$A$33,VLOOKUP($A83,Manifold!$A$9:$M$32,11,FALSE),
IF($A83&lt;FlexibleRepairCouplings!$A$12,VLOOKUP($A83,FlexibleRepairCouplings!$A$9:$M$11,11,FALSE),
IF($A83&lt;DuraFix!$A$15,VLOOKUP($A83,DuraFix!$A$9:$M$14,11,FALSE),                                                                                                                                                                                                                                                            IF($A83&lt;'Compression Fittings'!$A$16,VLOOKUP($A83,'Compression Fittings'!$A$8:$M$15,11,FALSE),
IF($A83&lt;'Hose Fittings'!$A$30,VLOOKUP($A83,'Hose Fittings'!$A$8:$M$29,11,FALSE),
IF($A83&lt;'Swing Joints'!$A$495,VLOOKUP($A83,'Swing Joints'!$A$9:$M$494,11,FALSE),
IF($A83&lt;'Swing Joints Components'!$A$135,VLOOKUP($A83,'Swing Joints Components'!$A$9:$M$134,11,FALSE),
IF($A83&lt;Nonstandard!$A$42,VLOOKUP($A83,Nonstandard!$A$31:$J$41,10,FALSE),"")))))))))))))))))))))))))))),"")</f>
        <v/>
      </c>
      <c r="H83" s="618" t="str">
        <f>IFERROR(IF($A83&lt;'DWV PVC'!$A$317,VLOOKUP($A83,'DWV PVC'!$A$9:$M$316,7,FALSE),
IF($A83&lt;'DWV ABS'!$A$117,VLOOKUP($A83,'DWV ABS'!$A$8:$M$116,11,FALSE),                                                                                                                                                                                                                                                     IF($A83&lt;'PVC SCH40'!$A$425,VLOOKUP($A83,'PVC SCH40'!$A$8:$M$424,7,FALSE),
IF($A83&lt;'PVC SCH40 LD'!$A$22,VLOOKUP($A83,'PVC SCH40 LD'!$A$8:$M$21,7,FALSE),
IF($A83&lt;'Pool &amp; SPA Sweep Elbows'!$A$12,VLOOKUP($A83,'Pool &amp; SPA Sweep Elbows'!$A$8:$M$11,7,FALSE),
IF($A83&lt;'Pool &amp; SPA Pipe Extender'!$A$11,VLOOKUP($A83,'Pool &amp; SPA Pipe Extender'!$A$8:$M$10,7,FALSE),
IF($A83&lt;'PVC SCH80'!$A$250,VLOOKUP($A83,'PVC SCH80'!$A$8:$M$249,7,FALSE),
IF($A83&lt;'PVC SCH80 Flange'!$A$49,VLOOKUP($A83,'PVC SCH80 Flange'!$A$8:$M$48,7,FALSE),
IF($A83&lt;'PVC SCH80 LD Flange'!$A$17,VLOOKUP($A83,'PVC SCH80 LD Flange'!$A$8:$M$16,7,FALSE),
IF($A83&lt;CPVC!$A$105,VLOOKUP($A83,CPVC!$A$9:$M$104,7,FALSE),
IF($A83&lt;InsertFittings!$A$185,VLOOKUP($A83,InsertFittings!$A$9:$M$184,7,FALSE),
IF($A83&lt;Valves!$A$92,VLOOKUP($A83,Valves!$A$9:$Q$91,11,FALSE),
IF($A83&lt;SDR35SW!$A$133,VLOOKUP($A83,SDR35SW!$A$9:$M$132,7,FALSE),
IF($A83&lt;SDR35G!$A$151,VLOOKUP($A83,SDR35G!$A$9:$M$150,7,FALSE),                                                                                                                                                                                                                                                       IF($A83&lt;SDR26G!$A$67,VLOOKUP($A83,SDR26G!$A$9:$N$66,8,FALSE),                                                                                                                                                                                                                                                     IF($A83&lt;Cements!$A$95,VLOOKUP($A83,Cements!$A$8:$Q$94,11,FALSE),
IF($A83&lt;ValveBox!$A$124,VLOOKUP($A83,ValveBox!$A$9:$O$123,10,FALSE),
IF($A83&lt;'ValveBox Components'!$A$142,VLOOKUP($A83,'ValveBox Components'!$A$9:$N$141,9,FALSE),
IF($A83&lt;Drainage!$A$69,VLOOKUP($A83,Drainage!$A$8:$M$68,7,FALSE),                                                                                                                                                                                                                                                          IF($A83&lt;Nipples!$A$82,VLOOKUP($A83,Nipples!$A$9:$Q$81,11,FALSE),
IF($A83&lt;Manifold!$A$33,VLOOKUP($A83,Manifold!$A$9:$M$32,7,FALSE),
IF($A83&lt;FlexibleRepairCouplings!$A$12,VLOOKUP($A83,FlexibleRepairCouplings!$A$9:$M$11,7,FALSE),
IF($A83&lt;DuraFix!$A$15,VLOOKUP($A83,DuraFix!$A$9:$M$14,7,FALSE),                                                                                                                                                                                                                                                           IF($A83&lt;'Compression Fittings'!$A$16,VLOOKUP($A83,'Compression Fittings'!$A$8:$M$15,7,FALSE),
IF($A83&lt;'Hose Fittings'!$A$30,VLOOKUP($A83,'Hose Fittings'!$A$8:$M$29,7,FALSE),
IF($A83&lt;'Swing Joints'!$A$495,VLOOKUP($A83,'Swing Joints'!$A$9:$M$494,7,FALSE),
IF($A83&lt;'Swing Joints Components'!$A$135,VLOOKUP($A83,'Swing Joints Components'!$A$9:$M$134,7,FALSE),
IF($A83&lt;Nonstandard!$A$42,VLOOKUP($A83,Nonstandard!$A$31:$J$41,10,FALSE),"")))))))))))))))))))))))))))),"")</f>
        <v/>
      </c>
      <c r="I83" s="619"/>
      <c r="J83" s="281" t="str">
        <f t="shared" si="1"/>
        <v/>
      </c>
      <c r="K83" s="313" t="str">
        <f>IFERROR(IF($A83&lt;'DWV PVC'!$A$317,VLOOKUP($A83,'DWV PVC'!$A$9:$M$316,10,FALSE),
IF($A83&lt;'DWV ABS'!$A$117,VLOOKUP($A83,'DWV ABS'!$A$8:$M$116,10,FALSE),
IF($A83&lt;'PVC SCH40'!$A$425,VLOOKUP($A83,'PVC SCH40'!$A$8:$M$424,10,FALSE),
IF($A83&lt;'PVC SCH40 LD'!$A$22,VLOOKUP($A83,'PVC SCH40 LD'!$A$8:$M$21,10,FALSE),
IF($A83&lt;'Pool &amp; SPA Sweep Elbows'!$A$12,VLOOKUP($A83,'Pool &amp; SPA Sweep Elbows'!$A$8:$M$11,10,FALSE),
IF($A83&lt;'Pool &amp; SPA Pipe Extender'!$A$11,VLOOKUP($A83,'Pool &amp; SPA Pipe Extender'!$A$8:$M$10,10,FALSE),
IF($A83&lt;'PVC SCH80'!$A$250,VLOOKUP($A83,'PVC SCH80'!$A$8:$M$249,10,FALSE),
IF($A83&lt;'PVC SCH80 Flange'!$A$49,VLOOKUP($A83,'PVC SCH80 Flange'!$A$8:$M$48,10,FALSE),
IF($A83&lt;'PVC SCH80 LD Flange'!$A$17,VLOOKUP($A83,'PVC SCH80 LD Flange'!$A$8:$M$16,10,FALSE),
IF($A83&lt;CPVC!$A$105,VLOOKUP($A83,CPVC!$A$9:$M$104,10,FALSE),
IF($A83&lt;InsertFittings!$A$185,VLOOKUP($A83,InsertFittings!$A$9:$M$184,10,FALSE),
IF($A83&lt;Valves!$A$92,VLOOKUP($A83,Valves!$A$9:$Q$91,14,FALSE),
IF($A83&lt;SDR35SW!$A$133,VLOOKUP($A83,SDR35SW!$A$9:$M$132,10,FALSE),
IF($A83&lt;SDR35G!$A$151,VLOOKUP($A83,SDR35G!$A$9:$M$150,10,FALSE),
IF($A83&lt;SDR26G!$A$67,VLOOKUP($A83,SDR26G!$A$9:$N$66,11,FALSE),
IF($A83&lt;Cements!$A$95,VLOOKUP($A83,Cements!$A$8:$Q$94,14,FALSE),
IF($A83&lt;ValveBox!$A$124,VLOOKUP($A83,ValveBox!$A$9:$O$123,12,FALSE),
IF($A83&lt;'ValveBox Components'!$A$142,VLOOKUP($A83,'ValveBox Components'!$A$9:$N$141,11,FALSE),
IF($A83&lt;Drainage!$A$69,VLOOKUP($A83,Drainage!$A$8:$M$68,10,FALSE),
IF($A83&lt;Nipples!$A$82,VLOOKUP($A83,Nipples!$A$9:$Q$81,14,FALSE),
IF($A83&lt;Manifold!$A$33,VLOOKUP($A83,Manifold!$A$9:$M$32,10,FALSE),
IF($A83&lt;FlexibleRepairCouplings!$A$12,VLOOKUP($A83,FlexibleRepairCouplings!$A$9:$M$11,10,FALSE),
IF($A83&lt;DuraFix!$A$15,VLOOKUP($A83,DuraFix!$A$9:$M$14,10,FALSE),
IF($A83&lt;'Compression Fittings'!$A$16,VLOOKUP($A83,'Compression Fittings'!$A$8:$M$15,10,FALSE),
IF($A83&lt;'Hose Fittings'!$A$30,VLOOKUP($A83,'Hose Fittings'!$A$8:$M$29,10,FALSE),
IF($A83&lt;'Swing Joints'!$A$495,VLOOKUP($A83,'Swing Joints'!$A$9:$M$494,10,FALSE),
IF($A83&lt;'Swing Joints Components'!$A$135,VLOOKUP($A83,'Swing Joints Components'!$A$9:$M$134,10,FALSE),
IF($A83&lt;Nonstandard!$A$42,VLOOKUP($A83,Nonstandard!$A$31:$J$41,10,FALSE),"")))))))))))))))))))))))))))),"")</f>
        <v/>
      </c>
      <c r="L83" s="314" t="str">
        <f t="shared" si="0"/>
        <v>-</v>
      </c>
      <c r="M83" s="315"/>
    </row>
    <row r="84" spans="1:13" ht="15.6">
      <c r="A84" s="536">
        <v>52</v>
      </c>
      <c r="B84" s="536" t="str">
        <f>IFERROR(IF($A84&lt;'DWV PVC'!$A$317,VLOOKUP($A84,'DWV PVC'!$A$9:$M$316,4,FALSE),
IF($A84&lt;'DWV ABS'!$A$117,VLOOKUP($A84,'DWV ABS'!$A$8:$M$116,4,FALSE),
IF($A84&lt;'PVC SCH40'!$A$425,VLOOKUP($A84,'PVC SCH40'!$A$8:$M$424,4,FALSE),
IF($A84&lt;'PVC SCH40 LD'!$A$22,VLOOKUP($A84,'PVC SCH40 LD'!$A$8:$M$21,4,FALSE),
IF($A84&lt;'Pool &amp; SPA Sweep Elbows'!$A$12,VLOOKUP($A84,'Pool &amp; SPA Sweep Elbows'!$A$8:$M$11,4,FALSE),
IF($A84&lt;'Pool &amp; SPA Pipe Extender'!$A$11,VLOOKUP($A84,'Pool &amp; SPA Pipe Extender'!$A$8:$M$10,4,FALSE),
IF($A84&lt;'PVC SCH80'!$A$250,VLOOKUP($A84,'PVC SCH80'!$A$8:$M$249,4,FALSE),
IF($A84&lt;'PVC SCH80 Flange'!$A$49,VLOOKUP($A84,'PVC SCH80 Flange'!$A$8:$M$48,4,FALSE),
IF($A84&lt;'PVC SCH80 LD Flange'!$A$17,VLOOKUP($A84,'PVC SCH80 LD Flange'!$A$8:$M$16,4,FALSE),
IF($A84&lt;CPVC!$A$105,VLOOKUP($A84,CPVC!$A$9:$M$104,4,FALSE),
IF($A84&lt;InsertFittings!$A$185,VLOOKUP($A84,InsertFittings!$A$9:$M$184,4,FALSE),
IF($A84&lt;Valves!$A$92,VLOOKUP($A84,Valves!$A$9:$Q$91,4,FALSE),
IF($A84&lt;SDR35SW!$A$133,VLOOKUP($A84,SDR35SW!$A$9:$M$132,4,FALSE),
IF($A84&lt;SDR35G!$A$151,VLOOKUP($A84,SDR35G!$A$9:$M$150,4,FALSE),
IF($A84&lt;SDR26G!$A$67,VLOOKUP($A84,SDR26G!$A$9:$N$66,5,FALSE),
IF($A84&lt;Cements!$A$95,VLOOKUP($A84,Cements!$A$8:$Q$94,4,FALSE),
IF($A84&lt;ValveBox!$A$124,VLOOKUP($A84,ValveBox!$A$9:$O$123,4,FALSE),
IF($A84&lt;'ValveBox Components'!$A$142,VLOOKUP($A84,'ValveBox Components'!$A$9:$N$141,4,FALSE),
IF($A84&lt;Drainage!$A$69,VLOOKUP($A84,Drainage!$A$8:$M$68,4,FALSE),
IF($A84&lt;Nipples!$A$82,VLOOKUP($A84,Nipples!$A$9:$Q$81,4,FALSE),
IF($A84&lt;Manifold!$A$33,VLOOKUP($A84,Manifold!$A$9:$M$32,4,FALSE),
IF($A84&lt;FlexibleRepairCouplings!$A$12,VLOOKUP($A84,FlexibleRepairCouplings!$A$9:$M$11,4,FALSE),
IF($A84&lt;DuraFix!$A$15,VLOOKUP($A84,DuraFix!$A$9:$M$14,4,FALSE),
IF($A84&lt;'Compression Fittings'!$A$16,VLOOKUP($A84,'Compression Fittings'!$A$8:$M$15,4,FALSE),
IF($A84&lt;'Hose Fittings'!$A$30,VLOOKUP($A84,'Hose Fittings'!$A$8:$M$29,4,FALSE),
IF($A84&lt;'Swing Joints'!$A$495,VLOOKUP($A84,'Swing Joints'!$A$9:$M$494,4,FALSE),
IF($A84&lt;'Swing Joints Components'!$A$135,VLOOKUP($A84,'Swing Joints Components'!$A$9:$M$134,4,FALSE),
IF($A84&lt;Nonstandard!$A$42,VLOOKUP($A84,Nonstandard!$A$31:$J$41,5,FALSE),"")))))))))))))))))))))))))))),"")</f>
        <v/>
      </c>
      <c r="C84" s="536" t="str">
        <f>IFERROR(IF($A84&lt;'DWV PVC'!$A$317,VLOOKUP($A84,'DWV PVC'!$A$9:$M$316,5,FALSE),
IF($A84&lt;'DWV ABS'!$A$117,VLOOKUP($A84,'DWV ABS'!$A$8:$M$116,5,FALSE),
IF($A84&lt;'PVC SCH40'!$A$425,VLOOKUP($A84,'PVC SCH40'!$A$8:$M$424,5,FALSE),
IF($A84&lt;'PVC SCH40 LD'!$A$22,VLOOKUP($A84,'PVC SCH40 LD'!$A$8:$M$21,5,FALSE),
IF($A84&lt;'Pool &amp; SPA Sweep Elbows'!$A$12,VLOOKUP($A84,'Pool &amp; SPA Sweep Elbows'!$A$8:$M$11,5,FALSE),
IF($A84&lt;'Pool &amp; SPA Pipe Extender'!$A$11,VLOOKUP($A84,'Pool &amp; SPA Pipe Extender'!$A$8:$M$10,5,FALSE),
IF($A84&lt;'PVC SCH80'!$A$250,VLOOKUP($A84,'PVC SCH80'!$A$8:$M$249,5,FALSE),
IF($A84&lt;'PVC SCH80 Flange'!$A$49,VLOOKUP($A84,'PVC SCH80 Flange'!$A$8:$M$48,5,FALSE),
IF($A84&lt;'PVC SCH80 LD Flange'!$A$17,VLOOKUP($A84,'PVC SCH80 LD Flange'!$A$8:$M$16,5,FALSE),
IF($A84&lt;CPVC!$A$105,VLOOKUP($A84,CPVC!$A$9:$M$104,5,FALSE),
IF($A84&lt;InsertFittings!$A$185,VLOOKUP($A84,InsertFittings!$A$9:$M$184,5,FALSE),
IF($A84&lt;Valves!$A$92,VLOOKUP($A84,Valves!$A$9:$Q$91,5,FALSE),
IF($A84&lt;SDR35SW!$A$133,VLOOKUP($A84,SDR35SW!$A$9:$M$132,5,FALSE),
IF($A84&lt;SDR35G!$A$151,VLOOKUP($A84,SDR35G!$A$9:$M$150,5,FALSE),
IF($A84&lt;SDR26G!$A$67,VLOOKUP($A84,SDR26G!$A$9:$N$66,6,FALSE),
IF($A84&lt;Cements!$A$95,VLOOKUP($A84,Cements!$A$8:$Q$94,5,FALSE),
IF($A84&lt;ValveBox!$A$124,VLOOKUP($A84,ValveBox!$A$9:$O$123,5,FALSE),
IF($A84&lt;'ValveBox Components'!$A$142,VLOOKUP($A84,'ValveBox Components'!$A$9:$N$141,5,FALSE),
IF($A84&lt;Drainage!$A$69,VLOOKUP($A84,Drainage!$A$8:$M$68,5,FALSE),
IF($A84&lt;Nipples!$A$82,VLOOKUP($A84,Nipples!$A$9:$Q$81,5,FALSE),
IF($A84&lt;Manifold!$A$33,VLOOKUP($A84,Manifold!$A$9:$M$32,5,FALSE),
IF($A84&lt;FlexibleRepairCouplings!$A$12,VLOOKUP($A84,FlexibleRepairCouplings!$A$9:$M$11,5,FALSE),
IF($A84&lt;DuraFix!$A$15,VLOOKUP($A84,DuraFix!$A$9:$M$14,5,FALSE),
IF($A84&lt;'Compression Fittings'!$A$16,VLOOKUP($A84,'Compression Fittings'!$A$8:$M$15,5,FALSE),
IF($A84&lt;'Hose Fittings'!$A$30,VLOOKUP($A84,'Hose Fittings'!$A$8:$M$29,5,FALSE),
IF($A84&lt;'Swing Joints'!$A$495,VLOOKUP($A84,'Swing Joints'!$A$9:$M$494,5,FALSE),
IF($A84&lt;'Swing Joints Components'!$A$135,VLOOKUP($A84,'Swing Joints Components'!$A$9:$M$134,5,FALSE),
IF($A84&lt;Nonstandard!$A$42,VLOOKUP($A84,Nonstandard!$A$31:$J$41,6,FALSE),"")))))))))))))))))))))))))))),"")</f>
        <v/>
      </c>
      <c r="D84" s="537" t="str">
        <f>IFERROR(IF($A84&lt;'DWV PVC'!$A$317,VLOOKUP($A84,'DWV PVC'!$A$9:$M$316,6,FALSE),
IF($A84&lt;'DWV ABS'!$A$117,VLOOKUP($A84,'DWV ABS'!$A$8:$M$116,6,FALSE),
IF($A84&lt;'PVC SCH40'!$A$425,VLOOKUP($A84,'PVC SCH40'!$A$8:$M$424,6,FALSE),
IF($A84&lt;'PVC SCH40 LD'!$A$22,VLOOKUP($A84,'PVC SCH40 LD'!$A$8:$M$21,6,FALSE),
IF($A84&lt;'Pool &amp; SPA Sweep Elbows'!$A$12,VLOOKUP($A84,'Pool &amp; SPA Sweep Elbows'!$A$8:$M$11,6,FALSE),
IF($A84&lt;'Pool &amp; SPA Pipe Extender'!$A$11,VLOOKUP($A84,'Pool &amp; SPA Pipe Extender'!$A$8:$M$10,6,FALSE),
IF($A84&lt;'PVC SCH80'!$A$250,VLOOKUP($A84,'PVC SCH80'!$A$8:$M$249,6,FALSE),
IF($A84&lt;'PVC SCH80 Flange'!$A$49,VLOOKUP($A84,'PVC SCH80 Flange'!$A$8:$M$48,6,FALSE),
IF($A84&lt;'PVC SCH80 LD Flange'!$A$17,VLOOKUP($A84,'PVC SCH80 LD Flange'!$A$8:$M$16,6,FALSE),
IF($A84&lt;CPVC!$A$105,VLOOKUP($A84,CPVC!$A$9:$M$104,6,FALSE),
IF($A84&lt;InsertFittings!$A$185,VLOOKUP($A84,InsertFittings!$A$9:$M$184,6,FALSE),
IF($A84&lt;Valves!$A$92,VLOOKUP($A84,Valves!$A$9:$Q$91,6,FALSE),
IF($A84&lt;SDR35SW!$A$133,VLOOKUP($A84,SDR35SW!$A$9:$M$132,6,FALSE),
IF($A84&lt;SDR35G!$A$151,VLOOKUP($A84,SDR35G!$A$9:$M$150,6,FALSE),
IF($A84&lt;SDR26G!$A$67,VLOOKUP($A84,SDR26G!$A$9:$N$66,7,FALSE),
IF($A84&lt;Cements!$A$95,VLOOKUP($A84,Cements!$A$8:$Q$94,6,FALSE),
IF($A84&lt;ValveBox!$A$124,VLOOKUP($A84,ValveBox!$A$9:$O$123,6,FALSE),
IF($A84&lt;'ValveBox Components'!$A$142,VLOOKUP($A84,'ValveBox Components'!$A$9:$N$141,6,FALSE),
IF($A84&lt;Drainage!$A$69,VLOOKUP($A84,Drainage!$A$8:$M$68,6,FALSE),
IF($A84&lt;Nipples!$A$82,VLOOKUP($A84,Nipples!$A$9:$Q$81,6,FALSE),
IF($A84&lt;Manifold!$A$33,VLOOKUP($A84,Manifold!$A$9:$M$32,6,FALSE),
IF($A84&lt;FlexibleRepairCouplings!$A$12,VLOOKUP($A84,FlexibleRepairCouplings!$A$9:$M$11,6,FALSE),
IF($A84&lt;DuraFix!$A$15,VLOOKUP($A84,DuraFix!$A$9:$M$14,6,FALSE),
IF($A84&lt;'Compression Fittings'!$A$16,VLOOKUP($A84,'Compression Fittings'!$A$8:$M$15,6,FALSE),
IF($A84&lt;'Hose Fittings'!$A$30,VLOOKUP($A84,'Hose Fittings'!$A$8:$M$29,6,FALSE),
IF($A84&lt;'Swing Joints'!$A$495,VLOOKUP($A84,'Swing Joints'!$A$9:$M$494,6,FALSE),
IF($A84&lt;'Swing Joints Components'!$A$135,VLOOKUP($A84,'Swing Joints Components'!$A$9:$M$134,6,FALSE),
IF($A84&lt;Nonstandard!$A$42,VLOOKUP($A84,Nonstandard!$A$31:$J$41,7,FALSE),"")))))))))))))))))))))))))))),"")</f>
        <v/>
      </c>
      <c r="E84" s="538"/>
      <c r="F84" s="539" t="str">
        <f>IFERROR(IF($A84&lt;'DWV PVC'!$A$317,VLOOKUP($A84,'DWV PVC'!$A$9:$M$316,9,FALSE),
IF($A84&lt;'DWV ABS'!$A$117,VLOOKUP($A84,'DWV ABS'!$A$8:$M$116,9,FALSE),                                                                                                                                                                                                                                                     IF($A84&lt;'PVC SCH40'!$A$425,VLOOKUP($A84,'PVC SCH40'!$A$8:$M$424,9,FALSE),
IF($A84&lt;'PVC SCH40 LD'!$A$22,VLOOKUP($A84,'PVC SCH40 LD'!$A$8:$M$21,9,FALSE),
IF($A84&lt;'Pool &amp; SPA Sweep Elbows'!$A$12,VLOOKUP($A84,'Pool &amp; SPA Sweep Elbows'!$A$8:$M$11,9,FALSE),
IF($A84&lt;'Pool &amp; SPA Pipe Extender'!$A$11,VLOOKUP($A84,'Pool &amp; SPA Pipe Extender'!$A$8:$M$10,9,FALSE),
IF($A84&lt;'PVC SCH80'!$A$250,VLOOKUP($A84,'PVC SCH80'!$A$8:$M$249,9,FALSE),
IF($A84&lt;'PVC SCH80 Flange'!$A$49,VLOOKUP($A84,'PVC SCH80 Flange'!$A$8:$M$48,9,FALSE),
IF($A84&lt;'PVC SCH80 LD Flange'!$A$17,VLOOKUP($A84,'PVC SCH80 LD Flange'!$A$8:$M$16,9,FALSE),
IF($A84&lt;CPVC!$A$105,VLOOKUP($A84,CPVC!$A$9:$M$104,9,FALSE),
IF($A84&lt;InsertFittings!$A$185,VLOOKUP($A84,InsertFittings!$A$9:$M$184,9,FALSE),
IF($A84&lt;Valves!$A$92,VLOOKUP($A84,Valves!$A$9:$Q$91,13,FALSE),
IF($A84&lt;SDR35SW!$A$133,VLOOKUP($A84,SDR35SW!$A$9:$M$132,9,FALSE),
IF($A84&lt;SDR35G!$A$151,VLOOKUP($A84,SDR35G!$A$9:$M$150,9,FALSE),                                                                                                                                                                                                                                                          IF($A84&lt;SDR26G!$A$67,VLOOKUP($A84,SDR26G!$A$9:$N$66,10,FALSE),                                                                                                                                                                                                                                                       IF($A84&lt;Cements!$A$95,VLOOKUP($A84,Cements!$A$8:$Q$94,13,FALSE),
IF($A84&lt;ValveBox!$A$124,VLOOKUP($A84,ValveBox!$A$9:$O$123,11,FALSE),
IF($A84&lt;'ValveBox Components'!$A$142,VLOOKUP($A84,'ValveBox Components'!$A$9:$N$141,10,FALSE),
IF($A84&lt;Drainage!$A$69,VLOOKUP($A84,Drainage!$A$8:$M$68,9,FALSE),                                                                                                                                                                                                                                                              IF($A84&lt;Nipples!$A$82,VLOOKUP($A84,Nipples!$A$9:$Q$81,13,FALSE),
IF($A84&lt;Manifold!$A$33,VLOOKUP($A84,Manifold!$A$9:$M$32,9,FALSE),
IF($A84&lt;FlexibleRepairCouplings!$A$12,VLOOKUP($A84,FlexibleRepairCouplings!$A$9:$M$11,9,FALSE),
IF($A84&lt;DuraFix!$A$15,VLOOKUP($A84,DuraFix!$A$9:$M$14,9,FALSE),                                                                                                                                                                                                                                                          IF($A84&lt;'Compression Fittings'!$A$16,VLOOKUP($A84,'Compression Fittings'!$A$8:$M$15,9,FALSE),
IF($A84&lt;'Hose Fittings'!$A$30,VLOOKUP($A84,'Hose Fittings'!$A$8:$M$29,9,FALSE),
IF($A84&lt;'Swing Joints'!$A$495,VLOOKUP($A84,'Swing Joints'!$A$9:$M$494,9,FALSE),
IF($A84&lt;'Swing Joints Components'!$A$135,VLOOKUP($A84,'Swing Joints Components'!$A$9:$M$134,9,FALSE),
IF($A84&lt;Nonstandard!$A$42,VLOOKUP($A84,Nonstandard!$A$31:$J$41,8,FALSE),"")))))))))))))))))))))))))))),"")</f>
        <v/>
      </c>
      <c r="G84" s="540" t="str">
        <f>IFERROR(IF($A84&lt;'DWV PVC'!$A$317,VLOOKUP($A84,'DWV PVC'!$A$9:$M$316,11,FALSE),
IF($A84&lt;'DWV ABS'!$A$117,VLOOKUP($A84,'DWV ABS'!$A$8:$M$116,11,FALSE),                                                                                                                                                                                                                                                     IF($A84&lt;'PVC SCH40'!$A$425,VLOOKUP($A84,'PVC SCH40'!$A$8:$M$424,11,FALSE),
IF($A84&lt;'PVC SCH40 LD'!$A$22,VLOOKUP($A84,'PVC SCH40 LD'!$A$8:$M$21,11,FALSE),
IF($A84&lt;'Pool &amp; SPA Sweep Elbows'!$A$12,VLOOKUP($A84,'Pool &amp; SPA Sweep Elbows'!$A$8:$M$11,11,FALSE),
IF($A84&lt;'Pool &amp; SPA Pipe Extender'!$A$11,VLOOKUP($A84,'Pool &amp; SPA Pipe Extender'!$A$8:$M$10,11,FALSE),
IF($A84&lt;'PVC SCH80'!$A$250,VLOOKUP($A84,'PVC SCH80'!$A$8:$M$249,11,FALSE),
IF($A84&lt;'PVC SCH80 Flange'!$A$49,VLOOKUP($A84,'PVC SCH80 Flange'!$A$8:$M$48,11,FALSE),
IF($A84&lt;'PVC SCH80 LD Flange'!$A$17,VLOOKUP($A84,'PVC SCH80 LD Flange'!$A$8:$M$16,11,FALSE),
IF($A84&lt;CPVC!$A$105,VLOOKUP($A84,CPVC!$A$9:$M$104,11,FALSE),
IF($A84&lt;InsertFittings!$A$185,VLOOKUP($A84,InsertFittings!$A$9:$M$184,11,FALSE),
IF($A84&lt;Valves!$A$92,VLOOKUP($A84,Valves!$A$9:$Q$91,15,FALSE),
IF($A84&lt;SDR35SW!$A$133,VLOOKUP($A84,SDR35SW!$A$9:$M$132,11,FALSE),
IF($A84&lt;SDR35G!$A$151,VLOOKUP($A84,SDR35G!$A$9:$M$150,11,FALSE),                                                                                                                                                                                                                                                          IF($A84&lt;SDR26G!$A$67,VLOOKUP($A84,SDR26G!$A$9:$N$66,12,FALSE),                                                                                                                                                                                                                                                       IF($A84&lt;Cements!$A$95,VLOOKUP($A84,Cements!$A$8:$Q$94,15,FALSE),
IF($A84&lt;ValveBox!$A$124,VLOOKUP($A84,ValveBox!$A$9:$O$123,13,FALSE),
IF($A84&lt;'ValveBox Components'!$A$142,VLOOKUP($A84,'ValveBox Components'!$A$9:$N$141,12,FALSE),
IF($A84&lt;Drainage!$A$69,VLOOKUP($A84,Drainage!$A$8:$M$68,11,FALSE),                                                                                                                                                                                                                                                           IF($A84&lt;Nipples!$A$82,VLOOKUP($A84,Nipples!$A$9:$Q$81,15,FALSE),
IF($A84&lt;Manifold!$A$33,VLOOKUP($A84,Manifold!$A$9:$M$32,11,FALSE),
IF($A84&lt;FlexibleRepairCouplings!$A$12,VLOOKUP($A84,FlexibleRepairCouplings!$A$9:$M$11,11,FALSE),
IF($A84&lt;DuraFix!$A$15,VLOOKUP($A84,DuraFix!$A$9:$M$14,11,FALSE),                                                                                                                                                                                                                                                            IF($A84&lt;'Compression Fittings'!$A$16,VLOOKUP($A84,'Compression Fittings'!$A$8:$M$15,11,FALSE),
IF($A84&lt;'Hose Fittings'!$A$30,VLOOKUP($A84,'Hose Fittings'!$A$8:$M$29,11,FALSE),
IF($A84&lt;'Swing Joints'!$A$495,VLOOKUP($A84,'Swing Joints'!$A$9:$M$494,11,FALSE),
IF($A84&lt;'Swing Joints Components'!$A$135,VLOOKUP($A84,'Swing Joints Components'!$A$9:$M$134,11,FALSE),
IF($A84&lt;Nonstandard!$A$42,VLOOKUP($A84,Nonstandard!$A$31:$J$41,10,FALSE),"")))))))))))))))))))))))))))),"")</f>
        <v/>
      </c>
      <c r="H84" s="620" t="str">
        <f>IFERROR(IF($A84&lt;'DWV PVC'!$A$317,VLOOKUP($A84,'DWV PVC'!$A$9:$M$316,7,FALSE),
IF($A84&lt;'DWV ABS'!$A$117,VLOOKUP($A84,'DWV ABS'!$A$8:$M$116,11,FALSE),                                                                                                                                                                                                                                                     IF($A84&lt;'PVC SCH40'!$A$425,VLOOKUP($A84,'PVC SCH40'!$A$8:$M$424,7,FALSE),
IF($A84&lt;'PVC SCH40 LD'!$A$22,VLOOKUP($A84,'PVC SCH40 LD'!$A$8:$M$21,7,FALSE),
IF($A84&lt;'Pool &amp; SPA Sweep Elbows'!$A$12,VLOOKUP($A84,'Pool &amp; SPA Sweep Elbows'!$A$8:$M$11,7,FALSE),
IF($A84&lt;'Pool &amp; SPA Pipe Extender'!$A$11,VLOOKUP($A84,'Pool &amp; SPA Pipe Extender'!$A$8:$M$10,7,FALSE),
IF($A84&lt;'PVC SCH80'!$A$250,VLOOKUP($A84,'PVC SCH80'!$A$8:$M$249,7,FALSE),
IF($A84&lt;'PVC SCH80 Flange'!$A$49,VLOOKUP($A84,'PVC SCH80 Flange'!$A$8:$M$48,7,FALSE),
IF($A84&lt;'PVC SCH80 LD Flange'!$A$17,VLOOKUP($A84,'PVC SCH80 LD Flange'!$A$8:$M$16,7,FALSE),
IF($A84&lt;CPVC!$A$105,VLOOKUP($A84,CPVC!$A$9:$M$104,7,FALSE),
IF($A84&lt;InsertFittings!$A$185,VLOOKUP($A84,InsertFittings!$A$9:$M$184,7,FALSE),
IF($A84&lt;Valves!$A$92,VLOOKUP($A84,Valves!$A$9:$Q$91,11,FALSE),
IF($A84&lt;SDR35SW!$A$133,VLOOKUP($A84,SDR35SW!$A$9:$M$132,7,FALSE),
IF($A84&lt;SDR35G!$A$151,VLOOKUP($A84,SDR35G!$A$9:$M$150,7,FALSE),                                                                                                                                                                                                                                                       IF($A84&lt;SDR26G!$A$67,VLOOKUP($A84,SDR26G!$A$9:$N$66,8,FALSE),                                                                                                                                                                                                                                                     IF($A84&lt;Cements!$A$95,VLOOKUP($A84,Cements!$A$8:$Q$94,11,FALSE),
IF($A84&lt;ValveBox!$A$124,VLOOKUP($A84,ValveBox!$A$9:$O$123,10,FALSE),
IF($A84&lt;'ValveBox Components'!$A$142,VLOOKUP($A84,'ValveBox Components'!$A$9:$N$141,9,FALSE),
IF($A84&lt;Drainage!$A$69,VLOOKUP($A84,Drainage!$A$8:$M$68,7,FALSE),                                                                                                                                                                                                                                                          IF($A84&lt;Nipples!$A$82,VLOOKUP($A84,Nipples!$A$9:$Q$81,11,FALSE),
IF($A84&lt;Manifold!$A$33,VLOOKUP($A84,Manifold!$A$9:$M$32,7,FALSE),
IF($A84&lt;FlexibleRepairCouplings!$A$12,VLOOKUP($A84,FlexibleRepairCouplings!$A$9:$M$11,7,FALSE),
IF($A84&lt;DuraFix!$A$15,VLOOKUP($A84,DuraFix!$A$9:$M$14,7,FALSE),                                                                                                                                                                                                                                                           IF($A84&lt;'Compression Fittings'!$A$16,VLOOKUP($A84,'Compression Fittings'!$A$8:$M$15,7,FALSE),
IF($A84&lt;'Hose Fittings'!$A$30,VLOOKUP($A84,'Hose Fittings'!$A$8:$M$29,7,FALSE),
IF($A84&lt;'Swing Joints'!$A$495,VLOOKUP($A84,'Swing Joints'!$A$9:$M$494,7,FALSE),
IF($A84&lt;'Swing Joints Components'!$A$135,VLOOKUP($A84,'Swing Joints Components'!$A$9:$M$134,7,FALSE),
IF($A84&lt;Nonstandard!$A$42,VLOOKUP($A84,Nonstandard!$A$31:$J$41,10,FALSE),"")))))))))))))))))))))))))))),"")</f>
        <v/>
      </c>
      <c r="I84" s="621"/>
      <c r="J84" s="541" t="str">
        <f t="shared" si="1"/>
        <v/>
      </c>
      <c r="K84" s="599" t="str">
        <f>IFERROR(IF($A84&lt;'DWV PVC'!$A$317,VLOOKUP($A84,'DWV PVC'!$A$9:$M$316,10,FALSE),
IF($A84&lt;'DWV ABS'!$A$117,VLOOKUP($A84,'DWV ABS'!$A$8:$M$116,10,FALSE),
IF($A84&lt;'PVC SCH40'!$A$425,VLOOKUP($A84,'PVC SCH40'!$A$8:$M$424,10,FALSE),
IF($A84&lt;'PVC SCH40 LD'!$A$22,VLOOKUP($A84,'PVC SCH40 LD'!$A$8:$M$21,10,FALSE),
IF($A84&lt;'Pool &amp; SPA Sweep Elbows'!$A$12,VLOOKUP($A84,'Pool &amp; SPA Sweep Elbows'!$A$8:$M$11,10,FALSE),
IF($A84&lt;'Pool &amp; SPA Pipe Extender'!$A$11,VLOOKUP($A84,'Pool &amp; SPA Pipe Extender'!$A$8:$M$10,10,FALSE),
IF($A84&lt;'PVC SCH80'!$A$250,VLOOKUP($A84,'PVC SCH80'!$A$8:$M$249,10,FALSE),
IF($A84&lt;'PVC SCH80 Flange'!$A$49,VLOOKUP($A84,'PVC SCH80 Flange'!$A$8:$M$48,10,FALSE),
IF($A84&lt;'PVC SCH80 LD Flange'!$A$17,VLOOKUP($A84,'PVC SCH80 LD Flange'!$A$8:$M$16,10,FALSE),
IF($A84&lt;CPVC!$A$105,VLOOKUP($A84,CPVC!$A$9:$M$104,10,FALSE),
IF($A84&lt;InsertFittings!$A$185,VLOOKUP($A84,InsertFittings!$A$9:$M$184,10,FALSE),
IF($A84&lt;Valves!$A$92,VLOOKUP($A84,Valves!$A$9:$Q$91,14,FALSE),
IF($A84&lt;SDR35SW!$A$133,VLOOKUP($A84,SDR35SW!$A$9:$M$132,10,FALSE),
IF($A84&lt;SDR35G!$A$151,VLOOKUP($A84,SDR35G!$A$9:$M$150,10,FALSE),
IF($A84&lt;SDR26G!$A$67,VLOOKUP($A84,SDR26G!$A$9:$N$66,11,FALSE),
IF($A84&lt;Cements!$A$95,VLOOKUP($A84,Cements!$A$8:$Q$94,14,FALSE),
IF($A84&lt;ValveBox!$A$124,VLOOKUP($A84,ValveBox!$A$9:$O$123,12,FALSE),
IF($A84&lt;'ValveBox Components'!$A$142,VLOOKUP($A84,'ValveBox Components'!$A$9:$N$141,11,FALSE),
IF($A84&lt;Drainage!$A$69,VLOOKUP($A84,Drainage!$A$8:$M$68,10,FALSE),
IF($A84&lt;Nipples!$A$82,VLOOKUP($A84,Nipples!$A$9:$Q$81,14,FALSE),
IF($A84&lt;Manifold!$A$33,VLOOKUP($A84,Manifold!$A$9:$M$32,10,FALSE),
IF($A84&lt;FlexibleRepairCouplings!$A$12,VLOOKUP($A84,FlexibleRepairCouplings!$A$9:$M$11,10,FALSE),
IF($A84&lt;DuraFix!$A$15,VLOOKUP($A84,DuraFix!$A$9:$M$14,10,FALSE),
IF($A84&lt;'Compression Fittings'!$A$16,VLOOKUP($A84,'Compression Fittings'!$A$8:$M$15,10,FALSE),
IF($A84&lt;'Hose Fittings'!$A$30,VLOOKUP($A84,'Hose Fittings'!$A$8:$M$29,10,FALSE),
IF($A84&lt;'Swing Joints'!$A$495,VLOOKUP($A84,'Swing Joints'!$A$9:$M$494,10,FALSE),
IF($A84&lt;'Swing Joints Components'!$A$135,VLOOKUP($A84,'Swing Joints Components'!$A$9:$M$134,10,FALSE),
IF($A84&lt;Nonstandard!$A$42,VLOOKUP($A84,Nonstandard!$A$31:$J$41,10,FALSE),"")))))))))))))))))))))))))))),"")</f>
        <v/>
      </c>
      <c r="L84" s="539" t="str">
        <f t="shared" si="0"/>
        <v>-</v>
      </c>
      <c r="M84" s="542"/>
    </row>
    <row r="85" spans="1:13" ht="15.6">
      <c r="A85" s="312">
        <v>53</v>
      </c>
      <c r="B85" s="312" t="str">
        <f>IFERROR(IF($A85&lt;'DWV PVC'!$A$317,VLOOKUP($A85,'DWV PVC'!$A$9:$M$316,4,FALSE),
IF($A85&lt;'DWV ABS'!$A$117,VLOOKUP($A85,'DWV ABS'!$A$8:$M$116,4,FALSE),
IF($A85&lt;'PVC SCH40'!$A$425,VLOOKUP($A85,'PVC SCH40'!$A$8:$M$424,4,FALSE),
IF($A85&lt;'PVC SCH40 LD'!$A$22,VLOOKUP($A85,'PVC SCH40 LD'!$A$8:$M$21,4,FALSE),
IF($A85&lt;'Pool &amp; SPA Sweep Elbows'!$A$12,VLOOKUP($A85,'Pool &amp; SPA Sweep Elbows'!$A$8:$M$11,4,FALSE),
IF($A85&lt;'Pool &amp; SPA Pipe Extender'!$A$11,VLOOKUP($A85,'Pool &amp; SPA Pipe Extender'!$A$8:$M$10,4,FALSE),
IF($A85&lt;'PVC SCH80'!$A$250,VLOOKUP($A85,'PVC SCH80'!$A$8:$M$249,4,FALSE),
IF($A85&lt;'PVC SCH80 Flange'!$A$49,VLOOKUP($A85,'PVC SCH80 Flange'!$A$8:$M$48,4,FALSE),
IF($A85&lt;'PVC SCH80 LD Flange'!$A$17,VLOOKUP($A85,'PVC SCH80 LD Flange'!$A$8:$M$16,4,FALSE),
IF($A85&lt;CPVC!$A$105,VLOOKUP($A85,CPVC!$A$9:$M$104,4,FALSE),
IF($A85&lt;InsertFittings!$A$185,VLOOKUP($A85,InsertFittings!$A$9:$M$184,4,FALSE),
IF($A85&lt;Valves!$A$92,VLOOKUP($A85,Valves!$A$9:$Q$91,4,FALSE),
IF($A85&lt;SDR35SW!$A$133,VLOOKUP($A85,SDR35SW!$A$9:$M$132,4,FALSE),
IF($A85&lt;SDR35G!$A$151,VLOOKUP($A85,SDR35G!$A$9:$M$150,4,FALSE),
IF($A85&lt;SDR26G!$A$67,VLOOKUP($A85,SDR26G!$A$9:$N$66,5,FALSE),
IF($A85&lt;Cements!$A$95,VLOOKUP($A85,Cements!$A$8:$Q$94,4,FALSE),
IF($A85&lt;ValveBox!$A$124,VLOOKUP($A85,ValveBox!$A$9:$O$123,4,FALSE),
IF($A85&lt;'ValveBox Components'!$A$142,VLOOKUP($A85,'ValveBox Components'!$A$9:$N$141,4,FALSE),
IF($A85&lt;Drainage!$A$69,VLOOKUP($A85,Drainage!$A$8:$M$68,4,FALSE),
IF($A85&lt;Nipples!$A$82,VLOOKUP($A85,Nipples!$A$9:$Q$81,4,FALSE),
IF($A85&lt;Manifold!$A$33,VLOOKUP($A85,Manifold!$A$9:$M$32,4,FALSE),
IF($A85&lt;FlexibleRepairCouplings!$A$12,VLOOKUP($A85,FlexibleRepairCouplings!$A$9:$M$11,4,FALSE),
IF($A85&lt;DuraFix!$A$15,VLOOKUP($A85,DuraFix!$A$9:$M$14,4,FALSE),
IF($A85&lt;'Compression Fittings'!$A$16,VLOOKUP($A85,'Compression Fittings'!$A$8:$M$15,4,FALSE),
IF($A85&lt;'Hose Fittings'!$A$30,VLOOKUP($A85,'Hose Fittings'!$A$8:$M$29,4,FALSE),
IF($A85&lt;'Swing Joints'!$A$495,VLOOKUP($A85,'Swing Joints'!$A$9:$M$494,4,FALSE),
IF($A85&lt;'Swing Joints Components'!$A$135,VLOOKUP($A85,'Swing Joints Components'!$A$9:$M$134,4,FALSE),
IF($A85&lt;Nonstandard!$A$42,VLOOKUP($A85,Nonstandard!$A$31:$J$41,5,FALSE),"")))))))))))))))))))))))))))),"")</f>
        <v/>
      </c>
      <c r="C85" s="312" t="str">
        <f>IFERROR(IF($A85&lt;'DWV PVC'!$A$317,VLOOKUP($A85,'DWV PVC'!$A$9:$M$316,5,FALSE),
IF($A85&lt;'DWV ABS'!$A$117,VLOOKUP($A85,'DWV ABS'!$A$8:$M$116,5,FALSE),
IF($A85&lt;'PVC SCH40'!$A$425,VLOOKUP($A85,'PVC SCH40'!$A$8:$M$424,5,FALSE),
IF($A85&lt;'PVC SCH40 LD'!$A$22,VLOOKUP($A85,'PVC SCH40 LD'!$A$8:$M$21,5,FALSE),
IF($A85&lt;'Pool &amp; SPA Sweep Elbows'!$A$12,VLOOKUP($A85,'Pool &amp; SPA Sweep Elbows'!$A$8:$M$11,5,FALSE),
IF($A85&lt;'Pool &amp; SPA Pipe Extender'!$A$11,VLOOKUP($A85,'Pool &amp; SPA Pipe Extender'!$A$8:$M$10,5,FALSE),
IF($A85&lt;'PVC SCH80'!$A$250,VLOOKUP($A85,'PVC SCH80'!$A$8:$M$249,5,FALSE),
IF($A85&lt;'PVC SCH80 Flange'!$A$49,VLOOKUP($A85,'PVC SCH80 Flange'!$A$8:$M$48,5,FALSE),
IF($A85&lt;'PVC SCH80 LD Flange'!$A$17,VLOOKUP($A85,'PVC SCH80 LD Flange'!$A$8:$M$16,5,FALSE),
IF($A85&lt;CPVC!$A$105,VLOOKUP($A85,CPVC!$A$9:$M$104,5,FALSE),
IF($A85&lt;InsertFittings!$A$185,VLOOKUP($A85,InsertFittings!$A$9:$M$184,5,FALSE),
IF($A85&lt;Valves!$A$92,VLOOKUP($A85,Valves!$A$9:$Q$91,5,FALSE),
IF($A85&lt;SDR35SW!$A$133,VLOOKUP($A85,SDR35SW!$A$9:$M$132,5,FALSE),
IF($A85&lt;SDR35G!$A$151,VLOOKUP($A85,SDR35G!$A$9:$M$150,5,FALSE),
IF($A85&lt;SDR26G!$A$67,VLOOKUP($A85,SDR26G!$A$9:$N$66,6,FALSE),
IF($A85&lt;Cements!$A$95,VLOOKUP($A85,Cements!$A$8:$Q$94,5,FALSE),
IF($A85&lt;ValveBox!$A$124,VLOOKUP($A85,ValveBox!$A$9:$O$123,5,FALSE),
IF($A85&lt;'ValveBox Components'!$A$142,VLOOKUP($A85,'ValveBox Components'!$A$9:$N$141,5,FALSE),
IF($A85&lt;Drainage!$A$69,VLOOKUP($A85,Drainage!$A$8:$M$68,5,FALSE),
IF($A85&lt;Nipples!$A$82,VLOOKUP($A85,Nipples!$A$9:$Q$81,5,FALSE),
IF($A85&lt;Manifold!$A$33,VLOOKUP($A85,Manifold!$A$9:$M$32,5,FALSE),
IF($A85&lt;FlexibleRepairCouplings!$A$12,VLOOKUP($A85,FlexibleRepairCouplings!$A$9:$M$11,5,FALSE),
IF($A85&lt;DuraFix!$A$15,VLOOKUP($A85,DuraFix!$A$9:$M$14,5,FALSE),
IF($A85&lt;'Compression Fittings'!$A$16,VLOOKUP($A85,'Compression Fittings'!$A$8:$M$15,5,FALSE),
IF($A85&lt;'Hose Fittings'!$A$30,VLOOKUP($A85,'Hose Fittings'!$A$8:$M$29,5,FALSE),
IF($A85&lt;'Swing Joints'!$A$495,VLOOKUP($A85,'Swing Joints'!$A$9:$M$494,5,FALSE),
IF($A85&lt;'Swing Joints Components'!$A$135,VLOOKUP($A85,'Swing Joints Components'!$A$9:$M$134,5,FALSE),
IF($A85&lt;Nonstandard!$A$42,VLOOKUP($A85,Nonstandard!$A$31:$J$41,6,FALSE),"")))))))))))))))))))))))))))),"")</f>
        <v/>
      </c>
      <c r="D85" s="534" t="str">
        <f>IFERROR(IF($A85&lt;'DWV PVC'!$A$317,VLOOKUP($A85,'DWV PVC'!$A$9:$M$316,6,FALSE),
IF($A85&lt;'DWV ABS'!$A$117,VLOOKUP($A85,'DWV ABS'!$A$8:$M$116,6,FALSE),
IF($A85&lt;'PVC SCH40'!$A$425,VLOOKUP($A85,'PVC SCH40'!$A$8:$M$424,6,FALSE),
IF($A85&lt;'PVC SCH40 LD'!$A$22,VLOOKUP($A85,'PVC SCH40 LD'!$A$8:$M$21,6,FALSE),
IF($A85&lt;'Pool &amp; SPA Sweep Elbows'!$A$12,VLOOKUP($A85,'Pool &amp; SPA Sweep Elbows'!$A$8:$M$11,6,FALSE),
IF($A85&lt;'Pool &amp; SPA Pipe Extender'!$A$11,VLOOKUP($A85,'Pool &amp; SPA Pipe Extender'!$A$8:$M$10,6,FALSE),
IF($A85&lt;'PVC SCH80'!$A$250,VLOOKUP($A85,'PVC SCH80'!$A$8:$M$249,6,FALSE),
IF($A85&lt;'PVC SCH80 Flange'!$A$49,VLOOKUP($A85,'PVC SCH80 Flange'!$A$8:$M$48,6,FALSE),
IF($A85&lt;'PVC SCH80 LD Flange'!$A$17,VLOOKUP($A85,'PVC SCH80 LD Flange'!$A$8:$M$16,6,FALSE),
IF($A85&lt;CPVC!$A$105,VLOOKUP($A85,CPVC!$A$9:$M$104,6,FALSE),
IF($A85&lt;InsertFittings!$A$185,VLOOKUP($A85,InsertFittings!$A$9:$M$184,6,FALSE),
IF($A85&lt;Valves!$A$92,VLOOKUP($A85,Valves!$A$9:$Q$91,6,FALSE),
IF($A85&lt;SDR35SW!$A$133,VLOOKUP($A85,SDR35SW!$A$9:$M$132,6,FALSE),
IF($A85&lt;SDR35G!$A$151,VLOOKUP($A85,SDR35G!$A$9:$M$150,6,FALSE),
IF($A85&lt;SDR26G!$A$67,VLOOKUP($A85,SDR26G!$A$9:$N$66,7,FALSE),
IF($A85&lt;Cements!$A$95,VLOOKUP($A85,Cements!$A$8:$Q$94,6,FALSE),
IF($A85&lt;ValveBox!$A$124,VLOOKUP($A85,ValveBox!$A$9:$O$123,6,FALSE),
IF($A85&lt;'ValveBox Components'!$A$142,VLOOKUP($A85,'ValveBox Components'!$A$9:$N$141,6,FALSE),
IF($A85&lt;Drainage!$A$69,VLOOKUP($A85,Drainage!$A$8:$M$68,6,FALSE),
IF($A85&lt;Nipples!$A$82,VLOOKUP($A85,Nipples!$A$9:$Q$81,6,FALSE),
IF($A85&lt;Manifold!$A$33,VLOOKUP($A85,Manifold!$A$9:$M$32,6,FALSE),
IF($A85&lt;FlexibleRepairCouplings!$A$12,VLOOKUP($A85,FlexibleRepairCouplings!$A$9:$M$11,6,FALSE),
IF($A85&lt;DuraFix!$A$15,VLOOKUP($A85,DuraFix!$A$9:$M$14,6,FALSE),
IF($A85&lt;'Compression Fittings'!$A$16,VLOOKUP($A85,'Compression Fittings'!$A$8:$M$15,6,FALSE),
IF($A85&lt;'Hose Fittings'!$A$30,VLOOKUP($A85,'Hose Fittings'!$A$8:$M$29,6,FALSE),
IF($A85&lt;'Swing Joints'!$A$495,VLOOKUP($A85,'Swing Joints'!$A$9:$M$494,6,FALSE),
IF($A85&lt;'Swing Joints Components'!$A$135,VLOOKUP($A85,'Swing Joints Components'!$A$9:$M$134,6,FALSE),
IF($A85&lt;Nonstandard!$A$42,VLOOKUP($A85,Nonstandard!$A$31:$J$41,7,FALSE),"")))))))))))))))))))))))))))),"")</f>
        <v/>
      </c>
      <c r="E85" s="316"/>
      <c r="F85" s="314" t="str">
        <f>IFERROR(IF($A85&lt;'DWV PVC'!$A$317,VLOOKUP($A85,'DWV PVC'!$A$9:$M$316,9,FALSE),
IF($A85&lt;'DWV ABS'!$A$117,VLOOKUP($A85,'DWV ABS'!$A$8:$M$116,9,FALSE),                                                                                                                                                                                                                                                     IF($A85&lt;'PVC SCH40'!$A$425,VLOOKUP($A85,'PVC SCH40'!$A$8:$M$424,9,FALSE),
IF($A85&lt;'PVC SCH40 LD'!$A$22,VLOOKUP($A85,'PVC SCH40 LD'!$A$8:$M$21,9,FALSE),
IF($A85&lt;'Pool &amp; SPA Sweep Elbows'!$A$12,VLOOKUP($A85,'Pool &amp; SPA Sweep Elbows'!$A$8:$M$11,9,FALSE),
IF($A85&lt;'Pool &amp; SPA Pipe Extender'!$A$11,VLOOKUP($A85,'Pool &amp; SPA Pipe Extender'!$A$8:$M$10,9,FALSE),
IF($A85&lt;'PVC SCH80'!$A$250,VLOOKUP($A85,'PVC SCH80'!$A$8:$M$249,9,FALSE),
IF($A85&lt;'PVC SCH80 Flange'!$A$49,VLOOKUP($A85,'PVC SCH80 Flange'!$A$8:$M$48,9,FALSE),
IF($A85&lt;'PVC SCH80 LD Flange'!$A$17,VLOOKUP($A85,'PVC SCH80 LD Flange'!$A$8:$M$16,9,FALSE),
IF($A85&lt;CPVC!$A$105,VLOOKUP($A85,CPVC!$A$9:$M$104,9,FALSE),
IF($A85&lt;InsertFittings!$A$185,VLOOKUP($A85,InsertFittings!$A$9:$M$184,9,FALSE),
IF($A85&lt;Valves!$A$92,VLOOKUP($A85,Valves!$A$9:$Q$91,13,FALSE),
IF($A85&lt;SDR35SW!$A$133,VLOOKUP($A85,SDR35SW!$A$9:$M$132,9,FALSE),
IF($A85&lt;SDR35G!$A$151,VLOOKUP($A85,SDR35G!$A$9:$M$150,9,FALSE),                                                                                                                                                                                                                                                          IF($A85&lt;SDR26G!$A$67,VLOOKUP($A85,SDR26G!$A$9:$N$66,10,FALSE),                                                                                                                                                                                                                                                       IF($A85&lt;Cements!$A$95,VLOOKUP($A85,Cements!$A$8:$Q$94,13,FALSE),
IF($A85&lt;ValveBox!$A$124,VLOOKUP($A85,ValveBox!$A$9:$O$123,11,FALSE),
IF($A85&lt;'ValveBox Components'!$A$142,VLOOKUP($A85,'ValveBox Components'!$A$9:$N$141,10,FALSE),
IF($A85&lt;Drainage!$A$69,VLOOKUP($A85,Drainage!$A$8:$M$68,9,FALSE),                                                                                                                                                                                                                                                              IF($A85&lt;Nipples!$A$82,VLOOKUP($A85,Nipples!$A$9:$Q$81,13,FALSE),
IF($A85&lt;Manifold!$A$33,VLOOKUP($A85,Manifold!$A$9:$M$32,9,FALSE),
IF($A85&lt;FlexibleRepairCouplings!$A$12,VLOOKUP($A85,FlexibleRepairCouplings!$A$9:$M$11,9,FALSE),
IF($A85&lt;DuraFix!$A$15,VLOOKUP($A85,DuraFix!$A$9:$M$14,9,FALSE),                                                                                                                                                                                                                                                          IF($A85&lt;'Compression Fittings'!$A$16,VLOOKUP($A85,'Compression Fittings'!$A$8:$M$15,9,FALSE),
IF($A85&lt;'Hose Fittings'!$A$30,VLOOKUP($A85,'Hose Fittings'!$A$8:$M$29,9,FALSE),
IF($A85&lt;'Swing Joints'!$A$495,VLOOKUP($A85,'Swing Joints'!$A$9:$M$494,9,FALSE),
IF($A85&lt;'Swing Joints Components'!$A$135,VLOOKUP($A85,'Swing Joints Components'!$A$9:$M$134,9,FALSE),
IF($A85&lt;Nonstandard!$A$42,VLOOKUP($A85,Nonstandard!$A$31:$J$41,8,FALSE),"")))))))))))))))))))))))))))),"")</f>
        <v/>
      </c>
      <c r="G85" s="533" t="str">
        <f>IFERROR(IF($A85&lt;'DWV PVC'!$A$317,VLOOKUP($A85,'DWV PVC'!$A$9:$M$316,11,FALSE),
IF($A85&lt;'DWV ABS'!$A$117,VLOOKUP($A85,'DWV ABS'!$A$8:$M$116,11,FALSE),                                                                                                                                                                                                                                                     IF($A85&lt;'PVC SCH40'!$A$425,VLOOKUP($A85,'PVC SCH40'!$A$8:$M$424,11,FALSE),
IF($A85&lt;'PVC SCH40 LD'!$A$22,VLOOKUP($A85,'PVC SCH40 LD'!$A$8:$M$21,11,FALSE),
IF($A85&lt;'Pool &amp; SPA Sweep Elbows'!$A$12,VLOOKUP($A85,'Pool &amp; SPA Sweep Elbows'!$A$8:$M$11,11,FALSE),
IF($A85&lt;'Pool &amp; SPA Pipe Extender'!$A$11,VLOOKUP($A85,'Pool &amp; SPA Pipe Extender'!$A$8:$M$10,11,FALSE),
IF($A85&lt;'PVC SCH80'!$A$250,VLOOKUP($A85,'PVC SCH80'!$A$8:$M$249,11,FALSE),
IF($A85&lt;'PVC SCH80 Flange'!$A$49,VLOOKUP($A85,'PVC SCH80 Flange'!$A$8:$M$48,11,FALSE),
IF($A85&lt;'PVC SCH80 LD Flange'!$A$17,VLOOKUP($A85,'PVC SCH80 LD Flange'!$A$8:$M$16,11,FALSE),
IF($A85&lt;CPVC!$A$105,VLOOKUP($A85,CPVC!$A$9:$M$104,11,FALSE),
IF($A85&lt;InsertFittings!$A$185,VLOOKUP($A85,InsertFittings!$A$9:$M$184,11,FALSE),
IF($A85&lt;Valves!$A$92,VLOOKUP($A85,Valves!$A$9:$Q$91,15,FALSE),
IF($A85&lt;SDR35SW!$A$133,VLOOKUP($A85,SDR35SW!$A$9:$M$132,11,FALSE),
IF($A85&lt;SDR35G!$A$151,VLOOKUP($A85,SDR35G!$A$9:$M$150,11,FALSE),                                                                                                                                                                                                                                                          IF($A85&lt;SDR26G!$A$67,VLOOKUP($A85,SDR26G!$A$9:$N$66,12,FALSE),                                                                                                                                                                                                                                                       IF($A85&lt;Cements!$A$95,VLOOKUP($A85,Cements!$A$8:$Q$94,15,FALSE),
IF($A85&lt;ValveBox!$A$124,VLOOKUP($A85,ValveBox!$A$9:$O$123,13,FALSE),
IF($A85&lt;'ValveBox Components'!$A$142,VLOOKUP($A85,'ValveBox Components'!$A$9:$N$141,12,FALSE),
IF($A85&lt;Drainage!$A$69,VLOOKUP($A85,Drainage!$A$8:$M$68,11,FALSE),                                                                                                                                                                                                                                                           IF($A85&lt;Nipples!$A$82,VLOOKUP($A85,Nipples!$A$9:$Q$81,15,FALSE),
IF($A85&lt;Manifold!$A$33,VLOOKUP($A85,Manifold!$A$9:$M$32,11,FALSE),
IF($A85&lt;FlexibleRepairCouplings!$A$12,VLOOKUP($A85,FlexibleRepairCouplings!$A$9:$M$11,11,FALSE),
IF($A85&lt;DuraFix!$A$15,VLOOKUP($A85,DuraFix!$A$9:$M$14,11,FALSE),                                                                                                                                                                                                                                                            IF($A85&lt;'Compression Fittings'!$A$16,VLOOKUP($A85,'Compression Fittings'!$A$8:$M$15,11,FALSE),
IF($A85&lt;'Hose Fittings'!$A$30,VLOOKUP($A85,'Hose Fittings'!$A$8:$M$29,11,FALSE),
IF($A85&lt;'Swing Joints'!$A$495,VLOOKUP($A85,'Swing Joints'!$A$9:$M$494,11,FALSE),
IF($A85&lt;'Swing Joints Components'!$A$135,VLOOKUP($A85,'Swing Joints Components'!$A$9:$M$134,11,FALSE),
IF($A85&lt;Nonstandard!$A$42,VLOOKUP($A85,Nonstandard!$A$31:$J$41,10,FALSE),"")))))))))))))))))))))))))))),"")</f>
        <v/>
      </c>
      <c r="H85" s="618" t="str">
        <f>IFERROR(IF($A85&lt;'DWV PVC'!$A$317,VLOOKUP($A85,'DWV PVC'!$A$9:$M$316,7,FALSE),
IF($A85&lt;'DWV ABS'!$A$117,VLOOKUP($A85,'DWV ABS'!$A$8:$M$116,11,FALSE),                                                                                                                                                                                                                                                     IF($A85&lt;'PVC SCH40'!$A$425,VLOOKUP($A85,'PVC SCH40'!$A$8:$M$424,7,FALSE),
IF($A85&lt;'PVC SCH40 LD'!$A$22,VLOOKUP($A85,'PVC SCH40 LD'!$A$8:$M$21,7,FALSE),
IF($A85&lt;'Pool &amp; SPA Sweep Elbows'!$A$12,VLOOKUP($A85,'Pool &amp; SPA Sweep Elbows'!$A$8:$M$11,7,FALSE),
IF($A85&lt;'Pool &amp; SPA Pipe Extender'!$A$11,VLOOKUP($A85,'Pool &amp; SPA Pipe Extender'!$A$8:$M$10,7,FALSE),
IF($A85&lt;'PVC SCH80'!$A$250,VLOOKUP($A85,'PVC SCH80'!$A$8:$M$249,7,FALSE),
IF($A85&lt;'PVC SCH80 Flange'!$A$49,VLOOKUP($A85,'PVC SCH80 Flange'!$A$8:$M$48,7,FALSE),
IF($A85&lt;'PVC SCH80 LD Flange'!$A$17,VLOOKUP($A85,'PVC SCH80 LD Flange'!$A$8:$M$16,7,FALSE),
IF($A85&lt;CPVC!$A$105,VLOOKUP($A85,CPVC!$A$9:$M$104,7,FALSE),
IF($A85&lt;InsertFittings!$A$185,VLOOKUP($A85,InsertFittings!$A$9:$M$184,7,FALSE),
IF($A85&lt;Valves!$A$92,VLOOKUP($A85,Valves!$A$9:$Q$91,11,FALSE),
IF($A85&lt;SDR35SW!$A$133,VLOOKUP($A85,SDR35SW!$A$9:$M$132,7,FALSE),
IF($A85&lt;SDR35G!$A$151,VLOOKUP($A85,SDR35G!$A$9:$M$150,7,FALSE),                                                                                                                                                                                                                                                       IF($A85&lt;SDR26G!$A$67,VLOOKUP($A85,SDR26G!$A$9:$N$66,8,FALSE),                                                                                                                                                                                                                                                     IF($A85&lt;Cements!$A$95,VLOOKUP($A85,Cements!$A$8:$Q$94,11,FALSE),
IF($A85&lt;ValveBox!$A$124,VLOOKUP($A85,ValveBox!$A$9:$O$123,10,FALSE),
IF($A85&lt;'ValveBox Components'!$A$142,VLOOKUP($A85,'ValveBox Components'!$A$9:$N$141,9,FALSE),
IF($A85&lt;Drainage!$A$69,VLOOKUP($A85,Drainage!$A$8:$M$68,7,FALSE),                                                                                                                                                                                                                                                          IF($A85&lt;Nipples!$A$82,VLOOKUP($A85,Nipples!$A$9:$Q$81,11,FALSE),
IF($A85&lt;Manifold!$A$33,VLOOKUP($A85,Manifold!$A$9:$M$32,7,FALSE),
IF($A85&lt;FlexibleRepairCouplings!$A$12,VLOOKUP($A85,FlexibleRepairCouplings!$A$9:$M$11,7,FALSE),
IF($A85&lt;DuraFix!$A$15,VLOOKUP($A85,DuraFix!$A$9:$M$14,7,FALSE),                                                                                                                                                                                                                                                           IF($A85&lt;'Compression Fittings'!$A$16,VLOOKUP($A85,'Compression Fittings'!$A$8:$M$15,7,FALSE),
IF($A85&lt;'Hose Fittings'!$A$30,VLOOKUP($A85,'Hose Fittings'!$A$8:$M$29,7,FALSE),
IF($A85&lt;'Swing Joints'!$A$495,VLOOKUP($A85,'Swing Joints'!$A$9:$M$494,7,FALSE),
IF($A85&lt;'Swing Joints Components'!$A$135,VLOOKUP($A85,'Swing Joints Components'!$A$9:$M$134,7,FALSE),
IF($A85&lt;Nonstandard!$A$42,VLOOKUP($A85,Nonstandard!$A$31:$J$41,10,FALSE),"")))))))))))))))))))))))))))),"")</f>
        <v/>
      </c>
      <c r="I85" s="619"/>
      <c r="J85" s="281" t="str">
        <f t="shared" si="1"/>
        <v/>
      </c>
      <c r="K85" s="313" t="str">
        <f>IFERROR(IF($A85&lt;'DWV PVC'!$A$317,VLOOKUP($A85,'DWV PVC'!$A$9:$M$316,10,FALSE),
IF($A85&lt;'DWV ABS'!$A$117,VLOOKUP($A85,'DWV ABS'!$A$8:$M$116,10,FALSE),
IF($A85&lt;'PVC SCH40'!$A$425,VLOOKUP($A85,'PVC SCH40'!$A$8:$M$424,10,FALSE),
IF($A85&lt;'PVC SCH40 LD'!$A$22,VLOOKUP($A85,'PVC SCH40 LD'!$A$8:$M$21,10,FALSE),
IF($A85&lt;'Pool &amp; SPA Sweep Elbows'!$A$12,VLOOKUP($A85,'Pool &amp; SPA Sweep Elbows'!$A$8:$M$11,10,FALSE),
IF($A85&lt;'Pool &amp; SPA Pipe Extender'!$A$11,VLOOKUP($A85,'Pool &amp; SPA Pipe Extender'!$A$8:$M$10,10,FALSE),
IF($A85&lt;'PVC SCH80'!$A$250,VLOOKUP($A85,'PVC SCH80'!$A$8:$M$249,10,FALSE),
IF($A85&lt;'PVC SCH80 Flange'!$A$49,VLOOKUP($A85,'PVC SCH80 Flange'!$A$8:$M$48,10,FALSE),
IF($A85&lt;'PVC SCH80 LD Flange'!$A$17,VLOOKUP($A85,'PVC SCH80 LD Flange'!$A$8:$M$16,10,FALSE),
IF($A85&lt;CPVC!$A$105,VLOOKUP($A85,CPVC!$A$9:$M$104,10,FALSE),
IF($A85&lt;InsertFittings!$A$185,VLOOKUP($A85,InsertFittings!$A$9:$M$184,10,FALSE),
IF($A85&lt;Valves!$A$92,VLOOKUP($A85,Valves!$A$9:$Q$91,14,FALSE),
IF($A85&lt;SDR35SW!$A$133,VLOOKUP($A85,SDR35SW!$A$9:$M$132,10,FALSE),
IF($A85&lt;SDR35G!$A$151,VLOOKUP($A85,SDR35G!$A$9:$M$150,10,FALSE),
IF($A85&lt;SDR26G!$A$67,VLOOKUP($A85,SDR26G!$A$9:$N$66,11,FALSE),
IF($A85&lt;Cements!$A$95,VLOOKUP($A85,Cements!$A$8:$Q$94,14,FALSE),
IF($A85&lt;ValveBox!$A$124,VLOOKUP($A85,ValveBox!$A$9:$O$123,12,FALSE),
IF($A85&lt;'ValveBox Components'!$A$142,VLOOKUP($A85,'ValveBox Components'!$A$9:$N$141,11,FALSE),
IF($A85&lt;Drainage!$A$69,VLOOKUP($A85,Drainage!$A$8:$M$68,10,FALSE),
IF($A85&lt;Nipples!$A$82,VLOOKUP($A85,Nipples!$A$9:$Q$81,14,FALSE),
IF($A85&lt;Manifold!$A$33,VLOOKUP($A85,Manifold!$A$9:$M$32,10,FALSE),
IF($A85&lt;FlexibleRepairCouplings!$A$12,VLOOKUP($A85,FlexibleRepairCouplings!$A$9:$M$11,10,FALSE),
IF($A85&lt;DuraFix!$A$15,VLOOKUP($A85,DuraFix!$A$9:$M$14,10,FALSE),
IF($A85&lt;'Compression Fittings'!$A$16,VLOOKUP($A85,'Compression Fittings'!$A$8:$M$15,10,FALSE),
IF($A85&lt;'Hose Fittings'!$A$30,VLOOKUP($A85,'Hose Fittings'!$A$8:$M$29,10,FALSE),
IF($A85&lt;'Swing Joints'!$A$495,VLOOKUP($A85,'Swing Joints'!$A$9:$M$494,10,FALSE),
IF($A85&lt;'Swing Joints Components'!$A$135,VLOOKUP($A85,'Swing Joints Components'!$A$9:$M$134,10,FALSE),
IF($A85&lt;Nonstandard!$A$42,VLOOKUP($A85,Nonstandard!$A$31:$J$41,10,FALSE),"")))))))))))))))))))))))))))),"")</f>
        <v/>
      </c>
      <c r="L85" s="314" t="str">
        <f t="shared" si="0"/>
        <v>-</v>
      </c>
      <c r="M85" s="315"/>
    </row>
    <row r="86" spans="1:13" ht="15.6">
      <c r="A86" s="536">
        <v>54</v>
      </c>
      <c r="B86" s="536" t="str">
        <f>IFERROR(IF($A86&lt;'DWV PVC'!$A$317,VLOOKUP($A86,'DWV PVC'!$A$9:$M$316,4,FALSE),
IF($A86&lt;'DWV ABS'!$A$117,VLOOKUP($A86,'DWV ABS'!$A$8:$M$116,4,FALSE),
IF($A86&lt;'PVC SCH40'!$A$425,VLOOKUP($A86,'PVC SCH40'!$A$8:$M$424,4,FALSE),
IF($A86&lt;'PVC SCH40 LD'!$A$22,VLOOKUP($A86,'PVC SCH40 LD'!$A$8:$M$21,4,FALSE),
IF($A86&lt;'Pool &amp; SPA Sweep Elbows'!$A$12,VLOOKUP($A86,'Pool &amp; SPA Sweep Elbows'!$A$8:$M$11,4,FALSE),
IF($A86&lt;'Pool &amp; SPA Pipe Extender'!$A$11,VLOOKUP($A86,'Pool &amp; SPA Pipe Extender'!$A$8:$M$10,4,FALSE),
IF($A86&lt;'PVC SCH80'!$A$250,VLOOKUP($A86,'PVC SCH80'!$A$8:$M$249,4,FALSE),
IF($A86&lt;'PVC SCH80 Flange'!$A$49,VLOOKUP($A86,'PVC SCH80 Flange'!$A$8:$M$48,4,FALSE),
IF($A86&lt;'PVC SCH80 LD Flange'!$A$17,VLOOKUP($A86,'PVC SCH80 LD Flange'!$A$8:$M$16,4,FALSE),
IF($A86&lt;CPVC!$A$105,VLOOKUP($A86,CPVC!$A$9:$M$104,4,FALSE),
IF($A86&lt;InsertFittings!$A$185,VLOOKUP($A86,InsertFittings!$A$9:$M$184,4,FALSE),
IF($A86&lt;Valves!$A$92,VLOOKUP($A86,Valves!$A$9:$Q$91,4,FALSE),
IF($A86&lt;SDR35SW!$A$133,VLOOKUP($A86,SDR35SW!$A$9:$M$132,4,FALSE),
IF($A86&lt;SDR35G!$A$151,VLOOKUP($A86,SDR35G!$A$9:$M$150,4,FALSE),
IF($A86&lt;SDR26G!$A$67,VLOOKUP($A86,SDR26G!$A$9:$N$66,5,FALSE),
IF($A86&lt;Cements!$A$95,VLOOKUP($A86,Cements!$A$8:$Q$94,4,FALSE),
IF($A86&lt;ValveBox!$A$124,VLOOKUP($A86,ValveBox!$A$9:$O$123,4,FALSE),
IF($A86&lt;'ValveBox Components'!$A$142,VLOOKUP($A86,'ValveBox Components'!$A$9:$N$141,4,FALSE),
IF($A86&lt;Drainage!$A$69,VLOOKUP($A86,Drainage!$A$8:$M$68,4,FALSE),
IF($A86&lt;Nipples!$A$82,VLOOKUP($A86,Nipples!$A$9:$Q$81,4,FALSE),
IF($A86&lt;Manifold!$A$33,VLOOKUP($A86,Manifold!$A$9:$M$32,4,FALSE),
IF($A86&lt;FlexibleRepairCouplings!$A$12,VLOOKUP($A86,FlexibleRepairCouplings!$A$9:$M$11,4,FALSE),
IF($A86&lt;DuraFix!$A$15,VLOOKUP($A86,DuraFix!$A$9:$M$14,4,FALSE),
IF($A86&lt;'Compression Fittings'!$A$16,VLOOKUP($A86,'Compression Fittings'!$A$8:$M$15,4,FALSE),
IF($A86&lt;'Hose Fittings'!$A$30,VLOOKUP($A86,'Hose Fittings'!$A$8:$M$29,4,FALSE),
IF($A86&lt;'Swing Joints'!$A$495,VLOOKUP($A86,'Swing Joints'!$A$9:$M$494,4,FALSE),
IF($A86&lt;'Swing Joints Components'!$A$135,VLOOKUP($A86,'Swing Joints Components'!$A$9:$M$134,4,FALSE),
IF($A86&lt;Nonstandard!$A$42,VLOOKUP($A86,Nonstandard!$A$31:$J$41,5,FALSE),"")))))))))))))))))))))))))))),"")</f>
        <v/>
      </c>
      <c r="C86" s="536" t="str">
        <f>IFERROR(IF($A86&lt;'DWV PVC'!$A$317,VLOOKUP($A86,'DWV PVC'!$A$9:$M$316,5,FALSE),
IF($A86&lt;'DWV ABS'!$A$117,VLOOKUP($A86,'DWV ABS'!$A$8:$M$116,5,FALSE),
IF($A86&lt;'PVC SCH40'!$A$425,VLOOKUP($A86,'PVC SCH40'!$A$8:$M$424,5,FALSE),
IF($A86&lt;'PVC SCH40 LD'!$A$22,VLOOKUP($A86,'PVC SCH40 LD'!$A$8:$M$21,5,FALSE),
IF($A86&lt;'Pool &amp; SPA Sweep Elbows'!$A$12,VLOOKUP($A86,'Pool &amp; SPA Sweep Elbows'!$A$8:$M$11,5,FALSE),
IF($A86&lt;'Pool &amp; SPA Pipe Extender'!$A$11,VLOOKUP($A86,'Pool &amp; SPA Pipe Extender'!$A$8:$M$10,5,FALSE),
IF($A86&lt;'PVC SCH80'!$A$250,VLOOKUP($A86,'PVC SCH80'!$A$8:$M$249,5,FALSE),
IF($A86&lt;'PVC SCH80 Flange'!$A$49,VLOOKUP($A86,'PVC SCH80 Flange'!$A$8:$M$48,5,FALSE),
IF($A86&lt;'PVC SCH80 LD Flange'!$A$17,VLOOKUP($A86,'PVC SCH80 LD Flange'!$A$8:$M$16,5,FALSE),
IF($A86&lt;CPVC!$A$105,VLOOKUP($A86,CPVC!$A$9:$M$104,5,FALSE),
IF($A86&lt;InsertFittings!$A$185,VLOOKUP($A86,InsertFittings!$A$9:$M$184,5,FALSE),
IF($A86&lt;Valves!$A$92,VLOOKUP($A86,Valves!$A$9:$Q$91,5,FALSE),
IF($A86&lt;SDR35SW!$A$133,VLOOKUP($A86,SDR35SW!$A$9:$M$132,5,FALSE),
IF($A86&lt;SDR35G!$A$151,VLOOKUP($A86,SDR35G!$A$9:$M$150,5,FALSE),
IF($A86&lt;SDR26G!$A$67,VLOOKUP($A86,SDR26G!$A$9:$N$66,6,FALSE),
IF($A86&lt;Cements!$A$95,VLOOKUP($A86,Cements!$A$8:$Q$94,5,FALSE),
IF($A86&lt;ValveBox!$A$124,VLOOKUP($A86,ValveBox!$A$9:$O$123,5,FALSE),
IF($A86&lt;'ValveBox Components'!$A$142,VLOOKUP($A86,'ValveBox Components'!$A$9:$N$141,5,FALSE),
IF($A86&lt;Drainage!$A$69,VLOOKUP($A86,Drainage!$A$8:$M$68,5,FALSE),
IF($A86&lt;Nipples!$A$82,VLOOKUP($A86,Nipples!$A$9:$Q$81,5,FALSE),
IF($A86&lt;Manifold!$A$33,VLOOKUP($A86,Manifold!$A$9:$M$32,5,FALSE),
IF($A86&lt;FlexibleRepairCouplings!$A$12,VLOOKUP($A86,FlexibleRepairCouplings!$A$9:$M$11,5,FALSE),
IF($A86&lt;DuraFix!$A$15,VLOOKUP($A86,DuraFix!$A$9:$M$14,5,FALSE),
IF($A86&lt;'Compression Fittings'!$A$16,VLOOKUP($A86,'Compression Fittings'!$A$8:$M$15,5,FALSE),
IF($A86&lt;'Hose Fittings'!$A$30,VLOOKUP($A86,'Hose Fittings'!$A$8:$M$29,5,FALSE),
IF($A86&lt;'Swing Joints'!$A$495,VLOOKUP($A86,'Swing Joints'!$A$9:$M$494,5,FALSE),
IF($A86&lt;'Swing Joints Components'!$A$135,VLOOKUP($A86,'Swing Joints Components'!$A$9:$M$134,5,FALSE),
IF($A86&lt;Nonstandard!$A$42,VLOOKUP($A86,Nonstandard!$A$31:$J$41,6,FALSE),"")))))))))))))))))))))))))))),"")</f>
        <v/>
      </c>
      <c r="D86" s="537" t="str">
        <f>IFERROR(IF($A86&lt;'DWV PVC'!$A$317,VLOOKUP($A86,'DWV PVC'!$A$9:$M$316,6,FALSE),
IF($A86&lt;'DWV ABS'!$A$117,VLOOKUP($A86,'DWV ABS'!$A$8:$M$116,6,FALSE),
IF($A86&lt;'PVC SCH40'!$A$425,VLOOKUP($A86,'PVC SCH40'!$A$8:$M$424,6,FALSE),
IF($A86&lt;'PVC SCH40 LD'!$A$22,VLOOKUP($A86,'PVC SCH40 LD'!$A$8:$M$21,6,FALSE),
IF($A86&lt;'Pool &amp; SPA Sweep Elbows'!$A$12,VLOOKUP($A86,'Pool &amp; SPA Sweep Elbows'!$A$8:$M$11,6,FALSE),
IF($A86&lt;'Pool &amp; SPA Pipe Extender'!$A$11,VLOOKUP($A86,'Pool &amp; SPA Pipe Extender'!$A$8:$M$10,6,FALSE),
IF($A86&lt;'PVC SCH80'!$A$250,VLOOKUP($A86,'PVC SCH80'!$A$8:$M$249,6,FALSE),
IF($A86&lt;'PVC SCH80 Flange'!$A$49,VLOOKUP($A86,'PVC SCH80 Flange'!$A$8:$M$48,6,FALSE),
IF($A86&lt;'PVC SCH80 LD Flange'!$A$17,VLOOKUP($A86,'PVC SCH80 LD Flange'!$A$8:$M$16,6,FALSE),
IF($A86&lt;CPVC!$A$105,VLOOKUP($A86,CPVC!$A$9:$M$104,6,FALSE),
IF($A86&lt;InsertFittings!$A$185,VLOOKUP($A86,InsertFittings!$A$9:$M$184,6,FALSE),
IF($A86&lt;Valves!$A$92,VLOOKUP($A86,Valves!$A$9:$Q$91,6,FALSE),
IF($A86&lt;SDR35SW!$A$133,VLOOKUP($A86,SDR35SW!$A$9:$M$132,6,FALSE),
IF($A86&lt;SDR35G!$A$151,VLOOKUP($A86,SDR35G!$A$9:$M$150,6,FALSE),
IF($A86&lt;SDR26G!$A$67,VLOOKUP($A86,SDR26G!$A$9:$N$66,7,FALSE),
IF($A86&lt;Cements!$A$95,VLOOKUP($A86,Cements!$A$8:$Q$94,6,FALSE),
IF($A86&lt;ValveBox!$A$124,VLOOKUP($A86,ValveBox!$A$9:$O$123,6,FALSE),
IF($A86&lt;'ValveBox Components'!$A$142,VLOOKUP($A86,'ValveBox Components'!$A$9:$N$141,6,FALSE),
IF($A86&lt;Drainage!$A$69,VLOOKUP($A86,Drainage!$A$8:$M$68,6,FALSE),
IF($A86&lt;Nipples!$A$82,VLOOKUP($A86,Nipples!$A$9:$Q$81,6,FALSE),
IF($A86&lt;Manifold!$A$33,VLOOKUP($A86,Manifold!$A$9:$M$32,6,FALSE),
IF($A86&lt;FlexibleRepairCouplings!$A$12,VLOOKUP($A86,FlexibleRepairCouplings!$A$9:$M$11,6,FALSE),
IF($A86&lt;DuraFix!$A$15,VLOOKUP($A86,DuraFix!$A$9:$M$14,6,FALSE),
IF($A86&lt;'Compression Fittings'!$A$16,VLOOKUP($A86,'Compression Fittings'!$A$8:$M$15,6,FALSE),
IF($A86&lt;'Hose Fittings'!$A$30,VLOOKUP($A86,'Hose Fittings'!$A$8:$M$29,6,FALSE),
IF($A86&lt;'Swing Joints'!$A$495,VLOOKUP($A86,'Swing Joints'!$A$9:$M$494,6,FALSE),
IF($A86&lt;'Swing Joints Components'!$A$135,VLOOKUP($A86,'Swing Joints Components'!$A$9:$M$134,6,FALSE),
IF($A86&lt;Nonstandard!$A$42,VLOOKUP($A86,Nonstandard!$A$31:$J$41,7,FALSE),"")))))))))))))))))))))))))))),"")</f>
        <v/>
      </c>
      <c r="E86" s="538"/>
      <c r="F86" s="539" t="str">
        <f>IFERROR(IF($A86&lt;'DWV PVC'!$A$317,VLOOKUP($A86,'DWV PVC'!$A$9:$M$316,9,FALSE),
IF($A86&lt;'DWV ABS'!$A$117,VLOOKUP($A86,'DWV ABS'!$A$8:$M$116,9,FALSE),                                                                                                                                                                                                                                                     IF($A86&lt;'PVC SCH40'!$A$425,VLOOKUP($A86,'PVC SCH40'!$A$8:$M$424,9,FALSE),
IF($A86&lt;'PVC SCH40 LD'!$A$22,VLOOKUP($A86,'PVC SCH40 LD'!$A$8:$M$21,9,FALSE),
IF($A86&lt;'Pool &amp; SPA Sweep Elbows'!$A$12,VLOOKUP($A86,'Pool &amp; SPA Sweep Elbows'!$A$8:$M$11,9,FALSE),
IF($A86&lt;'Pool &amp; SPA Pipe Extender'!$A$11,VLOOKUP($A86,'Pool &amp; SPA Pipe Extender'!$A$8:$M$10,9,FALSE),
IF($A86&lt;'PVC SCH80'!$A$250,VLOOKUP($A86,'PVC SCH80'!$A$8:$M$249,9,FALSE),
IF($A86&lt;'PVC SCH80 Flange'!$A$49,VLOOKUP($A86,'PVC SCH80 Flange'!$A$8:$M$48,9,FALSE),
IF($A86&lt;'PVC SCH80 LD Flange'!$A$17,VLOOKUP($A86,'PVC SCH80 LD Flange'!$A$8:$M$16,9,FALSE),
IF($A86&lt;CPVC!$A$105,VLOOKUP($A86,CPVC!$A$9:$M$104,9,FALSE),
IF($A86&lt;InsertFittings!$A$185,VLOOKUP($A86,InsertFittings!$A$9:$M$184,9,FALSE),
IF($A86&lt;Valves!$A$92,VLOOKUP($A86,Valves!$A$9:$Q$91,13,FALSE),
IF($A86&lt;SDR35SW!$A$133,VLOOKUP($A86,SDR35SW!$A$9:$M$132,9,FALSE),
IF($A86&lt;SDR35G!$A$151,VLOOKUP($A86,SDR35G!$A$9:$M$150,9,FALSE),                                                                                                                                                                                                                                                          IF($A86&lt;SDR26G!$A$67,VLOOKUP($A86,SDR26G!$A$9:$N$66,10,FALSE),                                                                                                                                                                                                                                                       IF($A86&lt;Cements!$A$95,VLOOKUP($A86,Cements!$A$8:$Q$94,13,FALSE),
IF($A86&lt;ValveBox!$A$124,VLOOKUP($A86,ValveBox!$A$9:$O$123,11,FALSE),
IF($A86&lt;'ValveBox Components'!$A$142,VLOOKUP($A86,'ValveBox Components'!$A$9:$N$141,10,FALSE),
IF($A86&lt;Drainage!$A$69,VLOOKUP($A86,Drainage!$A$8:$M$68,9,FALSE),                                                                                                                                                                                                                                                              IF($A86&lt;Nipples!$A$82,VLOOKUP($A86,Nipples!$A$9:$Q$81,13,FALSE),
IF($A86&lt;Manifold!$A$33,VLOOKUP($A86,Manifold!$A$9:$M$32,9,FALSE),
IF($A86&lt;FlexibleRepairCouplings!$A$12,VLOOKUP($A86,FlexibleRepairCouplings!$A$9:$M$11,9,FALSE),
IF($A86&lt;DuraFix!$A$15,VLOOKUP($A86,DuraFix!$A$9:$M$14,9,FALSE),                                                                                                                                                                                                                                                          IF($A86&lt;'Compression Fittings'!$A$16,VLOOKUP($A86,'Compression Fittings'!$A$8:$M$15,9,FALSE),
IF($A86&lt;'Hose Fittings'!$A$30,VLOOKUP($A86,'Hose Fittings'!$A$8:$M$29,9,FALSE),
IF($A86&lt;'Swing Joints'!$A$495,VLOOKUP($A86,'Swing Joints'!$A$9:$M$494,9,FALSE),
IF($A86&lt;'Swing Joints Components'!$A$135,VLOOKUP($A86,'Swing Joints Components'!$A$9:$M$134,9,FALSE),
IF($A86&lt;Nonstandard!$A$42,VLOOKUP($A86,Nonstandard!$A$31:$J$41,8,FALSE),"")))))))))))))))))))))))))))),"")</f>
        <v/>
      </c>
      <c r="G86" s="540" t="str">
        <f>IFERROR(IF($A86&lt;'DWV PVC'!$A$317,VLOOKUP($A86,'DWV PVC'!$A$9:$M$316,11,FALSE),
IF($A86&lt;'DWV ABS'!$A$117,VLOOKUP($A86,'DWV ABS'!$A$8:$M$116,11,FALSE),                                                                                                                                                                                                                                                     IF($A86&lt;'PVC SCH40'!$A$425,VLOOKUP($A86,'PVC SCH40'!$A$8:$M$424,11,FALSE),
IF($A86&lt;'PVC SCH40 LD'!$A$22,VLOOKUP($A86,'PVC SCH40 LD'!$A$8:$M$21,11,FALSE),
IF($A86&lt;'Pool &amp; SPA Sweep Elbows'!$A$12,VLOOKUP($A86,'Pool &amp; SPA Sweep Elbows'!$A$8:$M$11,11,FALSE),
IF($A86&lt;'Pool &amp; SPA Pipe Extender'!$A$11,VLOOKUP($A86,'Pool &amp; SPA Pipe Extender'!$A$8:$M$10,11,FALSE),
IF($A86&lt;'PVC SCH80'!$A$250,VLOOKUP($A86,'PVC SCH80'!$A$8:$M$249,11,FALSE),
IF($A86&lt;'PVC SCH80 Flange'!$A$49,VLOOKUP($A86,'PVC SCH80 Flange'!$A$8:$M$48,11,FALSE),
IF($A86&lt;'PVC SCH80 LD Flange'!$A$17,VLOOKUP($A86,'PVC SCH80 LD Flange'!$A$8:$M$16,11,FALSE),
IF($A86&lt;CPVC!$A$105,VLOOKUP($A86,CPVC!$A$9:$M$104,11,FALSE),
IF($A86&lt;InsertFittings!$A$185,VLOOKUP($A86,InsertFittings!$A$9:$M$184,11,FALSE),
IF($A86&lt;Valves!$A$92,VLOOKUP($A86,Valves!$A$9:$Q$91,15,FALSE),
IF($A86&lt;SDR35SW!$A$133,VLOOKUP($A86,SDR35SW!$A$9:$M$132,11,FALSE),
IF($A86&lt;SDR35G!$A$151,VLOOKUP($A86,SDR35G!$A$9:$M$150,11,FALSE),                                                                                                                                                                                                                                                          IF($A86&lt;SDR26G!$A$67,VLOOKUP($A86,SDR26G!$A$9:$N$66,12,FALSE),                                                                                                                                                                                                                                                       IF($A86&lt;Cements!$A$95,VLOOKUP($A86,Cements!$A$8:$Q$94,15,FALSE),
IF($A86&lt;ValveBox!$A$124,VLOOKUP($A86,ValveBox!$A$9:$O$123,13,FALSE),
IF($A86&lt;'ValveBox Components'!$A$142,VLOOKUP($A86,'ValveBox Components'!$A$9:$N$141,12,FALSE),
IF($A86&lt;Drainage!$A$69,VLOOKUP($A86,Drainage!$A$8:$M$68,11,FALSE),                                                                                                                                                                                                                                                           IF($A86&lt;Nipples!$A$82,VLOOKUP($A86,Nipples!$A$9:$Q$81,15,FALSE),
IF($A86&lt;Manifold!$A$33,VLOOKUP($A86,Manifold!$A$9:$M$32,11,FALSE),
IF($A86&lt;FlexibleRepairCouplings!$A$12,VLOOKUP($A86,FlexibleRepairCouplings!$A$9:$M$11,11,FALSE),
IF($A86&lt;DuraFix!$A$15,VLOOKUP($A86,DuraFix!$A$9:$M$14,11,FALSE),                                                                                                                                                                                                                                                            IF($A86&lt;'Compression Fittings'!$A$16,VLOOKUP($A86,'Compression Fittings'!$A$8:$M$15,11,FALSE),
IF($A86&lt;'Hose Fittings'!$A$30,VLOOKUP($A86,'Hose Fittings'!$A$8:$M$29,11,FALSE),
IF($A86&lt;'Swing Joints'!$A$495,VLOOKUP($A86,'Swing Joints'!$A$9:$M$494,11,FALSE),
IF($A86&lt;'Swing Joints Components'!$A$135,VLOOKUP($A86,'Swing Joints Components'!$A$9:$M$134,11,FALSE),
IF($A86&lt;Nonstandard!$A$42,VLOOKUP($A86,Nonstandard!$A$31:$J$41,10,FALSE),"")))))))))))))))))))))))))))),"")</f>
        <v/>
      </c>
      <c r="H86" s="620" t="str">
        <f>IFERROR(IF($A86&lt;'DWV PVC'!$A$317,VLOOKUP($A86,'DWV PVC'!$A$9:$M$316,7,FALSE),
IF($A86&lt;'DWV ABS'!$A$117,VLOOKUP($A86,'DWV ABS'!$A$8:$M$116,11,FALSE),                                                                                                                                                                                                                                                     IF($A86&lt;'PVC SCH40'!$A$425,VLOOKUP($A86,'PVC SCH40'!$A$8:$M$424,7,FALSE),
IF($A86&lt;'PVC SCH40 LD'!$A$22,VLOOKUP($A86,'PVC SCH40 LD'!$A$8:$M$21,7,FALSE),
IF($A86&lt;'Pool &amp; SPA Sweep Elbows'!$A$12,VLOOKUP($A86,'Pool &amp; SPA Sweep Elbows'!$A$8:$M$11,7,FALSE),
IF($A86&lt;'Pool &amp; SPA Pipe Extender'!$A$11,VLOOKUP($A86,'Pool &amp; SPA Pipe Extender'!$A$8:$M$10,7,FALSE),
IF($A86&lt;'PVC SCH80'!$A$250,VLOOKUP($A86,'PVC SCH80'!$A$8:$M$249,7,FALSE),
IF($A86&lt;'PVC SCH80 Flange'!$A$49,VLOOKUP($A86,'PVC SCH80 Flange'!$A$8:$M$48,7,FALSE),
IF($A86&lt;'PVC SCH80 LD Flange'!$A$17,VLOOKUP($A86,'PVC SCH80 LD Flange'!$A$8:$M$16,7,FALSE),
IF($A86&lt;CPVC!$A$105,VLOOKUP($A86,CPVC!$A$9:$M$104,7,FALSE),
IF($A86&lt;InsertFittings!$A$185,VLOOKUP($A86,InsertFittings!$A$9:$M$184,7,FALSE),
IF($A86&lt;Valves!$A$92,VLOOKUP($A86,Valves!$A$9:$Q$91,11,FALSE),
IF($A86&lt;SDR35SW!$A$133,VLOOKUP($A86,SDR35SW!$A$9:$M$132,7,FALSE),
IF($A86&lt;SDR35G!$A$151,VLOOKUP($A86,SDR35G!$A$9:$M$150,7,FALSE),                                                                                                                                                                                                                                                       IF($A86&lt;SDR26G!$A$67,VLOOKUP($A86,SDR26G!$A$9:$N$66,8,FALSE),                                                                                                                                                                                                                                                     IF($A86&lt;Cements!$A$95,VLOOKUP($A86,Cements!$A$8:$Q$94,11,FALSE),
IF($A86&lt;ValveBox!$A$124,VLOOKUP($A86,ValveBox!$A$9:$O$123,10,FALSE),
IF($A86&lt;'ValveBox Components'!$A$142,VLOOKUP($A86,'ValveBox Components'!$A$9:$N$141,9,FALSE),
IF($A86&lt;Drainage!$A$69,VLOOKUP($A86,Drainage!$A$8:$M$68,7,FALSE),                                                                                                                                                                                                                                                          IF($A86&lt;Nipples!$A$82,VLOOKUP($A86,Nipples!$A$9:$Q$81,11,FALSE),
IF($A86&lt;Manifold!$A$33,VLOOKUP($A86,Manifold!$A$9:$M$32,7,FALSE),
IF($A86&lt;FlexibleRepairCouplings!$A$12,VLOOKUP($A86,FlexibleRepairCouplings!$A$9:$M$11,7,FALSE),
IF($A86&lt;DuraFix!$A$15,VLOOKUP($A86,DuraFix!$A$9:$M$14,7,FALSE),                                                                                                                                                                                                                                                           IF($A86&lt;'Compression Fittings'!$A$16,VLOOKUP($A86,'Compression Fittings'!$A$8:$M$15,7,FALSE),
IF($A86&lt;'Hose Fittings'!$A$30,VLOOKUP($A86,'Hose Fittings'!$A$8:$M$29,7,FALSE),
IF($A86&lt;'Swing Joints'!$A$495,VLOOKUP($A86,'Swing Joints'!$A$9:$M$494,7,FALSE),
IF($A86&lt;'Swing Joints Components'!$A$135,VLOOKUP($A86,'Swing Joints Components'!$A$9:$M$134,7,FALSE),
IF($A86&lt;Nonstandard!$A$42,VLOOKUP($A86,Nonstandard!$A$31:$J$41,10,FALSE),"")))))))))))))))))))))))))))),"")</f>
        <v/>
      </c>
      <c r="I86" s="621"/>
      <c r="J86" s="541" t="str">
        <f t="shared" si="1"/>
        <v/>
      </c>
      <c r="K86" s="599" t="str">
        <f>IFERROR(IF($A86&lt;'DWV PVC'!$A$317,VLOOKUP($A86,'DWV PVC'!$A$9:$M$316,10,FALSE),
IF($A86&lt;'DWV ABS'!$A$117,VLOOKUP($A86,'DWV ABS'!$A$8:$M$116,10,FALSE),
IF($A86&lt;'PVC SCH40'!$A$425,VLOOKUP($A86,'PVC SCH40'!$A$8:$M$424,10,FALSE),
IF($A86&lt;'PVC SCH40 LD'!$A$22,VLOOKUP($A86,'PVC SCH40 LD'!$A$8:$M$21,10,FALSE),
IF($A86&lt;'Pool &amp; SPA Sweep Elbows'!$A$12,VLOOKUP($A86,'Pool &amp; SPA Sweep Elbows'!$A$8:$M$11,10,FALSE),
IF($A86&lt;'Pool &amp; SPA Pipe Extender'!$A$11,VLOOKUP($A86,'Pool &amp; SPA Pipe Extender'!$A$8:$M$10,10,FALSE),
IF($A86&lt;'PVC SCH80'!$A$250,VLOOKUP($A86,'PVC SCH80'!$A$8:$M$249,10,FALSE),
IF($A86&lt;'PVC SCH80 Flange'!$A$49,VLOOKUP($A86,'PVC SCH80 Flange'!$A$8:$M$48,10,FALSE),
IF($A86&lt;'PVC SCH80 LD Flange'!$A$17,VLOOKUP($A86,'PVC SCH80 LD Flange'!$A$8:$M$16,10,FALSE),
IF($A86&lt;CPVC!$A$105,VLOOKUP($A86,CPVC!$A$9:$M$104,10,FALSE),
IF($A86&lt;InsertFittings!$A$185,VLOOKUP($A86,InsertFittings!$A$9:$M$184,10,FALSE),
IF($A86&lt;Valves!$A$92,VLOOKUP($A86,Valves!$A$9:$Q$91,14,FALSE),
IF($A86&lt;SDR35SW!$A$133,VLOOKUP($A86,SDR35SW!$A$9:$M$132,10,FALSE),
IF($A86&lt;SDR35G!$A$151,VLOOKUP($A86,SDR35G!$A$9:$M$150,10,FALSE),
IF($A86&lt;SDR26G!$A$67,VLOOKUP($A86,SDR26G!$A$9:$N$66,11,FALSE),
IF($A86&lt;Cements!$A$95,VLOOKUP($A86,Cements!$A$8:$Q$94,14,FALSE),
IF($A86&lt;ValveBox!$A$124,VLOOKUP($A86,ValveBox!$A$9:$O$123,12,FALSE),
IF($A86&lt;'ValveBox Components'!$A$142,VLOOKUP($A86,'ValveBox Components'!$A$9:$N$141,11,FALSE),
IF($A86&lt;Drainage!$A$69,VLOOKUP($A86,Drainage!$A$8:$M$68,10,FALSE),
IF($A86&lt;Nipples!$A$82,VLOOKUP($A86,Nipples!$A$9:$Q$81,14,FALSE),
IF($A86&lt;Manifold!$A$33,VLOOKUP($A86,Manifold!$A$9:$M$32,10,FALSE),
IF($A86&lt;FlexibleRepairCouplings!$A$12,VLOOKUP($A86,FlexibleRepairCouplings!$A$9:$M$11,10,FALSE),
IF($A86&lt;DuraFix!$A$15,VLOOKUP($A86,DuraFix!$A$9:$M$14,10,FALSE),
IF($A86&lt;'Compression Fittings'!$A$16,VLOOKUP($A86,'Compression Fittings'!$A$8:$M$15,10,FALSE),
IF($A86&lt;'Hose Fittings'!$A$30,VLOOKUP($A86,'Hose Fittings'!$A$8:$M$29,10,FALSE),
IF($A86&lt;'Swing Joints'!$A$495,VLOOKUP($A86,'Swing Joints'!$A$9:$M$494,10,FALSE),
IF($A86&lt;'Swing Joints Components'!$A$135,VLOOKUP($A86,'Swing Joints Components'!$A$9:$M$134,10,FALSE),
IF($A86&lt;Nonstandard!$A$42,VLOOKUP($A86,Nonstandard!$A$31:$J$41,10,FALSE),"")))))))))))))))))))))))))))),"")</f>
        <v/>
      </c>
      <c r="L86" s="539" t="str">
        <f t="shared" si="0"/>
        <v>-</v>
      </c>
      <c r="M86" s="542"/>
    </row>
    <row r="87" spans="1:13" ht="15.6">
      <c r="A87" s="312">
        <v>55</v>
      </c>
      <c r="B87" s="312" t="str">
        <f>IFERROR(IF($A87&lt;'DWV PVC'!$A$317,VLOOKUP($A87,'DWV PVC'!$A$9:$M$316,4,FALSE),
IF($A87&lt;'DWV ABS'!$A$117,VLOOKUP($A87,'DWV ABS'!$A$8:$M$116,4,FALSE),
IF($A87&lt;'PVC SCH40'!$A$425,VLOOKUP($A87,'PVC SCH40'!$A$8:$M$424,4,FALSE),
IF($A87&lt;'PVC SCH40 LD'!$A$22,VLOOKUP($A87,'PVC SCH40 LD'!$A$8:$M$21,4,FALSE),
IF($A87&lt;'Pool &amp; SPA Sweep Elbows'!$A$12,VLOOKUP($A87,'Pool &amp; SPA Sweep Elbows'!$A$8:$M$11,4,FALSE),
IF($A87&lt;'Pool &amp; SPA Pipe Extender'!$A$11,VLOOKUP($A87,'Pool &amp; SPA Pipe Extender'!$A$8:$M$10,4,FALSE),
IF($A87&lt;'PVC SCH80'!$A$250,VLOOKUP($A87,'PVC SCH80'!$A$8:$M$249,4,FALSE),
IF($A87&lt;'PVC SCH80 Flange'!$A$49,VLOOKUP($A87,'PVC SCH80 Flange'!$A$8:$M$48,4,FALSE),
IF($A87&lt;'PVC SCH80 LD Flange'!$A$17,VLOOKUP($A87,'PVC SCH80 LD Flange'!$A$8:$M$16,4,FALSE),
IF($A87&lt;CPVC!$A$105,VLOOKUP($A87,CPVC!$A$9:$M$104,4,FALSE),
IF($A87&lt;InsertFittings!$A$185,VLOOKUP($A87,InsertFittings!$A$9:$M$184,4,FALSE),
IF($A87&lt;Valves!$A$92,VLOOKUP($A87,Valves!$A$9:$Q$91,4,FALSE),
IF($A87&lt;SDR35SW!$A$133,VLOOKUP($A87,SDR35SW!$A$9:$M$132,4,FALSE),
IF($A87&lt;SDR35G!$A$151,VLOOKUP($A87,SDR35G!$A$9:$M$150,4,FALSE),
IF($A87&lt;SDR26G!$A$67,VLOOKUP($A87,SDR26G!$A$9:$N$66,5,FALSE),
IF($A87&lt;Cements!$A$95,VLOOKUP($A87,Cements!$A$8:$Q$94,4,FALSE),
IF($A87&lt;ValveBox!$A$124,VLOOKUP($A87,ValveBox!$A$9:$O$123,4,FALSE),
IF($A87&lt;'ValveBox Components'!$A$142,VLOOKUP($A87,'ValveBox Components'!$A$9:$N$141,4,FALSE),
IF($A87&lt;Drainage!$A$69,VLOOKUP($A87,Drainage!$A$8:$M$68,4,FALSE),
IF($A87&lt;Nipples!$A$82,VLOOKUP($A87,Nipples!$A$9:$Q$81,4,FALSE),
IF($A87&lt;Manifold!$A$33,VLOOKUP($A87,Manifold!$A$9:$M$32,4,FALSE),
IF($A87&lt;FlexibleRepairCouplings!$A$12,VLOOKUP($A87,FlexibleRepairCouplings!$A$9:$M$11,4,FALSE),
IF($A87&lt;DuraFix!$A$15,VLOOKUP($A87,DuraFix!$A$9:$M$14,4,FALSE),
IF($A87&lt;'Compression Fittings'!$A$16,VLOOKUP($A87,'Compression Fittings'!$A$8:$M$15,4,FALSE),
IF($A87&lt;'Hose Fittings'!$A$30,VLOOKUP($A87,'Hose Fittings'!$A$8:$M$29,4,FALSE),
IF($A87&lt;'Swing Joints'!$A$495,VLOOKUP($A87,'Swing Joints'!$A$9:$M$494,4,FALSE),
IF($A87&lt;'Swing Joints Components'!$A$135,VLOOKUP($A87,'Swing Joints Components'!$A$9:$M$134,4,FALSE),
IF($A87&lt;Nonstandard!$A$42,VLOOKUP($A87,Nonstandard!$A$31:$J$41,5,FALSE),"")))))))))))))))))))))))))))),"")</f>
        <v/>
      </c>
      <c r="C87" s="312" t="str">
        <f>IFERROR(IF($A87&lt;'DWV PVC'!$A$317,VLOOKUP($A87,'DWV PVC'!$A$9:$M$316,5,FALSE),
IF($A87&lt;'DWV ABS'!$A$117,VLOOKUP($A87,'DWV ABS'!$A$8:$M$116,5,FALSE),
IF($A87&lt;'PVC SCH40'!$A$425,VLOOKUP($A87,'PVC SCH40'!$A$8:$M$424,5,FALSE),
IF($A87&lt;'PVC SCH40 LD'!$A$22,VLOOKUP($A87,'PVC SCH40 LD'!$A$8:$M$21,5,FALSE),
IF($A87&lt;'Pool &amp; SPA Sweep Elbows'!$A$12,VLOOKUP($A87,'Pool &amp; SPA Sweep Elbows'!$A$8:$M$11,5,FALSE),
IF($A87&lt;'Pool &amp; SPA Pipe Extender'!$A$11,VLOOKUP($A87,'Pool &amp; SPA Pipe Extender'!$A$8:$M$10,5,FALSE),
IF($A87&lt;'PVC SCH80'!$A$250,VLOOKUP($A87,'PVC SCH80'!$A$8:$M$249,5,FALSE),
IF($A87&lt;'PVC SCH80 Flange'!$A$49,VLOOKUP($A87,'PVC SCH80 Flange'!$A$8:$M$48,5,FALSE),
IF($A87&lt;'PVC SCH80 LD Flange'!$A$17,VLOOKUP($A87,'PVC SCH80 LD Flange'!$A$8:$M$16,5,FALSE),
IF($A87&lt;CPVC!$A$105,VLOOKUP($A87,CPVC!$A$9:$M$104,5,FALSE),
IF($A87&lt;InsertFittings!$A$185,VLOOKUP($A87,InsertFittings!$A$9:$M$184,5,FALSE),
IF($A87&lt;Valves!$A$92,VLOOKUP($A87,Valves!$A$9:$Q$91,5,FALSE),
IF($A87&lt;SDR35SW!$A$133,VLOOKUP($A87,SDR35SW!$A$9:$M$132,5,FALSE),
IF($A87&lt;SDR35G!$A$151,VLOOKUP($A87,SDR35G!$A$9:$M$150,5,FALSE),
IF($A87&lt;SDR26G!$A$67,VLOOKUP($A87,SDR26G!$A$9:$N$66,6,FALSE),
IF($A87&lt;Cements!$A$95,VLOOKUP($A87,Cements!$A$8:$Q$94,5,FALSE),
IF($A87&lt;ValveBox!$A$124,VLOOKUP($A87,ValveBox!$A$9:$O$123,5,FALSE),
IF($A87&lt;'ValveBox Components'!$A$142,VLOOKUP($A87,'ValveBox Components'!$A$9:$N$141,5,FALSE),
IF($A87&lt;Drainage!$A$69,VLOOKUP($A87,Drainage!$A$8:$M$68,5,FALSE),
IF($A87&lt;Nipples!$A$82,VLOOKUP($A87,Nipples!$A$9:$Q$81,5,FALSE),
IF($A87&lt;Manifold!$A$33,VLOOKUP($A87,Manifold!$A$9:$M$32,5,FALSE),
IF($A87&lt;FlexibleRepairCouplings!$A$12,VLOOKUP($A87,FlexibleRepairCouplings!$A$9:$M$11,5,FALSE),
IF($A87&lt;DuraFix!$A$15,VLOOKUP($A87,DuraFix!$A$9:$M$14,5,FALSE),
IF($A87&lt;'Compression Fittings'!$A$16,VLOOKUP($A87,'Compression Fittings'!$A$8:$M$15,5,FALSE),
IF($A87&lt;'Hose Fittings'!$A$30,VLOOKUP($A87,'Hose Fittings'!$A$8:$M$29,5,FALSE),
IF($A87&lt;'Swing Joints'!$A$495,VLOOKUP($A87,'Swing Joints'!$A$9:$M$494,5,FALSE),
IF($A87&lt;'Swing Joints Components'!$A$135,VLOOKUP($A87,'Swing Joints Components'!$A$9:$M$134,5,FALSE),
IF($A87&lt;Nonstandard!$A$42,VLOOKUP($A87,Nonstandard!$A$31:$J$41,6,FALSE),"")))))))))))))))))))))))))))),"")</f>
        <v/>
      </c>
      <c r="D87" s="534" t="str">
        <f>IFERROR(IF($A87&lt;'DWV PVC'!$A$317,VLOOKUP($A87,'DWV PVC'!$A$9:$M$316,6,FALSE),
IF($A87&lt;'DWV ABS'!$A$117,VLOOKUP($A87,'DWV ABS'!$A$8:$M$116,6,FALSE),
IF($A87&lt;'PVC SCH40'!$A$425,VLOOKUP($A87,'PVC SCH40'!$A$8:$M$424,6,FALSE),
IF($A87&lt;'PVC SCH40 LD'!$A$22,VLOOKUP($A87,'PVC SCH40 LD'!$A$8:$M$21,6,FALSE),
IF($A87&lt;'Pool &amp; SPA Sweep Elbows'!$A$12,VLOOKUP($A87,'Pool &amp; SPA Sweep Elbows'!$A$8:$M$11,6,FALSE),
IF($A87&lt;'Pool &amp; SPA Pipe Extender'!$A$11,VLOOKUP($A87,'Pool &amp; SPA Pipe Extender'!$A$8:$M$10,6,FALSE),
IF($A87&lt;'PVC SCH80'!$A$250,VLOOKUP($A87,'PVC SCH80'!$A$8:$M$249,6,FALSE),
IF($A87&lt;'PVC SCH80 Flange'!$A$49,VLOOKUP($A87,'PVC SCH80 Flange'!$A$8:$M$48,6,FALSE),
IF($A87&lt;'PVC SCH80 LD Flange'!$A$17,VLOOKUP($A87,'PVC SCH80 LD Flange'!$A$8:$M$16,6,FALSE),
IF($A87&lt;CPVC!$A$105,VLOOKUP($A87,CPVC!$A$9:$M$104,6,FALSE),
IF($A87&lt;InsertFittings!$A$185,VLOOKUP($A87,InsertFittings!$A$9:$M$184,6,FALSE),
IF($A87&lt;Valves!$A$92,VLOOKUP($A87,Valves!$A$9:$Q$91,6,FALSE),
IF($A87&lt;SDR35SW!$A$133,VLOOKUP($A87,SDR35SW!$A$9:$M$132,6,FALSE),
IF($A87&lt;SDR35G!$A$151,VLOOKUP($A87,SDR35G!$A$9:$M$150,6,FALSE),
IF($A87&lt;SDR26G!$A$67,VLOOKUP($A87,SDR26G!$A$9:$N$66,7,FALSE),
IF($A87&lt;Cements!$A$95,VLOOKUP($A87,Cements!$A$8:$Q$94,6,FALSE),
IF($A87&lt;ValveBox!$A$124,VLOOKUP($A87,ValveBox!$A$9:$O$123,6,FALSE),
IF($A87&lt;'ValveBox Components'!$A$142,VLOOKUP($A87,'ValveBox Components'!$A$9:$N$141,6,FALSE),
IF($A87&lt;Drainage!$A$69,VLOOKUP($A87,Drainage!$A$8:$M$68,6,FALSE),
IF($A87&lt;Nipples!$A$82,VLOOKUP($A87,Nipples!$A$9:$Q$81,6,FALSE),
IF($A87&lt;Manifold!$A$33,VLOOKUP($A87,Manifold!$A$9:$M$32,6,FALSE),
IF($A87&lt;FlexibleRepairCouplings!$A$12,VLOOKUP($A87,FlexibleRepairCouplings!$A$9:$M$11,6,FALSE),
IF($A87&lt;DuraFix!$A$15,VLOOKUP($A87,DuraFix!$A$9:$M$14,6,FALSE),
IF($A87&lt;'Compression Fittings'!$A$16,VLOOKUP($A87,'Compression Fittings'!$A$8:$M$15,6,FALSE),
IF($A87&lt;'Hose Fittings'!$A$30,VLOOKUP($A87,'Hose Fittings'!$A$8:$M$29,6,FALSE),
IF($A87&lt;'Swing Joints'!$A$495,VLOOKUP($A87,'Swing Joints'!$A$9:$M$494,6,FALSE),
IF($A87&lt;'Swing Joints Components'!$A$135,VLOOKUP($A87,'Swing Joints Components'!$A$9:$M$134,6,FALSE),
IF($A87&lt;Nonstandard!$A$42,VLOOKUP($A87,Nonstandard!$A$31:$J$41,7,FALSE),"")))))))))))))))))))))))))))),"")</f>
        <v/>
      </c>
      <c r="E87" s="316"/>
      <c r="F87" s="314" t="str">
        <f>IFERROR(IF($A87&lt;'DWV PVC'!$A$317,VLOOKUP($A87,'DWV PVC'!$A$9:$M$316,9,FALSE),
IF($A87&lt;'DWV ABS'!$A$117,VLOOKUP($A87,'DWV ABS'!$A$8:$M$116,9,FALSE),                                                                                                                                                                                                                                                     IF($A87&lt;'PVC SCH40'!$A$425,VLOOKUP($A87,'PVC SCH40'!$A$8:$M$424,9,FALSE),
IF($A87&lt;'PVC SCH40 LD'!$A$22,VLOOKUP($A87,'PVC SCH40 LD'!$A$8:$M$21,9,FALSE),
IF($A87&lt;'Pool &amp; SPA Sweep Elbows'!$A$12,VLOOKUP($A87,'Pool &amp; SPA Sweep Elbows'!$A$8:$M$11,9,FALSE),
IF($A87&lt;'Pool &amp; SPA Pipe Extender'!$A$11,VLOOKUP($A87,'Pool &amp; SPA Pipe Extender'!$A$8:$M$10,9,FALSE),
IF($A87&lt;'PVC SCH80'!$A$250,VLOOKUP($A87,'PVC SCH80'!$A$8:$M$249,9,FALSE),
IF($A87&lt;'PVC SCH80 Flange'!$A$49,VLOOKUP($A87,'PVC SCH80 Flange'!$A$8:$M$48,9,FALSE),
IF($A87&lt;'PVC SCH80 LD Flange'!$A$17,VLOOKUP($A87,'PVC SCH80 LD Flange'!$A$8:$M$16,9,FALSE),
IF($A87&lt;CPVC!$A$105,VLOOKUP($A87,CPVC!$A$9:$M$104,9,FALSE),
IF($A87&lt;InsertFittings!$A$185,VLOOKUP($A87,InsertFittings!$A$9:$M$184,9,FALSE),
IF($A87&lt;Valves!$A$92,VLOOKUP($A87,Valves!$A$9:$Q$91,13,FALSE),
IF($A87&lt;SDR35SW!$A$133,VLOOKUP($A87,SDR35SW!$A$9:$M$132,9,FALSE),
IF($A87&lt;SDR35G!$A$151,VLOOKUP($A87,SDR35G!$A$9:$M$150,9,FALSE),                                                                                                                                                                                                                                                          IF($A87&lt;SDR26G!$A$67,VLOOKUP($A87,SDR26G!$A$9:$N$66,10,FALSE),                                                                                                                                                                                                                                                       IF($A87&lt;Cements!$A$95,VLOOKUP($A87,Cements!$A$8:$Q$94,13,FALSE),
IF($A87&lt;ValveBox!$A$124,VLOOKUP($A87,ValveBox!$A$9:$O$123,11,FALSE),
IF($A87&lt;'ValveBox Components'!$A$142,VLOOKUP($A87,'ValveBox Components'!$A$9:$N$141,10,FALSE),
IF($A87&lt;Drainage!$A$69,VLOOKUP($A87,Drainage!$A$8:$M$68,9,FALSE),                                                                                                                                                                                                                                                              IF($A87&lt;Nipples!$A$82,VLOOKUP($A87,Nipples!$A$9:$Q$81,13,FALSE),
IF($A87&lt;Manifold!$A$33,VLOOKUP($A87,Manifold!$A$9:$M$32,9,FALSE),
IF($A87&lt;FlexibleRepairCouplings!$A$12,VLOOKUP($A87,FlexibleRepairCouplings!$A$9:$M$11,9,FALSE),
IF($A87&lt;DuraFix!$A$15,VLOOKUP($A87,DuraFix!$A$9:$M$14,9,FALSE),                                                                                                                                                                                                                                                          IF($A87&lt;'Compression Fittings'!$A$16,VLOOKUP($A87,'Compression Fittings'!$A$8:$M$15,9,FALSE),
IF($A87&lt;'Hose Fittings'!$A$30,VLOOKUP($A87,'Hose Fittings'!$A$8:$M$29,9,FALSE),
IF($A87&lt;'Swing Joints'!$A$495,VLOOKUP($A87,'Swing Joints'!$A$9:$M$494,9,FALSE),
IF($A87&lt;'Swing Joints Components'!$A$135,VLOOKUP($A87,'Swing Joints Components'!$A$9:$M$134,9,FALSE),
IF($A87&lt;Nonstandard!$A$42,VLOOKUP($A87,Nonstandard!$A$31:$J$41,8,FALSE),"")))))))))))))))))))))))))))),"")</f>
        <v/>
      </c>
      <c r="G87" s="533" t="str">
        <f>IFERROR(IF($A87&lt;'DWV PVC'!$A$317,VLOOKUP($A87,'DWV PVC'!$A$9:$M$316,11,FALSE),
IF($A87&lt;'DWV ABS'!$A$117,VLOOKUP($A87,'DWV ABS'!$A$8:$M$116,11,FALSE),                                                                                                                                                                                                                                                     IF($A87&lt;'PVC SCH40'!$A$425,VLOOKUP($A87,'PVC SCH40'!$A$8:$M$424,11,FALSE),
IF($A87&lt;'PVC SCH40 LD'!$A$22,VLOOKUP($A87,'PVC SCH40 LD'!$A$8:$M$21,11,FALSE),
IF($A87&lt;'Pool &amp; SPA Sweep Elbows'!$A$12,VLOOKUP($A87,'Pool &amp; SPA Sweep Elbows'!$A$8:$M$11,11,FALSE),
IF($A87&lt;'Pool &amp; SPA Pipe Extender'!$A$11,VLOOKUP($A87,'Pool &amp; SPA Pipe Extender'!$A$8:$M$10,11,FALSE),
IF($A87&lt;'PVC SCH80'!$A$250,VLOOKUP($A87,'PVC SCH80'!$A$8:$M$249,11,FALSE),
IF($A87&lt;'PVC SCH80 Flange'!$A$49,VLOOKUP($A87,'PVC SCH80 Flange'!$A$8:$M$48,11,FALSE),
IF($A87&lt;'PVC SCH80 LD Flange'!$A$17,VLOOKUP($A87,'PVC SCH80 LD Flange'!$A$8:$M$16,11,FALSE),
IF($A87&lt;CPVC!$A$105,VLOOKUP($A87,CPVC!$A$9:$M$104,11,FALSE),
IF($A87&lt;InsertFittings!$A$185,VLOOKUP($A87,InsertFittings!$A$9:$M$184,11,FALSE),
IF($A87&lt;Valves!$A$92,VLOOKUP($A87,Valves!$A$9:$Q$91,15,FALSE),
IF($A87&lt;SDR35SW!$A$133,VLOOKUP($A87,SDR35SW!$A$9:$M$132,11,FALSE),
IF($A87&lt;SDR35G!$A$151,VLOOKUP($A87,SDR35G!$A$9:$M$150,11,FALSE),                                                                                                                                                                                                                                                          IF($A87&lt;SDR26G!$A$67,VLOOKUP($A87,SDR26G!$A$9:$N$66,12,FALSE),                                                                                                                                                                                                                                                       IF($A87&lt;Cements!$A$95,VLOOKUP($A87,Cements!$A$8:$Q$94,15,FALSE),
IF($A87&lt;ValveBox!$A$124,VLOOKUP($A87,ValveBox!$A$9:$O$123,13,FALSE),
IF($A87&lt;'ValveBox Components'!$A$142,VLOOKUP($A87,'ValveBox Components'!$A$9:$N$141,12,FALSE),
IF($A87&lt;Drainage!$A$69,VLOOKUP($A87,Drainage!$A$8:$M$68,11,FALSE),                                                                                                                                                                                                                                                           IF($A87&lt;Nipples!$A$82,VLOOKUP($A87,Nipples!$A$9:$Q$81,15,FALSE),
IF($A87&lt;Manifold!$A$33,VLOOKUP($A87,Manifold!$A$9:$M$32,11,FALSE),
IF($A87&lt;FlexibleRepairCouplings!$A$12,VLOOKUP($A87,FlexibleRepairCouplings!$A$9:$M$11,11,FALSE),
IF($A87&lt;DuraFix!$A$15,VLOOKUP($A87,DuraFix!$A$9:$M$14,11,FALSE),                                                                                                                                                                                                                                                            IF($A87&lt;'Compression Fittings'!$A$16,VLOOKUP($A87,'Compression Fittings'!$A$8:$M$15,11,FALSE),
IF($A87&lt;'Hose Fittings'!$A$30,VLOOKUP($A87,'Hose Fittings'!$A$8:$M$29,11,FALSE),
IF($A87&lt;'Swing Joints'!$A$495,VLOOKUP($A87,'Swing Joints'!$A$9:$M$494,11,FALSE),
IF($A87&lt;'Swing Joints Components'!$A$135,VLOOKUP($A87,'Swing Joints Components'!$A$9:$M$134,11,FALSE),
IF($A87&lt;Nonstandard!$A$42,VLOOKUP($A87,Nonstandard!$A$31:$J$41,10,FALSE),"")))))))))))))))))))))))))))),"")</f>
        <v/>
      </c>
      <c r="H87" s="618" t="str">
        <f>IFERROR(IF($A87&lt;'DWV PVC'!$A$317,VLOOKUP($A87,'DWV PVC'!$A$9:$M$316,7,FALSE),
IF($A87&lt;'DWV ABS'!$A$117,VLOOKUP($A87,'DWV ABS'!$A$8:$M$116,11,FALSE),                                                                                                                                                                                                                                                     IF($A87&lt;'PVC SCH40'!$A$425,VLOOKUP($A87,'PVC SCH40'!$A$8:$M$424,7,FALSE),
IF($A87&lt;'PVC SCH40 LD'!$A$22,VLOOKUP($A87,'PVC SCH40 LD'!$A$8:$M$21,7,FALSE),
IF($A87&lt;'Pool &amp; SPA Sweep Elbows'!$A$12,VLOOKUP($A87,'Pool &amp; SPA Sweep Elbows'!$A$8:$M$11,7,FALSE),
IF($A87&lt;'Pool &amp; SPA Pipe Extender'!$A$11,VLOOKUP($A87,'Pool &amp; SPA Pipe Extender'!$A$8:$M$10,7,FALSE),
IF($A87&lt;'PVC SCH80'!$A$250,VLOOKUP($A87,'PVC SCH80'!$A$8:$M$249,7,FALSE),
IF($A87&lt;'PVC SCH80 Flange'!$A$49,VLOOKUP($A87,'PVC SCH80 Flange'!$A$8:$M$48,7,FALSE),
IF($A87&lt;'PVC SCH80 LD Flange'!$A$17,VLOOKUP($A87,'PVC SCH80 LD Flange'!$A$8:$M$16,7,FALSE),
IF($A87&lt;CPVC!$A$105,VLOOKUP($A87,CPVC!$A$9:$M$104,7,FALSE),
IF($A87&lt;InsertFittings!$A$185,VLOOKUP($A87,InsertFittings!$A$9:$M$184,7,FALSE),
IF($A87&lt;Valves!$A$92,VLOOKUP($A87,Valves!$A$9:$Q$91,11,FALSE),
IF($A87&lt;SDR35SW!$A$133,VLOOKUP($A87,SDR35SW!$A$9:$M$132,7,FALSE),
IF($A87&lt;SDR35G!$A$151,VLOOKUP($A87,SDR35G!$A$9:$M$150,7,FALSE),                                                                                                                                                                                                                                                       IF($A87&lt;SDR26G!$A$67,VLOOKUP($A87,SDR26G!$A$9:$N$66,8,FALSE),                                                                                                                                                                                                                                                     IF($A87&lt;Cements!$A$95,VLOOKUP($A87,Cements!$A$8:$Q$94,11,FALSE),
IF($A87&lt;ValveBox!$A$124,VLOOKUP($A87,ValveBox!$A$9:$O$123,10,FALSE),
IF($A87&lt;'ValveBox Components'!$A$142,VLOOKUP($A87,'ValveBox Components'!$A$9:$N$141,9,FALSE),
IF($A87&lt;Drainage!$A$69,VLOOKUP($A87,Drainage!$A$8:$M$68,7,FALSE),                                                                                                                                                                                                                                                          IF($A87&lt;Nipples!$A$82,VLOOKUP($A87,Nipples!$A$9:$Q$81,11,FALSE),
IF($A87&lt;Manifold!$A$33,VLOOKUP($A87,Manifold!$A$9:$M$32,7,FALSE),
IF($A87&lt;FlexibleRepairCouplings!$A$12,VLOOKUP($A87,FlexibleRepairCouplings!$A$9:$M$11,7,FALSE),
IF($A87&lt;DuraFix!$A$15,VLOOKUP($A87,DuraFix!$A$9:$M$14,7,FALSE),                                                                                                                                                                                                                                                           IF($A87&lt;'Compression Fittings'!$A$16,VLOOKUP($A87,'Compression Fittings'!$A$8:$M$15,7,FALSE),
IF($A87&lt;'Hose Fittings'!$A$30,VLOOKUP($A87,'Hose Fittings'!$A$8:$M$29,7,FALSE),
IF($A87&lt;'Swing Joints'!$A$495,VLOOKUP($A87,'Swing Joints'!$A$9:$M$494,7,FALSE),
IF($A87&lt;'Swing Joints Components'!$A$135,VLOOKUP($A87,'Swing Joints Components'!$A$9:$M$134,7,FALSE),
IF($A87&lt;Nonstandard!$A$42,VLOOKUP($A87,Nonstandard!$A$31:$J$41,10,FALSE),"")))))))))))))))))))))))))))),"")</f>
        <v/>
      </c>
      <c r="I87" s="619"/>
      <c r="J87" s="281" t="str">
        <f t="shared" si="1"/>
        <v/>
      </c>
      <c r="K87" s="313" t="str">
        <f>IFERROR(IF($A87&lt;'DWV PVC'!$A$317,VLOOKUP($A87,'DWV PVC'!$A$9:$M$316,10,FALSE),
IF($A87&lt;'DWV ABS'!$A$117,VLOOKUP($A87,'DWV ABS'!$A$8:$M$116,10,FALSE),
IF($A87&lt;'PVC SCH40'!$A$425,VLOOKUP($A87,'PVC SCH40'!$A$8:$M$424,10,FALSE),
IF($A87&lt;'PVC SCH40 LD'!$A$22,VLOOKUP($A87,'PVC SCH40 LD'!$A$8:$M$21,10,FALSE),
IF($A87&lt;'Pool &amp; SPA Sweep Elbows'!$A$12,VLOOKUP($A87,'Pool &amp; SPA Sweep Elbows'!$A$8:$M$11,10,FALSE),
IF($A87&lt;'Pool &amp; SPA Pipe Extender'!$A$11,VLOOKUP($A87,'Pool &amp; SPA Pipe Extender'!$A$8:$M$10,10,FALSE),
IF($A87&lt;'PVC SCH80'!$A$250,VLOOKUP($A87,'PVC SCH80'!$A$8:$M$249,10,FALSE),
IF($A87&lt;'PVC SCH80 Flange'!$A$49,VLOOKUP($A87,'PVC SCH80 Flange'!$A$8:$M$48,10,FALSE),
IF($A87&lt;'PVC SCH80 LD Flange'!$A$17,VLOOKUP($A87,'PVC SCH80 LD Flange'!$A$8:$M$16,10,FALSE),
IF($A87&lt;CPVC!$A$105,VLOOKUP($A87,CPVC!$A$9:$M$104,10,FALSE),
IF($A87&lt;InsertFittings!$A$185,VLOOKUP($A87,InsertFittings!$A$9:$M$184,10,FALSE),
IF($A87&lt;Valves!$A$92,VLOOKUP($A87,Valves!$A$9:$Q$91,14,FALSE),
IF($A87&lt;SDR35SW!$A$133,VLOOKUP($A87,SDR35SW!$A$9:$M$132,10,FALSE),
IF($A87&lt;SDR35G!$A$151,VLOOKUP($A87,SDR35G!$A$9:$M$150,10,FALSE),
IF($A87&lt;SDR26G!$A$67,VLOOKUP($A87,SDR26G!$A$9:$N$66,11,FALSE),
IF($A87&lt;Cements!$A$95,VLOOKUP($A87,Cements!$A$8:$Q$94,14,FALSE),
IF($A87&lt;ValveBox!$A$124,VLOOKUP($A87,ValveBox!$A$9:$O$123,12,FALSE),
IF($A87&lt;'ValveBox Components'!$A$142,VLOOKUP($A87,'ValveBox Components'!$A$9:$N$141,11,FALSE),
IF($A87&lt;Drainage!$A$69,VLOOKUP($A87,Drainage!$A$8:$M$68,10,FALSE),
IF($A87&lt;Nipples!$A$82,VLOOKUP($A87,Nipples!$A$9:$Q$81,14,FALSE),
IF($A87&lt;Manifold!$A$33,VLOOKUP($A87,Manifold!$A$9:$M$32,10,FALSE),
IF($A87&lt;FlexibleRepairCouplings!$A$12,VLOOKUP($A87,FlexibleRepairCouplings!$A$9:$M$11,10,FALSE),
IF($A87&lt;DuraFix!$A$15,VLOOKUP($A87,DuraFix!$A$9:$M$14,10,FALSE),
IF($A87&lt;'Compression Fittings'!$A$16,VLOOKUP($A87,'Compression Fittings'!$A$8:$M$15,10,FALSE),
IF($A87&lt;'Hose Fittings'!$A$30,VLOOKUP($A87,'Hose Fittings'!$A$8:$M$29,10,FALSE),
IF($A87&lt;'Swing Joints'!$A$495,VLOOKUP($A87,'Swing Joints'!$A$9:$M$494,10,FALSE),
IF($A87&lt;'Swing Joints Components'!$A$135,VLOOKUP($A87,'Swing Joints Components'!$A$9:$M$134,10,FALSE),
IF($A87&lt;Nonstandard!$A$42,VLOOKUP($A87,Nonstandard!$A$31:$J$41,10,FALSE),"")))))))))))))))))))))))))))),"")</f>
        <v/>
      </c>
      <c r="L87" s="314" t="str">
        <f t="shared" si="0"/>
        <v>-</v>
      </c>
      <c r="M87" s="315"/>
    </row>
    <row r="88" spans="1:13" ht="15.6">
      <c r="A88" s="536">
        <v>56</v>
      </c>
      <c r="B88" s="536" t="str">
        <f>IFERROR(IF($A88&lt;'DWV PVC'!$A$317,VLOOKUP($A88,'DWV PVC'!$A$9:$M$316,4,FALSE),
IF($A88&lt;'DWV ABS'!$A$117,VLOOKUP($A88,'DWV ABS'!$A$8:$M$116,4,FALSE),
IF($A88&lt;'PVC SCH40'!$A$425,VLOOKUP($A88,'PVC SCH40'!$A$8:$M$424,4,FALSE),
IF($A88&lt;'PVC SCH40 LD'!$A$22,VLOOKUP($A88,'PVC SCH40 LD'!$A$8:$M$21,4,FALSE),
IF($A88&lt;'Pool &amp; SPA Sweep Elbows'!$A$12,VLOOKUP($A88,'Pool &amp; SPA Sweep Elbows'!$A$8:$M$11,4,FALSE),
IF($A88&lt;'Pool &amp; SPA Pipe Extender'!$A$11,VLOOKUP($A88,'Pool &amp; SPA Pipe Extender'!$A$8:$M$10,4,FALSE),
IF($A88&lt;'PVC SCH80'!$A$250,VLOOKUP($A88,'PVC SCH80'!$A$8:$M$249,4,FALSE),
IF($A88&lt;'PVC SCH80 Flange'!$A$49,VLOOKUP($A88,'PVC SCH80 Flange'!$A$8:$M$48,4,FALSE),
IF($A88&lt;'PVC SCH80 LD Flange'!$A$17,VLOOKUP($A88,'PVC SCH80 LD Flange'!$A$8:$M$16,4,FALSE),
IF($A88&lt;CPVC!$A$105,VLOOKUP($A88,CPVC!$A$9:$M$104,4,FALSE),
IF($A88&lt;InsertFittings!$A$185,VLOOKUP($A88,InsertFittings!$A$9:$M$184,4,FALSE),
IF($A88&lt;Valves!$A$92,VLOOKUP($A88,Valves!$A$9:$Q$91,4,FALSE),
IF($A88&lt;SDR35SW!$A$133,VLOOKUP($A88,SDR35SW!$A$9:$M$132,4,FALSE),
IF($A88&lt;SDR35G!$A$151,VLOOKUP($A88,SDR35G!$A$9:$M$150,4,FALSE),
IF($A88&lt;SDR26G!$A$67,VLOOKUP($A88,SDR26G!$A$9:$N$66,5,FALSE),
IF($A88&lt;Cements!$A$95,VLOOKUP($A88,Cements!$A$8:$Q$94,4,FALSE),
IF($A88&lt;ValveBox!$A$124,VLOOKUP($A88,ValveBox!$A$9:$O$123,4,FALSE),
IF($A88&lt;'ValveBox Components'!$A$142,VLOOKUP($A88,'ValveBox Components'!$A$9:$N$141,4,FALSE),
IF($A88&lt;Drainage!$A$69,VLOOKUP($A88,Drainage!$A$8:$M$68,4,FALSE),
IF($A88&lt;Nipples!$A$82,VLOOKUP($A88,Nipples!$A$9:$Q$81,4,FALSE),
IF($A88&lt;Manifold!$A$33,VLOOKUP($A88,Manifold!$A$9:$M$32,4,FALSE),
IF($A88&lt;FlexibleRepairCouplings!$A$12,VLOOKUP($A88,FlexibleRepairCouplings!$A$9:$M$11,4,FALSE),
IF($A88&lt;DuraFix!$A$15,VLOOKUP($A88,DuraFix!$A$9:$M$14,4,FALSE),
IF($A88&lt;'Compression Fittings'!$A$16,VLOOKUP($A88,'Compression Fittings'!$A$8:$M$15,4,FALSE),
IF($A88&lt;'Hose Fittings'!$A$30,VLOOKUP($A88,'Hose Fittings'!$A$8:$M$29,4,FALSE),
IF($A88&lt;'Swing Joints'!$A$495,VLOOKUP($A88,'Swing Joints'!$A$9:$M$494,4,FALSE),
IF($A88&lt;'Swing Joints Components'!$A$135,VLOOKUP($A88,'Swing Joints Components'!$A$9:$M$134,4,FALSE),
IF($A88&lt;Nonstandard!$A$42,VLOOKUP($A88,Nonstandard!$A$31:$J$41,5,FALSE),"")))))))))))))))))))))))))))),"")</f>
        <v/>
      </c>
      <c r="C88" s="536" t="str">
        <f>IFERROR(IF($A88&lt;'DWV PVC'!$A$317,VLOOKUP($A88,'DWV PVC'!$A$9:$M$316,5,FALSE),
IF($A88&lt;'DWV ABS'!$A$117,VLOOKUP($A88,'DWV ABS'!$A$8:$M$116,5,FALSE),
IF($A88&lt;'PVC SCH40'!$A$425,VLOOKUP($A88,'PVC SCH40'!$A$8:$M$424,5,FALSE),
IF($A88&lt;'PVC SCH40 LD'!$A$22,VLOOKUP($A88,'PVC SCH40 LD'!$A$8:$M$21,5,FALSE),
IF($A88&lt;'Pool &amp; SPA Sweep Elbows'!$A$12,VLOOKUP($A88,'Pool &amp; SPA Sweep Elbows'!$A$8:$M$11,5,FALSE),
IF($A88&lt;'Pool &amp; SPA Pipe Extender'!$A$11,VLOOKUP($A88,'Pool &amp; SPA Pipe Extender'!$A$8:$M$10,5,FALSE),
IF($A88&lt;'PVC SCH80'!$A$250,VLOOKUP($A88,'PVC SCH80'!$A$8:$M$249,5,FALSE),
IF($A88&lt;'PVC SCH80 Flange'!$A$49,VLOOKUP($A88,'PVC SCH80 Flange'!$A$8:$M$48,5,FALSE),
IF($A88&lt;'PVC SCH80 LD Flange'!$A$17,VLOOKUP($A88,'PVC SCH80 LD Flange'!$A$8:$M$16,5,FALSE),
IF($A88&lt;CPVC!$A$105,VLOOKUP($A88,CPVC!$A$9:$M$104,5,FALSE),
IF($A88&lt;InsertFittings!$A$185,VLOOKUP($A88,InsertFittings!$A$9:$M$184,5,FALSE),
IF($A88&lt;Valves!$A$92,VLOOKUP($A88,Valves!$A$9:$Q$91,5,FALSE),
IF($A88&lt;SDR35SW!$A$133,VLOOKUP($A88,SDR35SW!$A$9:$M$132,5,FALSE),
IF($A88&lt;SDR35G!$A$151,VLOOKUP($A88,SDR35G!$A$9:$M$150,5,FALSE),
IF($A88&lt;SDR26G!$A$67,VLOOKUP($A88,SDR26G!$A$9:$N$66,6,FALSE),
IF($A88&lt;Cements!$A$95,VLOOKUP($A88,Cements!$A$8:$Q$94,5,FALSE),
IF($A88&lt;ValveBox!$A$124,VLOOKUP($A88,ValveBox!$A$9:$O$123,5,FALSE),
IF($A88&lt;'ValveBox Components'!$A$142,VLOOKUP($A88,'ValveBox Components'!$A$9:$N$141,5,FALSE),
IF($A88&lt;Drainage!$A$69,VLOOKUP($A88,Drainage!$A$8:$M$68,5,FALSE),
IF($A88&lt;Nipples!$A$82,VLOOKUP($A88,Nipples!$A$9:$Q$81,5,FALSE),
IF($A88&lt;Manifold!$A$33,VLOOKUP($A88,Manifold!$A$9:$M$32,5,FALSE),
IF($A88&lt;FlexibleRepairCouplings!$A$12,VLOOKUP($A88,FlexibleRepairCouplings!$A$9:$M$11,5,FALSE),
IF($A88&lt;DuraFix!$A$15,VLOOKUP($A88,DuraFix!$A$9:$M$14,5,FALSE),
IF($A88&lt;'Compression Fittings'!$A$16,VLOOKUP($A88,'Compression Fittings'!$A$8:$M$15,5,FALSE),
IF($A88&lt;'Hose Fittings'!$A$30,VLOOKUP($A88,'Hose Fittings'!$A$8:$M$29,5,FALSE),
IF($A88&lt;'Swing Joints'!$A$495,VLOOKUP($A88,'Swing Joints'!$A$9:$M$494,5,FALSE),
IF($A88&lt;'Swing Joints Components'!$A$135,VLOOKUP($A88,'Swing Joints Components'!$A$9:$M$134,5,FALSE),
IF($A88&lt;Nonstandard!$A$42,VLOOKUP($A88,Nonstandard!$A$31:$J$41,6,FALSE),"")))))))))))))))))))))))))))),"")</f>
        <v/>
      </c>
      <c r="D88" s="537" t="str">
        <f>IFERROR(IF($A88&lt;'DWV PVC'!$A$317,VLOOKUP($A88,'DWV PVC'!$A$9:$M$316,6,FALSE),
IF($A88&lt;'DWV ABS'!$A$117,VLOOKUP($A88,'DWV ABS'!$A$8:$M$116,6,FALSE),
IF($A88&lt;'PVC SCH40'!$A$425,VLOOKUP($A88,'PVC SCH40'!$A$8:$M$424,6,FALSE),
IF($A88&lt;'PVC SCH40 LD'!$A$22,VLOOKUP($A88,'PVC SCH40 LD'!$A$8:$M$21,6,FALSE),
IF($A88&lt;'Pool &amp; SPA Sweep Elbows'!$A$12,VLOOKUP($A88,'Pool &amp; SPA Sweep Elbows'!$A$8:$M$11,6,FALSE),
IF($A88&lt;'Pool &amp; SPA Pipe Extender'!$A$11,VLOOKUP($A88,'Pool &amp; SPA Pipe Extender'!$A$8:$M$10,6,FALSE),
IF($A88&lt;'PVC SCH80'!$A$250,VLOOKUP($A88,'PVC SCH80'!$A$8:$M$249,6,FALSE),
IF($A88&lt;'PVC SCH80 Flange'!$A$49,VLOOKUP($A88,'PVC SCH80 Flange'!$A$8:$M$48,6,FALSE),
IF($A88&lt;'PVC SCH80 LD Flange'!$A$17,VLOOKUP($A88,'PVC SCH80 LD Flange'!$A$8:$M$16,6,FALSE),
IF($A88&lt;CPVC!$A$105,VLOOKUP($A88,CPVC!$A$9:$M$104,6,FALSE),
IF($A88&lt;InsertFittings!$A$185,VLOOKUP($A88,InsertFittings!$A$9:$M$184,6,FALSE),
IF($A88&lt;Valves!$A$92,VLOOKUP($A88,Valves!$A$9:$Q$91,6,FALSE),
IF($A88&lt;SDR35SW!$A$133,VLOOKUP($A88,SDR35SW!$A$9:$M$132,6,FALSE),
IF($A88&lt;SDR35G!$A$151,VLOOKUP($A88,SDR35G!$A$9:$M$150,6,FALSE),
IF($A88&lt;SDR26G!$A$67,VLOOKUP($A88,SDR26G!$A$9:$N$66,7,FALSE),
IF($A88&lt;Cements!$A$95,VLOOKUP($A88,Cements!$A$8:$Q$94,6,FALSE),
IF($A88&lt;ValveBox!$A$124,VLOOKUP($A88,ValveBox!$A$9:$O$123,6,FALSE),
IF($A88&lt;'ValveBox Components'!$A$142,VLOOKUP($A88,'ValveBox Components'!$A$9:$N$141,6,FALSE),
IF($A88&lt;Drainage!$A$69,VLOOKUP($A88,Drainage!$A$8:$M$68,6,FALSE),
IF($A88&lt;Nipples!$A$82,VLOOKUP($A88,Nipples!$A$9:$Q$81,6,FALSE),
IF($A88&lt;Manifold!$A$33,VLOOKUP($A88,Manifold!$A$9:$M$32,6,FALSE),
IF($A88&lt;FlexibleRepairCouplings!$A$12,VLOOKUP($A88,FlexibleRepairCouplings!$A$9:$M$11,6,FALSE),
IF($A88&lt;DuraFix!$A$15,VLOOKUP($A88,DuraFix!$A$9:$M$14,6,FALSE),
IF($A88&lt;'Compression Fittings'!$A$16,VLOOKUP($A88,'Compression Fittings'!$A$8:$M$15,6,FALSE),
IF($A88&lt;'Hose Fittings'!$A$30,VLOOKUP($A88,'Hose Fittings'!$A$8:$M$29,6,FALSE),
IF($A88&lt;'Swing Joints'!$A$495,VLOOKUP($A88,'Swing Joints'!$A$9:$M$494,6,FALSE),
IF($A88&lt;'Swing Joints Components'!$A$135,VLOOKUP($A88,'Swing Joints Components'!$A$9:$M$134,6,FALSE),
IF($A88&lt;Nonstandard!$A$42,VLOOKUP($A88,Nonstandard!$A$31:$J$41,7,FALSE),"")))))))))))))))))))))))))))),"")</f>
        <v/>
      </c>
      <c r="E88" s="538"/>
      <c r="F88" s="539" t="str">
        <f>IFERROR(IF($A88&lt;'DWV PVC'!$A$317,VLOOKUP($A88,'DWV PVC'!$A$9:$M$316,9,FALSE),
IF($A88&lt;'DWV ABS'!$A$117,VLOOKUP($A88,'DWV ABS'!$A$8:$M$116,9,FALSE),                                                                                                                                                                                                                                                     IF($A88&lt;'PVC SCH40'!$A$425,VLOOKUP($A88,'PVC SCH40'!$A$8:$M$424,9,FALSE),
IF($A88&lt;'PVC SCH40 LD'!$A$22,VLOOKUP($A88,'PVC SCH40 LD'!$A$8:$M$21,9,FALSE),
IF($A88&lt;'Pool &amp; SPA Sweep Elbows'!$A$12,VLOOKUP($A88,'Pool &amp; SPA Sweep Elbows'!$A$8:$M$11,9,FALSE),
IF($A88&lt;'Pool &amp; SPA Pipe Extender'!$A$11,VLOOKUP($A88,'Pool &amp; SPA Pipe Extender'!$A$8:$M$10,9,FALSE),
IF($A88&lt;'PVC SCH80'!$A$250,VLOOKUP($A88,'PVC SCH80'!$A$8:$M$249,9,FALSE),
IF($A88&lt;'PVC SCH80 Flange'!$A$49,VLOOKUP($A88,'PVC SCH80 Flange'!$A$8:$M$48,9,FALSE),
IF($A88&lt;'PVC SCH80 LD Flange'!$A$17,VLOOKUP($A88,'PVC SCH80 LD Flange'!$A$8:$M$16,9,FALSE),
IF($A88&lt;CPVC!$A$105,VLOOKUP($A88,CPVC!$A$9:$M$104,9,FALSE),
IF($A88&lt;InsertFittings!$A$185,VLOOKUP($A88,InsertFittings!$A$9:$M$184,9,FALSE),
IF($A88&lt;Valves!$A$92,VLOOKUP($A88,Valves!$A$9:$Q$91,13,FALSE),
IF($A88&lt;SDR35SW!$A$133,VLOOKUP($A88,SDR35SW!$A$9:$M$132,9,FALSE),
IF($A88&lt;SDR35G!$A$151,VLOOKUP($A88,SDR35G!$A$9:$M$150,9,FALSE),                                                                                                                                                                                                                                                          IF($A88&lt;SDR26G!$A$67,VLOOKUP($A88,SDR26G!$A$9:$N$66,10,FALSE),                                                                                                                                                                                                                                                       IF($A88&lt;Cements!$A$95,VLOOKUP($A88,Cements!$A$8:$Q$94,13,FALSE),
IF($A88&lt;ValveBox!$A$124,VLOOKUP($A88,ValveBox!$A$9:$O$123,11,FALSE),
IF($A88&lt;'ValveBox Components'!$A$142,VLOOKUP($A88,'ValveBox Components'!$A$9:$N$141,10,FALSE),
IF($A88&lt;Drainage!$A$69,VLOOKUP($A88,Drainage!$A$8:$M$68,9,FALSE),                                                                                                                                                                                                                                                              IF($A88&lt;Nipples!$A$82,VLOOKUP($A88,Nipples!$A$9:$Q$81,13,FALSE),
IF($A88&lt;Manifold!$A$33,VLOOKUP($A88,Manifold!$A$9:$M$32,9,FALSE),
IF($A88&lt;FlexibleRepairCouplings!$A$12,VLOOKUP($A88,FlexibleRepairCouplings!$A$9:$M$11,9,FALSE),
IF($A88&lt;DuraFix!$A$15,VLOOKUP($A88,DuraFix!$A$9:$M$14,9,FALSE),                                                                                                                                                                                                                                                          IF($A88&lt;'Compression Fittings'!$A$16,VLOOKUP($A88,'Compression Fittings'!$A$8:$M$15,9,FALSE),
IF($A88&lt;'Hose Fittings'!$A$30,VLOOKUP($A88,'Hose Fittings'!$A$8:$M$29,9,FALSE),
IF($A88&lt;'Swing Joints'!$A$495,VLOOKUP($A88,'Swing Joints'!$A$9:$M$494,9,FALSE),
IF($A88&lt;'Swing Joints Components'!$A$135,VLOOKUP($A88,'Swing Joints Components'!$A$9:$M$134,9,FALSE),
IF($A88&lt;Nonstandard!$A$42,VLOOKUP($A88,Nonstandard!$A$31:$J$41,8,FALSE),"")))))))))))))))))))))))))))),"")</f>
        <v/>
      </c>
      <c r="G88" s="540" t="str">
        <f>IFERROR(IF($A88&lt;'DWV PVC'!$A$317,VLOOKUP($A88,'DWV PVC'!$A$9:$M$316,11,FALSE),
IF($A88&lt;'DWV ABS'!$A$117,VLOOKUP($A88,'DWV ABS'!$A$8:$M$116,11,FALSE),                                                                                                                                                                                                                                                     IF($A88&lt;'PVC SCH40'!$A$425,VLOOKUP($A88,'PVC SCH40'!$A$8:$M$424,11,FALSE),
IF($A88&lt;'PVC SCH40 LD'!$A$22,VLOOKUP($A88,'PVC SCH40 LD'!$A$8:$M$21,11,FALSE),
IF($A88&lt;'Pool &amp; SPA Sweep Elbows'!$A$12,VLOOKUP($A88,'Pool &amp; SPA Sweep Elbows'!$A$8:$M$11,11,FALSE),
IF($A88&lt;'Pool &amp; SPA Pipe Extender'!$A$11,VLOOKUP($A88,'Pool &amp; SPA Pipe Extender'!$A$8:$M$10,11,FALSE),
IF($A88&lt;'PVC SCH80'!$A$250,VLOOKUP($A88,'PVC SCH80'!$A$8:$M$249,11,FALSE),
IF($A88&lt;'PVC SCH80 Flange'!$A$49,VLOOKUP($A88,'PVC SCH80 Flange'!$A$8:$M$48,11,FALSE),
IF($A88&lt;'PVC SCH80 LD Flange'!$A$17,VLOOKUP($A88,'PVC SCH80 LD Flange'!$A$8:$M$16,11,FALSE),
IF($A88&lt;CPVC!$A$105,VLOOKUP($A88,CPVC!$A$9:$M$104,11,FALSE),
IF($A88&lt;InsertFittings!$A$185,VLOOKUP($A88,InsertFittings!$A$9:$M$184,11,FALSE),
IF($A88&lt;Valves!$A$92,VLOOKUP($A88,Valves!$A$9:$Q$91,15,FALSE),
IF($A88&lt;SDR35SW!$A$133,VLOOKUP($A88,SDR35SW!$A$9:$M$132,11,FALSE),
IF($A88&lt;SDR35G!$A$151,VLOOKUP($A88,SDR35G!$A$9:$M$150,11,FALSE),                                                                                                                                                                                                                                                          IF($A88&lt;SDR26G!$A$67,VLOOKUP($A88,SDR26G!$A$9:$N$66,12,FALSE),                                                                                                                                                                                                                                                       IF($A88&lt;Cements!$A$95,VLOOKUP($A88,Cements!$A$8:$Q$94,15,FALSE),
IF($A88&lt;ValveBox!$A$124,VLOOKUP($A88,ValveBox!$A$9:$O$123,13,FALSE),
IF($A88&lt;'ValveBox Components'!$A$142,VLOOKUP($A88,'ValveBox Components'!$A$9:$N$141,12,FALSE),
IF($A88&lt;Drainage!$A$69,VLOOKUP($A88,Drainage!$A$8:$M$68,11,FALSE),                                                                                                                                                                                                                                                           IF($A88&lt;Nipples!$A$82,VLOOKUP($A88,Nipples!$A$9:$Q$81,15,FALSE),
IF($A88&lt;Manifold!$A$33,VLOOKUP($A88,Manifold!$A$9:$M$32,11,FALSE),
IF($A88&lt;FlexibleRepairCouplings!$A$12,VLOOKUP($A88,FlexibleRepairCouplings!$A$9:$M$11,11,FALSE),
IF($A88&lt;DuraFix!$A$15,VLOOKUP($A88,DuraFix!$A$9:$M$14,11,FALSE),                                                                                                                                                                                                                                                            IF($A88&lt;'Compression Fittings'!$A$16,VLOOKUP($A88,'Compression Fittings'!$A$8:$M$15,11,FALSE),
IF($A88&lt;'Hose Fittings'!$A$30,VLOOKUP($A88,'Hose Fittings'!$A$8:$M$29,11,FALSE),
IF($A88&lt;'Swing Joints'!$A$495,VLOOKUP($A88,'Swing Joints'!$A$9:$M$494,11,FALSE),
IF($A88&lt;'Swing Joints Components'!$A$135,VLOOKUP($A88,'Swing Joints Components'!$A$9:$M$134,11,FALSE),
IF($A88&lt;Nonstandard!$A$42,VLOOKUP($A88,Nonstandard!$A$31:$J$41,10,FALSE),"")))))))))))))))))))))))))))),"")</f>
        <v/>
      </c>
      <c r="H88" s="620" t="str">
        <f>IFERROR(IF($A88&lt;'DWV PVC'!$A$317,VLOOKUP($A88,'DWV PVC'!$A$9:$M$316,7,FALSE),
IF($A88&lt;'DWV ABS'!$A$117,VLOOKUP($A88,'DWV ABS'!$A$8:$M$116,11,FALSE),                                                                                                                                                                                                                                                     IF($A88&lt;'PVC SCH40'!$A$425,VLOOKUP($A88,'PVC SCH40'!$A$8:$M$424,7,FALSE),
IF($A88&lt;'PVC SCH40 LD'!$A$22,VLOOKUP($A88,'PVC SCH40 LD'!$A$8:$M$21,7,FALSE),
IF($A88&lt;'Pool &amp; SPA Sweep Elbows'!$A$12,VLOOKUP($A88,'Pool &amp; SPA Sweep Elbows'!$A$8:$M$11,7,FALSE),
IF($A88&lt;'Pool &amp; SPA Pipe Extender'!$A$11,VLOOKUP($A88,'Pool &amp; SPA Pipe Extender'!$A$8:$M$10,7,FALSE),
IF($A88&lt;'PVC SCH80'!$A$250,VLOOKUP($A88,'PVC SCH80'!$A$8:$M$249,7,FALSE),
IF($A88&lt;'PVC SCH80 Flange'!$A$49,VLOOKUP($A88,'PVC SCH80 Flange'!$A$8:$M$48,7,FALSE),
IF($A88&lt;'PVC SCH80 LD Flange'!$A$17,VLOOKUP($A88,'PVC SCH80 LD Flange'!$A$8:$M$16,7,FALSE),
IF($A88&lt;CPVC!$A$105,VLOOKUP($A88,CPVC!$A$9:$M$104,7,FALSE),
IF($A88&lt;InsertFittings!$A$185,VLOOKUP($A88,InsertFittings!$A$9:$M$184,7,FALSE),
IF($A88&lt;Valves!$A$92,VLOOKUP($A88,Valves!$A$9:$Q$91,11,FALSE),
IF($A88&lt;SDR35SW!$A$133,VLOOKUP($A88,SDR35SW!$A$9:$M$132,7,FALSE),
IF($A88&lt;SDR35G!$A$151,VLOOKUP($A88,SDR35G!$A$9:$M$150,7,FALSE),                                                                                                                                                                                                                                                       IF($A88&lt;SDR26G!$A$67,VLOOKUP($A88,SDR26G!$A$9:$N$66,8,FALSE),                                                                                                                                                                                                                                                     IF($A88&lt;Cements!$A$95,VLOOKUP($A88,Cements!$A$8:$Q$94,11,FALSE),
IF($A88&lt;ValveBox!$A$124,VLOOKUP($A88,ValveBox!$A$9:$O$123,10,FALSE),
IF($A88&lt;'ValveBox Components'!$A$142,VLOOKUP($A88,'ValveBox Components'!$A$9:$N$141,9,FALSE),
IF($A88&lt;Drainage!$A$69,VLOOKUP($A88,Drainage!$A$8:$M$68,7,FALSE),                                                                                                                                                                                                                                                          IF($A88&lt;Nipples!$A$82,VLOOKUP($A88,Nipples!$A$9:$Q$81,11,FALSE),
IF($A88&lt;Manifold!$A$33,VLOOKUP($A88,Manifold!$A$9:$M$32,7,FALSE),
IF($A88&lt;FlexibleRepairCouplings!$A$12,VLOOKUP($A88,FlexibleRepairCouplings!$A$9:$M$11,7,FALSE),
IF($A88&lt;DuraFix!$A$15,VLOOKUP($A88,DuraFix!$A$9:$M$14,7,FALSE),                                                                                                                                                                                                                                                           IF($A88&lt;'Compression Fittings'!$A$16,VLOOKUP($A88,'Compression Fittings'!$A$8:$M$15,7,FALSE),
IF($A88&lt;'Hose Fittings'!$A$30,VLOOKUP($A88,'Hose Fittings'!$A$8:$M$29,7,FALSE),
IF($A88&lt;'Swing Joints'!$A$495,VLOOKUP($A88,'Swing Joints'!$A$9:$M$494,7,FALSE),
IF($A88&lt;'Swing Joints Components'!$A$135,VLOOKUP($A88,'Swing Joints Components'!$A$9:$M$134,7,FALSE),
IF($A88&lt;Nonstandard!$A$42,VLOOKUP($A88,Nonstandard!$A$31:$J$41,10,FALSE),"")))))))))))))))))))))))))))),"")</f>
        <v/>
      </c>
      <c r="I88" s="621"/>
      <c r="J88" s="541" t="str">
        <f t="shared" si="1"/>
        <v/>
      </c>
      <c r="K88" s="599" t="str">
        <f>IFERROR(IF($A88&lt;'DWV PVC'!$A$317,VLOOKUP($A88,'DWV PVC'!$A$9:$M$316,10,FALSE),
IF($A88&lt;'DWV ABS'!$A$117,VLOOKUP($A88,'DWV ABS'!$A$8:$M$116,10,FALSE),
IF($A88&lt;'PVC SCH40'!$A$425,VLOOKUP($A88,'PVC SCH40'!$A$8:$M$424,10,FALSE),
IF($A88&lt;'PVC SCH40 LD'!$A$22,VLOOKUP($A88,'PVC SCH40 LD'!$A$8:$M$21,10,FALSE),
IF($A88&lt;'Pool &amp; SPA Sweep Elbows'!$A$12,VLOOKUP($A88,'Pool &amp; SPA Sweep Elbows'!$A$8:$M$11,10,FALSE),
IF($A88&lt;'Pool &amp; SPA Pipe Extender'!$A$11,VLOOKUP($A88,'Pool &amp; SPA Pipe Extender'!$A$8:$M$10,10,FALSE),
IF($A88&lt;'PVC SCH80'!$A$250,VLOOKUP($A88,'PVC SCH80'!$A$8:$M$249,10,FALSE),
IF($A88&lt;'PVC SCH80 Flange'!$A$49,VLOOKUP($A88,'PVC SCH80 Flange'!$A$8:$M$48,10,FALSE),
IF($A88&lt;'PVC SCH80 LD Flange'!$A$17,VLOOKUP($A88,'PVC SCH80 LD Flange'!$A$8:$M$16,10,FALSE),
IF($A88&lt;CPVC!$A$105,VLOOKUP($A88,CPVC!$A$9:$M$104,10,FALSE),
IF($A88&lt;InsertFittings!$A$185,VLOOKUP($A88,InsertFittings!$A$9:$M$184,10,FALSE),
IF($A88&lt;Valves!$A$92,VLOOKUP($A88,Valves!$A$9:$Q$91,14,FALSE),
IF($A88&lt;SDR35SW!$A$133,VLOOKUP($A88,SDR35SW!$A$9:$M$132,10,FALSE),
IF($A88&lt;SDR35G!$A$151,VLOOKUP($A88,SDR35G!$A$9:$M$150,10,FALSE),
IF($A88&lt;SDR26G!$A$67,VLOOKUP($A88,SDR26G!$A$9:$N$66,11,FALSE),
IF($A88&lt;Cements!$A$95,VLOOKUP($A88,Cements!$A$8:$Q$94,14,FALSE),
IF($A88&lt;ValveBox!$A$124,VLOOKUP($A88,ValveBox!$A$9:$O$123,12,FALSE),
IF($A88&lt;'ValveBox Components'!$A$142,VLOOKUP($A88,'ValveBox Components'!$A$9:$N$141,11,FALSE),
IF($A88&lt;Drainage!$A$69,VLOOKUP($A88,Drainage!$A$8:$M$68,10,FALSE),
IF($A88&lt;Nipples!$A$82,VLOOKUP($A88,Nipples!$A$9:$Q$81,14,FALSE),
IF($A88&lt;Manifold!$A$33,VLOOKUP($A88,Manifold!$A$9:$M$32,10,FALSE),
IF($A88&lt;FlexibleRepairCouplings!$A$12,VLOOKUP($A88,FlexibleRepairCouplings!$A$9:$M$11,10,FALSE),
IF($A88&lt;DuraFix!$A$15,VLOOKUP($A88,DuraFix!$A$9:$M$14,10,FALSE),
IF($A88&lt;'Compression Fittings'!$A$16,VLOOKUP($A88,'Compression Fittings'!$A$8:$M$15,10,FALSE),
IF($A88&lt;'Hose Fittings'!$A$30,VLOOKUP($A88,'Hose Fittings'!$A$8:$M$29,10,FALSE),
IF($A88&lt;'Swing Joints'!$A$495,VLOOKUP($A88,'Swing Joints'!$A$9:$M$494,10,FALSE),
IF($A88&lt;'Swing Joints Components'!$A$135,VLOOKUP($A88,'Swing Joints Components'!$A$9:$M$134,10,FALSE),
IF($A88&lt;Nonstandard!$A$42,VLOOKUP($A88,Nonstandard!$A$31:$J$41,10,FALSE),"")))))))))))))))))))))))))))),"")</f>
        <v/>
      </c>
      <c r="L88" s="539" t="str">
        <f t="shared" si="0"/>
        <v>-</v>
      </c>
      <c r="M88" s="542"/>
    </row>
    <row r="89" spans="1:13" ht="15.6">
      <c r="A89" s="312">
        <v>57</v>
      </c>
      <c r="B89" s="312" t="str">
        <f>IFERROR(IF($A89&lt;'DWV PVC'!$A$317,VLOOKUP($A89,'DWV PVC'!$A$9:$M$316,4,FALSE),
IF($A89&lt;'DWV ABS'!$A$117,VLOOKUP($A89,'DWV ABS'!$A$8:$M$116,4,FALSE),
IF($A89&lt;'PVC SCH40'!$A$425,VLOOKUP($A89,'PVC SCH40'!$A$8:$M$424,4,FALSE),
IF($A89&lt;'PVC SCH40 LD'!$A$22,VLOOKUP($A89,'PVC SCH40 LD'!$A$8:$M$21,4,FALSE),
IF($A89&lt;'Pool &amp; SPA Sweep Elbows'!$A$12,VLOOKUP($A89,'Pool &amp; SPA Sweep Elbows'!$A$8:$M$11,4,FALSE),
IF($A89&lt;'Pool &amp; SPA Pipe Extender'!$A$11,VLOOKUP($A89,'Pool &amp; SPA Pipe Extender'!$A$8:$M$10,4,FALSE),
IF($A89&lt;'PVC SCH80'!$A$250,VLOOKUP($A89,'PVC SCH80'!$A$8:$M$249,4,FALSE),
IF($A89&lt;'PVC SCH80 Flange'!$A$49,VLOOKUP($A89,'PVC SCH80 Flange'!$A$8:$M$48,4,FALSE),
IF($A89&lt;'PVC SCH80 LD Flange'!$A$17,VLOOKUP($A89,'PVC SCH80 LD Flange'!$A$8:$M$16,4,FALSE),
IF($A89&lt;CPVC!$A$105,VLOOKUP($A89,CPVC!$A$9:$M$104,4,FALSE),
IF($A89&lt;InsertFittings!$A$185,VLOOKUP($A89,InsertFittings!$A$9:$M$184,4,FALSE),
IF($A89&lt;Valves!$A$92,VLOOKUP($A89,Valves!$A$9:$Q$91,4,FALSE),
IF($A89&lt;SDR35SW!$A$133,VLOOKUP($A89,SDR35SW!$A$9:$M$132,4,FALSE),
IF($A89&lt;SDR35G!$A$151,VLOOKUP($A89,SDR35G!$A$9:$M$150,4,FALSE),
IF($A89&lt;SDR26G!$A$67,VLOOKUP($A89,SDR26G!$A$9:$N$66,5,FALSE),
IF($A89&lt;Cements!$A$95,VLOOKUP($A89,Cements!$A$8:$Q$94,4,FALSE),
IF($A89&lt;ValveBox!$A$124,VLOOKUP($A89,ValveBox!$A$9:$O$123,4,FALSE),
IF($A89&lt;'ValveBox Components'!$A$142,VLOOKUP($A89,'ValveBox Components'!$A$9:$N$141,4,FALSE),
IF($A89&lt;Drainage!$A$69,VLOOKUP($A89,Drainage!$A$8:$M$68,4,FALSE),
IF($A89&lt;Nipples!$A$82,VLOOKUP($A89,Nipples!$A$9:$Q$81,4,FALSE),
IF($A89&lt;Manifold!$A$33,VLOOKUP($A89,Manifold!$A$9:$M$32,4,FALSE),
IF($A89&lt;FlexibleRepairCouplings!$A$12,VLOOKUP($A89,FlexibleRepairCouplings!$A$9:$M$11,4,FALSE),
IF($A89&lt;DuraFix!$A$15,VLOOKUP($A89,DuraFix!$A$9:$M$14,4,FALSE),
IF($A89&lt;'Compression Fittings'!$A$16,VLOOKUP($A89,'Compression Fittings'!$A$8:$M$15,4,FALSE),
IF($A89&lt;'Hose Fittings'!$A$30,VLOOKUP($A89,'Hose Fittings'!$A$8:$M$29,4,FALSE),
IF($A89&lt;'Swing Joints'!$A$495,VLOOKUP($A89,'Swing Joints'!$A$9:$M$494,4,FALSE),
IF($A89&lt;'Swing Joints Components'!$A$135,VLOOKUP($A89,'Swing Joints Components'!$A$9:$M$134,4,FALSE),
IF($A89&lt;Nonstandard!$A$42,VLOOKUP($A89,Nonstandard!$A$31:$J$41,5,FALSE),"")))))))))))))))))))))))))))),"")</f>
        <v/>
      </c>
      <c r="C89" s="312" t="str">
        <f>IFERROR(IF($A89&lt;'DWV PVC'!$A$317,VLOOKUP($A89,'DWV PVC'!$A$9:$M$316,5,FALSE),
IF($A89&lt;'DWV ABS'!$A$117,VLOOKUP($A89,'DWV ABS'!$A$8:$M$116,5,FALSE),
IF($A89&lt;'PVC SCH40'!$A$425,VLOOKUP($A89,'PVC SCH40'!$A$8:$M$424,5,FALSE),
IF($A89&lt;'PVC SCH40 LD'!$A$22,VLOOKUP($A89,'PVC SCH40 LD'!$A$8:$M$21,5,FALSE),
IF($A89&lt;'Pool &amp; SPA Sweep Elbows'!$A$12,VLOOKUP($A89,'Pool &amp; SPA Sweep Elbows'!$A$8:$M$11,5,FALSE),
IF($A89&lt;'Pool &amp; SPA Pipe Extender'!$A$11,VLOOKUP($A89,'Pool &amp; SPA Pipe Extender'!$A$8:$M$10,5,FALSE),
IF($A89&lt;'PVC SCH80'!$A$250,VLOOKUP($A89,'PVC SCH80'!$A$8:$M$249,5,FALSE),
IF($A89&lt;'PVC SCH80 Flange'!$A$49,VLOOKUP($A89,'PVC SCH80 Flange'!$A$8:$M$48,5,FALSE),
IF($A89&lt;'PVC SCH80 LD Flange'!$A$17,VLOOKUP($A89,'PVC SCH80 LD Flange'!$A$8:$M$16,5,FALSE),
IF($A89&lt;CPVC!$A$105,VLOOKUP($A89,CPVC!$A$9:$M$104,5,FALSE),
IF($A89&lt;InsertFittings!$A$185,VLOOKUP($A89,InsertFittings!$A$9:$M$184,5,FALSE),
IF($A89&lt;Valves!$A$92,VLOOKUP($A89,Valves!$A$9:$Q$91,5,FALSE),
IF($A89&lt;SDR35SW!$A$133,VLOOKUP($A89,SDR35SW!$A$9:$M$132,5,FALSE),
IF($A89&lt;SDR35G!$A$151,VLOOKUP($A89,SDR35G!$A$9:$M$150,5,FALSE),
IF($A89&lt;SDR26G!$A$67,VLOOKUP($A89,SDR26G!$A$9:$N$66,6,FALSE),
IF($A89&lt;Cements!$A$95,VLOOKUP($A89,Cements!$A$8:$Q$94,5,FALSE),
IF($A89&lt;ValveBox!$A$124,VLOOKUP($A89,ValveBox!$A$9:$O$123,5,FALSE),
IF($A89&lt;'ValveBox Components'!$A$142,VLOOKUP($A89,'ValveBox Components'!$A$9:$N$141,5,FALSE),
IF($A89&lt;Drainage!$A$69,VLOOKUP($A89,Drainage!$A$8:$M$68,5,FALSE),
IF($A89&lt;Nipples!$A$82,VLOOKUP($A89,Nipples!$A$9:$Q$81,5,FALSE),
IF($A89&lt;Manifold!$A$33,VLOOKUP($A89,Manifold!$A$9:$M$32,5,FALSE),
IF($A89&lt;FlexibleRepairCouplings!$A$12,VLOOKUP($A89,FlexibleRepairCouplings!$A$9:$M$11,5,FALSE),
IF($A89&lt;DuraFix!$A$15,VLOOKUP($A89,DuraFix!$A$9:$M$14,5,FALSE),
IF($A89&lt;'Compression Fittings'!$A$16,VLOOKUP($A89,'Compression Fittings'!$A$8:$M$15,5,FALSE),
IF($A89&lt;'Hose Fittings'!$A$30,VLOOKUP($A89,'Hose Fittings'!$A$8:$M$29,5,FALSE),
IF($A89&lt;'Swing Joints'!$A$495,VLOOKUP($A89,'Swing Joints'!$A$9:$M$494,5,FALSE),
IF($A89&lt;'Swing Joints Components'!$A$135,VLOOKUP($A89,'Swing Joints Components'!$A$9:$M$134,5,FALSE),
IF($A89&lt;Nonstandard!$A$42,VLOOKUP($A89,Nonstandard!$A$31:$J$41,6,FALSE),"")))))))))))))))))))))))))))),"")</f>
        <v/>
      </c>
      <c r="D89" s="534" t="str">
        <f>IFERROR(IF($A89&lt;'DWV PVC'!$A$317,VLOOKUP($A89,'DWV PVC'!$A$9:$M$316,6,FALSE),
IF($A89&lt;'DWV ABS'!$A$117,VLOOKUP($A89,'DWV ABS'!$A$8:$M$116,6,FALSE),
IF($A89&lt;'PVC SCH40'!$A$425,VLOOKUP($A89,'PVC SCH40'!$A$8:$M$424,6,FALSE),
IF($A89&lt;'PVC SCH40 LD'!$A$22,VLOOKUP($A89,'PVC SCH40 LD'!$A$8:$M$21,6,FALSE),
IF($A89&lt;'Pool &amp; SPA Sweep Elbows'!$A$12,VLOOKUP($A89,'Pool &amp; SPA Sweep Elbows'!$A$8:$M$11,6,FALSE),
IF($A89&lt;'Pool &amp; SPA Pipe Extender'!$A$11,VLOOKUP($A89,'Pool &amp; SPA Pipe Extender'!$A$8:$M$10,6,FALSE),
IF($A89&lt;'PVC SCH80'!$A$250,VLOOKUP($A89,'PVC SCH80'!$A$8:$M$249,6,FALSE),
IF($A89&lt;'PVC SCH80 Flange'!$A$49,VLOOKUP($A89,'PVC SCH80 Flange'!$A$8:$M$48,6,FALSE),
IF($A89&lt;'PVC SCH80 LD Flange'!$A$17,VLOOKUP($A89,'PVC SCH80 LD Flange'!$A$8:$M$16,6,FALSE),
IF($A89&lt;CPVC!$A$105,VLOOKUP($A89,CPVC!$A$9:$M$104,6,FALSE),
IF($A89&lt;InsertFittings!$A$185,VLOOKUP($A89,InsertFittings!$A$9:$M$184,6,FALSE),
IF($A89&lt;Valves!$A$92,VLOOKUP($A89,Valves!$A$9:$Q$91,6,FALSE),
IF($A89&lt;SDR35SW!$A$133,VLOOKUP($A89,SDR35SW!$A$9:$M$132,6,FALSE),
IF($A89&lt;SDR35G!$A$151,VLOOKUP($A89,SDR35G!$A$9:$M$150,6,FALSE),
IF($A89&lt;SDR26G!$A$67,VLOOKUP($A89,SDR26G!$A$9:$N$66,7,FALSE),
IF($A89&lt;Cements!$A$95,VLOOKUP($A89,Cements!$A$8:$Q$94,6,FALSE),
IF($A89&lt;ValveBox!$A$124,VLOOKUP($A89,ValveBox!$A$9:$O$123,6,FALSE),
IF($A89&lt;'ValveBox Components'!$A$142,VLOOKUP($A89,'ValveBox Components'!$A$9:$N$141,6,FALSE),
IF($A89&lt;Drainage!$A$69,VLOOKUP($A89,Drainage!$A$8:$M$68,6,FALSE),
IF($A89&lt;Nipples!$A$82,VLOOKUP($A89,Nipples!$A$9:$Q$81,6,FALSE),
IF($A89&lt;Manifold!$A$33,VLOOKUP($A89,Manifold!$A$9:$M$32,6,FALSE),
IF($A89&lt;FlexibleRepairCouplings!$A$12,VLOOKUP($A89,FlexibleRepairCouplings!$A$9:$M$11,6,FALSE),
IF($A89&lt;DuraFix!$A$15,VLOOKUP($A89,DuraFix!$A$9:$M$14,6,FALSE),
IF($A89&lt;'Compression Fittings'!$A$16,VLOOKUP($A89,'Compression Fittings'!$A$8:$M$15,6,FALSE),
IF($A89&lt;'Hose Fittings'!$A$30,VLOOKUP($A89,'Hose Fittings'!$A$8:$M$29,6,FALSE),
IF($A89&lt;'Swing Joints'!$A$495,VLOOKUP($A89,'Swing Joints'!$A$9:$M$494,6,FALSE),
IF($A89&lt;'Swing Joints Components'!$A$135,VLOOKUP($A89,'Swing Joints Components'!$A$9:$M$134,6,FALSE),
IF($A89&lt;Nonstandard!$A$42,VLOOKUP($A89,Nonstandard!$A$31:$J$41,7,FALSE),"")))))))))))))))))))))))))))),"")</f>
        <v/>
      </c>
      <c r="E89" s="316"/>
      <c r="F89" s="314" t="str">
        <f>IFERROR(IF($A89&lt;'DWV PVC'!$A$317,VLOOKUP($A89,'DWV PVC'!$A$9:$M$316,9,FALSE),
IF($A89&lt;'DWV ABS'!$A$117,VLOOKUP($A89,'DWV ABS'!$A$8:$M$116,9,FALSE),                                                                                                                                                                                                                                                     IF($A89&lt;'PVC SCH40'!$A$425,VLOOKUP($A89,'PVC SCH40'!$A$8:$M$424,9,FALSE),
IF($A89&lt;'PVC SCH40 LD'!$A$22,VLOOKUP($A89,'PVC SCH40 LD'!$A$8:$M$21,9,FALSE),
IF($A89&lt;'Pool &amp; SPA Sweep Elbows'!$A$12,VLOOKUP($A89,'Pool &amp; SPA Sweep Elbows'!$A$8:$M$11,9,FALSE),
IF($A89&lt;'Pool &amp; SPA Pipe Extender'!$A$11,VLOOKUP($A89,'Pool &amp; SPA Pipe Extender'!$A$8:$M$10,9,FALSE),
IF($A89&lt;'PVC SCH80'!$A$250,VLOOKUP($A89,'PVC SCH80'!$A$8:$M$249,9,FALSE),
IF($A89&lt;'PVC SCH80 Flange'!$A$49,VLOOKUP($A89,'PVC SCH80 Flange'!$A$8:$M$48,9,FALSE),
IF($A89&lt;'PVC SCH80 LD Flange'!$A$17,VLOOKUP($A89,'PVC SCH80 LD Flange'!$A$8:$M$16,9,FALSE),
IF($A89&lt;CPVC!$A$105,VLOOKUP($A89,CPVC!$A$9:$M$104,9,FALSE),
IF($A89&lt;InsertFittings!$A$185,VLOOKUP($A89,InsertFittings!$A$9:$M$184,9,FALSE),
IF($A89&lt;Valves!$A$92,VLOOKUP($A89,Valves!$A$9:$Q$91,13,FALSE),
IF($A89&lt;SDR35SW!$A$133,VLOOKUP($A89,SDR35SW!$A$9:$M$132,9,FALSE),
IF($A89&lt;SDR35G!$A$151,VLOOKUP($A89,SDR35G!$A$9:$M$150,9,FALSE),                                                                                                                                                                                                                                                          IF($A89&lt;SDR26G!$A$67,VLOOKUP($A89,SDR26G!$A$9:$N$66,10,FALSE),                                                                                                                                                                                                                                                       IF($A89&lt;Cements!$A$95,VLOOKUP($A89,Cements!$A$8:$Q$94,13,FALSE),
IF($A89&lt;ValveBox!$A$124,VLOOKUP($A89,ValveBox!$A$9:$O$123,11,FALSE),
IF($A89&lt;'ValveBox Components'!$A$142,VLOOKUP($A89,'ValveBox Components'!$A$9:$N$141,10,FALSE),
IF($A89&lt;Drainage!$A$69,VLOOKUP($A89,Drainage!$A$8:$M$68,9,FALSE),                                                                                                                                                                                                                                                              IF($A89&lt;Nipples!$A$82,VLOOKUP($A89,Nipples!$A$9:$Q$81,13,FALSE),
IF($A89&lt;Manifold!$A$33,VLOOKUP($A89,Manifold!$A$9:$M$32,9,FALSE),
IF($A89&lt;FlexibleRepairCouplings!$A$12,VLOOKUP($A89,FlexibleRepairCouplings!$A$9:$M$11,9,FALSE),
IF($A89&lt;DuraFix!$A$15,VLOOKUP($A89,DuraFix!$A$9:$M$14,9,FALSE),                                                                                                                                                                                                                                                          IF($A89&lt;'Compression Fittings'!$A$16,VLOOKUP($A89,'Compression Fittings'!$A$8:$M$15,9,FALSE),
IF($A89&lt;'Hose Fittings'!$A$30,VLOOKUP($A89,'Hose Fittings'!$A$8:$M$29,9,FALSE),
IF($A89&lt;'Swing Joints'!$A$495,VLOOKUP($A89,'Swing Joints'!$A$9:$M$494,9,FALSE),
IF($A89&lt;'Swing Joints Components'!$A$135,VLOOKUP($A89,'Swing Joints Components'!$A$9:$M$134,9,FALSE),
IF($A89&lt;Nonstandard!$A$42,VLOOKUP($A89,Nonstandard!$A$31:$J$41,8,FALSE),"")))))))))))))))))))))))))))),"")</f>
        <v/>
      </c>
      <c r="G89" s="533" t="str">
        <f>IFERROR(IF($A89&lt;'DWV PVC'!$A$317,VLOOKUP($A89,'DWV PVC'!$A$9:$M$316,11,FALSE),
IF($A89&lt;'DWV ABS'!$A$117,VLOOKUP($A89,'DWV ABS'!$A$8:$M$116,11,FALSE),                                                                                                                                                                                                                                                     IF($A89&lt;'PVC SCH40'!$A$425,VLOOKUP($A89,'PVC SCH40'!$A$8:$M$424,11,FALSE),
IF($A89&lt;'PVC SCH40 LD'!$A$22,VLOOKUP($A89,'PVC SCH40 LD'!$A$8:$M$21,11,FALSE),
IF($A89&lt;'Pool &amp; SPA Sweep Elbows'!$A$12,VLOOKUP($A89,'Pool &amp; SPA Sweep Elbows'!$A$8:$M$11,11,FALSE),
IF($A89&lt;'Pool &amp; SPA Pipe Extender'!$A$11,VLOOKUP($A89,'Pool &amp; SPA Pipe Extender'!$A$8:$M$10,11,FALSE),
IF($A89&lt;'PVC SCH80'!$A$250,VLOOKUP($A89,'PVC SCH80'!$A$8:$M$249,11,FALSE),
IF($A89&lt;'PVC SCH80 Flange'!$A$49,VLOOKUP($A89,'PVC SCH80 Flange'!$A$8:$M$48,11,FALSE),
IF($A89&lt;'PVC SCH80 LD Flange'!$A$17,VLOOKUP($A89,'PVC SCH80 LD Flange'!$A$8:$M$16,11,FALSE),
IF($A89&lt;CPVC!$A$105,VLOOKUP($A89,CPVC!$A$9:$M$104,11,FALSE),
IF($A89&lt;InsertFittings!$A$185,VLOOKUP($A89,InsertFittings!$A$9:$M$184,11,FALSE),
IF($A89&lt;Valves!$A$92,VLOOKUP($A89,Valves!$A$9:$Q$91,15,FALSE),
IF($A89&lt;SDR35SW!$A$133,VLOOKUP($A89,SDR35SW!$A$9:$M$132,11,FALSE),
IF($A89&lt;SDR35G!$A$151,VLOOKUP($A89,SDR35G!$A$9:$M$150,11,FALSE),                                                                                                                                                                                                                                                          IF($A89&lt;SDR26G!$A$67,VLOOKUP($A89,SDR26G!$A$9:$N$66,12,FALSE),                                                                                                                                                                                                                                                       IF($A89&lt;Cements!$A$95,VLOOKUP($A89,Cements!$A$8:$Q$94,15,FALSE),
IF($A89&lt;ValveBox!$A$124,VLOOKUP($A89,ValveBox!$A$9:$O$123,13,FALSE),
IF($A89&lt;'ValveBox Components'!$A$142,VLOOKUP($A89,'ValveBox Components'!$A$9:$N$141,12,FALSE),
IF($A89&lt;Drainage!$A$69,VLOOKUP($A89,Drainage!$A$8:$M$68,11,FALSE),                                                                                                                                                                                                                                                           IF($A89&lt;Nipples!$A$82,VLOOKUP($A89,Nipples!$A$9:$Q$81,15,FALSE),
IF($A89&lt;Manifold!$A$33,VLOOKUP($A89,Manifold!$A$9:$M$32,11,FALSE),
IF($A89&lt;FlexibleRepairCouplings!$A$12,VLOOKUP($A89,FlexibleRepairCouplings!$A$9:$M$11,11,FALSE),
IF($A89&lt;DuraFix!$A$15,VLOOKUP($A89,DuraFix!$A$9:$M$14,11,FALSE),                                                                                                                                                                                                                                                            IF($A89&lt;'Compression Fittings'!$A$16,VLOOKUP($A89,'Compression Fittings'!$A$8:$M$15,11,FALSE),
IF($A89&lt;'Hose Fittings'!$A$30,VLOOKUP($A89,'Hose Fittings'!$A$8:$M$29,11,FALSE),
IF($A89&lt;'Swing Joints'!$A$495,VLOOKUP($A89,'Swing Joints'!$A$9:$M$494,11,FALSE),
IF($A89&lt;'Swing Joints Components'!$A$135,VLOOKUP($A89,'Swing Joints Components'!$A$9:$M$134,11,FALSE),
IF($A89&lt;Nonstandard!$A$42,VLOOKUP($A89,Nonstandard!$A$31:$J$41,10,FALSE),"")))))))))))))))))))))))))))),"")</f>
        <v/>
      </c>
      <c r="H89" s="618" t="str">
        <f>IFERROR(IF($A89&lt;'DWV PVC'!$A$317,VLOOKUP($A89,'DWV PVC'!$A$9:$M$316,7,FALSE),
IF($A89&lt;'DWV ABS'!$A$117,VLOOKUP($A89,'DWV ABS'!$A$8:$M$116,11,FALSE),                                                                                                                                                                                                                                                     IF($A89&lt;'PVC SCH40'!$A$425,VLOOKUP($A89,'PVC SCH40'!$A$8:$M$424,7,FALSE),
IF($A89&lt;'PVC SCH40 LD'!$A$22,VLOOKUP($A89,'PVC SCH40 LD'!$A$8:$M$21,7,FALSE),
IF($A89&lt;'Pool &amp; SPA Sweep Elbows'!$A$12,VLOOKUP($A89,'Pool &amp; SPA Sweep Elbows'!$A$8:$M$11,7,FALSE),
IF($A89&lt;'Pool &amp; SPA Pipe Extender'!$A$11,VLOOKUP($A89,'Pool &amp; SPA Pipe Extender'!$A$8:$M$10,7,FALSE),
IF($A89&lt;'PVC SCH80'!$A$250,VLOOKUP($A89,'PVC SCH80'!$A$8:$M$249,7,FALSE),
IF($A89&lt;'PVC SCH80 Flange'!$A$49,VLOOKUP($A89,'PVC SCH80 Flange'!$A$8:$M$48,7,FALSE),
IF($A89&lt;'PVC SCH80 LD Flange'!$A$17,VLOOKUP($A89,'PVC SCH80 LD Flange'!$A$8:$M$16,7,FALSE),
IF($A89&lt;CPVC!$A$105,VLOOKUP($A89,CPVC!$A$9:$M$104,7,FALSE),
IF($A89&lt;InsertFittings!$A$185,VLOOKUP($A89,InsertFittings!$A$9:$M$184,7,FALSE),
IF($A89&lt;Valves!$A$92,VLOOKUP($A89,Valves!$A$9:$Q$91,11,FALSE),
IF($A89&lt;SDR35SW!$A$133,VLOOKUP($A89,SDR35SW!$A$9:$M$132,7,FALSE),
IF($A89&lt;SDR35G!$A$151,VLOOKUP($A89,SDR35G!$A$9:$M$150,7,FALSE),                                                                                                                                                                                                                                                       IF($A89&lt;SDR26G!$A$67,VLOOKUP($A89,SDR26G!$A$9:$N$66,8,FALSE),                                                                                                                                                                                                                                                     IF($A89&lt;Cements!$A$95,VLOOKUP($A89,Cements!$A$8:$Q$94,11,FALSE),
IF($A89&lt;ValveBox!$A$124,VLOOKUP($A89,ValveBox!$A$9:$O$123,10,FALSE),
IF($A89&lt;'ValveBox Components'!$A$142,VLOOKUP($A89,'ValveBox Components'!$A$9:$N$141,9,FALSE),
IF($A89&lt;Drainage!$A$69,VLOOKUP($A89,Drainage!$A$8:$M$68,7,FALSE),                                                                                                                                                                                                                                                          IF($A89&lt;Nipples!$A$82,VLOOKUP($A89,Nipples!$A$9:$Q$81,11,FALSE),
IF($A89&lt;Manifold!$A$33,VLOOKUP($A89,Manifold!$A$9:$M$32,7,FALSE),
IF($A89&lt;FlexibleRepairCouplings!$A$12,VLOOKUP($A89,FlexibleRepairCouplings!$A$9:$M$11,7,FALSE),
IF($A89&lt;DuraFix!$A$15,VLOOKUP($A89,DuraFix!$A$9:$M$14,7,FALSE),                                                                                                                                                                                                                                                           IF($A89&lt;'Compression Fittings'!$A$16,VLOOKUP($A89,'Compression Fittings'!$A$8:$M$15,7,FALSE),
IF($A89&lt;'Hose Fittings'!$A$30,VLOOKUP($A89,'Hose Fittings'!$A$8:$M$29,7,FALSE),
IF($A89&lt;'Swing Joints'!$A$495,VLOOKUP($A89,'Swing Joints'!$A$9:$M$494,7,FALSE),
IF($A89&lt;'Swing Joints Components'!$A$135,VLOOKUP($A89,'Swing Joints Components'!$A$9:$M$134,7,FALSE),
IF($A89&lt;Nonstandard!$A$42,VLOOKUP($A89,Nonstandard!$A$31:$J$41,10,FALSE),"")))))))))))))))))))))))))))),"")</f>
        <v/>
      </c>
      <c r="I89" s="619"/>
      <c r="J89" s="281" t="str">
        <f t="shared" si="1"/>
        <v/>
      </c>
      <c r="K89" s="313" t="str">
        <f>IFERROR(IF($A89&lt;'DWV PVC'!$A$317,VLOOKUP($A89,'DWV PVC'!$A$9:$M$316,10,FALSE),
IF($A89&lt;'DWV ABS'!$A$117,VLOOKUP($A89,'DWV ABS'!$A$8:$M$116,10,FALSE),
IF($A89&lt;'PVC SCH40'!$A$425,VLOOKUP($A89,'PVC SCH40'!$A$8:$M$424,10,FALSE),
IF($A89&lt;'PVC SCH40 LD'!$A$22,VLOOKUP($A89,'PVC SCH40 LD'!$A$8:$M$21,10,FALSE),
IF($A89&lt;'Pool &amp; SPA Sweep Elbows'!$A$12,VLOOKUP($A89,'Pool &amp; SPA Sweep Elbows'!$A$8:$M$11,10,FALSE),
IF($A89&lt;'Pool &amp; SPA Pipe Extender'!$A$11,VLOOKUP($A89,'Pool &amp; SPA Pipe Extender'!$A$8:$M$10,10,FALSE),
IF($A89&lt;'PVC SCH80'!$A$250,VLOOKUP($A89,'PVC SCH80'!$A$8:$M$249,10,FALSE),
IF($A89&lt;'PVC SCH80 Flange'!$A$49,VLOOKUP($A89,'PVC SCH80 Flange'!$A$8:$M$48,10,FALSE),
IF($A89&lt;'PVC SCH80 LD Flange'!$A$17,VLOOKUP($A89,'PVC SCH80 LD Flange'!$A$8:$M$16,10,FALSE),
IF($A89&lt;CPVC!$A$105,VLOOKUP($A89,CPVC!$A$9:$M$104,10,FALSE),
IF($A89&lt;InsertFittings!$A$185,VLOOKUP($A89,InsertFittings!$A$9:$M$184,10,FALSE),
IF($A89&lt;Valves!$A$92,VLOOKUP($A89,Valves!$A$9:$Q$91,14,FALSE),
IF($A89&lt;SDR35SW!$A$133,VLOOKUP($A89,SDR35SW!$A$9:$M$132,10,FALSE),
IF($A89&lt;SDR35G!$A$151,VLOOKUP($A89,SDR35G!$A$9:$M$150,10,FALSE),
IF($A89&lt;SDR26G!$A$67,VLOOKUP($A89,SDR26G!$A$9:$N$66,11,FALSE),
IF($A89&lt;Cements!$A$95,VLOOKUP($A89,Cements!$A$8:$Q$94,14,FALSE),
IF($A89&lt;ValveBox!$A$124,VLOOKUP($A89,ValveBox!$A$9:$O$123,12,FALSE),
IF($A89&lt;'ValveBox Components'!$A$142,VLOOKUP($A89,'ValveBox Components'!$A$9:$N$141,11,FALSE),
IF($A89&lt;Drainage!$A$69,VLOOKUP($A89,Drainage!$A$8:$M$68,10,FALSE),
IF($A89&lt;Nipples!$A$82,VLOOKUP($A89,Nipples!$A$9:$Q$81,14,FALSE),
IF($A89&lt;Manifold!$A$33,VLOOKUP($A89,Manifold!$A$9:$M$32,10,FALSE),
IF($A89&lt;FlexibleRepairCouplings!$A$12,VLOOKUP($A89,FlexibleRepairCouplings!$A$9:$M$11,10,FALSE),
IF($A89&lt;DuraFix!$A$15,VLOOKUP($A89,DuraFix!$A$9:$M$14,10,FALSE),
IF($A89&lt;'Compression Fittings'!$A$16,VLOOKUP($A89,'Compression Fittings'!$A$8:$M$15,10,FALSE),
IF($A89&lt;'Hose Fittings'!$A$30,VLOOKUP($A89,'Hose Fittings'!$A$8:$M$29,10,FALSE),
IF($A89&lt;'Swing Joints'!$A$495,VLOOKUP($A89,'Swing Joints'!$A$9:$M$494,10,FALSE),
IF($A89&lt;'Swing Joints Components'!$A$135,VLOOKUP($A89,'Swing Joints Components'!$A$9:$M$134,10,FALSE),
IF($A89&lt;Nonstandard!$A$42,VLOOKUP($A89,Nonstandard!$A$31:$J$41,10,FALSE),"")))))))))))))))))))))))))))),"")</f>
        <v/>
      </c>
      <c r="L89" s="314" t="str">
        <f t="shared" si="0"/>
        <v>-</v>
      </c>
      <c r="M89" s="315"/>
    </row>
    <row r="90" spans="1:13" ht="15.6">
      <c r="A90" s="536">
        <v>58</v>
      </c>
      <c r="B90" s="536" t="str">
        <f>IFERROR(IF($A90&lt;'DWV PVC'!$A$317,VLOOKUP($A90,'DWV PVC'!$A$9:$M$316,4,FALSE),
IF($A90&lt;'DWV ABS'!$A$117,VLOOKUP($A90,'DWV ABS'!$A$8:$M$116,4,FALSE),
IF($A90&lt;'PVC SCH40'!$A$425,VLOOKUP($A90,'PVC SCH40'!$A$8:$M$424,4,FALSE),
IF($A90&lt;'PVC SCH40 LD'!$A$22,VLOOKUP($A90,'PVC SCH40 LD'!$A$8:$M$21,4,FALSE),
IF($A90&lt;'Pool &amp; SPA Sweep Elbows'!$A$12,VLOOKUP($A90,'Pool &amp; SPA Sweep Elbows'!$A$8:$M$11,4,FALSE),
IF($A90&lt;'Pool &amp; SPA Pipe Extender'!$A$11,VLOOKUP($A90,'Pool &amp; SPA Pipe Extender'!$A$8:$M$10,4,FALSE),
IF($A90&lt;'PVC SCH80'!$A$250,VLOOKUP($A90,'PVC SCH80'!$A$8:$M$249,4,FALSE),
IF($A90&lt;'PVC SCH80 Flange'!$A$49,VLOOKUP($A90,'PVC SCH80 Flange'!$A$8:$M$48,4,FALSE),
IF($A90&lt;'PVC SCH80 LD Flange'!$A$17,VLOOKUP($A90,'PVC SCH80 LD Flange'!$A$8:$M$16,4,FALSE),
IF($A90&lt;CPVC!$A$105,VLOOKUP($A90,CPVC!$A$9:$M$104,4,FALSE),
IF($A90&lt;InsertFittings!$A$185,VLOOKUP($A90,InsertFittings!$A$9:$M$184,4,FALSE),
IF($A90&lt;Valves!$A$92,VLOOKUP($A90,Valves!$A$9:$Q$91,4,FALSE),
IF($A90&lt;SDR35SW!$A$133,VLOOKUP($A90,SDR35SW!$A$9:$M$132,4,FALSE),
IF($A90&lt;SDR35G!$A$151,VLOOKUP($A90,SDR35G!$A$9:$M$150,4,FALSE),
IF($A90&lt;SDR26G!$A$67,VLOOKUP($A90,SDR26G!$A$9:$N$66,5,FALSE),
IF($A90&lt;Cements!$A$95,VLOOKUP($A90,Cements!$A$8:$Q$94,4,FALSE),
IF($A90&lt;ValveBox!$A$124,VLOOKUP($A90,ValveBox!$A$9:$O$123,4,FALSE),
IF($A90&lt;'ValveBox Components'!$A$142,VLOOKUP($A90,'ValveBox Components'!$A$9:$N$141,4,FALSE),
IF($A90&lt;Drainage!$A$69,VLOOKUP($A90,Drainage!$A$8:$M$68,4,FALSE),
IF($A90&lt;Nipples!$A$82,VLOOKUP($A90,Nipples!$A$9:$Q$81,4,FALSE),
IF($A90&lt;Manifold!$A$33,VLOOKUP($A90,Manifold!$A$9:$M$32,4,FALSE),
IF($A90&lt;FlexibleRepairCouplings!$A$12,VLOOKUP($A90,FlexibleRepairCouplings!$A$9:$M$11,4,FALSE),
IF($A90&lt;DuraFix!$A$15,VLOOKUP($A90,DuraFix!$A$9:$M$14,4,FALSE),
IF($A90&lt;'Compression Fittings'!$A$16,VLOOKUP($A90,'Compression Fittings'!$A$8:$M$15,4,FALSE),
IF($A90&lt;'Hose Fittings'!$A$30,VLOOKUP($A90,'Hose Fittings'!$A$8:$M$29,4,FALSE),
IF($A90&lt;'Swing Joints'!$A$495,VLOOKUP($A90,'Swing Joints'!$A$9:$M$494,4,FALSE),
IF($A90&lt;'Swing Joints Components'!$A$135,VLOOKUP($A90,'Swing Joints Components'!$A$9:$M$134,4,FALSE),
IF($A90&lt;Nonstandard!$A$42,VLOOKUP($A90,Nonstandard!$A$31:$J$41,5,FALSE),"")))))))))))))))))))))))))))),"")</f>
        <v/>
      </c>
      <c r="C90" s="536" t="str">
        <f>IFERROR(IF($A90&lt;'DWV PVC'!$A$317,VLOOKUP($A90,'DWV PVC'!$A$9:$M$316,5,FALSE),
IF($A90&lt;'DWV ABS'!$A$117,VLOOKUP($A90,'DWV ABS'!$A$8:$M$116,5,FALSE),
IF($A90&lt;'PVC SCH40'!$A$425,VLOOKUP($A90,'PVC SCH40'!$A$8:$M$424,5,FALSE),
IF($A90&lt;'PVC SCH40 LD'!$A$22,VLOOKUP($A90,'PVC SCH40 LD'!$A$8:$M$21,5,FALSE),
IF($A90&lt;'Pool &amp; SPA Sweep Elbows'!$A$12,VLOOKUP($A90,'Pool &amp; SPA Sweep Elbows'!$A$8:$M$11,5,FALSE),
IF($A90&lt;'Pool &amp; SPA Pipe Extender'!$A$11,VLOOKUP($A90,'Pool &amp; SPA Pipe Extender'!$A$8:$M$10,5,FALSE),
IF($A90&lt;'PVC SCH80'!$A$250,VLOOKUP($A90,'PVC SCH80'!$A$8:$M$249,5,FALSE),
IF($A90&lt;'PVC SCH80 Flange'!$A$49,VLOOKUP($A90,'PVC SCH80 Flange'!$A$8:$M$48,5,FALSE),
IF($A90&lt;'PVC SCH80 LD Flange'!$A$17,VLOOKUP($A90,'PVC SCH80 LD Flange'!$A$8:$M$16,5,FALSE),
IF($A90&lt;CPVC!$A$105,VLOOKUP($A90,CPVC!$A$9:$M$104,5,FALSE),
IF($A90&lt;InsertFittings!$A$185,VLOOKUP($A90,InsertFittings!$A$9:$M$184,5,FALSE),
IF($A90&lt;Valves!$A$92,VLOOKUP($A90,Valves!$A$9:$Q$91,5,FALSE),
IF($A90&lt;SDR35SW!$A$133,VLOOKUP($A90,SDR35SW!$A$9:$M$132,5,FALSE),
IF($A90&lt;SDR35G!$A$151,VLOOKUP($A90,SDR35G!$A$9:$M$150,5,FALSE),
IF($A90&lt;SDR26G!$A$67,VLOOKUP($A90,SDR26G!$A$9:$N$66,6,FALSE),
IF($A90&lt;Cements!$A$95,VLOOKUP($A90,Cements!$A$8:$Q$94,5,FALSE),
IF($A90&lt;ValveBox!$A$124,VLOOKUP($A90,ValveBox!$A$9:$O$123,5,FALSE),
IF($A90&lt;'ValveBox Components'!$A$142,VLOOKUP($A90,'ValveBox Components'!$A$9:$N$141,5,FALSE),
IF($A90&lt;Drainage!$A$69,VLOOKUP($A90,Drainage!$A$8:$M$68,5,FALSE),
IF($A90&lt;Nipples!$A$82,VLOOKUP($A90,Nipples!$A$9:$Q$81,5,FALSE),
IF($A90&lt;Manifold!$A$33,VLOOKUP($A90,Manifold!$A$9:$M$32,5,FALSE),
IF($A90&lt;FlexibleRepairCouplings!$A$12,VLOOKUP($A90,FlexibleRepairCouplings!$A$9:$M$11,5,FALSE),
IF($A90&lt;DuraFix!$A$15,VLOOKUP($A90,DuraFix!$A$9:$M$14,5,FALSE),
IF($A90&lt;'Compression Fittings'!$A$16,VLOOKUP($A90,'Compression Fittings'!$A$8:$M$15,5,FALSE),
IF($A90&lt;'Hose Fittings'!$A$30,VLOOKUP($A90,'Hose Fittings'!$A$8:$M$29,5,FALSE),
IF($A90&lt;'Swing Joints'!$A$495,VLOOKUP($A90,'Swing Joints'!$A$9:$M$494,5,FALSE),
IF($A90&lt;'Swing Joints Components'!$A$135,VLOOKUP($A90,'Swing Joints Components'!$A$9:$M$134,5,FALSE),
IF($A90&lt;Nonstandard!$A$42,VLOOKUP($A90,Nonstandard!$A$31:$J$41,6,FALSE),"")))))))))))))))))))))))))))),"")</f>
        <v/>
      </c>
      <c r="D90" s="537" t="str">
        <f>IFERROR(IF($A90&lt;'DWV PVC'!$A$317,VLOOKUP($A90,'DWV PVC'!$A$9:$M$316,6,FALSE),
IF($A90&lt;'DWV ABS'!$A$117,VLOOKUP($A90,'DWV ABS'!$A$8:$M$116,6,FALSE),
IF($A90&lt;'PVC SCH40'!$A$425,VLOOKUP($A90,'PVC SCH40'!$A$8:$M$424,6,FALSE),
IF($A90&lt;'PVC SCH40 LD'!$A$22,VLOOKUP($A90,'PVC SCH40 LD'!$A$8:$M$21,6,FALSE),
IF($A90&lt;'Pool &amp; SPA Sweep Elbows'!$A$12,VLOOKUP($A90,'Pool &amp; SPA Sweep Elbows'!$A$8:$M$11,6,FALSE),
IF($A90&lt;'Pool &amp; SPA Pipe Extender'!$A$11,VLOOKUP($A90,'Pool &amp; SPA Pipe Extender'!$A$8:$M$10,6,FALSE),
IF($A90&lt;'PVC SCH80'!$A$250,VLOOKUP($A90,'PVC SCH80'!$A$8:$M$249,6,FALSE),
IF($A90&lt;'PVC SCH80 Flange'!$A$49,VLOOKUP($A90,'PVC SCH80 Flange'!$A$8:$M$48,6,FALSE),
IF($A90&lt;'PVC SCH80 LD Flange'!$A$17,VLOOKUP($A90,'PVC SCH80 LD Flange'!$A$8:$M$16,6,FALSE),
IF($A90&lt;CPVC!$A$105,VLOOKUP($A90,CPVC!$A$9:$M$104,6,FALSE),
IF($A90&lt;InsertFittings!$A$185,VLOOKUP($A90,InsertFittings!$A$9:$M$184,6,FALSE),
IF($A90&lt;Valves!$A$92,VLOOKUP($A90,Valves!$A$9:$Q$91,6,FALSE),
IF($A90&lt;SDR35SW!$A$133,VLOOKUP($A90,SDR35SW!$A$9:$M$132,6,FALSE),
IF($A90&lt;SDR35G!$A$151,VLOOKUP($A90,SDR35G!$A$9:$M$150,6,FALSE),
IF($A90&lt;SDR26G!$A$67,VLOOKUP($A90,SDR26G!$A$9:$N$66,7,FALSE),
IF($A90&lt;Cements!$A$95,VLOOKUP($A90,Cements!$A$8:$Q$94,6,FALSE),
IF($A90&lt;ValveBox!$A$124,VLOOKUP($A90,ValveBox!$A$9:$O$123,6,FALSE),
IF($A90&lt;'ValveBox Components'!$A$142,VLOOKUP($A90,'ValveBox Components'!$A$9:$N$141,6,FALSE),
IF($A90&lt;Drainage!$A$69,VLOOKUP($A90,Drainage!$A$8:$M$68,6,FALSE),
IF($A90&lt;Nipples!$A$82,VLOOKUP($A90,Nipples!$A$9:$Q$81,6,FALSE),
IF($A90&lt;Manifold!$A$33,VLOOKUP($A90,Manifold!$A$9:$M$32,6,FALSE),
IF($A90&lt;FlexibleRepairCouplings!$A$12,VLOOKUP($A90,FlexibleRepairCouplings!$A$9:$M$11,6,FALSE),
IF($A90&lt;DuraFix!$A$15,VLOOKUP($A90,DuraFix!$A$9:$M$14,6,FALSE),
IF($A90&lt;'Compression Fittings'!$A$16,VLOOKUP($A90,'Compression Fittings'!$A$8:$M$15,6,FALSE),
IF($A90&lt;'Hose Fittings'!$A$30,VLOOKUP($A90,'Hose Fittings'!$A$8:$M$29,6,FALSE),
IF($A90&lt;'Swing Joints'!$A$495,VLOOKUP($A90,'Swing Joints'!$A$9:$M$494,6,FALSE),
IF($A90&lt;'Swing Joints Components'!$A$135,VLOOKUP($A90,'Swing Joints Components'!$A$9:$M$134,6,FALSE),
IF($A90&lt;Nonstandard!$A$42,VLOOKUP($A90,Nonstandard!$A$31:$J$41,7,FALSE),"")))))))))))))))))))))))))))),"")</f>
        <v/>
      </c>
      <c r="E90" s="538"/>
      <c r="F90" s="539" t="str">
        <f>IFERROR(IF($A90&lt;'DWV PVC'!$A$317,VLOOKUP($A90,'DWV PVC'!$A$9:$M$316,9,FALSE),
IF($A90&lt;'DWV ABS'!$A$117,VLOOKUP($A90,'DWV ABS'!$A$8:$M$116,9,FALSE),                                                                                                                                                                                                                                                     IF($A90&lt;'PVC SCH40'!$A$425,VLOOKUP($A90,'PVC SCH40'!$A$8:$M$424,9,FALSE),
IF($A90&lt;'PVC SCH40 LD'!$A$22,VLOOKUP($A90,'PVC SCH40 LD'!$A$8:$M$21,9,FALSE),
IF($A90&lt;'Pool &amp; SPA Sweep Elbows'!$A$12,VLOOKUP($A90,'Pool &amp; SPA Sweep Elbows'!$A$8:$M$11,9,FALSE),
IF($A90&lt;'Pool &amp; SPA Pipe Extender'!$A$11,VLOOKUP($A90,'Pool &amp; SPA Pipe Extender'!$A$8:$M$10,9,FALSE),
IF($A90&lt;'PVC SCH80'!$A$250,VLOOKUP($A90,'PVC SCH80'!$A$8:$M$249,9,FALSE),
IF($A90&lt;'PVC SCH80 Flange'!$A$49,VLOOKUP($A90,'PVC SCH80 Flange'!$A$8:$M$48,9,FALSE),
IF($A90&lt;'PVC SCH80 LD Flange'!$A$17,VLOOKUP($A90,'PVC SCH80 LD Flange'!$A$8:$M$16,9,FALSE),
IF($A90&lt;CPVC!$A$105,VLOOKUP($A90,CPVC!$A$9:$M$104,9,FALSE),
IF($A90&lt;InsertFittings!$A$185,VLOOKUP($A90,InsertFittings!$A$9:$M$184,9,FALSE),
IF($A90&lt;Valves!$A$92,VLOOKUP($A90,Valves!$A$9:$Q$91,13,FALSE),
IF($A90&lt;SDR35SW!$A$133,VLOOKUP($A90,SDR35SW!$A$9:$M$132,9,FALSE),
IF($A90&lt;SDR35G!$A$151,VLOOKUP($A90,SDR35G!$A$9:$M$150,9,FALSE),                                                                                                                                                                                                                                                          IF($A90&lt;SDR26G!$A$67,VLOOKUP($A90,SDR26G!$A$9:$N$66,10,FALSE),                                                                                                                                                                                                                                                       IF($A90&lt;Cements!$A$95,VLOOKUP($A90,Cements!$A$8:$Q$94,13,FALSE),
IF($A90&lt;ValveBox!$A$124,VLOOKUP($A90,ValveBox!$A$9:$O$123,11,FALSE),
IF($A90&lt;'ValveBox Components'!$A$142,VLOOKUP($A90,'ValveBox Components'!$A$9:$N$141,10,FALSE),
IF($A90&lt;Drainage!$A$69,VLOOKUP($A90,Drainage!$A$8:$M$68,9,FALSE),                                                                                                                                                                                                                                                              IF($A90&lt;Nipples!$A$82,VLOOKUP($A90,Nipples!$A$9:$Q$81,13,FALSE),
IF($A90&lt;Manifold!$A$33,VLOOKUP($A90,Manifold!$A$9:$M$32,9,FALSE),
IF($A90&lt;FlexibleRepairCouplings!$A$12,VLOOKUP($A90,FlexibleRepairCouplings!$A$9:$M$11,9,FALSE),
IF($A90&lt;DuraFix!$A$15,VLOOKUP($A90,DuraFix!$A$9:$M$14,9,FALSE),                                                                                                                                                                                                                                                          IF($A90&lt;'Compression Fittings'!$A$16,VLOOKUP($A90,'Compression Fittings'!$A$8:$M$15,9,FALSE),
IF($A90&lt;'Hose Fittings'!$A$30,VLOOKUP($A90,'Hose Fittings'!$A$8:$M$29,9,FALSE),
IF($A90&lt;'Swing Joints'!$A$495,VLOOKUP($A90,'Swing Joints'!$A$9:$M$494,9,FALSE),
IF($A90&lt;'Swing Joints Components'!$A$135,VLOOKUP($A90,'Swing Joints Components'!$A$9:$M$134,9,FALSE),
IF($A90&lt;Nonstandard!$A$42,VLOOKUP($A90,Nonstandard!$A$31:$J$41,8,FALSE),"")))))))))))))))))))))))))))),"")</f>
        <v/>
      </c>
      <c r="G90" s="540" t="str">
        <f>IFERROR(IF($A90&lt;'DWV PVC'!$A$317,VLOOKUP($A90,'DWV PVC'!$A$9:$M$316,11,FALSE),
IF($A90&lt;'DWV ABS'!$A$117,VLOOKUP($A90,'DWV ABS'!$A$8:$M$116,11,FALSE),                                                                                                                                                                                                                                                     IF($A90&lt;'PVC SCH40'!$A$425,VLOOKUP($A90,'PVC SCH40'!$A$8:$M$424,11,FALSE),
IF($A90&lt;'PVC SCH40 LD'!$A$22,VLOOKUP($A90,'PVC SCH40 LD'!$A$8:$M$21,11,FALSE),
IF($A90&lt;'Pool &amp; SPA Sweep Elbows'!$A$12,VLOOKUP($A90,'Pool &amp; SPA Sweep Elbows'!$A$8:$M$11,11,FALSE),
IF($A90&lt;'Pool &amp; SPA Pipe Extender'!$A$11,VLOOKUP($A90,'Pool &amp; SPA Pipe Extender'!$A$8:$M$10,11,FALSE),
IF($A90&lt;'PVC SCH80'!$A$250,VLOOKUP($A90,'PVC SCH80'!$A$8:$M$249,11,FALSE),
IF($A90&lt;'PVC SCH80 Flange'!$A$49,VLOOKUP($A90,'PVC SCH80 Flange'!$A$8:$M$48,11,FALSE),
IF($A90&lt;'PVC SCH80 LD Flange'!$A$17,VLOOKUP($A90,'PVC SCH80 LD Flange'!$A$8:$M$16,11,FALSE),
IF($A90&lt;CPVC!$A$105,VLOOKUP($A90,CPVC!$A$9:$M$104,11,FALSE),
IF($A90&lt;InsertFittings!$A$185,VLOOKUP($A90,InsertFittings!$A$9:$M$184,11,FALSE),
IF($A90&lt;Valves!$A$92,VLOOKUP($A90,Valves!$A$9:$Q$91,15,FALSE),
IF($A90&lt;SDR35SW!$A$133,VLOOKUP($A90,SDR35SW!$A$9:$M$132,11,FALSE),
IF($A90&lt;SDR35G!$A$151,VLOOKUP($A90,SDR35G!$A$9:$M$150,11,FALSE),                                                                                                                                                                                                                                                          IF($A90&lt;SDR26G!$A$67,VLOOKUP($A90,SDR26G!$A$9:$N$66,12,FALSE),                                                                                                                                                                                                                                                       IF($A90&lt;Cements!$A$95,VLOOKUP($A90,Cements!$A$8:$Q$94,15,FALSE),
IF($A90&lt;ValveBox!$A$124,VLOOKUP($A90,ValveBox!$A$9:$O$123,13,FALSE),
IF($A90&lt;'ValveBox Components'!$A$142,VLOOKUP($A90,'ValveBox Components'!$A$9:$N$141,12,FALSE),
IF($A90&lt;Drainage!$A$69,VLOOKUP($A90,Drainage!$A$8:$M$68,11,FALSE),                                                                                                                                                                                                                                                           IF($A90&lt;Nipples!$A$82,VLOOKUP($A90,Nipples!$A$9:$Q$81,15,FALSE),
IF($A90&lt;Manifold!$A$33,VLOOKUP($A90,Manifold!$A$9:$M$32,11,FALSE),
IF($A90&lt;FlexibleRepairCouplings!$A$12,VLOOKUP($A90,FlexibleRepairCouplings!$A$9:$M$11,11,FALSE),
IF($A90&lt;DuraFix!$A$15,VLOOKUP($A90,DuraFix!$A$9:$M$14,11,FALSE),                                                                                                                                                                                                                                                            IF($A90&lt;'Compression Fittings'!$A$16,VLOOKUP($A90,'Compression Fittings'!$A$8:$M$15,11,FALSE),
IF($A90&lt;'Hose Fittings'!$A$30,VLOOKUP($A90,'Hose Fittings'!$A$8:$M$29,11,FALSE),
IF($A90&lt;'Swing Joints'!$A$495,VLOOKUP($A90,'Swing Joints'!$A$9:$M$494,11,FALSE),
IF($A90&lt;'Swing Joints Components'!$A$135,VLOOKUP($A90,'Swing Joints Components'!$A$9:$M$134,11,FALSE),
IF($A90&lt;Nonstandard!$A$42,VLOOKUP($A90,Nonstandard!$A$31:$J$41,10,FALSE),"")))))))))))))))))))))))))))),"")</f>
        <v/>
      </c>
      <c r="H90" s="620" t="str">
        <f>IFERROR(IF($A90&lt;'DWV PVC'!$A$317,VLOOKUP($A90,'DWV PVC'!$A$9:$M$316,7,FALSE),
IF($A90&lt;'DWV ABS'!$A$117,VLOOKUP($A90,'DWV ABS'!$A$8:$M$116,11,FALSE),                                                                                                                                                                                                                                                     IF($A90&lt;'PVC SCH40'!$A$425,VLOOKUP($A90,'PVC SCH40'!$A$8:$M$424,7,FALSE),
IF($A90&lt;'PVC SCH40 LD'!$A$22,VLOOKUP($A90,'PVC SCH40 LD'!$A$8:$M$21,7,FALSE),
IF($A90&lt;'Pool &amp; SPA Sweep Elbows'!$A$12,VLOOKUP($A90,'Pool &amp; SPA Sweep Elbows'!$A$8:$M$11,7,FALSE),
IF($A90&lt;'Pool &amp; SPA Pipe Extender'!$A$11,VLOOKUP($A90,'Pool &amp; SPA Pipe Extender'!$A$8:$M$10,7,FALSE),
IF($A90&lt;'PVC SCH80'!$A$250,VLOOKUP($A90,'PVC SCH80'!$A$8:$M$249,7,FALSE),
IF($A90&lt;'PVC SCH80 Flange'!$A$49,VLOOKUP($A90,'PVC SCH80 Flange'!$A$8:$M$48,7,FALSE),
IF($A90&lt;'PVC SCH80 LD Flange'!$A$17,VLOOKUP($A90,'PVC SCH80 LD Flange'!$A$8:$M$16,7,FALSE),
IF($A90&lt;CPVC!$A$105,VLOOKUP($A90,CPVC!$A$9:$M$104,7,FALSE),
IF($A90&lt;InsertFittings!$A$185,VLOOKUP($A90,InsertFittings!$A$9:$M$184,7,FALSE),
IF($A90&lt;Valves!$A$92,VLOOKUP($A90,Valves!$A$9:$Q$91,11,FALSE),
IF($A90&lt;SDR35SW!$A$133,VLOOKUP($A90,SDR35SW!$A$9:$M$132,7,FALSE),
IF($A90&lt;SDR35G!$A$151,VLOOKUP($A90,SDR35G!$A$9:$M$150,7,FALSE),                                                                                                                                                                                                                                                       IF($A90&lt;SDR26G!$A$67,VLOOKUP($A90,SDR26G!$A$9:$N$66,8,FALSE),                                                                                                                                                                                                                                                     IF($A90&lt;Cements!$A$95,VLOOKUP($A90,Cements!$A$8:$Q$94,11,FALSE),
IF($A90&lt;ValveBox!$A$124,VLOOKUP($A90,ValveBox!$A$9:$O$123,10,FALSE),
IF($A90&lt;'ValveBox Components'!$A$142,VLOOKUP($A90,'ValveBox Components'!$A$9:$N$141,9,FALSE),
IF($A90&lt;Drainage!$A$69,VLOOKUP($A90,Drainage!$A$8:$M$68,7,FALSE),                                                                                                                                                                                                                                                          IF($A90&lt;Nipples!$A$82,VLOOKUP($A90,Nipples!$A$9:$Q$81,11,FALSE),
IF($A90&lt;Manifold!$A$33,VLOOKUP($A90,Manifold!$A$9:$M$32,7,FALSE),
IF($A90&lt;FlexibleRepairCouplings!$A$12,VLOOKUP($A90,FlexibleRepairCouplings!$A$9:$M$11,7,FALSE),
IF($A90&lt;DuraFix!$A$15,VLOOKUP($A90,DuraFix!$A$9:$M$14,7,FALSE),                                                                                                                                                                                                                                                           IF($A90&lt;'Compression Fittings'!$A$16,VLOOKUP($A90,'Compression Fittings'!$A$8:$M$15,7,FALSE),
IF($A90&lt;'Hose Fittings'!$A$30,VLOOKUP($A90,'Hose Fittings'!$A$8:$M$29,7,FALSE),
IF($A90&lt;'Swing Joints'!$A$495,VLOOKUP($A90,'Swing Joints'!$A$9:$M$494,7,FALSE),
IF($A90&lt;'Swing Joints Components'!$A$135,VLOOKUP($A90,'Swing Joints Components'!$A$9:$M$134,7,FALSE),
IF($A90&lt;Nonstandard!$A$42,VLOOKUP($A90,Nonstandard!$A$31:$J$41,10,FALSE),"")))))))))))))))))))))))))))),"")</f>
        <v/>
      </c>
      <c r="I90" s="621"/>
      <c r="J90" s="541" t="str">
        <f t="shared" si="1"/>
        <v/>
      </c>
      <c r="K90" s="599" t="str">
        <f>IFERROR(IF($A90&lt;'DWV PVC'!$A$317,VLOOKUP($A90,'DWV PVC'!$A$9:$M$316,10,FALSE),
IF($A90&lt;'DWV ABS'!$A$117,VLOOKUP($A90,'DWV ABS'!$A$8:$M$116,10,FALSE),
IF($A90&lt;'PVC SCH40'!$A$425,VLOOKUP($A90,'PVC SCH40'!$A$8:$M$424,10,FALSE),
IF($A90&lt;'PVC SCH40 LD'!$A$22,VLOOKUP($A90,'PVC SCH40 LD'!$A$8:$M$21,10,FALSE),
IF($A90&lt;'Pool &amp; SPA Sweep Elbows'!$A$12,VLOOKUP($A90,'Pool &amp; SPA Sweep Elbows'!$A$8:$M$11,10,FALSE),
IF($A90&lt;'Pool &amp; SPA Pipe Extender'!$A$11,VLOOKUP($A90,'Pool &amp; SPA Pipe Extender'!$A$8:$M$10,10,FALSE),
IF($A90&lt;'PVC SCH80'!$A$250,VLOOKUP($A90,'PVC SCH80'!$A$8:$M$249,10,FALSE),
IF($A90&lt;'PVC SCH80 Flange'!$A$49,VLOOKUP($A90,'PVC SCH80 Flange'!$A$8:$M$48,10,FALSE),
IF($A90&lt;'PVC SCH80 LD Flange'!$A$17,VLOOKUP($A90,'PVC SCH80 LD Flange'!$A$8:$M$16,10,FALSE),
IF($A90&lt;CPVC!$A$105,VLOOKUP($A90,CPVC!$A$9:$M$104,10,FALSE),
IF($A90&lt;InsertFittings!$A$185,VLOOKUP($A90,InsertFittings!$A$9:$M$184,10,FALSE),
IF($A90&lt;Valves!$A$92,VLOOKUP($A90,Valves!$A$9:$Q$91,14,FALSE),
IF($A90&lt;SDR35SW!$A$133,VLOOKUP($A90,SDR35SW!$A$9:$M$132,10,FALSE),
IF($A90&lt;SDR35G!$A$151,VLOOKUP($A90,SDR35G!$A$9:$M$150,10,FALSE),
IF($A90&lt;SDR26G!$A$67,VLOOKUP($A90,SDR26G!$A$9:$N$66,11,FALSE),
IF($A90&lt;Cements!$A$95,VLOOKUP($A90,Cements!$A$8:$Q$94,14,FALSE),
IF($A90&lt;ValveBox!$A$124,VLOOKUP($A90,ValveBox!$A$9:$O$123,12,FALSE),
IF($A90&lt;'ValveBox Components'!$A$142,VLOOKUP($A90,'ValveBox Components'!$A$9:$N$141,11,FALSE),
IF($A90&lt;Drainage!$A$69,VLOOKUP($A90,Drainage!$A$8:$M$68,10,FALSE),
IF($A90&lt;Nipples!$A$82,VLOOKUP($A90,Nipples!$A$9:$Q$81,14,FALSE),
IF($A90&lt;Manifold!$A$33,VLOOKUP($A90,Manifold!$A$9:$M$32,10,FALSE),
IF($A90&lt;FlexibleRepairCouplings!$A$12,VLOOKUP($A90,FlexibleRepairCouplings!$A$9:$M$11,10,FALSE),
IF($A90&lt;DuraFix!$A$15,VLOOKUP($A90,DuraFix!$A$9:$M$14,10,FALSE),
IF($A90&lt;'Compression Fittings'!$A$16,VLOOKUP($A90,'Compression Fittings'!$A$8:$M$15,10,FALSE),
IF($A90&lt;'Hose Fittings'!$A$30,VLOOKUP($A90,'Hose Fittings'!$A$8:$M$29,10,FALSE),
IF($A90&lt;'Swing Joints'!$A$495,VLOOKUP($A90,'Swing Joints'!$A$9:$M$494,10,FALSE),
IF($A90&lt;'Swing Joints Components'!$A$135,VLOOKUP($A90,'Swing Joints Components'!$A$9:$M$134,10,FALSE),
IF($A90&lt;Nonstandard!$A$42,VLOOKUP($A90,Nonstandard!$A$31:$J$41,10,FALSE),"")))))))))))))))))))))))))))),"")</f>
        <v/>
      </c>
      <c r="L90" s="539" t="str">
        <f t="shared" si="0"/>
        <v>-</v>
      </c>
      <c r="M90" s="542"/>
    </row>
    <row r="91" spans="1:13" ht="15.6">
      <c r="A91" s="312">
        <v>59</v>
      </c>
      <c r="B91" s="312" t="str">
        <f>IFERROR(IF($A91&lt;'DWV PVC'!$A$317,VLOOKUP($A91,'DWV PVC'!$A$9:$M$316,4,FALSE),
IF($A91&lt;'DWV ABS'!$A$117,VLOOKUP($A91,'DWV ABS'!$A$8:$M$116,4,FALSE),
IF($A91&lt;'PVC SCH40'!$A$425,VLOOKUP($A91,'PVC SCH40'!$A$8:$M$424,4,FALSE),
IF($A91&lt;'PVC SCH40 LD'!$A$22,VLOOKUP($A91,'PVC SCH40 LD'!$A$8:$M$21,4,FALSE),
IF($A91&lt;'Pool &amp; SPA Sweep Elbows'!$A$12,VLOOKUP($A91,'Pool &amp; SPA Sweep Elbows'!$A$8:$M$11,4,FALSE),
IF($A91&lt;'Pool &amp; SPA Pipe Extender'!$A$11,VLOOKUP($A91,'Pool &amp; SPA Pipe Extender'!$A$8:$M$10,4,FALSE),
IF($A91&lt;'PVC SCH80'!$A$250,VLOOKUP($A91,'PVC SCH80'!$A$8:$M$249,4,FALSE),
IF($A91&lt;'PVC SCH80 Flange'!$A$49,VLOOKUP($A91,'PVC SCH80 Flange'!$A$8:$M$48,4,FALSE),
IF($A91&lt;'PVC SCH80 LD Flange'!$A$17,VLOOKUP($A91,'PVC SCH80 LD Flange'!$A$8:$M$16,4,FALSE),
IF($A91&lt;CPVC!$A$105,VLOOKUP($A91,CPVC!$A$9:$M$104,4,FALSE),
IF($A91&lt;InsertFittings!$A$185,VLOOKUP($A91,InsertFittings!$A$9:$M$184,4,FALSE),
IF($A91&lt;Valves!$A$92,VLOOKUP($A91,Valves!$A$9:$Q$91,4,FALSE),
IF($A91&lt;SDR35SW!$A$133,VLOOKUP($A91,SDR35SW!$A$9:$M$132,4,FALSE),
IF($A91&lt;SDR35G!$A$151,VLOOKUP($A91,SDR35G!$A$9:$M$150,4,FALSE),
IF($A91&lt;SDR26G!$A$67,VLOOKUP($A91,SDR26G!$A$9:$N$66,5,FALSE),
IF($A91&lt;Cements!$A$95,VLOOKUP($A91,Cements!$A$8:$Q$94,4,FALSE),
IF($A91&lt;ValveBox!$A$124,VLOOKUP($A91,ValveBox!$A$9:$O$123,4,FALSE),
IF($A91&lt;'ValveBox Components'!$A$142,VLOOKUP($A91,'ValveBox Components'!$A$9:$N$141,4,FALSE),
IF($A91&lt;Drainage!$A$69,VLOOKUP($A91,Drainage!$A$8:$M$68,4,FALSE),
IF($A91&lt;Nipples!$A$82,VLOOKUP($A91,Nipples!$A$9:$Q$81,4,FALSE),
IF($A91&lt;Manifold!$A$33,VLOOKUP($A91,Manifold!$A$9:$M$32,4,FALSE),
IF($A91&lt;FlexibleRepairCouplings!$A$12,VLOOKUP($A91,FlexibleRepairCouplings!$A$9:$M$11,4,FALSE),
IF($A91&lt;DuraFix!$A$15,VLOOKUP($A91,DuraFix!$A$9:$M$14,4,FALSE),
IF($A91&lt;'Compression Fittings'!$A$16,VLOOKUP($A91,'Compression Fittings'!$A$8:$M$15,4,FALSE),
IF($A91&lt;'Hose Fittings'!$A$30,VLOOKUP($A91,'Hose Fittings'!$A$8:$M$29,4,FALSE),
IF($A91&lt;'Swing Joints'!$A$495,VLOOKUP($A91,'Swing Joints'!$A$9:$M$494,4,FALSE),
IF($A91&lt;'Swing Joints Components'!$A$135,VLOOKUP($A91,'Swing Joints Components'!$A$9:$M$134,4,FALSE),
IF($A91&lt;Nonstandard!$A$42,VLOOKUP($A91,Nonstandard!$A$31:$J$41,5,FALSE),"")))))))))))))))))))))))))))),"")</f>
        <v/>
      </c>
      <c r="C91" s="312" t="str">
        <f>IFERROR(IF($A91&lt;'DWV PVC'!$A$317,VLOOKUP($A91,'DWV PVC'!$A$9:$M$316,5,FALSE),
IF($A91&lt;'DWV ABS'!$A$117,VLOOKUP($A91,'DWV ABS'!$A$8:$M$116,5,FALSE),
IF($A91&lt;'PVC SCH40'!$A$425,VLOOKUP($A91,'PVC SCH40'!$A$8:$M$424,5,FALSE),
IF($A91&lt;'PVC SCH40 LD'!$A$22,VLOOKUP($A91,'PVC SCH40 LD'!$A$8:$M$21,5,FALSE),
IF($A91&lt;'Pool &amp; SPA Sweep Elbows'!$A$12,VLOOKUP($A91,'Pool &amp; SPA Sweep Elbows'!$A$8:$M$11,5,FALSE),
IF($A91&lt;'Pool &amp; SPA Pipe Extender'!$A$11,VLOOKUP($A91,'Pool &amp; SPA Pipe Extender'!$A$8:$M$10,5,FALSE),
IF($A91&lt;'PVC SCH80'!$A$250,VLOOKUP($A91,'PVC SCH80'!$A$8:$M$249,5,FALSE),
IF($A91&lt;'PVC SCH80 Flange'!$A$49,VLOOKUP($A91,'PVC SCH80 Flange'!$A$8:$M$48,5,FALSE),
IF($A91&lt;'PVC SCH80 LD Flange'!$A$17,VLOOKUP($A91,'PVC SCH80 LD Flange'!$A$8:$M$16,5,FALSE),
IF($A91&lt;CPVC!$A$105,VLOOKUP($A91,CPVC!$A$9:$M$104,5,FALSE),
IF($A91&lt;InsertFittings!$A$185,VLOOKUP($A91,InsertFittings!$A$9:$M$184,5,FALSE),
IF($A91&lt;Valves!$A$92,VLOOKUP($A91,Valves!$A$9:$Q$91,5,FALSE),
IF($A91&lt;SDR35SW!$A$133,VLOOKUP($A91,SDR35SW!$A$9:$M$132,5,FALSE),
IF($A91&lt;SDR35G!$A$151,VLOOKUP($A91,SDR35G!$A$9:$M$150,5,FALSE),
IF($A91&lt;SDR26G!$A$67,VLOOKUP($A91,SDR26G!$A$9:$N$66,6,FALSE),
IF($A91&lt;Cements!$A$95,VLOOKUP($A91,Cements!$A$8:$Q$94,5,FALSE),
IF($A91&lt;ValveBox!$A$124,VLOOKUP($A91,ValveBox!$A$9:$O$123,5,FALSE),
IF($A91&lt;'ValveBox Components'!$A$142,VLOOKUP($A91,'ValveBox Components'!$A$9:$N$141,5,FALSE),
IF($A91&lt;Drainage!$A$69,VLOOKUP($A91,Drainage!$A$8:$M$68,5,FALSE),
IF($A91&lt;Nipples!$A$82,VLOOKUP($A91,Nipples!$A$9:$Q$81,5,FALSE),
IF($A91&lt;Manifold!$A$33,VLOOKUP($A91,Manifold!$A$9:$M$32,5,FALSE),
IF($A91&lt;FlexibleRepairCouplings!$A$12,VLOOKUP($A91,FlexibleRepairCouplings!$A$9:$M$11,5,FALSE),
IF($A91&lt;DuraFix!$A$15,VLOOKUP($A91,DuraFix!$A$9:$M$14,5,FALSE),
IF($A91&lt;'Compression Fittings'!$A$16,VLOOKUP($A91,'Compression Fittings'!$A$8:$M$15,5,FALSE),
IF($A91&lt;'Hose Fittings'!$A$30,VLOOKUP($A91,'Hose Fittings'!$A$8:$M$29,5,FALSE),
IF($A91&lt;'Swing Joints'!$A$495,VLOOKUP($A91,'Swing Joints'!$A$9:$M$494,5,FALSE),
IF($A91&lt;'Swing Joints Components'!$A$135,VLOOKUP($A91,'Swing Joints Components'!$A$9:$M$134,5,FALSE),
IF($A91&lt;Nonstandard!$A$42,VLOOKUP($A91,Nonstandard!$A$31:$J$41,6,FALSE),"")))))))))))))))))))))))))))),"")</f>
        <v/>
      </c>
      <c r="D91" s="534" t="str">
        <f>IFERROR(IF($A91&lt;'DWV PVC'!$A$317,VLOOKUP($A91,'DWV PVC'!$A$9:$M$316,6,FALSE),
IF($A91&lt;'DWV ABS'!$A$117,VLOOKUP($A91,'DWV ABS'!$A$8:$M$116,6,FALSE),
IF($A91&lt;'PVC SCH40'!$A$425,VLOOKUP($A91,'PVC SCH40'!$A$8:$M$424,6,FALSE),
IF($A91&lt;'PVC SCH40 LD'!$A$22,VLOOKUP($A91,'PVC SCH40 LD'!$A$8:$M$21,6,FALSE),
IF($A91&lt;'Pool &amp; SPA Sweep Elbows'!$A$12,VLOOKUP($A91,'Pool &amp; SPA Sweep Elbows'!$A$8:$M$11,6,FALSE),
IF($A91&lt;'Pool &amp; SPA Pipe Extender'!$A$11,VLOOKUP($A91,'Pool &amp; SPA Pipe Extender'!$A$8:$M$10,6,FALSE),
IF($A91&lt;'PVC SCH80'!$A$250,VLOOKUP($A91,'PVC SCH80'!$A$8:$M$249,6,FALSE),
IF($A91&lt;'PVC SCH80 Flange'!$A$49,VLOOKUP($A91,'PVC SCH80 Flange'!$A$8:$M$48,6,FALSE),
IF($A91&lt;'PVC SCH80 LD Flange'!$A$17,VLOOKUP($A91,'PVC SCH80 LD Flange'!$A$8:$M$16,6,FALSE),
IF($A91&lt;CPVC!$A$105,VLOOKUP($A91,CPVC!$A$9:$M$104,6,FALSE),
IF($A91&lt;InsertFittings!$A$185,VLOOKUP($A91,InsertFittings!$A$9:$M$184,6,FALSE),
IF($A91&lt;Valves!$A$92,VLOOKUP($A91,Valves!$A$9:$Q$91,6,FALSE),
IF($A91&lt;SDR35SW!$A$133,VLOOKUP($A91,SDR35SW!$A$9:$M$132,6,FALSE),
IF($A91&lt;SDR35G!$A$151,VLOOKUP($A91,SDR35G!$A$9:$M$150,6,FALSE),
IF($A91&lt;SDR26G!$A$67,VLOOKUP($A91,SDR26G!$A$9:$N$66,7,FALSE),
IF($A91&lt;Cements!$A$95,VLOOKUP($A91,Cements!$A$8:$Q$94,6,FALSE),
IF($A91&lt;ValveBox!$A$124,VLOOKUP($A91,ValveBox!$A$9:$O$123,6,FALSE),
IF($A91&lt;'ValveBox Components'!$A$142,VLOOKUP($A91,'ValveBox Components'!$A$9:$N$141,6,FALSE),
IF($A91&lt;Drainage!$A$69,VLOOKUP($A91,Drainage!$A$8:$M$68,6,FALSE),
IF($A91&lt;Nipples!$A$82,VLOOKUP($A91,Nipples!$A$9:$Q$81,6,FALSE),
IF($A91&lt;Manifold!$A$33,VLOOKUP($A91,Manifold!$A$9:$M$32,6,FALSE),
IF($A91&lt;FlexibleRepairCouplings!$A$12,VLOOKUP($A91,FlexibleRepairCouplings!$A$9:$M$11,6,FALSE),
IF($A91&lt;DuraFix!$A$15,VLOOKUP($A91,DuraFix!$A$9:$M$14,6,FALSE),
IF($A91&lt;'Compression Fittings'!$A$16,VLOOKUP($A91,'Compression Fittings'!$A$8:$M$15,6,FALSE),
IF($A91&lt;'Hose Fittings'!$A$30,VLOOKUP($A91,'Hose Fittings'!$A$8:$M$29,6,FALSE),
IF($A91&lt;'Swing Joints'!$A$495,VLOOKUP($A91,'Swing Joints'!$A$9:$M$494,6,FALSE),
IF($A91&lt;'Swing Joints Components'!$A$135,VLOOKUP($A91,'Swing Joints Components'!$A$9:$M$134,6,FALSE),
IF($A91&lt;Nonstandard!$A$42,VLOOKUP($A91,Nonstandard!$A$31:$J$41,7,FALSE),"")))))))))))))))))))))))))))),"")</f>
        <v/>
      </c>
      <c r="E91" s="316"/>
      <c r="F91" s="314" t="str">
        <f>IFERROR(IF($A91&lt;'DWV PVC'!$A$317,VLOOKUP($A91,'DWV PVC'!$A$9:$M$316,9,FALSE),
IF($A91&lt;'DWV ABS'!$A$117,VLOOKUP($A91,'DWV ABS'!$A$8:$M$116,9,FALSE),                                                                                                                                                                                                                                                     IF($A91&lt;'PVC SCH40'!$A$425,VLOOKUP($A91,'PVC SCH40'!$A$8:$M$424,9,FALSE),
IF($A91&lt;'PVC SCH40 LD'!$A$22,VLOOKUP($A91,'PVC SCH40 LD'!$A$8:$M$21,9,FALSE),
IF($A91&lt;'Pool &amp; SPA Sweep Elbows'!$A$12,VLOOKUP($A91,'Pool &amp; SPA Sweep Elbows'!$A$8:$M$11,9,FALSE),
IF($A91&lt;'Pool &amp; SPA Pipe Extender'!$A$11,VLOOKUP($A91,'Pool &amp; SPA Pipe Extender'!$A$8:$M$10,9,FALSE),
IF($A91&lt;'PVC SCH80'!$A$250,VLOOKUP($A91,'PVC SCH80'!$A$8:$M$249,9,FALSE),
IF($A91&lt;'PVC SCH80 Flange'!$A$49,VLOOKUP($A91,'PVC SCH80 Flange'!$A$8:$M$48,9,FALSE),
IF($A91&lt;'PVC SCH80 LD Flange'!$A$17,VLOOKUP($A91,'PVC SCH80 LD Flange'!$A$8:$M$16,9,FALSE),
IF($A91&lt;CPVC!$A$105,VLOOKUP($A91,CPVC!$A$9:$M$104,9,FALSE),
IF($A91&lt;InsertFittings!$A$185,VLOOKUP($A91,InsertFittings!$A$9:$M$184,9,FALSE),
IF($A91&lt;Valves!$A$92,VLOOKUP($A91,Valves!$A$9:$Q$91,13,FALSE),
IF($A91&lt;SDR35SW!$A$133,VLOOKUP($A91,SDR35SW!$A$9:$M$132,9,FALSE),
IF($A91&lt;SDR35G!$A$151,VLOOKUP($A91,SDR35G!$A$9:$M$150,9,FALSE),                                                                                                                                                                                                                                                          IF($A91&lt;SDR26G!$A$67,VLOOKUP($A91,SDR26G!$A$9:$N$66,10,FALSE),                                                                                                                                                                                                                                                       IF($A91&lt;Cements!$A$95,VLOOKUP($A91,Cements!$A$8:$Q$94,13,FALSE),
IF($A91&lt;ValveBox!$A$124,VLOOKUP($A91,ValveBox!$A$9:$O$123,11,FALSE),
IF($A91&lt;'ValveBox Components'!$A$142,VLOOKUP($A91,'ValveBox Components'!$A$9:$N$141,10,FALSE),
IF($A91&lt;Drainage!$A$69,VLOOKUP($A91,Drainage!$A$8:$M$68,9,FALSE),                                                                                                                                                                                                                                                              IF($A91&lt;Nipples!$A$82,VLOOKUP($A91,Nipples!$A$9:$Q$81,13,FALSE),
IF($A91&lt;Manifold!$A$33,VLOOKUP($A91,Manifold!$A$9:$M$32,9,FALSE),
IF($A91&lt;FlexibleRepairCouplings!$A$12,VLOOKUP($A91,FlexibleRepairCouplings!$A$9:$M$11,9,FALSE),
IF($A91&lt;DuraFix!$A$15,VLOOKUP($A91,DuraFix!$A$9:$M$14,9,FALSE),                                                                                                                                                                                                                                                          IF($A91&lt;'Compression Fittings'!$A$16,VLOOKUP($A91,'Compression Fittings'!$A$8:$M$15,9,FALSE),
IF($A91&lt;'Hose Fittings'!$A$30,VLOOKUP($A91,'Hose Fittings'!$A$8:$M$29,9,FALSE),
IF($A91&lt;'Swing Joints'!$A$495,VLOOKUP($A91,'Swing Joints'!$A$9:$M$494,9,FALSE),
IF($A91&lt;'Swing Joints Components'!$A$135,VLOOKUP($A91,'Swing Joints Components'!$A$9:$M$134,9,FALSE),
IF($A91&lt;Nonstandard!$A$42,VLOOKUP($A91,Nonstandard!$A$31:$J$41,8,FALSE),"")))))))))))))))))))))))))))),"")</f>
        <v/>
      </c>
      <c r="G91" s="533" t="str">
        <f>IFERROR(IF($A91&lt;'DWV PVC'!$A$317,VLOOKUP($A91,'DWV PVC'!$A$9:$M$316,11,FALSE),
IF($A91&lt;'DWV ABS'!$A$117,VLOOKUP($A91,'DWV ABS'!$A$8:$M$116,11,FALSE),                                                                                                                                                                                                                                                     IF($A91&lt;'PVC SCH40'!$A$425,VLOOKUP($A91,'PVC SCH40'!$A$8:$M$424,11,FALSE),
IF($A91&lt;'PVC SCH40 LD'!$A$22,VLOOKUP($A91,'PVC SCH40 LD'!$A$8:$M$21,11,FALSE),
IF($A91&lt;'Pool &amp; SPA Sweep Elbows'!$A$12,VLOOKUP($A91,'Pool &amp; SPA Sweep Elbows'!$A$8:$M$11,11,FALSE),
IF($A91&lt;'Pool &amp; SPA Pipe Extender'!$A$11,VLOOKUP($A91,'Pool &amp; SPA Pipe Extender'!$A$8:$M$10,11,FALSE),
IF($A91&lt;'PVC SCH80'!$A$250,VLOOKUP($A91,'PVC SCH80'!$A$8:$M$249,11,FALSE),
IF($A91&lt;'PVC SCH80 Flange'!$A$49,VLOOKUP($A91,'PVC SCH80 Flange'!$A$8:$M$48,11,FALSE),
IF($A91&lt;'PVC SCH80 LD Flange'!$A$17,VLOOKUP($A91,'PVC SCH80 LD Flange'!$A$8:$M$16,11,FALSE),
IF($A91&lt;CPVC!$A$105,VLOOKUP($A91,CPVC!$A$9:$M$104,11,FALSE),
IF($A91&lt;InsertFittings!$A$185,VLOOKUP($A91,InsertFittings!$A$9:$M$184,11,FALSE),
IF($A91&lt;Valves!$A$92,VLOOKUP($A91,Valves!$A$9:$Q$91,15,FALSE),
IF($A91&lt;SDR35SW!$A$133,VLOOKUP($A91,SDR35SW!$A$9:$M$132,11,FALSE),
IF($A91&lt;SDR35G!$A$151,VLOOKUP($A91,SDR35G!$A$9:$M$150,11,FALSE),                                                                                                                                                                                                                                                          IF($A91&lt;SDR26G!$A$67,VLOOKUP($A91,SDR26G!$A$9:$N$66,12,FALSE),                                                                                                                                                                                                                                                       IF($A91&lt;Cements!$A$95,VLOOKUP($A91,Cements!$A$8:$Q$94,15,FALSE),
IF($A91&lt;ValveBox!$A$124,VLOOKUP($A91,ValveBox!$A$9:$O$123,13,FALSE),
IF($A91&lt;'ValveBox Components'!$A$142,VLOOKUP($A91,'ValveBox Components'!$A$9:$N$141,12,FALSE),
IF($A91&lt;Drainage!$A$69,VLOOKUP($A91,Drainage!$A$8:$M$68,11,FALSE),                                                                                                                                                                                                                                                           IF($A91&lt;Nipples!$A$82,VLOOKUP($A91,Nipples!$A$9:$Q$81,15,FALSE),
IF($A91&lt;Manifold!$A$33,VLOOKUP($A91,Manifold!$A$9:$M$32,11,FALSE),
IF($A91&lt;FlexibleRepairCouplings!$A$12,VLOOKUP($A91,FlexibleRepairCouplings!$A$9:$M$11,11,FALSE),
IF($A91&lt;DuraFix!$A$15,VLOOKUP($A91,DuraFix!$A$9:$M$14,11,FALSE),                                                                                                                                                                                                                                                            IF($A91&lt;'Compression Fittings'!$A$16,VLOOKUP($A91,'Compression Fittings'!$A$8:$M$15,11,FALSE),
IF($A91&lt;'Hose Fittings'!$A$30,VLOOKUP($A91,'Hose Fittings'!$A$8:$M$29,11,FALSE),
IF($A91&lt;'Swing Joints'!$A$495,VLOOKUP($A91,'Swing Joints'!$A$9:$M$494,11,FALSE),
IF($A91&lt;'Swing Joints Components'!$A$135,VLOOKUP($A91,'Swing Joints Components'!$A$9:$M$134,11,FALSE),
IF($A91&lt;Nonstandard!$A$42,VLOOKUP($A91,Nonstandard!$A$31:$J$41,10,FALSE),"")))))))))))))))))))))))))))),"")</f>
        <v/>
      </c>
      <c r="H91" s="618" t="str">
        <f>IFERROR(IF($A91&lt;'DWV PVC'!$A$317,VLOOKUP($A91,'DWV PVC'!$A$9:$M$316,7,FALSE),
IF($A91&lt;'DWV ABS'!$A$117,VLOOKUP($A91,'DWV ABS'!$A$8:$M$116,11,FALSE),                                                                                                                                                                                                                                                     IF($A91&lt;'PVC SCH40'!$A$425,VLOOKUP($A91,'PVC SCH40'!$A$8:$M$424,7,FALSE),
IF($A91&lt;'PVC SCH40 LD'!$A$22,VLOOKUP($A91,'PVC SCH40 LD'!$A$8:$M$21,7,FALSE),
IF($A91&lt;'Pool &amp; SPA Sweep Elbows'!$A$12,VLOOKUP($A91,'Pool &amp; SPA Sweep Elbows'!$A$8:$M$11,7,FALSE),
IF($A91&lt;'Pool &amp; SPA Pipe Extender'!$A$11,VLOOKUP($A91,'Pool &amp; SPA Pipe Extender'!$A$8:$M$10,7,FALSE),
IF($A91&lt;'PVC SCH80'!$A$250,VLOOKUP($A91,'PVC SCH80'!$A$8:$M$249,7,FALSE),
IF($A91&lt;'PVC SCH80 Flange'!$A$49,VLOOKUP($A91,'PVC SCH80 Flange'!$A$8:$M$48,7,FALSE),
IF($A91&lt;'PVC SCH80 LD Flange'!$A$17,VLOOKUP($A91,'PVC SCH80 LD Flange'!$A$8:$M$16,7,FALSE),
IF($A91&lt;CPVC!$A$105,VLOOKUP($A91,CPVC!$A$9:$M$104,7,FALSE),
IF($A91&lt;InsertFittings!$A$185,VLOOKUP($A91,InsertFittings!$A$9:$M$184,7,FALSE),
IF($A91&lt;Valves!$A$92,VLOOKUP($A91,Valves!$A$9:$Q$91,11,FALSE),
IF($A91&lt;SDR35SW!$A$133,VLOOKUP($A91,SDR35SW!$A$9:$M$132,7,FALSE),
IF($A91&lt;SDR35G!$A$151,VLOOKUP($A91,SDR35G!$A$9:$M$150,7,FALSE),                                                                                                                                                                                                                                                       IF($A91&lt;SDR26G!$A$67,VLOOKUP($A91,SDR26G!$A$9:$N$66,8,FALSE),                                                                                                                                                                                                                                                     IF($A91&lt;Cements!$A$95,VLOOKUP($A91,Cements!$A$8:$Q$94,11,FALSE),
IF($A91&lt;ValveBox!$A$124,VLOOKUP($A91,ValveBox!$A$9:$O$123,10,FALSE),
IF($A91&lt;'ValveBox Components'!$A$142,VLOOKUP($A91,'ValveBox Components'!$A$9:$N$141,9,FALSE),
IF($A91&lt;Drainage!$A$69,VLOOKUP($A91,Drainage!$A$8:$M$68,7,FALSE),                                                                                                                                                                                                                                                          IF($A91&lt;Nipples!$A$82,VLOOKUP($A91,Nipples!$A$9:$Q$81,11,FALSE),
IF($A91&lt;Manifold!$A$33,VLOOKUP($A91,Manifold!$A$9:$M$32,7,FALSE),
IF($A91&lt;FlexibleRepairCouplings!$A$12,VLOOKUP($A91,FlexibleRepairCouplings!$A$9:$M$11,7,FALSE),
IF($A91&lt;DuraFix!$A$15,VLOOKUP($A91,DuraFix!$A$9:$M$14,7,FALSE),                                                                                                                                                                                                                                                           IF($A91&lt;'Compression Fittings'!$A$16,VLOOKUP($A91,'Compression Fittings'!$A$8:$M$15,7,FALSE),
IF($A91&lt;'Hose Fittings'!$A$30,VLOOKUP($A91,'Hose Fittings'!$A$8:$M$29,7,FALSE),
IF($A91&lt;'Swing Joints'!$A$495,VLOOKUP($A91,'Swing Joints'!$A$9:$M$494,7,FALSE),
IF($A91&lt;'Swing Joints Components'!$A$135,VLOOKUP($A91,'Swing Joints Components'!$A$9:$M$134,7,FALSE),
IF($A91&lt;Nonstandard!$A$42,VLOOKUP($A91,Nonstandard!$A$31:$J$41,10,FALSE),"")))))))))))))))))))))))))))),"")</f>
        <v/>
      </c>
      <c r="I91" s="619"/>
      <c r="J91" s="281" t="str">
        <f t="shared" si="1"/>
        <v/>
      </c>
      <c r="K91" s="313" t="str">
        <f>IFERROR(IF($A91&lt;'DWV PVC'!$A$317,VLOOKUP($A91,'DWV PVC'!$A$9:$M$316,10,FALSE),
IF($A91&lt;'DWV ABS'!$A$117,VLOOKUP($A91,'DWV ABS'!$A$8:$M$116,10,FALSE),
IF($A91&lt;'PVC SCH40'!$A$425,VLOOKUP($A91,'PVC SCH40'!$A$8:$M$424,10,FALSE),
IF($A91&lt;'PVC SCH40 LD'!$A$22,VLOOKUP($A91,'PVC SCH40 LD'!$A$8:$M$21,10,FALSE),
IF($A91&lt;'Pool &amp; SPA Sweep Elbows'!$A$12,VLOOKUP($A91,'Pool &amp; SPA Sweep Elbows'!$A$8:$M$11,10,FALSE),
IF($A91&lt;'Pool &amp; SPA Pipe Extender'!$A$11,VLOOKUP($A91,'Pool &amp; SPA Pipe Extender'!$A$8:$M$10,10,FALSE),
IF($A91&lt;'PVC SCH80'!$A$250,VLOOKUP($A91,'PVC SCH80'!$A$8:$M$249,10,FALSE),
IF($A91&lt;'PVC SCH80 Flange'!$A$49,VLOOKUP($A91,'PVC SCH80 Flange'!$A$8:$M$48,10,FALSE),
IF($A91&lt;'PVC SCH80 LD Flange'!$A$17,VLOOKUP($A91,'PVC SCH80 LD Flange'!$A$8:$M$16,10,FALSE),
IF($A91&lt;CPVC!$A$105,VLOOKUP($A91,CPVC!$A$9:$M$104,10,FALSE),
IF($A91&lt;InsertFittings!$A$185,VLOOKUP($A91,InsertFittings!$A$9:$M$184,10,FALSE),
IF($A91&lt;Valves!$A$92,VLOOKUP($A91,Valves!$A$9:$Q$91,14,FALSE),
IF($A91&lt;SDR35SW!$A$133,VLOOKUP($A91,SDR35SW!$A$9:$M$132,10,FALSE),
IF($A91&lt;SDR35G!$A$151,VLOOKUP($A91,SDR35G!$A$9:$M$150,10,FALSE),
IF($A91&lt;SDR26G!$A$67,VLOOKUP($A91,SDR26G!$A$9:$N$66,11,FALSE),
IF($A91&lt;Cements!$A$95,VLOOKUP($A91,Cements!$A$8:$Q$94,14,FALSE),
IF($A91&lt;ValveBox!$A$124,VLOOKUP($A91,ValveBox!$A$9:$O$123,12,FALSE),
IF($A91&lt;'ValveBox Components'!$A$142,VLOOKUP($A91,'ValveBox Components'!$A$9:$N$141,11,FALSE),
IF($A91&lt;Drainage!$A$69,VLOOKUP($A91,Drainage!$A$8:$M$68,10,FALSE),
IF($A91&lt;Nipples!$A$82,VLOOKUP($A91,Nipples!$A$9:$Q$81,14,FALSE),
IF($A91&lt;Manifold!$A$33,VLOOKUP($A91,Manifold!$A$9:$M$32,10,FALSE),
IF($A91&lt;FlexibleRepairCouplings!$A$12,VLOOKUP($A91,FlexibleRepairCouplings!$A$9:$M$11,10,FALSE),
IF($A91&lt;DuraFix!$A$15,VLOOKUP($A91,DuraFix!$A$9:$M$14,10,FALSE),
IF($A91&lt;'Compression Fittings'!$A$16,VLOOKUP($A91,'Compression Fittings'!$A$8:$M$15,10,FALSE),
IF($A91&lt;'Hose Fittings'!$A$30,VLOOKUP($A91,'Hose Fittings'!$A$8:$M$29,10,FALSE),
IF($A91&lt;'Swing Joints'!$A$495,VLOOKUP($A91,'Swing Joints'!$A$9:$M$494,10,FALSE),
IF($A91&lt;'Swing Joints Components'!$A$135,VLOOKUP($A91,'Swing Joints Components'!$A$9:$M$134,10,FALSE),
IF($A91&lt;Nonstandard!$A$42,VLOOKUP($A91,Nonstandard!$A$31:$J$41,10,FALSE),"")))))))))))))))))))))))))))),"")</f>
        <v/>
      </c>
      <c r="L91" s="314" t="str">
        <f t="shared" si="0"/>
        <v>-</v>
      </c>
      <c r="M91" s="315"/>
    </row>
    <row r="92" spans="1:13" ht="15.6">
      <c r="A92" s="536">
        <v>60</v>
      </c>
      <c r="B92" s="536" t="str">
        <f>IFERROR(IF($A92&lt;'DWV PVC'!$A$317,VLOOKUP($A92,'DWV PVC'!$A$9:$M$316,4,FALSE),
IF($A92&lt;'DWV ABS'!$A$117,VLOOKUP($A92,'DWV ABS'!$A$8:$M$116,4,FALSE),
IF($A92&lt;'PVC SCH40'!$A$425,VLOOKUP($A92,'PVC SCH40'!$A$8:$M$424,4,FALSE),
IF($A92&lt;'PVC SCH40 LD'!$A$22,VLOOKUP($A92,'PVC SCH40 LD'!$A$8:$M$21,4,FALSE),
IF($A92&lt;'Pool &amp; SPA Sweep Elbows'!$A$12,VLOOKUP($A92,'Pool &amp; SPA Sweep Elbows'!$A$8:$M$11,4,FALSE),
IF($A92&lt;'Pool &amp; SPA Pipe Extender'!$A$11,VLOOKUP($A92,'Pool &amp; SPA Pipe Extender'!$A$8:$M$10,4,FALSE),
IF($A92&lt;'PVC SCH80'!$A$250,VLOOKUP($A92,'PVC SCH80'!$A$8:$M$249,4,FALSE),
IF($A92&lt;'PVC SCH80 Flange'!$A$49,VLOOKUP($A92,'PVC SCH80 Flange'!$A$8:$M$48,4,FALSE),
IF($A92&lt;'PVC SCH80 LD Flange'!$A$17,VLOOKUP($A92,'PVC SCH80 LD Flange'!$A$8:$M$16,4,FALSE),
IF($A92&lt;CPVC!$A$105,VLOOKUP($A92,CPVC!$A$9:$M$104,4,FALSE),
IF($A92&lt;InsertFittings!$A$185,VLOOKUP($A92,InsertFittings!$A$9:$M$184,4,FALSE),
IF($A92&lt;Valves!$A$92,VLOOKUP($A92,Valves!$A$9:$Q$91,4,FALSE),
IF($A92&lt;SDR35SW!$A$133,VLOOKUP($A92,SDR35SW!$A$9:$M$132,4,FALSE),
IF($A92&lt;SDR35G!$A$151,VLOOKUP($A92,SDR35G!$A$9:$M$150,4,FALSE),
IF($A92&lt;SDR26G!$A$67,VLOOKUP($A92,SDR26G!$A$9:$N$66,5,FALSE),
IF($A92&lt;Cements!$A$95,VLOOKUP($A92,Cements!$A$8:$Q$94,4,FALSE),
IF($A92&lt;ValveBox!$A$124,VLOOKUP($A92,ValveBox!$A$9:$O$123,4,FALSE),
IF($A92&lt;'ValveBox Components'!$A$142,VLOOKUP($A92,'ValveBox Components'!$A$9:$N$141,4,FALSE),
IF($A92&lt;Drainage!$A$69,VLOOKUP($A92,Drainage!$A$8:$M$68,4,FALSE),
IF($A92&lt;Nipples!$A$82,VLOOKUP($A92,Nipples!$A$9:$Q$81,4,FALSE),
IF($A92&lt;Manifold!$A$33,VLOOKUP($A92,Manifold!$A$9:$M$32,4,FALSE),
IF($A92&lt;FlexibleRepairCouplings!$A$12,VLOOKUP($A92,FlexibleRepairCouplings!$A$9:$M$11,4,FALSE),
IF($A92&lt;DuraFix!$A$15,VLOOKUP($A92,DuraFix!$A$9:$M$14,4,FALSE),
IF($A92&lt;'Compression Fittings'!$A$16,VLOOKUP($A92,'Compression Fittings'!$A$8:$M$15,4,FALSE),
IF($A92&lt;'Hose Fittings'!$A$30,VLOOKUP($A92,'Hose Fittings'!$A$8:$M$29,4,FALSE),
IF($A92&lt;'Swing Joints'!$A$495,VLOOKUP($A92,'Swing Joints'!$A$9:$M$494,4,FALSE),
IF($A92&lt;'Swing Joints Components'!$A$135,VLOOKUP($A92,'Swing Joints Components'!$A$9:$M$134,4,FALSE),
IF($A92&lt;Nonstandard!$A$42,VLOOKUP($A92,Nonstandard!$A$31:$J$41,5,FALSE),"")))))))))))))))))))))))))))),"")</f>
        <v/>
      </c>
      <c r="C92" s="536" t="str">
        <f>IFERROR(IF($A92&lt;'DWV PVC'!$A$317,VLOOKUP($A92,'DWV PVC'!$A$9:$M$316,5,FALSE),
IF($A92&lt;'DWV ABS'!$A$117,VLOOKUP($A92,'DWV ABS'!$A$8:$M$116,5,FALSE),
IF($A92&lt;'PVC SCH40'!$A$425,VLOOKUP($A92,'PVC SCH40'!$A$8:$M$424,5,FALSE),
IF($A92&lt;'PVC SCH40 LD'!$A$22,VLOOKUP($A92,'PVC SCH40 LD'!$A$8:$M$21,5,FALSE),
IF($A92&lt;'Pool &amp; SPA Sweep Elbows'!$A$12,VLOOKUP($A92,'Pool &amp; SPA Sweep Elbows'!$A$8:$M$11,5,FALSE),
IF($A92&lt;'Pool &amp; SPA Pipe Extender'!$A$11,VLOOKUP($A92,'Pool &amp; SPA Pipe Extender'!$A$8:$M$10,5,FALSE),
IF($A92&lt;'PVC SCH80'!$A$250,VLOOKUP($A92,'PVC SCH80'!$A$8:$M$249,5,FALSE),
IF($A92&lt;'PVC SCH80 Flange'!$A$49,VLOOKUP($A92,'PVC SCH80 Flange'!$A$8:$M$48,5,FALSE),
IF($A92&lt;'PVC SCH80 LD Flange'!$A$17,VLOOKUP($A92,'PVC SCH80 LD Flange'!$A$8:$M$16,5,FALSE),
IF($A92&lt;CPVC!$A$105,VLOOKUP($A92,CPVC!$A$9:$M$104,5,FALSE),
IF($A92&lt;InsertFittings!$A$185,VLOOKUP($A92,InsertFittings!$A$9:$M$184,5,FALSE),
IF($A92&lt;Valves!$A$92,VLOOKUP($A92,Valves!$A$9:$Q$91,5,FALSE),
IF($A92&lt;SDR35SW!$A$133,VLOOKUP($A92,SDR35SW!$A$9:$M$132,5,FALSE),
IF($A92&lt;SDR35G!$A$151,VLOOKUP($A92,SDR35G!$A$9:$M$150,5,FALSE),
IF($A92&lt;SDR26G!$A$67,VLOOKUP($A92,SDR26G!$A$9:$N$66,6,FALSE),
IF($A92&lt;Cements!$A$95,VLOOKUP($A92,Cements!$A$8:$Q$94,5,FALSE),
IF($A92&lt;ValveBox!$A$124,VLOOKUP($A92,ValveBox!$A$9:$O$123,5,FALSE),
IF($A92&lt;'ValveBox Components'!$A$142,VLOOKUP($A92,'ValveBox Components'!$A$9:$N$141,5,FALSE),
IF($A92&lt;Drainage!$A$69,VLOOKUP($A92,Drainage!$A$8:$M$68,5,FALSE),
IF($A92&lt;Nipples!$A$82,VLOOKUP($A92,Nipples!$A$9:$Q$81,5,FALSE),
IF($A92&lt;Manifold!$A$33,VLOOKUP($A92,Manifold!$A$9:$M$32,5,FALSE),
IF($A92&lt;FlexibleRepairCouplings!$A$12,VLOOKUP($A92,FlexibleRepairCouplings!$A$9:$M$11,5,FALSE),
IF($A92&lt;DuraFix!$A$15,VLOOKUP($A92,DuraFix!$A$9:$M$14,5,FALSE),
IF($A92&lt;'Compression Fittings'!$A$16,VLOOKUP($A92,'Compression Fittings'!$A$8:$M$15,5,FALSE),
IF($A92&lt;'Hose Fittings'!$A$30,VLOOKUP($A92,'Hose Fittings'!$A$8:$M$29,5,FALSE),
IF($A92&lt;'Swing Joints'!$A$495,VLOOKUP($A92,'Swing Joints'!$A$9:$M$494,5,FALSE),
IF($A92&lt;'Swing Joints Components'!$A$135,VLOOKUP($A92,'Swing Joints Components'!$A$9:$M$134,5,FALSE),
IF($A92&lt;Nonstandard!$A$42,VLOOKUP($A92,Nonstandard!$A$31:$J$41,6,FALSE),"")))))))))))))))))))))))))))),"")</f>
        <v/>
      </c>
      <c r="D92" s="537" t="str">
        <f>IFERROR(IF($A92&lt;'DWV PVC'!$A$317,VLOOKUP($A92,'DWV PVC'!$A$9:$M$316,6,FALSE),
IF($A92&lt;'DWV ABS'!$A$117,VLOOKUP($A92,'DWV ABS'!$A$8:$M$116,6,FALSE),
IF($A92&lt;'PVC SCH40'!$A$425,VLOOKUP($A92,'PVC SCH40'!$A$8:$M$424,6,FALSE),
IF($A92&lt;'PVC SCH40 LD'!$A$22,VLOOKUP($A92,'PVC SCH40 LD'!$A$8:$M$21,6,FALSE),
IF($A92&lt;'Pool &amp; SPA Sweep Elbows'!$A$12,VLOOKUP($A92,'Pool &amp; SPA Sweep Elbows'!$A$8:$M$11,6,FALSE),
IF($A92&lt;'Pool &amp; SPA Pipe Extender'!$A$11,VLOOKUP($A92,'Pool &amp; SPA Pipe Extender'!$A$8:$M$10,6,FALSE),
IF($A92&lt;'PVC SCH80'!$A$250,VLOOKUP($A92,'PVC SCH80'!$A$8:$M$249,6,FALSE),
IF($A92&lt;'PVC SCH80 Flange'!$A$49,VLOOKUP($A92,'PVC SCH80 Flange'!$A$8:$M$48,6,FALSE),
IF($A92&lt;'PVC SCH80 LD Flange'!$A$17,VLOOKUP($A92,'PVC SCH80 LD Flange'!$A$8:$M$16,6,FALSE),
IF($A92&lt;CPVC!$A$105,VLOOKUP($A92,CPVC!$A$9:$M$104,6,FALSE),
IF($A92&lt;InsertFittings!$A$185,VLOOKUP($A92,InsertFittings!$A$9:$M$184,6,FALSE),
IF($A92&lt;Valves!$A$92,VLOOKUP($A92,Valves!$A$9:$Q$91,6,FALSE),
IF($A92&lt;SDR35SW!$A$133,VLOOKUP($A92,SDR35SW!$A$9:$M$132,6,FALSE),
IF($A92&lt;SDR35G!$A$151,VLOOKUP($A92,SDR35G!$A$9:$M$150,6,FALSE),
IF($A92&lt;SDR26G!$A$67,VLOOKUP($A92,SDR26G!$A$9:$N$66,7,FALSE),
IF($A92&lt;Cements!$A$95,VLOOKUP($A92,Cements!$A$8:$Q$94,6,FALSE),
IF($A92&lt;ValveBox!$A$124,VLOOKUP($A92,ValveBox!$A$9:$O$123,6,FALSE),
IF($A92&lt;'ValveBox Components'!$A$142,VLOOKUP($A92,'ValveBox Components'!$A$9:$N$141,6,FALSE),
IF($A92&lt;Drainage!$A$69,VLOOKUP($A92,Drainage!$A$8:$M$68,6,FALSE),
IF($A92&lt;Nipples!$A$82,VLOOKUP($A92,Nipples!$A$9:$Q$81,6,FALSE),
IF($A92&lt;Manifold!$A$33,VLOOKUP($A92,Manifold!$A$9:$M$32,6,FALSE),
IF($A92&lt;FlexibleRepairCouplings!$A$12,VLOOKUP($A92,FlexibleRepairCouplings!$A$9:$M$11,6,FALSE),
IF($A92&lt;DuraFix!$A$15,VLOOKUP($A92,DuraFix!$A$9:$M$14,6,FALSE),
IF($A92&lt;'Compression Fittings'!$A$16,VLOOKUP($A92,'Compression Fittings'!$A$8:$M$15,6,FALSE),
IF($A92&lt;'Hose Fittings'!$A$30,VLOOKUP($A92,'Hose Fittings'!$A$8:$M$29,6,FALSE),
IF($A92&lt;'Swing Joints'!$A$495,VLOOKUP($A92,'Swing Joints'!$A$9:$M$494,6,FALSE),
IF($A92&lt;'Swing Joints Components'!$A$135,VLOOKUP($A92,'Swing Joints Components'!$A$9:$M$134,6,FALSE),
IF($A92&lt;Nonstandard!$A$42,VLOOKUP($A92,Nonstandard!$A$31:$J$41,7,FALSE),"")))))))))))))))))))))))))))),"")</f>
        <v/>
      </c>
      <c r="E92" s="538"/>
      <c r="F92" s="539" t="str">
        <f>IFERROR(IF($A92&lt;'DWV PVC'!$A$317,VLOOKUP($A92,'DWV PVC'!$A$9:$M$316,9,FALSE),
IF($A92&lt;'DWV ABS'!$A$117,VLOOKUP($A92,'DWV ABS'!$A$8:$M$116,9,FALSE),                                                                                                                                                                                                                                                     IF($A92&lt;'PVC SCH40'!$A$425,VLOOKUP($A92,'PVC SCH40'!$A$8:$M$424,9,FALSE),
IF($A92&lt;'PVC SCH40 LD'!$A$22,VLOOKUP($A92,'PVC SCH40 LD'!$A$8:$M$21,9,FALSE),
IF($A92&lt;'Pool &amp; SPA Sweep Elbows'!$A$12,VLOOKUP($A92,'Pool &amp; SPA Sweep Elbows'!$A$8:$M$11,9,FALSE),
IF($A92&lt;'Pool &amp; SPA Pipe Extender'!$A$11,VLOOKUP($A92,'Pool &amp; SPA Pipe Extender'!$A$8:$M$10,9,FALSE),
IF($A92&lt;'PVC SCH80'!$A$250,VLOOKUP($A92,'PVC SCH80'!$A$8:$M$249,9,FALSE),
IF($A92&lt;'PVC SCH80 Flange'!$A$49,VLOOKUP($A92,'PVC SCH80 Flange'!$A$8:$M$48,9,FALSE),
IF($A92&lt;'PVC SCH80 LD Flange'!$A$17,VLOOKUP($A92,'PVC SCH80 LD Flange'!$A$8:$M$16,9,FALSE),
IF($A92&lt;CPVC!$A$105,VLOOKUP($A92,CPVC!$A$9:$M$104,9,FALSE),
IF($A92&lt;InsertFittings!$A$185,VLOOKUP($A92,InsertFittings!$A$9:$M$184,9,FALSE),
IF($A92&lt;Valves!$A$92,VLOOKUP($A92,Valves!$A$9:$Q$91,13,FALSE),
IF($A92&lt;SDR35SW!$A$133,VLOOKUP($A92,SDR35SW!$A$9:$M$132,9,FALSE),
IF($A92&lt;SDR35G!$A$151,VLOOKUP($A92,SDR35G!$A$9:$M$150,9,FALSE),                                                                                                                                                                                                                                                          IF($A92&lt;SDR26G!$A$67,VLOOKUP($A92,SDR26G!$A$9:$N$66,10,FALSE),                                                                                                                                                                                                                                                       IF($A92&lt;Cements!$A$95,VLOOKUP($A92,Cements!$A$8:$Q$94,13,FALSE),
IF($A92&lt;ValveBox!$A$124,VLOOKUP($A92,ValveBox!$A$9:$O$123,11,FALSE),
IF($A92&lt;'ValveBox Components'!$A$142,VLOOKUP($A92,'ValveBox Components'!$A$9:$N$141,10,FALSE),
IF($A92&lt;Drainage!$A$69,VLOOKUP($A92,Drainage!$A$8:$M$68,9,FALSE),                                                                                                                                                                                                                                                              IF($A92&lt;Nipples!$A$82,VLOOKUP($A92,Nipples!$A$9:$Q$81,13,FALSE),
IF($A92&lt;Manifold!$A$33,VLOOKUP($A92,Manifold!$A$9:$M$32,9,FALSE),
IF($A92&lt;FlexibleRepairCouplings!$A$12,VLOOKUP($A92,FlexibleRepairCouplings!$A$9:$M$11,9,FALSE),
IF($A92&lt;DuraFix!$A$15,VLOOKUP($A92,DuraFix!$A$9:$M$14,9,FALSE),                                                                                                                                                                                                                                                          IF($A92&lt;'Compression Fittings'!$A$16,VLOOKUP($A92,'Compression Fittings'!$A$8:$M$15,9,FALSE),
IF($A92&lt;'Hose Fittings'!$A$30,VLOOKUP($A92,'Hose Fittings'!$A$8:$M$29,9,FALSE),
IF($A92&lt;'Swing Joints'!$A$495,VLOOKUP($A92,'Swing Joints'!$A$9:$M$494,9,FALSE),
IF($A92&lt;'Swing Joints Components'!$A$135,VLOOKUP($A92,'Swing Joints Components'!$A$9:$M$134,9,FALSE),
IF($A92&lt;Nonstandard!$A$42,VLOOKUP($A92,Nonstandard!$A$31:$J$41,8,FALSE),"")))))))))))))))))))))))))))),"")</f>
        <v/>
      </c>
      <c r="G92" s="540" t="str">
        <f>IFERROR(IF($A92&lt;'DWV PVC'!$A$317,VLOOKUP($A92,'DWV PVC'!$A$9:$M$316,11,FALSE),
IF($A92&lt;'DWV ABS'!$A$117,VLOOKUP($A92,'DWV ABS'!$A$8:$M$116,11,FALSE),                                                                                                                                                                                                                                                     IF($A92&lt;'PVC SCH40'!$A$425,VLOOKUP($A92,'PVC SCH40'!$A$8:$M$424,11,FALSE),
IF($A92&lt;'PVC SCH40 LD'!$A$22,VLOOKUP($A92,'PVC SCH40 LD'!$A$8:$M$21,11,FALSE),
IF($A92&lt;'Pool &amp; SPA Sweep Elbows'!$A$12,VLOOKUP($A92,'Pool &amp; SPA Sweep Elbows'!$A$8:$M$11,11,FALSE),
IF($A92&lt;'Pool &amp; SPA Pipe Extender'!$A$11,VLOOKUP($A92,'Pool &amp; SPA Pipe Extender'!$A$8:$M$10,11,FALSE),
IF($A92&lt;'PVC SCH80'!$A$250,VLOOKUP($A92,'PVC SCH80'!$A$8:$M$249,11,FALSE),
IF($A92&lt;'PVC SCH80 Flange'!$A$49,VLOOKUP($A92,'PVC SCH80 Flange'!$A$8:$M$48,11,FALSE),
IF($A92&lt;'PVC SCH80 LD Flange'!$A$17,VLOOKUP($A92,'PVC SCH80 LD Flange'!$A$8:$M$16,11,FALSE),
IF($A92&lt;CPVC!$A$105,VLOOKUP($A92,CPVC!$A$9:$M$104,11,FALSE),
IF($A92&lt;InsertFittings!$A$185,VLOOKUP($A92,InsertFittings!$A$9:$M$184,11,FALSE),
IF($A92&lt;Valves!$A$92,VLOOKUP($A92,Valves!$A$9:$Q$91,15,FALSE),
IF($A92&lt;SDR35SW!$A$133,VLOOKUP($A92,SDR35SW!$A$9:$M$132,11,FALSE),
IF($A92&lt;SDR35G!$A$151,VLOOKUP($A92,SDR35G!$A$9:$M$150,11,FALSE),                                                                                                                                                                                                                                                          IF($A92&lt;SDR26G!$A$67,VLOOKUP($A92,SDR26G!$A$9:$N$66,12,FALSE),                                                                                                                                                                                                                                                       IF($A92&lt;Cements!$A$95,VLOOKUP($A92,Cements!$A$8:$Q$94,15,FALSE),
IF($A92&lt;ValveBox!$A$124,VLOOKUP($A92,ValveBox!$A$9:$O$123,13,FALSE),
IF($A92&lt;'ValveBox Components'!$A$142,VLOOKUP($A92,'ValveBox Components'!$A$9:$N$141,12,FALSE),
IF($A92&lt;Drainage!$A$69,VLOOKUP($A92,Drainage!$A$8:$M$68,11,FALSE),                                                                                                                                                                                                                                                           IF($A92&lt;Nipples!$A$82,VLOOKUP($A92,Nipples!$A$9:$Q$81,15,FALSE),
IF($A92&lt;Manifold!$A$33,VLOOKUP($A92,Manifold!$A$9:$M$32,11,FALSE),
IF($A92&lt;FlexibleRepairCouplings!$A$12,VLOOKUP($A92,FlexibleRepairCouplings!$A$9:$M$11,11,FALSE),
IF($A92&lt;DuraFix!$A$15,VLOOKUP($A92,DuraFix!$A$9:$M$14,11,FALSE),                                                                                                                                                                                                                                                            IF($A92&lt;'Compression Fittings'!$A$16,VLOOKUP($A92,'Compression Fittings'!$A$8:$M$15,11,FALSE),
IF($A92&lt;'Hose Fittings'!$A$30,VLOOKUP($A92,'Hose Fittings'!$A$8:$M$29,11,FALSE),
IF($A92&lt;'Swing Joints'!$A$495,VLOOKUP($A92,'Swing Joints'!$A$9:$M$494,11,FALSE),
IF($A92&lt;'Swing Joints Components'!$A$135,VLOOKUP($A92,'Swing Joints Components'!$A$9:$M$134,11,FALSE),
IF($A92&lt;Nonstandard!$A$42,VLOOKUP($A92,Nonstandard!$A$31:$J$41,10,FALSE),"")))))))))))))))))))))))))))),"")</f>
        <v/>
      </c>
      <c r="H92" s="620" t="str">
        <f>IFERROR(IF($A92&lt;'DWV PVC'!$A$317,VLOOKUP($A92,'DWV PVC'!$A$9:$M$316,7,FALSE),
IF($A92&lt;'DWV ABS'!$A$117,VLOOKUP($A92,'DWV ABS'!$A$8:$M$116,11,FALSE),                                                                                                                                                                                                                                                     IF($A92&lt;'PVC SCH40'!$A$425,VLOOKUP($A92,'PVC SCH40'!$A$8:$M$424,7,FALSE),
IF($A92&lt;'PVC SCH40 LD'!$A$22,VLOOKUP($A92,'PVC SCH40 LD'!$A$8:$M$21,7,FALSE),
IF($A92&lt;'Pool &amp; SPA Sweep Elbows'!$A$12,VLOOKUP($A92,'Pool &amp; SPA Sweep Elbows'!$A$8:$M$11,7,FALSE),
IF($A92&lt;'Pool &amp; SPA Pipe Extender'!$A$11,VLOOKUP($A92,'Pool &amp; SPA Pipe Extender'!$A$8:$M$10,7,FALSE),
IF($A92&lt;'PVC SCH80'!$A$250,VLOOKUP($A92,'PVC SCH80'!$A$8:$M$249,7,FALSE),
IF($A92&lt;'PVC SCH80 Flange'!$A$49,VLOOKUP($A92,'PVC SCH80 Flange'!$A$8:$M$48,7,FALSE),
IF($A92&lt;'PVC SCH80 LD Flange'!$A$17,VLOOKUP($A92,'PVC SCH80 LD Flange'!$A$8:$M$16,7,FALSE),
IF($A92&lt;CPVC!$A$105,VLOOKUP($A92,CPVC!$A$9:$M$104,7,FALSE),
IF($A92&lt;InsertFittings!$A$185,VLOOKUP($A92,InsertFittings!$A$9:$M$184,7,FALSE),
IF($A92&lt;Valves!$A$92,VLOOKUP($A92,Valves!$A$9:$Q$91,11,FALSE),
IF($A92&lt;SDR35SW!$A$133,VLOOKUP($A92,SDR35SW!$A$9:$M$132,7,FALSE),
IF($A92&lt;SDR35G!$A$151,VLOOKUP($A92,SDR35G!$A$9:$M$150,7,FALSE),                                                                                                                                                                                                                                                       IF($A92&lt;SDR26G!$A$67,VLOOKUP($A92,SDR26G!$A$9:$N$66,8,FALSE),                                                                                                                                                                                                                                                     IF($A92&lt;Cements!$A$95,VLOOKUP($A92,Cements!$A$8:$Q$94,11,FALSE),
IF($A92&lt;ValveBox!$A$124,VLOOKUP($A92,ValveBox!$A$9:$O$123,10,FALSE),
IF($A92&lt;'ValveBox Components'!$A$142,VLOOKUP($A92,'ValveBox Components'!$A$9:$N$141,9,FALSE),
IF($A92&lt;Drainage!$A$69,VLOOKUP($A92,Drainage!$A$8:$M$68,7,FALSE),                                                                                                                                                                                                                                                          IF($A92&lt;Nipples!$A$82,VLOOKUP($A92,Nipples!$A$9:$Q$81,11,FALSE),
IF($A92&lt;Manifold!$A$33,VLOOKUP($A92,Manifold!$A$9:$M$32,7,FALSE),
IF($A92&lt;FlexibleRepairCouplings!$A$12,VLOOKUP($A92,FlexibleRepairCouplings!$A$9:$M$11,7,FALSE),
IF($A92&lt;DuraFix!$A$15,VLOOKUP($A92,DuraFix!$A$9:$M$14,7,FALSE),                                                                                                                                                                                                                                                           IF($A92&lt;'Compression Fittings'!$A$16,VLOOKUP($A92,'Compression Fittings'!$A$8:$M$15,7,FALSE),
IF($A92&lt;'Hose Fittings'!$A$30,VLOOKUP($A92,'Hose Fittings'!$A$8:$M$29,7,FALSE),
IF($A92&lt;'Swing Joints'!$A$495,VLOOKUP($A92,'Swing Joints'!$A$9:$M$494,7,FALSE),
IF($A92&lt;'Swing Joints Components'!$A$135,VLOOKUP($A92,'Swing Joints Components'!$A$9:$M$134,7,FALSE),
IF($A92&lt;Nonstandard!$A$42,VLOOKUP($A92,Nonstandard!$A$31:$J$41,10,FALSE),"")))))))))))))))))))))))))))),"")</f>
        <v/>
      </c>
      <c r="I92" s="621"/>
      <c r="J92" s="541" t="str">
        <f t="shared" si="1"/>
        <v/>
      </c>
      <c r="K92" s="599" t="str">
        <f>IFERROR(IF($A92&lt;'DWV PVC'!$A$317,VLOOKUP($A92,'DWV PVC'!$A$9:$M$316,10,FALSE),
IF($A92&lt;'DWV ABS'!$A$117,VLOOKUP($A92,'DWV ABS'!$A$8:$M$116,10,FALSE),
IF($A92&lt;'PVC SCH40'!$A$425,VLOOKUP($A92,'PVC SCH40'!$A$8:$M$424,10,FALSE),
IF($A92&lt;'PVC SCH40 LD'!$A$22,VLOOKUP($A92,'PVC SCH40 LD'!$A$8:$M$21,10,FALSE),
IF($A92&lt;'Pool &amp; SPA Sweep Elbows'!$A$12,VLOOKUP($A92,'Pool &amp; SPA Sweep Elbows'!$A$8:$M$11,10,FALSE),
IF($A92&lt;'Pool &amp; SPA Pipe Extender'!$A$11,VLOOKUP($A92,'Pool &amp; SPA Pipe Extender'!$A$8:$M$10,10,FALSE),
IF($A92&lt;'PVC SCH80'!$A$250,VLOOKUP($A92,'PVC SCH80'!$A$8:$M$249,10,FALSE),
IF($A92&lt;'PVC SCH80 Flange'!$A$49,VLOOKUP($A92,'PVC SCH80 Flange'!$A$8:$M$48,10,FALSE),
IF($A92&lt;'PVC SCH80 LD Flange'!$A$17,VLOOKUP($A92,'PVC SCH80 LD Flange'!$A$8:$M$16,10,FALSE),
IF($A92&lt;CPVC!$A$105,VLOOKUP($A92,CPVC!$A$9:$M$104,10,FALSE),
IF($A92&lt;InsertFittings!$A$185,VLOOKUP($A92,InsertFittings!$A$9:$M$184,10,FALSE),
IF($A92&lt;Valves!$A$92,VLOOKUP($A92,Valves!$A$9:$Q$91,14,FALSE),
IF($A92&lt;SDR35SW!$A$133,VLOOKUP($A92,SDR35SW!$A$9:$M$132,10,FALSE),
IF($A92&lt;SDR35G!$A$151,VLOOKUP($A92,SDR35G!$A$9:$M$150,10,FALSE),
IF($A92&lt;SDR26G!$A$67,VLOOKUP($A92,SDR26G!$A$9:$N$66,11,FALSE),
IF($A92&lt;Cements!$A$95,VLOOKUP($A92,Cements!$A$8:$Q$94,14,FALSE),
IF($A92&lt;ValveBox!$A$124,VLOOKUP($A92,ValveBox!$A$9:$O$123,12,FALSE),
IF($A92&lt;'ValveBox Components'!$A$142,VLOOKUP($A92,'ValveBox Components'!$A$9:$N$141,11,FALSE),
IF($A92&lt;Drainage!$A$69,VLOOKUP($A92,Drainage!$A$8:$M$68,10,FALSE),
IF($A92&lt;Nipples!$A$82,VLOOKUP($A92,Nipples!$A$9:$Q$81,14,FALSE),
IF($A92&lt;Manifold!$A$33,VLOOKUP($A92,Manifold!$A$9:$M$32,10,FALSE),
IF($A92&lt;FlexibleRepairCouplings!$A$12,VLOOKUP($A92,FlexibleRepairCouplings!$A$9:$M$11,10,FALSE),
IF($A92&lt;DuraFix!$A$15,VLOOKUP($A92,DuraFix!$A$9:$M$14,10,FALSE),
IF($A92&lt;'Compression Fittings'!$A$16,VLOOKUP($A92,'Compression Fittings'!$A$8:$M$15,10,FALSE),
IF($A92&lt;'Hose Fittings'!$A$30,VLOOKUP($A92,'Hose Fittings'!$A$8:$M$29,10,FALSE),
IF($A92&lt;'Swing Joints'!$A$495,VLOOKUP($A92,'Swing Joints'!$A$9:$M$494,10,FALSE),
IF($A92&lt;'Swing Joints Components'!$A$135,VLOOKUP($A92,'Swing Joints Components'!$A$9:$M$134,10,FALSE),
IF($A92&lt;Nonstandard!$A$42,VLOOKUP($A92,Nonstandard!$A$31:$J$41,10,FALSE),"")))))))))))))))))))))))))))),"")</f>
        <v/>
      </c>
      <c r="L92" s="539" t="str">
        <f t="shared" si="0"/>
        <v>-</v>
      </c>
      <c r="M92" s="542"/>
    </row>
    <row r="93" spans="1:13" ht="15.6">
      <c r="A93" s="312">
        <v>61</v>
      </c>
      <c r="B93" s="312" t="str">
        <f>IFERROR(IF($A93&lt;'DWV PVC'!$A$317,VLOOKUP($A93,'DWV PVC'!$A$9:$M$316,4,FALSE),
IF($A93&lt;'DWV ABS'!$A$117,VLOOKUP($A93,'DWV ABS'!$A$8:$M$116,4,FALSE),
IF($A93&lt;'PVC SCH40'!$A$425,VLOOKUP($A93,'PVC SCH40'!$A$8:$M$424,4,FALSE),
IF($A93&lt;'PVC SCH40 LD'!$A$22,VLOOKUP($A93,'PVC SCH40 LD'!$A$8:$M$21,4,FALSE),
IF($A93&lt;'Pool &amp; SPA Sweep Elbows'!$A$12,VLOOKUP($A93,'Pool &amp; SPA Sweep Elbows'!$A$8:$M$11,4,FALSE),
IF($A93&lt;'Pool &amp; SPA Pipe Extender'!$A$11,VLOOKUP($A93,'Pool &amp; SPA Pipe Extender'!$A$8:$M$10,4,FALSE),
IF($A93&lt;'PVC SCH80'!$A$250,VLOOKUP($A93,'PVC SCH80'!$A$8:$M$249,4,FALSE),
IF($A93&lt;'PVC SCH80 Flange'!$A$49,VLOOKUP($A93,'PVC SCH80 Flange'!$A$8:$M$48,4,FALSE),
IF($A93&lt;'PVC SCH80 LD Flange'!$A$17,VLOOKUP($A93,'PVC SCH80 LD Flange'!$A$8:$M$16,4,FALSE),
IF($A93&lt;CPVC!$A$105,VLOOKUP($A93,CPVC!$A$9:$M$104,4,FALSE),
IF($A93&lt;InsertFittings!$A$185,VLOOKUP($A93,InsertFittings!$A$9:$M$184,4,FALSE),
IF($A93&lt;Valves!$A$92,VLOOKUP($A93,Valves!$A$9:$Q$91,4,FALSE),
IF($A93&lt;SDR35SW!$A$133,VLOOKUP($A93,SDR35SW!$A$9:$M$132,4,FALSE),
IF($A93&lt;SDR35G!$A$151,VLOOKUP($A93,SDR35G!$A$9:$M$150,4,FALSE),
IF($A93&lt;SDR26G!$A$67,VLOOKUP($A93,SDR26G!$A$9:$N$66,5,FALSE),
IF($A93&lt;Cements!$A$95,VLOOKUP($A93,Cements!$A$8:$Q$94,4,FALSE),
IF($A93&lt;ValveBox!$A$124,VLOOKUP($A93,ValveBox!$A$9:$O$123,4,FALSE),
IF($A93&lt;'ValveBox Components'!$A$142,VLOOKUP($A93,'ValveBox Components'!$A$9:$N$141,4,FALSE),
IF($A93&lt;Drainage!$A$69,VLOOKUP($A93,Drainage!$A$8:$M$68,4,FALSE),
IF($A93&lt;Nipples!$A$82,VLOOKUP($A93,Nipples!$A$9:$Q$81,4,FALSE),
IF($A93&lt;Manifold!$A$33,VLOOKUP($A93,Manifold!$A$9:$M$32,4,FALSE),
IF($A93&lt;FlexibleRepairCouplings!$A$12,VLOOKUP($A93,FlexibleRepairCouplings!$A$9:$M$11,4,FALSE),
IF($A93&lt;DuraFix!$A$15,VLOOKUP($A93,DuraFix!$A$9:$M$14,4,FALSE),
IF($A93&lt;'Compression Fittings'!$A$16,VLOOKUP($A93,'Compression Fittings'!$A$8:$M$15,4,FALSE),
IF($A93&lt;'Hose Fittings'!$A$30,VLOOKUP($A93,'Hose Fittings'!$A$8:$M$29,4,FALSE),
IF($A93&lt;'Swing Joints'!$A$495,VLOOKUP($A93,'Swing Joints'!$A$9:$M$494,4,FALSE),
IF($A93&lt;'Swing Joints Components'!$A$135,VLOOKUP($A93,'Swing Joints Components'!$A$9:$M$134,4,FALSE),
IF($A93&lt;Nonstandard!$A$42,VLOOKUP($A93,Nonstandard!$A$31:$J$41,5,FALSE),"")))))))))))))))))))))))))))),"")</f>
        <v/>
      </c>
      <c r="C93" s="312" t="str">
        <f>IFERROR(IF($A93&lt;'DWV PVC'!$A$317,VLOOKUP($A93,'DWV PVC'!$A$9:$M$316,5,FALSE),
IF($A93&lt;'DWV ABS'!$A$117,VLOOKUP($A93,'DWV ABS'!$A$8:$M$116,5,FALSE),
IF($A93&lt;'PVC SCH40'!$A$425,VLOOKUP($A93,'PVC SCH40'!$A$8:$M$424,5,FALSE),
IF($A93&lt;'PVC SCH40 LD'!$A$22,VLOOKUP($A93,'PVC SCH40 LD'!$A$8:$M$21,5,FALSE),
IF($A93&lt;'Pool &amp; SPA Sweep Elbows'!$A$12,VLOOKUP($A93,'Pool &amp; SPA Sweep Elbows'!$A$8:$M$11,5,FALSE),
IF($A93&lt;'Pool &amp; SPA Pipe Extender'!$A$11,VLOOKUP($A93,'Pool &amp; SPA Pipe Extender'!$A$8:$M$10,5,FALSE),
IF($A93&lt;'PVC SCH80'!$A$250,VLOOKUP($A93,'PVC SCH80'!$A$8:$M$249,5,FALSE),
IF($A93&lt;'PVC SCH80 Flange'!$A$49,VLOOKUP($A93,'PVC SCH80 Flange'!$A$8:$M$48,5,FALSE),
IF($A93&lt;'PVC SCH80 LD Flange'!$A$17,VLOOKUP($A93,'PVC SCH80 LD Flange'!$A$8:$M$16,5,FALSE),
IF($A93&lt;CPVC!$A$105,VLOOKUP($A93,CPVC!$A$9:$M$104,5,FALSE),
IF($A93&lt;InsertFittings!$A$185,VLOOKUP($A93,InsertFittings!$A$9:$M$184,5,FALSE),
IF($A93&lt;Valves!$A$92,VLOOKUP($A93,Valves!$A$9:$Q$91,5,FALSE),
IF($A93&lt;SDR35SW!$A$133,VLOOKUP($A93,SDR35SW!$A$9:$M$132,5,FALSE),
IF($A93&lt;SDR35G!$A$151,VLOOKUP($A93,SDR35G!$A$9:$M$150,5,FALSE),
IF($A93&lt;SDR26G!$A$67,VLOOKUP($A93,SDR26G!$A$9:$N$66,6,FALSE),
IF($A93&lt;Cements!$A$95,VLOOKUP($A93,Cements!$A$8:$Q$94,5,FALSE),
IF($A93&lt;ValveBox!$A$124,VLOOKUP($A93,ValveBox!$A$9:$O$123,5,FALSE),
IF($A93&lt;'ValveBox Components'!$A$142,VLOOKUP($A93,'ValveBox Components'!$A$9:$N$141,5,FALSE),
IF($A93&lt;Drainage!$A$69,VLOOKUP($A93,Drainage!$A$8:$M$68,5,FALSE),
IF($A93&lt;Nipples!$A$82,VLOOKUP($A93,Nipples!$A$9:$Q$81,5,FALSE),
IF($A93&lt;Manifold!$A$33,VLOOKUP($A93,Manifold!$A$9:$M$32,5,FALSE),
IF($A93&lt;FlexibleRepairCouplings!$A$12,VLOOKUP($A93,FlexibleRepairCouplings!$A$9:$M$11,5,FALSE),
IF($A93&lt;DuraFix!$A$15,VLOOKUP($A93,DuraFix!$A$9:$M$14,5,FALSE),
IF($A93&lt;'Compression Fittings'!$A$16,VLOOKUP($A93,'Compression Fittings'!$A$8:$M$15,5,FALSE),
IF($A93&lt;'Hose Fittings'!$A$30,VLOOKUP($A93,'Hose Fittings'!$A$8:$M$29,5,FALSE),
IF($A93&lt;'Swing Joints'!$A$495,VLOOKUP($A93,'Swing Joints'!$A$9:$M$494,5,FALSE),
IF($A93&lt;'Swing Joints Components'!$A$135,VLOOKUP($A93,'Swing Joints Components'!$A$9:$M$134,5,FALSE),
IF($A93&lt;Nonstandard!$A$42,VLOOKUP($A93,Nonstandard!$A$31:$J$41,6,FALSE),"")))))))))))))))))))))))))))),"")</f>
        <v/>
      </c>
      <c r="D93" s="534" t="str">
        <f>IFERROR(IF($A93&lt;'DWV PVC'!$A$317,VLOOKUP($A93,'DWV PVC'!$A$9:$M$316,6,FALSE),
IF($A93&lt;'DWV ABS'!$A$117,VLOOKUP($A93,'DWV ABS'!$A$8:$M$116,6,FALSE),
IF($A93&lt;'PVC SCH40'!$A$425,VLOOKUP($A93,'PVC SCH40'!$A$8:$M$424,6,FALSE),
IF($A93&lt;'PVC SCH40 LD'!$A$22,VLOOKUP($A93,'PVC SCH40 LD'!$A$8:$M$21,6,FALSE),
IF($A93&lt;'Pool &amp; SPA Sweep Elbows'!$A$12,VLOOKUP($A93,'Pool &amp; SPA Sweep Elbows'!$A$8:$M$11,6,FALSE),
IF($A93&lt;'Pool &amp; SPA Pipe Extender'!$A$11,VLOOKUP($A93,'Pool &amp; SPA Pipe Extender'!$A$8:$M$10,6,FALSE),
IF($A93&lt;'PVC SCH80'!$A$250,VLOOKUP($A93,'PVC SCH80'!$A$8:$M$249,6,FALSE),
IF($A93&lt;'PVC SCH80 Flange'!$A$49,VLOOKUP($A93,'PVC SCH80 Flange'!$A$8:$M$48,6,FALSE),
IF($A93&lt;'PVC SCH80 LD Flange'!$A$17,VLOOKUP($A93,'PVC SCH80 LD Flange'!$A$8:$M$16,6,FALSE),
IF($A93&lt;CPVC!$A$105,VLOOKUP($A93,CPVC!$A$9:$M$104,6,FALSE),
IF($A93&lt;InsertFittings!$A$185,VLOOKUP($A93,InsertFittings!$A$9:$M$184,6,FALSE),
IF($A93&lt;Valves!$A$92,VLOOKUP($A93,Valves!$A$9:$Q$91,6,FALSE),
IF($A93&lt;SDR35SW!$A$133,VLOOKUP($A93,SDR35SW!$A$9:$M$132,6,FALSE),
IF($A93&lt;SDR35G!$A$151,VLOOKUP($A93,SDR35G!$A$9:$M$150,6,FALSE),
IF($A93&lt;SDR26G!$A$67,VLOOKUP($A93,SDR26G!$A$9:$N$66,7,FALSE),
IF($A93&lt;Cements!$A$95,VLOOKUP($A93,Cements!$A$8:$Q$94,6,FALSE),
IF($A93&lt;ValveBox!$A$124,VLOOKUP($A93,ValveBox!$A$9:$O$123,6,FALSE),
IF($A93&lt;'ValveBox Components'!$A$142,VLOOKUP($A93,'ValveBox Components'!$A$9:$N$141,6,FALSE),
IF($A93&lt;Drainage!$A$69,VLOOKUP($A93,Drainage!$A$8:$M$68,6,FALSE),
IF($A93&lt;Nipples!$A$82,VLOOKUP($A93,Nipples!$A$9:$Q$81,6,FALSE),
IF($A93&lt;Manifold!$A$33,VLOOKUP($A93,Manifold!$A$9:$M$32,6,FALSE),
IF($A93&lt;FlexibleRepairCouplings!$A$12,VLOOKUP($A93,FlexibleRepairCouplings!$A$9:$M$11,6,FALSE),
IF($A93&lt;DuraFix!$A$15,VLOOKUP($A93,DuraFix!$A$9:$M$14,6,FALSE),
IF($A93&lt;'Compression Fittings'!$A$16,VLOOKUP($A93,'Compression Fittings'!$A$8:$M$15,6,FALSE),
IF($A93&lt;'Hose Fittings'!$A$30,VLOOKUP($A93,'Hose Fittings'!$A$8:$M$29,6,FALSE),
IF($A93&lt;'Swing Joints'!$A$495,VLOOKUP($A93,'Swing Joints'!$A$9:$M$494,6,FALSE),
IF($A93&lt;'Swing Joints Components'!$A$135,VLOOKUP($A93,'Swing Joints Components'!$A$9:$M$134,6,FALSE),
IF($A93&lt;Nonstandard!$A$42,VLOOKUP($A93,Nonstandard!$A$31:$J$41,7,FALSE),"")))))))))))))))))))))))))))),"")</f>
        <v/>
      </c>
      <c r="E93" s="316"/>
      <c r="F93" s="314" t="str">
        <f>IFERROR(IF($A93&lt;'DWV PVC'!$A$317,VLOOKUP($A93,'DWV PVC'!$A$9:$M$316,9,FALSE),
IF($A93&lt;'DWV ABS'!$A$117,VLOOKUP($A93,'DWV ABS'!$A$8:$M$116,9,FALSE),                                                                                                                                                                                                                                                     IF($A93&lt;'PVC SCH40'!$A$425,VLOOKUP($A93,'PVC SCH40'!$A$8:$M$424,9,FALSE),
IF($A93&lt;'PVC SCH40 LD'!$A$22,VLOOKUP($A93,'PVC SCH40 LD'!$A$8:$M$21,9,FALSE),
IF($A93&lt;'Pool &amp; SPA Sweep Elbows'!$A$12,VLOOKUP($A93,'Pool &amp; SPA Sweep Elbows'!$A$8:$M$11,9,FALSE),
IF($A93&lt;'Pool &amp; SPA Pipe Extender'!$A$11,VLOOKUP($A93,'Pool &amp; SPA Pipe Extender'!$A$8:$M$10,9,FALSE),
IF($A93&lt;'PVC SCH80'!$A$250,VLOOKUP($A93,'PVC SCH80'!$A$8:$M$249,9,FALSE),
IF($A93&lt;'PVC SCH80 Flange'!$A$49,VLOOKUP($A93,'PVC SCH80 Flange'!$A$8:$M$48,9,FALSE),
IF($A93&lt;'PVC SCH80 LD Flange'!$A$17,VLOOKUP($A93,'PVC SCH80 LD Flange'!$A$8:$M$16,9,FALSE),
IF($A93&lt;CPVC!$A$105,VLOOKUP($A93,CPVC!$A$9:$M$104,9,FALSE),
IF($A93&lt;InsertFittings!$A$185,VLOOKUP($A93,InsertFittings!$A$9:$M$184,9,FALSE),
IF($A93&lt;Valves!$A$92,VLOOKUP($A93,Valves!$A$9:$Q$91,13,FALSE),
IF($A93&lt;SDR35SW!$A$133,VLOOKUP($A93,SDR35SW!$A$9:$M$132,9,FALSE),
IF($A93&lt;SDR35G!$A$151,VLOOKUP($A93,SDR35G!$A$9:$M$150,9,FALSE),                                                                                                                                                                                                                                                          IF($A93&lt;SDR26G!$A$67,VLOOKUP($A93,SDR26G!$A$9:$N$66,10,FALSE),                                                                                                                                                                                                                                                       IF($A93&lt;Cements!$A$95,VLOOKUP($A93,Cements!$A$8:$Q$94,13,FALSE),
IF($A93&lt;ValveBox!$A$124,VLOOKUP($A93,ValveBox!$A$9:$O$123,11,FALSE),
IF($A93&lt;'ValveBox Components'!$A$142,VLOOKUP($A93,'ValveBox Components'!$A$9:$N$141,10,FALSE),
IF($A93&lt;Drainage!$A$69,VLOOKUP($A93,Drainage!$A$8:$M$68,9,FALSE),                                                                                                                                                                                                                                                              IF($A93&lt;Nipples!$A$82,VLOOKUP($A93,Nipples!$A$9:$Q$81,13,FALSE),
IF($A93&lt;Manifold!$A$33,VLOOKUP($A93,Manifold!$A$9:$M$32,9,FALSE),
IF($A93&lt;FlexibleRepairCouplings!$A$12,VLOOKUP($A93,FlexibleRepairCouplings!$A$9:$M$11,9,FALSE),
IF($A93&lt;DuraFix!$A$15,VLOOKUP($A93,DuraFix!$A$9:$M$14,9,FALSE),                                                                                                                                                                                                                                                          IF($A93&lt;'Compression Fittings'!$A$16,VLOOKUP($A93,'Compression Fittings'!$A$8:$M$15,9,FALSE),
IF($A93&lt;'Hose Fittings'!$A$30,VLOOKUP($A93,'Hose Fittings'!$A$8:$M$29,9,FALSE),
IF($A93&lt;'Swing Joints'!$A$495,VLOOKUP($A93,'Swing Joints'!$A$9:$M$494,9,FALSE),
IF($A93&lt;'Swing Joints Components'!$A$135,VLOOKUP($A93,'Swing Joints Components'!$A$9:$M$134,9,FALSE),
IF($A93&lt;Nonstandard!$A$42,VLOOKUP($A93,Nonstandard!$A$31:$J$41,8,FALSE),"")))))))))))))))))))))))))))),"")</f>
        <v/>
      </c>
      <c r="G93" s="533" t="str">
        <f>IFERROR(IF($A93&lt;'DWV PVC'!$A$317,VLOOKUP($A93,'DWV PVC'!$A$9:$M$316,11,FALSE),
IF($A93&lt;'DWV ABS'!$A$117,VLOOKUP($A93,'DWV ABS'!$A$8:$M$116,11,FALSE),                                                                                                                                                                                                                                                     IF($A93&lt;'PVC SCH40'!$A$425,VLOOKUP($A93,'PVC SCH40'!$A$8:$M$424,11,FALSE),
IF($A93&lt;'PVC SCH40 LD'!$A$22,VLOOKUP($A93,'PVC SCH40 LD'!$A$8:$M$21,11,FALSE),
IF($A93&lt;'Pool &amp; SPA Sweep Elbows'!$A$12,VLOOKUP($A93,'Pool &amp; SPA Sweep Elbows'!$A$8:$M$11,11,FALSE),
IF($A93&lt;'Pool &amp; SPA Pipe Extender'!$A$11,VLOOKUP($A93,'Pool &amp; SPA Pipe Extender'!$A$8:$M$10,11,FALSE),
IF($A93&lt;'PVC SCH80'!$A$250,VLOOKUP($A93,'PVC SCH80'!$A$8:$M$249,11,FALSE),
IF($A93&lt;'PVC SCH80 Flange'!$A$49,VLOOKUP($A93,'PVC SCH80 Flange'!$A$8:$M$48,11,FALSE),
IF($A93&lt;'PVC SCH80 LD Flange'!$A$17,VLOOKUP($A93,'PVC SCH80 LD Flange'!$A$8:$M$16,11,FALSE),
IF($A93&lt;CPVC!$A$105,VLOOKUP($A93,CPVC!$A$9:$M$104,11,FALSE),
IF($A93&lt;InsertFittings!$A$185,VLOOKUP($A93,InsertFittings!$A$9:$M$184,11,FALSE),
IF($A93&lt;Valves!$A$92,VLOOKUP($A93,Valves!$A$9:$Q$91,15,FALSE),
IF($A93&lt;SDR35SW!$A$133,VLOOKUP($A93,SDR35SW!$A$9:$M$132,11,FALSE),
IF($A93&lt;SDR35G!$A$151,VLOOKUP($A93,SDR35G!$A$9:$M$150,11,FALSE),                                                                                                                                                                                                                                                          IF($A93&lt;SDR26G!$A$67,VLOOKUP($A93,SDR26G!$A$9:$N$66,12,FALSE),                                                                                                                                                                                                                                                       IF($A93&lt;Cements!$A$95,VLOOKUP($A93,Cements!$A$8:$Q$94,15,FALSE),
IF($A93&lt;ValveBox!$A$124,VLOOKUP($A93,ValveBox!$A$9:$O$123,13,FALSE),
IF($A93&lt;'ValveBox Components'!$A$142,VLOOKUP($A93,'ValveBox Components'!$A$9:$N$141,12,FALSE),
IF($A93&lt;Drainage!$A$69,VLOOKUP($A93,Drainage!$A$8:$M$68,11,FALSE),                                                                                                                                                                                                                                                           IF($A93&lt;Nipples!$A$82,VLOOKUP($A93,Nipples!$A$9:$Q$81,15,FALSE),
IF($A93&lt;Manifold!$A$33,VLOOKUP($A93,Manifold!$A$9:$M$32,11,FALSE),
IF($A93&lt;FlexibleRepairCouplings!$A$12,VLOOKUP($A93,FlexibleRepairCouplings!$A$9:$M$11,11,FALSE),
IF($A93&lt;DuraFix!$A$15,VLOOKUP($A93,DuraFix!$A$9:$M$14,11,FALSE),                                                                                                                                                                                                                                                            IF($A93&lt;'Compression Fittings'!$A$16,VLOOKUP($A93,'Compression Fittings'!$A$8:$M$15,11,FALSE),
IF($A93&lt;'Hose Fittings'!$A$30,VLOOKUP($A93,'Hose Fittings'!$A$8:$M$29,11,FALSE),
IF($A93&lt;'Swing Joints'!$A$495,VLOOKUP($A93,'Swing Joints'!$A$9:$M$494,11,FALSE),
IF($A93&lt;'Swing Joints Components'!$A$135,VLOOKUP($A93,'Swing Joints Components'!$A$9:$M$134,11,FALSE),
IF($A93&lt;Nonstandard!$A$42,VLOOKUP($A93,Nonstandard!$A$31:$J$41,10,FALSE),"")))))))))))))))))))))))))))),"")</f>
        <v/>
      </c>
      <c r="H93" s="618" t="str">
        <f>IFERROR(IF($A93&lt;'DWV PVC'!$A$317,VLOOKUP($A93,'DWV PVC'!$A$9:$M$316,7,FALSE),
IF($A93&lt;'DWV ABS'!$A$117,VLOOKUP($A93,'DWV ABS'!$A$8:$M$116,11,FALSE),                                                                                                                                                                                                                                                     IF($A93&lt;'PVC SCH40'!$A$425,VLOOKUP($A93,'PVC SCH40'!$A$8:$M$424,7,FALSE),
IF($A93&lt;'PVC SCH40 LD'!$A$22,VLOOKUP($A93,'PVC SCH40 LD'!$A$8:$M$21,7,FALSE),
IF($A93&lt;'Pool &amp; SPA Sweep Elbows'!$A$12,VLOOKUP($A93,'Pool &amp; SPA Sweep Elbows'!$A$8:$M$11,7,FALSE),
IF($A93&lt;'Pool &amp; SPA Pipe Extender'!$A$11,VLOOKUP($A93,'Pool &amp; SPA Pipe Extender'!$A$8:$M$10,7,FALSE),
IF($A93&lt;'PVC SCH80'!$A$250,VLOOKUP($A93,'PVC SCH80'!$A$8:$M$249,7,FALSE),
IF($A93&lt;'PVC SCH80 Flange'!$A$49,VLOOKUP($A93,'PVC SCH80 Flange'!$A$8:$M$48,7,FALSE),
IF($A93&lt;'PVC SCH80 LD Flange'!$A$17,VLOOKUP($A93,'PVC SCH80 LD Flange'!$A$8:$M$16,7,FALSE),
IF($A93&lt;CPVC!$A$105,VLOOKUP($A93,CPVC!$A$9:$M$104,7,FALSE),
IF($A93&lt;InsertFittings!$A$185,VLOOKUP($A93,InsertFittings!$A$9:$M$184,7,FALSE),
IF($A93&lt;Valves!$A$92,VLOOKUP($A93,Valves!$A$9:$Q$91,11,FALSE),
IF($A93&lt;SDR35SW!$A$133,VLOOKUP($A93,SDR35SW!$A$9:$M$132,7,FALSE),
IF($A93&lt;SDR35G!$A$151,VLOOKUP($A93,SDR35G!$A$9:$M$150,7,FALSE),                                                                                                                                                                                                                                                       IF($A93&lt;SDR26G!$A$67,VLOOKUP($A93,SDR26G!$A$9:$N$66,8,FALSE),                                                                                                                                                                                                                                                     IF($A93&lt;Cements!$A$95,VLOOKUP($A93,Cements!$A$8:$Q$94,11,FALSE),
IF($A93&lt;ValveBox!$A$124,VLOOKUP($A93,ValveBox!$A$9:$O$123,10,FALSE),
IF($A93&lt;'ValveBox Components'!$A$142,VLOOKUP($A93,'ValveBox Components'!$A$9:$N$141,9,FALSE),
IF($A93&lt;Drainage!$A$69,VLOOKUP($A93,Drainage!$A$8:$M$68,7,FALSE),                                                                                                                                                                                                                                                          IF($A93&lt;Nipples!$A$82,VLOOKUP($A93,Nipples!$A$9:$Q$81,11,FALSE),
IF($A93&lt;Manifold!$A$33,VLOOKUP($A93,Manifold!$A$9:$M$32,7,FALSE),
IF($A93&lt;FlexibleRepairCouplings!$A$12,VLOOKUP($A93,FlexibleRepairCouplings!$A$9:$M$11,7,FALSE),
IF($A93&lt;DuraFix!$A$15,VLOOKUP($A93,DuraFix!$A$9:$M$14,7,FALSE),                                                                                                                                                                                                                                                           IF($A93&lt;'Compression Fittings'!$A$16,VLOOKUP($A93,'Compression Fittings'!$A$8:$M$15,7,FALSE),
IF($A93&lt;'Hose Fittings'!$A$30,VLOOKUP($A93,'Hose Fittings'!$A$8:$M$29,7,FALSE),
IF($A93&lt;'Swing Joints'!$A$495,VLOOKUP($A93,'Swing Joints'!$A$9:$M$494,7,FALSE),
IF($A93&lt;'Swing Joints Components'!$A$135,VLOOKUP($A93,'Swing Joints Components'!$A$9:$M$134,7,FALSE),
IF($A93&lt;Nonstandard!$A$42,VLOOKUP($A93,Nonstandard!$A$31:$J$41,10,FALSE),"")))))))))))))))))))))))))))),"")</f>
        <v/>
      </c>
      <c r="I93" s="619"/>
      <c r="J93" s="281" t="str">
        <f t="shared" si="1"/>
        <v/>
      </c>
      <c r="K93" s="313" t="str">
        <f>IFERROR(IF($A93&lt;'DWV PVC'!$A$317,VLOOKUP($A93,'DWV PVC'!$A$9:$M$316,10,FALSE),
IF($A93&lt;'DWV ABS'!$A$117,VLOOKUP($A93,'DWV ABS'!$A$8:$M$116,10,FALSE),
IF($A93&lt;'PVC SCH40'!$A$425,VLOOKUP($A93,'PVC SCH40'!$A$8:$M$424,10,FALSE),
IF($A93&lt;'PVC SCH40 LD'!$A$22,VLOOKUP($A93,'PVC SCH40 LD'!$A$8:$M$21,10,FALSE),
IF($A93&lt;'Pool &amp; SPA Sweep Elbows'!$A$12,VLOOKUP($A93,'Pool &amp; SPA Sweep Elbows'!$A$8:$M$11,10,FALSE),
IF($A93&lt;'Pool &amp; SPA Pipe Extender'!$A$11,VLOOKUP($A93,'Pool &amp; SPA Pipe Extender'!$A$8:$M$10,10,FALSE),
IF($A93&lt;'PVC SCH80'!$A$250,VLOOKUP($A93,'PVC SCH80'!$A$8:$M$249,10,FALSE),
IF($A93&lt;'PVC SCH80 Flange'!$A$49,VLOOKUP($A93,'PVC SCH80 Flange'!$A$8:$M$48,10,FALSE),
IF($A93&lt;'PVC SCH80 LD Flange'!$A$17,VLOOKUP($A93,'PVC SCH80 LD Flange'!$A$8:$M$16,10,FALSE),
IF($A93&lt;CPVC!$A$105,VLOOKUP($A93,CPVC!$A$9:$M$104,10,FALSE),
IF($A93&lt;InsertFittings!$A$185,VLOOKUP($A93,InsertFittings!$A$9:$M$184,10,FALSE),
IF($A93&lt;Valves!$A$92,VLOOKUP($A93,Valves!$A$9:$Q$91,14,FALSE),
IF($A93&lt;SDR35SW!$A$133,VLOOKUP($A93,SDR35SW!$A$9:$M$132,10,FALSE),
IF($A93&lt;SDR35G!$A$151,VLOOKUP($A93,SDR35G!$A$9:$M$150,10,FALSE),
IF($A93&lt;SDR26G!$A$67,VLOOKUP($A93,SDR26G!$A$9:$N$66,11,FALSE),
IF($A93&lt;Cements!$A$95,VLOOKUP($A93,Cements!$A$8:$Q$94,14,FALSE),
IF($A93&lt;ValveBox!$A$124,VLOOKUP($A93,ValveBox!$A$9:$O$123,12,FALSE),
IF($A93&lt;'ValveBox Components'!$A$142,VLOOKUP($A93,'ValveBox Components'!$A$9:$N$141,11,FALSE),
IF($A93&lt;Drainage!$A$69,VLOOKUP($A93,Drainage!$A$8:$M$68,10,FALSE),
IF($A93&lt;Nipples!$A$82,VLOOKUP($A93,Nipples!$A$9:$Q$81,14,FALSE),
IF($A93&lt;Manifold!$A$33,VLOOKUP($A93,Manifold!$A$9:$M$32,10,FALSE),
IF($A93&lt;FlexibleRepairCouplings!$A$12,VLOOKUP($A93,FlexibleRepairCouplings!$A$9:$M$11,10,FALSE),
IF($A93&lt;DuraFix!$A$15,VLOOKUP($A93,DuraFix!$A$9:$M$14,10,FALSE),
IF($A93&lt;'Compression Fittings'!$A$16,VLOOKUP($A93,'Compression Fittings'!$A$8:$M$15,10,FALSE),
IF($A93&lt;'Hose Fittings'!$A$30,VLOOKUP($A93,'Hose Fittings'!$A$8:$M$29,10,FALSE),
IF($A93&lt;'Swing Joints'!$A$495,VLOOKUP($A93,'Swing Joints'!$A$9:$M$494,10,FALSE),
IF($A93&lt;'Swing Joints Components'!$A$135,VLOOKUP($A93,'Swing Joints Components'!$A$9:$M$134,10,FALSE),
IF($A93&lt;Nonstandard!$A$42,VLOOKUP($A93,Nonstandard!$A$31:$J$41,10,FALSE),"")))))))))))))))))))))))))))),"")</f>
        <v/>
      </c>
      <c r="L93" s="314" t="str">
        <f t="shared" si="0"/>
        <v>-</v>
      </c>
      <c r="M93" s="315"/>
    </row>
    <row r="94" spans="1:13" ht="15.6">
      <c r="A94" s="536">
        <v>62</v>
      </c>
      <c r="B94" s="536" t="str">
        <f>IFERROR(IF($A94&lt;'DWV PVC'!$A$317,VLOOKUP($A94,'DWV PVC'!$A$9:$M$316,4,FALSE),
IF($A94&lt;'DWV ABS'!$A$117,VLOOKUP($A94,'DWV ABS'!$A$8:$M$116,4,FALSE),
IF($A94&lt;'PVC SCH40'!$A$425,VLOOKUP($A94,'PVC SCH40'!$A$8:$M$424,4,FALSE),
IF($A94&lt;'PVC SCH40 LD'!$A$22,VLOOKUP($A94,'PVC SCH40 LD'!$A$8:$M$21,4,FALSE),
IF($A94&lt;'Pool &amp; SPA Sweep Elbows'!$A$12,VLOOKUP($A94,'Pool &amp; SPA Sweep Elbows'!$A$8:$M$11,4,FALSE),
IF($A94&lt;'Pool &amp; SPA Pipe Extender'!$A$11,VLOOKUP($A94,'Pool &amp; SPA Pipe Extender'!$A$8:$M$10,4,FALSE),
IF($A94&lt;'PVC SCH80'!$A$250,VLOOKUP($A94,'PVC SCH80'!$A$8:$M$249,4,FALSE),
IF($A94&lt;'PVC SCH80 Flange'!$A$49,VLOOKUP($A94,'PVC SCH80 Flange'!$A$8:$M$48,4,FALSE),
IF($A94&lt;'PVC SCH80 LD Flange'!$A$17,VLOOKUP($A94,'PVC SCH80 LD Flange'!$A$8:$M$16,4,FALSE),
IF($A94&lt;CPVC!$A$105,VLOOKUP($A94,CPVC!$A$9:$M$104,4,FALSE),
IF($A94&lt;InsertFittings!$A$185,VLOOKUP($A94,InsertFittings!$A$9:$M$184,4,FALSE),
IF($A94&lt;Valves!$A$92,VLOOKUP($A94,Valves!$A$9:$Q$91,4,FALSE),
IF($A94&lt;SDR35SW!$A$133,VLOOKUP($A94,SDR35SW!$A$9:$M$132,4,FALSE),
IF($A94&lt;SDR35G!$A$151,VLOOKUP($A94,SDR35G!$A$9:$M$150,4,FALSE),
IF($A94&lt;SDR26G!$A$67,VLOOKUP($A94,SDR26G!$A$9:$N$66,5,FALSE),
IF($A94&lt;Cements!$A$95,VLOOKUP($A94,Cements!$A$8:$Q$94,4,FALSE),
IF($A94&lt;ValveBox!$A$124,VLOOKUP($A94,ValveBox!$A$9:$O$123,4,FALSE),
IF($A94&lt;'ValveBox Components'!$A$142,VLOOKUP($A94,'ValveBox Components'!$A$9:$N$141,4,FALSE),
IF($A94&lt;Drainage!$A$69,VLOOKUP($A94,Drainage!$A$8:$M$68,4,FALSE),
IF($A94&lt;Nipples!$A$82,VLOOKUP($A94,Nipples!$A$9:$Q$81,4,FALSE),
IF($A94&lt;Manifold!$A$33,VLOOKUP($A94,Manifold!$A$9:$M$32,4,FALSE),
IF($A94&lt;FlexibleRepairCouplings!$A$12,VLOOKUP($A94,FlexibleRepairCouplings!$A$9:$M$11,4,FALSE),
IF($A94&lt;DuraFix!$A$15,VLOOKUP($A94,DuraFix!$A$9:$M$14,4,FALSE),
IF($A94&lt;'Compression Fittings'!$A$16,VLOOKUP($A94,'Compression Fittings'!$A$8:$M$15,4,FALSE),
IF($A94&lt;'Hose Fittings'!$A$30,VLOOKUP($A94,'Hose Fittings'!$A$8:$M$29,4,FALSE),
IF($A94&lt;'Swing Joints'!$A$495,VLOOKUP($A94,'Swing Joints'!$A$9:$M$494,4,FALSE),
IF($A94&lt;'Swing Joints Components'!$A$135,VLOOKUP($A94,'Swing Joints Components'!$A$9:$M$134,4,FALSE),
IF($A94&lt;Nonstandard!$A$42,VLOOKUP($A94,Nonstandard!$A$31:$J$41,5,FALSE),"")))))))))))))))))))))))))))),"")</f>
        <v/>
      </c>
      <c r="C94" s="536" t="str">
        <f>IFERROR(IF($A94&lt;'DWV PVC'!$A$317,VLOOKUP($A94,'DWV PVC'!$A$9:$M$316,5,FALSE),
IF($A94&lt;'DWV ABS'!$A$117,VLOOKUP($A94,'DWV ABS'!$A$8:$M$116,5,FALSE),
IF($A94&lt;'PVC SCH40'!$A$425,VLOOKUP($A94,'PVC SCH40'!$A$8:$M$424,5,FALSE),
IF($A94&lt;'PVC SCH40 LD'!$A$22,VLOOKUP($A94,'PVC SCH40 LD'!$A$8:$M$21,5,FALSE),
IF($A94&lt;'Pool &amp; SPA Sweep Elbows'!$A$12,VLOOKUP($A94,'Pool &amp; SPA Sweep Elbows'!$A$8:$M$11,5,FALSE),
IF($A94&lt;'Pool &amp; SPA Pipe Extender'!$A$11,VLOOKUP($A94,'Pool &amp; SPA Pipe Extender'!$A$8:$M$10,5,FALSE),
IF($A94&lt;'PVC SCH80'!$A$250,VLOOKUP($A94,'PVC SCH80'!$A$8:$M$249,5,FALSE),
IF($A94&lt;'PVC SCH80 Flange'!$A$49,VLOOKUP($A94,'PVC SCH80 Flange'!$A$8:$M$48,5,FALSE),
IF($A94&lt;'PVC SCH80 LD Flange'!$A$17,VLOOKUP($A94,'PVC SCH80 LD Flange'!$A$8:$M$16,5,FALSE),
IF($A94&lt;CPVC!$A$105,VLOOKUP($A94,CPVC!$A$9:$M$104,5,FALSE),
IF($A94&lt;InsertFittings!$A$185,VLOOKUP($A94,InsertFittings!$A$9:$M$184,5,FALSE),
IF($A94&lt;Valves!$A$92,VLOOKUP($A94,Valves!$A$9:$Q$91,5,FALSE),
IF($A94&lt;SDR35SW!$A$133,VLOOKUP($A94,SDR35SW!$A$9:$M$132,5,FALSE),
IF($A94&lt;SDR35G!$A$151,VLOOKUP($A94,SDR35G!$A$9:$M$150,5,FALSE),
IF($A94&lt;SDR26G!$A$67,VLOOKUP($A94,SDR26G!$A$9:$N$66,6,FALSE),
IF($A94&lt;Cements!$A$95,VLOOKUP($A94,Cements!$A$8:$Q$94,5,FALSE),
IF($A94&lt;ValveBox!$A$124,VLOOKUP($A94,ValveBox!$A$9:$O$123,5,FALSE),
IF($A94&lt;'ValveBox Components'!$A$142,VLOOKUP($A94,'ValveBox Components'!$A$9:$N$141,5,FALSE),
IF($A94&lt;Drainage!$A$69,VLOOKUP($A94,Drainage!$A$8:$M$68,5,FALSE),
IF($A94&lt;Nipples!$A$82,VLOOKUP($A94,Nipples!$A$9:$Q$81,5,FALSE),
IF($A94&lt;Manifold!$A$33,VLOOKUP($A94,Manifold!$A$9:$M$32,5,FALSE),
IF($A94&lt;FlexibleRepairCouplings!$A$12,VLOOKUP($A94,FlexibleRepairCouplings!$A$9:$M$11,5,FALSE),
IF($A94&lt;DuraFix!$A$15,VLOOKUP($A94,DuraFix!$A$9:$M$14,5,FALSE),
IF($A94&lt;'Compression Fittings'!$A$16,VLOOKUP($A94,'Compression Fittings'!$A$8:$M$15,5,FALSE),
IF($A94&lt;'Hose Fittings'!$A$30,VLOOKUP($A94,'Hose Fittings'!$A$8:$M$29,5,FALSE),
IF($A94&lt;'Swing Joints'!$A$495,VLOOKUP($A94,'Swing Joints'!$A$9:$M$494,5,FALSE),
IF($A94&lt;'Swing Joints Components'!$A$135,VLOOKUP($A94,'Swing Joints Components'!$A$9:$M$134,5,FALSE),
IF($A94&lt;Nonstandard!$A$42,VLOOKUP($A94,Nonstandard!$A$31:$J$41,6,FALSE),"")))))))))))))))))))))))))))),"")</f>
        <v/>
      </c>
      <c r="D94" s="537" t="str">
        <f>IFERROR(IF($A94&lt;'DWV PVC'!$A$317,VLOOKUP($A94,'DWV PVC'!$A$9:$M$316,6,FALSE),
IF($A94&lt;'DWV ABS'!$A$117,VLOOKUP($A94,'DWV ABS'!$A$8:$M$116,6,FALSE),
IF($A94&lt;'PVC SCH40'!$A$425,VLOOKUP($A94,'PVC SCH40'!$A$8:$M$424,6,FALSE),
IF($A94&lt;'PVC SCH40 LD'!$A$22,VLOOKUP($A94,'PVC SCH40 LD'!$A$8:$M$21,6,FALSE),
IF($A94&lt;'Pool &amp; SPA Sweep Elbows'!$A$12,VLOOKUP($A94,'Pool &amp; SPA Sweep Elbows'!$A$8:$M$11,6,FALSE),
IF($A94&lt;'Pool &amp; SPA Pipe Extender'!$A$11,VLOOKUP($A94,'Pool &amp; SPA Pipe Extender'!$A$8:$M$10,6,FALSE),
IF($A94&lt;'PVC SCH80'!$A$250,VLOOKUP($A94,'PVC SCH80'!$A$8:$M$249,6,FALSE),
IF($A94&lt;'PVC SCH80 Flange'!$A$49,VLOOKUP($A94,'PVC SCH80 Flange'!$A$8:$M$48,6,FALSE),
IF($A94&lt;'PVC SCH80 LD Flange'!$A$17,VLOOKUP($A94,'PVC SCH80 LD Flange'!$A$8:$M$16,6,FALSE),
IF($A94&lt;CPVC!$A$105,VLOOKUP($A94,CPVC!$A$9:$M$104,6,FALSE),
IF($A94&lt;InsertFittings!$A$185,VLOOKUP($A94,InsertFittings!$A$9:$M$184,6,FALSE),
IF($A94&lt;Valves!$A$92,VLOOKUP($A94,Valves!$A$9:$Q$91,6,FALSE),
IF($A94&lt;SDR35SW!$A$133,VLOOKUP($A94,SDR35SW!$A$9:$M$132,6,FALSE),
IF($A94&lt;SDR35G!$A$151,VLOOKUP($A94,SDR35G!$A$9:$M$150,6,FALSE),
IF($A94&lt;SDR26G!$A$67,VLOOKUP($A94,SDR26G!$A$9:$N$66,7,FALSE),
IF($A94&lt;Cements!$A$95,VLOOKUP($A94,Cements!$A$8:$Q$94,6,FALSE),
IF($A94&lt;ValveBox!$A$124,VLOOKUP($A94,ValveBox!$A$9:$O$123,6,FALSE),
IF($A94&lt;'ValveBox Components'!$A$142,VLOOKUP($A94,'ValveBox Components'!$A$9:$N$141,6,FALSE),
IF($A94&lt;Drainage!$A$69,VLOOKUP($A94,Drainage!$A$8:$M$68,6,FALSE),
IF($A94&lt;Nipples!$A$82,VLOOKUP($A94,Nipples!$A$9:$Q$81,6,FALSE),
IF($A94&lt;Manifold!$A$33,VLOOKUP($A94,Manifold!$A$9:$M$32,6,FALSE),
IF($A94&lt;FlexibleRepairCouplings!$A$12,VLOOKUP($A94,FlexibleRepairCouplings!$A$9:$M$11,6,FALSE),
IF($A94&lt;DuraFix!$A$15,VLOOKUP($A94,DuraFix!$A$9:$M$14,6,FALSE),
IF($A94&lt;'Compression Fittings'!$A$16,VLOOKUP($A94,'Compression Fittings'!$A$8:$M$15,6,FALSE),
IF($A94&lt;'Hose Fittings'!$A$30,VLOOKUP($A94,'Hose Fittings'!$A$8:$M$29,6,FALSE),
IF($A94&lt;'Swing Joints'!$A$495,VLOOKUP($A94,'Swing Joints'!$A$9:$M$494,6,FALSE),
IF($A94&lt;'Swing Joints Components'!$A$135,VLOOKUP($A94,'Swing Joints Components'!$A$9:$M$134,6,FALSE),
IF($A94&lt;Nonstandard!$A$42,VLOOKUP($A94,Nonstandard!$A$31:$J$41,7,FALSE),"")))))))))))))))))))))))))))),"")</f>
        <v/>
      </c>
      <c r="E94" s="538"/>
      <c r="F94" s="539" t="str">
        <f>IFERROR(IF($A94&lt;'DWV PVC'!$A$317,VLOOKUP($A94,'DWV PVC'!$A$9:$M$316,9,FALSE),
IF($A94&lt;'DWV ABS'!$A$117,VLOOKUP($A94,'DWV ABS'!$A$8:$M$116,9,FALSE),                                                                                                                                                                                                                                                     IF($A94&lt;'PVC SCH40'!$A$425,VLOOKUP($A94,'PVC SCH40'!$A$8:$M$424,9,FALSE),
IF($A94&lt;'PVC SCH40 LD'!$A$22,VLOOKUP($A94,'PVC SCH40 LD'!$A$8:$M$21,9,FALSE),
IF($A94&lt;'Pool &amp; SPA Sweep Elbows'!$A$12,VLOOKUP($A94,'Pool &amp; SPA Sweep Elbows'!$A$8:$M$11,9,FALSE),
IF($A94&lt;'Pool &amp; SPA Pipe Extender'!$A$11,VLOOKUP($A94,'Pool &amp; SPA Pipe Extender'!$A$8:$M$10,9,FALSE),
IF($A94&lt;'PVC SCH80'!$A$250,VLOOKUP($A94,'PVC SCH80'!$A$8:$M$249,9,FALSE),
IF($A94&lt;'PVC SCH80 Flange'!$A$49,VLOOKUP($A94,'PVC SCH80 Flange'!$A$8:$M$48,9,FALSE),
IF($A94&lt;'PVC SCH80 LD Flange'!$A$17,VLOOKUP($A94,'PVC SCH80 LD Flange'!$A$8:$M$16,9,FALSE),
IF($A94&lt;CPVC!$A$105,VLOOKUP($A94,CPVC!$A$9:$M$104,9,FALSE),
IF($A94&lt;InsertFittings!$A$185,VLOOKUP($A94,InsertFittings!$A$9:$M$184,9,FALSE),
IF($A94&lt;Valves!$A$92,VLOOKUP($A94,Valves!$A$9:$Q$91,13,FALSE),
IF($A94&lt;SDR35SW!$A$133,VLOOKUP($A94,SDR35SW!$A$9:$M$132,9,FALSE),
IF($A94&lt;SDR35G!$A$151,VLOOKUP($A94,SDR35G!$A$9:$M$150,9,FALSE),                                                                                                                                                                                                                                                          IF($A94&lt;SDR26G!$A$67,VLOOKUP($A94,SDR26G!$A$9:$N$66,10,FALSE),                                                                                                                                                                                                                                                       IF($A94&lt;Cements!$A$95,VLOOKUP($A94,Cements!$A$8:$Q$94,13,FALSE),
IF($A94&lt;ValveBox!$A$124,VLOOKUP($A94,ValveBox!$A$9:$O$123,11,FALSE),
IF($A94&lt;'ValveBox Components'!$A$142,VLOOKUP($A94,'ValveBox Components'!$A$9:$N$141,10,FALSE),
IF($A94&lt;Drainage!$A$69,VLOOKUP($A94,Drainage!$A$8:$M$68,9,FALSE),                                                                                                                                                                                                                                                              IF($A94&lt;Nipples!$A$82,VLOOKUP($A94,Nipples!$A$9:$Q$81,13,FALSE),
IF($A94&lt;Manifold!$A$33,VLOOKUP($A94,Manifold!$A$9:$M$32,9,FALSE),
IF($A94&lt;FlexibleRepairCouplings!$A$12,VLOOKUP($A94,FlexibleRepairCouplings!$A$9:$M$11,9,FALSE),
IF($A94&lt;DuraFix!$A$15,VLOOKUP($A94,DuraFix!$A$9:$M$14,9,FALSE),                                                                                                                                                                                                                                                          IF($A94&lt;'Compression Fittings'!$A$16,VLOOKUP($A94,'Compression Fittings'!$A$8:$M$15,9,FALSE),
IF($A94&lt;'Hose Fittings'!$A$30,VLOOKUP($A94,'Hose Fittings'!$A$8:$M$29,9,FALSE),
IF($A94&lt;'Swing Joints'!$A$495,VLOOKUP($A94,'Swing Joints'!$A$9:$M$494,9,FALSE),
IF($A94&lt;'Swing Joints Components'!$A$135,VLOOKUP($A94,'Swing Joints Components'!$A$9:$M$134,9,FALSE),
IF($A94&lt;Nonstandard!$A$42,VLOOKUP($A94,Nonstandard!$A$31:$J$41,8,FALSE),"")))))))))))))))))))))))))))),"")</f>
        <v/>
      </c>
      <c r="G94" s="540" t="str">
        <f>IFERROR(IF($A94&lt;'DWV PVC'!$A$317,VLOOKUP($A94,'DWV PVC'!$A$9:$M$316,11,FALSE),
IF($A94&lt;'DWV ABS'!$A$117,VLOOKUP($A94,'DWV ABS'!$A$8:$M$116,11,FALSE),                                                                                                                                                                                                                                                     IF($A94&lt;'PVC SCH40'!$A$425,VLOOKUP($A94,'PVC SCH40'!$A$8:$M$424,11,FALSE),
IF($A94&lt;'PVC SCH40 LD'!$A$22,VLOOKUP($A94,'PVC SCH40 LD'!$A$8:$M$21,11,FALSE),
IF($A94&lt;'Pool &amp; SPA Sweep Elbows'!$A$12,VLOOKUP($A94,'Pool &amp; SPA Sweep Elbows'!$A$8:$M$11,11,FALSE),
IF($A94&lt;'Pool &amp; SPA Pipe Extender'!$A$11,VLOOKUP($A94,'Pool &amp; SPA Pipe Extender'!$A$8:$M$10,11,FALSE),
IF($A94&lt;'PVC SCH80'!$A$250,VLOOKUP($A94,'PVC SCH80'!$A$8:$M$249,11,FALSE),
IF($A94&lt;'PVC SCH80 Flange'!$A$49,VLOOKUP($A94,'PVC SCH80 Flange'!$A$8:$M$48,11,FALSE),
IF($A94&lt;'PVC SCH80 LD Flange'!$A$17,VLOOKUP($A94,'PVC SCH80 LD Flange'!$A$8:$M$16,11,FALSE),
IF($A94&lt;CPVC!$A$105,VLOOKUP($A94,CPVC!$A$9:$M$104,11,FALSE),
IF($A94&lt;InsertFittings!$A$185,VLOOKUP($A94,InsertFittings!$A$9:$M$184,11,FALSE),
IF($A94&lt;Valves!$A$92,VLOOKUP($A94,Valves!$A$9:$Q$91,15,FALSE),
IF($A94&lt;SDR35SW!$A$133,VLOOKUP($A94,SDR35SW!$A$9:$M$132,11,FALSE),
IF($A94&lt;SDR35G!$A$151,VLOOKUP($A94,SDR35G!$A$9:$M$150,11,FALSE),                                                                                                                                                                                                                                                          IF($A94&lt;SDR26G!$A$67,VLOOKUP($A94,SDR26G!$A$9:$N$66,12,FALSE),                                                                                                                                                                                                                                                       IF($A94&lt;Cements!$A$95,VLOOKUP($A94,Cements!$A$8:$Q$94,15,FALSE),
IF($A94&lt;ValveBox!$A$124,VLOOKUP($A94,ValveBox!$A$9:$O$123,13,FALSE),
IF($A94&lt;'ValveBox Components'!$A$142,VLOOKUP($A94,'ValveBox Components'!$A$9:$N$141,12,FALSE),
IF($A94&lt;Drainage!$A$69,VLOOKUP($A94,Drainage!$A$8:$M$68,11,FALSE),                                                                                                                                                                                                                                                           IF($A94&lt;Nipples!$A$82,VLOOKUP($A94,Nipples!$A$9:$Q$81,15,FALSE),
IF($A94&lt;Manifold!$A$33,VLOOKUP($A94,Manifold!$A$9:$M$32,11,FALSE),
IF($A94&lt;FlexibleRepairCouplings!$A$12,VLOOKUP($A94,FlexibleRepairCouplings!$A$9:$M$11,11,FALSE),
IF($A94&lt;DuraFix!$A$15,VLOOKUP($A94,DuraFix!$A$9:$M$14,11,FALSE),                                                                                                                                                                                                                                                            IF($A94&lt;'Compression Fittings'!$A$16,VLOOKUP($A94,'Compression Fittings'!$A$8:$M$15,11,FALSE),
IF($A94&lt;'Hose Fittings'!$A$30,VLOOKUP($A94,'Hose Fittings'!$A$8:$M$29,11,FALSE),
IF($A94&lt;'Swing Joints'!$A$495,VLOOKUP($A94,'Swing Joints'!$A$9:$M$494,11,FALSE),
IF($A94&lt;'Swing Joints Components'!$A$135,VLOOKUP($A94,'Swing Joints Components'!$A$9:$M$134,11,FALSE),
IF($A94&lt;Nonstandard!$A$42,VLOOKUP($A94,Nonstandard!$A$31:$J$41,10,FALSE),"")))))))))))))))))))))))))))),"")</f>
        <v/>
      </c>
      <c r="H94" s="620" t="str">
        <f>IFERROR(IF($A94&lt;'DWV PVC'!$A$317,VLOOKUP($A94,'DWV PVC'!$A$9:$M$316,7,FALSE),
IF($A94&lt;'DWV ABS'!$A$117,VLOOKUP($A94,'DWV ABS'!$A$8:$M$116,11,FALSE),                                                                                                                                                                                                                                                     IF($A94&lt;'PVC SCH40'!$A$425,VLOOKUP($A94,'PVC SCH40'!$A$8:$M$424,7,FALSE),
IF($A94&lt;'PVC SCH40 LD'!$A$22,VLOOKUP($A94,'PVC SCH40 LD'!$A$8:$M$21,7,FALSE),
IF($A94&lt;'Pool &amp; SPA Sweep Elbows'!$A$12,VLOOKUP($A94,'Pool &amp; SPA Sweep Elbows'!$A$8:$M$11,7,FALSE),
IF($A94&lt;'Pool &amp; SPA Pipe Extender'!$A$11,VLOOKUP($A94,'Pool &amp; SPA Pipe Extender'!$A$8:$M$10,7,FALSE),
IF($A94&lt;'PVC SCH80'!$A$250,VLOOKUP($A94,'PVC SCH80'!$A$8:$M$249,7,FALSE),
IF($A94&lt;'PVC SCH80 Flange'!$A$49,VLOOKUP($A94,'PVC SCH80 Flange'!$A$8:$M$48,7,FALSE),
IF($A94&lt;'PVC SCH80 LD Flange'!$A$17,VLOOKUP($A94,'PVC SCH80 LD Flange'!$A$8:$M$16,7,FALSE),
IF($A94&lt;CPVC!$A$105,VLOOKUP($A94,CPVC!$A$9:$M$104,7,FALSE),
IF($A94&lt;InsertFittings!$A$185,VLOOKUP($A94,InsertFittings!$A$9:$M$184,7,FALSE),
IF($A94&lt;Valves!$A$92,VLOOKUP($A94,Valves!$A$9:$Q$91,11,FALSE),
IF($A94&lt;SDR35SW!$A$133,VLOOKUP($A94,SDR35SW!$A$9:$M$132,7,FALSE),
IF($A94&lt;SDR35G!$A$151,VLOOKUP($A94,SDR35G!$A$9:$M$150,7,FALSE),                                                                                                                                                                                                                                                       IF($A94&lt;SDR26G!$A$67,VLOOKUP($A94,SDR26G!$A$9:$N$66,8,FALSE),                                                                                                                                                                                                                                                     IF($A94&lt;Cements!$A$95,VLOOKUP($A94,Cements!$A$8:$Q$94,11,FALSE),
IF($A94&lt;ValveBox!$A$124,VLOOKUP($A94,ValveBox!$A$9:$O$123,10,FALSE),
IF($A94&lt;'ValveBox Components'!$A$142,VLOOKUP($A94,'ValveBox Components'!$A$9:$N$141,9,FALSE),
IF($A94&lt;Drainage!$A$69,VLOOKUP($A94,Drainage!$A$8:$M$68,7,FALSE),                                                                                                                                                                                                                                                          IF($A94&lt;Nipples!$A$82,VLOOKUP($A94,Nipples!$A$9:$Q$81,11,FALSE),
IF($A94&lt;Manifold!$A$33,VLOOKUP($A94,Manifold!$A$9:$M$32,7,FALSE),
IF($A94&lt;FlexibleRepairCouplings!$A$12,VLOOKUP($A94,FlexibleRepairCouplings!$A$9:$M$11,7,FALSE),
IF($A94&lt;DuraFix!$A$15,VLOOKUP($A94,DuraFix!$A$9:$M$14,7,FALSE),                                                                                                                                                                                                                                                           IF($A94&lt;'Compression Fittings'!$A$16,VLOOKUP($A94,'Compression Fittings'!$A$8:$M$15,7,FALSE),
IF($A94&lt;'Hose Fittings'!$A$30,VLOOKUP($A94,'Hose Fittings'!$A$8:$M$29,7,FALSE),
IF($A94&lt;'Swing Joints'!$A$495,VLOOKUP($A94,'Swing Joints'!$A$9:$M$494,7,FALSE),
IF($A94&lt;'Swing Joints Components'!$A$135,VLOOKUP($A94,'Swing Joints Components'!$A$9:$M$134,7,FALSE),
IF($A94&lt;Nonstandard!$A$42,VLOOKUP($A94,Nonstandard!$A$31:$J$41,10,FALSE),"")))))))))))))))))))))))))))),"")</f>
        <v/>
      </c>
      <c r="I94" s="621"/>
      <c r="J94" s="541" t="str">
        <f t="shared" si="1"/>
        <v/>
      </c>
      <c r="K94" s="599" t="str">
        <f>IFERROR(IF($A94&lt;'DWV PVC'!$A$317,VLOOKUP($A94,'DWV PVC'!$A$9:$M$316,10,FALSE),
IF($A94&lt;'DWV ABS'!$A$117,VLOOKUP($A94,'DWV ABS'!$A$8:$M$116,10,FALSE),
IF($A94&lt;'PVC SCH40'!$A$425,VLOOKUP($A94,'PVC SCH40'!$A$8:$M$424,10,FALSE),
IF($A94&lt;'PVC SCH40 LD'!$A$22,VLOOKUP($A94,'PVC SCH40 LD'!$A$8:$M$21,10,FALSE),
IF($A94&lt;'Pool &amp; SPA Sweep Elbows'!$A$12,VLOOKUP($A94,'Pool &amp; SPA Sweep Elbows'!$A$8:$M$11,10,FALSE),
IF($A94&lt;'Pool &amp; SPA Pipe Extender'!$A$11,VLOOKUP($A94,'Pool &amp; SPA Pipe Extender'!$A$8:$M$10,10,FALSE),
IF($A94&lt;'PVC SCH80'!$A$250,VLOOKUP($A94,'PVC SCH80'!$A$8:$M$249,10,FALSE),
IF($A94&lt;'PVC SCH80 Flange'!$A$49,VLOOKUP($A94,'PVC SCH80 Flange'!$A$8:$M$48,10,FALSE),
IF($A94&lt;'PVC SCH80 LD Flange'!$A$17,VLOOKUP($A94,'PVC SCH80 LD Flange'!$A$8:$M$16,10,FALSE),
IF($A94&lt;CPVC!$A$105,VLOOKUP($A94,CPVC!$A$9:$M$104,10,FALSE),
IF($A94&lt;InsertFittings!$A$185,VLOOKUP($A94,InsertFittings!$A$9:$M$184,10,FALSE),
IF($A94&lt;Valves!$A$92,VLOOKUP($A94,Valves!$A$9:$Q$91,14,FALSE),
IF($A94&lt;SDR35SW!$A$133,VLOOKUP($A94,SDR35SW!$A$9:$M$132,10,FALSE),
IF($A94&lt;SDR35G!$A$151,VLOOKUP($A94,SDR35G!$A$9:$M$150,10,FALSE),
IF($A94&lt;SDR26G!$A$67,VLOOKUP($A94,SDR26G!$A$9:$N$66,11,FALSE),
IF($A94&lt;Cements!$A$95,VLOOKUP($A94,Cements!$A$8:$Q$94,14,FALSE),
IF($A94&lt;ValveBox!$A$124,VLOOKUP($A94,ValveBox!$A$9:$O$123,12,FALSE),
IF($A94&lt;'ValveBox Components'!$A$142,VLOOKUP($A94,'ValveBox Components'!$A$9:$N$141,11,FALSE),
IF($A94&lt;Drainage!$A$69,VLOOKUP($A94,Drainage!$A$8:$M$68,10,FALSE),
IF($A94&lt;Nipples!$A$82,VLOOKUP($A94,Nipples!$A$9:$Q$81,14,FALSE),
IF($A94&lt;Manifold!$A$33,VLOOKUP($A94,Manifold!$A$9:$M$32,10,FALSE),
IF($A94&lt;FlexibleRepairCouplings!$A$12,VLOOKUP($A94,FlexibleRepairCouplings!$A$9:$M$11,10,FALSE),
IF($A94&lt;DuraFix!$A$15,VLOOKUP($A94,DuraFix!$A$9:$M$14,10,FALSE),
IF($A94&lt;'Compression Fittings'!$A$16,VLOOKUP($A94,'Compression Fittings'!$A$8:$M$15,10,FALSE),
IF($A94&lt;'Hose Fittings'!$A$30,VLOOKUP($A94,'Hose Fittings'!$A$8:$M$29,10,FALSE),
IF($A94&lt;'Swing Joints'!$A$495,VLOOKUP($A94,'Swing Joints'!$A$9:$M$494,10,FALSE),
IF($A94&lt;'Swing Joints Components'!$A$135,VLOOKUP($A94,'Swing Joints Components'!$A$9:$M$134,10,FALSE),
IF($A94&lt;Nonstandard!$A$42,VLOOKUP($A94,Nonstandard!$A$31:$J$41,10,FALSE),"")))))))))))))))))))))))))))),"")</f>
        <v/>
      </c>
      <c r="L94" s="539" t="str">
        <f t="shared" si="0"/>
        <v>-</v>
      </c>
      <c r="M94" s="542"/>
    </row>
    <row r="95" spans="1:13" ht="15.6">
      <c r="A95" s="312">
        <v>63</v>
      </c>
      <c r="B95" s="312" t="str">
        <f>IFERROR(IF($A95&lt;'DWV PVC'!$A$317,VLOOKUP($A95,'DWV PVC'!$A$9:$M$316,4,FALSE),
IF($A95&lt;'DWV ABS'!$A$117,VLOOKUP($A95,'DWV ABS'!$A$8:$M$116,4,FALSE),
IF($A95&lt;'PVC SCH40'!$A$425,VLOOKUP($A95,'PVC SCH40'!$A$8:$M$424,4,FALSE),
IF($A95&lt;'PVC SCH40 LD'!$A$22,VLOOKUP($A95,'PVC SCH40 LD'!$A$8:$M$21,4,FALSE),
IF($A95&lt;'Pool &amp; SPA Sweep Elbows'!$A$12,VLOOKUP($A95,'Pool &amp; SPA Sweep Elbows'!$A$8:$M$11,4,FALSE),
IF($A95&lt;'Pool &amp; SPA Pipe Extender'!$A$11,VLOOKUP($A95,'Pool &amp; SPA Pipe Extender'!$A$8:$M$10,4,FALSE),
IF($A95&lt;'PVC SCH80'!$A$250,VLOOKUP($A95,'PVC SCH80'!$A$8:$M$249,4,FALSE),
IF($A95&lt;'PVC SCH80 Flange'!$A$49,VLOOKUP($A95,'PVC SCH80 Flange'!$A$8:$M$48,4,FALSE),
IF($A95&lt;'PVC SCH80 LD Flange'!$A$17,VLOOKUP($A95,'PVC SCH80 LD Flange'!$A$8:$M$16,4,FALSE),
IF($A95&lt;CPVC!$A$105,VLOOKUP($A95,CPVC!$A$9:$M$104,4,FALSE),
IF($A95&lt;InsertFittings!$A$185,VLOOKUP($A95,InsertFittings!$A$9:$M$184,4,FALSE),
IF($A95&lt;Valves!$A$92,VLOOKUP($A95,Valves!$A$9:$Q$91,4,FALSE),
IF($A95&lt;SDR35SW!$A$133,VLOOKUP($A95,SDR35SW!$A$9:$M$132,4,FALSE),
IF($A95&lt;SDR35G!$A$151,VLOOKUP($A95,SDR35G!$A$9:$M$150,4,FALSE),
IF($A95&lt;SDR26G!$A$67,VLOOKUP($A95,SDR26G!$A$9:$N$66,5,FALSE),
IF($A95&lt;Cements!$A$95,VLOOKUP($A95,Cements!$A$8:$Q$94,4,FALSE),
IF($A95&lt;ValveBox!$A$124,VLOOKUP($A95,ValveBox!$A$9:$O$123,4,FALSE),
IF($A95&lt;'ValveBox Components'!$A$142,VLOOKUP($A95,'ValveBox Components'!$A$9:$N$141,4,FALSE),
IF($A95&lt;Drainage!$A$69,VLOOKUP($A95,Drainage!$A$8:$M$68,4,FALSE),
IF($A95&lt;Nipples!$A$82,VLOOKUP($A95,Nipples!$A$9:$Q$81,4,FALSE),
IF($A95&lt;Manifold!$A$33,VLOOKUP($A95,Manifold!$A$9:$M$32,4,FALSE),
IF($A95&lt;FlexibleRepairCouplings!$A$12,VLOOKUP($A95,FlexibleRepairCouplings!$A$9:$M$11,4,FALSE),
IF($A95&lt;DuraFix!$A$15,VLOOKUP($A95,DuraFix!$A$9:$M$14,4,FALSE),
IF($A95&lt;'Compression Fittings'!$A$16,VLOOKUP($A95,'Compression Fittings'!$A$8:$M$15,4,FALSE),
IF($A95&lt;'Hose Fittings'!$A$30,VLOOKUP($A95,'Hose Fittings'!$A$8:$M$29,4,FALSE),
IF($A95&lt;'Swing Joints'!$A$495,VLOOKUP($A95,'Swing Joints'!$A$9:$M$494,4,FALSE),
IF($A95&lt;'Swing Joints Components'!$A$135,VLOOKUP($A95,'Swing Joints Components'!$A$9:$M$134,4,FALSE),
IF($A95&lt;Nonstandard!$A$42,VLOOKUP($A95,Nonstandard!$A$31:$J$41,5,FALSE),"")))))))))))))))))))))))))))),"")</f>
        <v/>
      </c>
      <c r="C95" s="312" t="str">
        <f>IFERROR(IF($A95&lt;'DWV PVC'!$A$317,VLOOKUP($A95,'DWV PVC'!$A$9:$M$316,5,FALSE),
IF($A95&lt;'DWV ABS'!$A$117,VLOOKUP($A95,'DWV ABS'!$A$8:$M$116,5,FALSE),
IF($A95&lt;'PVC SCH40'!$A$425,VLOOKUP($A95,'PVC SCH40'!$A$8:$M$424,5,FALSE),
IF($A95&lt;'PVC SCH40 LD'!$A$22,VLOOKUP($A95,'PVC SCH40 LD'!$A$8:$M$21,5,FALSE),
IF($A95&lt;'Pool &amp; SPA Sweep Elbows'!$A$12,VLOOKUP($A95,'Pool &amp; SPA Sweep Elbows'!$A$8:$M$11,5,FALSE),
IF($A95&lt;'Pool &amp; SPA Pipe Extender'!$A$11,VLOOKUP($A95,'Pool &amp; SPA Pipe Extender'!$A$8:$M$10,5,FALSE),
IF($A95&lt;'PVC SCH80'!$A$250,VLOOKUP($A95,'PVC SCH80'!$A$8:$M$249,5,FALSE),
IF($A95&lt;'PVC SCH80 Flange'!$A$49,VLOOKUP($A95,'PVC SCH80 Flange'!$A$8:$M$48,5,FALSE),
IF($A95&lt;'PVC SCH80 LD Flange'!$A$17,VLOOKUP($A95,'PVC SCH80 LD Flange'!$A$8:$M$16,5,FALSE),
IF($A95&lt;CPVC!$A$105,VLOOKUP($A95,CPVC!$A$9:$M$104,5,FALSE),
IF($A95&lt;InsertFittings!$A$185,VLOOKUP($A95,InsertFittings!$A$9:$M$184,5,FALSE),
IF($A95&lt;Valves!$A$92,VLOOKUP($A95,Valves!$A$9:$Q$91,5,FALSE),
IF($A95&lt;SDR35SW!$A$133,VLOOKUP($A95,SDR35SW!$A$9:$M$132,5,FALSE),
IF($A95&lt;SDR35G!$A$151,VLOOKUP($A95,SDR35G!$A$9:$M$150,5,FALSE),
IF($A95&lt;SDR26G!$A$67,VLOOKUP($A95,SDR26G!$A$9:$N$66,6,FALSE),
IF($A95&lt;Cements!$A$95,VLOOKUP($A95,Cements!$A$8:$Q$94,5,FALSE),
IF($A95&lt;ValveBox!$A$124,VLOOKUP($A95,ValveBox!$A$9:$O$123,5,FALSE),
IF($A95&lt;'ValveBox Components'!$A$142,VLOOKUP($A95,'ValveBox Components'!$A$9:$N$141,5,FALSE),
IF($A95&lt;Drainage!$A$69,VLOOKUP($A95,Drainage!$A$8:$M$68,5,FALSE),
IF($A95&lt;Nipples!$A$82,VLOOKUP($A95,Nipples!$A$9:$Q$81,5,FALSE),
IF($A95&lt;Manifold!$A$33,VLOOKUP($A95,Manifold!$A$9:$M$32,5,FALSE),
IF($A95&lt;FlexibleRepairCouplings!$A$12,VLOOKUP($A95,FlexibleRepairCouplings!$A$9:$M$11,5,FALSE),
IF($A95&lt;DuraFix!$A$15,VLOOKUP($A95,DuraFix!$A$9:$M$14,5,FALSE),
IF($A95&lt;'Compression Fittings'!$A$16,VLOOKUP($A95,'Compression Fittings'!$A$8:$M$15,5,FALSE),
IF($A95&lt;'Hose Fittings'!$A$30,VLOOKUP($A95,'Hose Fittings'!$A$8:$M$29,5,FALSE),
IF($A95&lt;'Swing Joints'!$A$495,VLOOKUP($A95,'Swing Joints'!$A$9:$M$494,5,FALSE),
IF($A95&lt;'Swing Joints Components'!$A$135,VLOOKUP($A95,'Swing Joints Components'!$A$9:$M$134,5,FALSE),
IF($A95&lt;Nonstandard!$A$42,VLOOKUP($A95,Nonstandard!$A$31:$J$41,6,FALSE),"")))))))))))))))))))))))))))),"")</f>
        <v/>
      </c>
      <c r="D95" s="534" t="str">
        <f>IFERROR(IF($A95&lt;'DWV PVC'!$A$317,VLOOKUP($A95,'DWV PVC'!$A$9:$M$316,6,FALSE),
IF($A95&lt;'DWV ABS'!$A$117,VLOOKUP($A95,'DWV ABS'!$A$8:$M$116,6,FALSE),
IF($A95&lt;'PVC SCH40'!$A$425,VLOOKUP($A95,'PVC SCH40'!$A$8:$M$424,6,FALSE),
IF($A95&lt;'PVC SCH40 LD'!$A$22,VLOOKUP($A95,'PVC SCH40 LD'!$A$8:$M$21,6,FALSE),
IF($A95&lt;'Pool &amp; SPA Sweep Elbows'!$A$12,VLOOKUP($A95,'Pool &amp; SPA Sweep Elbows'!$A$8:$M$11,6,FALSE),
IF($A95&lt;'Pool &amp; SPA Pipe Extender'!$A$11,VLOOKUP($A95,'Pool &amp; SPA Pipe Extender'!$A$8:$M$10,6,FALSE),
IF($A95&lt;'PVC SCH80'!$A$250,VLOOKUP($A95,'PVC SCH80'!$A$8:$M$249,6,FALSE),
IF($A95&lt;'PVC SCH80 Flange'!$A$49,VLOOKUP($A95,'PVC SCH80 Flange'!$A$8:$M$48,6,FALSE),
IF($A95&lt;'PVC SCH80 LD Flange'!$A$17,VLOOKUP($A95,'PVC SCH80 LD Flange'!$A$8:$M$16,6,FALSE),
IF($A95&lt;CPVC!$A$105,VLOOKUP($A95,CPVC!$A$9:$M$104,6,FALSE),
IF($A95&lt;InsertFittings!$A$185,VLOOKUP($A95,InsertFittings!$A$9:$M$184,6,FALSE),
IF($A95&lt;Valves!$A$92,VLOOKUP($A95,Valves!$A$9:$Q$91,6,FALSE),
IF($A95&lt;SDR35SW!$A$133,VLOOKUP($A95,SDR35SW!$A$9:$M$132,6,FALSE),
IF($A95&lt;SDR35G!$A$151,VLOOKUP($A95,SDR35G!$A$9:$M$150,6,FALSE),
IF($A95&lt;SDR26G!$A$67,VLOOKUP($A95,SDR26G!$A$9:$N$66,7,FALSE),
IF($A95&lt;Cements!$A$95,VLOOKUP($A95,Cements!$A$8:$Q$94,6,FALSE),
IF($A95&lt;ValveBox!$A$124,VLOOKUP($A95,ValveBox!$A$9:$O$123,6,FALSE),
IF($A95&lt;'ValveBox Components'!$A$142,VLOOKUP($A95,'ValveBox Components'!$A$9:$N$141,6,FALSE),
IF($A95&lt;Drainage!$A$69,VLOOKUP($A95,Drainage!$A$8:$M$68,6,FALSE),
IF($A95&lt;Nipples!$A$82,VLOOKUP($A95,Nipples!$A$9:$Q$81,6,FALSE),
IF($A95&lt;Manifold!$A$33,VLOOKUP($A95,Manifold!$A$9:$M$32,6,FALSE),
IF($A95&lt;FlexibleRepairCouplings!$A$12,VLOOKUP($A95,FlexibleRepairCouplings!$A$9:$M$11,6,FALSE),
IF($A95&lt;DuraFix!$A$15,VLOOKUP($A95,DuraFix!$A$9:$M$14,6,FALSE),
IF($A95&lt;'Compression Fittings'!$A$16,VLOOKUP($A95,'Compression Fittings'!$A$8:$M$15,6,FALSE),
IF($A95&lt;'Hose Fittings'!$A$30,VLOOKUP($A95,'Hose Fittings'!$A$8:$M$29,6,FALSE),
IF($A95&lt;'Swing Joints'!$A$495,VLOOKUP($A95,'Swing Joints'!$A$9:$M$494,6,FALSE),
IF($A95&lt;'Swing Joints Components'!$A$135,VLOOKUP($A95,'Swing Joints Components'!$A$9:$M$134,6,FALSE),
IF($A95&lt;Nonstandard!$A$42,VLOOKUP($A95,Nonstandard!$A$31:$J$41,7,FALSE),"")))))))))))))))))))))))))))),"")</f>
        <v/>
      </c>
      <c r="E95" s="316"/>
      <c r="F95" s="314" t="str">
        <f>IFERROR(IF($A95&lt;'DWV PVC'!$A$317,VLOOKUP($A95,'DWV PVC'!$A$9:$M$316,9,FALSE),
IF($A95&lt;'DWV ABS'!$A$117,VLOOKUP($A95,'DWV ABS'!$A$8:$M$116,9,FALSE),                                                                                                                                                                                                                                                     IF($A95&lt;'PVC SCH40'!$A$425,VLOOKUP($A95,'PVC SCH40'!$A$8:$M$424,9,FALSE),
IF($A95&lt;'PVC SCH40 LD'!$A$22,VLOOKUP($A95,'PVC SCH40 LD'!$A$8:$M$21,9,FALSE),
IF($A95&lt;'Pool &amp; SPA Sweep Elbows'!$A$12,VLOOKUP($A95,'Pool &amp; SPA Sweep Elbows'!$A$8:$M$11,9,FALSE),
IF($A95&lt;'Pool &amp; SPA Pipe Extender'!$A$11,VLOOKUP($A95,'Pool &amp; SPA Pipe Extender'!$A$8:$M$10,9,FALSE),
IF($A95&lt;'PVC SCH80'!$A$250,VLOOKUP($A95,'PVC SCH80'!$A$8:$M$249,9,FALSE),
IF($A95&lt;'PVC SCH80 Flange'!$A$49,VLOOKUP($A95,'PVC SCH80 Flange'!$A$8:$M$48,9,FALSE),
IF($A95&lt;'PVC SCH80 LD Flange'!$A$17,VLOOKUP($A95,'PVC SCH80 LD Flange'!$A$8:$M$16,9,FALSE),
IF($A95&lt;CPVC!$A$105,VLOOKUP($A95,CPVC!$A$9:$M$104,9,FALSE),
IF($A95&lt;InsertFittings!$A$185,VLOOKUP($A95,InsertFittings!$A$9:$M$184,9,FALSE),
IF($A95&lt;Valves!$A$92,VLOOKUP($A95,Valves!$A$9:$Q$91,13,FALSE),
IF($A95&lt;SDR35SW!$A$133,VLOOKUP($A95,SDR35SW!$A$9:$M$132,9,FALSE),
IF($A95&lt;SDR35G!$A$151,VLOOKUP($A95,SDR35G!$A$9:$M$150,9,FALSE),                                                                                                                                                                                                                                                          IF($A95&lt;SDR26G!$A$67,VLOOKUP($A95,SDR26G!$A$9:$N$66,10,FALSE),                                                                                                                                                                                                                                                       IF($A95&lt;Cements!$A$95,VLOOKUP($A95,Cements!$A$8:$Q$94,13,FALSE),
IF($A95&lt;ValveBox!$A$124,VLOOKUP($A95,ValveBox!$A$9:$O$123,11,FALSE),
IF($A95&lt;'ValveBox Components'!$A$142,VLOOKUP($A95,'ValveBox Components'!$A$9:$N$141,10,FALSE),
IF($A95&lt;Drainage!$A$69,VLOOKUP($A95,Drainage!$A$8:$M$68,9,FALSE),                                                                                                                                                                                                                                                              IF($A95&lt;Nipples!$A$82,VLOOKUP($A95,Nipples!$A$9:$Q$81,13,FALSE),
IF($A95&lt;Manifold!$A$33,VLOOKUP($A95,Manifold!$A$9:$M$32,9,FALSE),
IF($A95&lt;FlexibleRepairCouplings!$A$12,VLOOKUP($A95,FlexibleRepairCouplings!$A$9:$M$11,9,FALSE),
IF($A95&lt;DuraFix!$A$15,VLOOKUP($A95,DuraFix!$A$9:$M$14,9,FALSE),                                                                                                                                                                                                                                                          IF($A95&lt;'Compression Fittings'!$A$16,VLOOKUP($A95,'Compression Fittings'!$A$8:$M$15,9,FALSE),
IF($A95&lt;'Hose Fittings'!$A$30,VLOOKUP($A95,'Hose Fittings'!$A$8:$M$29,9,FALSE),
IF($A95&lt;'Swing Joints'!$A$495,VLOOKUP($A95,'Swing Joints'!$A$9:$M$494,9,FALSE),
IF($A95&lt;'Swing Joints Components'!$A$135,VLOOKUP($A95,'Swing Joints Components'!$A$9:$M$134,9,FALSE),
IF($A95&lt;Nonstandard!$A$42,VLOOKUP($A95,Nonstandard!$A$31:$J$41,8,FALSE),"")))))))))))))))))))))))))))),"")</f>
        <v/>
      </c>
      <c r="G95" s="533" t="str">
        <f>IFERROR(IF($A95&lt;'DWV PVC'!$A$317,VLOOKUP($A95,'DWV PVC'!$A$9:$M$316,11,FALSE),
IF($A95&lt;'DWV ABS'!$A$117,VLOOKUP($A95,'DWV ABS'!$A$8:$M$116,11,FALSE),                                                                                                                                                                                                                                                     IF($A95&lt;'PVC SCH40'!$A$425,VLOOKUP($A95,'PVC SCH40'!$A$8:$M$424,11,FALSE),
IF($A95&lt;'PVC SCH40 LD'!$A$22,VLOOKUP($A95,'PVC SCH40 LD'!$A$8:$M$21,11,FALSE),
IF($A95&lt;'Pool &amp; SPA Sweep Elbows'!$A$12,VLOOKUP($A95,'Pool &amp; SPA Sweep Elbows'!$A$8:$M$11,11,FALSE),
IF($A95&lt;'Pool &amp; SPA Pipe Extender'!$A$11,VLOOKUP($A95,'Pool &amp; SPA Pipe Extender'!$A$8:$M$10,11,FALSE),
IF($A95&lt;'PVC SCH80'!$A$250,VLOOKUP($A95,'PVC SCH80'!$A$8:$M$249,11,FALSE),
IF($A95&lt;'PVC SCH80 Flange'!$A$49,VLOOKUP($A95,'PVC SCH80 Flange'!$A$8:$M$48,11,FALSE),
IF($A95&lt;'PVC SCH80 LD Flange'!$A$17,VLOOKUP($A95,'PVC SCH80 LD Flange'!$A$8:$M$16,11,FALSE),
IF($A95&lt;CPVC!$A$105,VLOOKUP($A95,CPVC!$A$9:$M$104,11,FALSE),
IF($A95&lt;InsertFittings!$A$185,VLOOKUP($A95,InsertFittings!$A$9:$M$184,11,FALSE),
IF($A95&lt;Valves!$A$92,VLOOKUP($A95,Valves!$A$9:$Q$91,15,FALSE),
IF($A95&lt;SDR35SW!$A$133,VLOOKUP($A95,SDR35SW!$A$9:$M$132,11,FALSE),
IF($A95&lt;SDR35G!$A$151,VLOOKUP($A95,SDR35G!$A$9:$M$150,11,FALSE),                                                                                                                                                                                                                                                          IF($A95&lt;SDR26G!$A$67,VLOOKUP($A95,SDR26G!$A$9:$N$66,12,FALSE),                                                                                                                                                                                                                                                       IF($A95&lt;Cements!$A$95,VLOOKUP($A95,Cements!$A$8:$Q$94,15,FALSE),
IF($A95&lt;ValveBox!$A$124,VLOOKUP($A95,ValveBox!$A$9:$O$123,13,FALSE),
IF($A95&lt;'ValveBox Components'!$A$142,VLOOKUP($A95,'ValveBox Components'!$A$9:$N$141,12,FALSE),
IF($A95&lt;Drainage!$A$69,VLOOKUP($A95,Drainage!$A$8:$M$68,11,FALSE),                                                                                                                                                                                                                                                           IF($A95&lt;Nipples!$A$82,VLOOKUP($A95,Nipples!$A$9:$Q$81,15,FALSE),
IF($A95&lt;Manifold!$A$33,VLOOKUP($A95,Manifold!$A$9:$M$32,11,FALSE),
IF($A95&lt;FlexibleRepairCouplings!$A$12,VLOOKUP($A95,FlexibleRepairCouplings!$A$9:$M$11,11,FALSE),
IF($A95&lt;DuraFix!$A$15,VLOOKUP($A95,DuraFix!$A$9:$M$14,11,FALSE),                                                                                                                                                                                                                                                            IF($A95&lt;'Compression Fittings'!$A$16,VLOOKUP($A95,'Compression Fittings'!$A$8:$M$15,11,FALSE),
IF($A95&lt;'Hose Fittings'!$A$30,VLOOKUP($A95,'Hose Fittings'!$A$8:$M$29,11,FALSE),
IF($A95&lt;'Swing Joints'!$A$495,VLOOKUP($A95,'Swing Joints'!$A$9:$M$494,11,FALSE),
IF($A95&lt;'Swing Joints Components'!$A$135,VLOOKUP($A95,'Swing Joints Components'!$A$9:$M$134,11,FALSE),
IF($A95&lt;Nonstandard!$A$42,VLOOKUP($A95,Nonstandard!$A$31:$J$41,10,FALSE),"")))))))))))))))))))))))))))),"")</f>
        <v/>
      </c>
      <c r="H95" s="618" t="str">
        <f>IFERROR(IF($A95&lt;'DWV PVC'!$A$317,VLOOKUP($A95,'DWV PVC'!$A$9:$M$316,7,FALSE),
IF($A95&lt;'DWV ABS'!$A$117,VLOOKUP($A95,'DWV ABS'!$A$8:$M$116,11,FALSE),                                                                                                                                                                                                                                                     IF($A95&lt;'PVC SCH40'!$A$425,VLOOKUP($A95,'PVC SCH40'!$A$8:$M$424,7,FALSE),
IF($A95&lt;'PVC SCH40 LD'!$A$22,VLOOKUP($A95,'PVC SCH40 LD'!$A$8:$M$21,7,FALSE),
IF($A95&lt;'Pool &amp; SPA Sweep Elbows'!$A$12,VLOOKUP($A95,'Pool &amp; SPA Sweep Elbows'!$A$8:$M$11,7,FALSE),
IF($A95&lt;'Pool &amp; SPA Pipe Extender'!$A$11,VLOOKUP($A95,'Pool &amp; SPA Pipe Extender'!$A$8:$M$10,7,FALSE),
IF($A95&lt;'PVC SCH80'!$A$250,VLOOKUP($A95,'PVC SCH80'!$A$8:$M$249,7,FALSE),
IF($A95&lt;'PVC SCH80 Flange'!$A$49,VLOOKUP($A95,'PVC SCH80 Flange'!$A$8:$M$48,7,FALSE),
IF($A95&lt;'PVC SCH80 LD Flange'!$A$17,VLOOKUP($A95,'PVC SCH80 LD Flange'!$A$8:$M$16,7,FALSE),
IF($A95&lt;CPVC!$A$105,VLOOKUP($A95,CPVC!$A$9:$M$104,7,FALSE),
IF($A95&lt;InsertFittings!$A$185,VLOOKUP($A95,InsertFittings!$A$9:$M$184,7,FALSE),
IF($A95&lt;Valves!$A$92,VLOOKUP($A95,Valves!$A$9:$Q$91,11,FALSE),
IF($A95&lt;SDR35SW!$A$133,VLOOKUP($A95,SDR35SW!$A$9:$M$132,7,FALSE),
IF($A95&lt;SDR35G!$A$151,VLOOKUP($A95,SDR35G!$A$9:$M$150,7,FALSE),                                                                                                                                                                                                                                                       IF($A95&lt;SDR26G!$A$67,VLOOKUP($A95,SDR26G!$A$9:$N$66,8,FALSE),                                                                                                                                                                                                                                                     IF($A95&lt;Cements!$A$95,VLOOKUP($A95,Cements!$A$8:$Q$94,11,FALSE),
IF($A95&lt;ValveBox!$A$124,VLOOKUP($A95,ValveBox!$A$9:$O$123,10,FALSE),
IF($A95&lt;'ValveBox Components'!$A$142,VLOOKUP($A95,'ValveBox Components'!$A$9:$N$141,9,FALSE),
IF($A95&lt;Drainage!$A$69,VLOOKUP($A95,Drainage!$A$8:$M$68,7,FALSE),                                                                                                                                                                                                                                                          IF($A95&lt;Nipples!$A$82,VLOOKUP($A95,Nipples!$A$9:$Q$81,11,FALSE),
IF($A95&lt;Manifold!$A$33,VLOOKUP($A95,Manifold!$A$9:$M$32,7,FALSE),
IF($A95&lt;FlexibleRepairCouplings!$A$12,VLOOKUP($A95,FlexibleRepairCouplings!$A$9:$M$11,7,FALSE),
IF($A95&lt;DuraFix!$A$15,VLOOKUP($A95,DuraFix!$A$9:$M$14,7,FALSE),                                                                                                                                                                                                                                                           IF($A95&lt;'Compression Fittings'!$A$16,VLOOKUP($A95,'Compression Fittings'!$A$8:$M$15,7,FALSE),
IF($A95&lt;'Hose Fittings'!$A$30,VLOOKUP($A95,'Hose Fittings'!$A$8:$M$29,7,FALSE),
IF($A95&lt;'Swing Joints'!$A$495,VLOOKUP($A95,'Swing Joints'!$A$9:$M$494,7,FALSE),
IF($A95&lt;'Swing Joints Components'!$A$135,VLOOKUP($A95,'Swing Joints Components'!$A$9:$M$134,7,FALSE),
IF($A95&lt;Nonstandard!$A$42,VLOOKUP($A95,Nonstandard!$A$31:$J$41,10,FALSE),"")))))))))))))))))))))))))))),"")</f>
        <v/>
      </c>
      <c r="I95" s="619"/>
      <c r="J95" s="281" t="str">
        <f t="shared" si="1"/>
        <v/>
      </c>
      <c r="K95" s="313" t="str">
        <f>IFERROR(IF($A95&lt;'DWV PVC'!$A$317,VLOOKUP($A95,'DWV PVC'!$A$9:$M$316,10,FALSE),
IF($A95&lt;'DWV ABS'!$A$117,VLOOKUP($A95,'DWV ABS'!$A$8:$M$116,10,FALSE),
IF($A95&lt;'PVC SCH40'!$A$425,VLOOKUP($A95,'PVC SCH40'!$A$8:$M$424,10,FALSE),
IF($A95&lt;'PVC SCH40 LD'!$A$22,VLOOKUP($A95,'PVC SCH40 LD'!$A$8:$M$21,10,FALSE),
IF($A95&lt;'Pool &amp; SPA Sweep Elbows'!$A$12,VLOOKUP($A95,'Pool &amp; SPA Sweep Elbows'!$A$8:$M$11,10,FALSE),
IF($A95&lt;'Pool &amp; SPA Pipe Extender'!$A$11,VLOOKUP($A95,'Pool &amp; SPA Pipe Extender'!$A$8:$M$10,10,FALSE),
IF($A95&lt;'PVC SCH80'!$A$250,VLOOKUP($A95,'PVC SCH80'!$A$8:$M$249,10,FALSE),
IF($A95&lt;'PVC SCH80 Flange'!$A$49,VLOOKUP($A95,'PVC SCH80 Flange'!$A$8:$M$48,10,FALSE),
IF($A95&lt;'PVC SCH80 LD Flange'!$A$17,VLOOKUP($A95,'PVC SCH80 LD Flange'!$A$8:$M$16,10,FALSE),
IF($A95&lt;CPVC!$A$105,VLOOKUP($A95,CPVC!$A$9:$M$104,10,FALSE),
IF($A95&lt;InsertFittings!$A$185,VLOOKUP($A95,InsertFittings!$A$9:$M$184,10,FALSE),
IF($A95&lt;Valves!$A$92,VLOOKUP($A95,Valves!$A$9:$Q$91,14,FALSE),
IF($A95&lt;SDR35SW!$A$133,VLOOKUP($A95,SDR35SW!$A$9:$M$132,10,FALSE),
IF($A95&lt;SDR35G!$A$151,VLOOKUP($A95,SDR35G!$A$9:$M$150,10,FALSE),
IF($A95&lt;SDR26G!$A$67,VLOOKUP($A95,SDR26G!$A$9:$N$66,11,FALSE),
IF($A95&lt;Cements!$A$95,VLOOKUP($A95,Cements!$A$8:$Q$94,14,FALSE),
IF($A95&lt;ValveBox!$A$124,VLOOKUP($A95,ValveBox!$A$9:$O$123,12,FALSE),
IF($A95&lt;'ValveBox Components'!$A$142,VLOOKUP($A95,'ValveBox Components'!$A$9:$N$141,11,FALSE),
IF($A95&lt;Drainage!$A$69,VLOOKUP($A95,Drainage!$A$8:$M$68,10,FALSE),
IF($A95&lt;Nipples!$A$82,VLOOKUP($A95,Nipples!$A$9:$Q$81,14,FALSE),
IF($A95&lt;Manifold!$A$33,VLOOKUP($A95,Manifold!$A$9:$M$32,10,FALSE),
IF($A95&lt;FlexibleRepairCouplings!$A$12,VLOOKUP($A95,FlexibleRepairCouplings!$A$9:$M$11,10,FALSE),
IF($A95&lt;DuraFix!$A$15,VLOOKUP($A95,DuraFix!$A$9:$M$14,10,FALSE),
IF($A95&lt;'Compression Fittings'!$A$16,VLOOKUP($A95,'Compression Fittings'!$A$8:$M$15,10,FALSE),
IF($A95&lt;'Hose Fittings'!$A$30,VLOOKUP($A95,'Hose Fittings'!$A$8:$M$29,10,FALSE),
IF($A95&lt;'Swing Joints'!$A$495,VLOOKUP($A95,'Swing Joints'!$A$9:$M$494,10,FALSE),
IF($A95&lt;'Swing Joints Components'!$A$135,VLOOKUP($A95,'Swing Joints Components'!$A$9:$M$134,10,FALSE),
IF($A95&lt;Nonstandard!$A$42,VLOOKUP($A95,Nonstandard!$A$31:$J$41,10,FALSE),"")))))))))))))))))))))))))))),"")</f>
        <v/>
      </c>
      <c r="L95" s="314" t="str">
        <f t="shared" si="0"/>
        <v>-</v>
      </c>
      <c r="M95" s="315"/>
    </row>
    <row r="96" spans="1:13" ht="15.6">
      <c r="A96" s="536">
        <v>64</v>
      </c>
      <c r="B96" s="536" t="str">
        <f>IFERROR(IF($A96&lt;'DWV PVC'!$A$317,VLOOKUP($A96,'DWV PVC'!$A$9:$M$316,4,FALSE),
IF($A96&lt;'DWV ABS'!$A$117,VLOOKUP($A96,'DWV ABS'!$A$8:$M$116,4,FALSE),
IF($A96&lt;'PVC SCH40'!$A$425,VLOOKUP($A96,'PVC SCH40'!$A$8:$M$424,4,FALSE),
IF($A96&lt;'PVC SCH40 LD'!$A$22,VLOOKUP($A96,'PVC SCH40 LD'!$A$8:$M$21,4,FALSE),
IF($A96&lt;'Pool &amp; SPA Sweep Elbows'!$A$12,VLOOKUP($A96,'Pool &amp; SPA Sweep Elbows'!$A$8:$M$11,4,FALSE),
IF($A96&lt;'Pool &amp; SPA Pipe Extender'!$A$11,VLOOKUP($A96,'Pool &amp; SPA Pipe Extender'!$A$8:$M$10,4,FALSE),
IF($A96&lt;'PVC SCH80'!$A$250,VLOOKUP($A96,'PVC SCH80'!$A$8:$M$249,4,FALSE),
IF($A96&lt;'PVC SCH80 Flange'!$A$49,VLOOKUP($A96,'PVC SCH80 Flange'!$A$8:$M$48,4,FALSE),
IF($A96&lt;'PVC SCH80 LD Flange'!$A$17,VLOOKUP($A96,'PVC SCH80 LD Flange'!$A$8:$M$16,4,FALSE),
IF($A96&lt;CPVC!$A$105,VLOOKUP($A96,CPVC!$A$9:$M$104,4,FALSE),
IF($A96&lt;InsertFittings!$A$185,VLOOKUP($A96,InsertFittings!$A$9:$M$184,4,FALSE),
IF($A96&lt;Valves!$A$92,VLOOKUP($A96,Valves!$A$9:$Q$91,4,FALSE),
IF($A96&lt;SDR35SW!$A$133,VLOOKUP($A96,SDR35SW!$A$9:$M$132,4,FALSE),
IF($A96&lt;SDR35G!$A$151,VLOOKUP($A96,SDR35G!$A$9:$M$150,4,FALSE),
IF($A96&lt;SDR26G!$A$67,VLOOKUP($A96,SDR26G!$A$9:$N$66,5,FALSE),
IF($A96&lt;Cements!$A$95,VLOOKUP($A96,Cements!$A$8:$Q$94,4,FALSE),
IF($A96&lt;ValveBox!$A$124,VLOOKUP($A96,ValveBox!$A$9:$O$123,4,FALSE),
IF($A96&lt;'ValveBox Components'!$A$142,VLOOKUP($A96,'ValveBox Components'!$A$9:$N$141,4,FALSE),
IF($A96&lt;Drainage!$A$69,VLOOKUP($A96,Drainage!$A$8:$M$68,4,FALSE),
IF($A96&lt;Nipples!$A$82,VLOOKUP($A96,Nipples!$A$9:$Q$81,4,FALSE),
IF($A96&lt;Manifold!$A$33,VLOOKUP($A96,Manifold!$A$9:$M$32,4,FALSE),
IF($A96&lt;FlexibleRepairCouplings!$A$12,VLOOKUP($A96,FlexibleRepairCouplings!$A$9:$M$11,4,FALSE),
IF($A96&lt;DuraFix!$A$15,VLOOKUP($A96,DuraFix!$A$9:$M$14,4,FALSE),
IF($A96&lt;'Compression Fittings'!$A$16,VLOOKUP($A96,'Compression Fittings'!$A$8:$M$15,4,FALSE),
IF($A96&lt;'Hose Fittings'!$A$30,VLOOKUP($A96,'Hose Fittings'!$A$8:$M$29,4,FALSE),
IF($A96&lt;'Swing Joints'!$A$495,VLOOKUP($A96,'Swing Joints'!$A$9:$M$494,4,FALSE),
IF($A96&lt;'Swing Joints Components'!$A$135,VLOOKUP($A96,'Swing Joints Components'!$A$9:$M$134,4,FALSE),
IF($A96&lt;Nonstandard!$A$42,VLOOKUP($A96,Nonstandard!$A$31:$J$41,5,FALSE),"")))))))))))))))))))))))))))),"")</f>
        <v/>
      </c>
      <c r="C96" s="536" t="str">
        <f>IFERROR(IF($A96&lt;'DWV PVC'!$A$317,VLOOKUP($A96,'DWV PVC'!$A$9:$M$316,5,FALSE),
IF($A96&lt;'DWV ABS'!$A$117,VLOOKUP($A96,'DWV ABS'!$A$8:$M$116,5,FALSE),
IF($A96&lt;'PVC SCH40'!$A$425,VLOOKUP($A96,'PVC SCH40'!$A$8:$M$424,5,FALSE),
IF($A96&lt;'PVC SCH40 LD'!$A$22,VLOOKUP($A96,'PVC SCH40 LD'!$A$8:$M$21,5,FALSE),
IF($A96&lt;'Pool &amp; SPA Sweep Elbows'!$A$12,VLOOKUP($A96,'Pool &amp; SPA Sweep Elbows'!$A$8:$M$11,5,FALSE),
IF($A96&lt;'Pool &amp; SPA Pipe Extender'!$A$11,VLOOKUP($A96,'Pool &amp; SPA Pipe Extender'!$A$8:$M$10,5,FALSE),
IF($A96&lt;'PVC SCH80'!$A$250,VLOOKUP($A96,'PVC SCH80'!$A$8:$M$249,5,FALSE),
IF($A96&lt;'PVC SCH80 Flange'!$A$49,VLOOKUP($A96,'PVC SCH80 Flange'!$A$8:$M$48,5,FALSE),
IF($A96&lt;'PVC SCH80 LD Flange'!$A$17,VLOOKUP($A96,'PVC SCH80 LD Flange'!$A$8:$M$16,5,FALSE),
IF($A96&lt;CPVC!$A$105,VLOOKUP($A96,CPVC!$A$9:$M$104,5,FALSE),
IF($A96&lt;InsertFittings!$A$185,VLOOKUP($A96,InsertFittings!$A$9:$M$184,5,FALSE),
IF($A96&lt;Valves!$A$92,VLOOKUP($A96,Valves!$A$9:$Q$91,5,FALSE),
IF($A96&lt;SDR35SW!$A$133,VLOOKUP($A96,SDR35SW!$A$9:$M$132,5,FALSE),
IF($A96&lt;SDR35G!$A$151,VLOOKUP($A96,SDR35G!$A$9:$M$150,5,FALSE),
IF($A96&lt;SDR26G!$A$67,VLOOKUP($A96,SDR26G!$A$9:$N$66,6,FALSE),
IF($A96&lt;Cements!$A$95,VLOOKUP($A96,Cements!$A$8:$Q$94,5,FALSE),
IF($A96&lt;ValveBox!$A$124,VLOOKUP($A96,ValveBox!$A$9:$O$123,5,FALSE),
IF($A96&lt;'ValveBox Components'!$A$142,VLOOKUP($A96,'ValveBox Components'!$A$9:$N$141,5,FALSE),
IF($A96&lt;Drainage!$A$69,VLOOKUP($A96,Drainage!$A$8:$M$68,5,FALSE),
IF($A96&lt;Nipples!$A$82,VLOOKUP($A96,Nipples!$A$9:$Q$81,5,FALSE),
IF($A96&lt;Manifold!$A$33,VLOOKUP($A96,Manifold!$A$9:$M$32,5,FALSE),
IF($A96&lt;FlexibleRepairCouplings!$A$12,VLOOKUP($A96,FlexibleRepairCouplings!$A$9:$M$11,5,FALSE),
IF($A96&lt;DuraFix!$A$15,VLOOKUP($A96,DuraFix!$A$9:$M$14,5,FALSE),
IF($A96&lt;'Compression Fittings'!$A$16,VLOOKUP($A96,'Compression Fittings'!$A$8:$M$15,5,FALSE),
IF($A96&lt;'Hose Fittings'!$A$30,VLOOKUP($A96,'Hose Fittings'!$A$8:$M$29,5,FALSE),
IF($A96&lt;'Swing Joints'!$A$495,VLOOKUP($A96,'Swing Joints'!$A$9:$M$494,5,FALSE),
IF($A96&lt;'Swing Joints Components'!$A$135,VLOOKUP($A96,'Swing Joints Components'!$A$9:$M$134,5,FALSE),
IF($A96&lt;Nonstandard!$A$42,VLOOKUP($A96,Nonstandard!$A$31:$J$41,6,FALSE),"")))))))))))))))))))))))))))),"")</f>
        <v/>
      </c>
      <c r="D96" s="537" t="str">
        <f>IFERROR(IF($A96&lt;'DWV PVC'!$A$317,VLOOKUP($A96,'DWV PVC'!$A$9:$M$316,6,FALSE),
IF($A96&lt;'DWV ABS'!$A$117,VLOOKUP($A96,'DWV ABS'!$A$8:$M$116,6,FALSE),
IF($A96&lt;'PVC SCH40'!$A$425,VLOOKUP($A96,'PVC SCH40'!$A$8:$M$424,6,FALSE),
IF($A96&lt;'PVC SCH40 LD'!$A$22,VLOOKUP($A96,'PVC SCH40 LD'!$A$8:$M$21,6,FALSE),
IF($A96&lt;'Pool &amp; SPA Sweep Elbows'!$A$12,VLOOKUP($A96,'Pool &amp; SPA Sweep Elbows'!$A$8:$M$11,6,FALSE),
IF($A96&lt;'Pool &amp; SPA Pipe Extender'!$A$11,VLOOKUP($A96,'Pool &amp; SPA Pipe Extender'!$A$8:$M$10,6,FALSE),
IF($A96&lt;'PVC SCH80'!$A$250,VLOOKUP($A96,'PVC SCH80'!$A$8:$M$249,6,FALSE),
IF($A96&lt;'PVC SCH80 Flange'!$A$49,VLOOKUP($A96,'PVC SCH80 Flange'!$A$8:$M$48,6,FALSE),
IF($A96&lt;'PVC SCH80 LD Flange'!$A$17,VLOOKUP($A96,'PVC SCH80 LD Flange'!$A$8:$M$16,6,FALSE),
IF($A96&lt;CPVC!$A$105,VLOOKUP($A96,CPVC!$A$9:$M$104,6,FALSE),
IF($A96&lt;InsertFittings!$A$185,VLOOKUP($A96,InsertFittings!$A$9:$M$184,6,FALSE),
IF($A96&lt;Valves!$A$92,VLOOKUP($A96,Valves!$A$9:$Q$91,6,FALSE),
IF($A96&lt;SDR35SW!$A$133,VLOOKUP($A96,SDR35SW!$A$9:$M$132,6,FALSE),
IF($A96&lt;SDR35G!$A$151,VLOOKUP($A96,SDR35G!$A$9:$M$150,6,FALSE),
IF($A96&lt;SDR26G!$A$67,VLOOKUP($A96,SDR26G!$A$9:$N$66,7,FALSE),
IF($A96&lt;Cements!$A$95,VLOOKUP($A96,Cements!$A$8:$Q$94,6,FALSE),
IF($A96&lt;ValveBox!$A$124,VLOOKUP($A96,ValveBox!$A$9:$O$123,6,FALSE),
IF($A96&lt;'ValveBox Components'!$A$142,VLOOKUP($A96,'ValveBox Components'!$A$9:$N$141,6,FALSE),
IF($A96&lt;Drainage!$A$69,VLOOKUP($A96,Drainage!$A$8:$M$68,6,FALSE),
IF($A96&lt;Nipples!$A$82,VLOOKUP($A96,Nipples!$A$9:$Q$81,6,FALSE),
IF($A96&lt;Manifold!$A$33,VLOOKUP($A96,Manifold!$A$9:$M$32,6,FALSE),
IF($A96&lt;FlexibleRepairCouplings!$A$12,VLOOKUP($A96,FlexibleRepairCouplings!$A$9:$M$11,6,FALSE),
IF($A96&lt;DuraFix!$A$15,VLOOKUP($A96,DuraFix!$A$9:$M$14,6,FALSE),
IF($A96&lt;'Compression Fittings'!$A$16,VLOOKUP($A96,'Compression Fittings'!$A$8:$M$15,6,FALSE),
IF($A96&lt;'Hose Fittings'!$A$30,VLOOKUP($A96,'Hose Fittings'!$A$8:$M$29,6,FALSE),
IF($A96&lt;'Swing Joints'!$A$495,VLOOKUP($A96,'Swing Joints'!$A$9:$M$494,6,FALSE),
IF($A96&lt;'Swing Joints Components'!$A$135,VLOOKUP($A96,'Swing Joints Components'!$A$9:$M$134,6,FALSE),
IF($A96&lt;Nonstandard!$A$42,VLOOKUP($A96,Nonstandard!$A$31:$J$41,7,FALSE),"")))))))))))))))))))))))))))),"")</f>
        <v/>
      </c>
      <c r="E96" s="538"/>
      <c r="F96" s="539" t="str">
        <f>IFERROR(IF($A96&lt;'DWV PVC'!$A$317,VLOOKUP($A96,'DWV PVC'!$A$9:$M$316,9,FALSE),
IF($A96&lt;'DWV ABS'!$A$117,VLOOKUP($A96,'DWV ABS'!$A$8:$M$116,9,FALSE),                                                                                                                                                                                                                                                     IF($A96&lt;'PVC SCH40'!$A$425,VLOOKUP($A96,'PVC SCH40'!$A$8:$M$424,9,FALSE),
IF($A96&lt;'PVC SCH40 LD'!$A$22,VLOOKUP($A96,'PVC SCH40 LD'!$A$8:$M$21,9,FALSE),
IF($A96&lt;'Pool &amp; SPA Sweep Elbows'!$A$12,VLOOKUP($A96,'Pool &amp; SPA Sweep Elbows'!$A$8:$M$11,9,FALSE),
IF($A96&lt;'Pool &amp; SPA Pipe Extender'!$A$11,VLOOKUP($A96,'Pool &amp; SPA Pipe Extender'!$A$8:$M$10,9,FALSE),
IF($A96&lt;'PVC SCH80'!$A$250,VLOOKUP($A96,'PVC SCH80'!$A$8:$M$249,9,FALSE),
IF($A96&lt;'PVC SCH80 Flange'!$A$49,VLOOKUP($A96,'PVC SCH80 Flange'!$A$8:$M$48,9,FALSE),
IF($A96&lt;'PVC SCH80 LD Flange'!$A$17,VLOOKUP($A96,'PVC SCH80 LD Flange'!$A$8:$M$16,9,FALSE),
IF($A96&lt;CPVC!$A$105,VLOOKUP($A96,CPVC!$A$9:$M$104,9,FALSE),
IF($A96&lt;InsertFittings!$A$185,VLOOKUP($A96,InsertFittings!$A$9:$M$184,9,FALSE),
IF($A96&lt;Valves!$A$92,VLOOKUP($A96,Valves!$A$9:$Q$91,13,FALSE),
IF($A96&lt;SDR35SW!$A$133,VLOOKUP($A96,SDR35SW!$A$9:$M$132,9,FALSE),
IF($A96&lt;SDR35G!$A$151,VLOOKUP($A96,SDR35G!$A$9:$M$150,9,FALSE),                                                                                                                                                                                                                                                          IF($A96&lt;SDR26G!$A$67,VLOOKUP($A96,SDR26G!$A$9:$N$66,10,FALSE),                                                                                                                                                                                                                                                       IF($A96&lt;Cements!$A$95,VLOOKUP($A96,Cements!$A$8:$Q$94,13,FALSE),
IF($A96&lt;ValveBox!$A$124,VLOOKUP($A96,ValveBox!$A$9:$O$123,11,FALSE),
IF($A96&lt;'ValveBox Components'!$A$142,VLOOKUP($A96,'ValveBox Components'!$A$9:$N$141,10,FALSE),
IF($A96&lt;Drainage!$A$69,VLOOKUP($A96,Drainage!$A$8:$M$68,9,FALSE),                                                                                                                                                                                                                                                              IF($A96&lt;Nipples!$A$82,VLOOKUP($A96,Nipples!$A$9:$Q$81,13,FALSE),
IF($A96&lt;Manifold!$A$33,VLOOKUP($A96,Manifold!$A$9:$M$32,9,FALSE),
IF($A96&lt;FlexibleRepairCouplings!$A$12,VLOOKUP($A96,FlexibleRepairCouplings!$A$9:$M$11,9,FALSE),
IF($A96&lt;DuraFix!$A$15,VLOOKUP($A96,DuraFix!$A$9:$M$14,9,FALSE),                                                                                                                                                                                                                                                          IF($A96&lt;'Compression Fittings'!$A$16,VLOOKUP($A96,'Compression Fittings'!$A$8:$M$15,9,FALSE),
IF($A96&lt;'Hose Fittings'!$A$30,VLOOKUP($A96,'Hose Fittings'!$A$8:$M$29,9,FALSE),
IF($A96&lt;'Swing Joints'!$A$495,VLOOKUP($A96,'Swing Joints'!$A$9:$M$494,9,FALSE),
IF($A96&lt;'Swing Joints Components'!$A$135,VLOOKUP($A96,'Swing Joints Components'!$A$9:$M$134,9,FALSE),
IF($A96&lt;Nonstandard!$A$42,VLOOKUP($A96,Nonstandard!$A$31:$J$41,8,FALSE),"")))))))))))))))))))))))))))),"")</f>
        <v/>
      </c>
      <c r="G96" s="540" t="str">
        <f>IFERROR(IF($A96&lt;'DWV PVC'!$A$317,VLOOKUP($A96,'DWV PVC'!$A$9:$M$316,11,FALSE),
IF($A96&lt;'DWV ABS'!$A$117,VLOOKUP($A96,'DWV ABS'!$A$8:$M$116,11,FALSE),                                                                                                                                                                                                                                                     IF($A96&lt;'PVC SCH40'!$A$425,VLOOKUP($A96,'PVC SCH40'!$A$8:$M$424,11,FALSE),
IF($A96&lt;'PVC SCH40 LD'!$A$22,VLOOKUP($A96,'PVC SCH40 LD'!$A$8:$M$21,11,FALSE),
IF($A96&lt;'Pool &amp; SPA Sweep Elbows'!$A$12,VLOOKUP($A96,'Pool &amp; SPA Sweep Elbows'!$A$8:$M$11,11,FALSE),
IF($A96&lt;'Pool &amp; SPA Pipe Extender'!$A$11,VLOOKUP($A96,'Pool &amp; SPA Pipe Extender'!$A$8:$M$10,11,FALSE),
IF($A96&lt;'PVC SCH80'!$A$250,VLOOKUP($A96,'PVC SCH80'!$A$8:$M$249,11,FALSE),
IF($A96&lt;'PVC SCH80 Flange'!$A$49,VLOOKUP($A96,'PVC SCH80 Flange'!$A$8:$M$48,11,FALSE),
IF($A96&lt;'PVC SCH80 LD Flange'!$A$17,VLOOKUP($A96,'PVC SCH80 LD Flange'!$A$8:$M$16,11,FALSE),
IF($A96&lt;CPVC!$A$105,VLOOKUP($A96,CPVC!$A$9:$M$104,11,FALSE),
IF($A96&lt;InsertFittings!$A$185,VLOOKUP($A96,InsertFittings!$A$9:$M$184,11,FALSE),
IF($A96&lt;Valves!$A$92,VLOOKUP($A96,Valves!$A$9:$Q$91,15,FALSE),
IF($A96&lt;SDR35SW!$A$133,VLOOKUP($A96,SDR35SW!$A$9:$M$132,11,FALSE),
IF($A96&lt;SDR35G!$A$151,VLOOKUP($A96,SDR35G!$A$9:$M$150,11,FALSE),                                                                                                                                                                                                                                                          IF($A96&lt;SDR26G!$A$67,VLOOKUP($A96,SDR26G!$A$9:$N$66,12,FALSE),                                                                                                                                                                                                                                                       IF($A96&lt;Cements!$A$95,VLOOKUP($A96,Cements!$A$8:$Q$94,15,FALSE),
IF($A96&lt;ValveBox!$A$124,VLOOKUP($A96,ValveBox!$A$9:$O$123,13,FALSE),
IF($A96&lt;'ValveBox Components'!$A$142,VLOOKUP($A96,'ValveBox Components'!$A$9:$N$141,12,FALSE),
IF($A96&lt;Drainage!$A$69,VLOOKUP($A96,Drainage!$A$8:$M$68,11,FALSE),                                                                                                                                                                                                                                                           IF($A96&lt;Nipples!$A$82,VLOOKUP($A96,Nipples!$A$9:$Q$81,15,FALSE),
IF($A96&lt;Manifold!$A$33,VLOOKUP($A96,Manifold!$A$9:$M$32,11,FALSE),
IF($A96&lt;FlexibleRepairCouplings!$A$12,VLOOKUP($A96,FlexibleRepairCouplings!$A$9:$M$11,11,FALSE),
IF($A96&lt;DuraFix!$A$15,VLOOKUP($A96,DuraFix!$A$9:$M$14,11,FALSE),                                                                                                                                                                                                                                                            IF($A96&lt;'Compression Fittings'!$A$16,VLOOKUP($A96,'Compression Fittings'!$A$8:$M$15,11,FALSE),
IF($A96&lt;'Hose Fittings'!$A$30,VLOOKUP($A96,'Hose Fittings'!$A$8:$M$29,11,FALSE),
IF($A96&lt;'Swing Joints'!$A$495,VLOOKUP($A96,'Swing Joints'!$A$9:$M$494,11,FALSE),
IF($A96&lt;'Swing Joints Components'!$A$135,VLOOKUP($A96,'Swing Joints Components'!$A$9:$M$134,11,FALSE),
IF($A96&lt;Nonstandard!$A$42,VLOOKUP($A96,Nonstandard!$A$31:$J$41,10,FALSE),"")))))))))))))))))))))))))))),"")</f>
        <v/>
      </c>
      <c r="H96" s="620" t="str">
        <f>IFERROR(IF($A96&lt;'DWV PVC'!$A$317,VLOOKUP($A96,'DWV PVC'!$A$9:$M$316,7,FALSE),
IF($A96&lt;'DWV ABS'!$A$117,VLOOKUP($A96,'DWV ABS'!$A$8:$M$116,11,FALSE),                                                                                                                                                                                                                                                     IF($A96&lt;'PVC SCH40'!$A$425,VLOOKUP($A96,'PVC SCH40'!$A$8:$M$424,7,FALSE),
IF($A96&lt;'PVC SCH40 LD'!$A$22,VLOOKUP($A96,'PVC SCH40 LD'!$A$8:$M$21,7,FALSE),
IF($A96&lt;'Pool &amp; SPA Sweep Elbows'!$A$12,VLOOKUP($A96,'Pool &amp; SPA Sweep Elbows'!$A$8:$M$11,7,FALSE),
IF($A96&lt;'Pool &amp; SPA Pipe Extender'!$A$11,VLOOKUP($A96,'Pool &amp; SPA Pipe Extender'!$A$8:$M$10,7,FALSE),
IF($A96&lt;'PVC SCH80'!$A$250,VLOOKUP($A96,'PVC SCH80'!$A$8:$M$249,7,FALSE),
IF($A96&lt;'PVC SCH80 Flange'!$A$49,VLOOKUP($A96,'PVC SCH80 Flange'!$A$8:$M$48,7,FALSE),
IF($A96&lt;'PVC SCH80 LD Flange'!$A$17,VLOOKUP($A96,'PVC SCH80 LD Flange'!$A$8:$M$16,7,FALSE),
IF($A96&lt;CPVC!$A$105,VLOOKUP($A96,CPVC!$A$9:$M$104,7,FALSE),
IF($A96&lt;InsertFittings!$A$185,VLOOKUP($A96,InsertFittings!$A$9:$M$184,7,FALSE),
IF($A96&lt;Valves!$A$92,VLOOKUP($A96,Valves!$A$9:$Q$91,11,FALSE),
IF($A96&lt;SDR35SW!$A$133,VLOOKUP($A96,SDR35SW!$A$9:$M$132,7,FALSE),
IF($A96&lt;SDR35G!$A$151,VLOOKUP($A96,SDR35G!$A$9:$M$150,7,FALSE),                                                                                                                                                                                                                                                       IF($A96&lt;SDR26G!$A$67,VLOOKUP($A96,SDR26G!$A$9:$N$66,8,FALSE),                                                                                                                                                                                                                                                     IF($A96&lt;Cements!$A$95,VLOOKUP($A96,Cements!$A$8:$Q$94,11,FALSE),
IF($A96&lt;ValveBox!$A$124,VLOOKUP($A96,ValveBox!$A$9:$O$123,10,FALSE),
IF($A96&lt;'ValveBox Components'!$A$142,VLOOKUP($A96,'ValveBox Components'!$A$9:$N$141,9,FALSE),
IF($A96&lt;Drainage!$A$69,VLOOKUP($A96,Drainage!$A$8:$M$68,7,FALSE),                                                                                                                                                                                                                                                          IF($A96&lt;Nipples!$A$82,VLOOKUP($A96,Nipples!$A$9:$Q$81,11,FALSE),
IF($A96&lt;Manifold!$A$33,VLOOKUP($A96,Manifold!$A$9:$M$32,7,FALSE),
IF($A96&lt;FlexibleRepairCouplings!$A$12,VLOOKUP($A96,FlexibleRepairCouplings!$A$9:$M$11,7,FALSE),
IF($A96&lt;DuraFix!$A$15,VLOOKUP($A96,DuraFix!$A$9:$M$14,7,FALSE),                                                                                                                                                                                                                                                           IF($A96&lt;'Compression Fittings'!$A$16,VLOOKUP($A96,'Compression Fittings'!$A$8:$M$15,7,FALSE),
IF($A96&lt;'Hose Fittings'!$A$30,VLOOKUP($A96,'Hose Fittings'!$A$8:$M$29,7,FALSE),
IF($A96&lt;'Swing Joints'!$A$495,VLOOKUP($A96,'Swing Joints'!$A$9:$M$494,7,FALSE),
IF($A96&lt;'Swing Joints Components'!$A$135,VLOOKUP($A96,'Swing Joints Components'!$A$9:$M$134,7,FALSE),
IF($A96&lt;Nonstandard!$A$42,VLOOKUP($A96,Nonstandard!$A$31:$J$41,10,FALSE),"")))))))))))))))))))))))))))),"")</f>
        <v/>
      </c>
      <c r="I96" s="621"/>
      <c r="J96" s="541" t="str">
        <f t="shared" si="1"/>
        <v/>
      </c>
      <c r="K96" s="599" t="str">
        <f>IFERROR(IF($A96&lt;'DWV PVC'!$A$317,VLOOKUP($A96,'DWV PVC'!$A$9:$M$316,10,FALSE),
IF($A96&lt;'DWV ABS'!$A$117,VLOOKUP($A96,'DWV ABS'!$A$8:$M$116,10,FALSE),
IF($A96&lt;'PVC SCH40'!$A$425,VLOOKUP($A96,'PVC SCH40'!$A$8:$M$424,10,FALSE),
IF($A96&lt;'PVC SCH40 LD'!$A$22,VLOOKUP($A96,'PVC SCH40 LD'!$A$8:$M$21,10,FALSE),
IF($A96&lt;'Pool &amp; SPA Sweep Elbows'!$A$12,VLOOKUP($A96,'Pool &amp; SPA Sweep Elbows'!$A$8:$M$11,10,FALSE),
IF($A96&lt;'Pool &amp; SPA Pipe Extender'!$A$11,VLOOKUP($A96,'Pool &amp; SPA Pipe Extender'!$A$8:$M$10,10,FALSE),
IF($A96&lt;'PVC SCH80'!$A$250,VLOOKUP($A96,'PVC SCH80'!$A$8:$M$249,10,FALSE),
IF($A96&lt;'PVC SCH80 Flange'!$A$49,VLOOKUP($A96,'PVC SCH80 Flange'!$A$8:$M$48,10,FALSE),
IF($A96&lt;'PVC SCH80 LD Flange'!$A$17,VLOOKUP($A96,'PVC SCH80 LD Flange'!$A$8:$M$16,10,FALSE),
IF($A96&lt;CPVC!$A$105,VLOOKUP($A96,CPVC!$A$9:$M$104,10,FALSE),
IF($A96&lt;InsertFittings!$A$185,VLOOKUP($A96,InsertFittings!$A$9:$M$184,10,FALSE),
IF($A96&lt;Valves!$A$92,VLOOKUP($A96,Valves!$A$9:$Q$91,14,FALSE),
IF($A96&lt;SDR35SW!$A$133,VLOOKUP($A96,SDR35SW!$A$9:$M$132,10,FALSE),
IF($A96&lt;SDR35G!$A$151,VLOOKUP($A96,SDR35G!$A$9:$M$150,10,FALSE),
IF($A96&lt;SDR26G!$A$67,VLOOKUP($A96,SDR26G!$A$9:$N$66,11,FALSE),
IF($A96&lt;Cements!$A$95,VLOOKUP($A96,Cements!$A$8:$Q$94,14,FALSE),
IF($A96&lt;ValveBox!$A$124,VLOOKUP($A96,ValveBox!$A$9:$O$123,12,FALSE),
IF($A96&lt;'ValveBox Components'!$A$142,VLOOKUP($A96,'ValveBox Components'!$A$9:$N$141,11,FALSE),
IF($A96&lt;Drainage!$A$69,VLOOKUP($A96,Drainage!$A$8:$M$68,10,FALSE),
IF($A96&lt;Nipples!$A$82,VLOOKUP($A96,Nipples!$A$9:$Q$81,14,FALSE),
IF($A96&lt;Manifold!$A$33,VLOOKUP($A96,Manifold!$A$9:$M$32,10,FALSE),
IF($A96&lt;FlexibleRepairCouplings!$A$12,VLOOKUP($A96,FlexibleRepairCouplings!$A$9:$M$11,10,FALSE),
IF($A96&lt;DuraFix!$A$15,VLOOKUP($A96,DuraFix!$A$9:$M$14,10,FALSE),
IF($A96&lt;'Compression Fittings'!$A$16,VLOOKUP($A96,'Compression Fittings'!$A$8:$M$15,10,FALSE),
IF($A96&lt;'Hose Fittings'!$A$30,VLOOKUP($A96,'Hose Fittings'!$A$8:$M$29,10,FALSE),
IF($A96&lt;'Swing Joints'!$A$495,VLOOKUP($A96,'Swing Joints'!$A$9:$M$494,10,FALSE),
IF($A96&lt;'Swing Joints Components'!$A$135,VLOOKUP($A96,'Swing Joints Components'!$A$9:$M$134,10,FALSE),
IF($A96&lt;Nonstandard!$A$42,VLOOKUP($A96,Nonstandard!$A$31:$J$41,10,FALSE),"")))))))))))))))))))))))))))),"")</f>
        <v/>
      </c>
      <c r="L96" s="539" t="str">
        <f t="shared" si="0"/>
        <v>-</v>
      </c>
      <c r="M96" s="542"/>
    </row>
    <row r="97" spans="1:13" ht="15.6">
      <c r="A97" s="312">
        <v>65</v>
      </c>
      <c r="B97" s="312" t="str">
        <f>IFERROR(IF($A97&lt;'DWV PVC'!$A$317,VLOOKUP($A97,'DWV PVC'!$A$9:$M$316,4,FALSE),
IF($A97&lt;'DWV ABS'!$A$117,VLOOKUP($A97,'DWV ABS'!$A$8:$M$116,4,FALSE),
IF($A97&lt;'PVC SCH40'!$A$425,VLOOKUP($A97,'PVC SCH40'!$A$8:$M$424,4,FALSE),
IF($A97&lt;'PVC SCH40 LD'!$A$22,VLOOKUP($A97,'PVC SCH40 LD'!$A$8:$M$21,4,FALSE),
IF($A97&lt;'Pool &amp; SPA Sweep Elbows'!$A$12,VLOOKUP($A97,'Pool &amp; SPA Sweep Elbows'!$A$8:$M$11,4,FALSE),
IF($A97&lt;'Pool &amp; SPA Pipe Extender'!$A$11,VLOOKUP($A97,'Pool &amp; SPA Pipe Extender'!$A$8:$M$10,4,FALSE),
IF($A97&lt;'PVC SCH80'!$A$250,VLOOKUP($A97,'PVC SCH80'!$A$8:$M$249,4,FALSE),
IF($A97&lt;'PVC SCH80 Flange'!$A$49,VLOOKUP($A97,'PVC SCH80 Flange'!$A$8:$M$48,4,FALSE),
IF($A97&lt;'PVC SCH80 LD Flange'!$A$17,VLOOKUP($A97,'PVC SCH80 LD Flange'!$A$8:$M$16,4,FALSE),
IF($A97&lt;CPVC!$A$105,VLOOKUP($A97,CPVC!$A$9:$M$104,4,FALSE),
IF($A97&lt;InsertFittings!$A$185,VLOOKUP($A97,InsertFittings!$A$9:$M$184,4,FALSE),
IF($A97&lt;Valves!$A$92,VLOOKUP($A97,Valves!$A$9:$Q$91,4,FALSE),
IF($A97&lt;SDR35SW!$A$133,VLOOKUP($A97,SDR35SW!$A$9:$M$132,4,FALSE),
IF($A97&lt;SDR35G!$A$151,VLOOKUP($A97,SDR35G!$A$9:$M$150,4,FALSE),
IF($A97&lt;SDR26G!$A$67,VLOOKUP($A97,SDR26G!$A$9:$N$66,5,FALSE),
IF($A97&lt;Cements!$A$95,VLOOKUP($A97,Cements!$A$8:$Q$94,4,FALSE),
IF($A97&lt;ValveBox!$A$124,VLOOKUP($A97,ValveBox!$A$9:$O$123,4,FALSE),
IF($A97&lt;'ValveBox Components'!$A$142,VLOOKUP($A97,'ValveBox Components'!$A$9:$N$141,4,FALSE),
IF($A97&lt;Drainage!$A$69,VLOOKUP($A97,Drainage!$A$8:$M$68,4,FALSE),
IF($A97&lt;Nipples!$A$82,VLOOKUP($A97,Nipples!$A$9:$Q$81,4,FALSE),
IF($A97&lt;Manifold!$A$33,VLOOKUP($A97,Manifold!$A$9:$M$32,4,FALSE),
IF($A97&lt;FlexibleRepairCouplings!$A$12,VLOOKUP($A97,FlexibleRepairCouplings!$A$9:$M$11,4,FALSE),
IF($A97&lt;DuraFix!$A$15,VLOOKUP($A97,DuraFix!$A$9:$M$14,4,FALSE),
IF($A97&lt;'Compression Fittings'!$A$16,VLOOKUP($A97,'Compression Fittings'!$A$8:$M$15,4,FALSE),
IF($A97&lt;'Hose Fittings'!$A$30,VLOOKUP($A97,'Hose Fittings'!$A$8:$M$29,4,FALSE),
IF($A97&lt;'Swing Joints'!$A$495,VLOOKUP($A97,'Swing Joints'!$A$9:$M$494,4,FALSE),
IF($A97&lt;'Swing Joints Components'!$A$135,VLOOKUP($A97,'Swing Joints Components'!$A$9:$M$134,4,FALSE),
IF($A97&lt;Nonstandard!$A$42,VLOOKUP($A97,Nonstandard!$A$31:$J$41,5,FALSE),"")))))))))))))))))))))))))))),"")</f>
        <v/>
      </c>
      <c r="C97" s="312" t="str">
        <f>IFERROR(IF($A97&lt;'DWV PVC'!$A$317,VLOOKUP($A97,'DWV PVC'!$A$9:$M$316,5,FALSE),
IF($A97&lt;'DWV ABS'!$A$117,VLOOKUP($A97,'DWV ABS'!$A$8:$M$116,5,FALSE),
IF($A97&lt;'PVC SCH40'!$A$425,VLOOKUP($A97,'PVC SCH40'!$A$8:$M$424,5,FALSE),
IF($A97&lt;'PVC SCH40 LD'!$A$22,VLOOKUP($A97,'PVC SCH40 LD'!$A$8:$M$21,5,FALSE),
IF($A97&lt;'Pool &amp; SPA Sweep Elbows'!$A$12,VLOOKUP($A97,'Pool &amp; SPA Sweep Elbows'!$A$8:$M$11,5,FALSE),
IF($A97&lt;'Pool &amp; SPA Pipe Extender'!$A$11,VLOOKUP($A97,'Pool &amp; SPA Pipe Extender'!$A$8:$M$10,5,FALSE),
IF($A97&lt;'PVC SCH80'!$A$250,VLOOKUP($A97,'PVC SCH80'!$A$8:$M$249,5,FALSE),
IF($A97&lt;'PVC SCH80 Flange'!$A$49,VLOOKUP($A97,'PVC SCH80 Flange'!$A$8:$M$48,5,FALSE),
IF($A97&lt;'PVC SCH80 LD Flange'!$A$17,VLOOKUP($A97,'PVC SCH80 LD Flange'!$A$8:$M$16,5,FALSE),
IF($A97&lt;CPVC!$A$105,VLOOKUP($A97,CPVC!$A$9:$M$104,5,FALSE),
IF($A97&lt;InsertFittings!$A$185,VLOOKUP($A97,InsertFittings!$A$9:$M$184,5,FALSE),
IF($A97&lt;Valves!$A$92,VLOOKUP($A97,Valves!$A$9:$Q$91,5,FALSE),
IF($A97&lt;SDR35SW!$A$133,VLOOKUP($A97,SDR35SW!$A$9:$M$132,5,FALSE),
IF($A97&lt;SDR35G!$A$151,VLOOKUP($A97,SDR35G!$A$9:$M$150,5,FALSE),
IF($A97&lt;SDR26G!$A$67,VLOOKUP($A97,SDR26G!$A$9:$N$66,6,FALSE),
IF($A97&lt;Cements!$A$95,VLOOKUP($A97,Cements!$A$8:$Q$94,5,FALSE),
IF($A97&lt;ValveBox!$A$124,VLOOKUP($A97,ValveBox!$A$9:$O$123,5,FALSE),
IF($A97&lt;'ValveBox Components'!$A$142,VLOOKUP($A97,'ValveBox Components'!$A$9:$N$141,5,FALSE),
IF($A97&lt;Drainage!$A$69,VLOOKUP($A97,Drainage!$A$8:$M$68,5,FALSE),
IF($A97&lt;Nipples!$A$82,VLOOKUP($A97,Nipples!$A$9:$Q$81,5,FALSE),
IF($A97&lt;Manifold!$A$33,VLOOKUP($A97,Manifold!$A$9:$M$32,5,FALSE),
IF($A97&lt;FlexibleRepairCouplings!$A$12,VLOOKUP($A97,FlexibleRepairCouplings!$A$9:$M$11,5,FALSE),
IF($A97&lt;DuraFix!$A$15,VLOOKUP($A97,DuraFix!$A$9:$M$14,5,FALSE),
IF($A97&lt;'Compression Fittings'!$A$16,VLOOKUP($A97,'Compression Fittings'!$A$8:$M$15,5,FALSE),
IF($A97&lt;'Hose Fittings'!$A$30,VLOOKUP($A97,'Hose Fittings'!$A$8:$M$29,5,FALSE),
IF($A97&lt;'Swing Joints'!$A$495,VLOOKUP($A97,'Swing Joints'!$A$9:$M$494,5,FALSE),
IF($A97&lt;'Swing Joints Components'!$A$135,VLOOKUP($A97,'Swing Joints Components'!$A$9:$M$134,5,FALSE),
IF($A97&lt;Nonstandard!$A$42,VLOOKUP($A97,Nonstandard!$A$31:$J$41,6,FALSE),"")))))))))))))))))))))))))))),"")</f>
        <v/>
      </c>
      <c r="D97" s="534" t="str">
        <f>IFERROR(IF($A97&lt;'DWV PVC'!$A$317,VLOOKUP($A97,'DWV PVC'!$A$9:$M$316,6,FALSE),
IF($A97&lt;'DWV ABS'!$A$117,VLOOKUP($A97,'DWV ABS'!$A$8:$M$116,6,FALSE),
IF($A97&lt;'PVC SCH40'!$A$425,VLOOKUP($A97,'PVC SCH40'!$A$8:$M$424,6,FALSE),
IF($A97&lt;'PVC SCH40 LD'!$A$22,VLOOKUP($A97,'PVC SCH40 LD'!$A$8:$M$21,6,FALSE),
IF($A97&lt;'Pool &amp; SPA Sweep Elbows'!$A$12,VLOOKUP($A97,'Pool &amp; SPA Sweep Elbows'!$A$8:$M$11,6,FALSE),
IF($A97&lt;'Pool &amp; SPA Pipe Extender'!$A$11,VLOOKUP($A97,'Pool &amp; SPA Pipe Extender'!$A$8:$M$10,6,FALSE),
IF($A97&lt;'PVC SCH80'!$A$250,VLOOKUP($A97,'PVC SCH80'!$A$8:$M$249,6,FALSE),
IF($A97&lt;'PVC SCH80 Flange'!$A$49,VLOOKUP($A97,'PVC SCH80 Flange'!$A$8:$M$48,6,FALSE),
IF($A97&lt;'PVC SCH80 LD Flange'!$A$17,VLOOKUP($A97,'PVC SCH80 LD Flange'!$A$8:$M$16,6,FALSE),
IF($A97&lt;CPVC!$A$105,VLOOKUP($A97,CPVC!$A$9:$M$104,6,FALSE),
IF($A97&lt;InsertFittings!$A$185,VLOOKUP($A97,InsertFittings!$A$9:$M$184,6,FALSE),
IF($A97&lt;Valves!$A$92,VLOOKUP($A97,Valves!$A$9:$Q$91,6,FALSE),
IF($A97&lt;SDR35SW!$A$133,VLOOKUP($A97,SDR35SW!$A$9:$M$132,6,FALSE),
IF($A97&lt;SDR35G!$A$151,VLOOKUP($A97,SDR35G!$A$9:$M$150,6,FALSE),
IF($A97&lt;SDR26G!$A$67,VLOOKUP($A97,SDR26G!$A$9:$N$66,7,FALSE),
IF($A97&lt;Cements!$A$95,VLOOKUP($A97,Cements!$A$8:$Q$94,6,FALSE),
IF($A97&lt;ValveBox!$A$124,VLOOKUP($A97,ValveBox!$A$9:$O$123,6,FALSE),
IF($A97&lt;'ValveBox Components'!$A$142,VLOOKUP($A97,'ValveBox Components'!$A$9:$N$141,6,FALSE),
IF($A97&lt;Drainage!$A$69,VLOOKUP($A97,Drainage!$A$8:$M$68,6,FALSE),
IF($A97&lt;Nipples!$A$82,VLOOKUP($A97,Nipples!$A$9:$Q$81,6,FALSE),
IF($A97&lt;Manifold!$A$33,VLOOKUP($A97,Manifold!$A$9:$M$32,6,FALSE),
IF($A97&lt;FlexibleRepairCouplings!$A$12,VLOOKUP($A97,FlexibleRepairCouplings!$A$9:$M$11,6,FALSE),
IF($A97&lt;DuraFix!$A$15,VLOOKUP($A97,DuraFix!$A$9:$M$14,6,FALSE),
IF($A97&lt;'Compression Fittings'!$A$16,VLOOKUP($A97,'Compression Fittings'!$A$8:$M$15,6,FALSE),
IF($A97&lt;'Hose Fittings'!$A$30,VLOOKUP($A97,'Hose Fittings'!$A$8:$M$29,6,FALSE),
IF($A97&lt;'Swing Joints'!$A$495,VLOOKUP($A97,'Swing Joints'!$A$9:$M$494,6,FALSE),
IF($A97&lt;'Swing Joints Components'!$A$135,VLOOKUP($A97,'Swing Joints Components'!$A$9:$M$134,6,FALSE),
IF($A97&lt;Nonstandard!$A$42,VLOOKUP($A97,Nonstandard!$A$31:$J$41,7,FALSE),"")))))))))))))))))))))))))))),"")</f>
        <v/>
      </c>
      <c r="E97" s="316"/>
      <c r="F97" s="314" t="str">
        <f>IFERROR(IF($A97&lt;'DWV PVC'!$A$317,VLOOKUP($A97,'DWV PVC'!$A$9:$M$316,9,FALSE),
IF($A97&lt;'DWV ABS'!$A$117,VLOOKUP($A97,'DWV ABS'!$A$8:$M$116,9,FALSE),                                                                                                                                                                                                                                                     IF($A97&lt;'PVC SCH40'!$A$425,VLOOKUP($A97,'PVC SCH40'!$A$8:$M$424,9,FALSE),
IF($A97&lt;'PVC SCH40 LD'!$A$22,VLOOKUP($A97,'PVC SCH40 LD'!$A$8:$M$21,9,FALSE),
IF($A97&lt;'Pool &amp; SPA Sweep Elbows'!$A$12,VLOOKUP($A97,'Pool &amp; SPA Sweep Elbows'!$A$8:$M$11,9,FALSE),
IF($A97&lt;'Pool &amp; SPA Pipe Extender'!$A$11,VLOOKUP($A97,'Pool &amp; SPA Pipe Extender'!$A$8:$M$10,9,FALSE),
IF($A97&lt;'PVC SCH80'!$A$250,VLOOKUP($A97,'PVC SCH80'!$A$8:$M$249,9,FALSE),
IF($A97&lt;'PVC SCH80 Flange'!$A$49,VLOOKUP($A97,'PVC SCH80 Flange'!$A$8:$M$48,9,FALSE),
IF($A97&lt;'PVC SCH80 LD Flange'!$A$17,VLOOKUP($A97,'PVC SCH80 LD Flange'!$A$8:$M$16,9,FALSE),
IF($A97&lt;CPVC!$A$105,VLOOKUP($A97,CPVC!$A$9:$M$104,9,FALSE),
IF($A97&lt;InsertFittings!$A$185,VLOOKUP($A97,InsertFittings!$A$9:$M$184,9,FALSE),
IF($A97&lt;Valves!$A$92,VLOOKUP($A97,Valves!$A$9:$Q$91,13,FALSE),
IF($A97&lt;SDR35SW!$A$133,VLOOKUP($A97,SDR35SW!$A$9:$M$132,9,FALSE),
IF($A97&lt;SDR35G!$A$151,VLOOKUP($A97,SDR35G!$A$9:$M$150,9,FALSE),                                                                                                                                                                                                                                                          IF($A97&lt;SDR26G!$A$67,VLOOKUP($A97,SDR26G!$A$9:$N$66,10,FALSE),                                                                                                                                                                                                                                                       IF($A97&lt;Cements!$A$95,VLOOKUP($A97,Cements!$A$8:$Q$94,13,FALSE),
IF($A97&lt;ValveBox!$A$124,VLOOKUP($A97,ValveBox!$A$9:$O$123,11,FALSE),
IF($A97&lt;'ValveBox Components'!$A$142,VLOOKUP($A97,'ValveBox Components'!$A$9:$N$141,10,FALSE),
IF($A97&lt;Drainage!$A$69,VLOOKUP($A97,Drainage!$A$8:$M$68,9,FALSE),                                                                                                                                                                                                                                                              IF($A97&lt;Nipples!$A$82,VLOOKUP($A97,Nipples!$A$9:$Q$81,13,FALSE),
IF($A97&lt;Manifold!$A$33,VLOOKUP($A97,Manifold!$A$9:$M$32,9,FALSE),
IF($A97&lt;FlexibleRepairCouplings!$A$12,VLOOKUP($A97,FlexibleRepairCouplings!$A$9:$M$11,9,FALSE),
IF($A97&lt;DuraFix!$A$15,VLOOKUP($A97,DuraFix!$A$9:$M$14,9,FALSE),                                                                                                                                                                                                                                                          IF($A97&lt;'Compression Fittings'!$A$16,VLOOKUP($A97,'Compression Fittings'!$A$8:$M$15,9,FALSE),
IF($A97&lt;'Hose Fittings'!$A$30,VLOOKUP($A97,'Hose Fittings'!$A$8:$M$29,9,FALSE),
IF($A97&lt;'Swing Joints'!$A$495,VLOOKUP($A97,'Swing Joints'!$A$9:$M$494,9,FALSE),
IF($A97&lt;'Swing Joints Components'!$A$135,VLOOKUP($A97,'Swing Joints Components'!$A$9:$M$134,9,FALSE),
IF($A97&lt;Nonstandard!$A$42,VLOOKUP($A97,Nonstandard!$A$31:$J$41,8,FALSE),"")))))))))))))))))))))))))))),"")</f>
        <v/>
      </c>
      <c r="G97" s="533" t="str">
        <f>IFERROR(IF($A97&lt;'DWV PVC'!$A$317,VLOOKUP($A97,'DWV PVC'!$A$9:$M$316,11,FALSE),
IF($A97&lt;'DWV ABS'!$A$117,VLOOKUP($A97,'DWV ABS'!$A$8:$M$116,11,FALSE),                                                                                                                                                                                                                                                     IF($A97&lt;'PVC SCH40'!$A$425,VLOOKUP($A97,'PVC SCH40'!$A$8:$M$424,11,FALSE),
IF($A97&lt;'PVC SCH40 LD'!$A$22,VLOOKUP($A97,'PVC SCH40 LD'!$A$8:$M$21,11,FALSE),
IF($A97&lt;'Pool &amp; SPA Sweep Elbows'!$A$12,VLOOKUP($A97,'Pool &amp; SPA Sweep Elbows'!$A$8:$M$11,11,FALSE),
IF($A97&lt;'Pool &amp; SPA Pipe Extender'!$A$11,VLOOKUP($A97,'Pool &amp; SPA Pipe Extender'!$A$8:$M$10,11,FALSE),
IF($A97&lt;'PVC SCH80'!$A$250,VLOOKUP($A97,'PVC SCH80'!$A$8:$M$249,11,FALSE),
IF($A97&lt;'PVC SCH80 Flange'!$A$49,VLOOKUP($A97,'PVC SCH80 Flange'!$A$8:$M$48,11,FALSE),
IF($A97&lt;'PVC SCH80 LD Flange'!$A$17,VLOOKUP($A97,'PVC SCH80 LD Flange'!$A$8:$M$16,11,FALSE),
IF($A97&lt;CPVC!$A$105,VLOOKUP($A97,CPVC!$A$9:$M$104,11,FALSE),
IF($A97&lt;InsertFittings!$A$185,VLOOKUP($A97,InsertFittings!$A$9:$M$184,11,FALSE),
IF($A97&lt;Valves!$A$92,VLOOKUP($A97,Valves!$A$9:$Q$91,15,FALSE),
IF($A97&lt;SDR35SW!$A$133,VLOOKUP($A97,SDR35SW!$A$9:$M$132,11,FALSE),
IF($A97&lt;SDR35G!$A$151,VLOOKUP($A97,SDR35G!$A$9:$M$150,11,FALSE),                                                                                                                                                                                                                                                          IF($A97&lt;SDR26G!$A$67,VLOOKUP($A97,SDR26G!$A$9:$N$66,12,FALSE),                                                                                                                                                                                                                                                       IF($A97&lt;Cements!$A$95,VLOOKUP($A97,Cements!$A$8:$Q$94,15,FALSE),
IF($A97&lt;ValveBox!$A$124,VLOOKUP($A97,ValveBox!$A$9:$O$123,13,FALSE),
IF($A97&lt;'ValveBox Components'!$A$142,VLOOKUP($A97,'ValveBox Components'!$A$9:$N$141,12,FALSE),
IF($A97&lt;Drainage!$A$69,VLOOKUP($A97,Drainage!$A$8:$M$68,11,FALSE),                                                                                                                                                                                                                                                           IF($A97&lt;Nipples!$A$82,VLOOKUP($A97,Nipples!$A$9:$Q$81,15,FALSE),
IF($A97&lt;Manifold!$A$33,VLOOKUP($A97,Manifold!$A$9:$M$32,11,FALSE),
IF($A97&lt;FlexibleRepairCouplings!$A$12,VLOOKUP($A97,FlexibleRepairCouplings!$A$9:$M$11,11,FALSE),
IF($A97&lt;DuraFix!$A$15,VLOOKUP($A97,DuraFix!$A$9:$M$14,11,FALSE),                                                                                                                                                                                                                                                            IF($A97&lt;'Compression Fittings'!$A$16,VLOOKUP($A97,'Compression Fittings'!$A$8:$M$15,11,FALSE),
IF($A97&lt;'Hose Fittings'!$A$30,VLOOKUP($A97,'Hose Fittings'!$A$8:$M$29,11,FALSE),
IF($A97&lt;'Swing Joints'!$A$495,VLOOKUP($A97,'Swing Joints'!$A$9:$M$494,11,FALSE),
IF($A97&lt;'Swing Joints Components'!$A$135,VLOOKUP($A97,'Swing Joints Components'!$A$9:$M$134,11,FALSE),
IF($A97&lt;Nonstandard!$A$42,VLOOKUP($A97,Nonstandard!$A$31:$J$41,10,FALSE),"")))))))))))))))))))))))))))),"")</f>
        <v/>
      </c>
      <c r="H97" s="618" t="str">
        <f>IFERROR(IF($A97&lt;'DWV PVC'!$A$317,VLOOKUP($A97,'DWV PVC'!$A$9:$M$316,7,FALSE),
IF($A97&lt;'DWV ABS'!$A$117,VLOOKUP($A97,'DWV ABS'!$A$8:$M$116,11,FALSE),                                                                                                                                                                                                                                                     IF($A97&lt;'PVC SCH40'!$A$425,VLOOKUP($A97,'PVC SCH40'!$A$8:$M$424,7,FALSE),
IF($A97&lt;'PVC SCH40 LD'!$A$22,VLOOKUP($A97,'PVC SCH40 LD'!$A$8:$M$21,7,FALSE),
IF($A97&lt;'Pool &amp; SPA Sweep Elbows'!$A$12,VLOOKUP($A97,'Pool &amp; SPA Sweep Elbows'!$A$8:$M$11,7,FALSE),
IF($A97&lt;'Pool &amp; SPA Pipe Extender'!$A$11,VLOOKUP($A97,'Pool &amp; SPA Pipe Extender'!$A$8:$M$10,7,FALSE),
IF($A97&lt;'PVC SCH80'!$A$250,VLOOKUP($A97,'PVC SCH80'!$A$8:$M$249,7,FALSE),
IF($A97&lt;'PVC SCH80 Flange'!$A$49,VLOOKUP($A97,'PVC SCH80 Flange'!$A$8:$M$48,7,FALSE),
IF($A97&lt;'PVC SCH80 LD Flange'!$A$17,VLOOKUP($A97,'PVC SCH80 LD Flange'!$A$8:$M$16,7,FALSE),
IF($A97&lt;CPVC!$A$105,VLOOKUP($A97,CPVC!$A$9:$M$104,7,FALSE),
IF($A97&lt;InsertFittings!$A$185,VLOOKUP($A97,InsertFittings!$A$9:$M$184,7,FALSE),
IF($A97&lt;Valves!$A$92,VLOOKUP($A97,Valves!$A$9:$Q$91,11,FALSE),
IF($A97&lt;SDR35SW!$A$133,VLOOKUP($A97,SDR35SW!$A$9:$M$132,7,FALSE),
IF($A97&lt;SDR35G!$A$151,VLOOKUP($A97,SDR35G!$A$9:$M$150,7,FALSE),                                                                                                                                                                                                                                                       IF($A97&lt;SDR26G!$A$67,VLOOKUP($A97,SDR26G!$A$9:$N$66,8,FALSE),                                                                                                                                                                                                                                                     IF($A97&lt;Cements!$A$95,VLOOKUP($A97,Cements!$A$8:$Q$94,11,FALSE),
IF($A97&lt;ValveBox!$A$124,VLOOKUP($A97,ValveBox!$A$9:$O$123,10,FALSE),
IF($A97&lt;'ValveBox Components'!$A$142,VLOOKUP($A97,'ValveBox Components'!$A$9:$N$141,9,FALSE),
IF($A97&lt;Drainage!$A$69,VLOOKUP($A97,Drainage!$A$8:$M$68,7,FALSE),                                                                                                                                                                                                                                                          IF($A97&lt;Nipples!$A$82,VLOOKUP($A97,Nipples!$A$9:$Q$81,11,FALSE),
IF($A97&lt;Manifold!$A$33,VLOOKUP($A97,Manifold!$A$9:$M$32,7,FALSE),
IF($A97&lt;FlexibleRepairCouplings!$A$12,VLOOKUP($A97,FlexibleRepairCouplings!$A$9:$M$11,7,FALSE),
IF($A97&lt;DuraFix!$A$15,VLOOKUP($A97,DuraFix!$A$9:$M$14,7,FALSE),                                                                                                                                                                                                                                                           IF($A97&lt;'Compression Fittings'!$A$16,VLOOKUP($A97,'Compression Fittings'!$A$8:$M$15,7,FALSE),
IF($A97&lt;'Hose Fittings'!$A$30,VLOOKUP($A97,'Hose Fittings'!$A$8:$M$29,7,FALSE),
IF($A97&lt;'Swing Joints'!$A$495,VLOOKUP($A97,'Swing Joints'!$A$9:$M$494,7,FALSE),
IF($A97&lt;'Swing Joints Components'!$A$135,VLOOKUP($A97,'Swing Joints Components'!$A$9:$M$134,7,FALSE),
IF($A97&lt;Nonstandard!$A$42,VLOOKUP($A97,Nonstandard!$A$31:$J$41,10,FALSE),"")))))))))))))))))))))))))))),"")</f>
        <v/>
      </c>
      <c r="I97" s="619"/>
      <c r="J97" s="281" t="str">
        <f t="shared" si="1"/>
        <v/>
      </c>
      <c r="K97" s="313" t="str">
        <f>IFERROR(IF($A97&lt;'DWV PVC'!$A$317,VLOOKUP($A97,'DWV PVC'!$A$9:$M$316,10,FALSE),
IF($A97&lt;'DWV ABS'!$A$117,VLOOKUP($A97,'DWV ABS'!$A$8:$M$116,10,FALSE),
IF($A97&lt;'PVC SCH40'!$A$425,VLOOKUP($A97,'PVC SCH40'!$A$8:$M$424,10,FALSE),
IF($A97&lt;'PVC SCH40 LD'!$A$22,VLOOKUP($A97,'PVC SCH40 LD'!$A$8:$M$21,10,FALSE),
IF($A97&lt;'Pool &amp; SPA Sweep Elbows'!$A$12,VLOOKUP($A97,'Pool &amp; SPA Sweep Elbows'!$A$8:$M$11,10,FALSE),
IF($A97&lt;'Pool &amp; SPA Pipe Extender'!$A$11,VLOOKUP($A97,'Pool &amp; SPA Pipe Extender'!$A$8:$M$10,10,FALSE),
IF($A97&lt;'PVC SCH80'!$A$250,VLOOKUP($A97,'PVC SCH80'!$A$8:$M$249,10,FALSE),
IF($A97&lt;'PVC SCH80 Flange'!$A$49,VLOOKUP($A97,'PVC SCH80 Flange'!$A$8:$M$48,10,FALSE),
IF($A97&lt;'PVC SCH80 LD Flange'!$A$17,VLOOKUP($A97,'PVC SCH80 LD Flange'!$A$8:$M$16,10,FALSE),
IF($A97&lt;CPVC!$A$105,VLOOKUP($A97,CPVC!$A$9:$M$104,10,FALSE),
IF($A97&lt;InsertFittings!$A$185,VLOOKUP($A97,InsertFittings!$A$9:$M$184,10,FALSE),
IF($A97&lt;Valves!$A$92,VLOOKUP($A97,Valves!$A$9:$Q$91,14,FALSE),
IF($A97&lt;SDR35SW!$A$133,VLOOKUP($A97,SDR35SW!$A$9:$M$132,10,FALSE),
IF($A97&lt;SDR35G!$A$151,VLOOKUP($A97,SDR35G!$A$9:$M$150,10,FALSE),
IF($A97&lt;SDR26G!$A$67,VLOOKUP($A97,SDR26G!$A$9:$N$66,11,FALSE),
IF($A97&lt;Cements!$A$95,VLOOKUP($A97,Cements!$A$8:$Q$94,14,FALSE),
IF($A97&lt;ValveBox!$A$124,VLOOKUP($A97,ValveBox!$A$9:$O$123,12,FALSE),
IF($A97&lt;'ValveBox Components'!$A$142,VLOOKUP($A97,'ValveBox Components'!$A$9:$N$141,11,FALSE),
IF($A97&lt;Drainage!$A$69,VLOOKUP($A97,Drainage!$A$8:$M$68,10,FALSE),
IF($A97&lt;Nipples!$A$82,VLOOKUP($A97,Nipples!$A$9:$Q$81,14,FALSE),
IF($A97&lt;Manifold!$A$33,VLOOKUP($A97,Manifold!$A$9:$M$32,10,FALSE),
IF($A97&lt;FlexibleRepairCouplings!$A$12,VLOOKUP($A97,FlexibleRepairCouplings!$A$9:$M$11,10,FALSE),
IF($A97&lt;DuraFix!$A$15,VLOOKUP($A97,DuraFix!$A$9:$M$14,10,FALSE),
IF($A97&lt;'Compression Fittings'!$A$16,VLOOKUP($A97,'Compression Fittings'!$A$8:$M$15,10,FALSE),
IF($A97&lt;'Hose Fittings'!$A$30,VLOOKUP($A97,'Hose Fittings'!$A$8:$M$29,10,FALSE),
IF($A97&lt;'Swing Joints'!$A$495,VLOOKUP($A97,'Swing Joints'!$A$9:$M$494,10,FALSE),
IF($A97&lt;'Swing Joints Components'!$A$135,VLOOKUP($A97,'Swing Joints Components'!$A$9:$M$134,10,FALSE),
IF($A97&lt;Nonstandard!$A$42,VLOOKUP($A97,Nonstandard!$A$31:$J$41,10,FALSE),"")))))))))))))))))))))))))))),"")</f>
        <v/>
      </c>
      <c r="L97" s="314" t="str">
        <f t="shared" ref="L97:L160" si="2">IF(G97="","-",K97*G97)</f>
        <v>-</v>
      </c>
      <c r="M97" s="315"/>
    </row>
    <row r="98" spans="1:13" ht="15.6">
      <c r="A98" s="536">
        <v>66</v>
      </c>
      <c r="B98" s="536" t="str">
        <f>IFERROR(IF($A98&lt;'DWV PVC'!$A$317,VLOOKUP($A98,'DWV PVC'!$A$9:$M$316,4,FALSE),
IF($A98&lt;'DWV ABS'!$A$117,VLOOKUP($A98,'DWV ABS'!$A$8:$M$116,4,FALSE),
IF($A98&lt;'PVC SCH40'!$A$425,VLOOKUP($A98,'PVC SCH40'!$A$8:$M$424,4,FALSE),
IF($A98&lt;'PVC SCH40 LD'!$A$22,VLOOKUP($A98,'PVC SCH40 LD'!$A$8:$M$21,4,FALSE),
IF($A98&lt;'Pool &amp; SPA Sweep Elbows'!$A$12,VLOOKUP($A98,'Pool &amp; SPA Sweep Elbows'!$A$8:$M$11,4,FALSE),
IF($A98&lt;'Pool &amp; SPA Pipe Extender'!$A$11,VLOOKUP($A98,'Pool &amp; SPA Pipe Extender'!$A$8:$M$10,4,FALSE),
IF($A98&lt;'PVC SCH80'!$A$250,VLOOKUP($A98,'PVC SCH80'!$A$8:$M$249,4,FALSE),
IF($A98&lt;'PVC SCH80 Flange'!$A$49,VLOOKUP($A98,'PVC SCH80 Flange'!$A$8:$M$48,4,FALSE),
IF($A98&lt;'PVC SCH80 LD Flange'!$A$17,VLOOKUP($A98,'PVC SCH80 LD Flange'!$A$8:$M$16,4,FALSE),
IF($A98&lt;CPVC!$A$105,VLOOKUP($A98,CPVC!$A$9:$M$104,4,FALSE),
IF($A98&lt;InsertFittings!$A$185,VLOOKUP($A98,InsertFittings!$A$9:$M$184,4,FALSE),
IF($A98&lt;Valves!$A$92,VLOOKUP($A98,Valves!$A$9:$Q$91,4,FALSE),
IF($A98&lt;SDR35SW!$A$133,VLOOKUP($A98,SDR35SW!$A$9:$M$132,4,FALSE),
IF($A98&lt;SDR35G!$A$151,VLOOKUP($A98,SDR35G!$A$9:$M$150,4,FALSE),
IF($A98&lt;SDR26G!$A$67,VLOOKUP($A98,SDR26G!$A$9:$N$66,5,FALSE),
IF($A98&lt;Cements!$A$95,VLOOKUP($A98,Cements!$A$8:$Q$94,4,FALSE),
IF($A98&lt;ValveBox!$A$124,VLOOKUP($A98,ValveBox!$A$9:$O$123,4,FALSE),
IF($A98&lt;'ValveBox Components'!$A$142,VLOOKUP($A98,'ValveBox Components'!$A$9:$N$141,4,FALSE),
IF($A98&lt;Drainage!$A$69,VLOOKUP($A98,Drainage!$A$8:$M$68,4,FALSE),
IF($A98&lt;Nipples!$A$82,VLOOKUP($A98,Nipples!$A$9:$Q$81,4,FALSE),
IF($A98&lt;Manifold!$A$33,VLOOKUP($A98,Manifold!$A$9:$M$32,4,FALSE),
IF($A98&lt;FlexibleRepairCouplings!$A$12,VLOOKUP($A98,FlexibleRepairCouplings!$A$9:$M$11,4,FALSE),
IF($A98&lt;DuraFix!$A$15,VLOOKUP($A98,DuraFix!$A$9:$M$14,4,FALSE),
IF($A98&lt;'Compression Fittings'!$A$16,VLOOKUP($A98,'Compression Fittings'!$A$8:$M$15,4,FALSE),
IF($A98&lt;'Hose Fittings'!$A$30,VLOOKUP($A98,'Hose Fittings'!$A$8:$M$29,4,FALSE),
IF($A98&lt;'Swing Joints'!$A$495,VLOOKUP($A98,'Swing Joints'!$A$9:$M$494,4,FALSE),
IF($A98&lt;'Swing Joints Components'!$A$135,VLOOKUP($A98,'Swing Joints Components'!$A$9:$M$134,4,FALSE),
IF($A98&lt;Nonstandard!$A$42,VLOOKUP($A98,Nonstandard!$A$31:$J$41,5,FALSE),"")))))))))))))))))))))))))))),"")</f>
        <v/>
      </c>
      <c r="C98" s="536" t="str">
        <f>IFERROR(IF($A98&lt;'DWV PVC'!$A$317,VLOOKUP($A98,'DWV PVC'!$A$9:$M$316,5,FALSE),
IF($A98&lt;'DWV ABS'!$A$117,VLOOKUP($A98,'DWV ABS'!$A$8:$M$116,5,FALSE),
IF($A98&lt;'PVC SCH40'!$A$425,VLOOKUP($A98,'PVC SCH40'!$A$8:$M$424,5,FALSE),
IF($A98&lt;'PVC SCH40 LD'!$A$22,VLOOKUP($A98,'PVC SCH40 LD'!$A$8:$M$21,5,FALSE),
IF($A98&lt;'Pool &amp; SPA Sweep Elbows'!$A$12,VLOOKUP($A98,'Pool &amp; SPA Sweep Elbows'!$A$8:$M$11,5,FALSE),
IF($A98&lt;'Pool &amp; SPA Pipe Extender'!$A$11,VLOOKUP($A98,'Pool &amp; SPA Pipe Extender'!$A$8:$M$10,5,FALSE),
IF($A98&lt;'PVC SCH80'!$A$250,VLOOKUP($A98,'PVC SCH80'!$A$8:$M$249,5,FALSE),
IF($A98&lt;'PVC SCH80 Flange'!$A$49,VLOOKUP($A98,'PVC SCH80 Flange'!$A$8:$M$48,5,FALSE),
IF($A98&lt;'PVC SCH80 LD Flange'!$A$17,VLOOKUP($A98,'PVC SCH80 LD Flange'!$A$8:$M$16,5,FALSE),
IF($A98&lt;CPVC!$A$105,VLOOKUP($A98,CPVC!$A$9:$M$104,5,FALSE),
IF($A98&lt;InsertFittings!$A$185,VLOOKUP($A98,InsertFittings!$A$9:$M$184,5,FALSE),
IF($A98&lt;Valves!$A$92,VLOOKUP($A98,Valves!$A$9:$Q$91,5,FALSE),
IF($A98&lt;SDR35SW!$A$133,VLOOKUP($A98,SDR35SW!$A$9:$M$132,5,FALSE),
IF($A98&lt;SDR35G!$A$151,VLOOKUP($A98,SDR35G!$A$9:$M$150,5,FALSE),
IF($A98&lt;SDR26G!$A$67,VLOOKUP($A98,SDR26G!$A$9:$N$66,6,FALSE),
IF($A98&lt;Cements!$A$95,VLOOKUP($A98,Cements!$A$8:$Q$94,5,FALSE),
IF($A98&lt;ValveBox!$A$124,VLOOKUP($A98,ValveBox!$A$9:$O$123,5,FALSE),
IF($A98&lt;'ValveBox Components'!$A$142,VLOOKUP($A98,'ValveBox Components'!$A$9:$N$141,5,FALSE),
IF($A98&lt;Drainage!$A$69,VLOOKUP($A98,Drainage!$A$8:$M$68,5,FALSE),
IF($A98&lt;Nipples!$A$82,VLOOKUP($A98,Nipples!$A$9:$Q$81,5,FALSE),
IF($A98&lt;Manifold!$A$33,VLOOKUP($A98,Manifold!$A$9:$M$32,5,FALSE),
IF($A98&lt;FlexibleRepairCouplings!$A$12,VLOOKUP($A98,FlexibleRepairCouplings!$A$9:$M$11,5,FALSE),
IF($A98&lt;DuraFix!$A$15,VLOOKUP($A98,DuraFix!$A$9:$M$14,5,FALSE),
IF($A98&lt;'Compression Fittings'!$A$16,VLOOKUP($A98,'Compression Fittings'!$A$8:$M$15,5,FALSE),
IF($A98&lt;'Hose Fittings'!$A$30,VLOOKUP($A98,'Hose Fittings'!$A$8:$M$29,5,FALSE),
IF($A98&lt;'Swing Joints'!$A$495,VLOOKUP($A98,'Swing Joints'!$A$9:$M$494,5,FALSE),
IF($A98&lt;'Swing Joints Components'!$A$135,VLOOKUP($A98,'Swing Joints Components'!$A$9:$M$134,5,FALSE),
IF($A98&lt;Nonstandard!$A$42,VLOOKUP($A98,Nonstandard!$A$31:$J$41,6,FALSE),"")))))))))))))))))))))))))))),"")</f>
        <v/>
      </c>
      <c r="D98" s="537" t="str">
        <f>IFERROR(IF($A98&lt;'DWV PVC'!$A$317,VLOOKUP($A98,'DWV PVC'!$A$9:$M$316,6,FALSE),
IF($A98&lt;'DWV ABS'!$A$117,VLOOKUP($A98,'DWV ABS'!$A$8:$M$116,6,FALSE),
IF($A98&lt;'PVC SCH40'!$A$425,VLOOKUP($A98,'PVC SCH40'!$A$8:$M$424,6,FALSE),
IF($A98&lt;'PVC SCH40 LD'!$A$22,VLOOKUP($A98,'PVC SCH40 LD'!$A$8:$M$21,6,FALSE),
IF($A98&lt;'Pool &amp; SPA Sweep Elbows'!$A$12,VLOOKUP($A98,'Pool &amp; SPA Sweep Elbows'!$A$8:$M$11,6,FALSE),
IF($A98&lt;'Pool &amp; SPA Pipe Extender'!$A$11,VLOOKUP($A98,'Pool &amp; SPA Pipe Extender'!$A$8:$M$10,6,FALSE),
IF($A98&lt;'PVC SCH80'!$A$250,VLOOKUP($A98,'PVC SCH80'!$A$8:$M$249,6,FALSE),
IF($A98&lt;'PVC SCH80 Flange'!$A$49,VLOOKUP($A98,'PVC SCH80 Flange'!$A$8:$M$48,6,FALSE),
IF($A98&lt;'PVC SCH80 LD Flange'!$A$17,VLOOKUP($A98,'PVC SCH80 LD Flange'!$A$8:$M$16,6,FALSE),
IF($A98&lt;CPVC!$A$105,VLOOKUP($A98,CPVC!$A$9:$M$104,6,FALSE),
IF($A98&lt;InsertFittings!$A$185,VLOOKUP($A98,InsertFittings!$A$9:$M$184,6,FALSE),
IF($A98&lt;Valves!$A$92,VLOOKUP($A98,Valves!$A$9:$Q$91,6,FALSE),
IF($A98&lt;SDR35SW!$A$133,VLOOKUP($A98,SDR35SW!$A$9:$M$132,6,FALSE),
IF($A98&lt;SDR35G!$A$151,VLOOKUP($A98,SDR35G!$A$9:$M$150,6,FALSE),
IF($A98&lt;SDR26G!$A$67,VLOOKUP($A98,SDR26G!$A$9:$N$66,7,FALSE),
IF($A98&lt;Cements!$A$95,VLOOKUP($A98,Cements!$A$8:$Q$94,6,FALSE),
IF($A98&lt;ValveBox!$A$124,VLOOKUP($A98,ValveBox!$A$9:$O$123,6,FALSE),
IF($A98&lt;'ValveBox Components'!$A$142,VLOOKUP($A98,'ValveBox Components'!$A$9:$N$141,6,FALSE),
IF($A98&lt;Drainage!$A$69,VLOOKUP($A98,Drainage!$A$8:$M$68,6,FALSE),
IF($A98&lt;Nipples!$A$82,VLOOKUP($A98,Nipples!$A$9:$Q$81,6,FALSE),
IF($A98&lt;Manifold!$A$33,VLOOKUP($A98,Manifold!$A$9:$M$32,6,FALSE),
IF($A98&lt;FlexibleRepairCouplings!$A$12,VLOOKUP($A98,FlexibleRepairCouplings!$A$9:$M$11,6,FALSE),
IF($A98&lt;DuraFix!$A$15,VLOOKUP($A98,DuraFix!$A$9:$M$14,6,FALSE),
IF($A98&lt;'Compression Fittings'!$A$16,VLOOKUP($A98,'Compression Fittings'!$A$8:$M$15,6,FALSE),
IF($A98&lt;'Hose Fittings'!$A$30,VLOOKUP($A98,'Hose Fittings'!$A$8:$M$29,6,FALSE),
IF($A98&lt;'Swing Joints'!$A$495,VLOOKUP($A98,'Swing Joints'!$A$9:$M$494,6,FALSE),
IF($A98&lt;'Swing Joints Components'!$A$135,VLOOKUP($A98,'Swing Joints Components'!$A$9:$M$134,6,FALSE),
IF($A98&lt;Nonstandard!$A$42,VLOOKUP($A98,Nonstandard!$A$31:$J$41,7,FALSE),"")))))))))))))))))))))))))))),"")</f>
        <v/>
      </c>
      <c r="E98" s="538"/>
      <c r="F98" s="539" t="str">
        <f>IFERROR(IF($A98&lt;'DWV PVC'!$A$317,VLOOKUP($A98,'DWV PVC'!$A$9:$M$316,9,FALSE),
IF($A98&lt;'DWV ABS'!$A$117,VLOOKUP($A98,'DWV ABS'!$A$8:$M$116,9,FALSE),                                                                                                                                                                                                                                                     IF($A98&lt;'PVC SCH40'!$A$425,VLOOKUP($A98,'PVC SCH40'!$A$8:$M$424,9,FALSE),
IF($A98&lt;'PVC SCH40 LD'!$A$22,VLOOKUP($A98,'PVC SCH40 LD'!$A$8:$M$21,9,FALSE),
IF($A98&lt;'Pool &amp; SPA Sweep Elbows'!$A$12,VLOOKUP($A98,'Pool &amp; SPA Sweep Elbows'!$A$8:$M$11,9,FALSE),
IF($A98&lt;'Pool &amp; SPA Pipe Extender'!$A$11,VLOOKUP($A98,'Pool &amp; SPA Pipe Extender'!$A$8:$M$10,9,FALSE),
IF($A98&lt;'PVC SCH80'!$A$250,VLOOKUP($A98,'PVC SCH80'!$A$8:$M$249,9,FALSE),
IF($A98&lt;'PVC SCH80 Flange'!$A$49,VLOOKUP($A98,'PVC SCH80 Flange'!$A$8:$M$48,9,FALSE),
IF($A98&lt;'PVC SCH80 LD Flange'!$A$17,VLOOKUP($A98,'PVC SCH80 LD Flange'!$A$8:$M$16,9,FALSE),
IF($A98&lt;CPVC!$A$105,VLOOKUP($A98,CPVC!$A$9:$M$104,9,FALSE),
IF($A98&lt;InsertFittings!$A$185,VLOOKUP($A98,InsertFittings!$A$9:$M$184,9,FALSE),
IF($A98&lt;Valves!$A$92,VLOOKUP($A98,Valves!$A$9:$Q$91,13,FALSE),
IF($A98&lt;SDR35SW!$A$133,VLOOKUP($A98,SDR35SW!$A$9:$M$132,9,FALSE),
IF($A98&lt;SDR35G!$A$151,VLOOKUP($A98,SDR35G!$A$9:$M$150,9,FALSE),                                                                                                                                                                                                                                                          IF($A98&lt;SDR26G!$A$67,VLOOKUP($A98,SDR26G!$A$9:$N$66,10,FALSE),                                                                                                                                                                                                                                                       IF($A98&lt;Cements!$A$95,VLOOKUP($A98,Cements!$A$8:$Q$94,13,FALSE),
IF($A98&lt;ValveBox!$A$124,VLOOKUP($A98,ValveBox!$A$9:$O$123,11,FALSE),
IF($A98&lt;'ValveBox Components'!$A$142,VLOOKUP($A98,'ValveBox Components'!$A$9:$N$141,10,FALSE),
IF($A98&lt;Drainage!$A$69,VLOOKUP($A98,Drainage!$A$8:$M$68,9,FALSE),                                                                                                                                                                                                                                                              IF($A98&lt;Nipples!$A$82,VLOOKUP($A98,Nipples!$A$9:$Q$81,13,FALSE),
IF($A98&lt;Manifold!$A$33,VLOOKUP($A98,Manifold!$A$9:$M$32,9,FALSE),
IF($A98&lt;FlexibleRepairCouplings!$A$12,VLOOKUP($A98,FlexibleRepairCouplings!$A$9:$M$11,9,FALSE),
IF($A98&lt;DuraFix!$A$15,VLOOKUP($A98,DuraFix!$A$9:$M$14,9,FALSE),                                                                                                                                                                                                                                                          IF($A98&lt;'Compression Fittings'!$A$16,VLOOKUP($A98,'Compression Fittings'!$A$8:$M$15,9,FALSE),
IF($A98&lt;'Hose Fittings'!$A$30,VLOOKUP($A98,'Hose Fittings'!$A$8:$M$29,9,FALSE),
IF($A98&lt;'Swing Joints'!$A$495,VLOOKUP($A98,'Swing Joints'!$A$9:$M$494,9,FALSE),
IF($A98&lt;'Swing Joints Components'!$A$135,VLOOKUP($A98,'Swing Joints Components'!$A$9:$M$134,9,FALSE),
IF($A98&lt;Nonstandard!$A$42,VLOOKUP($A98,Nonstandard!$A$31:$J$41,8,FALSE),"")))))))))))))))))))))))))))),"")</f>
        <v/>
      </c>
      <c r="G98" s="540" t="str">
        <f>IFERROR(IF($A98&lt;'DWV PVC'!$A$317,VLOOKUP($A98,'DWV PVC'!$A$9:$M$316,11,FALSE),
IF($A98&lt;'DWV ABS'!$A$117,VLOOKUP($A98,'DWV ABS'!$A$8:$M$116,11,FALSE),                                                                                                                                                                                                                                                     IF($A98&lt;'PVC SCH40'!$A$425,VLOOKUP($A98,'PVC SCH40'!$A$8:$M$424,11,FALSE),
IF($A98&lt;'PVC SCH40 LD'!$A$22,VLOOKUP($A98,'PVC SCH40 LD'!$A$8:$M$21,11,FALSE),
IF($A98&lt;'Pool &amp; SPA Sweep Elbows'!$A$12,VLOOKUP($A98,'Pool &amp; SPA Sweep Elbows'!$A$8:$M$11,11,FALSE),
IF($A98&lt;'Pool &amp; SPA Pipe Extender'!$A$11,VLOOKUP($A98,'Pool &amp; SPA Pipe Extender'!$A$8:$M$10,11,FALSE),
IF($A98&lt;'PVC SCH80'!$A$250,VLOOKUP($A98,'PVC SCH80'!$A$8:$M$249,11,FALSE),
IF($A98&lt;'PVC SCH80 Flange'!$A$49,VLOOKUP($A98,'PVC SCH80 Flange'!$A$8:$M$48,11,FALSE),
IF($A98&lt;'PVC SCH80 LD Flange'!$A$17,VLOOKUP($A98,'PVC SCH80 LD Flange'!$A$8:$M$16,11,FALSE),
IF($A98&lt;CPVC!$A$105,VLOOKUP($A98,CPVC!$A$9:$M$104,11,FALSE),
IF($A98&lt;InsertFittings!$A$185,VLOOKUP($A98,InsertFittings!$A$9:$M$184,11,FALSE),
IF($A98&lt;Valves!$A$92,VLOOKUP($A98,Valves!$A$9:$Q$91,15,FALSE),
IF($A98&lt;SDR35SW!$A$133,VLOOKUP($A98,SDR35SW!$A$9:$M$132,11,FALSE),
IF($A98&lt;SDR35G!$A$151,VLOOKUP($A98,SDR35G!$A$9:$M$150,11,FALSE),                                                                                                                                                                                                                                                          IF($A98&lt;SDR26G!$A$67,VLOOKUP($A98,SDR26G!$A$9:$N$66,12,FALSE),                                                                                                                                                                                                                                                       IF($A98&lt;Cements!$A$95,VLOOKUP($A98,Cements!$A$8:$Q$94,15,FALSE),
IF($A98&lt;ValveBox!$A$124,VLOOKUP($A98,ValveBox!$A$9:$O$123,13,FALSE),
IF($A98&lt;'ValveBox Components'!$A$142,VLOOKUP($A98,'ValveBox Components'!$A$9:$N$141,12,FALSE),
IF($A98&lt;Drainage!$A$69,VLOOKUP($A98,Drainage!$A$8:$M$68,11,FALSE),                                                                                                                                                                                                                                                           IF($A98&lt;Nipples!$A$82,VLOOKUP($A98,Nipples!$A$9:$Q$81,15,FALSE),
IF($A98&lt;Manifold!$A$33,VLOOKUP($A98,Manifold!$A$9:$M$32,11,FALSE),
IF($A98&lt;FlexibleRepairCouplings!$A$12,VLOOKUP($A98,FlexibleRepairCouplings!$A$9:$M$11,11,FALSE),
IF($A98&lt;DuraFix!$A$15,VLOOKUP($A98,DuraFix!$A$9:$M$14,11,FALSE),                                                                                                                                                                                                                                                            IF($A98&lt;'Compression Fittings'!$A$16,VLOOKUP($A98,'Compression Fittings'!$A$8:$M$15,11,FALSE),
IF($A98&lt;'Hose Fittings'!$A$30,VLOOKUP($A98,'Hose Fittings'!$A$8:$M$29,11,FALSE),
IF($A98&lt;'Swing Joints'!$A$495,VLOOKUP($A98,'Swing Joints'!$A$9:$M$494,11,FALSE),
IF($A98&lt;'Swing Joints Components'!$A$135,VLOOKUP($A98,'Swing Joints Components'!$A$9:$M$134,11,FALSE),
IF($A98&lt;Nonstandard!$A$42,VLOOKUP($A98,Nonstandard!$A$31:$J$41,10,FALSE),"")))))))))))))))))))))))))))),"")</f>
        <v/>
      </c>
      <c r="H98" s="620" t="str">
        <f>IFERROR(IF($A98&lt;'DWV PVC'!$A$317,VLOOKUP($A98,'DWV PVC'!$A$9:$M$316,7,FALSE),
IF($A98&lt;'DWV ABS'!$A$117,VLOOKUP($A98,'DWV ABS'!$A$8:$M$116,11,FALSE),                                                                                                                                                                                                                                                     IF($A98&lt;'PVC SCH40'!$A$425,VLOOKUP($A98,'PVC SCH40'!$A$8:$M$424,7,FALSE),
IF($A98&lt;'PVC SCH40 LD'!$A$22,VLOOKUP($A98,'PVC SCH40 LD'!$A$8:$M$21,7,FALSE),
IF($A98&lt;'Pool &amp; SPA Sweep Elbows'!$A$12,VLOOKUP($A98,'Pool &amp; SPA Sweep Elbows'!$A$8:$M$11,7,FALSE),
IF($A98&lt;'Pool &amp; SPA Pipe Extender'!$A$11,VLOOKUP($A98,'Pool &amp; SPA Pipe Extender'!$A$8:$M$10,7,FALSE),
IF($A98&lt;'PVC SCH80'!$A$250,VLOOKUP($A98,'PVC SCH80'!$A$8:$M$249,7,FALSE),
IF($A98&lt;'PVC SCH80 Flange'!$A$49,VLOOKUP($A98,'PVC SCH80 Flange'!$A$8:$M$48,7,FALSE),
IF($A98&lt;'PVC SCH80 LD Flange'!$A$17,VLOOKUP($A98,'PVC SCH80 LD Flange'!$A$8:$M$16,7,FALSE),
IF($A98&lt;CPVC!$A$105,VLOOKUP($A98,CPVC!$A$9:$M$104,7,FALSE),
IF($A98&lt;InsertFittings!$A$185,VLOOKUP($A98,InsertFittings!$A$9:$M$184,7,FALSE),
IF($A98&lt;Valves!$A$92,VLOOKUP($A98,Valves!$A$9:$Q$91,11,FALSE),
IF($A98&lt;SDR35SW!$A$133,VLOOKUP($A98,SDR35SW!$A$9:$M$132,7,FALSE),
IF($A98&lt;SDR35G!$A$151,VLOOKUP($A98,SDR35G!$A$9:$M$150,7,FALSE),                                                                                                                                                                                                                                                       IF($A98&lt;SDR26G!$A$67,VLOOKUP($A98,SDR26G!$A$9:$N$66,8,FALSE),                                                                                                                                                                                                                                                     IF($A98&lt;Cements!$A$95,VLOOKUP($A98,Cements!$A$8:$Q$94,11,FALSE),
IF($A98&lt;ValveBox!$A$124,VLOOKUP($A98,ValveBox!$A$9:$O$123,10,FALSE),
IF($A98&lt;'ValveBox Components'!$A$142,VLOOKUP($A98,'ValveBox Components'!$A$9:$N$141,9,FALSE),
IF($A98&lt;Drainage!$A$69,VLOOKUP($A98,Drainage!$A$8:$M$68,7,FALSE),                                                                                                                                                                                                                                                          IF($A98&lt;Nipples!$A$82,VLOOKUP($A98,Nipples!$A$9:$Q$81,11,FALSE),
IF($A98&lt;Manifold!$A$33,VLOOKUP($A98,Manifold!$A$9:$M$32,7,FALSE),
IF($A98&lt;FlexibleRepairCouplings!$A$12,VLOOKUP($A98,FlexibleRepairCouplings!$A$9:$M$11,7,FALSE),
IF($A98&lt;DuraFix!$A$15,VLOOKUP($A98,DuraFix!$A$9:$M$14,7,FALSE),                                                                                                                                                                                                                                                           IF($A98&lt;'Compression Fittings'!$A$16,VLOOKUP($A98,'Compression Fittings'!$A$8:$M$15,7,FALSE),
IF($A98&lt;'Hose Fittings'!$A$30,VLOOKUP($A98,'Hose Fittings'!$A$8:$M$29,7,FALSE),
IF($A98&lt;'Swing Joints'!$A$495,VLOOKUP($A98,'Swing Joints'!$A$9:$M$494,7,FALSE),
IF($A98&lt;'Swing Joints Components'!$A$135,VLOOKUP($A98,'Swing Joints Components'!$A$9:$M$134,7,FALSE),
IF($A98&lt;Nonstandard!$A$42,VLOOKUP($A98,Nonstandard!$A$31:$J$41,10,FALSE),"")))))))))))))))))))))))))))),"")</f>
        <v/>
      </c>
      <c r="I98" s="621"/>
      <c r="J98" s="541" t="str">
        <f t="shared" ref="J98:J161" si="3">IFERROR(G98/H98,"")</f>
        <v/>
      </c>
      <c r="K98" s="599" t="str">
        <f>IFERROR(IF($A98&lt;'DWV PVC'!$A$317,VLOOKUP($A98,'DWV PVC'!$A$9:$M$316,10,FALSE),
IF($A98&lt;'DWV ABS'!$A$117,VLOOKUP($A98,'DWV ABS'!$A$8:$M$116,10,FALSE),
IF($A98&lt;'PVC SCH40'!$A$425,VLOOKUP($A98,'PVC SCH40'!$A$8:$M$424,10,FALSE),
IF($A98&lt;'PVC SCH40 LD'!$A$22,VLOOKUP($A98,'PVC SCH40 LD'!$A$8:$M$21,10,FALSE),
IF($A98&lt;'Pool &amp; SPA Sweep Elbows'!$A$12,VLOOKUP($A98,'Pool &amp; SPA Sweep Elbows'!$A$8:$M$11,10,FALSE),
IF($A98&lt;'Pool &amp; SPA Pipe Extender'!$A$11,VLOOKUP($A98,'Pool &amp; SPA Pipe Extender'!$A$8:$M$10,10,FALSE),
IF($A98&lt;'PVC SCH80'!$A$250,VLOOKUP($A98,'PVC SCH80'!$A$8:$M$249,10,FALSE),
IF($A98&lt;'PVC SCH80 Flange'!$A$49,VLOOKUP($A98,'PVC SCH80 Flange'!$A$8:$M$48,10,FALSE),
IF($A98&lt;'PVC SCH80 LD Flange'!$A$17,VLOOKUP($A98,'PVC SCH80 LD Flange'!$A$8:$M$16,10,FALSE),
IF($A98&lt;CPVC!$A$105,VLOOKUP($A98,CPVC!$A$9:$M$104,10,FALSE),
IF($A98&lt;InsertFittings!$A$185,VLOOKUP($A98,InsertFittings!$A$9:$M$184,10,FALSE),
IF($A98&lt;Valves!$A$92,VLOOKUP($A98,Valves!$A$9:$Q$91,14,FALSE),
IF($A98&lt;SDR35SW!$A$133,VLOOKUP($A98,SDR35SW!$A$9:$M$132,10,FALSE),
IF($A98&lt;SDR35G!$A$151,VLOOKUP($A98,SDR35G!$A$9:$M$150,10,FALSE),
IF($A98&lt;SDR26G!$A$67,VLOOKUP($A98,SDR26G!$A$9:$N$66,11,FALSE),
IF($A98&lt;Cements!$A$95,VLOOKUP($A98,Cements!$A$8:$Q$94,14,FALSE),
IF($A98&lt;ValveBox!$A$124,VLOOKUP($A98,ValveBox!$A$9:$O$123,12,FALSE),
IF($A98&lt;'ValveBox Components'!$A$142,VLOOKUP($A98,'ValveBox Components'!$A$9:$N$141,11,FALSE),
IF($A98&lt;Drainage!$A$69,VLOOKUP($A98,Drainage!$A$8:$M$68,10,FALSE),
IF($A98&lt;Nipples!$A$82,VLOOKUP($A98,Nipples!$A$9:$Q$81,14,FALSE),
IF($A98&lt;Manifold!$A$33,VLOOKUP($A98,Manifold!$A$9:$M$32,10,FALSE),
IF($A98&lt;FlexibleRepairCouplings!$A$12,VLOOKUP($A98,FlexibleRepairCouplings!$A$9:$M$11,10,FALSE),
IF($A98&lt;DuraFix!$A$15,VLOOKUP($A98,DuraFix!$A$9:$M$14,10,FALSE),
IF($A98&lt;'Compression Fittings'!$A$16,VLOOKUP($A98,'Compression Fittings'!$A$8:$M$15,10,FALSE),
IF($A98&lt;'Hose Fittings'!$A$30,VLOOKUP($A98,'Hose Fittings'!$A$8:$M$29,10,FALSE),
IF($A98&lt;'Swing Joints'!$A$495,VLOOKUP($A98,'Swing Joints'!$A$9:$M$494,10,FALSE),
IF($A98&lt;'Swing Joints Components'!$A$135,VLOOKUP($A98,'Swing Joints Components'!$A$9:$M$134,10,FALSE),
IF($A98&lt;Nonstandard!$A$42,VLOOKUP($A98,Nonstandard!$A$31:$J$41,10,FALSE),"")))))))))))))))))))))))))))),"")</f>
        <v/>
      </c>
      <c r="L98" s="539" t="str">
        <f t="shared" si="2"/>
        <v>-</v>
      </c>
      <c r="M98" s="542"/>
    </row>
    <row r="99" spans="1:13" ht="15.6">
      <c r="A99" s="312">
        <v>67</v>
      </c>
      <c r="B99" s="312" t="str">
        <f>IFERROR(IF($A99&lt;'DWV PVC'!$A$317,VLOOKUP($A99,'DWV PVC'!$A$9:$M$316,4,FALSE),
IF($A99&lt;'DWV ABS'!$A$117,VLOOKUP($A99,'DWV ABS'!$A$8:$M$116,4,FALSE),
IF($A99&lt;'PVC SCH40'!$A$425,VLOOKUP($A99,'PVC SCH40'!$A$8:$M$424,4,FALSE),
IF($A99&lt;'PVC SCH40 LD'!$A$22,VLOOKUP($A99,'PVC SCH40 LD'!$A$8:$M$21,4,FALSE),
IF($A99&lt;'Pool &amp; SPA Sweep Elbows'!$A$12,VLOOKUP($A99,'Pool &amp; SPA Sweep Elbows'!$A$8:$M$11,4,FALSE),
IF($A99&lt;'Pool &amp; SPA Pipe Extender'!$A$11,VLOOKUP($A99,'Pool &amp; SPA Pipe Extender'!$A$8:$M$10,4,FALSE),
IF($A99&lt;'PVC SCH80'!$A$250,VLOOKUP($A99,'PVC SCH80'!$A$8:$M$249,4,FALSE),
IF($A99&lt;'PVC SCH80 Flange'!$A$49,VLOOKUP($A99,'PVC SCH80 Flange'!$A$8:$M$48,4,FALSE),
IF($A99&lt;'PVC SCH80 LD Flange'!$A$17,VLOOKUP($A99,'PVC SCH80 LD Flange'!$A$8:$M$16,4,FALSE),
IF($A99&lt;CPVC!$A$105,VLOOKUP($A99,CPVC!$A$9:$M$104,4,FALSE),
IF($A99&lt;InsertFittings!$A$185,VLOOKUP($A99,InsertFittings!$A$9:$M$184,4,FALSE),
IF($A99&lt;Valves!$A$92,VLOOKUP($A99,Valves!$A$9:$Q$91,4,FALSE),
IF($A99&lt;SDR35SW!$A$133,VLOOKUP($A99,SDR35SW!$A$9:$M$132,4,FALSE),
IF($A99&lt;SDR35G!$A$151,VLOOKUP($A99,SDR35G!$A$9:$M$150,4,FALSE),
IF($A99&lt;SDR26G!$A$67,VLOOKUP($A99,SDR26G!$A$9:$N$66,5,FALSE),
IF($A99&lt;Cements!$A$95,VLOOKUP($A99,Cements!$A$8:$Q$94,4,FALSE),
IF($A99&lt;ValveBox!$A$124,VLOOKUP($A99,ValveBox!$A$9:$O$123,4,FALSE),
IF($A99&lt;'ValveBox Components'!$A$142,VLOOKUP($A99,'ValveBox Components'!$A$9:$N$141,4,FALSE),
IF($A99&lt;Drainage!$A$69,VLOOKUP($A99,Drainage!$A$8:$M$68,4,FALSE),
IF($A99&lt;Nipples!$A$82,VLOOKUP($A99,Nipples!$A$9:$Q$81,4,FALSE),
IF($A99&lt;Manifold!$A$33,VLOOKUP($A99,Manifold!$A$9:$M$32,4,FALSE),
IF($A99&lt;FlexibleRepairCouplings!$A$12,VLOOKUP($A99,FlexibleRepairCouplings!$A$9:$M$11,4,FALSE),
IF($A99&lt;DuraFix!$A$15,VLOOKUP($A99,DuraFix!$A$9:$M$14,4,FALSE),
IF($A99&lt;'Compression Fittings'!$A$16,VLOOKUP($A99,'Compression Fittings'!$A$8:$M$15,4,FALSE),
IF($A99&lt;'Hose Fittings'!$A$30,VLOOKUP($A99,'Hose Fittings'!$A$8:$M$29,4,FALSE),
IF($A99&lt;'Swing Joints'!$A$495,VLOOKUP($A99,'Swing Joints'!$A$9:$M$494,4,FALSE),
IF($A99&lt;'Swing Joints Components'!$A$135,VLOOKUP($A99,'Swing Joints Components'!$A$9:$M$134,4,FALSE),
IF($A99&lt;Nonstandard!$A$42,VLOOKUP($A99,Nonstandard!$A$31:$J$41,5,FALSE),"")))))))))))))))))))))))))))),"")</f>
        <v/>
      </c>
      <c r="C99" s="312" t="str">
        <f>IFERROR(IF($A99&lt;'DWV PVC'!$A$317,VLOOKUP($A99,'DWV PVC'!$A$9:$M$316,5,FALSE),
IF($A99&lt;'DWV ABS'!$A$117,VLOOKUP($A99,'DWV ABS'!$A$8:$M$116,5,FALSE),
IF($A99&lt;'PVC SCH40'!$A$425,VLOOKUP($A99,'PVC SCH40'!$A$8:$M$424,5,FALSE),
IF($A99&lt;'PVC SCH40 LD'!$A$22,VLOOKUP($A99,'PVC SCH40 LD'!$A$8:$M$21,5,FALSE),
IF($A99&lt;'Pool &amp; SPA Sweep Elbows'!$A$12,VLOOKUP($A99,'Pool &amp; SPA Sweep Elbows'!$A$8:$M$11,5,FALSE),
IF($A99&lt;'Pool &amp; SPA Pipe Extender'!$A$11,VLOOKUP($A99,'Pool &amp; SPA Pipe Extender'!$A$8:$M$10,5,FALSE),
IF($A99&lt;'PVC SCH80'!$A$250,VLOOKUP($A99,'PVC SCH80'!$A$8:$M$249,5,FALSE),
IF($A99&lt;'PVC SCH80 Flange'!$A$49,VLOOKUP($A99,'PVC SCH80 Flange'!$A$8:$M$48,5,FALSE),
IF($A99&lt;'PVC SCH80 LD Flange'!$A$17,VLOOKUP($A99,'PVC SCH80 LD Flange'!$A$8:$M$16,5,FALSE),
IF($A99&lt;CPVC!$A$105,VLOOKUP($A99,CPVC!$A$9:$M$104,5,FALSE),
IF($A99&lt;InsertFittings!$A$185,VLOOKUP($A99,InsertFittings!$A$9:$M$184,5,FALSE),
IF($A99&lt;Valves!$A$92,VLOOKUP($A99,Valves!$A$9:$Q$91,5,FALSE),
IF($A99&lt;SDR35SW!$A$133,VLOOKUP($A99,SDR35SW!$A$9:$M$132,5,FALSE),
IF($A99&lt;SDR35G!$A$151,VLOOKUP($A99,SDR35G!$A$9:$M$150,5,FALSE),
IF($A99&lt;SDR26G!$A$67,VLOOKUP($A99,SDR26G!$A$9:$N$66,6,FALSE),
IF($A99&lt;Cements!$A$95,VLOOKUP($A99,Cements!$A$8:$Q$94,5,FALSE),
IF($A99&lt;ValveBox!$A$124,VLOOKUP($A99,ValveBox!$A$9:$O$123,5,FALSE),
IF($A99&lt;'ValveBox Components'!$A$142,VLOOKUP($A99,'ValveBox Components'!$A$9:$N$141,5,FALSE),
IF($A99&lt;Drainage!$A$69,VLOOKUP($A99,Drainage!$A$8:$M$68,5,FALSE),
IF($A99&lt;Nipples!$A$82,VLOOKUP($A99,Nipples!$A$9:$Q$81,5,FALSE),
IF($A99&lt;Manifold!$A$33,VLOOKUP($A99,Manifold!$A$9:$M$32,5,FALSE),
IF($A99&lt;FlexibleRepairCouplings!$A$12,VLOOKUP($A99,FlexibleRepairCouplings!$A$9:$M$11,5,FALSE),
IF($A99&lt;DuraFix!$A$15,VLOOKUP($A99,DuraFix!$A$9:$M$14,5,FALSE),
IF($A99&lt;'Compression Fittings'!$A$16,VLOOKUP($A99,'Compression Fittings'!$A$8:$M$15,5,FALSE),
IF($A99&lt;'Hose Fittings'!$A$30,VLOOKUP($A99,'Hose Fittings'!$A$8:$M$29,5,FALSE),
IF($A99&lt;'Swing Joints'!$A$495,VLOOKUP($A99,'Swing Joints'!$A$9:$M$494,5,FALSE),
IF($A99&lt;'Swing Joints Components'!$A$135,VLOOKUP($A99,'Swing Joints Components'!$A$9:$M$134,5,FALSE),
IF($A99&lt;Nonstandard!$A$42,VLOOKUP($A99,Nonstandard!$A$31:$J$41,6,FALSE),"")))))))))))))))))))))))))))),"")</f>
        <v/>
      </c>
      <c r="D99" s="534" t="str">
        <f>IFERROR(IF($A99&lt;'DWV PVC'!$A$317,VLOOKUP($A99,'DWV PVC'!$A$9:$M$316,6,FALSE),
IF($A99&lt;'DWV ABS'!$A$117,VLOOKUP($A99,'DWV ABS'!$A$8:$M$116,6,FALSE),
IF($A99&lt;'PVC SCH40'!$A$425,VLOOKUP($A99,'PVC SCH40'!$A$8:$M$424,6,FALSE),
IF($A99&lt;'PVC SCH40 LD'!$A$22,VLOOKUP($A99,'PVC SCH40 LD'!$A$8:$M$21,6,FALSE),
IF($A99&lt;'Pool &amp; SPA Sweep Elbows'!$A$12,VLOOKUP($A99,'Pool &amp; SPA Sweep Elbows'!$A$8:$M$11,6,FALSE),
IF($A99&lt;'Pool &amp; SPA Pipe Extender'!$A$11,VLOOKUP($A99,'Pool &amp; SPA Pipe Extender'!$A$8:$M$10,6,FALSE),
IF($A99&lt;'PVC SCH80'!$A$250,VLOOKUP($A99,'PVC SCH80'!$A$8:$M$249,6,FALSE),
IF($A99&lt;'PVC SCH80 Flange'!$A$49,VLOOKUP($A99,'PVC SCH80 Flange'!$A$8:$M$48,6,FALSE),
IF($A99&lt;'PVC SCH80 LD Flange'!$A$17,VLOOKUP($A99,'PVC SCH80 LD Flange'!$A$8:$M$16,6,FALSE),
IF($A99&lt;CPVC!$A$105,VLOOKUP($A99,CPVC!$A$9:$M$104,6,FALSE),
IF($A99&lt;InsertFittings!$A$185,VLOOKUP($A99,InsertFittings!$A$9:$M$184,6,FALSE),
IF($A99&lt;Valves!$A$92,VLOOKUP($A99,Valves!$A$9:$Q$91,6,FALSE),
IF($A99&lt;SDR35SW!$A$133,VLOOKUP($A99,SDR35SW!$A$9:$M$132,6,FALSE),
IF($A99&lt;SDR35G!$A$151,VLOOKUP($A99,SDR35G!$A$9:$M$150,6,FALSE),
IF($A99&lt;SDR26G!$A$67,VLOOKUP($A99,SDR26G!$A$9:$N$66,7,FALSE),
IF($A99&lt;Cements!$A$95,VLOOKUP($A99,Cements!$A$8:$Q$94,6,FALSE),
IF($A99&lt;ValveBox!$A$124,VLOOKUP($A99,ValveBox!$A$9:$O$123,6,FALSE),
IF($A99&lt;'ValveBox Components'!$A$142,VLOOKUP($A99,'ValveBox Components'!$A$9:$N$141,6,FALSE),
IF($A99&lt;Drainage!$A$69,VLOOKUP($A99,Drainage!$A$8:$M$68,6,FALSE),
IF($A99&lt;Nipples!$A$82,VLOOKUP($A99,Nipples!$A$9:$Q$81,6,FALSE),
IF($A99&lt;Manifold!$A$33,VLOOKUP($A99,Manifold!$A$9:$M$32,6,FALSE),
IF($A99&lt;FlexibleRepairCouplings!$A$12,VLOOKUP($A99,FlexibleRepairCouplings!$A$9:$M$11,6,FALSE),
IF($A99&lt;DuraFix!$A$15,VLOOKUP($A99,DuraFix!$A$9:$M$14,6,FALSE),
IF($A99&lt;'Compression Fittings'!$A$16,VLOOKUP($A99,'Compression Fittings'!$A$8:$M$15,6,FALSE),
IF($A99&lt;'Hose Fittings'!$A$30,VLOOKUP($A99,'Hose Fittings'!$A$8:$M$29,6,FALSE),
IF($A99&lt;'Swing Joints'!$A$495,VLOOKUP($A99,'Swing Joints'!$A$9:$M$494,6,FALSE),
IF($A99&lt;'Swing Joints Components'!$A$135,VLOOKUP($A99,'Swing Joints Components'!$A$9:$M$134,6,FALSE),
IF($A99&lt;Nonstandard!$A$42,VLOOKUP($A99,Nonstandard!$A$31:$J$41,7,FALSE),"")))))))))))))))))))))))))))),"")</f>
        <v/>
      </c>
      <c r="E99" s="316"/>
      <c r="F99" s="314" t="str">
        <f>IFERROR(IF($A99&lt;'DWV PVC'!$A$317,VLOOKUP($A99,'DWV PVC'!$A$9:$M$316,9,FALSE),
IF($A99&lt;'DWV ABS'!$A$117,VLOOKUP($A99,'DWV ABS'!$A$8:$M$116,9,FALSE),                                                                                                                                                                                                                                                     IF($A99&lt;'PVC SCH40'!$A$425,VLOOKUP($A99,'PVC SCH40'!$A$8:$M$424,9,FALSE),
IF($A99&lt;'PVC SCH40 LD'!$A$22,VLOOKUP($A99,'PVC SCH40 LD'!$A$8:$M$21,9,FALSE),
IF($A99&lt;'Pool &amp; SPA Sweep Elbows'!$A$12,VLOOKUP($A99,'Pool &amp; SPA Sweep Elbows'!$A$8:$M$11,9,FALSE),
IF($A99&lt;'Pool &amp; SPA Pipe Extender'!$A$11,VLOOKUP($A99,'Pool &amp; SPA Pipe Extender'!$A$8:$M$10,9,FALSE),
IF($A99&lt;'PVC SCH80'!$A$250,VLOOKUP($A99,'PVC SCH80'!$A$8:$M$249,9,FALSE),
IF($A99&lt;'PVC SCH80 Flange'!$A$49,VLOOKUP($A99,'PVC SCH80 Flange'!$A$8:$M$48,9,FALSE),
IF($A99&lt;'PVC SCH80 LD Flange'!$A$17,VLOOKUP($A99,'PVC SCH80 LD Flange'!$A$8:$M$16,9,FALSE),
IF($A99&lt;CPVC!$A$105,VLOOKUP($A99,CPVC!$A$9:$M$104,9,FALSE),
IF($A99&lt;InsertFittings!$A$185,VLOOKUP($A99,InsertFittings!$A$9:$M$184,9,FALSE),
IF($A99&lt;Valves!$A$92,VLOOKUP($A99,Valves!$A$9:$Q$91,13,FALSE),
IF($A99&lt;SDR35SW!$A$133,VLOOKUP($A99,SDR35SW!$A$9:$M$132,9,FALSE),
IF($A99&lt;SDR35G!$A$151,VLOOKUP($A99,SDR35G!$A$9:$M$150,9,FALSE),                                                                                                                                                                                                                                                          IF($A99&lt;SDR26G!$A$67,VLOOKUP($A99,SDR26G!$A$9:$N$66,10,FALSE),                                                                                                                                                                                                                                                       IF($A99&lt;Cements!$A$95,VLOOKUP($A99,Cements!$A$8:$Q$94,13,FALSE),
IF($A99&lt;ValveBox!$A$124,VLOOKUP($A99,ValveBox!$A$9:$O$123,11,FALSE),
IF($A99&lt;'ValveBox Components'!$A$142,VLOOKUP($A99,'ValveBox Components'!$A$9:$N$141,10,FALSE),
IF($A99&lt;Drainage!$A$69,VLOOKUP($A99,Drainage!$A$8:$M$68,9,FALSE),                                                                                                                                                                                                                                                              IF($A99&lt;Nipples!$A$82,VLOOKUP($A99,Nipples!$A$9:$Q$81,13,FALSE),
IF($A99&lt;Manifold!$A$33,VLOOKUP($A99,Manifold!$A$9:$M$32,9,FALSE),
IF($A99&lt;FlexibleRepairCouplings!$A$12,VLOOKUP($A99,FlexibleRepairCouplings!$A$9:$M$11,9,FALSE),
IF($A99&lt;DuraFix!$A$15,VLOOKUP($A99,DuraFix!$A$9:$M$14,9,FALSE),                                                                                                                                                                                                                                                          IF($A99&lt;'Compression Fittings'!$A$16,VLOOKUP($A99,'Compression Fittings'!$A$8:$M$15,9,FALSE),
IF($A99&lt;'Hose Fittings'!$A$30,VLOOKUP($A99,'Hose Fittings'!$A$8:$M$29,9,FALSE),
IF($A99&lt;'Swing Joints'!$A$495,VLOOKUP($A99,'Swing Joints'!$A$9:$M$494,9,FALSE),
IF($A99&lt;'Swing Joints Components'!$A$135,VLOOKUP($A99,'Swing Joints Components'!$A$9:$M$134,9,FALSE),
IF($A99&lt;Nonstandard!$A$42,VLOOKUP($A99,Nonstandard!$A$31:$J$41,8,FALSE),"")))))))))))))))))))))))))))),"")</f>
        <v/>
      </c>
      <c r="G99" s="533" t="str">
        <f>IFERROR(IF($A99&lt;'DWV PVC'!$A$317,VLOOKUP($A99,'DWV PVC'!$A$9:$M$316,11,FALSE),
IF($A99&lt;'DWV ABS'!$A$117,VLOOKUP($A99,'DWV ABS'!$A$8:$M$116,11,FALSE),                                                                                                                                                                                                                                                     IF($A99&lt;'PVC SCH40'!$A$425,VLOOKUP($A99,'PVC SCH40'!$A$8:$M$424,11,FALSE),
IF($A99&lt;'PVC SCH40 LD'!$A$22,VLOOKUP($A99,'PVC SCH40 LD'!$A$8:$M$21,11,FALSE),
IF($A99&lt;'Pool &amp; SPA Sweep Elbows'!$A$12,VLOOKUP($A99,'Pool &amp; SPA Sweep Elbows'!$A$8:$M$11,11,FALSE),
IF($A99&lt;'Pool &amp; SPA Pipe Extender'!$A$11,VLOOKUP($A99,'Pool &amp; SPA Pipe Extender'!$A$8:$M$10,11,FALSE),
IF($A99&lt;'PVC SCH80'!$A$250,VLOOKUP($A99,'PVC SCH80'!$A$8:$M$249,11,FALSE),
IF($A99&lt;'PVC SCH80 Flange'!$A$49,VLOOKUP($A99,'PVC SCH80 Flange'!$A$8:$M$48,11,FALSE),
IF($A99&lt;'PVC SCH80 LD Flange'!$A$17,VLOOKUP($A99,'PVC SCH80 LD Flange'!$A$8:$M$16,11,FALSE),
IF($A99&lt;CPVC!$A$105,VLOOKUP($A99,CPVC!$A$9:$M$104,11,FALSE),
IF($A99&lt;InsertFittings!$A$185,VLOOKUP($A99,InsertFittings!$A$9:$M$184,11,FALSE),
IF($A99&lt;Valves!$A$92,VLOOKUP($A99,Valves!$A$9:$Q$91,15,FALSE),
IF($A99&lt;SDR35SW!$A$133,VLOOKUP($A99,SDR35SW!$A$9:$M$132,11,FALSE),
IF($A99&lt;SDR35G!$A$151,VLOOKUP($A99,SDR35G!$A$9:$M$150,11,FALSE),                                                                                                                                                                                                                                                          IF($A99&lt;SDR26G!$A$67,VLOOKUP($A99,SDR26G!$A$9:$N$66,12,FALSE),                                                                                                                                                                                                                                                       IF($A99&lt;Cements!$A$95,VLOOKUP($A99,Cements!$A$8:$Q$94,15,FALSE),
IF($A99&lt;ValveBox!$A$124,VLOOKUP($A99,ValveBox!$A$9:$O$123,13,FALSE),
IF($A99&lt;'ValveBox Components'!$A$142,VLOOKUP($A99,'ValveBox Components'!$A$9:$N$141,12,FALSE),
IF($A99&lt;Drainage!$A$69,VLOOKUP($A99,Drainage!$A$8:$M$68,11,FALSE),                                                                                                                                                                                                                                                           IF($A99&lt;Nipples!$A$82,VLOOKUP($A99,Nipples!$A$9:$Q$81,15,FALSE),
IF($A99&lt;Manifold!$A$33,VLOOKUP($A99,Manifold!$A$9:$M$32,11,FALSE),
IF($A99&lt;FlexibleRepairCouplings!$A$12,VLOOKUP($A99,FlexibleRepairCouplings!$A$9:$M$11,11,FALSE),
IF($A99&lt;DuraFix!$A$15,VLOOKUP($A99,DuraFix!$A$9:$M$14,11,FALSE),                                                                                                                                                                                                                                                            IF($A99&lt;'Compression Fittings'!$A$16,VLOOKUP($A99,'Compression Fittings'!$A$8:$M$15,11,FALSE),
IF($A99&lt;'Hose Fittings'!$A$30,VLOOKUP($A99,'Hose Fittings'!$A$8:$M$29,11,FALSE),
IF($A99&lt;'Swing Joints'!$A$495,VLOOKUP($A99,'Swing Joints'!$A$9:$M$494,11,FALSE),
IF($A99&lt;'Swing Joints Components'!$A$135,VLOOKUP($A99,'Swing Joints Components'!$A$9:$M$134,11,FALSE),
IF($A99&lt;Nonstandard!$A$42,VLOOKUP($A99,Nonstandard!$A$31:$J$41,10,FALSE),"")))))))))))))))))))))))))))),"")</f>
        <v/>
      </c>
      <c r="H99" s="618" t="str">
        <f>IFERROR(IF($A99&lt;'DWV PVC'!$A$317,VLOOKUP($A99,'DWV PVC'!$A$9:$M$316,7,FALSE),
IF($A99&lt;'DWV ABS'!$A$117,VLOOKUP($A99,'DWV ABS'!$A$8:$M$116,11,FALSE),                                                                                                                                                                                                                                                     IF($A99&lt;'PVC SCH40'!$A$425,VLOOKUP($A99,'PVC SCH40'!$A$8:$M$424,7,FALSE),
IF($A99&lt;'PVC SCH40 LD'!$A$22,VLOOKUP($A99,'PVC SCH40 LD'!$A$8:$M$21,7,FALSE),
IF($A99&lt;'Pool &amp; SPA Sweep Elbows'!$A$12,VLOOKUP($A99,'Pool &amp; SPA Sweep Elbows'!$A$8:$M$11,7,FALSE),
IF($A99&lt;'Pool &amp; SPA Pipe Extender'!$A$11,VLOOKUP($A99,'Pool &amp; SPA Pipe Extender'!$A$8:$M$10,7,FALSE),
IF($A99&lt;'PVC SCH80'!$A$250,VLOOKUP($A99,'PVC SCH80'!$A$8:$M$249,7,FALSE),
IF($A99&lt;'PVC SCH80 Flange'!$A$49,VLOOKUP($A99,'PVC SCH80 Flange'!$A$8:$M$48,7,FALSE),
IF($A99&lt;'PVC SCH80 LD Flange'!$A$17,VLOOKUP($A99,'PVC SCH80 LD Flange'!$A$8:$M$16,7,FALSE),
IF($A99&lt;CPVC!$A$105,VLOOKUP($A99,CPVC!$A$9:$M$104,7,FALSE),
IF($A99&lt;InsertFittings!$A$185,VLOOKUP($A99,InsertFittings!$A$9:$M$184,7,FALSE),
IF($A99&lt;Valves!$A$92,VLOOKUP($A99,Valves!$A$9:$Q$91,11,FALSE),
IF($A99&lt;SDR35SW!$A$133,VLOOKUP($A99,SDR35SW!$A$9:$M$132,7,FALSE),
IF($A99&lt;SDR35G!$A$151,VLOOKUP($A99,SDR35G!$A$9:$M$150,7,FALSE),                                                                                                                                                                                                                                                       IF($A99&lt;SDR26G!$A$67,VLOOKUP($A99,SDR26G!$A$9:$N$66,8,FALSE),                                                                                                                                                                                                                                                     IF($A99&lt;Cements!$A$95,VLOOKUP($A99,Cements!$A$8:$Q$94,11,FALSE),
IF($A99&lt;ValveBox!$A$124,VLOOKUP($A99,ValveBox!$A$9:$O$123,10,FALSE),
IF($A99&lt;'ValveBox Components'!$A$142,VLOOKUP($A99,'ValveBox Components'!$A$9:$N$141,9,FALSE),
IF($A99&lt;Drainage!$A$69,VLOOKUP($A99,Drainage!$A$8:$M$68,7,FALSE),                                                                                                                                                                                                                                                          IF($A99&lt;Nipples!$A$82,VLOOKUP($A99,Nipples!$A$9:$Q$81,11,FALSE),
IF($A99&lt;Manifold!$A$33,VLOOKUP($A99,Manifold!$A$9:$M$32,7,FALSE),
IF($A99&lt;FlexibleRepairCouplings!$A$12,VLOOKUP($A99,FlexibleRepairCouplings!$A$9:$M$11,7,FALSE),
IF($A99&lt;DuraFix!$A$15,VLOOKUP($A99,DuraFix!$A$9:$M$14,7,FALSE),                                                                                                                                                                                                                                                           IF($A99&lt;'Compression Fittings'!$A$16,VLOOKUP($A99,'Compression Fittings'!$A$8:$M$15,7,FALSE),
IF($A99&lt;'Hose Fittings'!$A$30,VLOOKUP($A99,'Hose Fittings'!$A$8:$M$29,7,FALSE),
IF($A99&lt;'Swing Joints'!$A$495,VLOOKUP($A99,'Swing Joints'!$A$9:$M$494,7,FALSE),
IF($A99&lt;'Swing Joints Components'!$A$135,VLOOKUP($A99,'Swing Joints Components'!$A$9:$M$134,7,FALSE),
IF($A99&lt;Nonstandard!$A$42,VLOOKUP($A99,Nonstandard!$A$31:$J$41,10,FALSE),"")))))))))))))))))))))))))))),"")</f>
        <v/>
      </c>
      <c r="I99" s="619"/>
      <c r="J99" s="281" t="str">
        <f t="shared" si="3"/>
        <v/>
      </c>
      <c r="K99" s="313" t="str">
        <f>IFERROR(IF($A99&lt;'DWV PVC'!$A$317,VLOOKUP($A99,'DWV PVC'!$A$9:$M$316,10,FALSE),
IF($A99&lt;'DWV ABS'!$A$117,VLOOKUP($A99,'DWV ABS'!$A$8:$M$116,10,FALSE),
IF($A99&lt;'PVC SCH40'!$A$425,VLOOKUP($A99,'PVC SCH40'!$A$8:$M$424,10,FALSE),
IF($A99&lt;'PVC SCH40 LD'!$A$22,VLOOKUP($A99,'PVC SCH40 LD'!$A$8:$M$21,10,FALSE),
IF($A99&lt;'Pool &amp; SPA Sweep Elbows'!$A$12,VLOOKUP($A99,'Pool &amp; SPA Sweep Elbows'!$A$8:$M$11,10,FALSE),
IF($A99&lt;'Pool &amp; SPA Pipe Extender'!$A$11,VLOOKUP($A99,'Pool &amp; SPA Pipe Extender'!$A$8:$M$10,10,FALSE),
IF($A99&lt;'PVC SCH80'!$A$250,VLOOKUP($A99,'PVC SCH80'!$A$8:$M$249,10,FALSE),
IF($A99&lt;'PVC SCH80 Flange'!$A$49,VLOOKUP($A99,'PVC SCH80 Flange'!$A$8:$M$48,10,FALSE),
IF($A99&lt;'PVC SCH80 LD Flange'!$A$17,VLOOKUP($A99,'PVC SCH80 LD Flange'!$A$8:$M$16,10,FALSE),
IF($A99&lt;CPVC!$A$105,VLOOKUP($A99,CPVC!$A$9:$M$104,10,FALSE),
IF($A99&lt;InsertFittings!$A$185,VLOOKUP($A99,InsertFittings!$A$9:$M$184,10,FALSE),
IF($A99&lt;Valves!$A$92,VLOOKUP($A99,Valves!$A$9:$Q$91,14,FALSE),
IF($A99&lt;SDR35SW!$A$133,VLOOKUP($A99,SDR35SW!$A$9:$M$132,10,FALSE),
IF($A99&lt;SDR35G!$A$151,VLOOKUP($A99,SDR35G!$A$9:$M$150,10,FALSE),
IF($A99&lt;SDR26G!$A$67,VLOOKUP($A99,SDR26G!$A$9:$N$66,11,FALSE),
IF($A99&lt;Cements!$A$95,VLOOKUP($A99,Cements!$A$8:$Q$94,14,FALSE),
IF($A99&lt;ValveBox!$A$124,VLOOKUP($A99,ValveBox!$A$9:$O$123,12,FALSE),
IF($A99&lt;'ValveBox Components'!$A$142,VLOOKUP($A99,'ValveBox Components'!$A$9:$N$141,11,FALSE),
IF($A99&lt;Drainage!$A$69,VLOOKUP($A99,Drainage!$A$8:$M$68,10,FALSE),
IF($A99&lt;Nipples!$A$82,VLOOKUP($A99,Nipples!$A$9:$Q$81,14,FALSE),
IF($A99&lt;Manifold!$A$33,VLOOKUP($A99,Manifold!$A$9:$M$32,10,FALSE),
IF($A99&lt;FlexibleRepairCouplings!$A$12,VLOOKUP($A99,FlexibleRepairCouplings!$A$9:$M$11,10,FALSE),
IF($A99&lt;DuraFix!$A$15,VLOOKUP($A99,DuraFix!$A$9:$M$14,10,FALSE),
IF($A99&lt;'Compression Fittings'!$A$16,VLOOKUP($A99,'Compression Fittings'!$A$8:$M$15,10,FALSE),
IF($A99&lt;'Hose Fittings'!$A$30,VLOOKUP($A99,'Hose Fittings'!$A$8:$M$29,10,FALSE),
IF($A99&lt;'Swing Joints'!$A$495,VLOOKUP($A99,'Swing Joints'!$A$9:$M$494,10,FALSE),
IF($A99&lt;'Swing Joints Components'!$A$135,VLOOKUP($A99,'Swing Joints Components'!$A$9:$M$134,10,FALSE),
IF($A99&lt;Nonstandard!$A$42,VLOOKUP($A99,Nonstandard!$A$31:$J$41,10,FALSE),"")))))))))))))))))))))))))))),"")</f>
        <v/>
      </c>
      <c r="L99" s="314" t="str">
        <f t="shared" si="2"/>
        <v>-</v>
      </c>
      <c r="M99" s="315"/>
    </row>
    <row r="100" spans="1:13" ht="15.6">
      <c r="A100" s="536">
        <v>68</v>
      </c>
      <c r="B100" s="536" t="str">
        <f>IFERROR(IF($A100&lt;'DWV PVC'!$A$317,VLOOKUP($A100,'DWV PVC'!$A$9:$M$316,4,FALSE),
IF($A100&lt;'DWV ABS'!$A$117,VLOOKUP($A100,'DWV ABS'!$A$8:$M$116,4,FALSE),
IF($A100&lt;'PVC SCH40'!$A$425,VLOOKUP($A100,'PVC SCH40'!$A$8:$M$424,4,FALSE),
IF($A100&lt;'PVC SCH40 LD'!$A$22,VLOOKUP($A100,'PVC SCH40 LD'!$A$8:$M$21,4,FALSE),
IF($A100&lt;'Pool &amp; SPA Sweep Elbows'!$A$12,VLOOKUP($A100,'Pool &amp; SPA Sweep Elbows'!$A$8:$M$11,4,FALSE),
IF($A100&lt;'Pool &amp; SPA Pipe Extender'!$A$11,VLOOKUP($A100,'Pool &amp; SPA Pipe Extender'!$A$8:$M$10,4,FALSE),
IF($A100&lt;'PVC SCH80'!$A$250,VLOOKUP($A100,'PVC SCH80'!$A$8:$M$249,4,FALSE),
IF($A100&lt;'PVC SCH80 Flange'!$A$49,VLOOKUP($A100,'PVC SCH80 Flange'!$A$8:$M$48,4,FALSE),
IF($A100&lt;'PVC SCH80 LD Flange'!$A$17,VLOOKUP($A100,'PVC SCH80 LD Flange'!$A$8:$M$16,4,FALSE),
IF($A100&lt;CPVC!$A$105,VLOOKUP($A100,CPVC!$A$9:$M$104,4,FALSE),
IF($A100&lt;InsertFittings!$A$185,VLOOKUP($A100,InsertFittings!$A$9:$M$184,4,FALSE),
IF($A100&lt;Valves!$A$92,VLOOKUP($A100,Valves!$A$9:$Q$91,4,FALSE),
IF($A100&lt;SDR35SW!$A$133,VLOOKUP($A100,SDR35SW!$A$9:$M$132,4,FALSE),
IF($A100&lt;SDR35G!$A$151,VLOOKUP($A100,SDR35G!$A$9:$M$150,4,FALSE),
IF($A100&lt;SDR26G!$A$67,VLOOKUP($A100,SDR26G!$A$9:$N$66,5,FALSE),
IF($A100&lt;Cements!$A$95,VLOOKUP($A100,Cements!$A$8:$Q$94,4,FALSE),
IF($A100&lt;ValveBox!$A$124,VLOOKUP($A100,ValveBox!$A$9:$O$123,4,FALSE),
IF($A100&lt;'ValveBox Components'!$A$142,VLOOKUP($A100,'ValveBox Components'!$A$9:$N$141,4,FALSE),
IF($A100&lt;Drainage!$A$69,VLOOKUP($A100,Drainage!$A$8:$M$68,4,FALSE),
IF($A100&lt;Nipples!$A$82,VLOOKUP($A100,Nipples!$A$9:$Q$81,4,FALSE),
IF($A100&lt;Manifold!$A$33,VLOOKUP($A100,Manifold!$A$9:$M$32,4,FALSE),
IF($A100&lt;FlexibleRepairCouplings!$A$12,VLOOKUP($A100,FlexibleRepairCouplings!$A$9:$M$11,4,FALSE),
IF($A100&lt;DuraFix!$A$15,VLOOKUP($A100,DuraFix!$A$9:$M$14,4,FALSE),
IF($A100&lt;'Compression Fittings'!$A$16,VLOOKUP($A100,'Compression Fittings'!$A$8:$M$15,4,FALSE),
IF($A100&lt;'Hose Fittings'!$A$30,VLOOKUP($A100,'Hose Fittings'!$A$8:$M$29,4,FALSE),
IF($A100&lt;'Swing Joints'!$A$495,VLOOKUP($A100,'Swing Joints'!$A$9:$M$494,4,FALSE),
IF($A100&lt;'Swing Joints Components'!$A$135,VLOOKUP($A100,'Swing Joints Components'!$A$9:$M$134,4,FALSE),
IF($A100&lt;Nonstandard!$A$42,VLOOKUP($A100,Nonstandard!$A$31:$J$41,5,FALSE),"")))))))))))))))))))))))))))),"")</f>
        <v/>
      </c>
      <c r="C100" s="536" t="str">
        <f>IFERROR(IF($A100&lt;'DWV PVC'!$A$317,VLOOKUP($A100,'DWV PVC'!$A$9:$M$316,5,FALSE),
IF($A100&lt;'DWV ABS'!$A$117,VLOOKUP($A100,'DWV ABS'!$A$8:$M$116,5,FALSE),
IF($A100&lt;'PVC SCH40'!$A$425,VLOOKUP($A100,'PVC SCH40'!$A$8:$M$424,5,FALSE),
IF($A100&lt;'PVC SCH40 LD'!$A$22,VLOOKUP($A100,'PVC SCH40 LD'!$A$8:$M$21,5,FALSE),
IF($A100&lt;'Pool &amp; SPA Sweep Elbows'!$A$12,VLOOKUP($A100,'Pool &amp; SPA Sweep Elbows'!$A$8:$M$11,5,FALSE),
IF($A100&lt;'Pool &amp; SPA Pipe Extender'!$A$11,VLOOKUP($A100,'Pool &amp; SPA Pipe Extender'!$A$8:$M$10,5,FALSE),
IF($A100&lt;'PVC SCH80'!$A$250,VLOOKUP($A100,'PVC SCH80'!$A$8:$M$249,5,FALSE),
IF($A100&lt;'PVC SCH80 Flange'!$A$49,VLOOKUP($A100,'PVC SCH80 Flange'!$A$8:$M$48,5,FALSE),
IF($A100&lt;'PVC SCH80 LD Flange'!$A$17,VLOOKUP($A100,'PVC SCH80 LD Flange'!$A$8:$M$16,5,FALSE),
IF($A100&lt;CPVC!$A$105,VLOOKUP($A100,CPVC!$A$9:$M$104,5,FALSE),
IF($A100&lt;InsertFittings!$A$185,VLOOKUP($A100,InsertFittings!$A$9:$M$184,5,FALSE),
IF($A100&lt;Valves!$A$92,VLOOKUP($A100,Valves!$A$9:$Q$91,5,FALSE),
IF($A100&lt;SDR35SW!$A$133,VLOOKUP($A100,SDR35SW!$A$9:$M$132,5,FALSE),
IF($A100&lt;SDR35G!$A$151,VLOOKUP($A100,SDR35G!$A$9:$M$150,5,FALSE),
IF($A100&lt;SDR26G!$A$67,VLOOKUP($A100,SDR26G!$A$9:$N$66,6,FALSE),
IF($A100&lt;Cements!$A$95,VLOOKUP($A100,Cements!$A$8:$Q$94,5,FALSE),
IF($A100&lt;ValveBox!$A$124,VLOOKUP($A100,ValveBox!$A$9:$O$123,5,FALSE),
IF($A100&lt;'ValveBox Components'!$A$142,VLOOKUP($A100,'ValveBox Components'!$A$9:$N$141,5,FALSE),
IF($A100&lt;Drainage!$A$69,VLOOKUP($A100,Drainage!$A$8:$M$68,5,FALSE),
IF($A100&lt;Nipples!$A$82,VLOOKUP($A100,Nipples!$A$9:$Q$81,5,FALSE),
IF($A100&lt;Manifold!$A$33,VLOOKUP($A100,Manifold!$A$9:$M$32,5,FALSE),
IF($A100&lt;FlexibleRepairCouplings!$A$12,VLOOKUP($A100,FlexibleRepairCouplings!$A$9:$M$11,5,FALSE),
IF($A100&lt;DuraFix!$A$15,VLOOKUP($A100,DuraFix!$A$9:$M$14,5,FALSE),
IF($A100&lt;'Compression Fittings'!$A$16,VLOOKUP($A100,'Compression Fittings'!$A$8:$M$15,5,FALSE),
IF($A100&lt;'Hose Fittings'!$A$30,VLOOKUP($A100,'Hose Fittings'!$A$8:$M$29,5,FALSE),
IF($A100&lt;'Swing Joints'!$A$495,VLOOKUP($A100,'Swing Joints'!$A$9:$M$494,5,FALSE),
IF($A100&lt;'Swing Joints Components'!$A$135,VLOOKUP($A100,'Swing Joints Components'!$A$9:$M$134,5,FALSE),
IF($A100&lt;Nonstandard!$A$42,VLOOKUP($A100,Nonstandard!$A$31:$J$41,6,FALSE),"")))))))))))))))))))))))))))),"")</f>
        <v/>
      </c>
      <c r="D100" s="537" t="str">
        <f>IFERROR(IF($A100&lt;'DWV PVC'!$A$317,VLOOKUP($A100,'DWV PVC'!$A$9:$M$316,6,FALSE),
IF($A100&lt;'DWV ABS'!$A$117,VLOOKUP($A100,'DWV ABS'!$A$8:$M$116,6,FALSE),
IF($A100&lt;'PVC SCH40'!$A$425,VLOOKUP($A100,'PVC SCH40'!$A$8:$M$424,6,FALSE),
IF($A100&lt;'PVC SCH40 LD'!$A$22,VLOOKUP($A100,'PVC SCH40 LD'!$A$8:$M$21,6,FALSE),
IF($A100&lt;'Pool &amp; SPA Sweep Elbows'!$A$12,VLOOKUP($A100,'Pool &amp; SPA Sweep Elbows'!$A$8:$M$11,6,FALSE),
IF($A100&lt;'Pool &amp; SPA Pipe Extender'!$A$11,VLOOKUP($A100,'Pool &amp; SPA Pipe Extender'!$A$8:$M$10,6,FALSE),
IF($A100&lt;'PVC SCH80'!$A$250,VLOOKUP($A100,'PVC SCH80'!$A$8:$M$249,6,FALSE),
IF($A100&lt;'PVC SCH80 Flange'!$A$49,VLOOKUP($A100,'PVC SCH80 Flange'!$A$8:$M$48,6,FALSE),
IF($A100&lt;'PVC SCH80 LD Flange'!$A$17,VLOOKUP($A100,'PVC SCH80 LD Flange'!$A$8:$M$16,6,FALSE),
IF($A100&lt;CPVC!$A$105,VLOOKUP($A100,CPVC!$A$9:$M$104,6,FALSE),
IF($A100&lt;InsertFittings!$A$185,VLOOKUP($A100,InsertFittings!$A$9:$M$184,6,FALSE),
IF($A100&lt;Valves!$A$92,VLOOKUP($A100,Valves!$A$9:$Q$91,6,FALSE),
IF($A100&lt;SDR35SW!$A$133,VLOOKUP($A100,SDR35SW!$A$9:$M$132,6,FALSE),
IF($A100&lt;SDR35G!$A$151,VLOOKUP($A100,SDR35G!$A$9:$M$150,6,FALSE),
IF($A100&lt;SDR26G!$A$67,VLOOKUP($A100,SDR26G!$A$9:$N$66,7,FALSE),
IF($A100&lt;Cements!$A$95,VLOOKUP($A100,Cements!$A$8:$Q$94,6,FALSE),
IF($A100&lt;ValveBox!$A$124,VLOOKUP($A100,ValveBox!$A$9:$O$123,6,FALSE),
IF($A100&lt;'ValveBox Components'!$A$142,VLOOKUP($A100,'ValveBox Components'!$A$9:$N$141,6,FALSE),
IF($A100&lt;Drainage!$A$69,VLOOKUP($A100,Drainage!$A$8:$M$68,6,FALSE),
IF($A100&lt;Nipples!$A$82,VLOOKUP($A100,Nipples!$A$9:$Q$81,6,FALSE),
IF($A100&lt;Manifold!$A$33,VLOOKUP($A100,Manifold!$A$9:$M$32,6,FALSE),
IF($A100&lt;FlexibleRepairCouplings!$A$12,VLOOKUP($A100,FlexibleRepairCouplings!$A$9:$M$11,6,FALSE),
IF($A100&lt;DuraFix!$A$15,VLOOKUP($A100,DuraFix!$A$9:$M$14,6,FALSE),
IF($A100&lt;'Compression Fittings'!$A$16,VLOOKUP($A100,'Compression Fittings'!$A$8:$M$15,6,FALSE),
IF($A100&lt;'Hose Fittings'!$A$30,VLOOKUP($A100,'Hose Fittings'!$A$8:$M$29,6,FALSE),
IF($A100&lt;'Swing Joints'!$A$495,VLOOKUP($A100,'Swing Joints'!$A$9:$M$494,6,FALSE),
IF($A100&lt;'Swing Joints Components'!$A$135,VLOOKUP($A100,'Swing Joints Components'!$A$9:$M$134,6,FALSE),
IF($A100&lt;Nonstandard!$A$42,VLOOKUP($A100,Nonstandard!$A$31:$J$41,7,FALSE),"")))))))))))))))))))))))))))),"")</f>
        <v/>
      </c>
      <c r="E100" s="538"/>
      <c r="F100" s="539" t="str">
        <f>IFERROR(IF($A100&lt;'DWV PVC'!$A$317,VLOOKUP($A100,'DWV PVC'!$A$9:$M$316,9,FALSE),
IF($A100&lt;'DWV ABS'!$A$117,VLOOKUP($A100,'DWV ABS'!$A$8:$M$116,9,FALSE),                                                                                                                                                                                                                                                     IF($A100&lt;'PVC SCH40'!$A$425,VLOOKUP($A100,'PVC SCH40'!$A$8:$M$424,9,FALSE),
IF($A100&lt;'PVC SCH40 LD'!$A$22,VLOOKUP($A100,'PVC SCH40 LD'!$A$8:$M$21,9,FALSE),
IF($A100&lt;'Pool &amp; SPA Sweep Elbows'!$A$12,VLOOKUP($A100,'Pool &amp; SPA Sweep Elbows'!$A$8:$M$11,9,FALSE),
IF($A100&lt;'Pool &amp; SPA Pipe Extender'!$A$11,VLOOKUP($A100,'Pool &amp; SPA Pipe Extender'!$A$8:$M$10,9,FALSE),
IF($A100&lt;'PVC SCH80'!$A$250,VLOOKUP($A100,'PVC SCH80'!$A$8:$M$249,9,FALSE),
IF($A100&lt;'PVC SCH80 Flange'!$A$49,VLOOKUP($A100,'PVC SCH80 Flange'!$A$8:$M$48,9,FALSE),
IF($A100&lt;'PVC SCH80 LD Flange'!$A$17,VLOOKUP($A100,'PVC SCH80 LD Flange'!$A$8:$M$16,9,FALSE),
IF($A100&lt;CPVC!$A$105,VLOOKUP($A100,CPVC!$A$9:$M$104,9,FALSE),
IF($A100&lt;InsertFittings!$A$185,VLOOKUP($A100,InsertFittings!$A$9:$M$184,9,FALSE),
IF($A100&lt;Valves!$A$92,VLOOKUP($A100,Valves!$A$9:$Q$91,13,FALSE),
IF($A100&lt;SDR35SW!$A$133,VLOOKUP($A100,SDR35SW!$A$9:$M$132,9,FALSE),
IF($A100&lt;SDR35G!$A$151,VLOOKUP($A100,SDR35G!$A$9:$M$150,9,FALSE),                                                                                                                                                                                                                                                          IF($A100&lt;SDR26G!$A$67,VLOOKUP($A100,SDR26G!$A$9:$N$66,10,FALSE),                                                                                                                                                                                                                                                       IF($A100&lt;Cements!$A$95,VLOOKUP($A100,Cements!$A$8:$Q$94,13,FALSE),
IF($A100&lt;ValveBox!$A$124,VLOOKUP($A100,ValveBox!$A$9:$O$123,11,FALSE),
IF($A100&lt;'ValveBox Components'!$A$142,VLOOKUP($A100,'ValveBox Components'!$A$9:$N$141,10,FALSE),
IF($A100&lt;Drainage!$A$69,VLOOKUP($A100,Drainage!$A$8:$M$68,9,FALSE),                                                                                                                                                                                                                                                              IF($A100&lt;Nipples!$A$82,VLOOKUP($A100,Nipples!$A$9:$Q$81,13,FALSE),
IF($A100&lt;Manifold!$A$33,VLOOKUP($A100,Manifold!$A$9:$M$32,9,FALSE),
IF($A100&lt;FlexibleRepairCouplings!$A$12,VLOOKUP($A100,FlexibleRepairCouplings!$A$9:$M$11,9,FALSE),
IF($A100&lt;DuraFix!$A$15,VLOOKUP($A100,DuraFix!$A$9:$M$14,9,FALSE),                                                                                                                                                                                                                                                          IF($A100&lt;'Compression Fittings'!$A$16,VLOOKUP($A100,'Compression Fittings'!$A$8:$M$15,9,FALSE),
IF($A100&lt;'Hose Fittings'!$A$30,VLOOKUP($A100,'Hose Fittings'!$A$8:$M$29,9,FALSE),
IF($A100&lt;'Swing Joints'!$A$495,VLOOKUP($A100,'Swing Joints'!$A$9:$M$494,9,FALSE),
IF($A100&lt;'Swing Joints Components'!$A$135,VLOOKUP($A100,'Swing Joints Components'!$A$9:$M$134,9,FALSE),
IF($A100&lt;Nonstandard!$A$42,VLOOKUP($A100,Nonstandard!$A$31:$J$41,8,FALSE),"")))))))))))))))))))))))))))),"")</f>
        <v/>
      </c>
      <c r="G100" s="540" t="str">
        <f>IFERROR(IF($A100&lt;'DWV PVC'!$A$317,VLOOKUP($A100,'DWV PVC'!$A$9:$M$316,11,FALSE),
IF($A100&lt;'DWV ABS'!$A$117,VLOOKUP($A100,'DWV ABS'!$A$8:$M$116,11,FALSE),                                                                                                                                                                                                                                                     IF($A100&lt;'PVC SCH40'!$A$425,VLOOKUP($A100,'PVC SCH40'!$A$8:$M$424,11,FALSE),
IF($A100&lt;'PVC SCH40 LD'!$A$22,VLOOKUP($A100,'PVC SCH40 LD'!$A$8:$M$21,11,FALSE),
IF($A100&lt;'Pool &amp; SPA Sweep Elbows'!$A$12,VLOOKUP($A100,'Pool &amp; SPA Sweep Elbows'!$A$8:$M$11,11,FALSE),
IF($A100&lt;'Pool &amp; SPA Pipe Extender'!$A$11,VLOOKUP($A100,'Pool &amp; SPA Pipe Extender'!$A$8:$M$10,11,FALSE),
IF($A100&lt;'PVC SCH80'!$A$250,VLOOKUP($A100,'PVC SCH80'!$A$8:$M$249,11,FALSE),
IF($A100&lt;'PVC SCH80 Flange'!$A$49,VLOOKUP($A100,'PVC SCH80 Flange'!$A$8:$M$48,11,FALSE),
IF($A100&lt;'PVC SCH80 LD Flange'!$A$17,VLOOKUP($A100,'PVC SCH80 LD Flange'!$A$8:$M$16,11,FALSE),
IF($A100&lt;CPVC!$A$105,VLOOKUP($A100,CPVC!$A$9:$M$104,11,FALSE),
IF($A100&lt;InsertFittings!$A$185,VLOOKUP($A100,InsertFittings!$A$9:$M$184,11,FALSE),
IF($A100&lt;Valves!$A$92,VLOOKUP($A100,Valves!$A$9:$Q$91,15,FALSE),
IF($A100&lt;SDR35SW!$A$133,VLOOKUP($A100,SDR35SW!$A$9:$M$132,11,FALSE),
IF($A100&lt;SDR35G!$A$151,VLOOKUP($A100,SDR35G!$A$9:$M$150,11,FALSE),                                                                                                                                                                                                                                                          IF($A100&lt;SDR26G!$A$67,VLOOKUP($A100,SDR26G!$A$9:$N$66,12,FALSE),                                                                                                                                                                                                                                                       IF($A100&lt;Cements!$A$95,VLOOKUP($A100,Cements!$A$8:$Q$94,15,FALSE),
IF($A100&lt;ValveBox!$A$124,VLOOKUP($A100,ValveBox!$A$9:$O$123,13,FALSE),
IF($A100&lt;'ValveBox Components'!$A$142,VLOOKUP($A100,'ValveBox Components'!$A$9:$N$141,12,FALSE),
IF($A100&lt;Drainage!$A$69,VLOOKUP($A100,Drainage!$A$8:$M$68,11,FALSE),                                                                                                                                                                                                                                                           IF($A100&lt;Nipples!$A$82,VLOOKUP($A100,Nipples!$A$9:$Q$81,15,FALSE),
IF($A100&lt;Manifold!$A$33,VLOOKUP($A100,Manifold!$A$9:$M$32,11,FALSE),
IF($A100&lt;FlexibleRepairCouplings!$A$12,VLOOKUP($A100,FlexibleRepairCouplings!$A$9:$M$11,11,FALSE),
IF($A100&lt;DuraFix!$A$15,VLOOKUP($A100,DuraFix!$A$9:$M$14,11,FALSE),                                                                                                                                                                                                                                                            IF($A100&lt;'Compression Fittings'!$A$16,VLOOKUP($A100,'Compression Fittings'!$A$8:$M$15,11,FALSE),
IF($A100&lt;'Hose Fittings'!$A$30,VLOOKUP($A100,'Hose Fittings'!$A$8:$M$29,11,FALSE),
IF($A100&lt;'Swing Joints'!$A$495,VLOOKUP($A100,'Swing Joints'!$A$9:$M$494,11,FALSE),
IF($A100&lt;'Swing Joints Components'!$A$135,VLOOKUP($A100,'Swing Joints Components'!$A$9:$M$134,11,FALSE),
IF($A100&lt;Nonstandard!$A$42,VLOOKUP($A100,Nonstandard!$A$31:$J$41,10,FALSE),"")))))))))))))))))))))))))))),"")</f>
        <v/>
      </c>
      <c r="H100" s="620" t="str">
        <f>IFERROR(IF($A100&lt;'DWV PVC'!$A$317,VLOOKUP($A100,'DWV PVC'!$A$9:$M$316,7,FALSE),
IF($A100&lt;'DWV ABS'!$A$117,VLOOKUP($A100,'DWV ABS'!$A$8:$M$116,11,FALSE),                                                                                                                                                                                                                                                     IF($A100&lt;'PVC SCH40'!$A$425,VLOOKUP($A100,'PVC SCH40'!$A$8:$M$424,7,FALSE),
IF($A100&lt;'PVC SCH40 LD'!$A$22,VLOOKUP($A100,'PVC SCH40 LD'!$A$8:$M$21,7,FALSE),
IF($A100&lt;'Pool &amp; SPA Sweep Elbows'!$A$12,VLOOKUP($A100,'Pool &amp; SPA Sweep Elbows'!$A$8:$M$11,7,FALSE),
IF($A100&lt;'Pool &amp; SPA Pipe Extender'!$A$11,VLOOKUP($A100,'Pool &amp; SPA Pipe Extender'!$A$8:$M$10,7,FALSE),
IF($A100&lt;'PVC SCH80'!$A$250,VLOOKUP($A100,'PVC SCH80'!$A$8:$M$249,7,FALSE),
IF($A100&lt;'PVC SCH80 Flange'!$A$49,VLOOKUP($A100,'PVC SCH80 Flange'!$A$8:$M$48,7,FALSE),
IF($A100&lt;'PVC SCH80 LD Flange'!$A$17,VLOOKUP($A100,'PVC SCH80 LD Flange'!$A$8:$M$16,7,FALSE),
IF($A100&lt;CPVC!$A$105,VLOOKUP($A100,CPVC!$A$9:$M$104,7,FALSE),
IF($A100&lt;InsertFittings!$A$185,VLOOKUP($A100,InsertFittings!$A$9:$M$184,7,FALSE),
IF($A100&lt;Valves!$A$92,VLOOKUP($A100,Valves!$A$9:$Q$91,11,FALSE),
IF($A100&lt;SDR35SW!$A$133,VLOOKUP($A100,SDR35SW!$A$9:$M$132,7,FALSE),
IF($A100&lt;SDR35G!$A$151,VLOOKUP($A100,SDR35G!$A$9:$M$150,7,FALSE),                                                                                                                                                                                                                                                       IF($A100&lt;SDR26G!$A$67,VLOOKUP($A100,SDR26G!$A$9:$N$66,8,FALSE),                                                                                                                                                                                                                                                     IF($A100&lt;Cements!$A$95,VLOOKUP($A100,Cements!$A$8:$Q$94,11,FALSE),
IF($A100&lt;ValveBox!$A$124,VLOOKUP($A100,ValveBox!$A$9:$O$123,10,FALSE),
IF($A100&lt;'ValveBox Components'!$A$142,VLOOKUP($A100,'ValveBox Components'!$A$9:$N$141,9,FALSE),
IF($A100&lt;Drainage!$A$69,VLOOKUP($A100,Drainage!$A$8:$M$68,7,FALSE),                                                                                                                                                                                                                                                          IF($A100&lt;Nipples!$A$82,VLOOKUP($A100,Nipples!$A$9:$Q$81,11,FALSE),
IF($A100&lt;Manifold!$A$33,VLOOKUP($A100,Manifold!$A$9:$M$32,7,FALSE),
IF($A100&lt;FlexibleRepairCouplings!$A$12,VLOOKUP($A100,FlexibleRepairCouplings!$A$9:$M$11,7,FALSE),
IF($A100&lt;DuraFix!$A$15,VLOOKUP($A100,DuraFix!$A$9:$M$14,7,FALSE),                                                                                                                                                                                                                                                           IF($A100&lt;'Compression Fittings'!$A$16,VLOOKUP($A100,'Compression Fittings'!$A$8:$M$15,7,FALSE),
IF($A100&lt;'Hose Fittings'!$A$30,VLOOKUP($A100,'Hose Fittings'!$A$8:$M$29,7,FALSE),
IF($A100&lt;'Swing Joints'!$A$495,VLOOKUP($A100,'Swing Joints'!$A$9:$M$494,7,FALSE),
IF($A100&lt;'Swing Joints Components'!$A$135,VLOOKUP($A100,'Swing Joints Components'!$A$9:$M$134,7,FALSE),
IF($A100&lt;Nonstandard!$A$42,VLOOKUP($A100,Nonstandard!$A$31:$J$41,10,FALSE),"")))))))))))))))))))))))))))),"")</f>
        <v/>
      </c>
      <c r="I100" s="621"/>
      <c r="J100" s="541" t="str">
        <f t="shared" si="3"/>
        <v/>
      </c>
      <c r="K100" s="599" t="str">
        <f>IFERROR(IF($A100&lt;'DWV PVC'!$A$317,VLOOKUP($A100,'DWV PVC'!$A$9:$M$316,10,FALSE),
IF($A100&lt;'DWV ABS'!$A$117,VLOOKUP($A100,'DWV ABS'!$A$8:$M$116,10,FALSE),
IF($A100&lt;'PVC SCH40'!$A$425,VLOOKUP($A100,'PVC SCH40'!$A$8:$M$424,10,FALSE),
IF($A100&lt;'PVC SCH40 LD'!$A$22,VLOOKUP($A100,'PVC SCH40 LD'!$A$8:$M$21,10,FALSE),
IF($A100&lt;'Pool &amp; SPA Sweep Elbows'!$A$12,VLOOKUP($A100,'Pool &amp; SPA Sweep Elbows'!$A$8:$M$11,10,FALSE),
IF($A100&lt;'Pool &amp; SPA Pipe Extender'!$A$11,VLOOKUP($A100,'Pool &amp; SPA Pipe Extender'!$A$8:$M$10,10,FALSE),
IF($A100&lt;'PVC SCH80'!$A$250,VLOOKUP($A100,'PVC SCH80'!$A$8:$M$249,10,FALSE),
IF($A100&lt;'PVC SCH80 Flange'!$A$49,VLOOKUP($A100,'PVC SCH80 Flange'!$A$8:$M$48,10,FALSE),
IF($A100&lt;'PVC SCH80 LD Flange'!$A$17,VLOOKUP($A100,'PVC SCH80 LD Flange'!$A$8:$M$16,10,FALSE),
IF($A100&lt;CPVC!$A$105,VLOOKUP($A100,CPVC!$A$9:$M$104,10,FALSE),
IF($A100&lt;InsertFittings!$A$185,VLOOKUP($A100,InsertFittings!$A$9:$M$184,10,FALSE),
IF($A100&lt;Valves!$A$92,VLOOKUP($A100,Valves!$A$9:$Q$91,14,FALSE),
IF($A100&lt;SDR35SW!$A$133,VLOOKUP($A100,SDR35SW!$A$9:$M$132,10,FALSE),
IF($A100&lt;SDR35G!$A$151,VLOOKUP($A100,SDR35G!$A$9:$M$150,10,FALSE),
IF($A100&lt;SDR26G!$A$67,VLOOKUP($A100,SDR26G!$A$9:$N$66,11,FALSE),
IF($A100&lt;Cements!$A$95,VLOOKUP($A100,Cements!$A$8:$Q$94,14,FALSE),
IF($A100&lt;ValveBox!$A$124,VLOOKUP($A100,ValveBox!$A$9:$O$123,12,FALSE),
IF($A100&lt;'ValveBox Components'!$A$142,VLOOKUP($A100,'ValveBox Components'!$A$9:$N$141,11,FALSE),
IF($A100&lt;Drainage!$A$69,VLOOKUP($A100,Drainage!$A$8:$M$68,10,FALSE),
IF($A100&lt;Nipples!$A$82,VLOOKUP($A100,Nipples!$A$9:$Q$81,14,FALSE),
IF($A100&lt;Manifold!$A$33,VLOOKUP($A100,Manifold!$A$9:$M$32,10,FALSE),
IF($A100&lt;FlexibleRepairCouplings!$A$12,VLOOKUP($A100,FlexibleRepairCouplings!$A$9:$M$11,10,FALSE),
IF($A100&lt;DuraFix!$A$15,VLOOKUP($A100,DuraFix!$A$9:$M$14,10,FALSE),
IF($A100&lt;'Compression Fittings'!$A$16,VLOOKUP($A100,'Compression Fittings'!$A$8:$M$15,10,FALSE),
IF($A100&lt;'Hose Fittings'!$A$30,VLOOKUP($A100,'Hose Fittings'!$A$8:$M$29,10,FALSE),
IF($A100&lt;'Swing Joints'!$A$495,VLOOKUP($A100,'Swing Joints'!$A$9:$M$494,10,FALSE),
IF($A100&lt;'Swing Joints Components'!$A$135,VLOOKUP($A100,'Swing Joints Components'!$A$9:$M$134,10,FALSE),
IF($A100&lt;Nonstandard!$A$42,VLOOKUP($A100,Nonstandard!$A$31:$J$41,10,FALSE),"")))))))))))))))))))))))))))),"")</f>
        <v/>
      </c>
      <c r="L100" s="539" t="str">
        <f t="shared" si="2"/>
        <v>-</v>
      </c>
      <c r="M100" s="542"/>
    </row>
    <row r="101" spans="1:13" ht="15.6">
      <c r="A101" s="312">
        <v>69</v>
      </c>
      <c r="B101" s="312" t="str">
        <f>IFERROR(IF($A101&lt;'DWV PVC'!$A$317,VLOOKUP($A101,'DWV PVC'!$A$9:$M$316,4,FALSE),
IF($A101&lt;'DWV ABS'!$A$117,VLOOKUP($A101,'DWV ABS'!$A$8:$M$116,4,FALSE),
IF($A101&lt;'PVC SCH40'!$A$425,VLOOKUP($A101,'PVC SCH40'!$A$8:$M$424,4,FALSE),
IF($A101&lt;'PVC SCH40 LD'!$A$22,VLOOKUP($A101,'PVC SCH40 LD'!$A$8:$M$21,4,FALSE),
IF($A101&lt;'Pool &amp; SPA Sweep Elbows'!$A$12,VLOOKUP($A101,'Pool &amp; SPA Sweep Elbows'!$A$8:$M$11,4,FALSE),
IF($A101&lt;'Pool &amp; SPA Pipe Extender'!$A$11,VLOOKUP($A101,'Pool &amp; SPA Pipe Extender'!$A$8:$M$10,4,FALSE),
IF($A101&lt;'PVC SCH80'!$A$250,VLOOKUP($A101,'PVC SCH80'!$A$8:$M$249,4,FALSE),
IF($A101&lt;'PVC SCH80 Flange'!$A$49,VLOOKUP($A101,'PVC SCH80 Flange'!$A$8:$M$48,4,FALSE),
IF($A101&lt;'PVC SCH80 LD Flange'!$A$17,VLOOKUP($A101,'PVC SCH80 LD Flange'!$A$8:$M$16,4,FALSE),
IF($A101&lt;CPVC!$A$105,VLOOKUP($A101,CPVC!$A$9:$M$104,4,FALSE),
IF($A101&lt;InsertFittings!$A$185,VLOOKUP($A101,InsertFittings!$A$9:$M$184,4,FALSE),
IF($A101&lt;Valves!$A$92,VLOOKUP($A101,Valves!$A$9:$Q$91,4,FALSE),
IF($A101&lt;SDR35SW!$A$133,VLOOKUP($A101,SDR35SW!$A$9:$M$132,4,FALSE),
IF($A101&lt;SDR35G!$A$151,VLOOKUP($A101,SDR35G!$A$9:$M$150,4,FALSE),
IF($A101&lt;SDR26G!$A$67,VLOOKUP($A101,SDR26G!$A$9:$N$66,5,FALSE),
IF($A101&lt;Cements!$A$95,VLOOKUP($A101,Cements!$A$8:$Q$94,4,FALSE),
IF($A101&lt;ValveBox!$A$124,VLOOKUP($A101,ValveBox!$A$9:$O$123,4,FALSE),
IF($A101&lt;'ValveBox Components'!$A$142,VLOOKUP($A101,'ValveBox Components'!$A$9:$N$141,4,FALSE),
IF($A101&lt;Drainage!$A$69,VLOOKUP($A101,Drainage!$A$8:$M$68,4,FALSE),
IF($A101&lt;Nipples!$A$82,VLOOKUP($A101,Nipples!$A$9:$Q$81,4,FALSE),
IF($A101&lt;Manifold!$A$33,VLOOKUP($A101,Manifold!$A$9:$M$32,4,FALSE),
IF($A101&lt;FlexibleRepairCouplings!$A$12,VLOOKUP($A101,FlexibleRepairCouplings!$A$9:$M$11,4,FALSE),
IF($A101&lt;DuraFix!$A$15,VLOOKUP($A101,DuraFix!$A$9:$M$14,4,FALSE),
IF($A101&lt;'Compression Fittings'!$A$16,VLOOKUP($A101,'Compression Fittings'!$A$8:$M$15,4,FALSE),
IF($A101&lt;'Hose Fittings'!$A$30,VLOOKUP($A101,'Hose Fittings'!$A$8:$M$29,4,FALSE),
IF($A101&lt;'Swing Joints'!$A$495,VLOOKUP($A101,'Swing Joints'!$A$9:$M$494,4,FALSE),
IF($A101&lt;'Swing Joints Components'!$A$135,VLOOKUP($A101,'Swing Joints Components'!$A$9:$M$134,4,FALSE),
IF($A101&lt;Nonstandard!$A$42,VLOOKUP($A101,Nonstandard!$A$31:$J$41,5,FALSE),"")))))))))))))))))))))))))))),"")</f>
        <v/>
      </c>
      <c r="C101" s="312" t="str">
        <f>IFERROR(IF($A101&lt;'DWV PVC'!$A$317,VLOOKUP($A101,'DWV PVC'!$A$9:$M$316,5,FALSE),
IF($A101&lt;'DWV ABS'!$A$117,VLOOKUP($A101,'DWV ABS'!$A$8:$M$116,5,FALSE),
IF($A101&lt;'PVC SCH40'!$A$425,VLOOKUP($A101,'PVC SCH40'!$A$8:$M$424,5,FALSE),
IF($A101&lt;'PVC SCH40 LD'!$A$22,VLOOKUP($A101,'PVC SCH40 LD'!$A$8:$M$21,5,FALSE),
IF($A101&lt;'Pool &amp; SPA Sweep Elbows'!$A$12,VLOOKUP($A101,'Pool &amp; SPA Sweep Elbows'!$A$8:$M$11,5,FALSE),
IF($A101&lt;'Pool &amp; SPA Pipe Extender'!$A$11,VLOOKUP($A101,'Pool &amp; SPA Pipe Extender'!$A$8:$M$10,5,FALSE),
IF($A101&lt;'PVC SCH80'!$A$250,VLOOKUP($A101,'PVC SCH80'!$A$8:$M$249,5,FALSE),
IF($A101&lt;'PVC SCH80 Flange'!$A$49,VLOOKUP($A101,'PVC SCH80 Flange'!$A$8:$M$48,5,FALSE),
IF($A101&lt;'PVC SCH80 LD Flange'!$A$17,VLOOKUP($A101,'PVC SCH80 LD Flange'!$A$8:$M$16,5,FALSE),
IF($A101&lt;CPVC!$A$105,VLOOKUP($A101,CPVC!$A$9:$M$104,5,FALSE),
IF($A101&lt;InsertFittings!$A$185,VLOOKUP($A101,InsertFittings!$A$9:$M$184,5,FALSE),
IF($A101&lt;Valves!$A$92,VLOOKUP($A101,Valves!$A$9:$Q$91,5,FALSE),
IF($A101&lt;SDR35SW!$A$133,VLOOKUP($A101,SDR35SW!$A$9:$M$132,5,FALSE),
IF($A101&lt;SDR35G!$A$151,VLOOKUP($A101,SDR35G!$A$9:$M$150,5,FALSE),
IF($A101&lt;SDR26G!$A$67,VLOOKUP($A101,SDR26G!$A$9:$N$66,6,FALSE),
IF($A101&lt;Cements!$A$95,VLOOKUP($A101,Cements!$A$8:$Q$94,5,FALSE),
IF($A101&lt;ValveBox!$A$124,VLOOKUP($A101,ValveBox!$A$9:$O$123,5,FALSE),
IF($A101&lt;'ValveBox Components'!$A$142,VLOOKUP($A101,'ValveBox Components'!$A$9:$N$141,5,FALSE),
IF($A101&lt;Drainage!$A$69,VLOOKUP($A101,Drainage!$A$8:$M$68,5,FALSE),
IF($A101&lt;Nipples!$A$82,VLOOKUP($A101,Nipples!$A$9:$Q$81,5,FALSE),
IF($A101&lt;Manifold!$A$33,VLOOKUP($A101,Manifold!$A$9:$M$32,5,FALSE),
IF($A101&lt;FlexibleRepairCouplings!$A$12,VLOOKUP($A101,FlexibleRepairCouplings!$A$9:$M$11,5,FALSE),
IF($A101&lt;DuraFix!$A$15,VLOOKUP($A101,DuraFix!$A$9:$M$14,5,FALSE),
IF($A101&lt;'Compression Fittings'!$A$16,VLOOKUP($A101,'Compression Fittings'!$A$8:$M$15,5,FALSE),
IF($A101&lt;'Hose Fittings'!$A$30,VLOOKUP($A101,'Hose Fittings'!$A$8:$M$29,5,FALSE),
IF($A101&lt;'Swing Joints'!$A$495,VLOOKUP($A101,'Swing Joints'!$A$9:$M$494,5,FALSE),
IF($A101&lt;'Swing Joints Components'!$A$135,VLOOKUP($A101,'Swing Joints Components'!$A$9:$M$134,5,FALSE),
IF($A101&lt;Nonstandard!$A$42,VLOOKUP($A101,Nonstandard!$A$31:$J$41,6,FALSE),"")))))))))))))))))))))))))))),"")</f>
        <v/>
      </c>
      <c r="D101" s="534" t="str">
        <f>IFERROR(IF($A101&lt;'DWV PVC'!$A$317,VLOOKUP($A101,'DWV PVC'!$A$9:$M$316,6,FALSE),
IF($A101&lt;'DWV ABS'!$A$117,VLOOKUP($A101,'DWV ABS'!$A$8:$M$116,6,FALSE),
IF($A101&lt;'PVC SCH40'!$A$425,VLOOKUP($A101,'PVC SCH40'!$A$8:$M$424,6,FALSE),
IF($A101&lt;'PVC SCH40 LD'!$A$22,VLOOKUP($A101,'PVC SCH40 LD'!$A$8:$M$21,6,FALSE),
IF($A101&lt;'Pool &amp; SPA Sweep Elbows'!$A$12,VLOOKUP($A101,'Pool &amp; SPA Sweep Elbows'!$A$8:$M$11,6,FALSE),
IF($A101&lt;'Pool &amp; SPA Pipe Extender'!$A$11,VLOOKUP($A101,'Pool &amp; SPA Pipe Extender'!$A$8:$M$10,6,FALSE),
IF($A101&lt;'PVC SCH80'!$A$250,VLOOKUP($A101,'PVC SCH80'!$A$8:$M$249,6,FALSE),
IF($A101&lt;'PVC SCH80 Flange'!$A$49,VLOOKUP($A101,'PVC SCH80 Flange'!$A$8:$M$48,6,FALSE),
IF($A101&lt;'PVC SCH80 LD Flange'!$A$17,VLOOKUP($A101,'PVC SCH80 LD Flange'!$A$8:$M$16,6,FALSE),
IF($A101&lt;CPVC!$A$105,VLOOKUP($A101,CPVC!$A$9:$M$104,6,FALSE),
IF($A101&lt;InsertFittings!$A$185,VLOOKUP($A101,InsertFittings!$A$9:$M$184,6,FALSE),
IF($A101&lt;Valves!$A$92,VLOOKUP($A101,Valves!$A$9:$Q$91,6,FALSE),
IF($A101&lt;SDR35SW!$A$133,VLOOKUP($A101,SDR35SW!$A$9:$M$132,6,FALSE),
IF($A101&lt;SDR35G!$A$151,VLOOKUP($A101,SDR35G!$A$9:$M$150,6,FALSE),
IF($A101&lt;SDR26G!$A$67,VLOOKUP($A101,SDR26G!$A$9:$N$66,7,FALSE),
IF($A101&lt;Cements!$A$95,VLOOKUP($A101,Cements!$A$8:$Q$94,6,FALSE),
IF($A101&lt;ValveBox!$A$124,VLOOKUP($A101,ValveBox!$A$9:$O$123,6,FALSE),
IF($A101&lt;'ValveBox Components'!$A$142,VLOOKUP($A101,'ValveBox Components'!$A$9:$N$141,6,FALSE),
IF($A101&lt;Drainage!$A$69,VLOOKUP($A101,Drainage!$A$8:$M$68,6,FALSE),
IF($A101&lt;Nipples!$A$82,VLOOKUP($A101,Nipples!$A$9:$Q$81,6,FALSE),
IF($A101&lt;Manifold!$A$33,VLOOKUP($A101,Manifold!$A$9:$M$32,6,FALSE),
IF($A101&lt;FlexibleRepairCouplings!$A$12,VLOOKUP($A101,FlexibleRepairCouplings!$A$9:$M$11,6,FALSE),
IF($A101&lt;DuraFix!$A$15,VLOOKUP($A101,DuraFix!$A$9:$M$14,6,FALSE),
IF($A101&lt;'Compression Fittings'!$A$16,VLOOKUP($A101,'Compression Fittings'!$A$8:$M$15,6,FALSE),
IF($A101&lt;'Hose Fittings'!$A$30,VLOOKUP($A101,'Hose Fittings'!$A$8:$M$29,6,FALSE),
IF($A101&lt;'Swing Joints'!$A$495,VLOOKUP($A101,'Swing Joints'!$A$9:$M$494,6,FALSE),
IF($A101&lt;'Swing Joints Components'!$A$135,VLOOKUP($A101,'Swing Joints Components'!$A$9:$M$134,6,FALSE),
IF($A101&lt;Nonstandard!$A$42,VLOOKUP($A101,Nonstandard!$A$31:$J$41,7,FALSE),"")))))))))))))))))))))))))))),"")</f>
        <v/>
      </c>
      <c r="E101" s="316"/>
      <c r="F101" s="314" t="str">
        <f>IFERROR(IF($A101&lt;'DWV PVC'!$A$317,VLOOKUP($A101,'DWV PVC'!$A$9:$M$316,9,FALSE),
IF($A101&lt;'DWV ABS'!$A$117,VLOOKUP($A101,'DWV ABS'!$A$8:$M$116,9,FALSE),                                                                                                                                                                                                                                                     IF($A101&lt;'PVC SCH40'!$A$425,VLOOKUP($A101,'PVC SCH40'!$A$8:$M$424,9,FALSE),
IF($A101&lt;'PVC SCH40 LD'!$A$22,VLOOKUP($A101,'PVC SCH40 LD'!$A$8:$M$21,9,FALSE),
IF($A101&lt;'Pool &amp; SPA Sweep Elbows'!$A$12,VLOOKUP($A101,'Pool &amp; SPA Sweep Elbows'!$A$8:$M$11,9,FALSE),
IF($A101&lt;'Pool &amp; SPA Pipe Extender'!$A$11,VLOOKUP($A101,'Pool &amp; SPA Pipe Extender'!$A$8:$M$10,9,FALSE),
IF($A101&lt;'PVC SCH80'!$A$250,VLOOKUP($A101,'PVC SCH80'!$A$8:$M$249,9,FALSE),
IF($A101&lt;'PVC SCH80 Flange'!$A$49,VLOOKUP($A101,'PVC SCH80 Flange'!$A$8:$M$48,9,FALSE),
IF($A101&lt;'PVC SCH80 LD Flange'!$A$17,VLOOKUP($A101,'PVC SCH80 LD Flange'!$A$8:$M$16,9,FALSE),
IF($A101&lt;CPVC!$A$105,VLOOKUP($A101,CPVC!$A$9:$M$104,9,FALSE),
IF($A101&lt;InsertFittings!$A$185,VLOOKUP($A101,InsertFittings!$A$9:$M$184,9,FALSE),
IF($A101&lt;Valves!$A$92,VLOOKUP($A101,Valves!$A$9:$Q$91,13,FALSE),
IF($A101&lt;SDR35SW!$A$133,VLOOKUP($A101,SDR35SW!$A$9:$M$132,9,FALSE),
IF($A101&lt;SDR35G!$A$151,VLOOKUP($A101,SDR35G!$A$9:$M$150,9,FALSE),                                                                                                                                                                                                                                                          IF($A101&lt;SDR26G!$A$67,VLOOKUP($A101,SDR26G!$A$9:$N$66,10,FALSE),                                                                                                                                                                                                                                                       IF($A101&lt;Cements!$A$95,VLOOKUP($A101,Cements!$A$8:$Q$94,13,FALSE),
IF($A101&lt;ValveBox!$A$124,VLOOKUP($A101,ValveBox!$A$9:$O$123,11,FALSE),
IF($A101&lt;'ValveBox Components'!$A$142,VLOOKUP($A101,'ValveBox Components'!$A$9:$N$141,10,FALSE),
IF($A101&lt;Drainage!$A$69,VLOOKUP($A101,Drainage!$A$8:$M$68,9,FALSE),                                                                                                                                                                                                                                                              IF($A101&lt;Nipples!$A$82,VLOOKUP($A101,Nipples!$A$9:$Q$81,13,FALSE),
IF($A101&lt;Manifold!$A$33,VLOOKUP($A101,Manifold!$A$9:$M$32,9,FALSE),
IF($A101&lt;FlexibleRepairCouplings!$A$12,VLOOKUP($A101,FlexibleRepairCouplings!$A$9:$M$11,9,FALSE),
IF($A101&lt;DuraFix!$A$15,VLOOKUP($A101,DuraFix!$A$9:$M$14,9,FALSE),                                                                                                                                                                                                                                                          IF($A101&lt;'Compression Fittings'!$A$16,VLOOKUP($A101,'Compression Fittings'!$A$8:$M$15,9,FALSE),
IF($A101&lt;'Hose Fittings'!$A$30,VLOOKUP($A101,'Hose Fittings'!$A$8:$M$29,9,FALSE),
IF($A101&lt;'Swing Joints'!$A$495,VLOOKUP($A101,'Swing Joints'!$A$9:$M$494,9,FALSE),
IF($A101&lt;'Swing Joints Components'!$A$135,VLOOKUP($A101,'Swing Joints Components'!$A$9:$M$134,9,FALSE),
IF($A101&lt;Nonstandard!$A$42,VLOOKUP($A101,Nonstandard!$A$31:$J$41,8,FALSE),"")))))))))))))))))))))))))))),"")</f>
        <v/>
      </c>
      <c r="G101" s="533" t="str">
        <f>IFERROR(IF($A101&lt;'DWV PVC'!$A$317,VLOOKUP($A101,'DWV PVC'!$A$9:$M$316,11,FALSE),
IF($A101&lt;'DWV ABS'!$A$117,VLOOKUP($A101,'DWV ABS'!$A$8:$M$116,11,FALSE),                                                                                                                                                                                                                                                     IF($A101&lt;'PVC SCH40'!$A$425,VLOOKUP($A101,'PVC SCH40'!$A$8:$M$424,11,FALSE),
IF($A101&lt;'PVC SCH40 LD'!$A$22,VLOOKUP($A101,'PVC SCH40 LD'!$A$8:$M$21,11,FALSE),
IF($A101&lt;'Pool &amp; SPA Sweep Elbows'!$A$12,VLOOKUP($A101,'Pool &amp; SPA Sweep Elbows'!$A$8:$M$11,11,FALSE),
IF($A101&lt;'Pool &amp; SPA Pipe Extender'!$A$11,VLOOKUP($A101,'Pool &amp; SPA Pipe Extender'!$A$8:$M$10,11,FALSE),
IF($A101&lt;'PVC SCH80'!$A$250,VLOOKUP($A101,'PVC SCH80'!$A$8:$M$249,11,FALSE),
IF($A101&lt;'PVC SCH80 Flange'!$A$49,VLOOKUP($A101,'PVC SCH80 Flange'!$A$8:$M$48,11,FALSE),
IF($A101&lt;'PVC SCH80 LD Flange'!$A$17,VLOOKUP($A101,'PVC SCH80 LD Flange'!$A$8:$M$16,11,FALSE),
IF($A101&lt;CPVC!$A$105,VLOOKUP($A101,CPVC!$A$9:$M$104,11,FALSE),
IF($A101&lt;InsertFittings!$A$185,VLOOKUP($A101,InsertFittings!$A$9:$M$184,11,FALSE),
IF($A101&lt;Valves!$A$92,VLOOKUP($A101,Valves!$A$9:$Q$91,15,FALSE),
IF($A101&lt;SDR35SW!$A$133,VLOOKUP($A101,SDR35SW!$A$9:$M$132,11,FALSE),
IF($A101&lt;SDR35G!$A$151,VLOOKUP($A101,SDR35G!$A$9:$M$150,11,FALSE),                                                                                                                                                                                                                                                          IF($A101&lt;SDR26G!$A$67,VLOOKUP($A101,SDR26G!$A$9:$N$66,12,FALSE),                                                                                                                                                                                                                                                       IF($A101&lt;Cements!$A$95,VLOOKUP($A101,Cements!$A$8:$Q$94,15,FALSE),
IF($A101&lt;ValveBox!$A$124,VLOOKUP($A101,ValveBox!$A$9:$O$123,13,FALSE),
IF($A101&lt;'ValveBox Components'!$A$142,VLOOKUP($A101,'ValveBox Components'!$A$9:$N$141,12,FALSE),
IF($A101&lt;Drainage!$A$69,VLOOKUP($A101,Drainage!$A$8:$M$68,11,FALSE),                                                                                                                                                                                                                                                           IF($A101&lt;Nipples!$A$82,VLOOKUP($A101,Nipples!$A$9:$Q$81,15,FALSE),
IF($A101&lt;Manifold!$A$33,VLOOKUP($A101,Manifold!$A$9:$M$32,11,FALSE),
IF($A101&lt;FlexibleRepairCouplings!$A$12,VLOOKUP($A101,FlexibleRepairCouplings!$A$9:$M$11,11,FALSE),
IF($A101&lt;DuraFix!$A$15,VLOOKUP($A101,DuraFix!$A$9:$M$14,11,FALSE),                                                                                                                                                                                                                                                            IF($A101&lt;'Compression Fittings'!$A$16,VLOOKUP($A101,'Compression Fittings'!$A$8:$M$15,11,FALSE),
IF($A101&lt;'Hose Fittings'!$A$30,VLOOKUP($A101,'Hose Fittings'!$A$8:$M$29,11,FALSE),
IF($A101&lt;'Swing Joints'!$A$495,VLOOKUP($A101,'Swing Joints'!$A$9:$M$494,11,FALSE),
IF($A101&lt;'Swing Joints Components'!$A$135,VLOOKUP($A101,'Swing Joints Components'!$A$9:$M$134,11,FALSE),
IF($A101&lt;Nonstandard!$A$42,VLOOKUP($A101,Nonstandard!$A$31:$J$41,10,FALSE),"")))))))))))))))))))))))))))),"")</f>
        <v/>
      </c>
      <c r="H101" s="618" t="str">
        <f>IFERROR(IF($A101&lt;'DWV PVC'!$A$317,VLOOKUP($A101,'DWV PVC'!$A$9:$M$316,7,FALSE),
IF($A101&lt;'DWV ABS'!$A$117,VLOOKUP($A101,'DWV ABS'!$A$8:$M$116,11,FALSE),                                                                                                                                                                                                                                                     IF($A101&lt;'PVC SCH40'!$A$425,VLOOKUP($A101,'PVC SCH40'!$A$8:$M$424,7,FALSE),
IF($A101&lt;'PVC SCH40 LD'!$A$22,VLOOKUP($A101,'PVC SCH40 LD'!$A$8:$M$21,7,FALSE),
IF($A101&lt;'Pool &amp; SPA Sweep Elbows'!$A$12,VLOOKUP($A101,'Pool &amp; SPA Sweep Elbows'!$A$8:$M$11,7,FALSE),
IF($A101&lt;'Pool &amp; SPA Pipe Extender'!$A$11,VLOOKUP($A101,'Pool &amp; SPA Pipe Extender'!$A$8:$M$10,7,FALSE),
IF($A101&lt;'PVC SCH80'!$A$250,VLOOKUP($A101,'PVC SCH80'!$A$8:$M$249,7,FALSE),
IF($A101&lt;'PVC SCH80 Flange'!$A$49,VLOOKUP($A101,'PVC SCH80 Flange'!$A$8:$M$48,7,FALSE),
IF($A101&lt;'PVC SCH80 LD Flange'!$A$17,VLOOKUP($A101,'PVC SCH80 LD Flange'!$A$8:$M$16,7,FALSE),
IF($A101&lt;CPVC!$A$105,VLOOKUP($A101,CPVC!$A$9:$M$104,7,FALSE),
IF($A101&lt;InsertFittings!$A$185,VLOOKUP($A101,InsertFittings!$A$9:$M$184,7,FALSE),
IF($A101&lt;Valves!$A$92,VLOOKUP($A101,Valves!$A$9:$Q$91,11,FALSE),
IF($A101&lt;SDR35SW!$A$133,VLOOKUP($A101,SDR35SW!$A$9:$M$132,7,FALSE),
IF($A101&lt;SDR35G!$A$151,VLOOKUP($A101,SDR35G!$A$9:$M$150,7,FALSE),                                                                                                                                                                                                                                                       IF($A101&lt;SDR26G!$A$67,VLOOKUP($A101,SDR26G!$A$9:$N$66,8,FALSE),                                                                                                                                                                                                                                                     IF($A101&lt;Cements!$A$95,VLOOKUP($A101,Cements!$A$8:$Q$94,11,FALSE),
IF($A101&lt;ValveBox!$A$124,VLOOKUP($A101,ValveBox!$A$9:$O$123,10,FALSE),
IF($A101&lt;'ValveBox Components'!$A$142,VLOOKUP($A101,'ValveBox Components'!$A$9:$N$141,9,FALSE),
IF($A101&lt;Drainage!$A$69,VLOOKUP($A101,Drainage!$A$8:$M$68,7,FALSE),                                                                                                                                                                                                                                                          IF($A101&lt;Nipples!$A$82,VLOOKUP($A101,Nipples!$A$9:$Q$81,11,FALSE),
IF($A101&lt;Manifold!$A$33,VLOOKUP($A101,Manifold!$A$9:$M$32,7,FALSE),
IF($A101&lt;FlexibleRepairCouplings!$A$12,VLOOKUP($A101,FlexibleRepairCouplings!$A$9:$M$11,7,FALSE),
IF($A101&lt;DuraFix!$A$15,VLOOKUP($A101,DuraFix!$A$9:$M$14,7,FALSE),                                                                                                                                                                                                                                                           IF($A101&lt;'Compression Fittings'!$A$16,VLOOKUP($A101,'Compression Fittings'!$A$8:$M$15,7,FALSE),
IF($A101&lt;'Hose Fittings'!$A$30,VLOOKUP($A101,'Hose Fittings'!$A$8:$M$29,7,FALSE),
IF($A101&lt;'Swing Joints'!$A$495,VLOOKUP($A101,'Swing Joints'!$A$9:$M$494,7,FALSE),
IF($A101&lt;'Swing Joints Components'!$A$135,VLOOKUP($A101,'Swing Joints Components'!$A$9:$M$134,7,FALSE),
IF($A101&lt;Nonstandard!$A$42,VLOOKUP($A101,Nonstandard!$A$31:$J$41,10,FALSE),"")))))))))))))))))))))))))))),"")</f>
        <v/>
      </c>
      <c r="I101" s="619"/>
      <c r="J101" s="281" t="str">
        <f t="shared" si="3"/>
        <v/>
      </c>
      <c r="K101" s="313" t="str">
        <f>IFERROR(IF($A101&lt;'DWV PVC'!$A$317,VLOOKUP($A101,'DWV PVC'!$A$9:$M$316,10,FALSE),
IF($A101&lt;'DWV ABS'!$A$117,VLOOKUP($A101,'DWV ABS'!$A$8:$M$116,10,FALSE),
IF($A101&lt;'PVC SCH40'!$A$425,VLOOKUP($A101,'PVC SCH40'!$A$8:$M$424,10,FALSE),
IF($A101&lt;'PVC SCH40 LD'!$A$22,VLOOKUP($A101,'PVC SCH40 LD'!$A$8:$M$21,10,FALSE),
IF($A101&lt;'Pool &amp; SPA Sweep Elbows'!$A$12,VLOOKUP($A101,'Pool &amp; SPA Sweep Elbows'!$A$8:$M$11,10,FALSE),
IF($A101&lt;'Pool &amp; SPA Pipe Extender'!$A$11,VLOOKUP($A101,'Pool &amp; SPA Pipe Extender'!$A$8:$M$10,10,FALSE),
IF($A101&lt;'PVC SCH80'!$A$250,VLOOKUP($A101,'PVC SCH80'!$A$8:$M$249,10,FALSE),
IF($A101&lt;'PVC SCH80 Flange'!$A$49,VLOOKUP($A101,'PVC SCH80 Flange'!$A$8:$M$48,10,FALSE),
IF($A101&lt;'PVC SCH80 LD Flange'!$A$17,VLOOKUP($A101,'PVC SCH80 LD Flange'!$A$8:$M$16,10,FALSE),
IF($A101&lt;CPVC!$A$105,VLOOKUP($A101,CPVC!$A$9:$M$104,10,FALSE),
IF($A101&lt;InsertFittings!$A$185,VLOOKUP($A101,InsertFittings!$A$9:$M$184,10,FALSE),
IF($A101&lt;Valves!$A$92,VLOOKUP($A101,Valves!$A$9:$Q$91,14,FALSE),
IF($A101&lt;SDR35SW!$A$133,VLOOKUP($A101,SDR35SW!$A$9:$M$132,10,FALSE),
IF($A101&lt;SDR35G!$A$151,VLOOKUP($A101,SDR35G!$A$9:$M$150,10,FALSE),
IF($A101&lt;SDR26G!$A$67,VLOOKUP($A101,SDR26G!$A$9:$N$66,11,FALSE),
IF($A101&lt;Cements!$A$95,VLOOKUP($A101,Cements!$A$8:$Q$94,14,FALSE),
IF($A101&lt;ValveBox!$A$124,VLOOKUP($A101,ValveBox!$A$9:$O$123,12,FALSE),
IF($A101&lt;'ValveBox Components'!$A$142,VLOOKUP($A101,'ValveBox Components'!$A$9:$N$141,11,FALSE),
IF($A101&lt;Drainage!$A$69,VLOOKUP($A101,Drainage!$A$8:$M$68,10,FALSE),
IF($A101&lt;Nipples!$A$82,VLOOKUP($A101,Nipples!$A$9:$Q$81,14,FALSE),
IF($A101&lt;Manifold!$A$33,VLOOKUP($A101,Manifold!$A$9:$M$32,10,FALSE),
IF($A101&lt;FlexibleRepairCouplings!$A$12,VLOOKUP($A101,FlexibleRepairCouplings!$A$9:$M$11,10,FALSE),
IF($A101&lt;DuraFix!$A$15,VLOOKUP($A101,DuraFix!$A$9:$M$14,10,FALSE),
IF($A101&lt;'Compression Fittings'!$A$16,VLOOKUP($A101,'Compression Fittings'!$A$8:$M$15,10,FALSE),
IF($A101&lt;'Hose Fittings'!$A$30,VLOOKUP($A101,'Hose Fittings'!$A$8:$M$29,10,FALSE),
IF($A101&lt;'Swing Joints'!$A$495,VLOOKUP($A101,'Swing Joints'!$A$9:$M$494,10,FALSE),
IF($A101&lt;'Swing Joints Components'!$A$135,VLOOKUP($A101,'Swing Joints Components'!$A$9:$M$134,10,FALSE),
IF($A101&lt;Nonstandard!$A$42,VLOOKUP($A101,Nonstandard!$A$31:$J$41,10,FALSE),"")))))))))))))))))))))))))))),"")</f>
        <v/>
      </c>
      <c r="L101" s="314" t="str">
        <f t="shared" si="2"/>
        <v>-</v>
      </c>
      <c r="M101" s="315"/>
    </row>
    <row r="102" spans="1:13" ht="15.6">
      <c r="A102" s="536">
        <v>70</v>
      </c>
      <c r="B102" s="536" t="str">
        <f>IFERROR(IF($A102&lt;'DWV PVC'!$A$317,VLOOKUP($A102,'DWV PVC'!$A$9:$M$316,4,FALSE),
IF($A102&lt;'DWV ABS'!$A$117,VLOOKUP($A102,'DWV ABS'!$A$8:$M$116,4,FALSE),
IF($A102&lt;'PVC SCH40'!$A$425,VLOOKUP($A102,'PVC SCH40'!$A$8:$M$424,4,FALSE),
IF($A102&lt;'PVC SCH40 LD'!$A$22,VLOOKUP($A102,'PVC SCH40 LD'!$A$8:$M$21,4,FALSE),
IF($A102&lt;'Pool &amp; SPA Sweep Elbows'!$A$12,VLOOKUP($A102,'Pool &amp; SPA Sweep Elbows'!$A$8:$M$11,4,FALSE),
IF($A102&lt;'Pool &amp; SPA Pipe Extender'!$A$11,VLOOKUP($A102,'Pool &amp; SPA Pipe Extender'!$A$8:$M$10,4,FALSE),
IF($A102&lt;'PVC SCH80'!$A$250,VLOOKUP($A102,'PVC SCH80'!$A$8:$M$249,4,FALSE),
IF($A102&lt;'PVC SCH80 Flange'!$A$49,VLOOKUP($A102,'PVC SCH80 Flange'!$A$8:$M$48,4,FALSE),
IF($A102&lt;'PVC SCH80 LD Flange'!$A$17,VLOOKUP($A102,'PVC SCH80 LD Flange'!$A$8:$M$16,4,FALSE),
IF($A102&lt;CPVC!$A$105,VLOOKUP($A102,CPVC!$A$9:$M$104,4,FALSE),
IF($A102&lt;InsertFittings!$A$185,VLOOKUP($A102,InsertFittings!$A$9:$M$184,4,FALSE),
IF($A102&lt;Valves!$A$92,VLOOKUP($A102,Valves!$A$9:$Q$91,4,FALSE),
IF($A102&lt;SDR35SW!$A$133,VLOOKUP($A102,SDR35SW!$A$9:$M$132,4,FALSE),
IF($A102&lt;SDR35G!$A$151,VLOOKUP($A102,SDR35G!$A$9:$M$150,4,FALSE),
IF($A102&lt;SDR26G!$A$67,VLOOKUP($A102,SDR26G!$A$9:$N$66,5,FALSE),
IF($A102&lt;Cements!$A$95,VLOOKUP($A102,Cements!$A$8:$Q$94,4,FALSE),
IF($A102&lt;ValveBox!$A$124,VLOOKUP($A102,ValveBox!$A$9:$O$123,4,FALSE),
IF($A102&lt;'ValveBox Components'!$A$142,VLOOKUP($A102,'ValveBox Components'!$A$9:$N$141,4,FALSE),
IF($A102&lt;Drainage!$A$69,VLOOKUP($A102,Drainage!$A$8:$M$68,4,FALSE),
IF($A102&lt;Nipples!$A$82,VLOOKUP($A102,Nipples!$A$9:$Q$81,4,FALSE),
IF($A102&lt;Manifold!$A$33,VLOOKUP($A102,Manifold!$A$9:$M$32,4,FALSE),
IF($A102&lt;FlexibleRepairCouplings!$A$12,VLOOKUP($A102,FlexibleRepairCouplings!$A$9:$M$11,4,FALSE),
IF($A102&lt;DuraFix!$A$15,VLOOKUP($A102,DuraFix!$A$9:$M$14,4,FALSE),
IF($A102&lt;'Compression Fittings'!$A$16,VLOOKUP($A102,'Compression Fittings'!$A$8:$M$15,4,FALSE),
IF($A102&lt;'Hose Fittings'!$A$30,VLOOKUP($A102,'Hose Fittings'!$A$8:$M$29,4,FALSE),
IF($A102&lt;'Swing Joints'!$A$495,VLOOKUP($A102,'Swing Joints'!$A$9:$M$494,4,FALSE),
IF($A102&lt;'Swing Joints Components'!$A$135,VLOOKUP($A102,'Swing Joints Components'!$A$9:$M$134,4,FALSE),
IF($A102&lt;Nonstandard!$A$42,VLOOKUP($A102,Nonstandard!$A$31:$J$41,5,FALSE),"")))))))))))))))))))))))))))),"")</f>
        <v/>
      </c>
      <c r="C102" s="536" t="str">
        <f>IFERROR(IF($A102&lt;'DWV PVC'!$A$317,VLOOKUP($A102,'DWV PVC'!$A$9:$M$316,5,FALSE),
IF($A102&lt;'DWV ABS'!$A$117,VLOOKUP($A102,'DWV ABS'!$A$8:$M$116,5,FALSE),
IF($A102&lt;'PVC SCH40'!$A$425,VLOOKUP($A102,'PVC SCH40'!$A$8:$M$424,5,FALSE),
IF($A102&lt;'PVC SCH40 LD'!$A$22,VLOOKUP($A102,'PVC SCH40 LD'!$A$8:$M$21,5,FALSE),
IF($A102&lt;'Pool &amp; SPA Sweep Elbows'!$A$12,VLOOKUP($A102,'Pool &amp; SPA Sweep Elbows'!$A$8:$M$11,5,FALSE),
IF($A102&lt;'Pool &amp; SPA Pipe Extender'!$A$11,VLOOKUP($A102,'Pool &amp; SPA Pipe Extender'!$A$8:$M$10,5,FALSE),
IF($A102&lt;'PVC SCH80'!$A$250,VLOOKUP($A102,'PVC SCH80'!$A$8:$M$249,5,FALSE),
IF($A102&lt;'PVC SCH80 Flange'!$A$49,VLOOKUP($A102,'PVC SCH80 Flange'!$A$8:$M$48,5,FALSE),
IF($A102&lt;'PVC SCH80 LD Flange'!$A$17,VLOOKUP($A102,'PVC SCH80 LD Flange'!$A$8:$M$16,5,FALSE),
IF($A102&lt;CPVC!$A$105,VLOOKUP($A102,CPVC!$A$9:$M$104,5,FALSE),
IF($A102&lt;InsertFittings!$A$185,VLOOKUP($A102,InsertFittings!$A$9:$M$184,5,FALSE),
IF($A102&lt;Valves!$A$92,VLOOKUP($A102,Valves!$A$9:$Q$91,5,FALSE),
IF($A102&lt;SDR35SW!$A$133,VLOOKUP($A102,SDR35SW!$A$9:$M$132,5,FALSE),
IF($A102&lt;SDR35G!$A$151,VLOOKUP($A102,SDR35G!$A$9:$M$150,5,FALSE),
IF($A102&lt;SDR26G!$A$67,VLOOKUP($A102,SDR26G!$A$9:$N$66,6,FALSE),
IF($A102&lt;Cements!$A$95,VLOOKUP($A102,Cements!$A$8:$Q$94,5,FALSE),
IF($A102&lt;ValveBox!$A$124,VLOOKUP($A102,ValveBox!$A$9:$O$123,5,FALSE),
IF($A102&lt;'ValveBox Components'!$A$142,VLOOKUP($A102,'ValveBox Components'!$A$9:$N$141,5,FALSE),
IF($A102&lt;Drainage!$A$69,VLOOKUP($A102,Drainage!$A$8:$M$68,5,FALSE),
IF($A102&lt;Nipples!$A$82,VLOOKUP($A102,Nipples!$A$9:$Q$81,5,FALSE),
IF($A102&lt;Manifold!$A$33,VLOOKUP($A102,Manifold!$A$9:$M$32,5,FALSE),
IF($A102&lt;FlexibleRepairCouplings!$A$12,VLOOKUP($A102,FlexibleRepairCouplings!$A$9:$M$11,5,FALSE),
IF($A102&lt;DuraFix!$A$15,VLOOKUP($A102,DuraFix!$A$9:$M$14,5,FALSE),
IF($A102&lt;'Compression Fittings'!$A$16,VLOOKUP($A102,'Compression Fittings'!$A$8:$M$15,5,FALSE),
IF($A102&lt;'Hose Fittings'!$A$30,VLOOKUP($A102,'Hose Fittings'!$A$8:$M$29,5,FALSE),
IF($A102&lt;'Swing Joints'!$A$495,VLOOKUP($A102,'Swing Joints'!$A$9:$M$494,5,FALSE),
IF($A102&lt;'Swing Joints Components'!$A$135,VLOOKUP($A102,'Swing Joints Components'!$A$9:$M$134,5,FALSE),
IF($A102&lt;Nonstandard!$A$42,VLOOKUP($A102,Nonstandard!$A$31:$J$41,6,FALSE),"")))))))))))))))))))))))))))),"")</f>
        <v/>
      </c>
      <c r="D102" s="537" t="str">
        <f>IFERROR(IF($A102&lt;'DWV PVC'!$A$317,VLOOKUP($A102,'DWV PVC'!$A$9:$M$316,6,FALSE),
IF($A102&lt;'DWV ABS'!$A$117,VLOOKUP($A102,'DWV ABS'!$A$8:$M$116,6,FALSE),
IF($A102&lt;'PVC SCH40'!$A$425,VLOOKUP($A102,'PVC SCH40'!$A$8:$M$424,6,FALSE),
IF($A102&lt;'PVC SCH40 LD'!$A$22,VLOOKUP($A102,'PVC SCH40 LD'!$A$8:$M$21,6,FALSE),
IF($A102&lt;'Pool &amp; SPA Sweep Elbows'!$A$12,VLOOKUP($A102,'Pool &amp; SPA Sweep Elbows'!$A$8:$M$11,6,FALSE),
IF($A102&lt;'Pool &amp; SPA Pipe Extender'!$A$11,VLOOKUP($A102,'Pool &amp; SPA Pipe Extender'!$A$8:$M$10,6,FALSE),
IF($A102&lt;'PVC SCH80'!$A$250,VLOOKUP($A102,'PVC SCH80'!$A$8:$M$249,6,FALSE),
IF($A102&lt;'PVC SCH80 Flange'!$A$49,VLOOKUP($A102,'PVC SCH80 Flange'!$A$8:$M$48,6,FALSE),
IF($A102&lt;'PVC SCH80 LD Flange'!$A$17,VLOOKUP($A102,'PVC SCH80 LD Flange'!$A$8:$M$16,6,FALSE),
IF($A102&lt;CPVC!$A$105,VLOOKUP($A102,CPVC!$A$9:$M$104,6,FALSE),
IF($A102&lt;InsertFittings!$A$185,VLOOKUP($A102,InsertFittings!$A$9:$M$184,6,FALSE),
IF($A102&lt;Valves!$A$92,VLOOKUP($A102,Valves!$A$9:$Q$91,6,FALSE),
IF($A102&lt;SDR35SW!$A$133,VLOOKUP($A102,SDR35SW!$A$9:$M$132,6,FALSE),
IF($A102&lt;SDR35G!$A$151,VLOOKUP($A102,SDR35G!$A$9:$M$150,6,FALSE),
IF($A102&lt;SDR26G!$A$67,VLOOKUP($A102,SDR26G!$A$9:$N$66,7,FALSE),
IF($A102&lt;Cements!$A$95,VLOOKUP($A102,Cements!$A$8:$Q$94,6,FALSE),
IF($A102&lt;ValveBox!$A$124,VLOOKUP($A102,ValveBox!$A$9:$O$123,6,FALSE),
IF($A102&lt;'ValveBox Components'!$A$142,VLOOKUP($A102,'ValveBox Components'!$A$9:$N$141,6,FALSE),
IF($A102&lt;Drainage!$A$69,VLOOKUP($A102,Drainage!$A$8:$M$68,6,FALSE),
IF($A102&lt;Nipples!$A$82,VLOOKUP($A102,Nipples!$A$9:$Q$81,6,FALSE),
IF($A102&lt;Manifold!$A$33,VLOOKUP($A102,Manifold!$A$9:$M$32,6,FALSE),
IF($A102&lt;FlexibleRepairCouplings!$A$12,VLOOKUP($A102,FlexibleRepairCouplings!$A$9:$M$11,6,FALSE),
IF($A102&lt;DuraFix!$A$15,VLOOKUP($A102,DuraFix!$A$9:$M$14,6,FALSE),
IF($A102&lt;'Compression Fittings'!$A$16,VLOOKUP($A102,'Compression Fittings'!$A$8:$M$15,6,FALSE),
IF($A102&lt;'Hose Fittings'!$A$30,VLOOKUP($A102,'Hose Fittings'!$A$8:$M$29,6,FALSE),
IF($A102&lt;'Swing Joints'!$A$495,VLOOKUP($A102,'Swing Joints'!$A$9:$M$494,6,FALSE),
IF($A102&lt;'Swing Joints Components'!$A$135,VLOOKUP($A102,'Swing Joints Components'!$A$9:$M$134,6,FALSE),
IF($A102&lt;Nonstandard!$A$42,VLOOKUP($A102,Nonstandard!$A$31:$J$41,7,FALSE),"")))))))))))))))))))))))))))),"")</f>
        <v/>
      </c>
      <c r="E102" s="538"/>
      <c r="F102" s="539" t="str">
        <f>IFERROR(IF($A102&lt;'DWV PVC'!$A$317,VLOOKUP($A102,'DWV PVC'!$A$9:$M$316,9,FALSE),
IF($A102&lt;'DWV ABS'!$A$117,VLOOKUP($A102,'DWV ABS'!$A$8:$M$116,9,FALSE),                                                                                                                                                                                                                                                     IF($A102&lt;'PVC SCH40'!$A$425,VLOOKUP($A102,'PVC SCH40'!$A$8:$M$424,9,FALSE),
IF($A102&lt;'PVC SCH40 LD'!$A$22,VLOOKUP($A102,'PVC SCH40 LD'!$A$8:$M$21,9,FALSE),
IF($A102&lt;'Pool &amp; SPA Sweep Elbows'!$A$12,VLOOKUP($A102,'Pool &amp; SPA Sweep Elbows'!$A$8:$M$11,9,FALSE),
IF($A102&lt;'Pool &amp; SPA Pipe Extender'!$A$11,VLOOKUP($A102,'Pool &amp; SPA Pipe Extender'!$A$8:$M$10,9,FALSE),
IF($A102&lt;'PVC SCH80'!$A$250,VLOOKUP($A102,'PVC SCH80'!$A$8:$M$249,9,FALSE),
IF($A102&lt;'PVC SCH80 Flange'!$A$49,VLOOKUP($A102,'PVC SCH80 Flange'!$A$8:$M$48,9,FALSE),
IF($A102&lt;'PVC SCH80 LD Flange'!$A$17,VLOOKUP($A102,'PVC SCH80 LD Flange'!$A$8:$M$16,9,FALSE),
IF($A102&lt;CPVC!$A$105,VLOOKUP($A102,CPVC!$A$9:$M$104,9,FALSE),
IF($A102&lt;InsertFittings!$A$185,VLOOKUP($A102,InsertFittings!$A$9:$M$184,9,FALSE),
IF($A102&lt;Valves!$A$92,VLOOKUP($A102,Valves!$A$9:$Q$91,13,FALSE),
IF($A102&lt;SDR35SW!$A$133,VLOOKUP($A102,SDR35SW!$A$9:$M$132,9,FALSE),
IF($A102&lt;SDR35G!$A$151,VLOOKUP($A102,SDR35G!$A$9:$M$150,9,FALSE),                                                                                                                                                                                                                                                          IF($A102&lt;SDR26G!$A$67,VLOOKUP($A102,SDR26G!$A$9:$N$66,10,FALSE),                                                                                                                                                                                                                                                       IF($A102&lt;Cements!$A$95,VLOOKUP($A102,Cements!$A$8:$Q$94,13,FALSE),
IF($A102&lt;ValveBox!$A$124,VLOOKUP($A102,ValveBox!$A$9:$O$123,11,FALSE),
IF($A102&lt;'ValveBox Components'!$A$142,VLOOKUP($A102,'ValveBox Components'!$A$9:$N$141,10,FALSE),
IF($A102&lt;Drainage!$A$69,VLOOKUP($A102,Drainage!$A$8:$M$68,9,FALSE),                                                                                                                                                                                                                                                              IF($A102&lt;Nipples!$A$82,VLOOKUP($A102,Nipples!$A$9:$Q$81,13,FALSE),
IF($A102&lt;Manifold!$A$33,VLOOKUP($A102,Manifold!$A$9:$M$32,9,FALSE),
IF($A102&lt;FlexibleRepairCouplings!$A$12,VLOOKUP($A102,FlexibleRepairCouplings!$A$9:$M$11,9,FALSE),
IF($A102&lt;DuraFix!$A$15,VLOOKUP($A102,DuraFix!$A$9:$M$14,9,FALSE),                                                                                                                                                                                                                                                          IF($A102&lt;'Compression Fittings'!$A$16,VLOOKUP($A102,'Compression Fittings'!$A$8:$M$15,9,FALSE),
IF($A102&lt;'Hose Fittings'!$A$30,VLOOKUP($A102,'Hose Fittings'!$A$8:$M$29,9,FALSE),
IF($A102&lt;'Swing Joints'!$A$495,VLOOKUP($A102,'Swing Joints'!$A$9:$M$494,9,FALSE),
IF($A102&lt;'Swing Joints Components'!$A$135,VLOOKUP($A102,'Swing Joints Components'!$A$9:$M$134,9,FALSE),
IF($A102&lt;Nonstandard!$A$42,VLOOKUP($A102,Nonstandard!$A$31:$J$41,8,FALSE),"")))))))))))))))))))))))))))),"")</f>
        <v/>
      </c>
      <c r="G102" s="540" t="str">
        <f>IFERROR(IF($A102&lt;'DWV PVC'!$A$317,VLOOKUP($A102,'DWV PVC'!$A$9:$M$316,11,FALSE),
IF($A102&lt;'DWV ABS'!$A$117,VLOOKUP($A102,'DWV ABS'!$A$8:$M$116,11,FALSE),                                                                                                                                                                                                                                                     IF($A102&lt;'PVC SCH40'!$A$425,VLOOKUP($A102,'PVC SCH40'!$A$8:$M$424,11,FALSE),
IF($A102&lt;'PVC SCH40 LD'!$A$22,VLOOKUP($A102,'PVC SCH40 LD'!$A$8:$M$21,11,FALSE),
IF($A102&lt;'Pool &amp; SPA Sweep Elbows'!$A$12,VLOOKUP($A102,'Pool &amp; SPA Sweep Elbows'!$A$8:$M$11,11,FALSE),
IF($A102&lt;'Pool &amp; SPA Pipe Extender'!$A$11,VLOOKUP($A102,'Pool &amp; SPA Pipe Extender'!$A$8:$M$10,11,FALSE),
IF($A102&lt;'PVC SCH80'!$A$250,VLOOKUP($A102,'PVC SCH80'!$A$8:$M$249,11,FALSE),
IF($A102&lt;'PVC SCH80 Flange'!$A$49,VLOOKUP($A102,'PVC SCH80 Flange'!$A$8:$M$48,11,FALSE),
IF($A102&lt;'PVC SCH80 LD Flange'!$A$17,VLOOKUP($A102,'PVC SCH80 LD Flange'!$A$8:$M$16,11,FALSE),
IF($A102&lt;CPVC!$A$105,VLOOKUP($A102,CPVC!$A$9:$M$104,11,FALSE),
IF($A102&lt;InsertFittings!$A$185,VLOOKUP($A102,InsertFittings!$A$9:$M$184,11,FALSE),
IF($A102&lt;Valves!$A$92,VLOOKUP($A102,Valves!$A$9:$Q$91,15,FALSE),
IF($A102&lt;SDR35SW!$A$133,VLOOKUP($A102,SDR35SW!$A$9:$M$132,11,FALSE),
IF($A102&lt;SDR35G!$A$151,VLOOKUP($A102,SDR35G!$A$9:$M$150,11,FALSE),                                                                                                                                                                                                                                                          IF($A102&lt;SDR26G!$A$67,VLOOKUP($A102,SDR26G!$A$9:$N$66,12,FALSE),                                                                                                                                                                                                                                                       IF($A102&lt;Cements!$A$95,VLOOKUP($A102,Cements!$A$8:$Q$94,15,FALSE),
IF($A102&lt;ValveBox!$A$124,VLOOKUP($A102,ValveBox!$A$9:$O$123,13,FALSE),
IF($A102&lt;'ValveBox Components'!$A$142,VLOOKUP($A102,'ValveBox Components'!$A$9:$N$141,12,FALSE),
IF($A102&lt;Drainage!$A$69,VLOOKUP($A102,Drainage!$A$8:$M$68,11,FALSE),                                                                                                                                                                                                                                                           IF($A102&lt;Nipples!$A$82,VLOOKUP($A102,Nipples!$A$9:$Q$81,15,FALSE),
IF($A102&lt;Manifold!$A$33,VLOOKUP($A102,Manifold!$A$9:$M$32,11,FALSE),
IF($A102&lt;FlexibleRepairCouplings!$A$12,VLOOKUP($A102,FlexibleRepairCouplings!$A$9:$M$11,11,FALSE),
IF($A102&lt;DuraFix!$A$15,VLOOKUP($A102,DuraFix!$A$9:$M$14,11,FALSE),                                                                                                                                                                                                                                                            IF($A102&lt;'Compression Fittings'!$A$16,VLOOKUP($A102,'Compression Fittings'!$A$8:$M$15,11,FALSE),
IF($A102&lt;'Hose Fittings'!$A$30,VLOOKUP($A102,'Hose Fittings'!$A$8:$M$29,11,FALSE),
IF($A102&lt;'Swing Joints'!$A$495,VLOOKUP($A102,'Swing Joints'!$A$9:$M$494,11,FALSE),
IF($A102&lt;'Swing Joints Components'!$A$135,VLOOKUP($A102,'Swing Joints Components'!$A$9:$M$134,11,FALSE),
IF($A102&lt;Nonstandard!$A$42,VLOOKUP($A102,Nonstandard!$A$31:$J$41,10,FALSE),"")))))))))))))))))))))))))))),"")</f>
        <v/>
      </c>
      <c r="H102" s="620" t="str">
        <f>IFERROR(IF($A102&lt;'DWV PVC'!$A$317,VLOOKUP($A102,'DWV PVC'!$A$9:$M$316,7,FALSE),
IF($A102&lt;'DWV ABS'!$A$117,VLOOKUP($A102,'DWV ABS'!$A$8:$M$116,11,FALSE),                                                                                                                                                                                                                                                     IF($A102&lt;'PVC SCH40'!$A$425,VLOOKUP($A102,'PVC SCH40'!$A$8:$M$424,7,FALSE),
IF($A102&lt;'PVC SCH40 LD'!$A$22,VLOOKUP($A102,'PVC SCH40 LD'!$A$8:$M$21,7,FALSE),
IF($A102&lt;'Pool &amp; SPA Sweep Elbows'!$A$12,VLOOKUP($A102,'Pool &amp; SPA Sweep Elbows'!$A$8:$M$11,7,FALSE),
IF($A102&lt;'Pool &amp; SPA Pipe Extender'!$A$11,VLOOKUP($A102,'Pool &amp; SPA Pipe Extender'!$A$8:$M$10,7,FALSE),
IF($A102&lt;'PVC SCH80'!$A$250,VLOOKUP($A102,'PVC SCH80'!$A$8:$M$249,7,FALSE),
IF($A102&lt;'PVC SCH80 Flange'!$A$49,VLOOKUP($A102,'PVC SCH80 Flange'!$A$8:$M$48,7,FALSE),
IF($A102&lt;'PVC SCH80 LD Flange'!$A$17,VLOOKUP($A102,'PVC SCH80 LD Flange'!$A$8:$M$16,7,FALSE),
IF($A102&lt;CPVC!$A$105,VLOOKUP($A102,CPVC!$A$9:$M$104,7,FALSE),
IF($A102&lt;InsertFittings!$A$185,VLOOKUP($A102,InsertFittings!$A$9:$M$184,7,FALSE),
IF($A102&lt;Valves!$A$92,VLOOKUP($A102,Valves!$A$9:$Q$91,11,FALSE),
IF($A102&lt;SDR35SW!$A$133,VLOOKUP($A102,SDR35SW!$A$9:$M$132,7,FALSE),
IF($A102&lt;SDR35G!$A$151,VLOOKUP($A102,SDR35G!$A$9:$M$150,7,FALSE),                                                                                                                                                                                                                                                       IF($A102&lt;SDR26G!$A$67,VLOOKUP($A102,SDR26G!$A$9:$N$66,8,FALSE),                                                                                                                                                                                                                                                     IF($A102&lt;Cements!$A$95,VLOOKUP($A102,Cements!$A$8:$Q$94,11,FALSE),
IF($A102&lt;ValveBox!$A$124,VLOOKUP($A102,ValveBox!$A$9:$O$123,10,FALSE),
IF($A102&lt;'ValveBox Components'!$A$142,VLOOKUP($A102,'ValveBox Components'!$A$9:$N$141,9,FALSE),
IF($A102&lt;Drainage!$A$69,VLOOKUP($A102,Drainage!$A$8:$M$68,7,FALSE),                                                                                                                                                                                                                                                          IF($A102&lt;Nipples!$A$82,VLOOKUP($A102,Nipples!$A$9:$Q$81,11,FALSE),
IF($A102&lt;Manifold!$A$33,VLOOKUP($A102,Manifold!$A$9:$M$32,7,FALSE),
IF($A102&lt;FlexibleRepairCouplings!$A$12,VLOOKUP($A102,FlexibleRepairCouplings!$A$9:$M$11,7,FALSE),
IF($A102&lt;DuraFix!$A$15,VLOOKUP($A102,DuraFix!$A$9:$M$14,7,FALSE),                                                                                                                                                                                                                                                           IF($A102&lt;'Compression Fittings'!$A$16,VLOOKUP($A102,'Compression Fittings'!$A$8:$M$15,7,FALSE),
IF($A102&lt;'Hose Fittings'!$A$30,VLOOKUP($A102,'Hose Fittings'!$A$8:$M$29,7,FALSE),
IF($A102&lt;'Swing Joints'!$A$495,VLOOKUP($A102,'Swing Joints'!$A$9:$M$494,7,FALSE),
IF($A102&lt;'Swing Joints Components'!$A$135,VLOOKUP($A102,'Swing Joints Components'!$A$9:$M$134,7,FALSE),
IF($A102&lt;Nonstandard!$A$42,VLOOKUP($A102,Nonstandard!$A$31:$J$41,10,FALSE),"")))))))))))))))))))))))))))),"")</f>
        <v/>
      </c>
      <c r="I102" s="621"/>
      <c r="J102" s="541" t="str">
        <f t="shared" si="3"/>
        <v/>
      </c>
      <c r="K102" s="599" t="str">
        <f>IFERROR(IF($A102&lt;'DWV PVC'!$A$317,VLOOKUP($A102,'DWV PVC'!$A$9:$M$316,10,FALSE),
IF($A102&lt;'DWV ABS'!$A$117,VLOOKUP($A102,'DWV ABS'!$A$8:$M$116,10,FALSE),
IF($A102&lt;'PVC SCH40'!$A$425,VLOOKUP($A102,'PVC SCH40'!$A$8:$M$424,10,FALSE),
IF($A102&lt;'PVC SCH40 LD'!$A$22,VLOOKUP($A102,'PVC SCH40 LD'!$A$8:$M$21,10,FALSE),
IF($A102&lt;'Pool &amp; SPA Sweep Elbows'!$A$12,VLOOKUP($A102,'Pool &amp; SPA Sweep Elbows'!$A$8:$M$11,10,FALSE),
IF($A102&lt;'Pool &amp; SPA Pipe Extender'!$A$11,VLOOKUP($A102,'Pool &amp; SPA Pipe Extender'!$A$8:$M$10,10,FALSE),
IF($A102&lt;'PVC SCH80'!$A$250,VLOOKUP($A102,'PVC SCH80'!$A$8:$M$249,10,FALSE),
IF($A102&lt;'PVC SCH80 Flange'!$A$49,VLOOKUP($A102,'PVC SCH80 Flange'!$A$8:$M$48,10,FALSE),
IF($A102&lt;'PVC SCH80 LD Flange'!$A$17,VLOOKUP($A102,'PVC SCH80 LD Flange'!$A$8:$M$16,10,FALSE),
IF($A102&lt;CPVC!$A$105,VLOOKUP($A102,CPVC!$A$9:$M$104,10,FALSE),
IF($A102&lt;InsertFittings!$A$185,VLOOKUP($A102,InsertFittings!$A$9:$M$184,10,FALSE),
IF($A102&lt;Valves!$A$92,VLOOKUP($A102,Valves!$A$9:$Q$91,14,FALSE),
IF($A102&lt;SDR35SW!$A$133,VLOOKUP($A102,SDR35SW!$A$9:$M$132,10,FALSE),
IF($A102&lt;SDR35G!$A$151,VLOOKUP($A102,SDR35G!$A$9:$M$150,10,FALSE),
IF($A102&lt;SDR26G!$A$67,VLOOKUP($A102,SDR26G!$A$9:$N$66,11,FALSE),
IF($A102&lt;Cements!$A$95,VLOOKUP($A102,Cements!$A$8:$Q$94,14,FALSE),
IF($A102&lt;ValveBox!$A$124,VLOOKUP($A102,ValveBox!$A$9:$O$123,12,FALSE),
IF($A102&lt;'ValveBox Components'!$A$142,VLOOKUP($A102,'ValveBox Components'!$A$9:$N$141,11,FALSE),
IF($A102&lt;Drainage!$A$69,VLOOKUP($A102,Drainage!$A$8:$M$68,10,FALSE),
IF($A102&lt;Nipples!$A$82,VLOOKUP($A102,Nipples!$A$9:$Q$81,14,FALSE),
IF($A102&lt;Manifold!$A$33,VLOOKUP($A102,Manifold!$A$9:$M$32,10,FALSE),
IF($A102&lt;FlexibleRepairCouplings!$A$12,VLOOKUP($A102,FlexibleRepairCouplings!$A$9:$M$11,10,FALSE),
IF($A102&lt;DuraFix!$A$15,VLOOKUP($A102,DuraFix!$A$9:$M$14,10,FALSE),
IF($A102&lt;'Compression Fittings'!$A$16,VLOOKUP($A102,'Compression Fittings'!$A$8:$M$15,10,FALSE),
IF($A102&lt;'Hose Fittings'!$A$30,VLOOKUP($A102,'Hose Fittings'!$A$8:$M$29,10,FALSE),
IF($A102&lt;'Swing Joints'!$A$495,VLOOKUP($A102,'Swing Joints'!$A$9:$M$494,10,FALSE),
IF($A102&lt;'Swing Joints Components'!$A$135,VLOOKUP($A102,'Swing Joints Components'!$A$9:$M$134,10,FALSE),
IF($A102&lt;Nonstandard!$A$42,VLOOKUP($A102,Nonstandard!$A$31:$J$41,10,FALSE),"")))))))))))))))))))))))))))),"")</f>
        <v/>
      </c>
      <c r="L102" s="539" t="str">
        <f t="shared" si="2"/>
        <v>-</v>
      </c>
      <c r="M102" s="542"/>
    </row>
    <row r="103" spans="1:13" ht="15.6">
      <c r="A103" s="312">
        <v>71</v>
      </c>
      <c r="B103" s="312" t="str">
        <f>IFERROR(IF($A103&lt;'DWV PVC'!$A$317,VLOOKUP($A103,'DWV PVC'!$A$9:$M$316,4,FALSE),
IF($A103&lt;'DWV ABS'!$A$117,VLOOKUP($A103,'DWV ABS'!$A$8:$M$116,4,FALSE),
IF($A103&lt;'PVC SCH40'!$A$425,VLOOKUP($A103,'PVC SCH40'!$A$8:$M$424,4,FALSE),
IF($A103&lt;'PVC SCH40 LD'!$A$22,VLOOKUP($A103,'PVC SCH40 LD'!$A$8:$M$21,4,FALSE),
IF($A103&lt;'Pool &amp; SPA Sweep Elbows'!$A$12,VLOOKUP($A103,'Pool &amp; SPA Sweep Elbows'!$A$8:$M$11,4,FALSE),
IF($A103&lt;'Pool &amp; SPA Pipe Extender'!$A$11,VLOOKUP($A103,'Pool &amp; SPA Pipe Extender'!$A$8:$M$10,4,FALSE),
IF($A103&lt;'PVC SCH80'!$A$250,VLOOKUP($A103,'PVC SCH80'!$A$8:$M$249,4,FALSE),
IF($A103&lt;'PVC SCH80 Flange'!$A$49,VLOOKUP($A103,'PVC SCH80 Flange'!$A$8:$M$48,4,FALSE),
IF($A103&lt;'PVC SCH80 LD Flange'!$A$17,VLOOKUP($A103,'PVC SCH80 LD Flange'!$A$8:$M$16,4,FALSE),
IF($A103&lt;CPVC!$A$105,VLOOKUP($A103,CPVC!$A$9:$M$104,4,FALSE),
IF($A103&lt;InsertFittings!$A$185,VLOOKUP($A103,InsertFittings!$A$9:$M$184,4,FALSE),
IF($A103&lt;Valves!$A$92,VLOOKUP($A103,Valves!$A$9:$Q$91,4,FALSE),
IF($A103&lt;SDR35SW!$A$133,VLOOKUP($A103,SDR35SW!$A$9:$M$132,4,FALSE),
IF($A103&lt;SDR35G!$A$151,VLOOKUP($A103,SDR35G!$A$9:$M$150,4,FALSE),
IF($A103&lt;SDR26G!$A$67,VLOOKUP($A103,SDR26G!$A$9:$N$66,5,FALSE),
IF($A103&lt;Cements!$A$95,VLOOKUP($A103,Cements!$A$8:$Q$94,4,FALSE),
IF($A103&lt;ValveBox!$A$124,VLOOKUP($A103,ValveBox!$A$9:$O$123,4,FALSE),
IF($A103&lt;'ValveBox Components'!$A$142,VLOOKUP($A103,'ValveBox Components'!$A$9:$N$141,4,FALSE),
IF($A103&lt;Drainage!$A$69,VLOOKUP($A103,Drainage!$A$8:$M$68,4,FALSE),
IF($A103&lt;Nipples!$A$82,VLOOKUP($A103,Nipples!$A$9:$Q$81,4,FALSE),
IF($A103&lt;Manifold!$A$33,VLOOKUP($A103,Manifold!$A$9:$M$32,4,FALSE),
IF($A103&lt;FlexibleRepairCouplings!$A$12,VLOOKUP($A103,FlexibleRepairCouplings!$A$9:$M$11,4,FALSE),
IF($A103&lt;DuraFix!$A$15,VLOOKUP($A103,DuraFix!$A$9:$M$14,4,FALSE),
IF($A103&lt;'Compression Fittings'!$A$16,VLOOKUP($A103,'Compression Fittings'!$A$8:$M$15,4,FALSE),
IF($A103&lt;'Hose Fittings'!$A$30,VLOOKUP($A103,'Hose Fittings'!$A$8:$M$29,4,FALSE),
IF($A103&lt;'Swing Joints'!$A$495,VLOOKUP($A103,'Swing Joints'!$A$9:$M$494,4,FALSE),
IF($A103&lt;'Swing Joints Components'!$A$135,VLOOKUP($A103,'Swing Joints Components'!$A$9:$M$134,4,FALSE),
IF($A103&lt;Nonstandard!$A$42,VLOOKUP($A103,Nonstandard!$A$31:$J$41,5,FALSE),"")))))))))))))))))))))))))))),"")</f>
        <v/>
      </c>
      <c r="C103" s="312" t="str">
        <f>IFERROR(IF($A103&lt;'DWV PVC'!$A$317,VLOOKUP($A103,'DWV PVC'!$A$9:$M$316,5,FALSE),
IF($A103&lt;'DWV ABS'!$A$117,VLOOKUP($A103,'DWV ABS'!$A$8:$M$116,5,FALSE),
IF($A103&lt;'PVC SCH40'!$A$425,VLOOKUP($A103,'PVC SCH40'!$A$8:$M$424,5,FALSE),
IF($A103&lt;'PVC SCH40 LD'!$A$22,VLOOKUP($A103,'PVC SCH40 LD'!$A$8:$M$21,5,FALSE),
IF($A103&lt;'Pool &amp; SPA Sweep Elbows'!$A$12,VLOOKUP($A103,'Pool &amp; SPA Sweep Elbows'!$A$8:$M$11,5,FALSE),
IF($A103&lt;'Pool &amp; SPA Pipe Extender'!$A$11,VLOOKUP($A103,'Pool &amp; SPA Pipe Extender'!$A$8:$M$10,5,FALSE),
IF($A103&lt;'PVC SCH80'!$A$250,VLOOKUP($A103,'PVC SCH80'!$A$8:$M$249,5,FALSE),
IF($A103&lt;'PVC SCH80 Flange'!$A$49,VLOOKUP($A103,'PVC SCH80 Flange'!$A$8:$M$48,5,FALSE),
IF($A103&lt;'PVC SCH80 LD Flange'!$A$17,VLOOKUP($A103,'PVC SCH80 LD Flange'!$A$8:$M$16,5,FALSE),
IF($A103&lt;CPVC!$A$105,VLOOKUP($A103,CPVC!$A$9:$M$104,5,FALSE),
IF($A103&lt;InsertFittings!$A$185,VLOOKUP($A103,InsertFittings!$A$9:$M$184,5,FALSE),
IF($A103&lt;Valves!$A$92,VLOOKUP($A103,Valves!$A$9:$Q$91,5,FALSE),
IF($A103&lt;SDR35SW!$A$133,VLOOKUP($A103,SDR35SW!$A$9:$M$132,5,FALSE),
IF($A103&lt;SDR35G!$A$151,VLOOKUP($A103,SDR35G!$A$9:$M$150,5,FALSE),
IF($A103&lt;SDR26G!$A$67,VLOOKUP($A103,SDR26G!$A$9:$N$66,6,FALSE),
IF($A103&lt;Cements!$A$95,VLOOKUP($A103,Cements!$A$8:$Q$94,5,FALSE),
IF($A103&lt;ValveBox!$A$124,VLOOKUP($A103,ValveBox!$A$9:$O$123,5,FALSE),
IF($A103&lt;'ValveBox Components'!$A$142,VLOOKUP($A103,'ValveBox Components'!$A$9:$N$141,5,FALSE),
IF($A103&lt;Drainage!$A$69,VLOOKUP($A103,Drainage!$A$8:$M$68,5,FALSE),
IF($A103&lt;Nipples!$A$82,VLOOKUP($A103,Nipples!$A$9:$Q$81,5,FALSE),
IF($A103&lt;Manifold!$A$33,VLOOKUP($A103,Manifold!$A$9:$M$32,5,FALSE),
IF($A103&lt;FlexibleRepairCouplings!$A$12,VLOOKUP($A103,FlexibleRepairCouplings!$A$9:$M$11,5,FALSE),
IF($A103&lt;DuraFix!$A$15,VLOOKUP($A103,DuraFix!$A$9:$M$14,5,FALSE),
IF($A103&lt;'Compression Fittings'!$A$16,VLOOKUP($A103,'Compression Fittings'!$A$8:$M$15,5,FALSE),
IF($A103&lt;'Hose Fittings'!$A$30,VLOOKUP($A103,'Hose Fittings'!$A$8:$M$29,5,FALSE),
IF($A103&lt;'Swing Joints'!$A$495,VLOOKUP($A103,'Swing Joints'!$A$9:$M$494,5,FALSE),
IF($A103&lt;'Swing Joints Components'!$A$135,VLOOKUP($A103,'Swing Joints Components'!$A$9:$M$134,5,FALSE),
IF($A103&lt;Nonstandard!$A$42,VLOOKUP($A103,Nonstandard!$A$31:$J$41,6,FALSE),"")))))))))))))))))))))))))))),"")</f>
        <v/>
      </c>
      <c r="D103" s="534" t="str">
        <f>IFERROR(IF($A103&lt;'DWV PVC'!$A$317,VLOOKUP($A103,'DWV PVC'!$A$9:$M$316,6,FALSE),
IF($A103&lt;'DWV ABS'!$A$117,VLOOKUP($A103,'DWV ABS'!$A$8:$M$116,6,FALSE),
IF($A103&lt;'PVC SCH40'!$A$425,VLOOKUP($A103,'PVC SCH40'!$A$8:$M$424,6,FALSE),
IF($A103&lt;'PVC SCH40 LD'!$A$22,VLOOKUP($A103,'PVC SCH40 LD'!$A$8:$M$21,6,FALSE),
IF($A103&lt;'Pool &amp; SPA Sweep Elbows'!$A$12,VLOOKUP($A103,'Pool &amp; SPA Sweep Elbows'!$A$8:$M$11,6,FALSE),
IF($A103&lt;'Pool &amp; SPA Pipe Extender'!$A$11,VLOOKUP($A103,'Pool &amp; SPA Pipe Extender'!$A$8:$M$10,6,FALSE),
IF($A103&lt;'PVC SCH80'!$A$250,VLOOKUP($A103,'PVC SCH80'!$A$8:$M$249,6,FALSE),
IF($A103&lt;'PVC SCH80 Flange'!$A$49,VLOOKUP($A103,'PVC SCH80 Flange'!$A$8:$M$48,6,FALSE),
IF($A103&lt;'PVC SCH80 LD Flange'!$A$17,VLOOKUP($A103,'PVC SCH80 LD Flange'!$A$8:$M$16,6,FALSE),
IF($A103&lt;CPVC!$A$105,VLOOKUP($A103,CPVC!$A$9:$M$104,6,FALSE),
IF($A103&lt;InsertFittings!$A$185,VLOOKUP($A103,InsertFittings!$A$9:$M$184,6,FALSE),
IF($A103&lt;Valves!$A$92,VLOOKUP($A103,Valves!$A$9:$Q$91,6,FALSE),
IF($A103&lt;SDR35SW!$A$133,VLOOKUP($A103,SDR35SW!$A$9:$M$132,6,FALSE),
IF($A103&lt;SDR35G!$A$151,VLOOKUP($A103,SDR35G!$A$9:$M$150,6,FALSE),
IF($A103&lt;SDR26G!$A$67,VLOOKUP($A103,SDR26G!$A$9:$N$66,7,FALSE),
IF($A103&lt;Cements!$A$95,VLOOKUP($A103,Cements!$A$8:$Q$94,6,FALSE),
IF($A103&lt;ValveBox!$A$124,VLOOKUP($A103,ValveBox!$A$9:$O$123,6,FALSE),
IF($A103&lt;'ValveBox Components'!$A$142,VLOOKUP($A103,'ValveBox Components'!$A$9:$N$141,6,FALSE),
IF($A103&lt;Drainage!$A$69,VLOOKUP($A103,Drainage!$A$8:$M$68,6,FALSE),
IF($A103&lt;Nipples!$A$82,VLOOKUP($A103,Nipples!$A$9:$Q$81,6,FALSE),
IF($A103&lt;Manifold!$A$33,VLOOKUP($A103,Manifold!$A$9:$M$32,6,FALSE),
IF($A103&lt;FlexibleRepairCouplings!$A$12,VLOOKUP($A103,FlexibleRepairCouplings!$A$9:$M$11,6,FALSE),
IF($A103&lt;DuraFix!$A$15,VLOOKUP($A103,DuraFix!$A$9:$M$14,6,FALSE),
IF($A103&lt;'Compression Fittings'!$A$16,VLOOKUP($A103,'Compression Fittings'!$A$8:$M$15,6,FALSE),
IF($A103&lt;'Hose Fittings'!$A$30,VLOOKUP($A103,'Hose Fittings'!$A$8:$M$29,6,FALSE),
IF($A103&lt;'Swing Joints'!$A$495,VLOOKUP($A103,'Swing Joints'!$A$9:$M$494,6,FALSE),
IF($A103&lt;'Swing Joints Components'!$A$135,VLOOKUP($A103,'Swing Joints Components'!$A$9:$M$134,6,FALSE),
IF($A103&lt;Nonstandard!$A$42,VLOOKUP($A103,Nonstandard!$A$31:$J$41,7,FALSE),"")))))))))))))))))))))))))))),"")</f>
        <v/>
      </c>
      <c r="E103" s="316"/>
      <c r="F103" s="314" t="str">
        <f>IFERROR(IF($A103&lt;'DWV PVC'!$A$317,VLOOKUP($A103,'DWV PVC'!$A$9:$M$316,9,FALSE),
IF($A103&lt;'DWV ABS'!$A$117,VLOOKUP($A103,'DWV ABS'!$A$8:$M$116,9,FALSE),                                                                                                                                                                                                                                                     IF($A103&lt;'PVC SCH40'!$A$425,VLOOKUP($A103,'PVC SCH40'!$A$8:$M$424,9,FALSE),
IF($A103&lt;'PVC SCH40 LD'!$A$22,VLOOKUP($A103,'PVC SCH40 LD'!$A$8:$M$21,9,FALSE),
IF($A103&lt;'Pool &amp; SPA Sweep Elbows'!$A$12,VLOOKUP($A103,'Pool &amp; SPA Sweep Elbows'!$A$8:$M$11,9,FALSE),
IF($A103&lt;'Pool &amp; SPA Pipe Extender'!$A$11,VLOOKUP($A103,'Pool &amp; SPA Pipe Extender'!$A$8:$M$10,9,FALSE),
IF($A103&lt;'PVC SCH80'!$A$250,VLOOKUP($A103,'PVC SCH80'!$A$8:$M$249,9,FALSE),
IF($A103&lt;'PVC SCH80 Flange'!$A$49,VLOOKUP($A103,'PVC SCH80 Flange'!$A$8:$M$48,9,FALSE),
IF($A103&lt;'PVC SCH80 LD Flange'!$A$17,VLOOKUP($A103,'PVC SCH80 LD Flange'!$A$8:$M$16,9,FALSE),
IF($A103&lt;CPVC!$A$105,VLOOKUP($A103,CPVC!$A$9:$M$104,9,FALSE),
IF($A103&lt;InsertFittings!$A$185,VLOOKUP($A103,InsertFittings!$A$9:$M$184,9,FALSE),
IF($A103&lt;Valves!$A$92,VLOOKUP($A103,Valves!$A$9:$Q$91,13,FALSE),
IF($A103&lt;SDR35SW!$A$133,VLOOKUP($A103,SDR35SW!$A$9:$M$132,9,FALSE),
IF($A103&lt;SDR35G!$A$151,VLOOKUP($A103,SDR35G!$A$9:$M$150,9,FALSE),                                                                                                                                                                                                                                                          IF($A103&lt;SDR26G!$A$67,VLOOKUP($A103,SDR26G!$A$9:$N$66,10,FALSE),                                                                                                                                                                                                                                                       IF($A103&lt;Cements!$A$95,VLOOKUP($A103,Cements!$A$8:$Q$94,13,FALSE),
IF($A103&lt;ValveBox!$A$124,VLOOKUP($A103,ValveBox!$A$9:$O$123,11,FALSE),
IF($A103&lt;'ValveBox Components'!$A$142,VLOOKUP($A103,'ValveBox Components'!$A$9:$N$141,10,FALSE),
IF($A103&lt;Drainage!$A$69,VLOOKUP($A103,Drainage!$A$8:$M$68,9,FALSE),                                                                                                                                                                                                                                                              IF($A103&lt;Nipples!$A$82,VLOOKUP($A103,Nipples!$A$9:$Q$81,13,FALSE),
IF($A103&lt;Manifold!$A$33,VLOOKUP($A103,Manifold!$A$9:$M$32,9,FALSE),
IF($A103&lt;FlexibleRepairCouplings!$A$12,VLOOKUP($A103,FlexibleRepairCouplings!$A$9:$M$11,9,FALSE),
IF($A103&lt;DuraFix!$A$15,VLOOKUP($A103,DuraFix!$A$9:$M$14,9,FALSE),                                                                                                                                                                                                                                                          IF($A103&lt;'Compression Fittings'!$A$16,VLOOKUP($A103,'Compression Fittings'!$A$8:$M$15,9,FALSE),
IF($A103&lt;'Hose Fittings'!$A$30,VLOOKUP($A103,'Hose Fittings'!$A$8:$M$29,9,FALSE),
IF($A103&lt;'Swing Joints'!$A$495,VLOOKUP($A103,'Swing Joints'!$A$9:$M$494,9,FALSE),
IF($A103&lt;'Swing Joints Components'!$A$135,VLOOKUP($A103,'Swing Joints Components'!$A$9:$M$134,9,FALSE),
IF($A103&lt;Nonstandard!$A$42,VLOOKUP($A103,Nonstandard!$A$31:$J$41,8,FALSE),"")))))))))))))))))))))))))))),"")</f>
        <v/>
      </c>
      <c r="G103" s="533" t="str">
        <f>IFERROR(IF($A103&lt;'DWV PVC'!$A$317,VLOOKUP($A103,'DWV PVC'!$A$9:$M$316,11,FALSE),
IF($A103&lt;'DWV ABS'!$A$117,VLOOKUP($A103,'DWV ABS'!$A$8:$M$116,11,FALSE),                                                                                                                                                                                                                                                     IF($A103&lt;'PVC SCH40'!$A$425,VLOOKUP($A103,'PVC SCH40'!$A$8:$M$424,11,FALSE),
IF($A103&lt;'PVC SCH40 LD'!$A$22,VLOOKUP($A103,'PVC SCH40 LD'!$A$8:$M$21,11,FALSE),
IF($A103&lt;'Pool &amp; SPA Sweep Elbows'!$A$12,VLOOKUP($A103,'Pool &amp; SPA Sweep Elbows'!$A$8:$M$11,11,FALSE),
IF($A103&lt;'Pool &amp; SPA Pipe Extender'!$A$11,VLOOKUP($A103,'Pool &amp; SPA Pipe Extender'!$A$8:$M$10,11,FALSE),
IF($A103&lt;'PVC SCH80'!$A$250,VLOOKUP($A103,'PVC SCH80'!$A$8:$M$249,11,FALSE),
IF($A103&lt;'PVC SCH80 Flange'!$A$49,VLOOKUP($A103,'PVC SCH80 Flange'!$A$8:$M$48,11,FALSE),
IF($A103&lt;'PVC SCH80 LD Flange'!$A$17,VLOOKUP($A103,'PVC SCH80 LD Flange'!$A$8:$M$16,11,FALSE),
IF($A103&lt;CPVC!$A$105,VLOOKUP($A103,CPVC!$A$9:$M$104,11,FALSE),
IF($A103&lt;InsertFittings!$A$185,VLOOKUP($A103,InsertFittings!$A$9:$M$184,11,FALSE),
IF($A103&lt;Valves!$A$92,VLOOKUP($A103,Valves!$A$9:$Q$91,15,FALSE),
IF($A103&lt;SDR35SW!$A$133,VLOOKUP($A103,SDR35SW!$A$9:$M$132,11,FALSE),
IF($A103&lt;SDR35G!$A$151,VLOOKUP($A103,SDR35G!$A$9:$M$150,11,FALSE),                                                                                                                                                                                                                                                          IF($A103&lt;SDR26G!$A$67,VLOOKUP($A103,SDR26G!$A$9:$N$66,12,FALSE),                                                                                                                                                                                                                                                       IF($A103&lt;Cements!$A$95,VLOOKUP($A103,Cements!$A$8:$Q$94,15,FALSE),
IF($A103&lt;ValveBox!$A$124,VLOOKUP($A103,ValveBox!$A$9:$O$123,13,FALSE),
IF($A103&lt;'ValveBox Components'!$A$142,VLOOKUP($A103,'ValveBox Components'!$A$9:$N$141,12,FALSE),
IF($A103&lt;Drainage!$A$69,VLOOKUP($A103,Drainage!$A$8:$M$68,11,FALSE),                                                                                                                                                                                                                                                           IF($A103&lt;Nipples!$A$82,VLOOKUP($A103,Nipples!$A$9:$Q$81,15,FALSE),
IF($A103&lt;Manifold!$A$33,VLOOKUP($A103,Manifold!$A$9:$M$32,11,FALSE),
IF($A103&lt;FlexibleRepairCouplings!$A$12,VLOOKUP($A103,FlexibleRepairCouplings!$A$9:$M$11,11,FALSE),
IF($A103&lt;DuraFix!$A$15,VLOOKUP($A103,DuraFix!$A$9:$M$14,11,FALSE),                                                                                                                                                                                                                                                            IF($A103&lt;'Compression Fittings'!$A$16,VLOOKUP($A103,'Compression Fittings'!$A$8:$M$15,11,FALSE),
IF($A103&lt;'Hose Fittings'!$A$30,VLOOKUP($A103,'Hose Fittings'!$A$8:$M$29,11,FALSE),
IF($A103&lt;'Swing Joints'!$A$495,VLOOKUP($A103,'Swing Joints'!$A$9:$M$494,11,FALSE),
IF($A103&lt;'Swing Joints Components'!$A$135,VLOOKUP($A103,'Swing Joints Components'!$A$9:$M$134,11,FALSE),
IF($A103&lt;Nonstandard!$A$42,VLOOKUP($A103,Nonstandard!$A$31:$J$41,10,FALSE),"")))))))))))))))))))))))))))),"")</f>
        <v/>
      </c>
      <c r="H103" s="618" t="str">
        <f>IFERROR(IF($A103&lt;'DWV PVC'!$A$317,VLOOKUP($A103,'DWV PVC'!$A$9:$M$316,7,FALSE),
IF($A103&lt;'DWV ABS'!$A$117,VLOOKUP($A103,'DWV ABS'!$A$8:$M$116,11,FALSE),                                                                                                                                                                                                                                                     IF($A103&lt;'PVC SCH40'!$A$425,VLOOKUP($A103,'PVC SCH40'!$A$8:$M$424,7,FALSE),
IF($A103&lt;'PVC SCH40 LD'!$A$22,VLOOKUP($A103,'PVC SCH40 LD'!$A$8:$M$21,7,FALSE),
IF($A103&lt;'Pool &amp; SPA Sweep Elbows'!$A$12,VLOOKUP($A103,'Pool &amp; SPA Sweep Elbows'!$A$8:$M$11,7,FALSE),
IF($A103&lt;'Pool &amp; SPA Pipe Extender'!$A$11,VLOOKUP($A103,'Pool &amp; SPA Pipe Extender'!$A$8:$M$10,7,FALSE),
IF($A103&lt;'PVC SCH80'!$A$250,VLOOKUP($A103,'PVC SCH80'!$A$8:$M$249,7,FALSE),
IF($A103&lt;'PVC SCH80 Flange'!$A$49,VLOOKUP($A103,'PVC SCH80 Flange'!$A$8:$M$48,7,FALSE),
IF($A103&lt;'PVC SCH80 LD Flange'!$A$17,VLOOKUP($A103,'PVC SCH80 LD Flange'!$A$8:$M$16,7,FALSE),
IF($A103&lt;CPVC!$A$105,VLOOKUP($A103,CPVC!$A$9:$M$104,7,FALSE),
IF($A103&lt;InsertFittings!$A$185,VLOOKUP($A103,InsertFittings!$A$9:$M$184,7,FALSE),
IF($A103&lt;Valves!$A$92,VLOOKUP($A103,Valves!$A$9:$Q$91,11,FALSE),
IF($A103&lt;SDR35SW!$A$133,VLOOKUP($A103,SDR35SW!$A$9:$M$132,7,FALSE),
IF($A103&lt;SDR35G!$A$151,VLOOKUP($A103,SDR35G!$A$9:$M$150,7,FALSE),                                                                                                                                                                                                                                                       IF($A103&lt;SDR26G!$A$67,VLOOKUP($A103,SDR26G!$A$9:$N$66,8,FALSE),                                                                                                                                                                                                                                                     IF($A103&lt;Cements!$A$95,VLOOKUP($A103,Cements!$A$8:$Q$94,11,FALSE),
IF($A103&lt;ValveBox!$A$124,VLOOKUP($A103,ValveBox!$A$9:$O$123,10,FALSE),
IF($A103&lt;'ValveBox Components'!$A$142,VLOOKUP($A103,'ValveBox Components'!$A$9:$N$141,9,FALSE),
IF($A103&lt;Drainage!$A$69,VLOOKUP($A103,Drainage!$A$8:$M$68,7,FALSE),                                                                                                                                                                                                                                                          IF($A103&lt;Nipples!$A$82,VLOOKUP($A103,Nipples!$A$9:$Q$81,11,FALSE),
IF($A103&lt;Manifold!$A$33,VLOOKUP($A103,Manifold!$A$9:$M$32,7,FALSE),
IF($A103&lt;FlexibleRepairCouplings!$A$12,VLOOKUP($A103,FlexibleRepairCouplings!$A$9:$M$11,7,FALSE),
IF($A103&lt;DuraFix!$A$15,VLOOKUP($A103,DuraFix!$A$9:$M$14,7,FALSE),                                                                                                                                                                                                                                                           IF($A103&lt;'Compression Fittings'!$A$16,VLOOKUP($A103,'Compression Fittings'!$A$8:$M$15,7,FALSE),
IF($A103&lt;'Hose Fittings'!$A$30,VLOOKUP($A103,'Hose Fittings'!$A$8:$M$29,7,FALSE),
IF($A103&lt;'Swing Joints'!$A$495,VLOOKUP($A103,'Swing Joints'!$A$9:$M$494,7,FALSE),
IF($A103&lt;'Swing Joints Components'!$A$135,VLOOKUP($A103,'Swing Joints Components'!$A$9:$M$134,7,FALSE),
IF($A103&lt;Nonstandard!$A$42,VLOOKUP($A103,Nonstandard!$A$31:$J$41,10,FALSE),"")))))))))))))))))))))))))))),"")</f>
        <v/>
      </c>
      <c r="I103" s="619"/>
      <c r="J103" s="281" t="str">
        <f t="shared" si="3"/>
        <v/>
      </c>
      <c r="K103" s="313" t="str">
        <f>IFERROR(IF($A103&lt;'DWV PVC'!$A$317,VLOOKUP($A103,'DWV PVC'!$A$9:$M$316,10,FALSE),
IF($A103&lt;'DWV ABS'!$A$117,VLOOKUP($A103,'DWV ABS'!$A$8:$M$116,10,FALSE),
IF($A103&lt;'PVC SCH40'!$A$425,VLOOKUP($A103,'PVC SCH40'!$A$8:$M$424,10,FALSE),
IF($A103&lt;'PVC SCH40 LD'!$A$22,VLOOKUP($A103,'PVC SCH40 LD'!$A$8:$M$21,10,FALSE),
IF($A103&lt;'Pool &amp; SPA Sweep Elbows'!$A$12,VLOOKUP($A103,'Pool &amp; SPA Sweep Elbows'!$A$8:$M$11,10,FALSE),
IF($A103&lt;'Pool &amp; SPA Pipe Extender'!$A$11,VLOOKUP($A103,'Pool &amp; SPA Pipe Extender'!$A$8:$M$10,10,FALSE),
IF($A103&lt;'PVC SCH80'!$A$250,VLOOKUP($A103,'PVC SCH80'!$A$8:$M$249,10,FALSE),
IF($A103&lt;'PVC SCH80 Flange'!$A$49,VLOOKUP($A103,'PVC SCH80 Flange'!$A$8:$M$48,10,FALSE),
IF($A103&lt;'PVC SCH80 LD Flange'!$A$17,VLOOKUP($A103,'PVC SCH80 LD Flange'!$A$8:$M$16,10,FALSE),
IF($A103&lt;CPVC!$A$105,VLOOKUP($A103,CPVC!$A$9:$M$104,10,FALSE),
IF($A103&lt;InsertFittings!$A$185,VLOOKUP($A103,InsertFittings!$A$9:$M$184,10,FALSE),
IF($A103&lt;Valves!$A$92,VLOOKUP($A103,Valves!$A$9:$Q$91,14,FALSE),
IF($A103&lt;SDR35SW!$A$133,VLOOKUP($A103,SDR35SW!$A$9:$M$132,10,FALSE),
IF($A103&lt;SDR35G!$A$151,VLOOKUP($A103,SDR35G!$A$9:$M$150,10,FALSE),
IF($A103&lt;SDR26G!$A$67,VLOOKUP($A103,SDR26G!$A$9:$N$66,11,FALSE),
IF($A103&lt;Cements!$A$95,VLOOKUP($A103,Cements!$A$8:$Q$94,14,FALSE),
IF($A103&lt;ValveBox!$A$124,VLOOKUP($A103,ValveBox!$A$9:$O$123,12,FALSE),
IF($A103&lt;'ValveBox Components'!$A$142,VLOOKUP($A103,'ValveBox Components'!$A$9:$N$141,11,FALSE),
IF($A103&lt;Drainage!$A$69,VLOOKUP($A103,Drainage!$A$8:$M$68,10,FALSE),
IF($A103&lt;Nipples!$A$82,VLOOKUP($A103,Nipples!$A$9:$Q$81,14,FALSE),
IF($A103&lt;Manifold!$A$33,VLOOKUP($A103,Manifold!$A$9:$M$32,10,FALSE),
IF($A103&lt;FlexibleRepairCouplings!$A$12,VLOOKUP($A103,FlexibleRepairCouplings!$A$9:$M$11,10,FALSE),
IF($A103&lt;DuraFix!$A$15,VLOOKUP($A103,DuraFix!$A$9:$M$14,10,FALSE),
IF($A103&lt;'Compression Fittings'!$A$16,VLOOKUP($A103,'Compression Fittings'!$A$8:$M$15,10,FALSE),
IF($A103&lt;'Hose Fittings'!$A$30,VLOOKUP($A103,'Hose Fittings'!$A$8:$M$29,10,FALSE),
IF($A103&lt;'Swing Joints'!$A$495,VLOOKUP($A103,'Swing Joints'!$A$9:$M$494,10,FALSE),
IF($A103&lt;'Swing Joints Components'!$A$135,VLOOKUP($A103,'Swing Joints Components'!$A$9:$M$134,10,FALSE),
IF($A103&lt;Nonstandard!$A$42,VLOOKUP($A103,Nonstandard!$A$31:$J$41,10,FALSE),"")))))))))))))))))))))))))))),"")</f>
        <v/>
      </c>
      <c r="L103" s="314" t="str">
        <f t="shared" si="2"/>
        <v>-</v>
      </c>
      <c r="M103" s="315"/>
    </row>
    <row r="104" spans="1:13" ht="15.6">
      <c r="A104" s="536">
        <v>72</v>
      </c>
      <c r="B104" s="536" t="str">
        <f>IFERROR(IF($A104&lt;'DWV PVC'!$A$317,VLOOKUP($A104,'DWV PVC'!$A$9:$M$316,4,FALSE),
IF($A104&lt;'DWV ABS'!$A$117,VLOOKUP($A104,'DWV ABS'!$A$8:$M$116,4,FALSE),
IF($A104&lt;'PVC SCH40'!$A$425,VLOOKUP($A104,'PVC SCH40'!$A$8:$M$424,4,FALSE),
IF($A104&lt;'PVC SCH40 LD'!$A$22,VLOOKUP($A104,'PVC SCH40 LD'!$A$8:$M$21,4,FALSE),
IF($A104&lt;'Pool &amp; SPA Sweep Elbows'!$A$12,VLOOKUP($A104,'Pool &amp; SPA Sweep Elbows'!$A$8:$M$11,4,FALSE),
IF($A104&lt;'Pool &amp; SPA Pipe Extender'!$A$11,VLOOKUP($A104,'Pool &amp; SPA Pipe Extender'!$A$8:$M$10,4,FALSE),
IF($A104&lt;'PVC SCH80'!$A$250,VLOOKUP($A104,'PVC SCH80'!$A$8:$M$249,4,FALSE),
IF($A104&lt;'PVC SCH80 Flange'!$A$49,VLOOKUP($A104,'PVC SCH80 Flange'!$A$8:$M$48,4,FALSE),
IF($A104&lt;'PVC SCH80 LD Flange'!$A$17,VLOOKUP($A104,'PVC SCH80 LD Flange'!$A$8:$M$16,4,FALSE),
IF($A104&lt;CPVC!$A$105,VLOOKUP($A104,CPVC!$A$9:$M$104,4,FALSE),
IF($A104&lt;InsertFittings!$A$185,VLOOKUP($A104,InsertFittings!$A$9:$M$184,4,FALSE),
IF($A104&lt;Valves!$A$92,VLOOKUP($A104,Valves!$A$9:$Q$91,4,FALSE),
IF($A104&lt;SDR35SW!$A$133,VLOOKUP($A104,SDR35SW!$A$9:$M$132,4,FALSE),
IF($A104&lt;SDR35G!$A$151,VLOOKUP($A104,SDR35G!$A$9:$M$150,4,FALSE),
IF($A104&lt;SDR26G!$A$67,VLOOKUP($A104,SDR26G!$A$9:$N$66,5,FALSE),
IF($A104&lt;Cements!$A$95,VLOOKUP($A104,Cements!$A$8:$Q$94,4,FALSE),
IF($A104&lt;ValveBox!$A$124,VLOOKUP($A104,ValveBox!$A$9:$O$123,4,FALSE),
IF($A104&lt;'ValveBox Components'!$A$142,VLOOKUP($A104,'ValveBox Components'!$A$9:$N$141,4,FALSE),
IF($A104&lt;Drainage!$A$69,VLOOKUP($A104,Drainage!$A$8:$M$68,4,FALSE),
IF($A104&lt;Nipples!$A$82,VLOOKUP($A104,Nipples!$A$9:$Q$81,4,FALSE),
IF($A104&lt;Manifold!$A$33,VLOOKUP($A104,Manifold!$A$9:$M$32,4,FALSE),
IF($A104&lt;FlexibleRepairCouplings!$A$12,VLOOKUP($A104,FlexibleRepairCouplings!$A$9:$M$11,4,FALSE),
IF($A104&lt;DuraFix!$A$15,VLOOKUP($A104,DuraFix!$A$9:$M$14,4,FALSE),
IF($A104&lt;'Compression Fittings'!$A$16,VLOOKUP($A104,'Compression Fittings'!$A$8:$M$15,4,FALSE),
IF($A104&lt;'Hose Fittings'!$A$30,VLOOKUP($A104,'Hose Fittings'!$A$8:$M$29,4,FALSE),
IF($A104&lt;'Swing Joints'!$A$495,VLOOKUP($A104,'Swing Joints'!$A$9:$M$494,4,FALSE),
IF($A104&lt;'Swing Joints Components'!$A$135,VLOOKUP($A104,'Swing Joints Components'!$A$9:$M$134,4,FALSE),
IF($A104&lt;Nonstandard!$A$42,VLOOKUP($A104,Nonstandard!$A$31:$J$41,5,FALSE),"")))))))))))))))))))))))))))),"")</f>
        <v/>
      </c>
      <c r="C104" s="536" t="str">
        <f>IFERROR(IF($A104&lt;'DWV PVC'!$A$317,VLOOKUP($A104,'DWV PVC'!$A$9:$M$316,5,FALSE),
IF($A104&lt;'DWV ABS'!$A$117,VLOOKUP($A104,'DWV ABS'!$A$8:$M$116,5,FALSE),
IF($A104&lt;'PVC SCH40'!$A$425,VLOOKUP($A104,'PVC SCH40'!$A$8:$M$424,5,FALSE),
IF($A104&lt;'PVC SCH40 LD'!$A$22,VLOOKUP($A104,'PVC SCH40 LD'!$A$8:$M$21,5,FALSE),
IF($A104&lt;'Pool &amp; SPA Sweep Elbows'!$A$12,VLOOKUP($A104,'Pool &amp; SPA Sweep Elbows'!$A$8:$M$11,5,FALSE),
IF($A104&lt;'Pool &amp; SPA Pipe Extender'!$A$11,VLOOKUP($A104,'Pool &amp; SPA Pipe Extender'!$A$8:$M$10,5,FALSE),
IF($A104&lt;'PVC SCH80'!$A$250,VLOOKUP($A104,'PVC SCH80'!$A$8:$M$249,5,FALSE),
IF($A104&lt;'PVC SCH80 Flange'!$A$49,VLOOKUP($A104,'PVC SCH80 Flange'!$A$8:$M$48,5,FALSE),
IF($A104&lt;'PVC SCH80 LD Flange'!$A$17,VLOOKUP($A104,'PVC SCH80 LD Flange'!$A$8:$M$16,5,FALSE),
IF($A104&lt;CPVC!$A$105,VLOOKUP($A104,CPVC!$A$9:$M$104,5,FALSE),
IF($A104&lt;InsertFittings!$A$185,VLOOKUP($A104,InsertFittings!$A$9:$M$184,5,FALSE),
IF($A104&lt;Valves!$A$92,VLOOKUP($A104,Valves!$A$9:$Q$91,5,FALSE),
IF($A104&lt;SDR35SW!$A$133,VLOOKUP($A104,SDR35SW!$A$9:$M$132,5,FALSE),
IF($A104&lt;SDR35G!$A$151,VLOOKUP($A104,SDR35G!$A$9:$M$150,5,FALSE),
IF($A104&lt;SDR26G!$A$67,VLOOKUP($A104,SDR26G!$A$9:$N$66,6,FALSE),
IF($A104&lt;Cements!$A$95,VLOOKUP($A104,Cements!$A$8:$Q$94,5,FALSE),
IF($A104&lt;ValveBox!$A$124,VLOOKUP($A104,ValveBox!$A$9:$O$123,5,FALSE),
IF($A104&lt;'ValveBox Components'!$A$142,VLOOKUP($A104,'ValveBox Components'!$A$9:$N$141,5,FALSE),
IF($A104&lt;Drainage!$A$69,VLOOKUP($A104,Drainage!$A$8:$M$68,5,FALSE),
IF($A104&lt;Nipples!$A$82,VLOOKUP($A104,Nipples!$A$9:$Q$81,5,FALSE),
IF($A104&lt;Manifold!$A$33,VLOOKUP($A104,Manifold!$A$9:$M$32,5,FALSE),
IF($A104&lt;FlexibleRepairCouplings!$A$12,VLOOKUP($A104,FlexibleRepairCouplings!$A$9:$M$11,5,FALSE),
IF($A104&lt;DuraFix!$A$15,VLOOKUP($A104,DuraFix!$A$9:$M$14,5,FALSE),
IF($A104&lt;'Compression Fittings'!$A$16,VLOOKUP($A104,'Compression Fittings'!$A$8:$M$15,5,FALSE),
IF($A104&lt;'Hose Fittings'!$A$30,VLOOKUP($A104,'Hose Fittings'!$A$8:$M$29,5,FALSE),
IF($A104&lt;'Swing Joints'!$A$495,VLOOKUP($A104,'Swing Joints'!$A$9:$M$494,5,FALSE),
IF($A104&lt;'Swing Joints Components'!$A$135,VLOOKUP($A104,'Swing Joints Components'!$A$9:$M$134,5,FALSE),
IF($A104&lt;Nonstandard!$A$42,VLOOKUP($A104,Nonstandard!$A$31:$J$41,6,FALSE),"")))))))))))))))))))))))))))),"")</f>
        <v/>
      </c>
      <c r="D104" s="537" t="str">
        <f>IFERROR(IF($A104&lt;'DWV PVC'!$A$317,VLOOKUP($A104,'DWV PVC'!$A$9:$M$316,6,FALSE),
IF($A104&lt;'DWV ABS'!$A$117,VLOOKUP($A104,'DWV ABS'!$A$8:$M$116,6,FALSE),
IF($A104&lt;'PVC SCH40'!$A$425,VLOOKUP($A104,'PVC SCH40'!$A$8:$M$424,6,FALSE),
IF($A104&lt;'PVC SCH40 LD'!$A$22,VLOOKUP($A104,'PVC SCH40 LD'!$A$8:$M$21,6,FALSE),
IF($A104&lt;'Pool &amp; SPA Sweep Elbows'!$A$12,VLOOKUP($A104,'Pool &amp; SPA Sweep Elbows'!$A$8:$M$11,6,FALSE),
IF($A104&lt;'Pool &amp; SPA Pipe Extender'!$A$11,VLOOKUP($A104,'Pool &amp; SPA Pipe Extender'!$A$8:$M$10,6,FALSE),
IF($A104&lt;'PVC SCH80'!$A$250,VLOOKUP($A104,'PVC SCH80'!$A$8:$M$249,6,FALSE),
IF($A104&lt;'PVC SCH80 Flange'!$A$49,VLOOKUP($A104,'PVC SCH80 Flange'!$A$8:$M$48,6,FALSE),
IF($A104&lt;'PVC SCH80 LD Flange'!$A$17,VLOOKUP($A104,'PVC SCH80 LD Flange'!$A$8:$M$16,6,FALSE),
IF($A104&lt;CPVC!$A$105,VLOOKUP($A104,CPVC!$A$9:$M$104,6,FALSE),
IF($A104&lt;InsertFittings!$A$185,VLOOKUP($A104,InsertFittings!$A$9:$M$184,6,FALSE),
IF($A104&lt;Valves!$A$92,VLOOKUP($A104,Valves!$A$9:$Q$91,6,FALSE),
IF($A104&lt;SDR35SW!$A$133,VLOOKUP($A104,SDR35SW!$A$9:$M$132,6,FALSE),
IF($A104&lt;SDR35G!$A$151,VLOOKUP($A104,SDR35G!$A$9:$M$150,6,FALSE),
IF($A104&lt;SDR26G!$A$67,VLOOKUP($A104,SDR26G!$A$9:$N$66,7,FALSE),
IF($A104&lt;Cements!$A$95,VLOOKUP($A104,Cements!$A$8:$Q$94,6,FALSE),
IF($A104&lt;ValveBox!$A$124,VLOOKUP($A104,ValveBox!$A$9:$O$123,6,FALSE),
IF($A104&lt;'ValveBox Components'!$A$142,VLOOKUP($A104,'ValveBox Components'!$A$9:$N$141,6,FALSE),
IF($A104&lt;Drainage!$A$69,VLOOKUP($A104,Drainage!$A$8:$M$68,6,FALSE),
IF($A104&lt;Nipples!$A$82,VLOOKUP($A104,Nipples!$A$9:$Q$81,6,FALSE),
IF($A104&lt;Manifold!$A$33,VLOOKUP($A104,Manifold!$A$9:$M$32,6,FALSE),
IF($A104&lt;FlexibleRepairCouplings!$A$12,VLOOKUP($A104,FlexibleRepairCouplings!$A$9:$M$11,6,FALSE),
IF($A104&lt;DuraFix!$A$15,VLOOKUP($A104,DuraFix!$A$9:$M$14,6,FALSE),
IF($A104&lt;'Compression Fittings'!$A$16,VLOOKUP($A104,'Compression Fittings'!$A$8:$M$15,6,FALSE),
IF($A104&lt;'Hose Fittings'!$A$30,VLOOKUP($A104,'Hose Fittings'!$A$8:$M$29,6,FALSE),
IF($A104&lt;'Swing Joints'!$A$495,VLOOKUP($A104,'Swing Joints'!$A$9:$M$494,6,FALSE),
IF($A104&lt;'Swing Joints Components'!$A$135,VLOOKUP($A104,'Swing Joints Components'!$A$9:$M$134,6,FALSE),
IF($A104&lt;Nonstandard!$A$42,VLOOKUP($A104,Nonstandard!$A$31:$J$41,7,FALSE),"")))))))))))))))))))))))))))),"")</f>
        <v/>
      </c>
      <c r="E104" s="538"/>
      <c r="F104" s="539" t="str">
        <f>IFERROR(IF($A104&lt;'DWV PVC'!$A$317,VLOOKUP($A104,'DWV PVC'!$A$9:$M$316,9,FALSE),
IF($A104&lt;'DWV ABS'!$A$117,VLOOKUP($A104,'DWV ABS'!$A$8:$M$116,9,FALSE),                                                                                                                                                                                                                                                     IF($A104&lt;'PVC SCH40'!$A$425,VLOOKUP($A104,'PVC SCH40'!$A$8:$M$424,9,FALSE),
IF($A104&lt;'PVC SCH40 LD'!$A$22,VLOOKUP($A104,'PVC SCH40 LD'!$A$8:$M$21,9,FALSE),
IF($A104&lt;'Pool &amp; SPA Sweep Elbows'!$A$12,VLOOKUP($A104,'Pool &amp; SPA Sweep Elbows'!$A$8:$M$11,9,FALSE),
IF($A104&lt;'Pool &amp; SPA Pipe Extender'!$A$11,VLOOKUP($A104,'Pool &amp; SPA Pipe Extender'!$A$8:$M$10,9,FALSE),
IF($A104&lt;'PVC SCH80'!$A$250,VLOOKUP($A104,'PVC SCH80'!$A$8:$M$249,9,FALSE),
IF($A104&lt;'PVC SCH80 Flange'!$A$49,VLOOKUP($A104,'PVC SCH80 Flange'!$A$8:$M$48,9,FALSE),
IF($A104&lt;'PVC SCH80 LD Flange'!$A$17,VLOOKUP($A104,'PVC SCH80 LD Flange'!$A$8:$M$16,9,FALSE),
IF($A104&lt;CPVC!$A$105,VLOOKUP($A104,CPVC!$A$9:$M$104,9,FALSE),
IF($A104&lt;InsertFittings!$A$185,VLOOKUP($A104,InsertFittings!$A$9:$M$184,9,FALSE),
IF($A104&lt;Valves!$A$92,VLOOKUP($A104,Valves!$A$9:$Q$91,13,FALSE),
IF($A104&lt;SDR35SW!$A$133,VLOOKUP($A104,SDR35SW!$A$9:$M$132,9,FALSE),
IF($A104&lt;SDR35G!$A$151,VLOOKUP($A104,SDR35G!$A$9:$M$150,9,FALSE),                                                                                                                                                                                                                                                          IF($A104&lt;SDR26G!$A$67,VLOOKUP($A104,SDR26G!$A$9:$N$66,10,FALSE),                                                                                                                                                                                                                                                       IF($A104&lt;Cements!$A$95,VLOOKUP($A104,Cements!$A$8:$Q$94,13,FALSE),
IF($A104&lt;ValveBox!$A$124,VLOOKUP($A104,ValveBox!$A$9:$O$123,11,FALSE),
IF($A104&lt;'ValveBox Components'!$A$142,VLOOKUP($A104,'ValveBox Components'!$A$9:$N$141,10,FALSE),
IF($A104&lt;Drainage!$A$69,VLOOKUP($A104,Drainage!$A$8:$M$68,9,FALSE),                                                                                                                                                                                                                                                              IF($A104&lt;Nipples!$A$82,VLOOKUP($A104,Nipples!$A$9:$Q$81,13,FALSE),
IF($A104&lt;Manifold!$A$33,VLOOKUP($A104,Manifold!$A$9:$M$32,9,FALSE),
IF($A104&lt;FlexibleRepairCouplings!$A$12,VLOOKUP($A104,FlexibleRepairCouplings!$A$9:$M$11,9,FALSE),
IF($A104&lt;DuraFix!$A$15,VLOOKUP($A104,DuraFix!$A$9:$M$14,9,FALSE),                                                                                                                                                                                                                                                          IF($A104&lt;'Compression Fittings'!$A$16,VLOOKUP($A104,'Compression Fittings'!$A$8:$M$15,9,FALSE),
IF($A104&lt;'Hose Fittings'!$A$30,VLOOKUP($A104,'Hose Fittings'!$A$8:$M$29,9,FALSE),
IF($A104&lt;'Swing Joints'!$A$495,VLOOKUP($A104,'Swing Joints'!$A$9:$M$494,9,FALSE),
IF($A104&lt;'Swing Joints Components'!$A$135,VLOOKUP($A104,'Swing Joints Components'!$A$9:$M$134,9,FALSE),
IF($A104&lt;Nonstandard!$A$42,VLOOKUP($A104,Nonstandard!$A$31:$J$41,8,FALSE),"")))))))))))))))))))))))))))),"")</f>
        <v/>
      </c>
      <c r="G104" s="540" t="str">
        <f>IFERROR(IF($A104&lt;'DWV PVC'!$A$317,VLOOKUP($A104,'DWV PVC'!$A$9:$M$316,11,FALSE),
IF($A104&lt;'DWV ABS'!$A$117,VLOOKUP($A104,'DWV ABS'!$A$8:$M$116,11,FALSE),                                                                                                                                                                                                                                                     IF($A104&lt;'PVC SCH40'!$A$425,VLOOKUP($A104,'PVC SCH40'!$A$8:$M$424,11,FALSE),
IF($A104&lt;'PVC SCH40 LD'!$A$22,VLOOKUP($A104,'PVC SCH40 LD'!$A$8:$M$21,11,FALSE),
IF($A104&lt;'Pool &amp; SPA Sweep Elbows'!$A$12,VLOOKUP($A104,'Pool &amp; SPA Sweep Elbows'!$A$8:$M$11,11,FALSE),
IF($A104&lt;'Pool &amp; SPA Pipe Extender'!$A$11,VLOOKUP($A104,'Pool &amp; SPA Pipe Extender'!$A$8:$M$10,11,FALSE),
IF($A104&lt;'PVC SCH80'!$A$250,VLOOKUP($A104,'PVC SCH80'!$A$8:$M$249,11,FALSE),
IF($A104&lt;'PVC SCH80 Flange'!$A$49,VLOOKUP($A104,'PVC SCH80 Flange'!$A$8:$M$48,11,FALSE),
IF($A104&lt;'PVC SCH80 LD Flange'!$A$17,VLOOKUP($A104,'PVC SCH80 LD Flange'!$A$8:$M$16,11,FALSE),
IF($A104&lt;CPVC!$A$105,VLOOKUP($A104,CPVC!$A$9:$M$104,11,FALSE),
IF($A104&lt;InsertFittings!$A$185,VLOOKUP($A104,InsertFittings!$A$9:$M$184,11,FALSE),
IF($A104&lt;Valves!$A$92,VLOOKUP($A104,Valves!$A$9:$Q$91,15,FALSE),
IF($A104&lt;SDR35SW!$A$133,VLOOKUP($A104,SDR35SW!$A$9:$M$132,11,FALSE),
IF($A104&lt;SDR35G!$A$151,VLOOKUP($A104,SDR35G!$A$9:$M$150,11,FALSE),                                                                                                                                                                                                                                                          IF($A104&lt;SDR26G!$A$67,VLOOKUP($A104,SDR26G!$A$9:$N$66,12,FALSE),                                                                                                                                                                                                                                                       IF($A104&lt;Cements!$A$95,VLOOKUP($A104,Cements!$A$8:$Q$94,15,FALSE),
IF($A104&lt;ValveBox!$A$124,VLOOKUP($A104,ValveBox!$A$9:$O$123,13,FALSE),
IF($A104&lt;'ValveBox Components'!$A$142,VLOOKUP($A104,'ValveBox Components'!$A$9:$N$141,12,FALSE),
IF($A104&lt;Drainage!$A$69,VLOOKUP($A104,Drainage!$A$8:$M$68,11,FALSE),                                                                                                                                                                                                                                                           IF($A104&lt;Nipples!$A$82,VLOOKUP($A104,Nipples!$A$9:$Q$81,15,FALSE),
IF($A104&lt;Manifold!$A$33,VLOOKUP($A104,Manifold!$A$9:$M$32,11,FALSE),
IF($A104&lt;FlexibleRepairCouplings!$A$12,VLOOKUP($A104,FlexibleRepairCouplings!$A$9:$M$11,11,FALSE),
IF($A104&lt;DuraFix!$A$15,VLOOKUP($A104,DuraFix!$A$9:$M$14,11,FALSE),                                                                                                                                                                                                                                                            IF($A104&lt;'Compression Fittings'!$A$16,VLOOKUP($A104,'Compression Fittings'!$A$8:$M$15,11,FALSE),
IF($A104&lt;'Hose Fittings'!$A$30,VLOOKUP($A104,'Hose Fittings'!$A$8:$M$29,11,FALSE),
IF($A104&lt;'Swing Joints'!$A$495,VLOOKUP($A104,'Swing Joints'!$A$9:$M$494,11,FALSE),
IF($A104&lt;'Swing Joints Components'!$A$135,VLOOKUP($A104,'Swing Joints Components'!$A$9:$M$134,11,FALSE),
IF($A104&lt;Nonstandard!$A$42,VLOOKUP($A104,Nonstandard!$A$31:$J$41,10,FALSE),"")))))))))))))))))))))))))))),"")</f>
        <v/>
      </c>
      <c r="H104" s="620" t="str">
        <f>IFERROR(IF($A104&lt;'DWV PVC'!$A$317,VLOOKUP($A104,'DWV PVC'!$A$9:$M$316,7,FALSE),
IF($A104&lt;'DWV ABS'!$A$117,VLOOKUP($A104,'DWV ABS'!$A$8:$M$116,11,FALSE),                                                                                                                                                                                                                                                     IF($A104&lt;'PVC SCH40'!$A$425,VLOOKUP($A104,'PVC SCH40'!$A$8:$M$424,7,FALSE),
IF($A104&lt;'PVC SCH40 LD'!$A$22,VLOOKUP($A104,'PVC SCH40 LD'!$A$8:$M$21,7,FALSE),
IF($A104&lt;'Pool &amp; SPA Sweep Elbows'!$A$12,VLOOKUP($A104,'Pool &amp; SPA Sweep Elbows'!$A$8:$M$11,7,FALSE),
IF($A104&lt;'Pool &amp; SPA Pipe Extender'!$A$11,VLOOKUP($A104,'Pool &amp; SPA Pipe Extender'!$A$8:$M$10,7,FALSE),
IF($A104&lt;'PVC SCH80'!$A$250,VLOOKUP($A104,'PVC SCH80'!$A$8:$M$249,7,FALSE),
IF($A104&lt;'PVC SCH80 Flange'!$A$49,VLOOKUP($A104,'PVC SCH80 Flange'!$A$8:$M$48,7,FALSE),
IF($A104&lt;'PVC SCH80 LD Flange'!$A$17,VLOOKUP($A104,'PVC SCH80 LD Flange'!$A$8:$M$16,7,FALSE),
IF($A104&lt;CPVC!$A$105,VLOOKUP($A104,CPVC!$A$9:$M$104,7,FALSE),
IF($A104&lt;InsertFittings!$A$185,VLOOKUP($A104,InsertFittings!$A$9:$M$184,7,FALSE),
IF($A104&lt;Valves!$A$92,VLOOKUP($A104,Valves!$A$9:$Q$91,11,FALSE),
IF($A104&lt;SDR35SW!$A$133,VLOOKUP($A104,SDR35SW!$A$9:$M$132,7,FALSE),
IF($A104&lt;SDR35G!$A$151,VLOOKUP($A104,SDR35G!$A$9:$M$150,7,FALSE),                                                                                                                                                                                                                                                       IF($A104&lt;SDR26G!$A$67,VLOOKUP($A104,SDR26G!$A$9:$N$66,8,FALSE),                                                                                                                                                                                                                                                     IF($A104&lt;Cements!$A$95,VLOOKUP($A104,Cements!$A$8:$Q$94,11,FALSE),
IF($A104&lt;ValveBox!$A$124,VLOOKUP($A104,ValveBox!$A$9:$O$123,10,FALSE),
IF($A104&lt;'ValveBox Components'!$A$142,VLOOKUP($A104,'ValveBox Components'!$A$9:$N$141,9,FALSE),
IF($A104&lt;Drainage!$A$69,VLOOKUP($A104,Drainage!$A$8:$M$68,7,FALSE),                                                                                                                                                                                                                                                          IF($A104&lt;Nipples!$A$82,VLOOKUP($A104,Nipples!$A$9:$Q$81,11,FALSE),
IF($A104&lt;Manifold!$A$33,VLOOKUP($A104,Manifold!$A$9:$M$32,7,FALSE),
IF($A104&lt;FlexibleRepairCouplings!$A$12,VLOOKUP($A104,FlexibleRepairCouplings!$A$9:$M$11,7,FALSE),
IF($A104&lt;DuraFix!$A$15,VLOOKUP($A104,DuraFix!$A$9:$M$14,7,FALSE),                                                                                                                                                                                                                                                           IF($A104&lt;'Compression Fittings'!$A$16,VLOOKUP($A104,'Compression Fittings'!$A$8:$M$15,7,FALSE),
IF($A104&lt;'Hose Fittings'!$A$30,VLOOKUP($A104,'Hose Fittings'!$A$8:$M$29,7,FALSE),
IF($A104&lt;'Swing Joints'!$A$495,VLOOKUP($A104,'Swing Joints'!$A$9:$M$494,7,FALSE),
IF($A104&lt;'Swing Joints Components'!$A$135,VLOOKUP($A104,'Swing Joints Components'!$A$9:$M$134,7,FALSE),
IF($A104&lt;Nonstandard!$A$42,VLOOKUP($A104,Nonstandard!$A$31:$J$41,10,FALSE),"")))))))))))))))))))))))))))),"")</f>
        <v/>
      </c>
      <c r="I104" s="621"/>
      <c r="J104" s="541" t="str">
        <f t="shared" si="3"/>
        <v/>
      </c>
      <c r="K104" s="599" t="str">
        <f>IFERROR(IF($A104&lt;'DWV PVC'!$A$317,VLOOKUP($A104,'DWV PVC'!$A$9:$M$316,10,FALSE),
IF($A104&lt;'DWV ABS'!$A$117,VLOOKUP($A104,'DWV ABS'!$A$8:$M$116,10,FALSE),
IF($A104&lt;'PVC SCH40'!$A$425,VLOOKUP($A104,'PVC SCH40'!$A$8:$M$424,10,FALSE),
IF($A104&lt;'PVC SCH40 LD'!$A$22,VLOOKUP($A104,'PVC SCH40 LD'!$A$8:$M$21,10,FALSE),
IF($A104&lt;'Pool &amp; SPA Sweep Elbows'!$A$12,VLOOKUP($A104,'Pool &amp; SPA Sweep Elbows'!$A$8:$M$11,10,FALSE),
IF($A104&lt;'Pool &amp; SPA Pipe Extender'!$A$11,VLOOKUP($A104,'Pool &amp; SPA Pipe Extender'!$A$8:$M$10,10,FALSE),
IF($A104&lt;'PVC SCH80'!$A$250,VLOOKUP($A104,'PVC SCH80'!$A$8:$M$249,10,FALSE),
IF($A104&lt;'PVC SCH80 Flange'!$A$49,VLOOKUP($A104,'PVC SCH80 Flange'!$A$8:$M$48,10,FALSE),
IF($A104&lt;'PVC SCH80 LD Flange'!$A$17,VLOOKUP($A104,'PVC SCH80 LD Flange'!$A$8:$M$16,10,FALSE),
IF($A104&lt;CPVC!$A$105,VLOOKUP($A104,CPVC!$A$9:$M$104,10,FALSE),
IF($A104&lt;InsertFittings!$A$185,VLOOKUP($A104,InsertFittings!$A$9:$M$184,10,FALSE),
IF($A104&lt;Valves!$A$92,VLOOKUP($A104,Valves!$A$9:$Q$91,14,FALSE),
IF($A104&lt;SDR35SW!$A$133,VLOOKUP($A104,SDR35SW!$A$9:$M$132,10,FALSE),
IF($A104&lt;SDR35G!$A$151,VLOOKUP($A104,SDR35G!$A$9:$M$150,10,FALSE),
IF($A104&lt;SDR26G!$A$67,VLOOKUP($A104,SDR26G!$A$9:$N$66,11,FALSE),
IF($A104&lt;Cements!$A$95,VLOOKUP($A104,Cements!$A$8:$Q$94,14,FALSE),
IF($A104&lt;ValveBox!$A$124,VLOOKUP($A104,ValveBox!$A$9:$O$123,12,FALSE),
IF($A104&lt;'ValveBox Components'!$A$142,VLOOKUP($A104,'ValveBox Components'!$A$9:$N$141,11,FALSE),
IF($A104&lt;Drainage!$A$69,VLOOKUP($A104,Drainage!$A$8:$M$68,10,FALSE),
IF($A104&lt;Nipples!$A$82,VLOOKUP($A104,Nipples!$A$9:$Q$81,14,FALSE),
IF($A104&lt;Manifold!$A$33,VLOOKUP($A104,Manifold!$A$9:$M$32,10,FALSE),
IF($A104&lt;FlexibleRepairCouplings!$A$12,VLOOKUP($A104,FlexibleRepairCouplings!$A$9:$M$11,10,FALSE),
IF($A104&lt;DuraFix!$A$15,VLOOKUP($A104,DuraFix!$A$9:$M$14,10,FALSE),
IF($A104&lt;'Compression Fittings'!$A$16,VLOOKUP($A104,'Compression Fittings'!$A$8:$M$15,10,FALSE),
IF($A104&lt;'Hose Fittings'!$A$30,VLOOKUP($A104,'Hose Fittings'!$A$8:$M$29,10,FALSE),
IF($A104&lt;'Swing Joints'!$A$495,VLOOKUP($A104,'Swing Joints'!$A$9:$M$494,10,FALSE),
IF($A104&lt;'Swing Joints Components'!$A$135,VLOOKUP($A104,'Swing Joints Components'!$A$9:$M$134,10,FALSE),
IF($A104&lt;Nonstandard!$A$42,VLOOKUP($A104,Nonstandard!$A$31:$J$41,10,FALSE),"")))))))))))))))))))))))))))),"")</f>
        <v/>
      </c>
      <c r="L104" s="539" t="str">
        <f t="shared" si="2"/>
        <v>-</v>
      </c>
      <c r="M104" s="542"/>
    </row>
    <row r="105" spans="1:13" ht="15.6">
      <c r="A105" s="312">
        <v>73</v>
      </c>
      <c r="B105" s="312" t="str">
        <f>IFERROR(IF($A105&lt;'DWV PVC'!$A$317,VLOOKUP($A105,'DWV PVC'!$A$9:$M$316,4,FALSE),
IF($A105&lt;'DWV ABS'!$A$117,VLOOKUP($A105,'DWV ABS'!$A$8:$M$116,4,FALSE),
IF($A105&lt;'PVC SCH40'!$A$425,VLOOKUP($A105,'PVC SCH40'!$A$8:$M$424,4,FALSE),
IF($A105&lt;'PVC SCH40 LD'!$A$22,VLOOKUP($A105,'PVC SCH40 LD'!$A$8:$M$21,4,FALSE),
IF($A105&lt;'Pool &amp; SPA Sweep Elbows'!$A$12,VLOOKUP($A105,'Pool &amp; SPA Sweep Elbows'!$A$8:$M$11,4,FALSE),
IF($A105&lt;'Pool &amp; SPA Pipe Extender'!$A$11,VLOOKUP($A105,'Pool &amp; SPA Pipe Extender'!$A$8:$M$10,4,FALSE),
IF($A105&lt;'PVC SCH80'!$A$250,VLOOKUP($A105,'PVC SCH80'!$A$8:$M$249,4,FALSE),
IF($A105&lt;'PVC SCH80 Flange'!$A$49,VLOOKUP($A105,'PVC SCH80 Flange'!$A$8:$M$48,4,FALSE),
IF($A105&lt;'PVC SCH80 LD Flange'!$A$17,VLOOKUP($A105,'PVC SCH80 LD Flange'!$A$8:$M$16,4,FALSE),
IF($A105&lt;CPVC!$A$105,VLOOKUP($A105,CPVC!$A$9:$M$104,4,FALSE),
IF($A105&lt;InsertFittings!$A$185,VLOOKUP($A105,InsertFittings!$A$9:$M$184,4,FALSE),
IF($A105&lt;Valves!$A$92,VLOOKUP($A105,Valves!$A$9:$Q$91,4,FALSE),
IF($A105&lt;SDR35SW!$A$133,VLOOKUP($A105,SDR35SW!$A$9:$M$132,4,FALSE),
IF($A105&lt;SDR35G!$A$151,VLOOKUP($A105,SDR35G!$A$9:$M$150,4,FALSE),
IF($A105&lt;SDR26G!$A$67,VLOOKUP($A105,SDR26G!$A$9:$N$66,5,FALSE),
IF($A105&lt;Cements!$A$95,VLOOKUP($A105,Cements!$A$8:$Q$94,4,FALSE),
IF($A105&lt;ValveBox!$A$124,VLOOKUP($A105,ValveBox!$A$9:$O$123,4,FALSE),
IF($A105&lt;'ValveBox Components'!$A$142,VLOOKUP($A105,'ValveBox Components'!$A$9:$N$141,4,FALSE),
IF($A105&lt;Drainage!$A$69,VLOOKUP($A105,Drainage!$A$8:$M$68,4,FALSE),
IF($A105&lt;Nipples!$A$82,VLOOKUP($A105,Nipples!$A$9:$Q$81,4,FALSE),
IF($A105&lt;Manifold!$A$33,VLOOKUP($A105,Manifold!$A$9:$M$32,4,FALSE),
IF($A105&lt;FlexibleRepairCouplings!$A$12,VLOOKUP($A105,FlexibleRepairCouplings!$A$9:$M$11,4,FALSE),
IF($A105&lt;DuraFix!$A$15,VLOOKUP($A105,DuraFix!$A$9:$M$14,4,FALSE),
IF($A105&lt;'Compression Fittings'!$A$16,VLOOKUP($A105,'Compression Fittings'!$A$8:$M$15,4,FALSE),
IF($A105&lt;'Hose Fittings'!$A$30,VLOOKUP($A105,'Hose Fittings'!$A$8:$M$29,4,FALSE),
IF($A105&lt;'Swing Joints'!$A$495,VLOOKUP($A105,'Swing Joints'!$A$9:$M$494,4,FALSE),
IF($A105&lt;'Swing Joints Components'!$A$135,VLOOKUP($A105,'Swing Joints Components'!$A$9:$M$134,4,FALSE),
IF($A105&lt;Nonstandard!$A$42,VLOOKUP($A105,Nonstandard!$A$31:$J$41,5,FALSE),"")))))))))))))))))))))))))))),"")</f>
        <v/>
      </c>
      <c r="C105" s="312" t="str">
        <f>IFERROR(IF($A105&lt;'DWV PVC'!$A$317,VLOOKUP($A105,'DWV PVC'!$A$9:$M$316,5,FALSE),
IF($A105&lt;'DWV ABS'!$A$117,VLOOKUP($A105,'DWV ABS'!$A$8:$M$116,5,FALSE),
IF($A105&lt;'PVC SCH40'!$A$425,VLOOKUP($A105,'PVC SCH40'!$A$8:$M$424,5,FALSE),
IF($A105&lt;'PVC SCH40 LD'!$A$22,VLOOKUP($A105,'PVC SCH40 LD'!$A$8:$M$21,5,FALSE),
IF($A105&lt;'Pool &amp; SPA Sweep Elbows'!$A$12,VLOOKUP($A105,'Pool &amp; SPA Sweep Elbows'!$A$8:$M$11,5,FALSE),
IF($A105&lt;'Pool &amp; SPA Pipe Extender'!$A$11,VLOOKUP($A105,'Pool &amp; SPA Pipe Extender'!$A$8:$M$10,5,FALSE),
IF($A105&lt;'PVC SCH80'!$A$250,VLOOKUP($A105,'PVC SCH80'!$A$8:$M$249,5,FALSE),
IF($A105&lt;'PVC SCH80 Flange'!$A$49,VLOOKUP($A105,'PVC SCH80 Flange'!$A$8:$M$48,5,FALSE),
IF($A105&lt;'PVC SCH80 LD Flange'!$A$17,VLOOKUP($A105,'PVC SCH80 LD Flange'!$A$8:$M$16,5,FALSE),
IF($A105&lt;CPVC!$A$105,VLOOKUP($A105,CPVC!$A$9:$M$104,5,FALSE),
IF($A105&lt;InsertFittings!$A$185,VLOOKUP($A105,InsertFittings!$A$9:$M$184,5,FALSE),
IF($A105&lt;Valves!$A$92,VLOOKUP($A105,Valves!$A$9:$Q$91,5,FALSE),
IF($A105&lt;SDR35SW!$A$133,VLOOKUP($A105,SDR35SW!$A$9:$M$132,5,FALSE),
IF($A105&lt;SDR35G!$A$151,VLOOKUP($A105,SDR35G!$A$9:$M$150,5,FALSE),
IF($A105&lt;SDR26G!$A$67,VLOOKUP($A105,SDR26G!$A$9:$N$66,6,FALSE),
IF($A105&lt;Cements!$A$95,VLOOKUP($A105,Cements!$A$8:$Q$94,5,FALSE),
IF($A105&lt;ValveBox!$A$124,VLOOKUP($A105,ValveBox!$A$9:$O$123,5,FALSE),
IF($A105&lt;'ValveBox Components'!$A$142,VLOOKUP($A105,'ValveBox Components'!$A$9:$N$141,5,FALSE),
IF($A105&lt;Drainage!$A$69,VLOOKUP($A105,Drainage!$A$8:$M$68,5,FALSE),
IF($A105&lt;Nipples!$A$82,VLOOKUP($A105,Nipples!$A$9:$Q$81,5,FALSE),
IF($A105&lt;Manifold!$A$33,VLOOKUP($A105,Manifold!$A$9:$M$32,5,FALSE),
IF($A105&lt;FlexibleRepairCouplings!$A$12,VLOOKUP($A105,FlexibleRepairCouplings!$A$9:$M$11,5,FALSE),
IF($A105&lt;DuraFix!$A$15,VLOOKUP($A105,DuraFix!$A$9:$M$14,5,FALSE),
IF($A105&lt;'Compression Fittings'!$A$16,VLOOKUP($A105,'Compression Fittings'!$A$8:$M$15,5,FALSE),
IF($A105&lt;'Hose Fittings'!$A$30,VLOOKUP($A105,'Hose Fittings'!$A$8:$M$29,5,FALSE),
IF($A105&lt;'Swing Joints'!$A$495,VLOOKUP($A105,'Swing Joints'!$A$9:$M$494,5,FALSE),
IF($A105&lt;'Swing Joints Components'!$A$135,VLOOKUP($A105,'Swing Joints Components'!$A$9:$M$134,5,FALSE),
IF($A105&lt;Nonstandard!$A$42,VLOOKUP($A105,Nonstandard!$A$31:$J$41,6,FALSE),"")))))))))))))))))))))))))))),"")</f>
        <v/>
      </c>
      <c r="D105" s="534" t="str">
        <f>IFERROR(IF($A105&lt;'DWV PVC'!$A$317,VLOOKUP($A105,'DWV PVC'!$A$9:$M$316,6,FALSE),
IF($A105&lt;'DWV ABS'!$A$117,VLOOKUP($A105,'DWV ABS'!$A$8:$M$116,6,FALSE),
IF($A105&lt;'PVC SCH40'!$A$425,VLOOKUP($A105,'PVC SCH40'!$A$8:$M$424,6,FALSE),
IF($A105&lt;'PVC SCH40 LD'!$A$22,VLOOKUP($A105,'PVC SCH40 LD'!$A$8:$M$21,6,FALSE),
IF($A105&lt;'Pool &amp; SPA Sweep Elbows'!$A$12,VLOOKUP($A105,'Pool &amp; SPA Sweep Elbows'!$A$8:$M$11,6,FALSE),
IF($A105&lt;'Pool &amp; SPA Pipe Extender'!$A$11,VLOOKUP($A105,'Pool &amp; SPA Pipe Extender'!$A$8:$M$10,6,FALSE),
IF($A105&lt;'PVC SCH80'!$A$250,VLOOKUP($A105,'PVC SCH80'!$A$8:$M$249,6,FALSE),
IF($A105&lt;'PVC SCH80 Flange'!$A$49,VLOOKUP($A105,'PVC SCH80 Flange'!$A$8:$M$48,6,FALSE),
IF($A105&lt;'PVC SCH80 LD Flange'!$A$17,VLOOKUP($A105,'PVC SCH80 LD Flange'!$A$8:$M$16,6,FALSE),
IF($A105&lt;CPVC!$A$105,VLOOKUP($A105,CPVC!$A$9:$M$104,6,FALSE),
IF($A105&lt;InsertFittings!$A$185,VLOOKUP($A105,InsertFittings!$A$9:$M$184,6,FALSE),
IF($A105&lt;Valves!$A$92,VLOOKUP($A105,Valves!$A$9:$Q$91,6,FALSE),
IF($A105&lt;SDR35SW!$A$133,VLOOKUP($A105,SDR35SW!$A$9:$M$132,6,FALSE),
IF($A105&lt;SDR35G!$A$151,VLOOKUP($A105,SDR35G!$A$9:$M$150,6,FALSE),
IF($A105&lt;SDR26G!$A$67,VLOOKUP($A105,SDR26G!$A$9:$N$66,7,FALSE),
IF($A105&lt;Cements!$A$95,VLOOKUP($A105,Cements!$A$8:$Q$94,6,FALSE),
IF($A105&lt;ValveBox!$A$124,VLOOKUP($A105,ValveBox!$A$9:$O$123,6,FALSE),
IF($A105&lt;'ValveBox Components'!$A$142,VLOOKUP($A105,'ValveBox Components'!$A$9:$N$141,6,FALSE),
IF($A105&lt;Drainage!$A$69,VLOOKUP($A105,Drainage!$A$8:$M$68,6,FALSE),
IF($A105&lt;Nipples!$A$82,VLOOKUP($A105,Nipples!$A$9:$Q$81,6,FALSE),
IF($A105&lt;Manifold!$A$33,VLOOKUP($A105,Manifold!$A$9:$M$32,6,FALSE),
IF($A105&lt;FlexibleRepairCouplings!$A$12,VLOOKUP($A105,FlexibleRepairCouplings!$A$9:$M$11,6,FALSE),
IF($A105&lt;DuraFix!$A$15,VLOOKUP($A105,DuraFix!$A$9:$M$14,6,FALSE),
IF($A105&lt;'Compression Fittings'!$A$16,VLOOKUP($A105,'Compression Fittings'!$A$8:$M$15,6,FALSE),
IF($A105&lt;'Hose Fittings'!$A$30,VLOOKUP($A105,'Hose Fittings'!$A$8:$M$29,6,FALSE),
IF($A105&lt;'Swing Joints'!$A$495,VLOOKUP($A105,'Swing Joints'!$A$9:$M$494,6,FALSE),
IF($A105&lt;'Swing Joints Components'!$A$135,VLOOKUP($A105,'Swing Joints Components'!$A$9:$M$134,6,FALSE),
IF($A105&lt;Nonstandard!$A$42,VLOOKUP($A105,Nonstandard!$A$31:$J$41,7,FALSE),"")))))))))))))))))))))))))))),"")</f>
        <v/>
      </c>
      <c r="E105" s="316"/>
      <c r="F105" s="314" t="str">
        <f>IFERROR(IF($A105&lt;'DWV PVC'!$A$317,VLOOKUP($A105,'DWV PVC'!$A$9:$M$316,9,FALSE),
IF($A105&lt;'DWV ABS'!$A$117,VLOOKUP($A105,'DWV ABS'!$A$8:$M$116,9,FALSE),                                                                                                                                                                                                                                                     IF($A105&lt;'PVC SCH40'!$A$425,VLOOKUP($A105,'PVC SCH40'!$A$8:$M$424,9,FALSE),
IF($A105&lt;'PVC SCH40 LD'!$A$22,VLOOKUP($A105,'PVC SCH40 LD'!$A$8:$M$21,9,FALSE),
IF($A105&lt;'Pool &amp; SPA Sweep Elbows'!$A$12,VLOOKUP($A105,'Pool &amp; SPA Sweep Elbows'!$A$8:$M$11,9,FALSE),
IF($A105&lt;'Pool &amp; SPA Pipe Extender'!$A$11,VLOOKUP($A105,'Pool &amp; SPA Pipe Extender'!$A$8:$M$10,9,FALSE),
IF($A105&lt;'PVC SCH80'!$A$250,VLOOKUP($A105,'PVC SCH80'!$A$8:$M$249,9,FALSE),
IF($A105&lt;'PVC SCH80 Flange'!$A$49,VLOOKUP($A105,'PVC SCH80 Flange'!$A$8:$M$48,9,FALSE),
IF($A105&lt;'PVC SCH80 LD Flange'!$A$17,VLOOKUP($A105,'PVC SCH80 LD Flange'!$A$8:$M$16,9,FALSE),
IF($A105&lt;CPVC!$A$105,VLOOKUP($A105,CPVC!$A$9:$M$104,9,FALSE),
IF($A105&lt;InsertFittings!$A$185,VLOOKUP($A105,InsertFittings!$A$9:$M$184,9,FALSE),
IF($A105&lt;Valves!$A$92,VLOOKUP($A105,Valves!$A$9:$Q$91,13,FALSE),
IF($A105&lt;SDR35SW!$A$133,VLOOKUP($A105,SDR35SW!$A$9:$M$132,9,FALSE),
IF($A105&lt;SDR35G!$A$151,VLOOKUP($A105,SDR35G!$A$9:$M$150,9,FALSE),                                                                                                                                                                                                                                                          IF($A105&lt;SDR26G!$A$67,VLOOKUP($A105,SDR26G!$A$9:$N$66,10,FALSE),                                                                                                                                                                                                                                                       IF($A105&lt;Cements!$A$95,VLOOKUP($A105,Cements!$A$8:$Q$94,13,FALSE),
IF($A105&lt;ValveBox!$A$124,VLOOKUP($A105,ValveBox!$A$9:$O$123,11,FALSE),
IF($A105&lt;'ValveBox Components'!$A$142,VLOOKUP($A105,'ValveBox Components'!$A$9:$N$141,10,FALSE),
IF($A105&lt;Drainage!$A$69,VLOOKUP($A105,Drainage!$A$8:$M$68,9,FALSE),                                                                                                                                                                                                                                                              IF($A105&lt;Nipples!$A$82,VLOOKUP($A105,Nipples!$A$9:$Q$81,13,FALSE),
IF($A105&lt;Manifold!$A$33,VLOOKUP($A105,Manifold!$A$9:$M$32,9,FALSE),
IF($A105&lt;FlexibleRepairCouplings!$A$12,VLOOKUP($A105,FlexibleRepairCouplings!$A$9:$M$11,9,FALSE),
IF($A105&lt;DuraFix!$A$15,VLOOKUP($A105,DuraFix!$A$9:$M$14,9,FALSE),                                                                                                                                                                                                                                                          IF($A105&lt;'Compression Fittings'!$A$16,VLOOKUP($A105,'Compression Fittings'!$A$8:$M$15,9,FALSE),
IF($A105&lt;'Hose Fittings'!$A$30,VLOOKUP($A105,'Hose Fittings'!$A$8:$M$29,9,FALSE),
IF($A105&lt;'Swing Joints'!$A$495,VLOOKUP($A105,'Swing Joints'!$A$9:$M$494,9,FALSE),
IF($A105&lt;'Swing Joints Components'!$A$135,VLOOKUP($A105,'Swing Joints Components'!$A$9:$M$134,9,FALSE),
IF($A105&lt;Nonstandard!$A$42,VLOOKUP($A105,Nonstandard!$A$31:$J$41,8,FALSE),"")))))))))))))))))))))))))))),"")</f>
        <v/>
      </c>
      <c r="G105" s="533" t="str">
        <f>IFERROR(IF($A105&lt;'DWV PVC'!$A$317,VLOOKUP($A105,'DWV PVC'!$A$9:$M$316,11,FALSE),
IF($A105&lt;'DWV ABS'!$A$117,VLOOKUP($A105,'DWV ABS'!$A$8:$M$116,11,FALSE),                                                                                                                                                                                                                                                     IF($A105&lt;'PVC SCH40'!$A$425,VLOOKUP($A105,'PVC SCH40'!$A$8:$M$424,11,FALSE),
IF($A105&lt;'PVC SCH40 LD'!$A$22,VLOOKUP($A105,'PVC SCH40 LD'!$A$8:$M$21,11,FALSE),
IF($A105&lt;'Pool &amp; SPA Sweep Elbows'!$A$12,VLOOKUP($A105,'Pool &amp; SPA Sweep Elbows'!$A$8:$M$11,11,FALSE),
IF($A105&lt;'Pool &amp; SPA Pipe Extender'!$A$11,VLOOKUP($A105,'Pool &amp; SPA Pipe Extender'!$A$8:$M$10,11,FALSE),
IF($A105&lt;'PVC SCH80'!$A$250,VLOOKUP($A105,'PVC SCH80'!$A$8:$M$249,11,FALSE),
IF($A105&lt;'PVC SCH80 Flange'!$A$49,VLOOKUP($A105,'PVC SCH80 Flange'!$A$8:$M$48,11,FALSE),
IF($A105&lt;'PVC SCH80 LD Flange'!$A$17,VLOOKUP($A105,'PVC SCH80 LD Flange'!$A$8:$M$16,11,FALSE),
IF($A105&lt;CPVC!$A$105,VLOOKUP($A105,CPVC!$A$9:$M$104,11,FALSE),
IF($A105&lt;InsertFittings!$A$185,VLOOKUP($A105,InsertFittings!$A$9:$M$184,11,FALSE),
IF($A105&lt;Valves!$A$92,VLOOKUP($A105,Valves!$A$9:$Q$91,15,FALSE),
IF($A105&lt;SDR35SW!$A$133,VLOOKUP($A105,SDR35SW!$A$9:$M$132,11,FALSE),
IF($A105&lt;SDR35G!$A$151,VLOOKUP($A105,SDR35G!$A$9:$M$150,11,FALSE),                                                                                                                                                                                                                                                          IF($A105&lt;SDR26G!$A$67,VLOOKUP($A105,SDR26G!$A$9:$N$66,12,FALSE),                                                                                                                                                                                                                                                       IF($A105&lt;Cements!$A$95,VLOOKUP($A105,Cements!$A$8:$Q$94,15,FALSE),
IF($A105&lt;ValveBox!$A$124,VLOOKUP($A105,ValveBox!$A$9:$O$123,13,FALSE),
IF($A105&lt;'ValveBox Components'!$A$142,VLOOKUP($A105,'ValveBox Components'!$A$9:$N$141,12,FALSE),
IF($A105&lt;Drainage!$A$69,VLOOKUP($A105,Drainage!$A$8:$M$68,11,FALSE),                                                                                                                                                                                                                                                           IF($A105&lt;Nipples!$A$82,VLOOKUP($A105,Nipples!$A$9:$Q$81,15,FALSE),
IF($A105&lt;Manifold!$A$33,VLOOKUP($A105,Manifold!$A$9:$M$32,11,FALSE),
IF($A105&lt;FlexibleRepairCouplings!$A$12,VLOOKUP($A105,FlexibleRepairCouplings!$A$9:$M$11,11,FALSE),
IF($A105&lt;DuraFix!$A$15,VLOOKUP($A105,DuraFix!$A$9:$M$14,11,FALSE),                                                                                                                                                                                                                                                            IF($A105&lt;'Compression Fittings'!$A$16,VLOOKUP($A105,'Compression Fittings'!$A$8:$M$15,11,FALSE),
IF($A105&lt;'Hose Fittings'!$A$30,VLOOKUP($A105,'Hose Fittings'!$A$8:$M$29,11,FALSE),
IF($A105&lt;'Swing Joints'!$A$495,VLOOKUP($A105,'Swing Joints'!$A$9:$M$494,11,FALSE),
IF($A105&lt;'Swing Joints Components'!$A$135,VLOOKUP($A105,'Swing Joints Components'!$A$9:$M$134,11,FALSE),
IF($A105&lt;Nonstandard!$A$42,VLOOKUP($A105,Nonstandard!$A$31:$J$41,10,FALSE),"")))))))))))))))))))))))))))),"")</f>
        <v/>
      </c>
      <c r="H105" s="618" t="str">
        <f>IFERROR(IF($A105&lt;'DWV PVC'!$A$317,VLOOKUP($A105,'DWV PVC'!$A$9:$M$316,7,FALSE),
IF($A105&lt;'DWV ABS'!$A$117,VLOOKUP($A105,'DWV ABS'!$A$8:$M$116,11,FALSE),                                                                                                                                                                                                                                                     IF($A105&lt;'PVC SCH40'!$A$425,VLOOKUP($A105,'PVC SCH40'!$A$8:$M$424,7,FALSE),
IF($A105&lt;'PVC SCH40 LD'!$A$22,VLOOKUP($A105,'PVC SCH40 LD'!$A$8:$M$21,7,FALSE),
IF($A105&lt;'Pool &amp; SPA Sweep Elbows'!$A$12,VLOOKUP($A105,'Pool &amp; SPA Sweep Elbows'!$A$8:$M$11,7,FALSE),
IF($A105&lt;'Pool &amp; SPA Pipe Extender'!$A$11,VLOOKUP($A105,'Pool &amp; SPA Pipe Extender'!$A$8:$M$10,7,FALSE),
IF($A105&lt;'PVC SCH80'!$A$250,VLOOKUP($A105,'PVC SCH80'!$A$8:$M$249,7,FALSE),
IF($A105&lt;'PVC SCH80 Flange'!$A$49,VLOOKUP($A105,'PVC SCH80 Flange'!$A$8:$M$48,7,FALSE),
IF($A105&lt;'PVC SCH80 LD Flange'!$A$17,VLOOKUP($A105,'PVC SCH80 LD Flange'!$A$8:$M$16,7,FALSE),
IF($A105&lt;CPVC!$A$105,VLOOKUP($A105,CPVC!$A$9:$M$104,7,FALSE),
IF($A105&lt;InsertFittings!$A$185,VLOOKUP($A105,InsertFittings!$A$9:$M$184,7,FALSE),
IF($A105&lt;Valves!$A$92,VLOOKUP($A105,Valves!$A$9:$Q$91,11,FALSE),
IF($A105&lt;SDR35SW!$A$133,VLOOKUP($A105,SDR35SW!$A$9:$M$132,7,FALSE),
IF($A105&lt;SDR35G!$A$151,VLOOKUP($A105,SDR35G!$A$9:$M$150,7,FALSE),                                                                                                                                                                                                                                                       IF($A105&lt;SDR26G!$A$67,VLOOKUP($A105,SDR26G!$A$9:$N$66,8,FALSE),                                                                                                                                                                                                                                                     IF($A105&lt;Cements!$A$95,VLOOKUP($A105,Cements!$A$8:$Q$94,11,FALSE),
IF($A105&lt;ValveBox!$A$124,VLOOKUP($A105,ValveBox!$A$9:$O$123,10,FALSE),
IF($A105&lt;'ValveBox Components'!$A$142,VLOOKUP($A105,'ValveBox Components'!$A$9:$N$141,9,FALSE),
IF($A105&lt;Drainage!$A$69,VLOOKUP($A105,Drainage!$A$8:$M$68,7,FALSE),                                                                                                                                                                                                                                                          IF($A105&lt;Nipples!$A$82,VLOOKUP($A105,Nipples!$A$9:$Q$81,11,FALSE),
IF($A105&lt;Manifold!$A$33,VLOOKUP($A105,Manifold!$A$9:$M$32,7,FALSE),
IF($A105&lt;FlexibleRepairCouplings!$A$12,VLOOKUP($A105,FlexibleRepairCouplings!$A$9:$M$11,7,FALSE),
IF($A105&lt;DuraFix!$A$15,VLOOKUP($A105,DuraFix!$A$9:$M$14,7,FALSE),                                                                                                                                                                                                                                                           IF($A105&lt;'Compression Fittings'!$A$16,VLOOKUP($A105,'Compression Fittings'!$A$8:$M$15,7,FALSE),
IF($A105&lt;'Hose Fittings'!$A$30,VLOOKUP($A105,'Hose Fittings'!$A$8:$M$29,7,FALSE),
IF($A105&lt;'Swing Joints'!$A$495,VLOOKUP($A105,'Swing Joints'!$A$9:$M$494,7,FALSE),
IF($A105&lt;'Swing Joints Components'!$A$135,VLOOKUP($A105,'Swing Joints Components'!$A$9:$M$134,7,FALSE),
IF($A105&lt;Nonstandard!$A$42,VLOOKUP($A105,Nonstandard!$A$31:$J$41,10,FALSE),"")))))))))))))))))))))))))))),"")</f>
        <v/>
      </c>
      <c r="I105" s="619"/>
      <c r="J105" s="281" t="str">
        <f t="shared" si="3"/>
        <v/>
      </c>
      <c r="K105" s="313" t="str">
        <f>IFERROR(IF($A105&lt;'DWV PVC'!$A$317,VLOOKUP($A105,'DWV PVC'!$A$9:$M$316,10,FALSE),
IF($A105&lt;'DWV ABS'!$A$117,VLOOKUP($A105,'DWV ABS'!$A$8:$M$116,10,FALSE),
IF($A105&lt;'PVC SCH40'!$A$425,VLOOKUP($A105,'PVC SCH40'!$A$8:$M$424,10,FALSE),
IF($A105&lt;'PVC SCH40 LD'!$A$22,VLOOKUP($A105,'PVC SCH40 LD'!$A$8:$M$21,10,FALSE),
IF($A105&lt;'Pool &amp; SPA Sweep Elbows'!$A$12,VLOOKUP($A105,'Pool &amp; SPA Sweep Elbows'!$A$8:$M$11,10,FALSE),
IF($A105&lt;'Pool &amp; SPA Pipe Extender'!$A$11,VLOOKUP($A105,'Pool &amp; SPA Pipe Extender'!$A$8:$M$10,10,FALSE),
IF($A105&lt;'PVC SCH80'!$A$250,VLOOKUP($A105,'PVC SCH80'!$A$8:$M$249,10,FALSE),
IF($A105&lt;'PVC SCH80 Flange'!$A$49,VLOOKUP($A105,'PVC SCH80 Flange'!$A$8:$M$48,10,FALSE),
IF($A105&lt;'PVC SCH80 LD Flange'!$A$17,VLOOKUP($A105,'PVC SCH80 LD Flange'!$A$8:$M$16,10,FALSE),
IF($A105&lt;CPVC!$A$105,VLOOKUP($A105,CPVC!$A$9:$M$104,10,FALSE),
IF($A105&lt;InsertFittings!$A$185,VLOOKUP($A105,InsertFittings!$A$9:$M$184,10,FALSE),
IF($A105&lt;Valves!$A$92,VLOOKUP($A105,Valves!$A$9:$Q$91,14,FALSE),
IF($A105&lt;SDR35SW!$A$133,VLOOKUP($A105,SDR35SW!$A$9:$M$132,10,FALSE),
IF($A105&lt;SDR35G!$A$151,VLOOKUP($A105,SDR35G!$A$9:$M$150,10,FALSE),
IF($A105&lt;SDR26G!$A$67,VLOOKUP($A105,SDR26G!$A$9:$N$66,11,FALSE),
IF($A105&lt;Cements!$A$95,VLOOKUP($A105,Cements!$A$8:$Q$94,14,FALSE),
IF($A105&lt;ValveBox!$A$124,VLOOKUP($A105,ValveBox!$A$9:$O$123,12,FALSE),
IF($A105&lt;'ValveBox Components'!$A$142,VLOOKUP($A105,'ValveBox Components'!$A$9:$N$141,11,FALSE),
IF($A105&lt;Drainage!$A$69,VLOOKUP($A105,Drainage!$A$8:$M$68,10,FALSE),
IF($A105&lt;Nipples!$A$82,VLOOKUP($A105,Nipples!$A$9:$Q$81,14,FALSE),
IF($A105&lt;Manifold!$A$33,VLOOKUP($A105,Manifold!$A$9:$M$32,10,FALSE),
IF($A105&lt;FlexibleRepairCouplings!$A$12,VLOOKUP($A105,FlexibleRepairCouplings!$A$9:$M$11,10,FALSE),
IF($A105&lt;DuraFix!$A$15,VLOOKUP($A105,DuraFix!$A$9:$M$14,10,FALSE),
IF($A105&lt;'Compression Fittings'!$A$16,VLOOKUP($A105,'Compression Fittings'!$A$8:$M$15,10,FALSE),
IF($A105&lt;'Hose Fittings'!$A$30,VLOOKUP($A105,'Hose Fittings'!$A$8:$M$29,10,FALSE),
IF($A105&lt;'Swing Joints'!$A$495,VLOOKUP($A105,'Swing Joints'!$A$9:$M$494,10,FALSE),
IF($A105&lt;'Swing Joints Components'!$A$135,VLOOKUP($A105,'Swing Joints Components'!$A$9:$M$134,10,FALSE),
IF($A105&lt;Nonstandard!$A$42,VLOOKUP($A105,Nonstandard!$A$31:$J$41,10,FALSE),"")))))))))))))))))))))))))))),"")</f>
        <v/>
      </c>
      <c r="L105" s="314" t="str">
        <f t="shared" si="2"/>
        <v>-</v>
      </c>
      <c r="M105" s="315"/>
    </row>
    <row r="106" spans="1:13" ht="15.6">
      <c r="A106" s="536">
        <v>74</v>
      </c>
      <c r="B106" s="536" t="str">
        <f>IFERROR(IF($A106&lt;'DWV PVC'!$A$317,VLOOKUP($A106,'DWV PVC'!$A$9:$M$316,4,FALSE),
IF($A106&lt;'DWV ABS'!$A$117,VLOOKUP($A106,'DWV ABS'!$A$8:$M$116,4,FALSE),
IF($A106&lt;'PVC SCH40'!$A$425,VLOOKUP($A106,'PVC SCH40'!$A$8:$M$424,4,FALSE),
IF($A106&lt;'PVC SCH40 LD'!$A$22,VLOOKUP($A106,'PVC SCH40 LD'!$A$8:$M$21,4,FALSE),
IF($A106&lt;'Pool &amp; SPA Sweep Elbows'!$A$12,VLOOKUP($A106,'Pool &amp; SPA Sweep Elbows'!$A$8:$M$11,4,FALSE),
IF($A106&lt;'Pool &amp; SPA Pipe Extender'!$A$11,VLOOKUP($A106,'Pool &amp; SPA Pipe Extender'!$A$8:$M$10,4,FALSE),
IF($A106&lt;'PVC SCH80'!$A$250,VLOOKUP($A106,'PVC SCH80'!$A$8:$M$249,4,FALSE),
IF($A106&lt;'PVC SCH80 Flange'!$A$49,VLOOKUP($A106,'PVC SCH80 Flange'!$A$8:$M$48,4,FALSE),
IF($A106&lt;'PVC SCH80 LD Flange'!$A$17,VLOOKUP($A106,'PVC SCH80 LD Flange'!$A$8:$M$16,4,FALSE),
IF($A106&lt;CPVC!$A$105,VLOOKUP($A106,CPVC!$A$9:$M$104,4,FALSE),
IF($A106&lt;InsertFittings!$A$185,VLOOKUP($A106,InsertFittings!$A$9:$M$184,4,FALSE),
IF($A106&lt;Valves!$A$92,VLOOKUP($A106,Valves!$A$9:$Q$91,4,FALSE),
IF($A106&lt;SDR35SW!$A$133,VLOOKUP($A106,SDR35SW!$A$9:$M$132,4,FALSE),
IF($A106&lt;SDR35G!$A$151,VLOOKUP($A106,SDR35G!$A$9:$M$150,4,FALSE),
IF($A106&lt;SDR26G!$A$67,VLOOKUP($A106,SDR26G!$A$9:$N$66,5,FALSE),
IF($A106&lt;Cements!$A$95,VLOOKUP($A106,Cements!$A$8:$Q$94,4,FALSE),
IF($A106&lt;ValveBox!$A$124,VLOOKUP($A106,ValveBox!$A$9:$O$123,4,FALSE),
IF($A106&lt;'ValveBox Components'!$A$142,VLOOKUP($A106,'ValveBox Components'!$A$9:$N$141,4,FALSE),
IF($A106&lt;Drainage!$A$69,VLOOKUP($A106,Drainage!$A$8:$M$68,4,FALSE),
IF($A106&lt;Nipples!$A$82,VLOOKUP($A106,Nipples!$A$9:$Q$81,4,FALSE),
IF($A106&lt;Manifold!$A$33,VLOOKUP($A106,Manifold!$A$9:$M$32,4,FALSE),
IF($A106&lt;FlexibleRepairCouplings!$A$12,VLOOKUP($A106,FlexibleRepairCouplings!$A$9:$M$11,4,FALSE),
IF($A106&lt;DuraFix!$A$15,VLOOKUP($A106,DuraFix!$A$9:$M$14,4,FALSE),
IF($A106&lt;'Compression Fittings'!$A$16,VLOOKUP($A106,'Compression Fittings'!$A$8:$M$15,4,FALSE),
IF($A106&lt;'Hose Fittings'!$A$30,VLOOKUP($A106,'Hose Fittings'!$A$8:$M$29,4,FALSE),
IF($A106&lt;'Swing Joints'!$A$495,VLOOKUP($A106,'Swing Joints'!$A$9:$M$494,4,FALSE),
IF($A106&lt;'Swing Joints Components'!$A$135,VLOOKUP($A106,'Swing Joints Components'!$A$9:$M$134,4,FALSE),
IF($A106&lt;Nonstandard!$A$42,VLOOKUP($A106,Nonstandard!$A$31:$J$41,5,FALSE),"")))))))))))))))))))))))))))),"")</f>
        <v/>
      </c>
      <c r="C106" s="536" t="str">
        <f>IFERROR(IF($A106&lt;'DWV PVC'!$A$317,VLOOKUP($A106,'DWV PVC'!$A$9:$M$316,5,FALSE),
IF($A106&lt;'DWV ABS'!$A$117,VLOOKUP($A106,'DWV ABS'!$A$8:$M$116,5,FALSE),
IF($A106&lt;'PVC SCH40'!$A$425,VLOOKUP($A106,'PVC SCH40'!$A$8:$M$424,5,FALSE),
IF($A106&lt;'PVC SCH40 LD'!$A$22,VLOOKUP($A106,'PVC SCH40 LD'!$A$8:$M$21,5,FALSE),
IF($A106&lt;'Pool &amp; SPA Sweep Elbows'!$A$12,VLOOKUP($A106,'Pool &amp; SPA Sweep Elbows'!$A$8:$M$11,5,FALSE),
IF($A106&lt;'Pool &amp; SPA Pipe Extender'!$A$11,VLOOKUP($A106,'Pool &amp; SPA Pipe Extender'!$A$8:$M$10,5,FALSE),
IF($A106&lt;'PVC SCH80'!$A$250,VLOOKUP($A106,'PVC SCH80'!$A$8:$M$249,5,FALSE),
IF($A106&lt;'PVC SCH80 Flange'!$A$49,VLOOKUP($A106,'PVC SCH80 Flange'!$A$8:$M$48,5,FALSE),
IF($A106&lt;'PVC SCH80 LD Flange'!$A$17,VLOOKUP($A106,'PVC SCH80 LD Flange'!$A$8:$M$16,5,FALSE),
IF($A106&lt;CPVC!$A$105,VLOOKUP($A106,CPVC!$A$9:$M$104,5,FALSE),
IF($A106&lt;InsertFittings!$A$185,VLOOKUP($A106,InsertFittings!$A$9:$M$184,5,FALSE),
IF($A106&lt;Valves!$A$92,VLOOKUP($A106,Valves!$A$9:$Q$91,5,FALSE),
IF($A106&lt;SDR35SW!$A$133,VLOOKUP($A106,SDR35SW!$A$9:$M$132,5,FALSE),
IF($A106&lt;SDR35G!$A$151,VLOOKUP($A106,SDR35G!$A$9:$M$150,5,FALSE),
IF($A106&lt;SDR26G!$A$67,VLOOKUP($A106,SDR26G!$A$9:$N$66,6,FALSE),
IF($A106&lt;Cements!$A$95,VLOOKUP($A106,Cements!$A$8:$Q$94,5,FALSE),
IF($A106&lt;ValveBox!$A$124,VLOOKUP($A106,ValveBox!$A$9:$O$123,5,FALSE),
IF($A106&lt;'ValveBox Components'!$A$142,VLOOKUP($A106,'ValveBox Components'!$A$9:$N$141,5,FALSE),
IF($A106&lt;Drainage!$A$69,VLOOKUP($A106,Drainage!$A$8:$M$68,5,FALSE),
IF($A106&lt;Nipples!$A$82,VLOOKUP($A106,Nipples!$A$9:$Q$81,5,FALSE),
IF($A106&lt;Manifold!$A$33,VLOOKUP($A106,Manifold!$A$9:$M$32,5,FALSE),
IF($A106&lt;FlexibleRepairCouplings!$A$12,VLOOKUP($A106,FlexibleRepairCouplings!$A$9:$M$11,5,FALSE),
IF($A106&lt;DuraFix!$A$15,VLOOKUP($A106,DuraFix!$A$9:$M$14,5,FALSE),
IF($A106&lt;'Compression Fittings'!$A$16,VLOOKUP($A106,'Compression Fittings'!$A$8:$M$15,5,FALSE),
IF($A106&lt;'Hose Fittings'!$A$30,VLOOKUP($A106,'Hose Fittings'!$A$8:$M$29,5,FALSE),
IF($A106&lt;'Swing Joints'!$A$495,VLOOKUP($A106,'Swing Joints'!$A$9:$M$494,5,FALSE),
IF($A106&lt;'Swing Joints Components'!$A$135,VLOOKUP($A106,'Swing Joints Components'!$A$9:$M$134,5,FALSE),
IF($A106&lt;Nonstandard!$A$42,VLOOKUP($A106,Nonstandard!$A$31:$J$41,6,FALSE),"")))))))))))))))))))))))))))),"")</f>
        <v/>
      </c>
      <c r="D106" s="537" t="str">
        <f>IFERROR(IF($A106&lt;'DWV PVC'!$A$317,VLOOKUP($A106,'DWV PVC'!$A$9:$M$316,6,FALSE),
IF($A106&lt;'DWV ABS'!$A$117,VLOOKUP($A106,'DWV ABS'!$A$8:$M$116,6,FALSE),
IF($A106&lt;'PVC SCH40'!$A$425,VLOOKUP($A106,'PVC SCH40'!$A$8:$M$424,6,FALSE),
IF($A106&lt;'PVC SCH40 LD'!$A$22,VLOOKUP($A106,'PVC SCH40 LD'!$A$8:$M$21,6,FALSE),
IF($A106&lt;'Pool &amp; SPA Sweep Elbows'!$A$12,VLOOKUP($A106,'Pool &amp; SPA Sweep Elbows'!$A$8:$M$11,6,FALSE),
IF($A106&lt;'Pool &amp; SPA Pipe Extender'!$A$11,VLOOKUP($A106,'Pool &amp; SPA Pipe Extender'!$A$8:$M$10,6,FALSE),
IF($A106&lt;'PVC SCH80'!$A$250,VLOOKUP($A106,'PVC SCH80'!$A$8:$M$249,6,FALSE),
IF($A106&lt;'PVC SCH80 Flange'!$A$49,VLOOKUP($A106,'PVC SCH80 Flange'!$A$8:$M$48,6,FALSE),
IF($A106&lt;'PVC SCH80 LD Flange'!$A$17,VLOOKUP($A106,'PVC SCH80 LD Flange'!$A$8:$M$16,6,FALSE),
IF($A106&lt;CPVC!$A$105,VLOOKUP($A106,CPVC!$A$9:$M$104,6,FALSE),
IF($A106&lt;InsertFittings!$A$185,VLOOKUP($A106,InsertFittings!$A$9:$M$184,6,FALSE),
IF($A106&lt;Valves!$A$92,VLOOKUP($A106,Valves!$A$9:$Q$91,6,FALSE),
IF($A106&lt;SDR35SW!$A$133,VLOOKUP($A106,SDR35SW!$A$9:$M$132,6,FALSE),
IF($A106&lt;SDR35G!$A$151,VLOOKUP($A106,SDR35G!$A$9:$M$150,6,FALSE),
IF($A106&lt;SDR26G!$A$67,VLOOKUP($A106,SDR26G!$A$9:$N$66,7,FALSE),
IF($A106&lt;Cements!$A$95,VLOOKUP($A106,Cements!$A$8:$Q$94,6,FALSE),
IF($A106&lt;ValveBox!$A$124,VLOOKUP($A106,ValveBox!$A$9:$O$123,6,FALSE),
IF($A106&lt;'ValveBox Components'!$A$142,VLOOKUP($A106,'ValveBox Components'!$A$9:$N$141,6,FALSE),
IF($A106&lt;Drainage!$A$69,VLOOKUP($A106,Drainage!$A$8:$M$68,6,FALSE),
IF($A106&lt;Nipples!$A$82,VLOOKUP($A106,Nipples!$A$9:$Q$81,6,FALSE),
IF($A106&lt;Manifold!$A$33,VLOOKUP($A106,Manifold!$A$9:$M$32,6,FALSE),
IF($A106&lt;FlexibleRepairCouplings!$A$12,VLOOKUP($A106,FlexibleRepairCouplings!$A$9:$M$11,6,FALSE),
IF($A106&lt;DuraFix!$A$15,VLOOKUP($A106,DuraFix!$A$9:$M$14,6,FALSE),
IF($A106&lt;'Compression Fittings'!$A$16,VLOOKUP($A106,'Compression Fittings'!$A$8:$M$15,6,FALSE),
IF($A106&lt;'Hose Fittings'!$A$30,VLOOKUP($A106,'Hose Fittings'!$A$8:$M$29,6,FALSE),
IF($A106&lt;'Swing Joints'!$A$495,VLOOKUP($A106,'Swing Joints'!$A$9:$M$494,6,FALSE),
IF($A106&lt;'Swing Joints Components'!$A$135,VLOOKUP($A106,'Swing Joints Components'!$A$9:$M$134,6,FALSE),
IF($A106&lt;Nonstandard!$A$42,VLOOKUP($A106,Nonstandard!$A$31:$J$41,7,FALSE),"")))))))))))))))))))))))))))),"")</f>
        <v/>
      </c>
      <c r="E106" s="538"/>
      <c r="F106" s="539" t="str">
        <f>IFERROR(IF($A106&lt;'DWV PVC'!$A$317,VLOOKUP($A106,'DWV PVC'!$A$9:$M$316,9,FALSE),
IF($A106&lt;'DWV ABS'!$A$117,VLOOKUP($A106,'DWV ABS'!$A$8:$M$116,9,FALSE),                                                                                                                                                                                                                                                     IF($A106&lt;'PVC SCH40'!$A$425,VLOOKUP($A106,'PVC SCH40'!$A$8:$M$424,9,FALSE),
IF($A106&lt;'PVC SCH40 LD'!$A$22,VLOOKUP($A106,'PVC SCH40 LD'!$A$8:$M$21,9,FALSE),
IF($A106&lt;'Pool &amp; SPA Sweep Elbows'!$A$12,VLOOKUP($A106,'Pool &amp; SPA Sweep Elbows'!$A$8:$M$11,9,FALSE),
IF($A106&lt;'Pool &amp; SPA Pipe Extender'!$A$11,VLOOKUP($A106,'Pool &amp; SPA Pipe Extender'!$A$8:$M$10,9,FALSE),
IF($A106&lt;'PVC SCH80'!$A$250,VLOOKUP($A106,'PVC SCH80'!$A$8:$M$249,9,FALSE),
IF($A106&lt;'PVC SCH80 Flange'!$A$49,VLOOKUP($A106,'PVC SCH80 Flange'!$A$8:$M$48,9,FALSE),
IF($A106&lt;'PVC SCH80 LD Flange'!$A$17,VLOOKUP($A106,'PVC SCH80 LD Flange'!$A$8:$M$16,9,FALSE),
IF($A106&lt;CPVC!$A$105,VLOOKUP($A106,CPVC!$A$9:$M$104,9,FALSE),
IF($A106&lt;InsertFittings!$A$185,VLOOKUP($A106,InsertFittings!$A$9:$M$184,9,FALSE),
IF($A106&lt;Valves!$A$92,VLOOKUP($A106,Valves!$A$9:$Q$91,13,FALSE),
IF($A106&lt;SDR35SW!$A$133,VLOOKUP($A106,SDR35SW!$A$9:$M$132,9,FALSE),
IF($A106&lt;SDR35G!$A$151,VLOOKUP($A106,SDR35G!$A$9:$M$150,9,FALSE),                                                                                                                                                                                                                                                          IF($A106&lt;SDR26G!$A$67,VLOOKUP($A106,SDR26G!$A$9:$N$66,10,FALSE),                                                                                                                                                                                                                                                       IF($A106&lt;Cements!$A$95,VLOOKUP($A106,Cements!$A$8:$Q$94,13,FALSE),
IF($A106&lt;ValveBox!$A$124,VLOOKUP($A106,ValveBox!$A$9:$O$123,11,FALSE),
IF($A106&lt;'ValveBox Components'!$A$142,VLOOKUP($A106,'ValveBox Components'!$A$9:$N$141,10,FALSE),
IF($A106&lt;Drainage!$A$69,VLOOKUP($A106,Drainage!$A$8:$M$68,9,FALSE),                                                                                                                                                                                                                                                              IF($A106&lt;Nipples!$A$82,VLOOKUP($A106,Nipples!$A$9:$Q$81,13,FALSE),
IF($A106&lt;Manifold!$A$33,VLOOKUP($A106,Manifold!$A$9:$M$32,9,FALSE),
IF($A106&lt;FlexibleRepairCouplings!$A$12,VLOOKUP($A106,FlexibleRepairCouplings!$A$9:$M$11,9,FALSE),
IF($A106&lt;DuraFix!$A$15,VLOOKUP($A106,DuraFix!$A$9:$M$14,9,FALSE),                                                                                                                                                                                                                                                          IF($A106&lt;'Compression Fittings'!$A$16,VLOOKUP($A106,'Compression Fittings'!$A$8:$M$15,9,FALSE),
IF($A106&lt;'Hose Fittings'!$A$30,VLOOKUP($A106,'Hose Fittings'!$A$8:$M$29,9,FALSE),
IF($A106&lt;'Swing Joints'!$A$495,VLOOKUP($A106,'Swing Joints'!$A$9:$M$494,9,FALSE),
IF($A106&lt;'Swing Joints Components'!$A$135,VLOOKUP($A106,'Swing Joints Components'!$A$9:$M$134,9,FALSE),
IF($A106&lt;Nonstandard!$A$42,VLOOKUP($A106,Nonstandard!$A$31:$J$41,8,FALSE),"")))))))))))))))))))))))))))),"")</f>
        <v/>
      </c>
      <c r="G106" s="540" t="str">
        <f>IFERROR(IF($A106&lt;'DWV PVC'!$A$317,VLOOKUP($A106,'DWV PVC'!$A$9:$M$316,11,FALSE),
IF($A106&lt;'DWV ABS'!$A$117,VLOOKUP($A106,'DWV ABS'!$A$8:$M$116,11,FALSE),                                                                                                                                                                                                                                                     IF($A106&lt;'PVC SCH40'!$A$425,VLOOKUP($A106,'PVC SCH40'!$A$8:$M$424,11,FALSE),
IF($A106&lt;'PVC SCH40 LD'!$A$22,VLOOKUP($A106,'PVC SCH40 LD'!$A$8:$M$21,11,FALSE),
IF($A106&lt;'Pool &amp; SPA Sweep Elbows'!$A$12,VLOOKUP($A106,'Pool &amp; SPA Sweep Elbows'!$A$8:$M$11,11,FALSE),
IF($A106&lt;'Pool &amp; SPA Pipe Extender'!$A$11,VLOOKUP($A106,'Pool &amp; SPA Pipe Extender'!$A$8:$M$10,11,FALSE),
IF($A106&lt;'PVC SCH80'!$A$250,VLOOKUP($A106,'PVC SCH80'!$A$8:$M$249,11,FALSE),
IF($A106&lt;'PVC SCH80 Flange'!$A$49,VLOOKUP($A106,'PVC SCH80 Flange'!$A$8:$M$48,11,FALSE),
IF($A106&lt;'PVC SCH80 LD Flange'!$A$17,VLOOKUP($A106,'PVC SCH80 LD Flange'!$A$8:$M$16,11,FALSE),
IF($A106&lt;CPVC!$A$105,VLOOKUP($A106,CPVC!$A$9:$M$104,11,FALSE),
IF($A106&lt;InsertFittings!$A$185,VLOOKUP($A106,InsertFittings!$A$9:$M$184,11,FALSE),
IF($A106&lt;Valves!$A$92,VLOOKUP($A106,Valves!$A$9:$Q$91,15,FALSE),
IF($A106&lt;SDR35SW!$A$133,VLOOKUP($A106,SDR35SW!$A$9:$M$132,11,FALSE),
IF($A106&lt;SDR35G!$A$151,VLOOKUP($A106,SDR35G!$A$9:$M$150,11,FALSE),                                                                                                                                                                                                                                                          IF($A106&lt;SDR26G!$A$67,VLOOKUP($A106,SDR26G!$A$9:$N$66,12,FALSE),                                                                                                                                                                                                                                                       IF($A106&lt;Cements!$A$95,VLOOKUP($A106,Cements!$A$8:$Q$94,15,FALSE),
IF($A106&lt;ValveBox!$A$124,VLOOKUP($A106,ValveBox!$A$9:$O$123,13,FALSE),
IF($A106&lt;'ValveBox Components'!$A$142,VLOOKUP($A106,'ValveBox Components'!$A$9:$N$141,12,FALSE),
IF($A106&lt;Drainage!$A$69,VLOOKUP($A106,Drainage!$A$8:$M$68,11,FALSE),                                                                                                                                                                                                                                                           IF($A106&lt;Nipples!$A$82,VLOOKUP($A106,Nipples!$A$9:$Q$81,15,FALSE),
IF($A106&lt;Manifold!$A$33,VLOOKUP($A106,Manifold!$A$9:$M$32,11,FALSE),
IF($A106&lt;FlexibleRepairCouplings!$A$12,VLOOKUP($A106,FlexibleRepairCouplings!$A$9:$M$11,11,FALSE),
IF($A106&lt;DuraFix!$A$15,VLOOKUP($A106,DuraFix!$A$9:$M$14,11,FALSE),                                                                                                                                                                                                                                                            IF($A106&lt;'Compression Fittings'!$A$16,VLOOKUP($A106,'Compression Fittings'!$A$8:$M$15,11,FALSE),
IF($A106&lt;'Hose Fittings'!$A$30,VLOOKUP($A106,'Hose Fittings'!$A$8:$M$29,11,FALSE),
IF($A106&lt;'Swing Joints'!$A$495,VLOOKUP($A106,'Swing Joints'!$A$9:$M$494,11,FALSE),
IF($A106&lt;'Swing Joints Components'!$A$135,VLOOKUP($A106,'Swing Joints Components'!$A$9:$M$134,11,FALSE),
IF($A106&lt;Nonstandard!$A$42,VLOOKUP($A106,Nonstandard!$A$31:$J$41,10,FALSE),"")))))))))))))))))))))))))))),"")</f>
        <v/>
      </c>
      <c r="H106" s="620" t="str">
        <f>IFERROR(IF($A106&lt;'DWV PVC'!$A$317,VLOOKUP($A106,'DWV PVC'!$A$9:$M$316,7,FALSE),
IF($A106&lt;'DWV ABS'!$A$117,VLOOKUP($A106,'DWV ABS'!$A$8:$M$116,11,FALSE),                                                                                                                                                                                                                                                     IF($A106&lt;'PVC SCH40'!$A$425,VLOOKUP($A106,'PVC SCH40'!$A$8:$M$424,7,FALSE),
IF($A106&lt;'PVC SCH40 LD'!$A$22,VLOOKUP($A106,'PVC SCH40 LD'!$A$8:$M$21,7,FALSE),
IF($A106&lt;'Pool &amp; SPA Sweep Elbows'!$A$12,VLOOKUP($A106,'Pool &amp; SPA Sweep Elbows'!$A$8:$M$11,7,FALSE),
IF($A106&lt;'Pool &amp; SPA Pipe Extender'!$A$11,VLOOKUP($A106,'Pool &amp; SPA Pipe Extender'!$A$8:$M$10,7,FALSE),
IF($A106&lt;'PVC SCH80'!$A$250,VLOOKUP($A106,'PVC SCH80'!$A$8:$M$249,7,FALSE),
IF($A106&lt;'PVC SCH80 Flange'!$A$49,VLOOKUP($A106,'PVC SCH80 Flange'!$A$8:$M$48,7,FALSE),
IF($A106&lt;'PVC SCH80 LD Flange'!$A$17,VLOOKUP($A106,'PVC SCH80 LD Flange'!$A$8:$M$16,7,FALSE),
IF($A106&lt;CPVC!$A$105,VLOOKUP($A106,CPVC!$A$9:$M$104,7,FALSE),
IF($A106&lt;InsertFittings!$A$185,VLOOKUP($A106,InsertFittings!$A$9:$M$184,7,FALSE),
IF($A106&lt;Valves!$A$92,VLOOKUP($A106,Valves!$A$9:$Q$91,11,FALSE),
IF($A106&lt;SDR35SW!$A$133,VLOOKUP($A106,SDR35SW!$A$9:$M$132,7,FALSE),
IF($A106&lt;SDR35G!$A$151,VLOOKUP($A106,SDR35G!$A$9:$M$150,7,FALSE),                                                                                                                                                                                                                                                       IF($A106&lt;SDR26G!$A$67,VLOOKUP($A106,SDR26G!$A$9:$N$66,8,FALSE),                                                                                                                                                                                                                                                     IF($A106&lt;Cements!$A$95,VLOOKUP($A106,Cements!$A$8:$Q$94,11,FALSE),
IF($A106&lt;ValveBox!$A$124,VLOOKUP($A106,ValveBox!$A$9:$O$123,10,FALSE),
IF($A106&lt;'ValveBox Components'!$A$142,VLOOKUP($A106,'ValveBox Components'!$A$9:$N$141,9,FALSE),
IF($A106&lt;Drainage!$A$69,VLOOKUP($A106,Drainage!$A$8:$M$68,7,FALSE),                                                                                                                                                                                                                                                          IF($A106&lt;Nipples!$A$82,VLOOKUP($A106,Nipples!$A$9:$Q$81,11,FALSE),
IF($A106&lt;Manifold!$A$33,VLOOKUP($A106,Manifold!$A$9:$M$32,7,FALSE),
IF($A106&lt;FlexibleRepairCouplings!$A$12,VLOOKUP($A106,FlexibleRepairCouplings!$A$9:$M$11,7,FALSE),
IF($A106&lt;DuraFix!$A$15,VLOOKUP($A106,DuraFix!$A$9:$M$14,7,FALSE),                                                                                                                                                                                                                                                           IF($A106&lt;'Compression Fittings'!$A$16,VLOOKUP($A106,'Compression Fittings'!$A$8:$M$15,7,FALSE),
IF($A106&lt;'Hose Fittings'!$A$30,VLOOKUP($A106,'Hose Fittings'!$A$8:$M$29,7,FALSE),
IF($A106&lt;'Swing Joints'!$A$495,VLOOKUP($A106,'Swing Joints'!$A$9:$M$494,7,FALSE),
IF($A106&lt;'Swing Joints Components'!$A$135,VLOOKUP($A106,'Swing Joints Components'!$A$9:$M$134,7,FALSE),
IF($A106&lt;Nonstandard!$A$42,VLOOKUP($A106,Nonstandard!$A$31:$J$41,10,FALSE),"")))))))))))))))))))))))))))),"")</f>
        <v/>
      </c>
      <c r="I106" s="621"/>
      <c r="J106" s="541" t="str">
        <f t="shared" si="3"/>
        <v/>
      </c>
      <c r="K106" s="599" t="str">
        <f>IFERROR(IF($A106&lt;'DWV PVC'!$A$317,VLOOKUP($A106,'DWV PVC'!$A$9:$M$316,10,FALSE),
IF($A106&lt;'DWV ABS'!$A$117,VLOOKUP($A106,'DWV ABS'!$A$8:$M$116,10,FALSE),
IF($A106&lt;'PVC SCH40'!$A$425,VLOOKUP($A106,'PVC SCH40'!$A$8:$M$424,10,FALSE),
IF($A106&lt;'PVC SCH40 LD'!$A$22,VLOOKUP($A106,'PVC SCH40 LD'!$A$8:$M$21,10,FALSE),
IF($A106&lt;'Pool &amp; SPA Sweep Elbows'!$A$12,VLOOKUP($A106,'Pool &amp; SPA Sweep Elbows'!$A$8:$M$11,10,FALSE),
IF($A106&lt;'Pool &amp; SPA Pipe Extender'!$A$11,VLOOKUP($A106,'Pool &amp; SPA Pipe Extender'!$A$8:$M$10,10,FALSE),
IF($A106&lt;'PVC SCH80'!$A$250,VLOOKUP($A106,'PVC SCH80'!$A$8:$M$249,10,FALSE),
IF($A106&lt;'PVC SCH80 Flange'!$A$49,VLOOKUP($A106,'PVC SCH80 Flange'!$A$8:$M$48,10,FALSE),
IF($A106&lt;'PVC SCH80 LD Flange'!$A$17,VLOOKUP($A106,'PVC SCH80 LD Flange'!$A$8:$M$16,10,FALSE),
IF($A106&lt;CPVC!$A$105,VLOOKUP($A106,CPVC!$A$9:$M$104,10,FALSE),
IF($A106&lt;InsertFittings!$A$185,VLOOKUP($A106,InsertFittings!$A$9:$M$184,10,FALSE),
IF($A106&lt;Valves!$A$92,VLOOKUP($A106,Valves!$A$9:$Q$91,14,FALSE),
IF($A106&lt;SDR35SW!$A$133,VLOOKUP($A106,SDR35SW!$A$9:$M$132,10,FALSE),
IF($A106&lt;SDR35G!$A$151,VLOOKUP($A106,SDR35G!$A$9:$M$150,10,FALSE),
IF($A106&lt;SDR26G!$A$67,VLOOKUP($A106,SDR26G!$A$9:$N$66,11,FALSE),
IF($A106&lt;Cements!$A$95,VLOOKUP($A106,Cements!$A$8:$Q$94,14,FALSE),
IF($A106&lt;ValveBox!$A$124,VLOOKUP($A106,ValveBox!$A$9:$O$123,12,FALSE),
IF($A106&lt;'ValveBox Components'!$A$142,VLOOKUP($A106,'ValveBox Components'!$A$9:$N$141,11,FALSE),
IF($A106&lt;Drainage!$A$69,VLOOKUP($A106,Drainage!$A$8:$M$68,10,FALSE),
IF($A106&lt;Nipples!$A$82,VLOOKUP($A106,Nipples!$A$9:$Q$81,14,FALSE),
IF($A106&lt;Manifold!$A$33,VLOOKUP($A106,Manifold!$A$9:$M$32,10,FALSE),
IF($A106&lt;FlexibleRepairCouplings!$A$12,VLOOKUP($A106,FlexibleRepairCouplings!$A$9:$M$11,10,FALSE),
IF($A106&lt;DuraFix!$A$15,VLOOKUP($A106,DuraFix!$A$9:$M$14,10,FALSE),
IF($A106&lt;'Compression Fittings'!$A$16,VLOOKUP($A106,'Compression Fittings'!$A$8:$M$15,10,FALSE),
IF($A106&lt;'Hose Fittings'!$A$30,VLOOKUP($A106,'Hose Fittings'!$A$8:$M$29,10,FALSE),
IF($A106&lt;'Swing Joints'!$A$495,VLOOKUP($A106,'Swing Joints'!$A$9:$M$494,10,FALSE),
IF($A106&lt;'Swing Joints Components'!$A$135,VLOOKUP($A106,'Swing Joints Components'!$A$9:$M$134,10,FALSE),
IF($A106&lt;Nonstandard!$A$42,VLOOKUP($A106,Nonstandard!$A$31:$J$41,10,FALSE),"")))))))))))))))))))))))))))),"")</f>
        <v/>
      </c>
      <c r="L106" s="539" t="str">
        <f t="shared" si="2"/>
        <v>-</v>
      </c>
      <c r="M106" s="542"/>
    </row>
    <row r="107" spans="1:13" ht="15.6">
      <c r="A107" s="312">
        <v>75</v>
      </c>
      <c r="B107" s="312" t="str">
        <f>IFERROR(IF($A107&lt;'DWV PVC'!$A$317,VLOOKUP($A107,'DWV PVC'!$A$9:$M$316,4,FALSE),
IF($A107&lt;'DWV ABS'!$A$117,VLOOKUP($A107,'DWV ABS'!$A$8:$M$116,4,FALSE),
IF($A107&lt;'PVC SCH40'!$A$425,VLOOKUP($A107,'PVC SCH40'!$A$8:$M$424,4,FALSE),
IF($A107&lt;'PVC SCH40 LD'!$A$22,VLOOKUP($A107,'PVC SCH40 LD'!$A$8:$M$21,4,FALSE),
IF($A107&lt;'Pool &amp; SPA Sweep Elbows'!$A$12,VLOOKUP($A107,'Pool &amp; SPA Sweep Elbows'!$A$8:$M$11,4,FALSE),
IF($A107&lt;'Pool &amp; SPA Pipe Extender'!$A$11,VLOOKUP($A107,'Pool &amp; SPA Pipe Extender'!$A$8:$M$10,4,FALSE),
IF($A107&lt;'PVC SCH80'!$A$250,VLOOKUP($A107,'PVC SCH80'!$A$8:$M$249,4,FALSE),
IF($A107&lt;'PVC SCH80 Flange'!$A$49,VLOOKUP($A107,'PVC SCH80 Flange'!$A$8:$M$48,4,FALSE),
IF($A107&lt;'PVC SCH80 LD Flange'!$A$17,VLOOKUP($A107,'PVC SCH80 LD Flange'!$A$8:$M$16,4,FALSE),
IF($A107&lt;CPVC!$A$105,VLOOKUP($A107,CPVC!$A$9:$M$104,4,FALSE),
IF($A107&lt;InsertFittings!$A$185,VLOOKUP($A107,InsertFittings!$A$9:$M$184,4,FALSE),
IF($A107&lt;Valves!$A$92,VLOOKUP($A107,Valves!$A$9:$Q$91,4,FALSE),
IF($A107&lt;SDR35SW!$A$133,VLOOKUP($A107,SDR35SW!$A$9:$M$132,4,FALSE),
IF($A107&lt;SDR35G!$A$151,VLOOKUP($A107,SDR35G!$A$9:$M$150,4,FALSE),
IF($A107&lt;SDR26G!$A$67,VLOOKUP($A107,SDR26G!$A$9:$N$66,5,FALSE),
IF($A107&lt;Cements!$A$95,VLOOKUP($A107,Cements!$A$8:$Q$94,4,FALSE),
IF($A107&lt;ValveBox!$A$124,VLOOKUP($A107,ValveBox!$A$9:$O$123,4,FALSE),
IF($A107&lt;'ValveBox Components'!$A$142,VLOOKUP($A107,'ValveBox Components'!$A$9:$N$141,4,FALSE),
IF($A107&lt;Drainage!$A$69,VLOOKUP($A107,Drainage!$A$8:$M$68,4,FALSE),
IF($A107&lt;Nipples!$A$82,VLOOKUP($A107,Nipples!$A$9:$Q$81,4,FALSE),
IF($A107&lt;Manifold!$A$33,VLOOKUP($A107,Manifold!$A$9:$M$32,4,FALSE),
IF($A107&lt;FlexibleRepairCouplings!$A$12,VLOOKUP($A107,FlexibleRepairCouplings!$A$9:$M$11,4,FALSE),
IF($A107&lt;DuraFix!$A$15,VLOOKUP($A107,DuraFix!$A$9:$M$14,4,FALSE),
IF($A107&lt;'Compression Fittings'!$A$16,VLOOKUP($A107,'Compression Fittings'!$A$8:$M$15,4,FALSE),
IF($A107&lt;'Hose Fittings'!$A$30,VLOOKUP($A107,'Hose Fittings'!$A$8:$M$29,4,FALSE),
IF($A107&lt;'Swing Joints'!$A$495,VLOOKUP($A107,'Swing Joints'!$A$9:$M$494,4,FALSE),
IF($A107&lt;'Swing Joints Components'!$A$135,VLOOKUP($A107,'Swing Joints Components'!$A$9:$M$134,4,FALSE),
IF($A107&lt;Nonstandard!$A$42,VLOOKUP($A107,Nonstandard!$A$31:$J$41,5,FALSE),"")))))))))))))))))))))))))))),"")</f>
        <v/>
      </c>
      <c r="C107" s="312" t="str">
        <f>IFERROR(IF($A107&lt;'DWV PVC'!$A$317,VLOOKUP($A107,'DWV PVC'!$A$9:$M$316,5,FALSE),
IF($A107&lt;'DWV ABS'!$A$117,VLOOKUP($A107,'DWV ABS'!$A$8:$M$116,5,FALSE),
IF($A107&lt;'PVC SCH40'!$A$425,VLOOKUP($A107,'PVC SCH40'!$A$8:$M$424,5,FALSE),
IF($A107&lt;'PVC SCH40 LD'!$A$22,VLOOKUP($A107,'PVC SCH40 LD'!$A$8:$M$21,5,FALSE),
IF($A107&lt;'Pool &amp; SPA Sweep Elbows'!$A$12,VLOOKUP($A107,'Pool &amp; SPA Sweep Elbows'!$A$8:$M$11,5,FALSE),
IF($A107&lt;'Pool &amp; SPA Pipe Extender'!$A$11,VLOOKUP($A107,'Pool &amp; SPA Pipe Extender'!$A$8:$M$10,5,FALSE),
IF($A107&lt;'PVC SCH80'!$A$250,VLOOKUP($A107,'PVC SCH80'!$A$8:$M$249,5,FALSE),
IF($A107&lt;'PVC SCH80 Flange'!$A$49,VLOOKUP($A107,'PVC SCH80 Flange'!$A$8:$M$48,5,FALSE),
IF($A107&lt;'PVC SCH80 LD Flange'!$A$17,VLOOKUP($A107,'PVC SCH80 LD Flange'!$A$8:$M$16,5,FALSE),
IF($A107&lt;CPVC!$A$105,VLOOKUP($A107,CPVC!$A$9:$M$104,5,FALSE),
IF($A107&lt;InsertFittings!$A$185,VLOOKUP($A107,InsertFittings!$A$9:$M$184,5,FALSE),
IF($A107&lt;Valves!$A$92,VLOOKUP($A107,Valves!$A$9:$Q$91,5,FALSE),
IF($A107&lt;SDR35SW!$A$133,VLOOKUP($A107,SDR35SW!$A$9:$M$132,5,FALSE),
IF($A107&lt;SDR35G!$A$151,VLOOKUP($A107,SDR35G!$A$9:$M$150,5,FALSE),
IF($A107&lt;SDR26G!$A$67,VLOOKUP($A107,SDR26G!$A$9:$N$66,6,FALSE),
IF($A107&lt;Cements!$A$95,VLOOKUP($A107,Cements!$A$8:$Q$94,5,FALSE),
IF($A107&lt;ValveBox!$A$124,VLOOKUP($A107,ValveBox!$A$9:$O$123,5,FALSE),
IF($A107&lt;'ValveBox Components'!$A$142,VLOOKUP($A107,'ValveBox Components'!$A$9:$N$141,5,FALSE),
IF($A107&lt;Drainage!$A$69,VLOOKUP($A107,Drainage!$A$8:$M$68,5,FALSE),
IF($A107&lt;Nipples!$A$82,VLOOKUP($A107,Nipples!$A$9:$Q$81,5,FALSE),
IF($A107&lt;Manifold!$A$33,VLOOKUP($A107,Manifold!$A$9:$M$32,5,FALSE),
IF($A107&lt;FlexibleRepairCouplings!$A$12,VLOOKUP($A107,FlexibleRepairCouplings!$A$9:$M$11,5,FALSE),
IF($A107&lt;DuraFix!$A$15,VLOOKUP($A107,DuraFix!$A$9:$M$14,5,FALSE),
IF($A107&lt;'Compression Fittings'!$A$16,VLOOKUP($A107,'Compression Fittings'!$A$8:$M$15,5,FALSE),
IF($A107&lt;'Hose Fittings'!$A$30,VLOOKUP($A107,'Hose Fittings'!$A$8:$M$29,5,FALSE),
IF($A107&lt;'Swing Joints'!$A$495,VLOOKUP($A107,'Swing Joints'!$A$9:$M$494,5,FALSE),
IF($A107&lt;'Swing Joints Components'!$A$135,VLOOKUP($A107,'Swing Joints Components'!$A$9:$M$134,5,FALSE),
IF($A107&lt;Nonstandard!$A$42,VLOOKUP($A107,Nonstandard!$A$31:$J$41,6,FALSE),"")))))))))))))))))))))))))))),"")</f>
        <v/>
      </c>
      <c r="D107" s="534" t="str">
        <f>IFERROR(IF($A107&lt;'DWV PVC'!$A$317,VLOOKUP($A107,'DWV PVC'!$A$9:$M$316,6,FALSE),
IF($A107&lt;'DWV ABS'!$A$117,VLOOKUP($A107,'DWV ABS'!$A$8:$M$116,6,FALSE),
IF($A107&lt;'PVC SCH40'!$A$425,VLOOKUP($A107,'PVC SCH40'!$A$8:$M$424,6,FALSE),
IF($A107&lt;'PVC SCH40 LD'!$A$22,VLOOKUP($A107,'PVC SCH40 LD'!$A$8:$M$21,6,FALSE),
IF($A107&lt;'Pool &amp; SPA Sweep Elbows'!$A$12,VLOOKUP($A107,'Pool &amp; SPA Sweep Elbows'!$A$8:$M$11,6,FALSE),
IF($A107&lt;'Pool &amp; SPA Pipe Extender'!$A$11,VLOOKUP($A107,'Pool &amp; SPA Pipe Extender'!$A$8:$M$10,6,FALSE),
IF($A107&lt;'PVC SCH80'!$A$250,VLOOKUP($A107,'PVC SCH80'!$A$8:$M$249,6,FALSE),
IF($A107&lt;'PVC SCH80 Flange'!$A$49,VLOOKUP($A107,'PVC SCH80 Flange'!$A$8:$M$48,6,FALSE),
IF($A107&lt;'PVC SCH80 LD Flange'!$A$17,VLOOKUP($A107,'PVC SCH80 LD Flange'!$A$8:$M$16,6,FALSE),
IF($A107&lt;CPVC!$A$105,VLOOKUP($A107,CPVC!$A$9:$M$104,6,FALSE),
IF($A107&lt;InsertFittings!$A$185,VLOOKUP($A107,InsertFittings!$A$9:$M$184,6,FALSE),
IF($A107&lt;Valves!$A$92,VLOOKUP($A107,Valves!$A$9:$Q$91,6,FALSE),
IF($A107&lt;SDR35SW!$A$133,VLOOKUP($A107,SDR35SW!$A$9:$M$132,6,FALSE),
IF($A107&lt;SDR35G!$A$151,VLOOKUP($A107,SDR35G!$A$9:$M$150,6,FALSE),
IF($A107&lt;SDR26G!$A$67,VLOOKUP($A107,SDR26G!$A$9:$N$66,7,FALSE),
IF($A107&lt;Cements!$A$95,VLOOKUP($A107,Cements!$A$8:$Q$94,6,FALSE),
IF($A107&lt;ValveBox!$A$124,VLOOKUP($A107,ValveBox!$A$9:$O$123,6,FALSE),
IF($A107&lt;'ValveBox Components'!$A$142,VLOOKUP($A107,'ValveBox Components'!$A$9:$N$141,6,FALSE),
IF($A107&lt;Drainage!$A$69,VLOOKUP($A107,Drainage!$A$8:$M$68,6,FALSE),
IF($A107&lt;Nipples!$A$82,VLOOKUP($A107,Nipples!$A$9:$Q$81,6,FALSE),
IF($A107&lt;Manifold!$A$33,VLOOKUP($A107,Manifold!$A$9:$M$32,6,FALSE),
IF($A107&lt;FlexibleRepairCouplings!$A$12,VLOOKUP($A107,FlexibleRepairCouplings!$A$9:$M$11,6,FALSE),
IF($A107&lt;DuraFix!$A$15,VLOOKUP($A107,DuraFix!$A$9:$M$14,6,FALSE),
IF($A107&lt;'Compression Fittings'!$A$16,VLOOKUP($A107,'Compression Fittings'!$A$8:$M$15,6,FALSE),
IF($A107&lt;'Hose Fittings'!$A$30,VLOOKUP($A107,'Hose Fittings'!$A$8:$M$29,6,FALSE),
IF($A107&lt;'Swing Joints'!$A$495,VLOOKUP($A107,'Swing Joints'!$A$9:$M$494,6,FALSE),
IF($A107&lt;'Swing Joints Components'!$A$135,VLOOKUP($A107,'Swing Joints Components'!$A$9:$M$134,6,FALSE),
IF($A107&lt;Nonstandard!$A$42,VLOOKUP($A107,Nonstandard!$A$31:$J$41,7,FALSE),"")))))))))))))))))))))))))))),"")</f>
        <v/>
      </c>
      <c r="E107" s="316"/>
      <c r="F107" s="314" t="str">
        <f>IFERROR(IF($A107&lt;'DWV PVC'!$A$317,VLOOKUP($A107,'DWV PVC'!$A$9:$M$316,9,FALSE),
IF($A107&lt;'DWV ABS'!$A$117,VLOOKUP($A107,'DWV ABS'!$A$8:$M$116,9,FALSE),                                                                                                                                                                                                                                                     IF($A107&lt;'PVC SCH40'!$A$425,VLOOKUP($A107,'PVC SCH40'!$A$8:$M$424,9,FALSE),
IF($A107&lt;'PVC SCH40 LD'!$A$22,VLOOKUP($A107,'PVC SCH40 LD'!$A$8:$M$21,9,FALSE),
IF($A107&lt;'Pool &amp; SPA Sweep Elbows'!$A$12,VLOOKUP($A107,'Pool &amp; SPA Sweep Elbows'!$A$8:$M$11,9,FALSE),
IF($A107&lt;'Pool &amp; SPA Pipe Extender'!$A$11,VLOOKUP($A107,'Pool &amp; SPA Pipe Extender'!$A$8:$M$10,9,FALSE),
IF($A107&lt;'PVC SCH80'!$A$250,VLOOKUP($A107,'PVC SCH80'!$A$8:$M$249,9,FALSE),
IF($A107&lt;'PVC SCH80 Flange'!$A$49,VLOOKUP($A107,'PVC SCH80 Flange'!$A$8:$M$48,9,FALSE),
IF($A107&lt;'PVC SCH80 LD Flange'!$A$17,VLOOKUP($A107,'PVC SCH80 LD Flange'!$A$8:$M$16,9,FALSE),
IF($A107&lt;CPVC!$A$105,VLOOKUP($A107,CPVC!$A$9:$M$104,9,FALSE),
IF($A107&lt;InsertFittings!$A$185,VLOOKUP($A107,InsertFittings!$A$9:$M$184,9,FALSE),
IF($A107&lt;Valves!$A$92,VLOOKUP($A107,Valves!$A$9:$Q$91,13,FALSE),
IF($A107&lt;SDR35SW!$A$133,VLOOKUP($A107,SDR35SW!$A$9:$M$132,9,FALSE),
IF($A107&lt;SDR35G!$A$151,VLOOKUP($A107,SDR35G!$A$9:$M$150,9,FALSE),                                                                                                                                                                                                                                                          IF($A107&lt;SDR26G!$A$67,VLOOKUP($A107,SDR26G!$A$9:$N$66,10,FALSE),                                                                                                                                                                                                                                                       IF($A107&lt;Cements!$A$95,VLOOKUP($A107,Cements!$A$8:$Q$94,13,FALSE),
IF($A107&lt;ValveBox!$A$124,VLOOKUP($A107,ValveBox!$A$9:$O$123,11,FALSE),
IF($A107&lt;'ValveBox Components'!$A$142,VLOOKUP($A107,'ValveBox Components'!$A$9:$N$141,10,FALSE),
IF($A107&lt;Drainage!$A$69,VLOOKUP($A107,Drainage!$A$8:$M$68,9,FALSE),                                                                                                                                                                                                                                                              IF($A107&lt;Nipples!$A$82,VLOOKUP($A107,Nipples!$A$9:$Q$81,13,FALSE),
IF($A107&lt;Manifold!$A$33,VLOOKUP($A107,Manifold!$A$9:$M$32,9,FALSE),
IF($A107&lt;FlexibleRepairCouplings!$A$12,VLOOKUP($A107,FlexibleRepairCouplings!$A$9:$M$11,9,FALSE),
IF($A107&lt;DuraFix!$A$15,VLOOKUP($A107,DuraFix!$A$9:$M$14,9,FALSE),                                                                                                                                                                                                                                                          IF($A107&lt;'Compression Fittings'!$A$16,VLOOKUP($A107,'Compression Fittings'!$A$8:$M$15,9,FALSE),
IF($A107&lt;'Hose Fittings'!$A$30,VLOOKUP($A107,'Hose Fittings'!$A$8:$M$29,9,FALSE),
IF($A107&lt;'Swing Joints'!$A$495,VLOOKUP($A107,'Swing Joints'!$A$9:$M$494,9,FALSE),
IF($A107&lt;'Swing Joints Components'!$A$135,VLOOKUP($A107,'Swing Joints Components'!$A$9:$M$134,9,FALSE),
IF($A107&lt;Nonstandard!$A$42,VLOOKUP($A107,Nonstandard!$A$31:$J$41,8,FALSE),"")))))))))))))))))))))))))))),"")</f>
        <v/>
      </c>
      <c r="G107" s="533" t="str">
        <f>IFERROR(IF($A107&lt;'DWV PVC'!$A$317,VLOOKUP($A107,'DWV PVC'!$A$9:$M$316,11,FALSE),
IF($A107&lt;'DWV ABS'!$A$117,VLOOKUP($A107,'DWV ABS'!$A$8:$M$116,11,FALSE),                                                                                                                                                                                                                                                     IF($A107&lt;'PVC SCH40'!$A$425,VLOOKUP($A107,'PVC SCH40'!$A$8:$M$424,11,FALSE),
IF($A107&lt;'PVC SCH40 LD'!$A$22,VLOOKUP($A107,'PVC SCH40 LD'!$A$8:$M$21,11,FALSE),
IF($A107&lt;'Pool &amp; SPA Sweep Elbows'!$A$12,VLOOKUP($A107,'Pool &amp; SPA Sweep Elbows'!$A$8:$M$11,11,FALSE),
IF($A107&lt;'Pool &amp; SPA Pipe Extender'!$A$11,VLOOKUP($A107,'Pool &amp; SPA Pipe Extender'!$A$8:$M$10,11,FALSE),
IF($A107&lt;'PVC SCH80'!$A$250,VLOOKUP($A107,'PVC SCH80'!$A$8:$M$249,11,FALSE),
IF($A107&lt;'PVC SCH80 Flange'!$A$49,VLOOKUP($A107,'PVC SCH80 Flange'!$A$8:$M$48,11,FALSE),
IF($A107&lt;'PVC SCH80 LD Flange'!$A$17,VLOOKUP($A107,'PVC SCH80 LD Flange'!$A$8:$M$16,11,FALSE),
IF($A107&lt;CPVC!$A$105,VLOOKUP($A107,CPVC!$A$9:$M$104,11,FALSE),
IF($A107&lt;InsertFittings!$A$185,VLOOKUP($A107,InsertFittings!$A$9:$M$184,11,FALSE),
IF($A107&lt;Valves!$A$92,VLOOKUP($A107,Valves!$A$9:$Q$91,15,FALSE),
IF($A107&lt;SDR35SW!$A$133,VLOOKUP($A107,SDR35SW!$A$9:$M$132,11,FALSE),
IF($A107&lt;SDR35G!$A$151,VLOOKUP($A107,SDR35G!$A$9:$M$150,11,FALSE),                                                                                                                                                                                                                                                          IF($A107&lt;SDR26G!$A$67,VLOOKUP($A107,SDR26G!$A$9:$N$66,12,FALSE),                                                                                                                                                                                                                                                       IF($A107&lt;Cements!$A$95,VLOOKUP($A107,Cements!$A$8:$Q$94,15,FALSE),
IF($A107&lt;ValveBox!$A$124,VLOOKUP($A107,ValveBox!$A$9:$O$123,13,FALSE),
IF($A107&lt;'ValveBox Components'!$A$142,VLOOKUP($A107,'ValveBox Components'!$A$9:$N$141,12,FALSE),
IF($A107&lt;Drainage!$A$69,VLOOKUP($A107,Drainage!$A$8:$M$68,11,FALSE),                                                                                                                                                                                                                                                           IF($A107&lt;Nipples!$A$82,VLOOKUP($A107,Nipples!$A$9:$Q$81,15,FALSE),
IF($A107&lt;Manifold!$A$33,VLOOKUP($A107,Manifold!$A$9:$M$32,11,FALSE),
IF($A107&lt;FlexibleRepairCouplings!$A$12,VLOOKUP($A107,FlexibleRepairCouplings!$A$9:$M$11,11,FALSE),
IF($A107&lt;DuraFix!$A$15,VLOOKUP($A107,DuraFix!$A$9:$M$14,11,FALSE),                                                                                                                                                                                                                                                            IF($A107&lt;'Compression Fittings'!$A$16,VLOOKUP($A107,'Compression Fittings'!$A$8:$M$15,11,FALSE),
IF($A107&lt;'Hose Fittings'!$A$30,VLOOKUP($A107,'Hose Fittings'!$A$8:$M$29,11,FALSE),
IF($A107&lt;'Swing Joints'!$A$495,VLOOKUP($A107,'Swing Joints'!$A$9:$M$494,11,FALSE),
IF($A107&lt;'Swing Joints Components'!$A$135,VLOOKUP($A107,'Swing Joints Components'!$A$9:$M$134,11,FALSE),
IF($A107&lt;Nonstandard!$A$42,VLOOKUP($A107,Nonstandard!$A$31:$J$41,10,FALSE),"")))))))))))))))))))))))))))),"")</f>
        <v/>
      </c>
      <c r="H107" s="618" t="str">
        <f>IFERROR(IF($A107&lt;'DWV PVC'!$A$317,VLOOKUP($A107,'DWV PVC'!$A$9:$M$316,7,FALSE),
IF($A107&lt;'DWV ABS'!$A$117,VLOOKUP($A107,'DWV ABS'!$A$8:$M$116,11,FALSE),                                                                                                                                                                                                                                                     IF($A107&lt;'PVC SCH40'!$A$425,VLOOKUP($A107,'PVC SCH40'!$A$8:$M$424,7,FALSE),
IF($A107&lt;'PVC SCH40 LD'!$A$22,VLOOKUP($A107,'PVC SCH40 LD'!$A$8:$M$21,7,FALSE),
IF($A107&lt;'Pool &amp; SPA Sweep Elbows'!$A$12,VLOOKUP($A107,'Pool &amp; SPA Sweep Elbows'!$A$8:$M$11,7,FALSE),
IF($A107&lt;'Pool &amp; SPA Pipe Extender'!$A$11,VLOOKUP($A107,'Pool &amp; SPA Pipe Extender'!$A$8:$M$10,7,FALSE),
IF($A107&lt;'PVC SCH80'!$A$250,VLOOKUP($A107,'PVC SCH80'!$A$8:$M$249,7,FALSE),
IF($A107&lt;'PVC SCH80 Flange'!$A$49,VLOOKUP($A107,'PVC SCH80 Flange'!$A$8:$M$48,7,FALSE),
IF($A107&lt;'PVC SCH80 LD Flange'!$A$17,VLOOKUP($A107,'PVC SCH80 LD Flange'!$A$8:$M$16,7,FALSE),
IF($A107&lt;CPVC!$A$105,VLOOKUP($A107,CPVC!$A$9:$M$104,7,FALSE),
IF($A107&lt;InsertFittings!$A$185,VLOOKUP($A107,InsertFittings!$A$9:$M$184,7,FALSE),
IF($A107&lt;Valves!$A$92,VLOOKUP($A107,Valves!$A$9:$Q$91,11,FALSE),
IF($A107&lt;SDR35SW!$A$133,VLOOKUP($A107,SDR35SW!$A$9:$M$132,7,FALSE),
IF($A107&lt;SDR35G!$A$151,VLOOKUP($A107,SDR35G!$A$9:$M$150,7,FALSE),                                                                                                                                                                                                                                                       IF($A107&lt;SDR26G!$A$67,VLOOKUP($A107,SDR26G!$A$9:$N$66,8,FALSE),                                                                                                                                                                                                                                                     IF($A107&lt;Cements!$A$95,VLOOKUP($A107,Cements!$A$8:$Q$94,11,FALSE),
IF($A107&lt;ValveBox!$A$124,VLOOKUP($A107,ValveBox!$A$9:$O$123,10,FALSE),
IF($A107&lt;'ValveBox Components'!$A$142,VLOOKUP($A107,'ValveBox Components'!$A$9:$N$141,9,FALSE),
IF($A107&lt;Drainage!$A$69,VLOOKUP($A107,Drainage!$A$8:$M$68,7,FALSE),                                                                                                                                                                                                                                                          IF($A107&lt;Nipples!$A$82,VLOOKUP($A107,Nipples!$A$9:$Q$81,11,FALSE),
IF($A107&lt;Manifold!$A$33,VLOOKUP($A107,Manifold!$A$9:$M$32,7,FALSE),
IF($A107&lt;FlexibleRepairCouplings!$A$12,VLOOKUP($A107,FlexibleRepairCouplings!$A$9:$M$11,7,FALSE),
IF($A107&lt;DuraFix!$A$15,VLOOKUP($A107,DuraFix!$A$9:$M$14,7,FALSE),                                                                                                                                                                                                                                                           IF($A107&lt;'Compression Fittings'!$A$16,VLOOKUP($A107,'Compression Fittings'!$A$8:$M$15,7,FALSE),
IF($A107&lt;'Hose Fittings'!$A$30,VLOOKUP($A107,'Hose Fittings'!$A$8:$M$29,7,FALSE),
IF($A107&lt;'Swing Joints'!$A$495,VLOOKUP($A107,'Swing Joints'!$A$9:$M$494,7,FALSE),
IF($A107&lt;'Swing Joints Components'!$A$135,VLOOKUP($A107,'Swing Joints Components'!$A$9:$M$134,7,FALSE),
IF($A107&lt;Nonstandard!$A$42,VLOOKUP($A107,Nonstandard!$A$31:$J$41,10,FALSE),"")))))))))))))))))))))))))))),"")</f>
        <v/>
      </c>
      <c r="I107" s="619"/>
      <c r="J107" s="281" t="str">
        <f t="shared" si="3"/>
        <v/>
      </c>
      <c r="K107" s="313" t="str">
        <f>IFERROR(IF($A107&lt;'DWV PVC'!$A$317,VLOOKUP($A107,'DWV PVC'!$A$9:$M$316,10,FALSE),
IF($A107&lt;'DWV ABS'!$A$117,VLOOKUP($A107,'DWV ABS'!$A$8:$M$116,10,FALSE),
IF($A107&lt;'PVC SCH40'!$A$425,VLOOKUP($A107,'PVC SCH40'!$A$8:$M$424,10,FALSE),
IF($A107&lt;'PVC SCH40 LD'!$A$22,VLOOKUP($A107,'PVC SCH40 LD'!$A$8:$M$21,10,FALSE),
IF($A107&lt;'Pool &amp; SPA Sweep Elbows'!$A$12,VLOOKUP($A107,'Pool &amp; SPA Sweep Elbows'!$A$8:$M$11,10,FALSE),
IF($A107&lt;'Pool &amp; SPA Pipe Extender'!$A$11,VLOOKUP($A107,'Pool &amp; SPA Pipe Extender'!$A$8:$M$10,10,FALSE),
IF($A107&lt;'PVC SCH80'!$A$250,VLOOKUP($A107,'PVC SCH80'!$A$8:$M$249,10,FALSE),
IF($A107&lt;'PVC SCH80 Flange'!$A$49,VLOOKUP($A107,'PVC SCH80 Flange'!$A$8:$M$48,10,FALSE),
IF($A107&lt;'PVC SCH80 LD Flange'!$A$17,VLOOKUP($A107,'PVC SCH80 LD Flange'!$A$8:$M$16,10,FALSE),
IF($A107&lt;CPVC!$A$105,VLOOKUP($A107,CPVC!$A$9:$M$104,10,FALSE),
IF($A107&lt;InsertFittings!$A$185,VLOOKUP($A107,InsertFittings!$A$9:$M$184,10,FALSE),
IF($A107&lt;Valves!$A$92,VLOOKUP($A107,Valves!$A$9:$Q$91,14,FALSE),
IF($A107&lt;SDR35SW!$A$133,VLOOKUP($A107,SDR35SW!$A$9:$M$132,10,FALSE),
IF($A107&lt;SDR35G!$A$151,VLOOKUP($A107,SDR35G!$A$9:$M$150,10,FALSE),
IF($A107&lt;SDR26G!$A$67,VLOOKUP($A107,SDR26G!$A$9:$N$66,11,FALSE),
IF($A107&lt;Cements!$A$95,VLOOKUP($A107,Cements!$A$8:$Q$94,14,FALSE),
IF($A107&lt;ValveBox!$A$124,VLOOKUP($A107,ValveBox!$A$9:$O$123,12,FALSE),
IF($A107&lt;'ValveBox Components'!$A$142,VLOOKUP($A107,'ValveBox Components'!$A$9:$N$141,11,FALSE),
IF($A107&lt;Drainage!$A$69,VLOOKUP($A107,Drainage!$A$8:$M$68,10,FALSE),
IF($A107&lt;Nipples!$A$82,VLOOKUP($A107,Nipples!$A$9:$Q$81,14,FALSE),
IF($A107&lt;Manifold!$A$33,VLOOKUP($A107,Manifold!$A$9:$M$32,10,FALSE),
IF($A107&lt;FlexibleRepairCouplings!$A$12,VLOOKUP($A107,FlexibleRepairCouplings!$A$9:$M$11,10,FALSE),
IF($A107&lt;DuraFix!$A$15,VLOOKUP($A107,DuraFix!$A$9:$M$14,10,FALSE),
IF($A107&lt;'Compression Fittings'!$A$16,VLOOKUP($A107,'Compression Fittings'!$A$8:$M$15,10,FALSE),
IF($A107&lt;'Hose Fittings'!$A$30,VLOOKUP($A107,'Hose Fittings'!$A$8:$M$29,10,FALSE),
IF($A107&lt;'Swing Joints'!$A$495,VLOOKUP($A107,'Swing Joints'!$A$9:$M$494,10,FALSE),
IF($A107&lt;'Swing Joints Components'!$A$135,VLOOKUP($A107,'Swing Joints Components'!$A$9:$M$134,10,FALSE),
IF($A107&lt;Nonstandard!$A$42,VLOOKUP($A107,Nonstandard!$A$31:$J$41,10,FALSE),"")))))))))))))))))))))))))))),"")</f>
        <v/>
      </c>
      <c r="L107" s="314" t="str">
        <f t="shared" si="2"/>
        <v>-</v>
      </c>
      <c r="M107" s="315"/>
    </row>
    <row r="108" spans="1:13" ht="15.6">
      <c r="A108" s="536">
        <v>76</v>
      </c>
      <c r="B108" s="536" t="str">
        <f>IFERROR(IF($A108&lt;'DWV PVC'!$A$317,VLOOKUP($A108,'DWV PVC'!$A$9:$M$316,4,FALSE),
IF($A108&lt;'DWV ABS'!$A$117,VLOOKUP($A108,'DWV ABS'!$A$8:$M$116,4,FALSE),
IF($A108&lt;'PVC SCH40'!$A$425,VLOOKUP($A108,'PVC SCH40'!$A$8:$M$424,4,FALSE),
IF($A108&lt;'PVC SCH40 LD'!$A$22,VLOOKUP($A108,'PVC SCH40 LD'!$A$8:$M$21,4,FALSE),
IF($A108&lt;'Pool &amp; SPA Sweep Elbows'!$A$12,VLOOKUP($A108,'Pool &amp; SPA Sweep Elbows'!$A$8:$M$11,4,FALSE),
IF($A108&lt;'Pool &amp; SPA Pipe Extender'!$A$11,VLOOKUP($A108,'Pool &amp; SPA Pipe Extender'!$A$8:$M$10,4,FALSE),
IF($A108&lt;'PVC SCH80'!$A$250,VLOOKUP($A108,'PVC SCH80'!$A$8:$M$249,4,FALSE),
IF($A108&lt;'PVC SCH80 Flange'!$A$49,VLOOKUP($A108,'PVC SCH80 Flange'!$A$8:$M$48,4,FALSE),
IF($A108&lt;'PVC SCH80 LD Flange'!$A$17,VLOOKUP($A108,'PVC SCH80 LD Flange'!$A$8:$M$16,4,FALSE),
IF($A108&lt;CPVC!$A$105,VLOOKUP($A108,CPVC!$A$9:$M$104,4,FALSE),
IF($A108&lt;InsertFittings!$A$185,VLOOKUP($A108,InsertFittings!$A$9:$M$184,4,FALSE),
IF($A108&lt;Valves!$A$92,VLOOKUP($A108,Valves!$A$9:$Q$91,4,FALSE),
IF($A108&lt;SDR35SW!$A$133,VLOOKUP($A108,SDR35SW!$A$9:$M$132,4,FALSE),
IF($A108&lt;SDR35G!$A$151,VLOOKUP($A108,SDR35G!$A$9:$M$150,4,FALSE),
IF($A108&lt;SDR26G!$A$67,VLOOKUP($A108,SDR26G!$A$9:$N$66,5,FALSE),
IF($A108&lt;Cements!$A$95,VLOOKUP($A108,Cements!$A$8:$Q$94,4,FALSE),
IF($A108&lt;ValveBox!$A$124,VLOOKUP($A108,ValveBox!$A$9:$O$123,4,FALSE),
IF($A108&lt;'ValveBox Components'!$A$142,VLOOKUP($A108,'ValveBox Components'!$A$9:$N$141,4,FALSE),
IF($A108&lt;Drainage!$A$69,VLOOKUP($A108,Drainage!$A$8:$M$68,4,FALSE),
IF($A108&lt;Nipples!$A$82,VLOOKUP($A108,Nipples!$A$9:$Q$81,4,FALSE),
IF($A108&lt;Manifold!$A$33,VLOOKUP($A108,Manifold!$A$9:$M$32,4,FALSE),
IF($A108&lt;FlexibleRepairCouplings!$A$12,VLOOKUP($A108,FlexibleRepairCouplings!$A$9:$M$11,4,FALSE),
IF($A108&lt;DuraFix!$A$15,VLOOKUP($A108,DuraFix!$A$9:$M$14,4,FALSE),
IF($A108&lt;'Compression Fittings'!$A$16,VLOOKUP($A108,'Compression Fittings'!$A$8:$M$15,4,FALSE),
IF($A108&lt;'Hose Fittings'!$A$30,VLOOKUP($A108,'Hose Fittings'!$A$8:$M$29,4,FALSE),
IF($A108&lt;'Swing Joints'!$A$495,VLOOKUP($A108,'Swing Joints'!$A$9:$M$494,4,FALSE),
IF($A108&lt;'Swing Joints Components'!$A$135,VLOOKUP($A108,'Swing Joints Components'!$A$9:$M$134,4,FALSE),
IF($A108&lt;Nonstandard!$A$42,VLOOKUP($A108,Nonstandard!$A$31:$J$41,5,FALSE),"")))))))))))))))))))))))))))),"")</f>
        <v/>
      </c>
      <c r="C108" s="536" t="str">
        <f>IFERROR(IF($A108&lt;'DWV PVC'!$A$317,VLOOKUP($A108,'DWV PVC'!$A$9:$M$316,5,FALSE),
IF($A108&lt;'DWV ABS'!$A$117,VLOOKUP($A108,'DWV ABS'!$A$8:$M$116,5,FALSE),
IF($A108&lt;'PVC SCH40'!$A$425,VLOOKUP($A108,'PVC SCH40'!$A$8:$M$424,5,FALSE),
IF($A108&lt;'PVC SCH40 LD'!$A$22,VLOOKUP($A108,'PVC SCH40 LD'!$A$8:$M$21,5,FALSE),
IF($A108&lt;'Pool &amp; SPA Sweep Elbows'!$A$12,VLOOKUP($A108,'Pool &amp; SPA Sweep Elbows'!$A$8:$M$11,5,FALSE),
IF($A108&lt;'Pool &amp; SPA Pipe Extender'!$A$11,VLOOKUP($A108,'Pool &amp; SPA Pipe Extender'!$A$8:$M$10,5,FALSE),
IF($A108&lt;'PVC SCH80'!$A$250,VLOOKUP($A108,'PVC SCH80'!$A$8:$M$249,5,FALSE),
IF($A108&lt;'PVC SCH80 Flange'!$A$49,VLOOKUP($A108,'PVC SCH80 Flange'!$A$8:$M$48,5,FALSE),
IF($A108&lt;'PVC SCH80 LD Flange'!$A$17,VLOOKUP($A108,'PVC SCH80 LD Flange'!$A$8:$M$16,5,FALSE),
IF($A108&lt;CPVC!$A$105,VLOOKUP($A108,CPVC!$A$9:$M$104,5,FALSE),
IF($A108&lt;InsertFittings!$A$185,VLOOKUP($A108,InsertFittings!$A$9:$M$184,5,FALSE),
IF($A108&lt;Valves!$A$92,VLOOKUP($A108,Valves!$A$9:$Q$91,5,FALSE),
IF($A108&lt;SDR35SW!$A$133,VLOOKUP($A108,SDR35SW!$A$9:$M$132,5,FALSE),
IF($A108&lt;SDR35G!$A$151,VLOOKUP($A108,SDR35G!$A$9:$M$150,5,FALSE),
IF($A108&lt;SDR26G!$A$67,VLOOKUP($A108,SDR26G!$A$9:$N$66,6,FALSE),
IF($A108&lt;Cements!$A$95,VLOOKUP($A108,Cements!$A$8:$Q$94,5,FALSE),
IF($A108&lt;ValveBox!$A$124,VLOOKUP($A108,ValveBox!$A$9:$O$123,5,FALSE),
IF($A108&lt;'ValveBox Components'!$A$142,VLOOKUP($A108,'ValveBox Components'!$A$9:$N$141,5,FALSE),
IF($A108&lt;Drainage!$A$69,VLOOKUP($A108,Drainage!$A$8:$M$68,5,FALSE),
IF($A108&lt;Nipples!$A$82,VLOOKUP($A108,Nipples!$A$9:$Q$81,5,FALSE),
IF($A108&lt;Manifold!$A$33,VLOOKUP($A108,Manifold!$A$9:$M$32,5,FALSE),
IF($A108&lt;FlexibleRepairCouplings!$A$12,VLOOKUP($A108,FlexibleRepairCouplings!$A$9:$M$11,5,FALSE),
IF($A108&lt;DuraFix!$A$15,VLOOKUP($A108,DuraFix!$A$9:$M$14,5,FALSE),
IF($A108&lt;'Compression Fittings'!$A$16,VLOOKUP($A108,'Compression Fittings'!$A$8:$M$15,5,FALSE),
IF($A108&lt;'Hose Fittings'!$A$30,VLOOKUP($A108,'Hose Fittings'!$A$8:$M$29,5,FALSE),
IF($A108&lt;'Swing Joints'!$A$495,VLOOKUP($A108,'Swing Joints'!$A$9:$M$494,5,FALSE),
IF($A108&lt;'Swing Joints Components'!$A$135,VLOOKUP($A108,'Swing Joints Components'!$A$9:$M$134,5,FALSE),
IF($A108&lt;Nonstandard!$A$42,VLOOKUP($A108,Nonstandard!$A$31:$J$41,6,FALSE),"")))))))))))))))))))))))))))),"")</f>
        <v/>
      </c>
      <c r="D108" s="537" t="str">
        <f>IFERROR(IF($A108&lt;'DWV PVC'!$A$317,VLOOKUP($A108,'DWV PVC'!$A$9:$M$316,6,FALSE),
IF($A108&lt;'DWV ABS'!$A$117,VLOOKUP($A108,'DWV ABS'!$A$8:$M$116,6,FALSE),
IF($A108&lt;'PVC SCH40'!$A$425,VLOOKUP($A108,'PVC SCH40'!$A$8:$M$424,6,FALSE),
IF($A108&lt;'PVC SCH40 LD'!$A$22,VLOOKUP($A108,'PVC SCH40 LD'!$A$8:$M$21,6,FALSE),
IF($A108&lt;'Pool &amp; SPA Sweep Elbows'!$A$12,VLOOKUP($A108,'Pool &amp; SPA Sweep Elbows'!$A$8:$M$11,6,FALSE),
IF($A108&lt;'Pool &amp; SPA Pipe Extender'!$A$11,VLOOKUP($A108,'Pool &amp; SPA Pipe Extender'!$A$8:$M$10,6,FALSE),
IF($A108&lt;'PVC SCH80'!$A$250,VLOOKUP($A108,'PVC SCH80'!$A$8:$M$249,6,FALSE),
IF($A108&lt;'PVC SCH80 Flange'!$A$49,VLOOKUP($A108,'PVC SCH80 Flange'!$A$8:$M$48,6,FALSE),
IF($A108&lt;'PVC SCH80 LD Flange'!$A$17,VLOOKUP($A108,'PVC SCH80 LD Flange'!$A$8:$M$16,6,FALSE),
IF($A108&lt;CPVC!$A$105,VLOOKUP($A108,CPVC!$A$9:$M$104,6,FALSE),
IF($A108&lt;InsertFittings!$A$185,VLOOKUP($A108,InsertFittings!$A$9:$M$184,6,FALSE),
IF($A108&lt;Valves!$A$92,VLOOKUP($A108,Valves!$A$9:$Q$91,6,FALSE),
IF($A108&lt;SDR35SW!$A$133,VLOOKUP($A108,SDR35SW!$A$9:$M$132,6,FALSE),
IF($A108&lt;SDR35G!$A$151,VLOOKUP($A108,SDR35G!$A$9:$M$150,6,FALSE),
IF($A108&lt;SDR26G!$A$67,VLOOKUP($A108,SDR26G!$A$9:$N$66,7,FALSE),
IF($A108&lt;Cements!$A$95,VLOOKUP($A108,Cements!$A$8:$Q$94,6,FALSE),
IF($A108&lt;ValveBox!$A$124,VLOOKUP($A108,ValveBox!$A$9:$O$123,6,FALSE),
IF($A108&lt;'ValveBox Components'!$A$142,VLOOKUP($A108,'ValveBox Components'!$A$9:$N$141,6,FALSE),
IF($A108&lt;Drainage!$A$69,VLOOKUP($A108,Drainage!$A$8:$M$68,6,FALSE),
IF($A108&lt;Nipples!$A$82,VLOOKUP($A108,Nipples!$A$9:$Q$81,6,FALSE),
IF($A108&lt;Manifold!$A$33,VLOOKUP($A108,Manifold!$A$9:$M$32,6,FALSE),
IF($A108&lt;FlexibleRepairCouplings!$A$12,VLOOKUP($A108,FlexibleRepairCouplings!$A$9:$M$11,6,FALSE),
IF($A108&lt;DuraFix!$A$15,VLOOKUP($A108,DuraFix!$A$9:$M$14,6,FALSE),
IF($A108&lt;'Compression Fittings'!$A$16,VLOOKUP($A108,'Compression Fittings'!$A$8:$M$15,6,FALSE),
IF($A108&lt;'Hose Fittings'!$A$30,VLOOKUP($A108,'Hose Fittings'!$A$8:$M$29,6,FALSE),
IF($A108&lt;'Swing Joints'!$A$495,VLOOKUP($A108,'Swing Joints'!$A$9:$M$494,6,FALSE),
IF($A108&lt;'Swing Joints Components'!$A$135,VLOOKUP($A108,'Swing Joints Components'!$A$9:$M$134,6,FALSE),
IF($A108&lt;Nonstandard!$A$42,VLOOKUP($A108,Nonstandard!$A$31:$J$41,7,FALSE),"")))))))))))))))))))))))))))),"")</f>
        <v/>
      </c>
      <c r="E108" s="538"/>
      <c r="F108" s="539" t="str">
        <f>IFERROR(IF($A108&lt;'DWV PVC'!$A$317,VLOOKUP($A108,'DWV PVC'!$A$9:$M$316,9,FALSE),
IF($A108&lt;'DWV ABS'!$A$117,VLOOKUP($A108,'DWV ABS'!$A$8:$M$116,9,FALSE),                                                                                                                                                                                                                                                     IF($A108&lt;'PVC SCH40'!$A$425,VLOOKUP($A108,'PVC SCH40'!$A$8:$M$424,9,FALSE),
IF($A108&lt;'PVC SCH40 LD'!$A$22,VLOOKUP($A108,'PVC SCH40 LD'!$A$8:$M$21,9,FALSE),
IF($A108&lt;'Pool &amp; SPA Sweep Elbows'!$A$12,VLOOKUP($A108,'Pool &amp; SPA Sweep Elbows'!$A$8:$M$11,9,FALSE),
IF($A108&lt;'Pool &amp; SPA Pipe Extender'!$A$11,VLOOKUP($A108,'Pool &amp; SPA Pipe Extender'!$A$8:$M$10,9,FALSE),
IF($A108&lt;'PVC SCH80'!$A$250,VLOOKUP($A108,'PVC SCH80'!$A$8:$M$249,9,FALSE),
IF($A108&lt;'PVC SCH80 Flange'!$A$49,VLOOKUP($A108,'PVC SCH80 Flange'!$A$8:$M$48,9,FALSE),
IF($A108&lt;'PVC SCH80 LD Flange'!$A$17,VLOOKUP($A108,'PVC SCH80 LD Flange'!$A$8:$M$16,9,FALSE),
IF($A108&lt;CPVC!$A$105,VLOOKUP($A108,CPVC!$A$9:$M$104,9,FALSE),
IF($A108&lt;InsertFittings!$A$185,VLOOKUP($A108,InsertFittings!$A$9:$M$184,9,FALSE),
IF($A108&lt;Valves!$A$92,VLOOKUP($A108,Valves!$A$9:$Q$91,13,FALSE),
IF($A108&lt;SDR35SW!$A$133,VLOOKUP($A108,SDR35SW!$A$9:$M$132,9,FALSE),
IF($A108&lt;SDR35G!$A$151,VLOOKUP($A108,SDR35G!$A$9:$M$150,9,FALSE),                                                                                                                                                                                                                                                          IF($A108&lt;SDR26G!$A$67,VLOOKUP($A108,SDR26G!$A$9:$N$66,10,FALSE),                                                                                                                                                                                                                                                       IF($A108&lt;Cements!$A$95,VLOOKUP($A108,Cements!$A$8:$Q$94,13,FALSE),
IF($A108&lt;ValveBox!$A$124,VLOOKUP($A108,ValveBox!$A$9:$O$123,11,FALSE),
IF($A108&lt;'ValveBox Components'!$A$142,VLOOKUP($A108,'ValveBox Components'!$A$9:$N$141,10,FALSE),
IF($A108&lt;Drainage!$A$69,VLOOKUP($A108,Drainage!$A$8:$M$68,9,FALSE),                                                                                                                                                                                                                                                              IF($A108&lt;Nipples!$A$82,VLOOKUP($A108,Nipples!$A$9:$Q$81,13,FALSE),
IF($A108&lt;Manifold!$A$33,VLOOKUP($A108,Manifold!$A$9:$M$32,9,FALSE),
IF($A108&lt;FlexibleRepairCouplings!$A$12,VLOOKUP($A108,FlexibleRepairCouplings!$A$9:$M$11,9,FALSE),
IF($A108&lt;DuraFix!$A$15,VLOOKUP($A108,DuraFix!$A$9:$M$14,9,FALSE),                                                                                                                                                                                                                                                          IF($A108&lt;'Compression Fittings'!$A$16,VLOOKUP($A108,'Compression Fittings'!$A$8:$M$15,9,FALSE),
IF($A108&lt;'Hose Fittings'!$A$30,VLOOKUP($A108,'Hose Fittings'!$A$8:$M$29,9,FALSE),
IF($A108&lt;'Swing Joints'!$A$495,VLOOKUP($A108,'Swing Joints'!$A$9:$M$494,9,FALSE),
IF($A108&lt;'Swing Joints Components'!$A$135,VLOOKUP($A108,'Swing Joints Components'!$A$9:$M$134,9,FALSE),
IF($A108&lt;Nonstandard!$A$42,VLOOKUP($A108,Nonstandard!$A$31:$J$41,8,FALSE),"")))))))))))))))))))))))))))),"")</f>
        <v/>
      </c>
      <c r="G108" s="540" t="str">
        <f>IFERROR(IF($A108&lt;'DWV PVC'!$A$317,VLOOKUP($A108,'DWV PVC'!$A$9:$M$316,11,FALSE),
IF($A108&lt;'DWV ABS'!$A$117,VLOOKUP($A108,'DWV ABS'!$A$8:$M$116,11,FALSE),                                                                                                                                                                                                                                                     IF($A108&lt;'PVC SCH40'!$A$425,VLOOKUP($A108,'PVC SCH40'!$A$8:$M$424,11,FALSE),
IF($A108&lt;'PVC SCH40 LD'!$A$22,VLOOKUP($A108,'PVC SCH40 LD'!$A$8:$M$21,11,FALSE),
IF($A108&lt;'Pool &amp; SPA Sweep Elbows'!$A$12,VLOOKUP($A108,'Pool &amp; SPA Sweep Elbows'!$A$8:$M$11,11,FALSE),
IF($A108&lt;'Pool &amp; SPA Pipe Extender'!$A$11,VLOOKUP($A108,'Pool &amp; SPA Pipe Extender'!$A$8:$M$10,11,FALSE),
IF($A108&lt;'PVC SCH80'!$A$250,VLOOKUP($A108,'PVC SCH80'!$A$8:$M$249,11,FALSE),
IF($A108&lt;'PVC SCH80 Flange'!$A$49,VLOOKUP($A108,'PVC SCH80 Flange'!$A$8:$M$48,11,FALSE),
IF($A108&lt;'PVC SCH80 LD Flange'!$A$17,VLOOKUP($A108,'PVC SCH80 LD Flange'!$A$8:$M$16,11,FALSE),
IF($A108&lt;CPVC!$A$105,VLOOKUP($A108,CPVC!$A$9:$M$104,11,FALSE),
IF($A108&lt;InsertFittings!$A$185,VLOOKUP($A108,InsertFittings!$A$9:$M$184,11,FALSE),
IF($A108&lt;Valves!$A$92,VLOOKUP($A108,Valves!$A$9:$Q$91,15,FALSE),
IF($A108&lt;SDR35SW!$A$133,VLOOKUP($A108,SDR35SW!$A$9:$M$132,11,FALSE),
IF($A108&lt;SDR35G!$A$151,VLOOKUP($A108,SDR35G!$A$9:$M$150,11,FALSE),                                                                                                                                                                                                                                                          IF($A108&lt;SDR26G!$A$67,VLOOKUP($A108,SDR26G!$A$9:$N$66,12,FALSE),                                                                                                                                                                                                                                                       IF($A108&lt;Cements!$A$95,VLOOKUP($A108,Cements!$A$8:$Q$94,15,FALSE),
IF($A108&lt;ValveBox!$A$124,VLOOKUP($A108,ValveBox!$A$9:$O$123,13,FALSE),
IF($A108&lt;'ValveBox Components'!$A$142,VLOOKUP($A108,'ValveBox Components'!$A$9:$N$141,12,FALSE),
IF($A108&lt;Drainage!$A$69,VLOOKUP($A108,Drainage!$A$8:$M$68,11,FALSE),                                                                                                                                                                                                                                                           IF($A108&lt;Nipples!$A$82,VLOOKUP($A108,Nipples!$A$9:$Q$81,15,FALSE),
IF($A108&lt;Manifold!$A$33,VLOOKUP($A108,Manifold!$A$9:$M$32,11,FALSE),
IF($A108&lt;FlexibleRepairCouplings!$A$12,VLOOKUP($A108,FlexibleRepairCouplings!$A$9:$M$11,11,FALSE),
IF($A108&lt;DuraFix!$A$15,VLOOKUP($A108,DuraFix!$A$9:$M$14,11,FALSE),                                                                                                                                                                                                                                                            IF($A108&lt;'Compression Fittings'!$A$16,VLOOKUP($A108,'Compression Fittings'!$A$8:$M$15,11,FALSE),
IF($A108&lt;'Hose Fittings'!$A$30,VLOOKUP($A108,'Hose Fittings'!$A$8:$M$29,11,FALSE),
IF($A108&lt;'Swing Joints'!$A$495,VLOOKUP($A108,'Swing Joints'!$A$9:$M$494,11,FALSE),
IF($A108&lt;'Swing Joints Components'!$A$135,VLOOKUP($A108,'Swing Joints Components'!$A$9:$M$134,11,FALSE),
IF($A108&lt;Nonstandard!$A$42,VLOOKUP($A108,Nonstandard!$A$31:$J$41,10,FALSE),"")))))))))))))))))))))))))))),"")</f>
        <v/>
      </c>
      <c r="H108" s="620" t="str">
        <f>IFERROR(IF($A108&lt;'DWV PVC'!$A$317,VLOOKUP($A108,'DWV PVC'!$A$9:$M$316,7,FALSE),
IF($A108&lt;'DWV ABS'!$A$117,VLOOKUP($A108,'DWV ABS'!$A$8:$M$116,11,FALSE),                                                                                                                                                                                                                                                     IF($A108&lt;'PVC SCH40'!$A$425,VLOOKUP($A108,'PVC SCH40'!$A$8:$M$424,7,FALSE),
IF($A108&lt;'PVC SCH40 LD'!$A$22,VLOOKUP($A108,'PVC SCH40 LD'!$A$8:$M$21,7,FALSE),
IF($A108&lt;'Pool &amp; SPA Sweep Elbows'!$A$12,VLOOKUP($A108,'Pool &amp; SPA Sweep Elbows'!$A$8:$M$11,7,FALSE),
IF($A108&lt;'Pool &amp; SPA Pipe Extender'!$A$11,VLOOKUP($A108,'Pool &amp; SPA Pipe Extender'!$A$8:$M$10,7,FALSE),
IF($A108&lt;'PVC SCH80'!$A$250,VLOOKUP($A108,'PVC SCH80'!$A$8:$M$249,7,FALSE),
IF($A108&lt;'PVC SCH80 Flange'!$A$49,VLOOKUP($A108,'PVC SCH80 Flange'!$A$8:$M$48,7,FALSE),
IF($A108&lt;'PVC SCH80 LD Flange'!$A$17,VLOOKUP($A108,'PVC SCH80 LD Flange'!$A$8:$M$16,7,FALSE),
IF($A108&lt;CPVC!$A$105,VLOOKUP($A108,CPVC!$A$9:$M$104,7,FALSE),
IF($A108&lt;InsertFittings!$A$185,VLOOKUP($A108,InsertFittings!$A$9:$M$184,7,FALSE),
IF($A108&lt;Valves!$A$92,VLOOKUP($A108,Valves!$A$9:$Q$91,11,FALSE),
IF($A108&lt;SDR35SW!$A$133,VLOOKUP($A108,SDR35SW!$A$9:$M$132,7,FALSE),
IF($A108&lt;SDR35G!$A$151,VLOOKUP($A108,SDR35G!$A$9:$M$150,7,FALSE),                                                                                                                                                                                                                                                       IF($A108&lt;SDR26G!$A$67,VLOOKUP($A108,SDR26G!$A$9:$N$66,8,FALSE),                                                                                                                                                                                                                                                     IF($A108&lt;Cements!$A$95,VLOOKUP($A108,Cements!$A$8:$Q$94,11,FALSE),
IF($A108&lt;ValveBox!$A$124,VLOOKUP($A108,ValveBox!$A$9:$O$123,10,FALSE),
IF($A108&lt;'ValveBox Components'!$A$142,VLOOKUP($A108,'ValveBox Components'!$A$9:$N$141,9,FALSE),
IF($A108&lt;Drainage!$A$69,VLOOKUP($A108,Drainage!$A$8:$M$68,7,FALSE),                                                                                                                                                                                                                                                          IF($A108&lt;Nipples!$A$82,VLOOKUP($A108,Nipples!$A$9:$Q$81,11,FALSE),
IF($A108&lt;Manifold!$A$33,VLOOKUP($A108,Manifold!$A$9:$M$32,7,FALSE),
IF($A108&lt;FlexibleRepairCouplings!$A$12,VLOOKUP($A108,FlexibleRepairCouplings!$A$9:$M$11,7,FALSE),
IF($A108&lt;DuraFix!$A$15,VLOOKUP($A108,DuraFix!$A$9:$M$14,7,FALSE),                                                                                                                                                                                                                                                           IF($A108&lt;'Compression Fittings'!$A$16,VLOOKUP($A108,'Compression Fittings'!$A$8:$M$15,7,FALSE),
IF($A108&lt;'Hose Fittings'!$A$30,VLOOKUP($A108,'Hose Fittings'!$A$8:$M$29,7,FALSE),
IF($A108&lt;'Swing Joints'!$A$495,VLOOKUP($A108,'Swing Joints'!$A$9:$M$494,7,FALSE),
IF($A108&lt;'Swing Joints Components'!$A$135,VLOOKUP($A108,'Swing Joints Components'!$A$9:$M$134,7,FALSE),
IF($A108&lt;Nonstandard!$A$42,VLOOKUP($A108,Nonstandard!$A$31:$J$41,10,FALSE),"")))))))))))))))))))))))))))),"")</f>
        <v/>
      </c>
      <c r="I108" s="621"/>
      <c r="J108" s="541" t="str">
        <f t="shared" si="3"/>
        <v/>
      </c>
      <c r="K108" s="599" t="str">
        <f>IFERROR(IF($A108&lt;'DWV PVC'!$A$317,VLOOKUP($A108,'DWV PVC'!$A$9:$M$316,10,FALSE),
IF($A108&lt;'DWV ABS'!$A$117,VLOOKUP($A108,'DWV ABS'!$A$8:$M$116,10,FALSE),
IF($A108&lt;'PVC SCH40'!$A$425,VLOOKUP($A108,'PVC SCH40'!$A$8:$M$424,10,FALSE),
IF($A108&lt;'PVC SCH40 LD'!$A$22,VLOOKUP($A108,'PVC SCH40 LD'!$A$8:$M$21,10,FALSE),
IF($A108&lt;'Pool &amp; SPA Sweep Elbows'!$A$12,VLOOKUP($A108,'Pool &amp; SPA Sweep Elbows'!$A$8:$M$11,10,FALSE),
IF($A108&lt;'Pool &amp; SPA Pipe Extender'!$A$11,VLOOKUP($A108,'Pool &amp; SPA Pipe Extender'!$A$8:$M$10,10,FALSE),
IF($A108&lt;'PVC SCH80'!$A$250,VLOOKUP($A108,'PVC SCH80'!$A$8:$M$249,10,FALSE),
IF($A108&lt;'PVC SCH80 Flange'!$A$49,VLOOKUP($A108,'PVC SCH80 Flange'!$A$8:$M$48,10,FALSE),
IF($A108&lt;'PVC SCH80 LD Flange'!$A$17,VLOOKUP($A108,'PVC SCH80 LD Flange'!$A$8:$M$16,10,FALSE),
IF($A108&lt;CPVC!$A$105,VLOOKUP($A108,CPVC!$A$9:$M$104,10,FALSE),
IF($A108&lt;InsertFittings!$A$185,VLOOKUP($A108,InsertFittings!$A$9:$M$184,10,FALSE),
IF($A108&lt;Valves!$A$92,VLOOKUP($A108,Valves!$A$9:$Q$91,14,FALSE),
IF($A108&lt;SDR35SW!$A$133,VLOOKUP($A108,SDR35SW!$A$9:$M$132,10,FALSE),
IF($A108&lt;SDR35G!$A$151,VLOOKUP($A108,SDR35G!$A$9:$M$150,10,FALSE),
IF($A108&lt;SDR26G!$A$67,VLOOKUP($A108,SDR26G!$A$9:$N$66,11,FALSE),
IF($A108&lt;Cements!$A$95,VLOOKUP($A108,Cements!$A$8:$Q$94,14,FALSE),
IF($A108&lt;ValveBox!$A$124,VLOOKUP($A108,ValveBox!$A$9:$O$123,12,FALSE),
IF($A108&lt;'ValveBox Components'!$A$142,VLOOKUP($A108,'ValveBox Components'!$A$9:$N$141,11,FALSE),
IF($A108&lt;Drainage!$A$69,VLOOKUP($A108,Drainage!$A$8:$M$68,10,FALSE),
IF($A108&lt;Nipples!$A$82,VLOOKUP($A108,Nipples!$A$9:$Q$81,14,FALSE),
IF($A108&lt;Manifold!$A$33,VLOOKUP($A108,Manifold!$A$9:$M$32,10,FALSE),
IF($A108&lt;FlexibleRepairCouplings!$A$12,VLOOKUP($A108,FlexibleRepairCouplings!$A$9:$M$11,10,FALSE),
IF($A108&lt;DuraFix!$A$15,VLOOKUP($A108,DuraFix!$A$9:$M$14,10,FALSE),
IF($A108&lt;'Compression Fittings'!$A$16,VLOOKUP($A108,'Compression Fittings'!$A$8:$M$15,10,FALSE),
IF($A108&lt;'Hose Fittings'!$A$30,VLOOKUP($A108,'Hose Fittings'!$A$8:$M$29,10,FALSE),
IF($A108&lt;'Swing Joints'!$A$495,VLOOKUP($A108,'Swing Joints'!$A$9:$M$494,10,FALSE),
IF($A108&lt;'Swing Joints Components'!$A$135,VLOOKUP($A108,'Swing Joints Components'!$A$9:$M$134,10,FALSE),
IF($A108&lt;Nonstandard!$A$42,VLOOKUP($A108,Nonstandard!$A$31:$J$41,10,FALSE),"")))))))))))))))))))))))))))),"")</f>
        <v/>
      </c>
      <c r="L108" s="539" t="str">
        <f t="shared" si="2"/>
        <v>-</v>
      </c>
      <c r="M108" s="542"/>
    </row>
    <row r="109" spans="1:13" ht="15.6">
      <c r="A109" s="312">
        <v>77</v>
      </c>
      <c r="B109" s="312" t="str">
        <f>IFERROR(IF($A109&lt;'DWV PVC'!$A$317,VLOOKUP($A109,'DWV PVC'!$A$9:$M$316,4,FALSE),
IF($A109&lt;'DWV ABS'!$A$117,VLOOKUP($A109,'DWV ABS'!$A$8:$M$116,4,FALSE),
IF($A109&lt;'PVC SCH40'!$A$425,VLOOKUP($A109,'PVC SCH40'!$A$8:$M$424,4,FALSE),
IF($A109&lt;'PVC SCH40 LD'!$A$22,VLOOKUP($A109,'PVC SCH40 LD'!$A$8:$M$21,4,FALSE),
IF($A109&lt;'Pool &amp; SPA Sweep Elbows'!$A$12,VLOOKUP($A109,'Pool &amp; SPA Sweep Elbows'!$A$8:$M$11,4,FALSE),
IF($A109&lt;'Pool &amp; SPA Pipe Extender'!$A$11,VLOOKUP($A109,'Pool &amp; SPA Pipe Extender'!$A$8:$M$10,4,FALSE),
IF($A109&lt;'PVC SCH80'!$A$250,VLOOKUP($A109,'PVC SCH80'!$A$8:$M$249,4,FALSE),
IF($A109&lt;'PVC SCH80 Flange'!$A$49,VLOOKUP($A109,'PVC SCH80 Flange'!$A$8:$M$48,4,FALSE),
IF($A109&lt;'PVC SCH80 LD Flange'!$A$17,VLOOKUP($A109,'PVC SCH80 LD Flange'!$A$8:$M$16,4,FALSE),
IF($A109&lt;CPVC!$A$105,VLOOKUP($A109,CPVC!$A$9:$M$104,4,FALSE),
IF($A109&lt;InsertFittings!$A$185,VLOOKUP($A109,InsertFittings!$A$9:$M$184,4,FALSE),
IF($A109&lt;Valves!$A$92,VLOOKUP($A109,Valves!$A$9:$Q$91,4,FALSE),
IF($A109&lt;SDR35SW!$A$133,VLOOKUP($A109,SDR35SW!$A$9:$M$132,4,FALSE),
IF($A109&lt;SDR35G!$A$151,VLOOKUP($A109,SDR35G!$A$9:$M$150,4,FALSE),
IF($A109&lt;SDR26G!$A$67,VLOOKUP($A109,SDR26G!$A$9:$N$66,5,FALSE),
IF($A109&lt;Cements!$A$95,VLOOKUP($A109,Cements!$A$8:$Q$94,4,FALSE),
IF($A109&lt;ValveBox!$A$124,VLOOKUP($A109,ValveBox!$A$9:$O$123,4,FALSE),
IF($A109&lt;'ValveBox Components'!$A$142,VLOOKUP($A109,'ValveBox Components'!$A$9:$N$141,4,FALSE),
IF($A109&lt;Drainage!$A$69,VLOOKUP($A109,Drainage!$A$8:$M$68,4,FALSE),
IF($A109&lt;Nipples!$A$82,VLOOKUP($A109,Nipples!$A$9:$Q$81,4,FALSE),
IF($A109&lt;Manifold!$A$33,VLOOKUP($A109,Manifold!$A$9:$M$32,4,FALSE),
IF($A109&lt;FlexibleRepairCouplings!$A$12,VLOOKUP($A109,FlexibleRepairCouplings!$A$9:$M$11,4,FALSE),
IF($A109&lt;DuraFix!$A$15,VLOOKUP($A109,DuraFix!$A$9:$M$14,4,FALSE),
IF($A109&lt;'Compression Fittings'!$A$16,VLOOKUP($A109,'Compression Fittings'!$A$8:$M$15,4,FALSE),
IF($A109&lt;'Hose Fittings'!$A$30,VLOOKUP($A109,'Hose Fittings'!$A$8:$M$29,4,FALSE),
IF($A109&lt;'Swing Joints'!$A$495,VLOOKUP($A109,'Swing Joints'!$A$9:$M$494,4,FALSE),
IF($A109&lt;'Swing Joints Components'!$A$135,VLOOKUP($A109,'Swing Joints Components'!$A$9:$M$134,4,FALSE),
IF($A109&lt;Nonstandard!$A$42,VLOOKUP($A109,Nonstandard!$A$31:$J$41,5,FALSE),"")))))))))))))))))))))))))))),"")</f>
        <v/>
      </c>
      <c r="C109" s="312" t="str">
        <f>IFERROR(IF($A109&lt;'DWV PVC'!$A$317,VLOOKUP($A109,'DWV PVC'!$A$9:$M$316,5,FALSE),
IF($A109&lt;'DWV ABS'!$A$117,VLOOKUP($A109,'DWV ABS'!$A$8:$M$116,5,FALSE),
IF($A109&lt;'PVC SCH40'!$A$425,VLOOKUP($A109,'PVC SCH40'!$A$8:$M$424,5,FALSE),
IF($A109&lt;'PVC SCH40 LD'!$A$22,VLOOKUP($A109,'PVC SCH40 LD'!$A$8:$M$21,5,FALSE),
IF($A109&lt;'Pool &amp; SPA Sweep Elbows'!$A$12,VLOOKUP($A109,'Pool &amp; SPA Sweep Elbows'!$A$8:$M$11,5,FALSE),
IF($A109&lt;'Pool &amp; SPA Pipe Extender'!$A$11,VLOOKUP($A109,'Pool &amp; SPA Pipe Extender'!$A$8:$M$10,5,FALSE),
IF($A109&lt;'PVC SCH80'!$A$250,VLOOKUP($A109,'PVC SCH80'!$A$8:$M$249,5,FALSE),
IF($A109&lt;'PVC SCH80 Flange'!$A$49,VLOOKUP($A109,'PVC SCH80 Flange'!$A$8:$M$48,5,FALSE),
IF($A109&lt;'PVC SCH80 LD Flange'!$A$17,VLOOKUP($A109,'PVC SCH80 LD Flange'!$A$8:$M$16,5,FALSE),
IF($A109&lt;CPVC!$A$105,VLOOKUP($A109,CPVC!$A$9:$M$104,5,FALSE),
IF($A109&lt;InsertFittings!$A$185,VLOOKUP($A109,InsertFittings!$A$9:$M$184,5,FALSE),
IF($A109&lt;Valves!$A$92,VLOOKUP($A109,Valves!$A$9:$Q$91,5,FALSE),
IF($A109&lt;SDR35SW!$A$133,VLOOKUP($A109,SDR35SW!$A$9:$M$132,5,FALSE),
IF($A109&lt;SDR35G!$A$151,VLOOKUP($A109,SDR35G!$A$9:$M$150,5,FALSE),
IF($A109&lt;SDR26G!$A$67,VLOOKUP($A109,SDR26G!$A$9:$N$66,6,FALSE),
IF($A109&lt;Cements!$A$95,VLOOKUP($A109,Cements!$A$8:$Q$94,5,FALSE),
IF($A109&lt;ValveBox!$A$124,VLOOKUP($A109,ValveBox!$A$9:$O$123,5,FALSE),
IF($A109&lt;'ValveBox Components'!$A$142,VLOOKUP($A109,'ValveBox Components'!$A$9:$N$141,5,FALSE),
IF($A109&lt;Drainage!$A$69,VLOOKUP($A109,Drainage!$A$8:$M$68,5,FALSE),
IF($A109&lt;Nipples!$A$82,VLOOKUP($A109,Nipples!$A$9:$Q$81,5,FALSE),
IF($A109&lt;Manifold!$A$33,VLOOKUP($A109,Manifold!$A$9:$M$32,5,FALSE),
IF($A109&lt;FlexibleRepairCouplings!$A$12,VLOOKUP($A109,FlexibleRepairCouplings!$A$9:$M$11,5,FALSE),
IF($A109&lt;DuraFix!$A$15,VLOOKUP($A109,DuraFix!$A$9:$M$14,5,FALSE),
IF($A109&lt;'Compression Fittings'!$A$16,VLOOKUP($A109,'Compression Fittings'!$A$8:$M$15,5,FALSE),
IF($A109&lt;'Hose Fittings'!$A$30,VLOOKUP($A109,'Hose Fittings'!$A$8:$M$29,5,FALSE),
IF($A109&lt;'Swing Joints'!$A$495,VLOOKUP($A109,'Swing Joints'!$A$9:$M$494,5,FALSE),
IF($A109&lt;'Swing Joints Components'!$A$135,VLOOKUP($A109,'Swing Joints Components'!$A$9:$M$134,5,FALSE),
IF($A109&lt;Nonstandard!$A$42,VLOOKUP($A109,Nonstandard!$A$31:$J$41,6,FALSE),"")))))))))))))))))))))))))))),"")</f>
        <v/>
      </c>
      <c r="D109" s="534" t="str">
        <f>IFERROR(IF($A109&lt;'DWV PVC'!$A$317,VLOOKUP($A109,'DWV PVC'!$A$9:$M$316,6,FALSE),
IF($A109&lt;'DWV ABS'!$A$117,VLOOKUP($A109,'DWV ABS'!$A$8:$M$116,6,FALSE),
IF($A109&lt;'PVC SCH40'!$A$425,VLOOKUP($A109,'PVC SCH40'!$A$8:$M$424,6,FALSE),
IF($A109&lt;'PVC SCH40 LD'!$A$22,VLOOKUP($A109,'PVC SCH40 LD'!$A$8:$M$21,6,FALSE),
IF($A109&lt;'Pool &amp; SPA Sweep Elbows'!$A$12,VLOOKUP($A109,'Pool &amp; SPA Sweep Elbows'!$A$8:$M$11,6,FALSE),
IF($A109&lt;'Pool &amp; SPA Pipe Extender'!$A$11,VLOOKUP($A109,'Pool &amp; SPA Pipe Extender'!$A$8:$M$10,6,FALSE),
IF($A109&lt;'PVC SCH80'!$A$250,VLOOKUP($A109,'PVC SCH80'!$A$8:$M$249,6,FALSE),
IF($A109&lt;'PVC SCH80 Flange'!$A$49,VLOOKUP($A109,'PVC SCH80 Flange'!$A$8:$M$48,6,FALSE),
IF($A109&lt;'PVC SCH80 LD Flange'!$A$17,VLOOKUP($A109,'PVC SCH80 LD Flange'!$A$8:$M$16,6,FALSE),
IF($A109&lt;CPVC!$A$105,VLOOKUP($A109,CPVC!$A$9:$M$104,6,FALSE),
IF($A109&lt;InsertFittings!$A$185,VLOOKUP($A109,InsertFittings!$A$9:$M$184,6,FALSE),
IF($A109&lt;Valves!$A$92,VLOOKUP($A109,Valves!$A$9:$Q$91,6,FALSE),
IF($A109&lt;SDR35SW!$A$133,VLOOKUP($A109,SDR35SW!$A$9:$M$132,6,FALSE),
IF($A109&lt;SDR35G!$A$151,VLOOKUP($A109,SDR35G!$A$9:$M$150,6,FALSE),
IF($A109&lt;SDR26G!$A$67,VLOOKUP($A109,SDR26G!$A$9:$N$66,7,FALSE),
IF($A109&lt;Cements!$A$95,VLOOKUP($A109,Cements!$A$8:$Q$94,6,FALSE),
IF($A109&lt;ValveBox!$A$124,VLOOKUP($A109,ValveBox!$A$9:$O$123,6,FALSE),
IF($A109&lt;'ValveBox Components'!$A$142,VLOOKUP($A109,'ValveBox Components'!$A$9:$N$141,6,FALSE),
IF($A109&lt;Drainage!$A$69,VLOOKUP($A109,Drainage!$A$8:$M$68,6,FALSE),
IF($A109&lt;Nipples!$A$82,VLOOKUP($A109,Nipples!$A$9:$Q$81,6,FALSE),
IF($A109&lt;Manifold!$A$33,VLOOKUP($A109,Manifold!$A$9:$M$32,6,FALSE),
IF($A109&lt;FlexibleRepairCouplings!$A$12,VLOOKUP($A109,FlexibleRepairCouplings!$A$9:$M$11,6,FALSE),
IF($A109&lt;DuraFix!$A$15,VLOOKUP($A109,DuraFix!$A$9:$M$14,6,FALSE),
IF($A109&lt;'Compression Fittings'!$A$16,VLOOKUP($A109,'Compression Fittings'!$A$8:$M$15,6,FALSE),
IF($A109&lt;'Hose Fittings'!$A$30,VLOOKUP($A109,'Hose Fittings'!$A$8:$M$29,6,FALSE),
IF($A109&lt;'Swing Joints'!$A$495,VLOOKUP($A109,'Swing Joints'!$A$9:$M$494,6,FALSE),
IF($A109&lt;'Swing Joints Components'!$A$135,VLOOKUP($A109,'Swing Joints Components'!$A$9:$M$134,6,FALSE),
IF($A109&lt;Nonstandard!$A$42,VLOOKUP($A109,Nonstandard!$A$31:$J$41,7,FALSE),"")))))))))))))))))))))))))))),"")</f>
        <v/>
      </c>
      <c r="E109" s="316"/>
      <c r="F109" s="314" t="str">
        <f>IFERROR(IF($A109&lt;'DWV PVC'!$A$317,VLOOKUP($A109,'DWV PVC'!$A$9:$M$316,9,FALSE),
IF($A109&lt;'DWV ABS'!$A$117,VLOOKUP($A109,'DWV ABS'!$A$8:$M$116,9,FALSE),                                                                                                                                                                                                                                                     IF($A109&lt;'PVC SCH40'!$A$425,VLOOKUP($A109,'PVC SCH40'!$A$8:$M$424,9,FALSE),
IF($A109&lt;'PVC SCH40 LD'!$A$22,VLOOKUP($A109,'PVC SCH40 LD'!$A$8:$M$21,9,FALSE),
IF($A109&lt;'Pool &amp; SPA Sweep Elbows'!$A$12,VLOOKUP($A109,'Pool &amp; SPA Sweep Elbows'!$A$8:$M$11,9,FALSE),
IF($A109&lt;'Pool &amp; SPA Pipe Extender'!$A$11,VLOOKUP($A109,'Pool &amp; SPA Pipe Extender'!$A$8:$M$10,9,FALSE),
IF($A109&lt;'PVC SCH80'!$A$250,VLOOKUP($A109,'PVC SCH80'!$A$8:$M$249,9,FALSE),
IF($A109&lt;'PVC SCH80 Flange'!$A$49,VLOOKUP($A109,'PVC SCH80 Flange'!$A$8:$M$48,9,FALSE),
IF($A109&lt;'PVC SCH80 LD Flange'!$A$17,VLOOKUP($A109,'PVC SCH80 LD Flange'!$A$8:$M$16,9,FALSE),
IF($A109&lt;CPVC!$A$105,VLOOKUP($A109,CPVC!$A$9:$M$104,9,FALSE),
IF($A109&lt;InsertFittings!$A$185,VLOOKUP($A109,InsertFittings!$A$9:$M$184,9,FALSE),
IF($A109&lt;Valves!$A$92,VLOOKUP($A109,Valves!$A$9:$Q$91,13,FALSE),
IF($A109&lt;SDR35SW!$A$133,VLOOKUP($A109,SDR35SW!$A$9:$M$132,9,FALSE),
IF($A109&lt;SDR35G!$A$151,VLOOKUP($A109,SDR35G!$A$9:$M$150,9,FALSE),                                                                                                                                                                                                                                                          IF($A109&lt;SDR26G!$A$67,VLOOKUP($A109,SDR26G!$A$9:$N$66,10,FALSE),                                                                                                                                                                                                                                                       IF($A109&lt;Cements!$A$95,VLOOKUP($A109,Cements!$A$8:$Q$94,13,FALSE),
IF($A109&lt;ValveBox!$A$124,VLOOKUP($A109,ValveBox!$A$9:$O$123,11,FALSE),
IF($A109&lt;'ValveBox Components'!$A$142,VLOOKUP($A109,'ValveBox Components'!$A$9:$N$141,10,FALSE),
IF($A109&lt;Drainage!$A$69,VLOOKUP($A109,Drainage!$A$8:$M$68,9,FALSE),                                                                                                                                                                                                                                                              IF($A109&lt;Nipples!$A$82,VLOOKUP($A109,Nipples!$A$9:$Q$81,13,FALSE),
IF($A109&lt;Manifold!$A$33,VLOOKUP($A109,Manifold!$A$9:$M$32,9,FALSE),
IF($A109&lt;FlexibleRepairCouplings!$A$12,VLOOKUP($A109,FlexibleRepairCouplings!$A$9:$M$11,9,FALSE),
IF($A109&lt;DuraFix!$A$15,VLOOKUP($A109,DuraFix!$A$9:$M$14,9,FALSE),                                                                                                                                                                                                                                                          IF($A109&lt;'Compression Fittings'!$A$16,VLOOKUP($A109,'Compression Fittings'!$A$8:$M$15,9,FALSE),
IF($A109&lt;'Hose Fittings'!$A$30,VLOOKUP($A109,'Hose Fittings'!$A$8:$M$29,9,FALSE),
IF($A109&lt;'Swing Joints'!$A$495,VLOOKUP($A109,'Swing Joints'!$A$9:$M$494,9,FALSE),
IF($A109&lt;'Swing Joints Components'!$A$135,VLOOKUP($A109,'Swing Joints Components'!$A$9:$M$134,9,FALSE),
IF($A109&lt;Nonstandard!$A$42,VLOOKUP($A109,Nonstandard!$A$31:$J$41,8,FALSE),"")))))))))))))))))))))))))))),"")</f>
        <v/>
      </c>
      <c r="G109" s="533" t="str">
        <f>IFERROR(IF($A109&lt;'DWV PVC'!$A$317,VLOOKUP($A109,'DWV PVC'!$A$9:$M$316,11,FALSE),
IF($A109&lt;'DWV ABS'!$A$117,VLOOKUP($A109,'DWV ABS'!$A$8:$M$116,11,FALSE),                                                                                                                                                                                                                                                     IF($A109&lt;'PVC SCH40'!$A$425,VLOOKUP($A109,'PVC SCH40'!$A$8:$M$424,11,FALSE),
IF($A109&lt;'PVC SCH40 LD'!$A$22,VLOOKUP($A109,'PVC SCH40 LD'!$A$8:$M$21,11,FALSE),
IF($A109&lt;'Pool &amp; SPA Sweep Elbows'!$A$12,VLOOKUP($A109,'Pool &amp; SPA Sweep Elbows'!$A$8:$M$11,11,FALSE),
IF($A109&lt;'Pool &amp; SPA Pipe Extender'!$A$11,VLOOKUP($A109,'Pool &amp; SPA Pipe Extender'!$A$8:$M$10,11,FALSE),
IF($A109&lt;'PVC SCH80'!$A$250,VLOOKUP($A109,'PVC SCH80'!$A$8:$M$249,11,FALSE),
IF($A109&lt;'PVC SCH80 Flange'!$A$49,VLOOKUP($A109,'PVC SCH80 Flange'!$A$8:$M$48,11,FALSE),
IF($A109&lt;'PVC SCH80 LD Flange'!$A$17,VLOOKUP($A109,'PVC SCH80 LD Flange'!$A$8:$M$16,11,FALSE),
IF($A109&lt;CPVC!$A$105,VLOOKUP($A109,CPVC!$A$9:$M$104,11,FALSE),
IF($A109&lt;InsertFittings!$A$185,VLOOKUP($A109,InsertFittings!$A$9:$M$184,11,FALSE),
IF($A109&lt;Valves!$A$92,VLOOKUP($A109,Valves!$A$9:$Q$91,15,FALSE),
IF($A109&lt;SDR35SW!$A$133,VLOOKUP($A109,SDR35SW!$A$9:$M$132,11,FALSE),
IF($A109&lt;SDR35G!$A$151,VLOOKUP($A109,SDR35G!$A$9:$M$150,11,FALSE),                                                                                                                                                                                                                                                          IF($A109&lt;SDR26G!$A$67,VLOOKUP($A109,SDR26G!$A$9:$N$66,12,FALSE),                                                                                                                                                                                                                                                       IF($A109&lt;Cements!$A$95,VLOOKUP($A109,Cements!$A$8:$Q$94,15,FALSE),
IF($A109&lt;ValveBox!$A$124,VLOOKUP($A109,ValveBox!$A$9:$O$123,13,FALSE),
IF($A109&lt;'ValveBox Components'!$A$142,VLOOKUP($A109,'ValveBox Components'!$A$9:$N$141,12,FALSE),
IF($A109&lt;Drainage!$A$69,VLOOKUP($A109,Drainage!$A$8:$M$68,11,FALSE),                                                                                                                                                                                                                                                           IF($A109&lt;Nipples!$A$82,VLOOKUP($A109,Nipples!$A$9:$Q$81,15,FALSE),
IF($A109&lt;Manifold!$A$33,VLOOKUP($A109,Manifold!$A$9:$M$32,11,FALSE),
IF($A109&lt;FlexibleRepairCouplings!$A$12,VLOOKUP($A109,FlexibleRepairCouplings!$A$9:$M$11,11,FALSE),
IF($A109&lt;DuraFix!$A$15,VLOOKUP($A109,DuraFix!$A$9:$M$14,11,FALSE),                                                                                                                                                                                                                                                            IF($A109&lt;'Compression Fittings'!$A$16,VLOOKUP($A109,'Compression Fittings'!$A$8:$M$15,11,FALSE),
IF($A109&lt;'Hose Fittings'!$A$30,VLOOKUP($A109,'Hose Fittings'!$A$8:$M$29,11,FALSE),
IF($A109&lt;'Swing Joints'!$A$495,VLOOKUP($A109,'Swing Joints'!$A$9:$M$494,11,FALSE),
IF($A109&lt;'Swing Joints Components'!$A$135,VLOOKUP($A109,'Swing Joints Components'!$A$9:$M$134,11,FALSE),
IF($A109&lt;Nonstandard!$A$42,VLOOKUP($A109,Nonstandard!$A$31:$J$41,10,FALSE),"")))))))))))))))))))))))))))),"")</f>
        <v/>
      </c>
      <c r="H109" s="618" t="str">
        <f>IFERROR(IF($A109&lt;'DWV PVC'!$A$317,VLOOKUP($A109,'DWV PVC'!$A$9:$M$316,7,FALSE),
IF($A109&lt;'DWV ABS'!$A$117,VLOOKUP($A109,'DWV ABS'!$A$8:$M$116,11,FALSE),                                                                                                                                                                                                                                                     IF($A109&lt;'PVC SCH40'!$A$425,VLOOKUP($A109,'PVC SCH40'!$A$8:$M$424,7,FALSE),
IF($A109&lt;'PVC SCH40 LD'!$A$22,VLOOKUP($A109,'PVC SCH40 LD'!$A$8:$M$21,7,FALSE),
IF($A109&lt;'Pool &amp; SPA Sweep Elbows'!$A$12,VLOOKUP($A109,'Pool &amp; SPA Sweep Elbows'!$A$8:$M$11,7,FALSE),
IF($A109&lt;'Pool &amp; SPA Pipe Extender'!$A$11,VLOOKUP($A109,'Pool &amp; SPA Pipe Extender'!$A$8:$M$10,7,FALSE),
IF($A109&lt;'PVC SCH80'!$A$250,VLOOKUP($A109,'PVC SCH80'!$A$8:$M$249,7,FALSE),
IF($A109&lt;'PVC SCH80 Flange'!$A$49,VLOOKUP($A109,'PVC SCH80 Flange'!$A$8:$M$48,7,FALSE),
IF($A109&lt;'PVC SCH80 LD Flange'!$A$17,VLOOKUP($A109,'PVC SCH80 LD Flange'!$A$8:$M$16,7,FALSE),
IF($A109&lt;CPVC!$A$105,VLOOKUP($A109,CPVC!$A$9:$M$104,7,FALSE),
IF($A109&lt;InsertFittings!$A$185,VLOOKUP($A109,InsertFittings!$A$9:$M$184,7,FALSE),
IF($A109&lt;Valves!$A$92,VLOOKUP($A109,Valves!$A$9:$Q$91,11,FALSE),
IF($A109&lt;SDR35SW!$A$133,VLOOKUP($A109,SDR35SW!$A$9:$M$132,7,FALSE),
IF($A109&lt;SDR35G!$A$151,VLOOKUP($A109,SDR35G!$A$9:$M$150,7,FALSE),                                                                                                                                                                                                                                                       IF($A109&lt;SDR26G!$A$67,VLOOKUP($A109,SDR26G!$A$9:$N$66,8,FALSE),                                                                                                                                                                                                                                                     IF($A109&lt;Cements!$A$95,VLOOKUP($A109,Cements!$A$8:$Q$94,11,FALSE),
IF($A109&lt;ValveBox!$A$124,VLOOKUP($A109,ValveBox!$A$9:$O$123,10,FALSE),
IF($A109&lt;'ValveBox Components'!$A$142,VLOOKUP($A109,'ValveBox Components'!$A$9:$N$141,9,FALSE),
IF($A109&lt;Drainage!$A$69,VLOOKUP($A109,Drainage!$A$8:$M$68,7,FALSE),                                                                                                                                                                                                                                                          IF($A109&lt;Nipples!$A$82,VLOOKUP($A109,Nipples!$A$9:$Q$81,11,FALSE),
IF($A109&lt;Manifold!$A$33,VLOOKUP($A109,Manifold!$A$9:$M$32,7,FALSE),
IF($A109&lt;FlexibleRepairCouplings!$A$12,VLOOKUP($A109,FlexibleRepairCouplings!$A$9:$M$11,7,FALSE),
IF($A109&lt;DuraFix!$A$15,VLOOKUP($A109,DuraFix!$A$9:$M$14,7,FALSE),                                                                                                                                                                                                                                                           IF($A109&lt;'Compression Fittings'!$A$16,VLOOKUP($A109,'Compression Fittings'!$A$8:$M$15,7,FALSE),
IF($A109&lt;'Hose Fittings'!$A$30,VLOOKUP($A109,'Hose Fittings'!$A$8:$M$29,7,FALSE),
IF($A109&lt;'Swing Joints'!$A$495,VLOOKUP($A109,'Swing Joints'!$A$9:$M$494,7,FALSE),
IF($A109&lt;'Swing Joints Components'!$A$135,VLOOKUP($A109,'Swing Joints Components'!$A$9:$M$134,7,FALSE),
IF($A109&lt;Nonstandard!$A$42,VLOOKUP($A109,Nonstandard!$A$31:$J$41,10,FALSE),"")))))))))))))))))))))))))))),"")</f>
        <v/>
      </c>
      <c r="I109" s="619"/>
      <c r="J109" s="281" t="str">
        <f t="shared" si="3"/>
        <v/>
      </c>
      <c r="K109" s="313" t="str">
        <f>IFERROR(IF($A109&lt;'DWV PVC'!$A$317,VLOOKUP($A109,'DWV PVC'!$A$9:$M$316,10,FALSE),
IF($A109&lt;'DWV ABS'!$A$117,VLOOKUP($A109,'DWV ABS'!$A$8:$M$116,10,FALSE),
IF($A109&lt;'PVC SCH40'!$A$425,VLOOKUP($A109,'PVC SCH40'!$A$8:$M$424,10,FALSE),
IF($A109&lt;'PVC SCH40 LD'!$A$22,VLOOKUP($A109,'PVC SCH40 LD'!$A$8:$M$21,10,FALSE),
IF($A109&lt;'Pool &amp; SPA Sweep Elbows'!$A$12,VLOOKUP($A109,'Pool &amp; SPA Sweep Elbows'!$A$8:$M$11,10,FALSE),
IF($A109&lt;'Pool &amp; SPA Pipe Extender'!$A$11,VLOOKUP($A109,'Pool &amp; SPA Pipe Extender'!$A$8:$M$10,10,FALSE),
IF($A109&lt;'PVC SCH80'!$A$250,VLOOKUP($A109,'PVC SCH80'!$A$8:$M$249,10,FALSE),
IF($A109&lt;'PVC SCH80 Flange'!$A$49,VLOOKUP($A109,'PVC SCH80 Flange'!$A$8:$M$48,10,FALSE),
IF($A109&lt;'PVC SCH80 LD Flange'!$A$17,VLOOKUP($A109,'PVC SCH80 LD Flange'!$A$8:$M$16,10,FALSE),
IF($A109&lt;CPVC!$A$105,VLOOKUP($A109,CPVC!$A$9:$M$104,10,FALSE),
IF($A109&lt;InsertFittings!$A$185,VLOOKUP($A109,InsertFittings!$A$9:$M$184,10,FALSE),
IF($A109&lt;Valves!$A$92,VLOOKUP($A109,Valves!$A$9:$Q$91,14,FALSE),
IF($A109&lt;SDR35SW!$A$133,VLOOKUP($A109,SDR35SW!$A$9:$M$132,10,FALSE),
IF($A109&lt;SDR35G!$A$151,VLOOKUP($A109,SDR35G!$A$9:$M$150,10,FALSE),
IF($A109&lt;SDR26G!$A$67,VLOOKUP($A109,SDR26G!$A$9:$N$66,11,FALSE),
IF($A109&lt;Cements!$A$95,VLOOKUP($A109,Cements!$A$8:$Q$94,14,FALSE),
IF($A109&lt;ValveBox!$A$124,VLOOKUP($A109,ValveBox!$A$9:$O$123,12,FALSE),
IF($A109&lt;'ValveBox Components'!$A$142,VLOOKUP($A109,'ValveBox Components'!$A$9:$N$141,11,FALSE),
IF($A109&lt;Drainage!$A$69,VLOOKUP($A109,Drainage!$A$8:$M$68,10,FALSE),
IF($A109&lt;Nipples!$A$82,VLOOKUP($A109,Nipples!$A$9:$Q$81,14,FALSE),
IF($A109&lt;Manifold!$A$33,VLOOKUP($A109,Manifold!$A$9:$M$32,10,FALSE),
IF($A109&lt;FlexibleRepairCouplings!$A$12,VLOOKUP($A109,FlexibleRepairCouplings!$A$9:$M$11,10,FALSE),
IF($A109&lt;DuraFix!$A$15,VLOOKUP($A109,DuraFix!$A$9:$M$14,10,FALSE),
IF($A109&lt;'Compression Fittings'!$A$16,VLOOKUP($A109,'Compression Fittings'!$A$8:$M$15,10,FALSE),
IF($A109&lt;'Hose Fittings'!$A$30,VLOOKUP($A109,'Hose Fittings'!$A$8:$M$29,10,FALSE),
IF($A109&lt;'Swing Joints'!$A$495,VLOOKUP($A109,'Swing Joints'!$A$9:$M$494,10,FALSE),
IF($A109&lt;'Swing Joints Components'!$A$135,VLOOKUP($A109,'Swing Joints Components'!$A$9:$M$134,10,FALSE),
IF($A109&lt;Nonstandard!$A$42,VLOOKUP($A109,Nonstandard!$A$31:$J$41,10,FALSE),"")))))))))))))))))))))))))))),"")</f>
        <v/>
      </c>
      <c r="L109" s="314" t="str">
        <f t="shared" si="2"/>
        <v>-</v>
      </c>
      <c r="M109" s="315"/>
    </row>
    <row r="110" spans="1:13" ht="15.6">
      <c r="A110" s="536">
        <v>78</v>
      </c>
      <c r="B110" s="536" t="str">
        <f>IFERROR(IF($A110&lt;'DWV PVC'!$A$317,VLOOKUP($A110,'DWV PVC'!$A$9:$M$316,4,FALSE),
IF($A110&lt;'DWV ABS'!$A$117,VLOOKUP($A110,'DWV ABS'!$A$8:$M$116,4,FALSE),
IF($A110&lt;'PVC SCH40'!$A$425,VLOOKUP($A110,'PVC SCH40'!$A$8:$M$424,4,FALSE),
IF($A110&lt;'PVC SCH40 LD'!$A$22,VLOOKUP($A110,'PVC SCH40 LD'!$A$8:$M$21,4,FALSE),
IF($A110&lt;'Pool &amp; SPA Sweep Elbows'!$A$12,VLOOKUP($A110,'Pool &amp; SPA Sweep Elbows'!$A$8:$M$11,4,FALSE),
IF($A110&lt;'Pool &amp; SPA Pipe Extender'!$A$11,VLOOKUP($A110,'Pool &amp; SPA Pipe Extender'!$A$8:$M$10,4,FALSE),
IF($A110&lt;'PVC SCH80'!$A$250,VLOOKUP($A110,'PVC SCH80'!$A$8:$M$249,4,FALSE),
IF($A110&lt;'PVC SCH80 Flange'!$A$49,VLOOKUP($A110,'PVC SCH80 Flange'!$A$8:$M$48,4,FALSE),
IF($A110&lt;'PVC SCH80 LD Flange'!$A$17,VLOOKUP($A110,'PVC SCH80 LD Flange'!$A$8:$M$16,4,FALSE),
IF($A110&lt;CPVC!$A$105,VLOOKUP($A110,CPVC!$A$9:$M$104,4,FALSE),
IF($A110&lt;InsertFittings!$A$185,VLOOKUP($A110,InsertFittings!$A$9:$M$184,4,FALSE),
IF($A110&lt;Valves!$A$92,VLOOKUP($A110,Valves!$A$9:$Q$91,4,FALSE),
IF($A110&lt;SDR35SW!$A$133,VLOOKUP($A110,SDR35SW!$A$9:$M$132,4,FALSE),
IF($A110&lt;SDR35G!$A$151,VLOOKUP($A110,SDR35G!$A$9:$M$150,4,FALSE),
IF($A110&lt;SDR26G!$A$67,VLOOKUP($A110,SDR26G!$A$9:$N$66,5,FALSE),
IF($A110&lt;Cements!$A$95,VLOOKUP($A110,Cements!$A$8:$Q$94,4,FALSE),
IF($A110&lt;ValveBox!$A$124,VLOOKUP($A110,ValveBox!$A$9:$O$123,4,FALSE),
IF($A110&lt;'ValveBox Components'!$A$142,VLOOKUP($A110,'ValveBox Components'!$A$9:$N$141,4,FALSE),
IF($A110&lt;Drainage!$A$69,VLOOKUP($A110,Drainage!$A$8:$M$68,4,FALSE),
IF($A110&lt;Nipples!$A$82,VLOOKUP($A110,Nipples!$A$9:$Q$81,4,FALSE),
IF($A110&lt;Manifold!$A$33,VLOOKUP($A110,Manifold!$A$9:$M$32,4,FALSE),
IF($A110&lt;FlexibleRepairCouplings!$A$12,VLOOKUP($A110,FlexibleRepairCouplings!$A$9:$M$11,4,FALSE),
IF($A110&lt;DuraFix!$A$15,VLOOKUP($A110,DuraFix!$A$9:$M$14,4,FALSE),
IF($A110&lt;'Compression Fittings'!$A$16,VLOOKUP($A110,'Compression Fittings'!$A$8:$M$15,4,FALSE),
IF($A110&lt;'Hose Fittings'!$A$30,VLOOKUP($A110,'Hose Fittings'!$A$8:$M$29,4,FALSE),
IF($A110&lt;'Swing Joints'!$A$495,VLOOKUP($A110,'Swing Joints'!$A$9:$M$494,4,FALSE),
IF($A110&lt;'Swing Joints Components'!$A$135,VLOOKUP($A110,'Swing Joints Components'!$A$9:$M$134,4,FALSE),
IF($A110&lt;Nonstandard!$A$42,VLOOKUP($A110,Nonstandard!$A$31:$J$41,5,FALSE),"")))))))))))))))))))))))))))),"")</f>
        <v/>
      </c>
      <c r="C110" s="536" t="str">
        <f>IFERROR(IF($A110&lt;'DWV PVC'!$A$317,VLOOKUP($A110,'DWV PVC'!$A$9:$M$316,5,FALSE),
IF($A110&lt;'DWV ABS'!$A$117,VLOOKUP($A110,'DWV ABS'!$A$8:$M$116,5,FALSE),
IF($A110&lt;'PVC SCH40'!$A$425,VLOOKUP($A110,'PVC SCH40'!$A$8:$M$424,5,FALSE),
IF($A110&lt;'PVC SCH40 LD'!$A$22,VLOOKUP($A110,'PVC SCH40 LD'!$A$8:$M$21,5,FALSE),
IF($A110&lt;'Pool &amp; SPA Sweep Elbows'!$A$12,VLOOKUP($A110,'Pool &amp; SPA Sweep Elbows'!$A$8:$M$11,5,FALSE),
IF($A110&lt;'Pool &amp; SPA Pipe Extender'!$A$11,VLOOKUP($A110,'Pool &amp; SPA Pipe Extender'!$A$8:$M$10,5,FALSE),
IF($A110&lt;'PVC SCH80'!$A$250,VLOOKUP($A110,'PVC SCH80'!$A$8:$M$249,5,FALSE),
IF($A110&lt;'PVC SCH80 Flange'!$A$49,VLOOKUP($A110,'PVC SCH80 Flange'!$A$8:$M$48,5,FALSE),
IF($A110&lt;'PVC SCH80 LD Flange'!$A$17,VLOOKUP($A110,'PVC SCH80 LD Flange'!$A$8:$M$16,5,FALSE),
IF($A110&lt;CPVC!$A$105,VLOOKUP($A110,CPVC!$A$9:$M$104,5,FALSE),
IF($A110&lt;InsertFittings!$A$185,VLOOKUP($A110,InsertFittings!$A$9:$M$184,5,FALSE),
IF($A110&lt;Valves!$A$92,VLOOKUP($A110,Valves!$A$9:$Q$91,5,FALSE),
IF($A110&lt;SDR35SW!$A$133,VLOOKUP($A110,SDR35SW!$A$9:$M$132,5,FALSE),
IF($A110&lt;SDR35G!$A$151,VLOOKUP($A110,SDR35G!$A$9:$M$150,5,FALSE),
IF($A110&lt;SDR26G!$A$67,VLOOKUP($A110,SDR26G!$A$9:$N$66,6,FALSE),
IF($A110&lt;Cements!$A$95,VLOOKUP($A110,Cements!$A$8:$Q$94,5,FALSE),
IF($A110&lt;ValveBox!$A$124,VLOOKUP($A110,ValveBox!$A$9:$O$123,5,FALSE),
IF($A110&lt;'ValveBox Components'!$A$142,VLOOKUP($A110,'ValveBox Components'!$A$9:$N$141,5,FALSE),
IF($A110&lt;Drainage!$A$69,VLOOKUP($A110,Drainage!$A$8:$M$68,5,FALSE),
IF($A110&lt;Nipples!$A$82,VLOOKUP($A110,Nipples!$A$9:$Q$81,5,FALSE),
IF($A110&lt;Manifold!$A$33,VLOOKUP($A110,Manifold!$A$9:$M$32,5,FALSE),
IF($A110&lt;FlexibleRepairCouplings!$A$12,VLOOKUP($A110,FlexibleRepairCouplings!$A$9:$M$11,5,FALSE),
IF($A110&lt;DuraFix!$A$15,VLOOKUP($A110,DuraFix!$A$9:$M$14,5,FALSE),
IF($A110&lt;'Compression Fittings'!$A$16,VLOOKUP($A110,'Compression Fittings'!$A$8:$M$15,5,FALSE),
IF($A110&lt;'Hose Fittings'!$A$30,VLOOKUP($A110,'Hose Fittings'!$A$8:$M$29,5,FALSE),
IF($A110&lt;'Swing Joints'!$A$495,VLOOKUP($A110,'Swing Joints'!$A$9:$M$494,5,FALSE),
IF($A110&lt;'Swing Joints Components'!$A$135,VLOOKUP($A110,'Swing Joints Components'!$A$9:$M$134,5,FALSE),
IF($A110&lt;Nonstandard!$A$42,VLOOKUP($A110,Nonstandard!$A$31:$J$41,6,FALSE),"")))))))))))))))))))))))))))),"")</f>
        <v/>
      </c>
      <c r="D110" s="537" t="str">
        <f>IFERROR(IF($A110&lt;'DWV PVC'!$A$317,VLOOKUP($A110,'DWV PVC'!$A$9:$M$316,6,FALSE),
IF($A110&lt;'DWV ABS'!$A$117,VLOOKUP($A110,'DWV ABS'!$A$8:$M$116,6,FALSE),
IF($A110&lt;'PVC SCH40'!$A$425,VLOOKUP($A110,'PVC SCH40'!$A$8:$M$424,6,FALSE),
IF($A110&lt;'PVC SCH40 LD'!$A$22,VLOOKUP($A110,'PVC SCH40 LD'!$A$8:$M$21,6,FALSE),
IF($A110&lt;'Pool &amp; SPA Sweep Elbows'!$A$12,VLOOKUP($A110,'Pool &amp; SPA Sweep Elbows'!$A$8:$M$11,6,FALSE),
IF($A110&lt;'Pool &amp; SPA Pipe Extender'!$A$11,VLOOKUP($A110,'Pool &amp; SPA Pipe Extender'!$A$8:$M$10,6,FALSE),
IF($A110&lt;'PVC SCH80'!$A$250,VLOOKUP($A110,'PVC SCH80'!$A$8:$M$249,6,FALSE),
IF($A110&lt;'PVC SCH80 Flange'!$A$49,VLOOKUP($A110,'PVC SCH80 Flange'!$A$8:$M$48,6,FALSE),
IF($A110&lt;'PVC SCH80 LD Flange'!$A$17,VLOOKUP($A110,'PVC SCH80 LD Flange'!$A$8:$M$16,6,FALSE),
IF($A110&lt;CPVC!$A$105,VLOOKUP($A110,CPVC!$A$9:$M$104,6,FALSE),
IF($A110&lt;InsertFittings!$A$185,VLOOKUP($A110,InsertFittings!$A$9:$M$184,6,FALSE),
IF($A110&lt;Valves!$A$92,VLOOKUP($A110,Valves!$A$9:$Q$91,6,FALSE),
IF($A110&lt;SDR35SW!$A$133,VLOOKUP($A110,SDR35SW!$A$9:$M$132,6,FALSE),
IF($A110&lt;SDR35G!$A$151,VLOOKUP($A110,SDR35G!$A$9:$M$150,6,FALSE),
IF($A110&lt;SDR26G!$A$67,VLOOKUP($A110,SDR26G!$A$9:$N$66,7,FALSE),
IF($A110&lt;Cements!$A$95,VLOOKUP($A110,Cements!$A$8:$Q$94,6,FALSE),
IF($A110&lt;ValveBox!$A$124,VLOOKUP($A110,ValveBox!$A$9:$O$123,6,FALSE),
IF($A110&lt;'ValveBox Components'!$A$142,VLOOKUP($A110,'ValveBox Components'!$A$9:$N$141,6,FALSE),
IF($A110&lt;Drainage!$A$69,VLOOKUP($A110,Drainage!$A$8:$M$68,6,FALSE),
IF($A110&lt;Nipples!$A$82,VLOOKUP($A110,Nipples!$A$9:$Q$81,6,FALSE),
IF($A110&lt;Manifold!$A$33,VLOOKUP($A110,Manifold!$A$9:$M$32,6,FALSE),
IF($A110&lt;FlexibleRepairCouplings!$A$12,VLOOKUP($A110,FlexibleRepairCouplings!$A$9:$M$11,6,FALSE),
IF($A110&lt;DuraFix!$A$15,VLOOKUP($A110,DuraFix!$A$9:$M$14,6,FALSE),
IF($A110&lt;'Compression Fittings'!$A$16,VLOOKUP($A110,'Compression Fittings'!$A$8:$M$15,6,FALSE),
IF($A110&lt;'Hose Fittings'!$A$30,VLOOKUP($A110,'Hose Fittings'!$A$8:$M$29,6,FALSE),
IF($A110&lt;'Swing Joints'!$A$495,VLOOKUP($A110,'Swing Joints'!$A$9:$M$494,6,FALSE),
IF($A110&lt;'Swing Joints Components'!$A$135,VLOOKUP($A110,'Swing Joints Components'!$A$9:$M$134,6,FALSE),
IF($A110&lt;Nonstandard!$A$42,VLOOKUP($A110,Nonstandard!$A$31:$J$41,7,FALSE),"")))))))))))))))))))))))))))),"")</f>
        <v/>
      </c>
      <c r="E110" s="538"/>
      <c r="F110" s="539" t="str">
        <f>IFERROR(IF($A110&lt;'DWV PVC'!$A$317,VLOOKUP($A110,'DWV PVC'!$A$9:$M$316,9,FALSE),
IF($A110&lt;'DWV ABS'!$A$117,VLOOKUP($A110,'DWV ABS'!$A$8:$M$116,9,FALSE),                                                                                                                                                                                                                                                     IF($A110&lt;'PVC SCH40'!$A$425,VLOOKUP($A110,'PVC SCH40'!$A$8:$M$424,9,FALSE),
IF($A110&lt;'PVC SCH40 LD'!$A$22,VLOOKUP($A110,'PVC SCH40 LD'!$A$8:$M$21,9,FALSE),
IF($A110&lt;'Pool &amp; SPA Sweep Elbows'!$A$12,VLOOKUP($A110,'Pool &amp; SPA Sweep Elbows'!$A$8:$M$11,9,FALSE),
IF($A110&lt;'Pool &amp; SPA Pipe Extender'!$A$11,VLOOKUP($A110,'Pool &amp; SPA Pipe Extender'!$A$8:$M$10,9,FALSE),
IF($A110&lt;'PVC SCH80'!$A$250,VLOOKUP($A110,'PVC SCH80'!$A$8:$M$249,9,FALSE),
IF($A110&lt;'PVC SCH80 Flange'!$A$49,VLOOKUP($A110,'PVC SCH80 Flange'!$A$8:$M$48,9,FALSE),
IF($A110&lt;'PVC SCH80 LD Flange'!$A$17,VLOOKUP($A110,'PVC SCH80 LD Flange'!$A$8:$M$16,9,FALSE),
IF($A110&lt;CPVC!$A$105,VLOOKUP($A110,CPVC!$A$9:$M$104,9,FALSE),
IF($A110&lt;InsertFittings!$A$185,VLOOKUP($A110,InsertFittings!$A$9:$M$184,9,FALSE),
IF($A110&lt;Valves!$A$92,VLOOKUP($A110,Valves!$A$9:$Q$91,13,FALSE),
IF($A110&lt;SDR35SW!$A$133,VLOOKUP($A110,SDR35SW!$A$9:$M$132,9,FALSE),
IF($A110&lt;SDR35G!$A$151,VLOOKUP($A110,SDR35G!$A$9:$M$150,9,FALSE),                                                                                                                                                                                                                                                          IF($A110&lt;SDR26G!$A$67,VLOOKUP($A110,SDR26G!$A$9:$N$66,10,FALSE),                                                                                                                                                                                                                                                       IF($A110&lt;Cements!$A$95,VLOOKUP($A110,Cements!$A$8:$Q$94,13,FALSE),
IF($A110&lt;ValveBox!$A$124,VLOOKUP($A110,ValveBox!$A$9:$O$123,11,FALSE),
IF($A110&lt;'ValveBox Components'!$A$142,VLOOKUP($A110,'ValveBox Components'!$A$9:$N$141,10,FALSE),
IF($A110&lt;Drainage!$A$69,VLOOKUP($A110,Drainage!$A$8:$M$68,9,FALSE),                                                                                                                                                                                                                                                              IF($A110&lt;Nipples!$A$82,VLOOKUP($A110,Nipples!$A$9:$Q$81,13,FALSE),
IF($A110&lt;Manifold!$A$33,VLOOKUP($A110,Manifold!$A$9:$M$32,9,FALSE),
IF($A110&lt;FlexibleRepairCouplings!$A$12,VLOOKUP($A110,FlexibleRepairCouplings!$A$9:$M$11,9,FALSE),
IF($A110&lt;DuraFix!$A$15,VLOOKUP($A110,DuraFix!$A$9:$M$14,9,FALSE),                                                                                                                                                                                                                                                          IF($A110&lt;'Compression Fittings'!$A$16,VLOOKUP($A110,'Compression Fittings'!$A$8:$M$15,9,FALSE),
IF($A110&lt;'Hose Fittings'!$A$30,VLOOKUP($A110,'Hose Fittings'!$A$8:$M$29,9,FALSE),
IF($A110&lt;'Swing Joints'!$A$495,VLOOKUP($A110,'Swing Joints'!$A$9:$M$494,9,FALSE),
IF($A110&lt;'Swing Joints Components'!$A$135,VLOOKUP($A110,'Swing Joints Components'!$A$9:$M$134,9,FALSE),
IF($A110&lt;Nonstandard!$A$42,VLOOKUP($A110,Nonstandard!$A$31:$J$41,8,FALSE),"")))))))))))))))))))))))))))),"")</f>
        <v/>
      </c>
      <c r="G110" s="540" t="str">
        <f>IFERROR(IF($A110&lt;'DWV PVC'!$A$317,VLOOKUP($A110,'DWV PVC'!$A$9:$M$316,11,FALSE),
IF($A110&lt;'DWV ABS'!$A$117,VLOOKUP($A110,'DWV ABS'!$A$8:$M$116,11,FALSE),                                                                                                                                                                                                                                                     IF($A110&lt;'PVC SCH40'!$A$425,VLOOKUP($A110,'PVC SCH40'!$A$8:$M$424,11,FALSE),
IF($A110&lt;'PVC SCH40 LD'!$A$22,VLOOKUP($A110,'PVC SCH40 LD'!$A$8:$M$21,11,FALSE),
IF($A110&lt;'Pool &amp; SPA Sweep Elbows'!$A$12,VLOOKUP($A110,'Pool &amp; SPA Sweep Elbows'!$A$8:$M$11,11,FALSE),
IF($A110&lt;'Pool &amp; SPA Pipe Extender'!$A$11,VLOOKUP($A110,'Pool &amp; SPA Pipe Extender'!$A$8:$M$10,11,FALSE),
IF($A110&lt;'PVC SCH80'!$A$250,VLOOKUP($A110,'PVC SCH80'!$A$8:$M$249,11,FALSE),
IF($A110&lt;'PVC SCH80 Flange'!$A$49,VLOOKUP($A110,'PVC SCH80 Flange'!$A$8:$M$48,11,FALSE),
IF($A110&lt;'PVC SCH80 LD Flange'!$A$17,VLOOKUP($A110,'PVC SCH80 LD Flange'!$A$8:$M$16,11,FALSE),
IF($A110&lt;CPVC!$A$105,VLOOKUP($A110,CPVC!$A$9:$M$104,11,FALSE),
IF($A110&lt;InsertFittings!$A$185,VLOOKUP($A110,InsertFittings!$A$9:$M$184,11,FALSE),
IF($A110&lt;Valves!$A$92,VLOOKUP($A110,Valves!$A$9:$Q$91,15,FALSE),
IF($A110&lt;SDR35SW!$A$133,VLOOKUP($A110,SDR35SW!$A$9:$M$132,11,FALSE),
IF($A110&lt;SDR35G!$A$151,VLOOKUP($A110,SDR35G!$A$9:$M$150,11,FALSE),                                                                                                                                                                                                                                                          IF($A110&lt;SDR26G!$A$67,VLOOKUP($A110,SDR26G!$A$9:$N$66,12,FALSE),                                                                                                                                                                                                                                                       IF($A110&lt;Cements!$A$95,VLOOKUP($A110,Cements!$A$8:$Q$94,15,FALSE),
IF($A110&lt;ValveBox!$A$124,VLOOKUP($A110,ValveBox!$A$9:$O$123,13,FALSE),
IF($A110&lt;'ValveBox Components'!$A$142,VLOOKUP($A110,'ValveBox Components'!$A$9:$N$141,12,FALSE),
IF($A110&lt;Drainage!$A$69,VLOOKUP($A110,Drainage!$A$8:$M$68,11,FALSE),                                                                                                                                                                                                                                                           IF($A110&lt;Nipples!$A$82,VLOOKUP($A110,Nipples!$A$9:$Q$81,15,FALSE),
IF($A110&lt;Manifold!$A$33,VLOOKUP($A110,Manifold!$A$9:$M$32,11,FALSE),
IF($A110&lt;FlexibleRepairCouplings!$A$12,VLOOKUP($A110,FlexibleRepairCouplings!$A$9:$M$11,11,FALSE),
IF($A110&lt;DuraFix!$A$15,VLOOKUP($A110,DuraFix!$A$9:$M$14,11,FALSE),                                                                                                                                                                                                                                                            IF($A110&lt;'Compression Fittings'!$A$16,VLOOKUP($A110,'Compression Fittings'!$A$8:$M$15,11,FALSE),
IF($A110&lt;'Hose Fittings'!$A$30,VLOOKUP($A110,'Hose Fittings'!$A$8:$M$29,11,FALSE),
IF($A110&lt;'Swing Joints'!$A$495,VLOOKUP($A110,'Swing Joints'!$A$9:$M$494,11,FALSE),
IF($A110&lt;'Swing Joints Components'!$A$135,VLOOKUP($A110,'Swing Joints Components'!$A$9:$M$134,11,FALSE),
IF($A110&lt;Nonstandard!$A$42,VLOOKUP($A110,Nonstandard!$A$31:$J$41,10,FALSE),"")))))))))))))))))))))))))))),"")</f>
        <v/>
      </c>
      <c r="H110" s="620" t="str">
        <f>IFERROR(IF($A110&lt;'DWV PVC'!$A$317,VLOOKUP($A110,'DWV PVC'!$A$9:$M$316,7,FALSE),
IF($A110&lt;'DWV ABS'!$A$117,VLOOKUP($A110,'DWV ABS'!$A$8:$M$116,11,FALSE),                                                                                                                                                                                                                                                     IF($A110&lt;'PVC SCH40'!$A$425,VLOOKUP($A110,'PVC SCH40'!$A$8:$M$424,7,FALSE),
IF($A110&lt;'PVC SCH40 LD'!$A$22,VLOOKUP($A110,'PVC SCH40 LD'!$A$8:$M$21,7,FALSE),
IF($A110&lt;'Pool &amp; SPA Sweep Elbows'!$A$12,VLOOKUP($A110,'Pool &amp; SPA Sweep Elbows'!$A$8:$M$11,7,FALSE),
IF($A110&lt;'Pool &amp; SPA Pipe Extender'!$A$11,VLOOKUP($A110,'Pool &amp; SPA Pipe Extender'!$A$8:$M$10,7,FALSE),
IF($A110&lt;'PVC SCH80'!$A$250,VLOOKUP($A110,'PVC SCH80'!$A$8:$M$249,7,FALSE),
IF($A110&lt;'PVC SCH80 Flange'!$A$49,VLOOKUP($A110,'PVC SCH80 Flange'!$A$8:$M$48,7,FALSE),
IF($A110&lt;'PVC SCH80 LD Flange'!$A$17,VLOOKUP($A110,'PVC SCH80 LD Flange'!$A$8:$M$16,7,FALSE),
IF($A110&lt;CPVC!$A$105,VLOOKUP($A110,CPVC!$A$9:$M$104,7,FALSE),
IF($A110&lt;InsertFittings!$A$185,VLOOKUP($A110,InsertFittings!$A$9:$M$184,7,FALSE),
IF($A110&lt;Valves!$A$92,VLOOKUP($A110,Valves!$A$9:$Q$91,11,FALSE),
IF($A110&lt;SDR35SW!$A$133,VLOOKUP($A110,SDR35SW!$A$9:$M$132,7,FALSE),
IF($A110&lt;SDR35G!$A$151,VLOOKUP($A110,SDR35G!$A$9:$M$150,7,FALSE),                                                                                                                                                                                                                                                       IF($A110&lt;SDR26G!$A$67,VLOOKUP($A110,SDR26G!$A$9:$N$66,8,FALSE),                                                                                                                                                                                                                                                     IF($A110&lt;Cements!$A$95,VLOOKUP($A110,Cements!$A$8:$Q$94,11,FALSE),
IF($A110&lt;ValveBox!$A$124,VLOOKUP($A110,ValveBox!$A$9:$O$123,10,FALSE),
IF($A110&lt;'ValveBox Components'!$A$142,VLOOKUP($A110,'ValveBox Components'!$A$9:$N$141,9,FALSE),
IF($A110&lt;Drainage!$A$69,VLOOKUP($A110,Drainage!$A$8:$M$68,7,FALSE),                                                                                                                                                                                                                                                          IF($A110&lt;Nipples!$A$82,VLOOKUP($A110,Nipples!$A$9:$Q$81,11,FALSE),
IF($A110&lt;Manifold!$A$33,VLOOKUP($A110,Manifold!$A$9:$M$32,7,FALSE),
IF($A110&lt;FlexibleRepairCouplings!$A$12,VLOOKUP($A110,FlexibleRepairCouplings!$A$9:$M$11,7,FALSE),
IF($A110&lt;DuraFix!$A$15,VLOOKUP($A110,DuraFix!$A$9:$M$14,7,FALSE),                                                                                                                                                                                                                                                           IF($A110&lt;'Compression Fittings'!$A$16,VLOOKUP($A110,'Compression Fittings'!$A$8:$M$15,7,FALSE),
IF($A110&lt;'Hose Fittings'!$A$30,VLOOKUP($A110,'Hose Fittings'!$A$8:$M$29,7,FALSE),
IF($A110&lt;'Swing Joints'!$A$495,VLOOKUP($A110,'Swing Joints'!$A$9:$M$494,7,FALSE),
IF($A110&lt;'Swing Joints Components'!$A$135,VLOOKUP($A110,'Swing Joints Components'!$A$9:$M$134,7,FALSE),
IF($A110&lt;Nonstandard!$A$42,VLOOKUP($A110,Nonstandard!$A$31:$J$41,10,FALSE),"")))))))))))))))))))))))))))),"")</f>
        <v/>
      </c>
      <c r="I110" s="621"/>
      <c r="J110" s="541" t="str">
        <f t="shared" si="3"/>
        <v/>
      </c>
      <c r="K110" s="599" t="str">
        <f>IFERROR(IF($A110&lt;'DWV PVC'!$A$317,VLOOKUP($A110,'DWV PVC'!$A$9:$M$316,10,FALSE),
IF($A110&lt;'DWV ABS'!$A$117,VLOOKUP($A110,'DWV ABS'!$A$8:$M$116,10,FALSE),
IF($A110&lt;'PVC SCH40'!$A$425,VLOOKUP($A110,'PVC SCH40'!$A$8:$M$424,10,FALSE),
IF($A110&lt;'PVC SCH40 LD'!$A$22,VLOOKUP($A110,'PVC SCH40 LD'!$A$8:$M$21,10,FALSE),
IF($A110&lt;'Pool &amp; SPA Sweep Elbows'!$A$12,VLOOKUP($A110,'Pool &amp; SPA Sweep Elbows'!$A$8:$M$11,10,FALSE),
IF($A110&lt;'Pool &amp; SPA Pipe Extender'!$A$11,VLOOKUP($A110,'Pool &amp; SPA Pipe Extender'!$A$8:$M$10,10,FALSE),
IF($A110&lt;'PVC SCH80'!$A$250,VLOOKUP($A110,'PVC SCH80'!$A$8:$M$249,10,FALSE),
IF($A110&lt;'PVC SCH80 Flange'!$A$49,VLOOKUP($A110,'PVC SCH80 Flange'!$A$8:$M$48,10,FALSE),
IF($A110&lt;'PVC SCH80 LD Flange'!$A$17,VLOOKUP($A110,'PVC SCH80 LD Flange'!$A$8:$M$16,10,FALSE),
IF($A110&lt;CPVC!$A$105,VLOOKUP($A110,CPVC!$A$9:$M$104,10,FALSE),
IF($A110&lt;InsertFittings!$A$185,VLOOKUP($A110,InsertFittings!$A$9:$M$184,10,FALSE),
IF($A110&lt;Valves!$A$92,VLOOKUP($A110,Valves!$A$9:$Q$91,14,FALSE),
IF($A110&lt;SDR35SW!$A$133,VLOOKUP($A110,SDR35SW!$A$9:$M$132,10,FALSE),
IF($A110&lt;SDR35G!$A$151,VLOOKUP($A110,SDR35G!$A$9:$M$150,10,FALSE),
IF($A110&lt;SDR26G!$A$67,VLOOKUP($A110,SDR26G!$A$9:$N$66,11,FALSE),
IF($A110&lt;Cements!$A$95,VLOOKUP($A110,Cements!$A$8:$Q$94,14,FALSE),
IF($A110&lt;ValveBox!$A$124,VLOOKUP($A110,ValveBox!$A$9:$O$123,12,FALSE),
IF($A110&lt;'ValveBox Components'!$A$142,VLOOKUP($A110,'ValveBox Components'!$A$9:$N$141,11,FALSE),
IF($A110&lt;Drainage!$A$69,VLOOKUP($A110,Drainage!$A$8:$M$68,10,FALSE),
IF($A110&lt;Nipples!$A$82,VLOOKUP($A110,Nipples!$A$9:$Q$81,14,FALSE),
IF($A110&lt;Manifold!$A$33,VLOOKUP($A110,Manifold!$A$9:$M$32,10,FALSE),
IF($A110&lt;FlexibleRepairCouplings!$A$12,VLOOKUP($A110,FlexibleRepairCouplings!$A$9:$M$11,10,FALSE),
IF($A110&lt;DuraFix!$A$15,VLOOKUP($A110,DuraFix!$A$9:$M$14,10,FALSE),
IF($A110&lt;'Compression Fittings'!$A$16,VLOOKUP($A110,'Compression Fittings'!$A$8:$M$15,10,FALSE),
IF($A110&lt;'Hose Fittings'!$A$30,VLOOKUP($A110,'Hose Fittings'!$A$8:$M$29,10,FALSE),
IF($A110&lt;'Swing Joints'!$A$495,VLOOKUP($A110,'Swing Joints'!$A$9:$M$494,10,FALSE),
IF($A110&lt;'Swing Joints Components'!$A$135,VLOOKUP($A110,'Swing Joints Components'!$A$9:$M$134,10,FALSE),
IF($A110&lt;Nonstandard!$A$42,VLOOKUP($A110,Nonstandard!$A$31:$J$41,10,FALSE),"")))))))))))))))))))))))))))),"")</f>
        <v/>
      </c>
      <c r="L110" s="539" t="str">
        <f t="shared" si="2"/>
        <v>-</v>
      </c>
      <c r="M110" s="542"/>
    </row>
    <row r="111" spans="1:13" ht="15.6">
      <c r="A111" s="312">
        <v>79</v>
      </c>
      <c r="B111" s="312" t="str">
        <f>IFERROR(IF($A111&lt;'DWV PVC'!$A$317,VLOOKUP($A111,'DWV PVC'!$A$9:$M$316,4,FALSE),
IF($A111&lt;'DWV ABS'!$A$117,VLOOKUP($A111,'DWV ABS'!$A$8:$M$116,4,FALSE),
IF($A111&lt;'PVC SCH40'!$A$425,VLOOKUP($A111,'PVC SCH40'!$A$8:$M$424,4,FALSE),
IF($A111&lt;'PVC SCH40 LD'!$A$22,VLOOKUP($A111,'PVC SCH40 LD'!$A$8:$M$21,4,FALSE),
IF($A111&lt;'Pool &amp; SPA Sweep Elbows'!$A$12,VLOOKUP($A111,'Pool &amp; SPA Sweep Elbows'!$A$8:$M$11,4,FALSE),
IF($A111&lt;'Pool &amp; SPA Pipe Extender'!$A$11,VLOOKUP($A111,'Pool &amp; SPA Pipe Extender'!$A$8:$M$10,4,FALSE),
IF($A111&lt;'PVC SCH80'!$A$250,VLOOKUP($A111,'PVC SCH80'!$A$8:$M$249,4,FALSE),
IF($A111&lt;'PVC SCH80 Flange'!$A$49,VLOOKUP($A111,'PVC SCH80 Flange'!$A$8:$M$48,4,FALSE),
IF($A111&lt;'PVC SCH80 LD Flange'!$A$17,VLOOKUP($A111,'PVC SCH80 LD Flange'!$A$8:$M$16,4,FALSE),
IF($A111&lt;CPVC!$A$105,VLOOKUP($A111,CPVC!$A$9:$M$104,4,FALSE),
IF($A111&lt;InsertFittings!$A$185,VLOOKUP($A111,InsertFittings!$A$9:$M$184,4,FALSE),
IF($A111&lt;Valves!$A$92,VLOOKUP($A111,Valves!$A$9:$Q$91,4,FALSE),
IF($A111&lt;SDR35SW!$A$133,VLOOKUP($A111,SDR35SW!$A$9:$M$132,4,FALSE),
IF($A111&lt;SDR35G!$A$151,VLOOKUP($A111,SDR35G!$A$9:$M$150,4,FALSE),
IF($A111&lt;SDR26G!$A$67,VLOOKUP($A111,SDR26G!$A$9:$N$66,5,FALSE),
IF($A111&lt;Cements!$A$95,VLOOKUP($A111,Cements!$A$8:$Q$94,4,FALSE),
IF($A111&lt;ValveBox!$A$124,VLOOKUP($A111,ValveBox!$A$9:$O$123,4,FALSE),
IF($A111&lt;'ValveBox Components'!$A$142,VLOOKUP($A111,'ValveBox Components'!$A$9:$N$141,4,FALSE),
IF($A111&lt;Drainage!$A$69,VLOOKUP($A111,Drainage!$A$8:$M$68,4,FALSE),
IF($A111&lt;Nipples!$A$82,VLOOKUP($A111,Nipples!$A$9:$Q$81,4,FALSE),
IF($A111&lt;Manifold!$A$33,VLOOKUP($A111,Manifold!$A$9:$M$32,4,FALSE),
IF($A111&lt;FlexibleRepairCouplings!$A$12,VLOOKUP($A111,FlexibleRepairCouplings!$A$9:$M$11,4,FALSE),
IF($A111&lt;DuraFix!$A$15,VLOOKUP($A111,DuraFix!$A$9:$M$14,4,FALSE),
IF($A111&lt;'Compression Fittings'!$A$16,VLOOKUP($A111,'Compression Fittings'!$A$8:$M$15,4,FALSE),
IF($A111&lt;'Hose Fittings'!$A$30,VLOOKUP($A111,'Hose Fittings'!$A$8:$M$29,4,FALSE),
IF($A111&lt;'Swing Joints'!$A$495,VLOOKUP($A111,'Swing Joints'!$A$9:$M$494,4,FALSE),
IF($A111&lt;'Swing Joints Components'!$A$135,VLOOKUP($A111,'Swing Joints Components'!$A$9:$M$134,4,FALSE),
IF($A111&lt;Nonstandard!$A$42,VLOOKUP($A111,Nonstandard!$A$31:$J$41,5,FALSE),"")))))))))))))))))))))))))))),"")</f>
        <v/>
      </c>
      <c r="C111" s="312" t="str">
        <f>IFERROR(IF($A111&lt;'DWV PVC'!$A$317,VLOOKUP($A111,'DWV PVC'!$A$9:$M$316,5,FALSE),
IF($A111&lt;'DWV ABS'!$A$117,VLOOKUP($A111,'DWV ABS'!$A$8:$M$116,5,FALSE),
IF($A111&lt;'PVC SCH40'!$A$425,VLOOKUP($A111,'PVC SCH40'!$A$8:$M$424,5,FALSE),
IF($A111&lt;'PVC SCH40 LD'!$A$22,VLOOKUP($A111,'PVC SCH40 LD'!$A$8:$M$21,5,FALSE),
IF($A111&lt;'Pool &amp; SPA Sweep Elbows'!$A$12,VLOOKUP($A111,'Pool &amp; SPA Sweep Elbows'!$A$8:$M$11,5,FALSE),
IF($A111&lt;'Pool &amp; SPA Pipe Extender'!$A$11,VLOOKUP($A111,'Pool &amp; SPA Pipe Extender'!$A$8:$M$10,5,FALSE),
IF($A111&lt;'PVC SCH80'!$A$250,VLOOKUP($A111,'PVC SCH80'!$A$8:$M$249,5,FALSE),
IF($A111&lt;'PVC SCH80 Flange'!$A$49,VLOOKUP($A111,'PVC SCH80 Flange'!$A$8:$M$48,5,FALSE),
IF($A111&lt;'PVC SCH80 LD Flange'!$A$17,VLOOKUP($A111,'PVC SCH80 LD Flange'!$A$8:$M$16,5,FALSE),
IF($A111&lt;CPVC!$A$105,VLOOKUP($A111,CPVC!$A$9:$M$104,5,FALSE),
IF($A111&lt;InsertFittings!$A$185,VLOOKUP($A111,InsertFittings!$A$9:$M$184,5,FALSE),
IF($A111&lt;Valves!$A$92,VLOOKUP($A111,Valves!$A$9:$Q$91,5,FALSE),
IF($A111&lt;SDR35SW!$A$133,VLOOKUP($A111,SDR35SW!$A$9:$M$132,5,FALSE),
IF($A111&lt;SDR35G!$A$151,VLOOKUP($A111,SDR35G!$A$9:$M$150,5,FALSE),
IF($A111&lt;SDR26G!$A$67,VLOOKUP($A111,SDR26G!$A$9:$N$66,6,FALSE),
IF($A111&lt;Cements!$A$95,VLOOKUP($A111,Cements!$A$8:$Q$94,5,FALSE),
IF($A111&lt;ValveBox!$A$124,VLOOKUP($A111,ValveBox!$A$9:$O$123,5,FALSE),
IF($A111&lt;'ValveBox Components'!$A$142,VLOOKUP($A111,'ValveBox Components'!$A$9:$N$141,5,FALSE),
IF($A111&lt;Drainage!$A$69,VLOOKUP($A111,Drainage!$A$8:$M$68,5,FALSE),
IF($A111&lt;Nipples!$A$82,VLOOKUP($A111,Nipples!$A$9:$Q$81,5,FALSE),
IF($A111&lt;Manifold!$A$33,VLOOKUP($A111,Manifold!$A$9:$M$32,5,FALSE),
IF($A111&lt;FlexibleRepairCouplings!$A$12,VLOOKUP($A111,FlexibleRepairCouplings!$A$9:$M$11,5,FALSE),
IF($A111&lt;DuraFix!$A$15,VLOOKUP($A111,DuraFix!$A$9:$M$14,5,FALSE),
IF($A111&lt;'Compression Fittings'!$A$16,VLOOKUP($A111,'Compression Fittings'!$A$8:$M$15,5,FALSE),
IF($A111&lt;'Hose Fittings'!$A$30,VLOOKUP($A111,'Hose Fittings'!$A$8:$M$29,5,FALSE),
IF($A111&lt;'Swing Joints'!$A$495,VLOOKUP($A111,'Swing Joints'!$A$9:$M$494,5,FALSE),
IF($A111&lt;'Swing Joints Components'!$A$135,VLOOKUP($A111,'Swing Joints Components'!$A$9:$M$134,5,FALSE),
IF($A111&lt;Nonstandard!$A$42,VLOOKUP($A111,Nonstandard!$A$31:$J$41,6,FALSE),"")))))))))))))))))))))))))))),"")</f>
        <v/>
      </c>
      <c r="D111" s="534" t="str">
        <f>IFERROR(IF($A111&lt;'DWV PVC'!$A$317,VLOOKUP($A111,'DWV PVC'!$A$9:$M$316,6,FALSE),
IF($A111&lt;'DWV ABS'!$A$117,VLOOKUP($A111,'DWV ABS'!$A$8:$M$116,6,FALSE),
IF($A111&lt;'PVC SCH40'!$A$425,VLOOKUP($A111,'PVC SCH40'!$A$8:$M$424,6,FALSE),
IF($A111&lt;'PVC SCH40 LD'!$A$22,VLOOKUP($A111,'PVC SCH40 LD'!$A$8:$M$21,6,FALSE),
IF($A111&lt;'Pool &amp; SPA Sweep Elbows'!$A$12,VLOOKUP($A111,'Pool &amp; SPA Sweep Elbows'!$A$8:$M$11,6,FALSE),
IF($A111&lt;'Pool &amp; SPA Pipe Extender'!$A$11,VLOOKUP($A111,'Pool &amp; SPA Pipe Extender'!$A$8:$M$10,6,FALSE),
IF($A111&lt;'PVC SCH80'!$A$250,VLOOKUP($A111,'PVC SCH80'!$A$8:$M$249,6,FALSE),
IF($A111&lt;'PVC SCH80 Flange'!$A$49,VLOOKUP($A111,'PVC SCH80 Flange'!$A$8:$M$48,6,FALSE),
IF($A111&lt;'PVC SCH80 LD Flange'!$A$17,VLOOKUP($A111,'PVC SCH80 LD Flange'!$A$8:$M$16,6,FALSE),
IF($A111&lt;CPVC!$A$105,VLOOKUP($A111,CPVC!$A$9:$M$104,6,FALSE),
IF($A111&lt;InsertFittings!$A$185,VLOOKUP($A111,InsertFittings!$A$9:$M$184,6,FALSE),
IF($A111&lt;Valves!$A$92,VLOOKUP($A111,Valves!$A$9:$Q$91,6,FALSE),
IF($A111&lt;SDR35SW!$A$133,VLOOKUP($A111,SDR35SW!$A$9:$M$132,6,FALSE),
IF($A111&lt;SDR35G!$A$151,VLOOKUP($A111,SDR35G!$A$9:$M$150,6,FALSE),
IF($A111&lt;SDR26G!$A$67,VLOOKUP($A111,SDR26G!$A$9:$N$66,7,FALSE),
IF($A111&lt;Cements!$A$95,VLOOKUP($A111,Cements!$A$8:$Q$94,6,FALSE),
IF($A111&lt;ValveBox!$A$124,VLOOKUP($A111,ValveBox!$A$9:$O$123,6,FALSE),
IF($A111&lt;'ValveBox Components'!$A$142,VLOOKUP($A111,'ValveBox Components'!$A$9:$N$141,6,FALSE),
IF($A111&lt;Drainage!$A$69,VLOOKUP($A111,Drainage!$A$8:$M$68,6,FALSE),
IF($A111&lt;Nipples!$A$82,VLOOKUP($A111,Nipples!$A$9:$Q$81,6,FALSE),
IF($A111&lt;Manifold!$A$33,VLOOKUP($A111,Manifold!$A$9:$M$32,6,FALSE),
IF($A111&lt;FlexibleRepairCouplings!$A$12,VLOOKUP($A111,FlexibleRepairCouplings!$A$9:$M$11,6,FALSE),
IF($A111&lt;DuraFix!$A$15,VLOOKUP($A111,DuraFix!$A$9:$M$14,6,FALSE),
IF($A111&lt;'Compression Fittings'!$A$16,VLOOKUP($A111,'Compression Fittings'!$A$8:$M$15,6,FALSE),
IF($A111&lt;'Hose Fittings'!$A$30,VLOOKUP($A111,'Hose Fittings'!$A$8:$M$29,6,FALSE),
IF($A111&lt;'Swing Joints'!$A$495,VLOOKUP($A111,'Swing Joints'!$A$9:$M$494,6,FALSE),
IF($A111&lt;'Swing Joints Components'!$A$135,VLOOKUP($A111,'Swing Joints Components'!$A$9:$M$134,6,FALSE),
IF($A111&lt;Nonstandard!$A$42,VLOOKUP($A111,Nonstandard!$A$31:$J$41,7,FALSE),"")))))))))))))))))))))))))))),"")</f>
        <v/>
      </c>
      <c r="E111" s="316"/>
      <c r="F111" s="314" t="str">
        <f>IFERROR(IF($A111&lt;'DWV PVC'!$A$317,VLOOKUP($A111,'DWV PVC'!$A$9:$M$316,9,FALSE),
IF($A111&lt;'DWV ABS'!$A$117,VLOOKUP($A111,'DWV ABS'!$A$8:$M$116,9,FALSE),                                                                                                                                                                                                                                                     IF($A111&lt;'PVC SCH40'!$A$425,VLOOKUP($A111,'PVC SCH40'!$A$8:$M$424,9,FALSE),
IF($A111&lt;'PVC SCH40 LD'!$A$22,VLOOKUP($A111,'PVC SCH40 LD'!$A$8:$M$21,9,FALSE),
IF($A111&lt;'Pool &amp; SPA Sweep Elbows'!$A$12,VLOOKUP($A111,'Pool &amp; SPA Sweep Elbows'!$A$8:$M$11,9,FALSE),
IF($A111&lt;'Pool &amp; SPA Pipe Extender'!$A$11,VLOOKUP($A111,'Pool &amp; SPA Pipe Extender'!$A$8:$M$10,9,FALSE),
IF($A111&lt;'PVC SCH80'!$A$250,VLOOKUP($A111,'PVC SCH80'!$A$8:$M$249,9,FALSE),
IF($A111&lt;'PVC SCH80 Flange'!$A$49,VLOOKUP($A111,'PVC SCH80 Flange'!$A$8:$M$48,9,FALSE),
IF($A111&lt;'PVC SCH80 LD Flange'!$A$17,VLOOKUP($A111,'PVC SCH80 LD Flange'!$A$8:$M$16,9,FALSE),
IF($A111&lt;CPVC!$A$105,VLOOKUP($A111,CPVC!$A$9:$M$104,9,FALSE),
IF($A111&lt;InsertFittings!$A$185,VLOOKUP($A111,InsertFittings!$A$9:$M$184,9,FALSE),
IF($A111&lt;Valves!$A$92,VLOOKUP($A111,Valves!$A$9:$Q$91,13,FALSE),
IF($A111&lt;SDR35SW!$A$133,VLOOKUP($A111,SDR35SW!$A$9:$M$132,9,FALSE),
IF($A111&lt;SDR35G!$A$151,VLOOKUP($A111,SDR35G!$A$9:$M$150,9,FALSE),                                                                                                                                                                                                                                                          IF($A111&lt;SDR26G!$A$67,VLOOKUP($A111,SDR26G!$A$9:$N$66,10,FALSE),                                                                                                                                                                                                                                                       IF($A111&lt;Cements!$A$95,VLOOKUP($A111,Cements!$A$8:$Q$94,13,FALSE),
IF($A111&lt;ValveBox!$A$124,VLOOKUP($A111,ValveBox!$A$9:$O$123,11,FALSE),
IF($A111&lt;'ValveBox Components'!$A$142,VLOOKUP($A111,'ValveBox Components'!$A$9:$N$141,10,FALSE),
IF($A111&lt;Drainage!$A$69,VLOOKUP($A111,Drainage!$A$8:$M$68,9,FALSE),                                                                                                                                                                                                                                                              IF($A111&lt;Nipples!$A$82,VLOOKUP($A111,Nipples!$A$9:$Q$81,13,FALSE),
IF($A111&lt;Manifold!$A$33,VLOOKUP($A111,Manifold!$A$9:$M$32,9,FALSE),
IF($A111&lt;FlexibleRepairCouplings!$A$12,VLOOKUP($A111,FlexibleRepairCouplings!$A$9:$M$11,9,FALSE),
IF($A111&lt;DuraFix!$A$15,VLOOKUP($A111,DuraFix!$A$9:$M$14,9,FALSE),                                                                                                                                                                                                                                                          IF($A111&lt;'Compression Fittings'!$A$16,VLOOKUP($A111,'Compression Fittings'!$A$8:$M$15,9,FALSE),
IF($A111&lt;'Hose Fittings'!$A$30,VLOOKUP($A111,'Hose Fittings'!$A$8:$M$29,9,FALSE),
IF($A111&lt;'Swing Joints'!$A$495,VLOOKUP($A111,'Swing Joints'!$A$9:$M$494,9,FALSE),
IF($A111&lt;'Swing Joints Components'!$A$135,VLOOKUP($A111,'Swing Joints Components'!$A$9:$M$134,9,FALSE),
IF($A111&lt;Nonstandard!$A$42,VLOOKUP($A111,Nonstandard!$A$31:$J$41,8,FALSE),"")))))))))))))))))))))))))))),"")</f>
        <v/>
      </c>
      <c r="G111" s="533" t="str">
        <f>IFERROR(IF($A111&lt;'DWV PVC'!$A$317,VLOOKUP($A111,'DWV PVC'!$A$9:$M$316,11,FALSE),
IF($A111&lt;'DWV ABS'!$A$117,VLOOKUP($A111,'DWV ABS'!$A$8:$M$116,11,FALSE),                                                                                                                                                                                                                                                     IF($A111&lt;'PVC SCH40'!$A$425,VLOOKUP($A111,'PVC SCH40'!$A$8:$M$424,11,FALSE),
IF($A111&lt;'PVC SCH40 LD'!$A$22,VLOOKUP($A111,'PVC SCH40 LD'!$A$8:$M$21,11,FALSE),
IF($A111&lt;'Pool &amp; SPA Sweep Elbows'!$A$12,VLOOKUP($A111,'Pool &amp; SPA Sweep Elbows'!$A$8:$M$11,11,FALSE),
IF($A111&lt;'Pool &amp; SPA Pipe Extender'!$A$11,VLOOKUP($A111,'Pool &amp; SPA Pipe Extender'!$A$8:$M$10,11,FALSE),
IF($A111&lt;'PVC SCH80'!$A$250,VLOOKUP($A111,'PVC SCH80'!$A$8:$M$249,11,FALSE),
IF($A111&lt;'PVC SCH80 Flange'!$A$49,VLOOKUP($A111,'PVC SCH80 Flange'!$A$8:$M$48,11,FALSE),
IF($A111&lt;'PVC SCH80 LD Flange'!$A$17,VLOOKUP($A111,'PVC SCH80 LD Flange'!$A$8:$M$16,11,FALSE),
IF($A111&lt;CPVC!$A$105,VLOOKUP($A111,CPVC!$A$9:$M$104,11,FALSE),
IF($A111&lt;InsertFittings!$A$185,VLOOKUP($A111,InsertFittings!$A$9:$M$184,11,FALSE),
IF($A111&lt;Valves!$A$92,VLOOKUP($A111,Valves!$A$9:$Q$91,15,FALSE),
IF($A111&lt;SDR35SW!$A$133,VLOOKUP($A111,SDR35SW!$A$9:$M$132,11,FALSE),
IF($A111&lt;SDR35G!$A$151,VLOOKUP($A111,SDR35G!$A$9:$M$150,11,FALSE),                                                                                                                                                                                                                                                          IF($A111&lt;SDR26G!$A$67,VLOOKUP($A111,SDR26G!$A$9:$N$66,12,FALSE),                                                                                                                                                                                                                                                       IF($A111&lt;Cements!$A$95,VLOOKUP($A111,Cements!$A$8:$Q$94,15,FALSE),
IF($A111&lt;ValveBox!$A$124,VLOOKUP($A111,ValveBox!$A$9:$O$123,13,FALSE),
IF($A111&lt;'ValveBox Components'!$A$142,VLOOKUP($A111,'ValveBox Components'!$A$9:$N$141,12,FALSE),
IF($A111&lt;Drainage!$A$69,VLOOKUP($A111,Drainage!$A$8:$M$68,11,FALSE),                                                                                                                                                                                                                                                           IF($A111&lt;Nipples!$A$82,VLOOKUP($A111,Nipples!$A$9:$Q$81,15,FALSE),
IF($A111&lt;Manifold!$A$33,VLOOKUP($A111,Manifold!$A$9:$M$32,11,FALSE),
IF($A111&lt;FlexibleRepairCouplings!$A$12,VLOOKUP($A111,FlexibleRepairCouplings!$A$9:$M$11,11,FALSE),
IF($A111&lt;DuraFix!$A$15,VLOOKUP($A111,DuraFix!$A$9:$M$14,11,FALSE),                                                                                                                                                                                                                                                            IF($A111&lt;'Compression Fittings'!$A$16,VLOOKUP($A111,'Compression Fittings'!$A$8:$M$15,11,FALSE),
IF($A111&lt;'Hose Fittings'!$A$30,VLOOKUP($A111,'Hose Fittings'!$A$8:$M$29,11,FALSE),
IF($A111&lt;'Swing Joints'!$A$495,VLOOKUP($A111,'Swing Joints'!$A$9:$M$494,11,FALSE),
IF($A111&lt;'Swing Joints Components'!$A$135,VLOOKUP($A111,'Swing Joints Components'!$A$9:$M$134,11,FALSE),
IF($A111&lt;Nonstandard!$A$42,VLOOKUP($A111,Nonstandard!$A$31:$J$41,10,FALSE),"")))))))))))))))))))))))))))),"")</f>
        <v/>
      </c>
      <c r="H111" s="618" t="str">
        <f>IFERROR(IF($A111&lt;'DWV PVC'!$A$317,VLOOKUP($A111,'DWV PVC'!$A$9:$M$316,7,FALSE),
IF($A111&lt;'DWV ABS'!$A$117,VLOOKUP($A111,'DWV ABS'!$A$8:$M$116,11,FALSE),                                                                                                                                                                                                                                                     IF($A111&lt;'PVC SCH40'!$A$425,VLOOKUP($A111,'PVC SCH40'!$A$8:$M$424,7,FALSE),
IF($A111&lt;'PVC SCH40 LD'!$A$22,VLOOKUP($A111,'PVC SCH40 LD'!$A$8:$M$21,7,FALSE),
IF($A111&lt;'Pool &amp; SPA Sweep Elbows'!$A$12,VLOOKUP($A111,'Pool &amp; SPA Sweep Elbows'!$A$8:$M$11,7,FALSE),
IF($A111&lt;'Pool &amp; SPA Pipe Extender'!$A$11,VLOOKUP($A111,'Pool &amp; SPA Pipe Extender'!$A$8:$M$10,7,FALSE),
IF($A111&lt;'PVC SCH80'!$A$250,VLOOKUP($A111,'PVC SCH80'!$A$8:$M$249,7,FALSE),
IF($A111&lt;'PVC SCH80 Flange'!$A$49,VLOOKUP($A111,'PVC SCH80 Flange'!$A$8:$M$48,7,FALSE),
IF($A111&lt;'PVC SCH80 LD Flange'!$A$17,VLOOKUP($A111,'PVC SCH80 LD Flange'!$A$8:$M$16,7,FALSE),
IF($A111&lt;CPVC!$A$105,VLOOKUP($A111,CPVC!$A$9:$M$104,7,FALSE),
IF($A111&lt;InsertFittings!$A$185,VLOOKUP($A111,InsertFittings!$A$9:$M$184,7,FALSE),
IF($A111&lt;Valves!$A$92,VLOOKUP($A111,Valves!$A$9:$Q$91,11,FALSE),
IF($A111&lt;SDR35SW!$A$133,VLOOKUP($A111,SDR35SW!$A$9:$M$132,7,FALSE),
IF($A111&lt;SDR35G!$A$151,VLOOKUP($A111,SDR35G!$A$9:$M$150,7,FALSE),                                                                                                                                                                                                                                                       IF($A111&lt;SDR26G!$A$67,VLOOKUP($A111,SDR26G!$A$9:$N$66,8,FALSE),                                                                                                                                                                                                                                                     IF($A111&lt;Cements!$A$95,VLOOKUP($A111,Cements!$A$8:$Q$94,11,FALSE),
IF($A111&lt;ValveBox!$A$124,VLOOKUP($A111,ValveBox!$A$9:$O$123,10,FALSE),
IF($A111&lt;'ValveBox Components'!$A$142,VLOOKUP($A111,'ValveBox Components'!$A$9:$N$141,9,FALSE),
IF($A111&lt;Drainage!$A$69,VLOOKUP($A111,Drainage!$A$8:$M$68,7,FALSE),                                                                                                                                                                                                                                                          IF($A111&lt;Nipples!$A$82,VLOOKUP($A111,Nipples!$A$9:$Q$81,11,FALSE),
IF($A111&lt;Manifold!$A$33,VLOOKUP($A111,Manifold!$A$9:$M$32,7,FALSE),
IF($A111&lt;FlexibleRepairCouplings!$A$12,VLOOKUP($A111,FlexibleRepairCouplings!$A$9:$M$11,7,FALSE),
IF($A111&lt;DuraFix!$A$15,VLOOKUP($A111,DuraFix!$A$9:$M$14,7,FALSE),                                                                                                                                                                                                                                                           IF($A111&lt;'Compression Fittings'!$A$16,VLOOKUP($A111,'Compression Fittings'!$A$8:$M$15,7,FALSE),
IF($A111&lt;'Hose Fittings'!$A$30,VLOOKUP($A111,'Hose Fittings'!$A$8:$M$29,7,FALSE),
IF($A111&lt;'Swing Joints'!$A$495,VLOOKUP($A111,'Swing Joints'!$A$9:$M$494,7,FALSE),
IF($A111&lt;'Swing Joints Components'!$A$135,VLOOKUP($A111,'Swing Joints Components'!$A$9:$M$134,7,FALSE),
IF($A111&lt;Nonstandard!$A$42,VLOOKUP($A111,Nonstandard!$A$31:$J$41,10,FALSE),"")))))))))))))))))))))))))))),"")</f>
        <v/>
      </c>
      <c r="I111" s="619"/>
      <c r="J111" s="281" t="str">
        <f t="shared" si="3"/>
        <v/>
      </c>
      <c r="K111" s="313" t="str">
        <f>IFERROR(IF($A111&lt;'DWV PVC'!$A$317,VLOOKUP($A111,'DWV PVC'!$A$9:$M$316,10,FALSE),
IF($A111&lt;'DWV ABS'!$A$117,VLOOKUP($A111,'DWV ABS'!$A$8:$M$116,10,FALSE),
IF($A111&lt;'PVC SCH40'!$A$425,VLOOKUP($A111,'PVC SCH40'!$A$8:$M$424,10,FALSE),
IF($A111&lt;'PVC SCH40 LD'!$A$22,VLOOKUP($A111,'PVC SCH40 LD'!$A$8:$M$21,10,FALSE),
IF($A111&lt;'Pool &amp; SPA Sweep Elbows'!$A$12,VLOOKUP($A111,'Pool &amp; SPA Sweep Elbows'!$A$8:$M$11,10,FALSE),
IF($A111&lt;'Pool &amp; SPA Pipe Extender'!$A$11,VLOOKUP($A111,'Pool &amp; SPA Pipe Extender'!$A$8:$M$10,10,FALSE),
IF($A111&lt;'PVC SCH80'!$A$250,VLOOKUP($A111,'PVC SCH80'!$A$8:$M$249,10,FALSE),
IF($A111&lt;'PVC SCH80 Flange'!$A$49,VLOOKUP($A111,'PVC SCH80 Flange'!$A$8:$M$48,10,FALSE),
IF($A111&lt;'PVC SCH80 LD Flange'!$A$17,VLOOKUP($A111,'PVC SCH80 LD Flange'!$A$8:$M$16,10,FALSE),
IF($A111&lt;CPVC!$A$105,VLOOKUP($A111,CPVC!$A$9:$M$104,10,FALSE),
IF($A111&lt;InsertFittings!$A$185,VLOOKUP($A111,InsertFittings!$A$9:$M$184,10,FALSE),
IF($A111&lt;Valves!$A$92,VLOOKUP($A111,Valves!$A$9:$Q$91,14,FALSE),
IF($A111&lt;SDR35SW!$A$133,VLOOKUP($A111,SDR35SW!$A$9:$M$132,10,FALSE),
IF($A111&lt;SDR35G!$A$151,VLOOKUP($A111,SDR35G!$A$9:$M$150,10,FALSE),
IF($A111&lt;SDR26G!$A$67,VLOOKUP($A111,SDR26G!$A$9:$N$66,11,FALSE),
IF($A111&lt;Cements!$A$95,VLOOKUP($A111,Cements!$A$8:$Q$94,14,FALSE),
IF($A111&lt;ValveBox!$A$124,VLOOKUP($A111,ValveBox!$A$9:$O$123,12,FALSE),
IF($A111&lt;'ValveBox Components'!$A$142,VLOOKUP($A111,'ValveBox Components'!$A$9:$N$141,11,FALSE),
IF($A111&lt;Drainage!$A$69,VLOOKUP($A111,Drainage!$A$8:$M$68,10,FALSE),
IF($A111&lt;Nipples!$A$82,VLOOKUP($A111,Nipples!$A$9:$Q$81,14,FALSE),
IF($A111&lt;Manifold!$A$33,VLOOKUP($A111,Manifold!$A$9:$M$32,10,FALSE),
IF($A111&lt;FlexibleRepairCouplings!$A$12,VLOOKUP($A111,FlexibleRepairCouplings!$A$9:$M$11,10,FALSE),
IF($A111&lt;DuraFix!$A$15,VLOOKUP($A111,DuraFix!$A$9:$M$14,10,FALSE),
IF($A111&lt;'Compression Fittings'!$A$16,VLOOKUP($A111,'Compression Fittings'!$A$8:$M$15,10,FALSE),
IF($A111&lt;'Hose Fittings'!$A$30,VLOOKUP($A111,'Hose Fittings'!$A$8:$M$29,10,FALSE),
IF($A111&lt;'Swing Joints'!$A$495,VLOOKUP($A111,'Swing Joints'!$A$9:$M$494,10,FALSE),
IF($A111&lt;'Swing Joints Components'!$A$135,VLOOKUP($A111,'Swing Joints Components'!$A$9:$M$134,10,FALSE),
IF($A111&lt;Nonstandard!$A$42,VLOOKUP($A111,Nonstandard!$A$31:$J$41,10,FALSE),"")))))))))))))))))))))))))))),"")</f>
        <v/>
      </c>
      <c r="L111" s="314" t="str">
        <f t="shared" si="2"/>
        <v>-</v>
      </c>
      <c r="M111" s="315"/>
    </row>
    <row r="112" spans="1:13" ht="15.6">
      <c r="A112" s="536">
        <v>80</v>
      </c>
      <c r="B112" s="536" t="str">
        <f>IFERROR(IF($A112&lt;'DWV PVC'!$A$317,VLOOKUP($A112,'DWV PVC'!$A$9:$M$316,4,FALSE),
IF($A112&lt;'DWV ABS'!$A$117,VLOOKUP($A112,'DWV ABS'!$A$8:$M$116,4,FALSE),
IF($A112&lt;'PVC SCH40'!$A$425,VLOOKUP($A112,'PVC SCH40'!$A$8:$M$424,4,FALSE),
IF($A112&lt;'PVC SCH40 LD'!$A$22,VLOOKUP($A112,'PVC SCH40 LD'!$A$8:$M$21,4,FALSE),
IF($A112&lt;'Pool &amp; SPA Sweep Elbows'!$A$12,VLOOKUP($A112,'Pool &amp; SPA Sweep Elbows'!$A$8:$M$11,4,FALSE),
IF($A112&lt;'Pool &amp; SPA Pipe Extender'!$A$11,VLOOKUP($A112,'Pool &amp; SPA Pipe Extender'!$A$8:$M$10,4,FALSE),
IF($A112&lt;'PVC SCH80'!$A$250,VLOOKUP($A112,'PVC SCH80'!$A$8:$M$249,4,FALSE),
IF($A112&lt;'PVC SCH80 Flange'!$A$49,VLOOKUP($A112,'PVC SCH80 Flange'!$A$8:$M$48,4,FALSE),
IF($A112&lt;'PVC SCH80 LD Flange'!$A$17,VLOOKUP($A112,'PVC SCH80 LD Flange'!$A$8:$M$16,4,FALSE),
IF($A112&lt;CPVC!$A$105,VLOOKUP($A112,CPVC!$A$9:$M$104,4,FALSE),
IF($A112&lt;InsertFittings!$A$185,VLOOKUP($A112,InsertFittings!$A$9:$M$184,4,FALSE),
IF($A112&lt;Valves!$A$92,VLOOKUP($A112,Valves!$A$9:$Q$91,4,FALSE),
IF($A112&lt;SDR35SW!$A$133,VLOOKUP($A112,SDR35SW!$A$9:$M$132,4,FALSE),
IF($A112&lt;SDR35G!$A$151,VLOOKUP($A112,SDR35G!$A$9:$M$150,4,FALSE),
IF($A112&lt;SDR26G!$A$67,VLOOKUP($A112,SDR26G!$A$9:$N$66,5,FALSE),
IF($A112&lt;Cements!$A$95,VLOOKUP($A112,Cements!$A$8:$Q$94,4,FALSE),
IF($A112&lt;ValveBox!$A$124,VLOOKUP($A112,ValveBox!$A$9:$O$123,4,FALSE),
IF($A112&lt;'ValveBox Components'!$A$142,VLOOKUP($A112,'ValveBox Components'!$A$9:$N$141,4,FALSE),
IF($A112&lt;Drainage!$A$69,VLOOKUP($A112,Drainage!$A$8:$M$68,4,FALSE),
IF($A112&lt;Nipples!$A$82,VLOOKUP($A112,Nipples!$A$9:$Q$81,4,FALSE),
IF($A112&lt;Manifold!$A$33,VLOOKUP($A112,Manifold!$A$9:$M$32,4,FALSE),
IF($A112&lt;FlexibleRepairCouplings!$A$12,VLOOKUP($A112,FlexibleRepairCouplings!$A$9:$M$11,4,FALSE),
IF($A112&lt;DuraFix!$A$15,VLOOKUP($A112,DuraFix!$A$9:$M$14,4,FALSE),
IF($A112&lt;'Compression Fittings'!$A$16,VLOOKUP($A112,'Compression Fittings'!$A$8:$M$15,4,FALSE),
IF($A112&lt;'Hose Fittings'!$A$30,VLOOKUP($A112,'Hose Fittings'!$A$8:$M$29,4,FALSE),
IF($A112&lt;'Swing Joints'!$A$495,VLOOKUP($A112,'Swing Joints'!$A$9:$M$494,4,FALSE),
IF($A112&lt;'Swing Joints Components'!$A$135,VLOOKUP($A112,'Swing Joints Components'!$A$9:$M$134,4,FALSE),
IF($A112&lt;Nonstandard!$A$42,VLOOKUP($A112,Nonstandard!$A$31:$J$41,5,FALSE),"")))))))))))))))))))))))))))),"")</f>
        <v/>
      </c>
      <c r="C112" s="536" t="str">
        <f>IFERROR(IF($A112&lt;'DWV PVC'!$A$317,VLOOKUP($A112,'DWV PVC'!$A$9:$M$316,5,FALSE),
IF($A112&lt;'DWV ABS'!$A$117,VLOOKUP($A112,'DWV ABS'!$A$8:$M$116,5,FALSE),
IF($A112&lt;'PVC SCH40'!$A$425,VLOOKUP($A112,'PVC SCH40'!$A$8:$M$424,5,FALSE),
IF($A112&lt;'PVC SCH40 LD'!$A$22,VLOOKUP($A112,'PVC SCH40 LD'!$A$8:$M$21,5,FALSE),
IF($A112&lt;'Pool &amp; SPA Sweep Elbows'!$A$12,VLOOKUP($A112,'Pool &amp; SPA Sweep Elbows'!$A$8:$M$11,5,FALSE),
IF($A112&lt;'Pool &amp; SPA Pipe Extender'!$A$11,VLOOKUP($A112,'Pool &amp; SPA Pipe Extender'!$A$8:$M$10,5,FALSE),
IF($A112&lt;'PVC SCH80'!$A$250,VLOOKUP($A112,'PVC SCH80'!$A$8:$M$249,5,FALSE),
IF($A112&lt;'PVC SCH80 Flange'!$A$49,VLOOKUP($A112,'PVC SCH80 Flange'!$A$8:$M$48,5,FALSE),
IF($A112&lt;'PVC SCH80 LD Flange'!$A$17,VLOOKUP($A112,'PVC SCH80 LD Flange'!$A$8:$M$16,5,FALSE),
IF($A112&lt;CPVC!$A$105,VLOOKUP($A112,CPVC!$A$9:$M$104,5,FALSE),
IF($A112&lt;InsertFittings!$A$185,VLOOKUP($A112,InsertFittings!$A$9:$M$184,5,FALSE),
IF($A112&lt;Valves!$A$92,VLOOKUP($A112,Valves!$A$9:$Q$91,5,FALSE),
IF($A112&lt;SDR35SW!$A$133,VLOOKUP($A112,SDR35SW!$A$9:$M$132,5,FALSE),
IF($A112&lt;SDR35G!$A$151,VLOOKUP($A112,SDR35G!$A$9:$M$150,5,FALSE),
IF($A112&lt;SDR26G!$A$67,VLOOKUP($A112,SDR26G!$A$9:$N$66,6,FALSE),
IF($A112&lt;Cements!$A$95,VLOOKUP($A112,Cements!$A$8:$Q$94,5,FALSE),
IF($A112&lt;ValveBox!$A$124,VLOOKUP($A112,ValveBox!$A$9:$O$123,5,FALSE),
IF($A112&lt;'ValveBox Components'!$A$142,VLOOKUP($A112,'ValveBox Components'!$A$9:$N$141,5,FALSE),
IF($A112&lt;Drainage!$A$69,VLOOKUP($A112,Drainage!$A$8:$M$68,5,FALSE),
IF($A112&lt;Nipples!$A$82,VLOOKUP($A112,Nipples!$A$9:$Q$81,5,FALSE),
IF($A112&lt;Manifold!$A$33,VLOOKUP($A112,Manifold!$A$9:$M$32,5,FALSE),
IF($A112&lt;FlexibleRepairCouplings!$A$12,VLOOKUP($A112,FlexibleRepairCouplings!$A$9:$M$11,5,FALSE),
IF($A112&lt;DuraFix!$A$15,VLOOKUP($A112,DuraFix!$A$9:$M$14,5,FALSE),
IF($A112&lt;'Compression Fittings'!$A$16,VLOOKUP($A112,'Compression Fittings'!$A$8:$M$15,5,FALSE),
IF($A112&lt;'Hose Fittings'!$A$30,VLOOKUP($A112,'Hose Fittings'!$A$8:$M$29,5,FALSE),
IF($A112&lt;'Swing Joints'!$A$495,VLOOKUP($A112,'Swing Joints'!$A$9:$M$494,5,FALSE),
IF($A112&lt;'Swing Joints Components'!$A$135,VLOOKUP($A112,'Swing Joints Components'!$A$9:$M$134,5,FALSE),
IF($A112&lt;Nonstandard!$A$42,VLOOKUP($A112,Nonstandard!$A$31:$J$41,6,FALSE),"")))))))))))))))))))))))))))),"")</f>
        <v/>
      </c>
      <c r="D112" s="537" t="str">
        <f>IFERROR(IF($A112&lt;'DWV PVC'!$A$317,VLOOKUP($A112,'DWV PVC'!$A$9:$M$316,6,FALSE),
IF($A112&lt;'DWV ABS'!$A$117,VLOOKUP($A112,'DWV ABS'!$A$8:$M$116,6,FALSE),
IF($A112&lt;'PVC SCH40'!$A$425,VLOOKUP($A112,'PVC SCH40'!$A$8:$M$424,6,FALSE),
IF($A112&lt;'PVC SCH40 LD'!$A$22,VLOOKUP($A112,'PVC SCH40 LD'!$A$8:$M$21,6,FALSE),
IF($A112&lt;'Pool &amp; SPA Sweep Elbows'!$A$12,VLOOKUP($A112,'Pool &amp; SPA Sweep Elbows'!$A$8:$M$11,6,FALSE),
IF($A112&lt;'Pool &amp; SPA Pipe Extender'!$A$11,VLOOKUP($A112,'Pool &amp; SPA Pipe Extender'!$A$8:$M$10,6,FALSE),
IF($A112&lt;'PVC SCH80'!$A$250,VLOOKUP($A112,'PVC SCH80'!$A$8:$M$249,6,FALSE),
IF($A112&lt;'PVC SCH80 Flange'!$A$49,VLOOKUP($A112,'PVC SCH80 Flange'!$A$8:$M$48,6,FALSE),
IF($A112&lt;'PVC SCH80 LD Flange'!$A$17,VLOOKUP($A112,'PVC SCH80 LD Flange'!$A$8:$M$16,6,FALSE),
IF($A112&lt;CPVC!$A$105,VLOOKUP($A112,CPVC!$A$9:$M$104,6,FALSE),
IF($A112&lt;InsertFittings!$A$185,VLOOKUP($A112,InsertFittings!$A$9:$M$184,6,FALSE),
IF($A112&lt;Valves!$A$92,VLOOKUP($A112,Valves!$A$9:$Q$91,6,FALSE),
IF($A112&lt;SDR35SW!$A$133,VLOOKUP($A112,SDR35SW!$A$9:$M$132,6,FALSE),
IF($A112&lt;SDR35G!$A$151,VLOOKUP($A112,SDR35G!$A$9:$M$150,6,FALSE),
IF($A112&lt;SDR26G!$A$67,VLOOKUP($A112,SDR26G!$A$9:$N$66,7,FALSE),
IF($A112&lt;Cements!$A$95,VLOOKUP($A112,Cements!$A$8:$Q$94,6,FALSE),
IF($A112&lt;ValveBox!$A$124,VLOOKUP($A112,ValveBox!$A$9:$O$123,6,FALSE),
IF($A112&lt;'ValveBox Components'!$A$142,VLOOKUP($A112,'ValveBox Components'!$A$9:$N$141,6,FALSE),
IF($A112&lt;Drainage!$A$69,VLOOKUP($A112,Drainage!$A$8:$M$68,6,FALSE),
IF($A112&lt;Nipples!$A$82,VLOOKUP($A112,Nipples!$A$9:$Q$81,6,FALSE),
IF($A112&lt;Manifold!$A$33,VLOOKUP($A112,Manifold!$A$9:$M$32,6,FALSE),
IF($A112&lt;FlexibleRepairCouplings!$A$12,VLOOKUP($A112,FlexibleRepairCouplings!$A$9:$M$11,6,FALSE),
IF($A112&lt;DuraFix!$A$15,VLOOKUP($A112,DuraFix!$A$9:$M$14,6,FALSE),
IF($A112&lt;'Compression Fittings'!$A$16,VLOOKUP($A112,'Compression Fittings'!$A$8:$M$15,6,FALSE),
IF($A112&lt;'Hose Fittings'!$A$30,VLOOKUP($A112,'Hose Fittings'!$A$8:$M$29,6,FALSE),
IF($A112&lt;'Swing Joints'!$A$495,VLOOKUP($A112,'Swing Joints'!$A$9:$M$494,6,FALSE),
IF($A112&lt;'Swing Joints Components'!$A$135,VLOOKUP($A112,'Swing Joints Components'!$A$9:$M$134,6,FALSE),
IF($A112&lt;Nonstandard!$A$42,VLOOKUP($A112,Nonstandard!$A$31:$J$41,7,FALSE),"")))))))))))))))))))))))))))),"")</f>
        <v/>
      </c>
      <c r="E112" s="538"/>
      <c r="F112" s="539" t="str">
        <f>IFERROR(IF($A112&lt;'DWV PVC'!$A$317,VLOOKUP($A112,'DWV PVC'!$A$9:$M$316,9,FALSE),
IF($A112&lt;'DWV ABS'!$A$117,VLOOKUP($A112,'DWV ABS'!$A$8:$M$116,9,FALSE),                                                                                                                                                                                                                                                     IF($A112&lt;'PVC SCH40'!$A$425,VLOOKUP($A112,'PVC SCH40'!$A$8:$M$424,9,FALSE),
IF($A112&lt;'PVC SCH40 LD'!$A$22,VLOOKUP($A112,'PVC SCH40 LD'!$A$8:$M$21,9,FALSE),
IF($A112&lt;'Pool &amp; SPA Sweep Elbows'!$A$12,VLOOKUP($A112,'Pool &amp; SPA Sweep Elbows'!$A$8:$M$11,9,FALSE),
IF($A112&lt;'Pool &amp; SPA Pipe Extender'!$A$11,VLOOKUP($A112,'Pool &amp; SPA Pipe Extender'!$A$8:$M$10,9,FALSE),
IF($A112&lt;'PVC SCH80'!$A$250,VLOOKUP($A112,'PVC SCH80'!$A$8:$M$249,9,FALSE),
IF($A112&lt;'PVC SCH80 Flange'!$A$49,VLOOKUP($A112,'PVC SCH80 Flange'!$A$8:$M$48,9,FALSE),
IF($A112&lt;'PVC SCH80 LD Flange'!$A$17,VLOOKUP($A112,'PVC SCH80 LD Flange'!$A$8:$M$16,9,FALSE),
IF($A112&lt;CPVC!$A$105,VLOOKUP($A112,CPVC!$A$9:$M$104,9,FALSE),
IF($A112&lt;InsertFittings!$A$185,VLOOKUP($A112,InsertFittings!$A$9:$M$184,9,FALSE),
IF($A112&lt;Valves!$A$92,VLOOKUP($A112,Valves!$A$9:$Q$91,13,FALSE),
IF($A112&lt;SDR35SW!$A$133,VLOOKUP($A112,SDR35SW!$A$9:$M$132,9,FALSE),
IF($A112&lt;SDR35G!$A$151,VLOOKUP($A112,SDR35G!$A$9:$M$150,9,FALSE),                                                                                                                                                                                                                                                          IF($A112&lt;SDR26G!$A$67,VLOOKUP($A112,SDR26G!$A$9:$N$66,10,FALSE),                                                                                                                                                                                                                                                       IF($A112&lt;Cements!$A$95,VLOOKUP($A112,Cements!$A$8:$Q$94,13,FALSE),
IF($A112&lt;ValveBox!$A$124,VLOOKUP($A112,ValveBox!$A$9:$O$123,11,FALSE),
IF($A112&lt;'ValveBox Components'!$A$142,VLOOKUP($A112,'ValveBox Components'!$A$9:$N$141,10,FALSE),
IF($A112&lt;Drainage!$A$69,VLOOKUP($A112,Drainage!$A$8:$M$68,9,FALSE),                                                                                                                                                                                                                                                              IF($A112&lt;Nipples!$A$82,VLOOKUP($A112,Nipples!$A$9:$Q$81,13,FALSE),
IF($A112&lt;Manifold!$A$33,VLOOKUP($A112,Manifold!$A$9:$M$32,9,FALSE),
IF($A112&lt;FlexibleRepairCouplings!$A$12,VLOOKUP($A112,FlexibleRepairCouplings!$A$9:$M$11,9,FALSE),
IF($A112&lt;DuraFix!$A$15,VLOOKUP($A112,DuraFix!$A$9:$M$14,9,FALSE),                                                                                                                                                                                                                                                          IF($A112&lt;'Compression Fittings'!$A$16,VLOOKUP($A112,'Compression Fittings'!$A$8:$M$15,9,FALSE),
IF($A112&lt;'Hose Fittings'!$A$30,VLOOKUP($A112,'Hose Fittings'!$A$8:$M$29,9,FALSE),
IF($A112&lt;'Swing Joints'!$A$495,VLOOKUP($A112,'Swing Joints'!$A$9:$M$494,9,FALSE),
IF($A112&lt;'Swing Joints Components'!$A$135,VLOOKUP($A112,'Swing Joints Components'!$A$9:$M$134,9,FALSE),
IF($A112&lt;Nonstandard!$A$42,VLOOKUP($A112,Nonstandard!$A$31:$J$41,8,FALSE),"")))))))))))))))))))))))))))),"")</f>
        <v/>
      </c>
      <c r="G112" s="540" t="str">
        <f>IFERROR(IF($A112&lt;'DWV PVC'!$A$317,VLOOKUP($A112,'DWV PVC'!$A$9:$M$316,11,FALSE),
IF($A112&lt;'DWV ABS'!$A$117,VLOOKUP($A112,'DWV ABS'!$A$8:$M$116,11,FALSE),                                                                                                                                                                                                                                                     IF($A112&lt;'PVC SCH40'!$A$425,VLOOKUP($A112,'PVC SCH40'!$A$8:$M$424,11,FALSE),
IF($A112&lt;'PVC SCH40 LD'!$A$22,VLOOKUP($A112,'PVC SCH40 LD'!$A$8:$M$21,11,FALSE),
IF($A112&lt;'Pool &amp; SPA Sweep Elbows'!$A$12,VLOOKUP($A112,'Pool &amp; SPA Sweep Elbows'!$A$8:$M$11,11,FALSE),
IF($A112&lt;'Pool &amp; SPA Pipe Extender'!$A$11,VLOOKUP($A112,'Pool &amp; SPA Pipe Extender'!$A$8:$M$10,11,FALSE),
IF($A112&lt;'PVC SCH80'!$A$250,VLOOKUP($A112,'PVC SCH80'!$A$8:$M$249,11,FALSE),
IF($A112&lt;'PVC SCH80 Flange'!$A$49,VLOOKUP($A112,'PVC SCH80 Flange'!$A$8:$M$48,11,FALSE),
IF($A112&lt;'PVC SCH80 LD Flange'!$A$17,VLOOKUP($A112,'PVC SCH80 LD Flange'!$A$8:$M$16,11,FALSE),
IF($A112&lt;CPVC!$A$105,VLOOKUP($A112,CPVC!$A$9:$M$104,11,FALSE),
IF($A112&lt;InsertFittings!$A$185,VLOOKUP($A112,InsertFittings!$A$9:$M$184,11,FALSE),
IF($A112&lt;Valves!$A$92,VLOOKUP($A112,Valves!$A$9:$Q$91,15,FALSE),
IF($A112&lt;SDR35SW!$A$133,VLOOKUP($A112,SDR35SW!$A$9:$M$132,11,FALSE),
IF($A112&lt;SDR35G!$A$151,VLOOKUP($A112,SDR35G!$A$9:$M$150,11,FALSE),                                                                                                                                                                                                                                                          IF($A112&lt;SDR26G!$A$67,VLOOKUP($A112,SDR26G!$A$9:$N$66,12,FALSE),                                                                                                                                                                                                                                                       IF($A112&lt;Cements!$A$95,VLOOKUP($A112,Cements!$A$8:$Q$94,15,FALSE),
IF($A112&lt;ValveBox!$A$124,VLOOKUP($A112,ValveBox!$A$9:$O$123,13,FALSE),
IF($A112&lt;'ValveBox Components'!$A$142,VLOOKUP($A112,'ValveBox Components'!$A$9:$N$141,12,FALSE),
IF($A112&lt;Drainage!$A$69,VLOOKUP($A112,Drainage!$A$8:$M$68,11,FALSE),                                                                                                                                                                                                                                                           IF($A112&lt;Nipples!$A$82,VLOOKUP($A112,Nipples!$A$9:$Q$81,15,FALSE),
IF($A112&lt;Manifold!$A$33,VLOOKUP($A112,Manifold!$A$9:$M$32,11,FALSE),
IF($A112&lt;FlexibleRepairCouplings!$A$12,VLOOKUP($A112,FlexibleRepairCouplings!$A$9:$M$11,11,FALSE),
IF($A112&lt;DuraFix!$A$15,VLOOKUP($A112,DuraFix!$A$9:$M$14,11,FALSE),                                                                                                                                                                                                                                                            IF($A112&lt;'Compression Fittings'!$A$16,VLOOKUP($A112,'Compression Fittings'!$A$8:$M$15,11,FALSE),
IF($A112&lt;'Hose Fittings'!$A$30,VLOOKUP($A112,'Hose Fittings'!$A$8:$M$29,11,FALSE),
IF($A112&lt;'Swing Joints'!$A$495,VLOOKUP($A112,'Swing Joints'!$A$9:$M$494,11,FALSE),
IF($A112&lt;'Swing Joints Components'!$A$135,VLOOKUP($A112,'Swing Joints Components'!$A$9:$M$134,11,FALSE),
IF($A112&lt;Nonstandard!$A$42,VLOOKUP($A112,Nonstandard!$A$31:$J$41,10,FALSE),"")))))))))))))))))))))))))))),"")</f>
        <v/>
      </c>
      <c r="H112" s="620" t="str">
        <f>IFERROR(IF($A112&lt;'DWV PVC'!$A$317,VLOOKUP($A112,'DWV PVC'!$A$9:$M$316,7,FALSE),
IF($A112&lt;'DWV ABS'!$A$117,VLOOKUP($A112,'DWV ABS'!$A$8:$M$116,11,FALSE),                                                                                                                                                                                                                                                     IF($A112&lt;'PVC SCH40'!$A$425,VLOOKUP($A112,'PVC SCH40'!$A$8:$M$424,7,FALSE),
IF($A112&lt;'PVC SCH40 LD'!$A$22,VLOOKUP($A112,'PVC SCH40 LD'!$A$8:$M$21,7,FALSE),
IF($A112&lt;'Pool &amp; SPA Sweep Elbows'!$A$12,VLOOKUP($A112,'Pool &amp; SPA Sweep Elbows'!$A$8:$M$11,7,FALSE),
IF($A112&lt;'Pool &amp; SPA Pipe Extender'!$A$11,VLOOKUP($A112,'Pool &amp; SPA Pipe Extender'!$A$8:$M$10,7,FALSE),
IF($A112&lt;'PVC SCH80'!$A$250,VLOOKUP($A112,'PVC SCH80'!$A$8:$M$249,7,FALSE),
IF($A112&lt;'PVC SCH80 Flange'!$A$49,VLOOKUP($A112,'PVC SCH80 Flange'!$A$8:$M$48,7,FALSE),
IF($A112&lt;'PVC SCH80 LD Flange'!$A$17,VLOOKUP($A112,'PVC SCH80 LD Flange'!$A$8:$M$16,7,FALSE),
IF($A112&lt;CPVC!$A$105,VLOOKUP($A112,CPVC!$A$9:$M$104,7,FALSE),
IF($A112&lt;InsertFittings!$A$185,VLOOKUP($A112,InsertFittings!$A$9:$M$184,7,FALSE),
IF($A112&lt;Valves!$A$92,VLOOKUP($A112,Valves!$A$9:$Q$91,11,FALSE),
IF($A112&lt;SDR35SW!$A$133,VLOOKUP($A112,SDR35SW!$A$9:$M$132,7,FALSE),
IF($A112&lt;SDR35G!$A$151,VLOOKUP($A112,SDR35G!$A$9:$M$150,7,FALSE),                                                                                                                                                                                                                                                       IF($A112&lt;SDR26G!$A$67,VLOOKUP($A112,SDR26G!$A$9:$N$66,8,FALSE),                                                                                                                                                                                                                                                     IF($A112&lt;Cements!$A$95,VLOOKUP($A112,Cements!$A$8:$Q$94,11,FALSE),
IF($A112&lt;ValveBox!$A$124,VLOOKUP($A112,ValveBox!$A$9:$O$123,10,FALSE),
IF($A112&lt;'ValveBox Components'!$A$142,VLOOKUP($A112,'ValveBox Components'!$A$9:$N$141,9,FALSE),
IF($A112&lt;Drainage!$A$69,VLOOKUP($A112,Drainage!$A$8:$M$68,7,FALSE),                                                                                                                                                                                                                                                          IF($A112&lt;Nipples!$A$82,VLOOKUP($A112,Nipples!$A$9:$Q$81,11,FALSE),
IF($A112&lt;Manifold!$A$33,VLOOKUP($A112,Manifold!$A$9:$M$32,7,FALSE),
IF($A112&lt;FlexibleRepairCouplings!$A$12,VLOOKUP($A112,FlexibleRepairCouplings!$A$9:$M$11,7,FALSE),
IF($A112&lt;DuraFix!$A$15,VLOOKUP($A112,DuraFix!$A$9:$M$14,7,FALSE),                                                                                                                                                                                                                                                           IF($A112&lt;'Compression Fittings'!$A$16,VLOOKUP($A112,'Compression Fittings'!$A$8:$M$15,7,FALSE),
IF($A112&lt;'Hose Fittings'!$A$30,VLOOKUP($A112,'Hose Fittings'!$A$8:$M$29,7,FALSE),
IF($A112&lt;'Swing Joints'!$A$495,VLOOKUP($A112,'Swing Joints'!$A$9:$M$494,7,FALSE),
IF($A112&lt;'Swing Joints Components'!$A$135,VLOOKUP($A112,'Swing Joints Components'!$A$9:$M$134,7,FALSE),
IF($A112&lt;Nonstandard!$A$42,VLOOKUP($A112,Nonstandard!$A$31:$J$41,10,FALSE),"")))))))))))))))))))))))))))),"")</f>
        <v/>
      </c>
      <c r="I112" s="621"/>
      <c r="J112" s="541" t="str">
        <f t="shared" si="3"/>
        <v/>
      </c>
      <c r="K112" s="599" t="str">
        <f>IFERROR(IF($A112&lt;'DWV PVC'!$A$317,VLOOKUP($A112,'DWV PVC'!$A$9:$M$316,10,FALSE),
IF($A112&lt;'DWV ABS'!$A$117,VLOOKUP($A112,'DWV ABS'!$A$8:$M$116,10,FALSE),
IF($A112&lt;'PVC SCH40'!$A$425,VLOOKUP($A112,'PVC SCH40'!$A$8:$M$424,10,FALSE),
IF($A112&lt;'PVC SCH40 LD'!$A$22,VLOOKUP($A112,'PVC SCH40 LD'!$A$8:$M$21,10,FALSE),
IF($A112&lt;'Pool &amp; SPA Sweep Elbows'!$A$12,VLOOKUP($A112,'Pool &amp; SPA Sweep Elbows'!$A$8:$M$11,10,FALSE),
IF($A112&lt;'Pool &amp; SPA Pipe Extender'!$A$11,VLOOKUP($A112,'Pool &amp; SPA Pipe Extender'!$A$8:$M$10,10,FALSE),
IF($A112&lt;'PVC SCH80'!$A$250,VLOOKUP($A112,'PVC SCH80'!$A$8:$M$249,10,FALSE),
IF($A112&lt;'PVC SCH80 Flange'!$A$49,VLOOKUP($A112,'PVC SCH80 Flange'!$A$8:$M$48,10,FALSE),
IF($A112&lt;'PVC SCH80 LD Flange'!$A$17,VLOOKUP($A112,'PVC SCH80 LD Flange'!$A$8:$M$16,10,FALSE),
IF($A112&lt;CPVC!$A$105,VLOOKUP($A112,CPVC!$A$9:$M$104,10,FALSE),
IF($A112&lt;InsertFittings!$A$185,VLOOKUP($A112,InsertFittings!$A$9:$M$184,10,FALSE),
IF($A112&lt;Valves!$A$92,VLOOKUP($A112,Valves!$A$9:$Q$91,14,FALSE),
IF($A112&lt;SDR35SW!$A$133,VLOOKUP($A112,SDR35SW!$A$9:$M$132,10,FALSE),
IF($A112&lt;SDR35G!$A$151,VLOOKUP($A112,SDR35G!$A$9:$M$150,10,FALSE),
IF($A112&lt;SDR26G!$A$67,VLOOKUP($A112,SDR26G!$A$9:$N$66,11,FALSE),
IF($A112&lt;Cements!$A$95,VLOOKUP($A112,Cements!$A$8:$Q$94,14,FALSE),
IF($A112&lt;ValveBox!$A$124,VLOOKUP($A112,ValveBox!$A$9:$O$123,12,FALSE),
IF($A112&lt;'ValveBox Components'!$A$142,VLOOKUP($A112,'ValveBox Components'!$A$9:$N$141,11,FALSE),
IF($A112&lt;Drainage!$A$69,VLOOKUP($A112,Drainage!$A$8:$M$68,10,FALSE),
IF($A112&lt;Nipples!$A$82,VLOOKUP($A112,Nipples!$A$9:$Q$81,14,FALSE),
IF($A112&lt;Manifold!$A$33,VLOOKUP($A112,Manifold!$A$9:$M$32,10,FALSE),
IF($A112&lt;FlexibleRepairCouplings!$A$12,VLOOKUP($A112,FlexibleRepairCouplings!$A$9:$M$11,10,FALSE),
IF($A112&lt;DuraFix!$A$15,VLOOKUP($A112,DuraFix!$A$9:$M$14,10,FALSE),
IF($A112&lt;'Compression Fittings'!$A$16,VLOOKUP($A112,'Compression Fittings'!$A$8:$M$15,10,FALSE),
IF($A112&lt;'Hose Fittings'!$A$30,VLOOKUP($A112,'Hose Fittings'!$A$8:$M$29,10,FALSE),
IF($A112&lt;'Swing Joints'!$A$495,VLOOKUP($A112,'Swing Joints'!$A$9:$M$494,10,FALSE),
IF($A112&lt;'Swing Joints Components'!$A$135,VLOOKUP($A112,'Swing Joints Components'!$A$9:$M$134,10,FALSE),
IF($A112&lt;Nonstandard!$A$42,VLOOKUP($A112,Nonstandard!$A$31:$J$41,10,FALSE),"")))))))))))))))))))))))))))),"")</f>
        <v/>
      </c>
      <c r="L112" s="539" t="str">
        <f t="shared" si="2"/>
        <v>-</v>
      </c>
      <c r="M112" s="542"/>
    </row>
    <row r="113" spans="1:13" ht="15.6">
      <c r="A113" s="312">
        <v>81</v>
      </c>
      <c r="B113" s="312" t="str">
        <f>IFERROR(IF($A113&lt;'DWV PVC'!$A$317,VLOOKUP($A113,'DWV PVC'!$A$9:$M$316,4,FALSE),
IF($A113&lt;'DWV ABS'!$A$117,VLOOKUP($A113,'DWV ABS'!$A$8:$M$116,4,FALSE),
IF($A113&lt;'PVC SCH40'!$A$425,VLOOKUP($A113,'PVC SCH40'!$A$8:$M$424,4,FALSE),
IF($A113&lt;'PVC SCH40 LD'!$A$22,VLOOKUP($A113,'PVC SCH40 LD'!$A$8:$M$21,4,FALSE),
IF($A113&lt;'Pool &amp; SPA Sweep Elbows'!$A$12,VLOOKUP($A113,'Pool &amp; SPA Sweep Elbows'!$A$8:$M$11,4,FALSE),
IF($A113&lt;'Pool &amp; SPA Pipe Extender'!$A$11,VLOOKUP($A113,'Pool &amp; SPA Pipe Extender'!$A$8:$M$10,4,FALSE),
IF($A113&lt;'PVC SCH80'!$A$250,VLOOKUP($A113,'PVC SCH80'!$A$8:$M$249,4,FALSE),
IF($A113&lt;'PVC SCH80 Flange'!$A$49,VLOOKUP($A113,'PVC SCH80 Flange'!$A$8:$M$48,4,FALSE),
IF($A113&lt;'PVC SCH80 LD Flange'!$A$17,VLOOKUP($A113,'PVC SCH80 LD Flange'!$A$8:$M$16,4,FALSE),
IF($A113&lt;CPVC!$A$105,VLOOKUP($A113,CPVC!$A$9:$M$104,4,FALSE),
IF($A113&lt;InsertFittings!$A$185,VLOOKUP($A113,InsertFittings!$A$9:$M$184,4,FALSE),
IF($A113&lt;Valves!$A$92,VLOOKUP($A113,Valves!$A$9:$Q$91,4,FALSE),
IF($A113&lt;SDR35SW!$A$133,VLOOKUP($A113,SDR35SW!$A$9:$M$132,4,FALSE),
IF($A113&lt;SDR35G!$A$151,VLOOKUP($A113,SDR35G!$A$9:$M$150,4,FALSE),
IF($A113&lt;SDR26G!$A$67,VLOOKUP($A113,SDR26G!$A$9:$N$66,5,FALSE),
IF($A113&lt;Cements!$A$95,VLOOKUP($A113,Cements!$A$8:$Q$94,4,FALSE),
IF($A113&lt;ValveBox!$A$124,VLOOKUP($A113,ValveBox!$A$9:$O$123,4,FALSE),
IF($A113&lt;'ValveBox Components'!$A$142,VLOOKUP($A113,'ValveBox Components'!$A$9:$N$141,4,FALSE),
IF($A113&lt;Drainage!$A$69,VLOOKUP($A113,Drainage!$A$8:$M$68,4,FALSE),
IF($A113&lt;Nipples!$A$82,VLOOKUP($A113,Nipples!$A$9:$Q$81,4,FALSE),
IF($A113&lt;Manifold!$A$33,VLOOKUP($A113,Manifold!$A$9:$M$32,4,FALSE),
IF($A113&lt;FlexibleRepairCouplings!$A$12,VLOOKUP($A113,FlexibleRepairCouplings!$A$9:$M$11,4,FALSE),
IF($A113&lt;DuraFix!$A$15,VLOOKUP($A113,DuraFix!$A$9:$M$14,4,FALSE),
IF($A113&lt;'Compression Fittings'!$A$16,VLOOKUP($A113,'Compression Fittings'!$A$8:$M$15,4,FALSE),
IF($A113&lt;'Hose Fittings'!$A$30,VLOOKUP($A113,'Hose Fittings'!$A$8:$M$29,4,FALSE),
IF($A113&lt;'Swing Joints'!$A$495,VLOOKUP($A113,'Swing Joints'!$A$9:$M$494,4,FALSE),
IF($A113&lt;'Swing Joints Components'!$A$135,VLOOKUP($A113,'Swing Joints Components'!$A$9:$M$134,4,FALSE),
IF($A113&lt;Nonstandard!$A$42,VLOOKUP($A113,Nonstandard!$A$31:$J$41,5,FALSE),"")))))))))))))))))))))))))))),"")</f>
        <v/>
      </c>
      <c r="C113" s="312" t="str">
        <f>IFERROR(IF($A113&lt;'DWV PVC'!$A$317,VLOOKUP($A113,'DWV PVC'!$A$9:$M$316,5,FALSE),
IF($A113&lt;'DWV ABS'!$A$117,VLOOKUP($A113,'DWV ABS'!$A$8:$M$116,5,FALSE),
IF($A113&lt;'PVC SCH40'!$A$425,VLOOKUP($A113,'PVC SCH40'!$A$8:$M$424,5,FALSE),
IF($A113&lt;'PVC SCH40 LD'!$A$22,VLOOKUP($A113,'PVC SCH40 LD'!$A$8:$M$21,5,FALSE),
IF($A113&lt;'Pool &amp; SPA Sweep Elbows'!$A$12,VLOOKUP($A113,'Pool &amp; SPA Sweep Elbows'!$A$8:$M$11,5,FALSE),
IF($A113&lt;'Pool &amp; SPA Pipe Extender'!$A$11,VLOOKUP($A113,'Pool &amp; SPA Pipe Extender'!$A$8:$M$10,5,FALSE),
IF($A113&lt;'PVC SCH80'!$A$250,VLOOKUP($A113,'PVC SCH80'!$A$8:$M$249,5,FALSE),
IF($A113&lt;'PVC SCH80 Flange'!$A$49,VLOOKUP($A113,'PVC SCH80 Flange'!$A$8:$M$48,5,FALSE),
IF($A113&lt;'PVC SCH80 LD Flange'!$A$17,VLOOKUP($A113,'PVC SCH80 LD Flange'!$A$8:$M$16,5,FALSE),
IF($A113&lt;CPVC!$A$105,VLOOKUP($A113,CPVC!$A$9:$M$104,5,FALSE),
IF($A113&lt;InsertFittings!$A$185,VLOOKUP($A113,InsertFittings!$A$9:$M$184,5,FALSE),
IF($A113&lt;Valves!$A$92,VLOOKUP($A113,Valves!$A$9:$Q$91,5,FALSE),
IF($A113&lt;SDR35SW!$A$133,VLOOKUP($A113,SDR35SW!$A$9:$M$132,5,FALSE),
IF($A113&lt;SDR35G!$A$151,VLOOKUP($A113,SDR35G!$A$9:$M$150,5,FALSE),
IF($A113&lt;SDR26G!$A$67,VLOOKUP($A113,SDR26G!$A$9:$N$66,6,FALSE),
IF($A113&lt;Cements!$A$95,VLOOKUP($A113,Cements!$A$8:$Q$94,5,FALSE),
IF($A113&lt;ValveBox!$A$124,VLOOKUP($A113,ValveBox!$A$9:$O$123,5,FALSE),
IF($A113&lt;'ValveBox Components'!$A$142,VLOOKUP($A113,'ValveBox Components'!$A$9:$N$141,5,FALSE),
IF($A113&lt;Drainage!$A$69,VLOOKUP($A113,Drainage!$A$8:$M$68,5,FALSE),
IF($A113&lt;Nipples!$A$82,VLOOKUP($A113,Nipples!$A$9:$Q$81,5,FALSE),
IF($A113&lt;Manifold!$A$33,VLOOKUP($A113,Manifold!$A$9:$M$32,5,FALSE),
IF($A113&lt;FlexibleRepairCouplings!$A$12,VLOOKUP($A113,FlexibleRepairCouplings!$A$9:$M$11,5,FALSE),
IF($A113&lt;DuraFix!$A$15,VLOOKUP($A113,DuraFix!$A$9:$M$14,5,FALSE),
IF($A113&lt;'Compression Fittings'!$A$16,VLOOKUP($A113,'Compression Fittings'!$A$8:$M$15,5,FALSE),
IF($A113&lt;'Hose Fittings'!$A$30,VLOOKUP($A113,'Hose Fittings'!$A$8:$M$29,5,FALSE),
IF($A113&lt;'Swing Joints'!$A$495,VLOOKUP($A113,'Swing Joints'!$A$9:$M$494,5,FALSE),
IF($A113&lt;'Swing Joints Components'!$A$135,VLOOKUP($A113,'Swing Joints Components'!$A$9:$M$134,5,FALSE),
IF($A113&lt;Nonstandard!$A$42,VLOOKUP($A113,Nonstandard!$A$31:$J$41,6,FALSE),"")))))))))))))))))))))))))))),"")</f>
        <v/>
      </c>
      <c r="D113" s="534" t="str">
        <f>IFERROR(IF($A113&lt;'DWV PVC'!$A$317,VLOOKUP($A113,'DWV PVC'!$A$9:$M$316,6,FALSE),
IF($A113&lt;'DWV ABS'!$A$117,VLOOKUP($A113,'DWV ABS'!$A$8:$M$116,6,FALSE),
IF($A113&lt;'PVC SCH40'!$A$425,VLOOKUP($A113,'PVC SCH40'!$A$8:$M$424,6,FALSE),
IF($A113&lt;'PVC SCH40 LD'!$A$22,VLOOKUP($A113,'PVC SCH40 LD'!$A$8:$M$21,6,FALSE),
IF($A113&lt;'Pool &amp; SPA Sweep Elbows'!$A$12,VLOOKUP($A113,'Pool &amp; SPA Sweep Elbows'!$A$8:$M$11,6,FALSE),
IF($A113&lt;'Pool &amp; SPA Pipe Extender'!$A$11,VLOOKUP($A113,'Pool &amp; SPA Pipe Extender'!$A$8:$M$10,6,FALSE),
IF($A113&lt;'PVC SCH80'!$A$250,VLOOKUP($A113,'PVC SCH80'!$A$8:$M$249,6,FALSE),
IF($A113&lt;'PVC SCH80 Flange'!$A$49,VLOOKUP($A113,'PVC SCH80 Flange'!$A$8:$M$48,6,FALSE),
IF($A113&lt;'PVC SCH80 LD Flange'!$A$17,VLOOKUP($A113,'PVC SCH80 LD Flange'!$A$8:$M$16,6,FALSE),
IF($A113&lt;CPVC!$A$105,VLOOKUP($A113,CPVC!$A$9:$M$104,6,FALSE),
IF($A113&lt;InsertFittings!$A$185,VLOOKUP($A113,InsertFittings!$A$9:$M$184,6,FALSE),
IF($A113&lt;Valves!$A$92,VLOOKUP($A113,Valves!$A$9:$Q$91,6,FALSE),
IF($A113&lt;SDR35SW!$A$133,VLOOKUP($A113,SDR35SW!$A$9:$M$132,6,FALSE),
IF($A113&lt;SDR35G!$A$151,VLOOKUP($A113,SDR35G!$A$9:$M$150,6,FALSE),
IF($A113&lt;SDR26G!$A$67,VLOOKUP($A113,SDR26G!$A$9:$N$66,7,FALSE),
IF($A113&lt;Cements!$A$95,VLOOKUP($A113,Cements!$A$8:$Q$94,6,FALSE),
IF($A113&lt;ValveBox!$A$124,VLOOKUP($A113,ValveBox!$A$9:$O$123,6,FALSE),
IF($A113&lt;'ValveBox Components'!$A$142,VLOOKUP($A113,'ValveBox Components'!$A$9:$N$141,6,FALSE),
IF($A113&lt;Drainage!$A$69,VLOOKUP($A113,Drainage!$A$8:$M$68,6,FALSE),
IF($A113&lt;Nipples!$A$82,VLOOKUP($A113,Nipples!$A$9:$Q$81,6,FALSE),
IF($A113&lt;Manifold!$A$33,VLOOKUP($A113,Manifold!$A$9:$M$32,6,FALSE),
IF($A113&lt;FlexibleRepairCouplings!$A$12,VLOOKUP($A113,FlexibleRepairCouplings!$A$9:$M$11,6,FALSE),
IF($A113&lt;DuraFix!$A$15,VLOOKUP($A113,DuraFix!$A$9:$M$14,6,FALSE),
IF($A113&lt;'Compression Fittings'!$A$16,VLOOKUP($A113,'Compression Fittings'!$A$8:$M$15,6,FALSE),
IF($A113&lt;'Hose Fittings'!$A$30,VLOOKUP($A113,'Hose Fittings'!$A$8:$M$29,6,FALSE),
IF($A113&lt;'Swing Joints'!$A$495,VLOOKUP($A113,'Swing Joints'!$A$9:$M$494,6,FALSE),
IF($A113&lt;'Swing Joints Components'!$A$135,VLOOKUP($A113,'Swing Joints Components'!$A$9:$M$134,6,FALSE),
IF($A113&lt;Nonstandard!$A$42,VLOOKUP($A113,Nonstandard!$A$31:$J$41,7,FALSE),"")))))))))))))))))))))))))))),"")</f>
        <v/>
      </c>
      <c r="E113" s="316"/>
      <c r="F113" s="314" t="str">
        <f>IFERROR(IF($A113&lt;'DWV PVC'!$A$317,VLOOKUP($A113,'DWV PVC'!$A$9:$M$316,9,FALSE),
IF($A113&lt;'DWV ABS'!$A$117,VLOOKUP($A113,'DWV ABS'!$A$8:$M$116,9,FALSE),                                                                                                                                                                                                                                                     IF($A113&lt;'PVC SCH40'!$A$425,VLOOKUP($A113,'PVC SCH40'!$A$8:$M$424,9,FALSE),
IF($A113&lt;'PVC SCH40 LD'!$A$22,VLOOKUP($A113,'PVC SCH40 LD'!$A$8:$M$21,9,FALSE),
IF($A113&lt;'Pool &amp; SPA Sweep Elbows'!$A$12,VLOOKUP($A113,'Pool &amp; SPA Sweep Elbows'!$A$8:$M$11,9,FALSE),
IF($A113&lt;'Pool &amp; SPA Pipe Extender'!$A$11,VLOOKUP($A113,'Pool &amp; SPA Pipe Extender'!$A$8:$M$10,9,FALSE),
IF($A113&lt;'PVC SCH80'!$A$250,VLOOKUP($A113,'PVC SCH80'!$A$8:$M$249,9,FALSE),
IF($A113&lt;'PVC SCH80 Flange'!$A$49,VLOOKUP($A113,'PVC SCH80 Flange'!$A$8:$M$48,9,FALSE),
IF($A113&lt;'PVC SCH80 LD Flange'!$A$17,VLOOKUP($A113,'PVC SCH80 LD Flange'!$A$8:$M$16,9,FALSE),
IF($A113&lt;CPVC!$A$105,VLOOKUP($A113,CPVC!$A$9:$M$104,9,FALSE),
IF($A113&lt;InsertFittings!$A$185,VLOOKUP($A113,InsertFittings!$A$9:$M$184,9,FALSE),
IF($A113&lt;Valves!$A$92,VLOOKUP($A113,Valves!$A$9:$Q$91,13,FALSE),
IF($A113&lt;SDR35SW!$A$133,VLOOKUP($A113,SDR35SW!$A$9:$M$132,9,FALSE),
IF($A113&lt;SDR35G!$A$151,VLOOKUP($A113,SDR35G!$A$9:$M$150,9,FALSE),                                                                                                                                                                                                                                                          IF($A113&lt;SDR26G!$A$67,VLOOKUP($A113,SDR26G!$A$9:$N$66,10,FALSE),                                                                                                                                                                                                                                                       IF($A113&lt;Cements!$A$95,VLOOKUP($A113,Cements!$A$8:$Q$94,13,FALSE),
IF($A113&lt;ValveBox!$A$124,VLOOKUP($A113,ValveBox!$A$9:$O$123,11,FALSE),
IF($A113&lt;'ValveBox Components'!$A$142,VLOOKUP($A113,'ValveBox Components'!$A$9:$N$141,10,FALSE),
IF($A113&lt;Drainage!$A$69,VLOOKUP($A113,Drainage!$A$8:$M$68,9,FALSE),                                                                                                                                                                                                                                                              IF($A113&lt;Nipples!$A$82,VLOOKUP($A113,Nipples!$A$9:$Q$81,13,FALSE),
IF($A113&lt;Manifold!$A$33,VLOOKUP($A113,Manifold!$A$9:$M$32,9,FALSE),
IF($A113&lt;FlexibleRepairCouplings!$A$12,VLOOKUP($A113,FlexibleRepairCouplings!$A$9:$M$11,9,FALSE),
IF($A113&lt;DuraFix!$A$15,VLOOKUP($A113,DuraFix!$A$9:$M$14,9,FALSE),                                                                                                                                                                                                                                                          IF($A113&lt;'Compression Fittings'!$A$16,VLOOKUP($A113,'Compression Fittings'!$A$8:$M$15,9,FALSE),
IF($A113&lt;'Hose Fittings'!$A$30,VLOOKUP($A113,'Hose Fittings'!$A$8:$M$29,9,FALSE),
IF($A113&lt;'Swing Joints'!$A$495,VLOOKUP($A113,'Swing Joints'!$A$9:$M$494,9,FALSE),
IF($A113&lt;'Swing Joints Components'!$A$135,VLOOKUP($A113,'Swing Joints Components'!$A$9:$M$134,9,FALSE),
IF($A113&lt;Nonstandard!$A$42,VLOOKUP($A113,Nonstandard!$A$31:$J$41,8,FALSE),"")))))))))))))))))))))))))))),"")</f>
        <v/>
      </c>
      <c r="G113" s="533" t="str">
        <f>IFERROR(IF($A113&lt;'DWV PVC'!$A$317,VLOOKUP($A113,'DWV PVC'!$A$9:$M$316,11,FALSE),
IF($A113&lt;'DWV ABS'!$A$117,VLOOKUP($A113,'DWV ABS'!$A$8:$M$116,11,FALSE),                                                                                                                                                                                                                                                     IF($A113&lt;'PVC SCH40'!$A$425,VLOOKUP($A113,'PVC SCH40'!$A$8:$M$424,11,FALSE),
IF($A113&lt;'PVC SCH40 LD'!$A$22,VLOOKUP($A113,'PVC SCH40 LD'!$A$8:$M$21,11,FALSE),
IF($A113&lt;'Pool &amp; SPA Sweep Elbows'!$A$12,VLOOKUP($A113,'Pool &amp; SPA Sweep Elbows'!$A$8:$M$11,11,FALSE),
IF($A113&lt;'Pool &amp; SPA Pipe Extender'!$A$11,VLOOKUP($A113,'Pool &amp; SPA Pipe Extender'!$A$8:$M$10,11,FALSE),
IF($A113&lt;'PVC SCH80'!$A$250,VLOOKUP($A113,'PVC SCH80'!$A$8:$M$249,11,FALSE),
IF($A113&lt;'PVC SCH80 Flange'!$A$49,VLOOKUP($A113,'PVC SCH80 Flange'!$A$8:$M$48,11,FALSE),
IF($A113&lt;'PVC SCH80 LD Flange'!$A$17,VLOOKUP($A113,'PVC SCH80 LD Flange'!$A$8:$M$16,11,FALSE),
IF($A113&lt;CPVC!$A$105,VLOOKUP($A113,CPVC!$A$9:$M$104,11,FALSE),
IF($A113&lt;InsertFittings!$A$185,VLOOKUP($A113,InsertFittings!$A$9:$M$184,11,FALSE),
IF($A113&lt;Valves!$A$92,VLOOKUP($A113,Valves!$A$9:$Q$91,15,FALSE),
IF($A113&lt;SDR35SW!$A$133,VLOOKUP($A113,SDR35SW!$A$9:$M$132,11,FALSE),
IF($A113&lt;SDR35G!$A$151,VLOOKUP($A113,SDR35G!$A$9:$M$150,11,FALSE),                                                                                                                                                                                                                                                          IF($A113&lt;SDR26G!$A$67,VLOOKUP($A113,SDR26G!$A$9:$N$66,12,FALSE),                                                                                                                                                                                                                                                       IF($A113&lt;Cements!$A$95,VLOOKUP($A113,Cements!$A$8:$Q$94,15,FALSE),
IF($A113&lt;ValveBox!$A$124,VLOOKUP($A113,ValveBox!$A$9:$O$123,13,FALSE),
IF($A113&lt;'ValveBox Components'!$A$142,VLOOKUP($A113,'ValveBox Components'!$A$9:$N$141,12,FALSE),
IF($A113&lt;Drainage!$A$69,VLOOKUP($A113,Drainage!$A$8:$M$68,11,FALSE),                                                                                                                                                                                                                                                           IF($A113&lt;Nipples!$A$82,VLOOKUP($A113,Nipples!$A$9:$Q$81,15,FALSE),
IF($A113&lt;Manifold!$A$33,VLOOKUP($A113,Manifold!$A$9:$M$32,11,FALSE),
IF($A113&lt;FlexibleRepairCouplings!$A$12,VLOOKUP($A113,FlexibleRepairCouplings!$A$9:$M$11,11,FALSE),
IF($A113&lt;DuraFix!$A$15,VLOOKUP($A113,DuraFix!$A$9:$M$14,11,FALSE),                                                                                                                                                                                                                                                            IF($A113&lt;'Compression Fittings'!$A$16,VLOOKUP($A113,'Compression Fittings'!$A$8:$M$15,11,FALSE),
IF($A113&lt;'Hose Fittings'!$A$30,VLOOKUP($A113,'Hose Fittings'!$A$8:$M$29,11,FALSE),
IF($A113&lt;'Swing Joints'!$A$495,VLOOKUP($A113,'Swing Joints'!$A$9:$M$494,11,FALSE),
IF($A113&lt;'Swing Joints Components'!$A$135,VLOOKUP($A113,'Swing Joints Components'!$A$9:$M$134,11,FALSE),
IF($A113&lt;Nonstandard!$A$42,VLOOKUP($A113,Nonstandard!$A$31:$J$41,10,FALSE),"")))))))))))))))))))))))))))),"")</f>
        <v/>
      </c>
      <c r="H113" s="618" t="str">
        <f>IFERROR(IF($A113&lt;'DWV PVC'!$A$317,VLOOKUP($A113,'DWV PVC'!$A$9:$M$316,7,FALSE),
IF($A113&lt;'DWV ABS'!$A$117,VLOOKUP($A113,'DWV ABS'!$A$8:$M$116,11,FALSE),                                                                                                                                                                                                                                                     IF($A113&lt;'PVC SCH40'!$A$425,VLOOKUP($A113,'PVC SCH40'!$A$8:$M$424,7,FALSE),
IF($A113&lt;'PVC SCH40 LD'!$A$22,VLOOKUP($A113,'PVC SCH40 LD'!$A$8:$M$21,7,FALSE),
IF($A113&lt;'Pool &amp; SPA Sweep Elbows'!$A$12,VLOOKUP($A113,'Pool &amp; SPA Sweep Elbows'!$A$8:$M$11,7,FALSE),
IF($A113&lt;'Pool &amp; SPA Pipe Extender'!$A$11,VLOOKUP($A113,'Pool &amp; SPA Pipe Extender'!$A$8:$M$10,7,FALSE),
IF($A113&lt;'PVC SCH80'!$A$250,VLOOKUP($A113,'PVC SCH80'!$A$8:$M$249,7,FALSE),
IF($A113&lt;'PVC SCH80 Flange'!$A$49,VLOOKUP($A113,'PVC SCH80 Flange'!$A$8:$M$48,7,FALSE),
IF($A113&lt;'PVC SCH80 LD Flange'!$A$17,VLOOKUP($A113,'PVC SCH80 LD Flange'!$A$8:$M$16,7,FALSE),
IF($A113&lt;CPVC!$A$105,VLOOKUP($A113,CPVC!$A$9:$M$104,7,FALSE),
IF($A113&lt;InsertFittings!$A$185,VLOOKUP($A113,InsertFittings!$A$9:$M$184,7,FALSE),
IF($A113&lt;Valves!$A$92,VLOOKUP($A113,Valves!$A$9:$Q$91,11,FALSE),
IF($A113&lt;SDR35SW!$A$133,VLOOKUP($A113,SDR35SW!$A$9:$M$132,7,FALSE),
IF($A113&lt;SDR35G!$A$151,VLOOKUP($A113,SDR35G!$A$9:$M$150,7,FALSE),                                                                                                                                                                                                                                                       IF($A113&lt;SDR26G!$A$67,VLOOKUP($A113,SDR26G!$A$9:$N$66,8,FALSE),                                                                                                                                                                                                                                                     IF($A113&lt;Cements!$A$95,VLOOKUP($A113,Cements!$A$8:$Q$94,11,FALSE),
IF($A113&lt;ValveBox!$A$124,VLOOKUP($A113,ValveBox!$A$9:$O$123,10,FALSE),
IF($A113&lt;'ValveBox Components'!$A$142,VLOOKUP($A113,'ValveBox Components'!$A$9:$N$141,9,FALSE),
IF($A113&lt;Drainage!$A$69,VLOOKUP($A113,Drainage!$A$8:$M$68,7,FALSE),                                                                                                                                                                                                                                                          IF($A113&lt;Nipples!$A$82,VLOOKUP($A113,Nipples!$A$9:$Q$81,11,FALSE),
IF($A113&lt;Manifold!$A$33,VLOOKUP($A113,Manifold!$A$9:$M$32,7,FALSE),
IF($A113&lt;FlexibleRepairCouplings!$A$12,VLOOKUP($A113,FlexibleRepairCouplings!$A$9:$M$11,7,FALSE),
IF($A113&lt;DuraFix!$A$15,VLOOKUP($A113,DuraFix!$A$9:$M$14,7,FALSE),                                                                                                                                                                                                                                                           IF($A113&lt;'Compression Fittings'!$A$16,VLOOKUP($A113,'Compression Fittings'!$A$8:$M$15,7,FALSE),
IF($A113&lt;'Hose Fittings'!$A$30,VLOOKUP($A113,'Hose Fittings'!$A$8:$M$29,7,FALSE),
IF($A113&lt;'Swing Joints'!$A$495,VLOOKUP($A113,'Swing Joints'!$A$9:$M$494,7,FALSE),
IF($A113&lt;'Swing Joints Components'!$A$135,VLOOKUP($A113,'Swing Joints Components'!$A$9:$M$134,7,FALSE),
IF($A113&lt;Nonstandard!$A$42,VLOOKUP($A113,Nonstandard!$A$31:$J$41,10,FALSE),"")))))))))))))))))))))))))))),"")</f>
        <v/>
      </c>
      <c r="I113" s="619"/>
      <c r="J113" s="281" t="str">
        <f t="shared" si="3"/>
        <v/>
      </c>
      <c r="K113" s="313" t="str">
        <f>IFERROR(IF($A113&lt;'DWV PVC'!$A$317,VLOOKUP($A113,'DWV PVC'!$A$9:$M$316,10,FALSE),
IF($A113&lt;'DWV ABS'!$A$117,VLOOKUP($A113,'DWV ABS'!$A$8:$M$116,10,FALSE),
IF($A113&lt;'PVC SCH40'!$A$425,VLOOKUP($A113,'PVC SCH40'!$A$8:$M$424,10,FALSE),
IF($A113&lt;'PVC SCH40 LD'!$A$22,VLOOKUP($A113,'PVC SCH40 LD'!$A$8:$M$21,10,FALSE),
IF($A113&lt;'Pool &amp; SPA Sweep Elbows'!$A$12,VLOOKUP($A113,'Pool &amp; SPA Sweep Elbows'!$A$8:$M$11,10,FALSE),
IF($A113&lt;'Pool &amp; SPA Pipe Extender'!$A$11,VLOOKUP($A113,'Pool &amp; SPA Pipe Extender'!$A$8:$M$10,10,FALSE),
IF($A113&lt;'PVC SCH80'!$A$250,VLOOKUP($A113,'PVC SCH80'!$A$8:$M$249,10,FALSE),
IF($A113&lt;'PVC SCH80 Flange'!$A$49,VLOOKUP($A113,'PVC SCH80 Flange'!$A$8:$M$48,10,FALSE),
IF($A113&lt;'PVC SCH80 LD Flange'!$A$17,VLOOKUP($A113,'PVC SCH80 LD Flange'!$A$8:$M$16,10,FALSE),
IF($A113&lt;CPVC!$A$105,VLOOKUP($A113,CPVC!$A$9:$M$104,10,FALSE),
IF($A113&lt;InsertFittings!$A$185,VLOOKUP($A113,InsertFittings!$A$9:$M$184,10,FALSE),
IF($A113&lt;Valves!$A$92,VLOOKUP($A113,Valves!$A$9:$Q$91,14,FALSE),
IF($A113&lt;SDR35SW!$A$133,VLOOKUP($A113,SDR35SW!$A$9:$M$132,10,FALSE),
IF($A113&lt;SDR35G!$A$151,VLOOKUP($A113,SDR35G!$A$9:$M$150,10,FALSE),
IF($A113&lt;SDR26G!$A$67,VLOOKUP($A113,SDR26G!$A$9:$N$66,11,FALSE),
IF($A113&lt;Cements!$A$95,VLOOKUP($A113,Cements!$A$8:$Q$94,14,FALSE),
IF($A113&lt;ValveBox!$A$124,VLOOKUP($A113,ValveBox!$A$9:$O$123,12,FALSE),
IF($A113&lt;'ValveBox Components'!$A$142,VLOOKUP($A113,'ValveBox Components'!$A$9:$N$141,11,FALSE),
IF($A113&lt;Drainage!$A$69,VLOOKUP($A113,Drainage!$A$8:$M$68,10,FALSE),
IF($A113&lt;Nipples!$A$82,VLOOKUP($A113,Nipples!$A$9:$Q$81,14,FALSE),
IF($A113&lt;Manifold!$A$33,VLOOKUP($A113,Manifold!$A$9:$M$32,10,FALSE),
IF($A113&lt;FlexibleRepairCouplings!$A$12,VLOOKUP($A113,FlexibleRepairCouplings!$A$9:$M$11,10,FALSE),
IF($A113&lt;DuraFix!$A$15,VLOOKUP($A113,DuraFix!$A$9:$M$14,10,FALSE),
IF($A113&lt;'Compression Fittings'!$A$16,VLOOKUP($A113,'Compression Fittings'!$A$8:$M$15,10,FALSE),
IF($A113&lt;'Hose Fittings'!$A$30,VLOOKUP($A113,'Hose Fittings'!$A$8:$M$29,10,FALSE),
IF($A113&lt;'Swing Joints'!$A$495,VLOOKUP($A113,'Swing Joints'!$A$9:$M$494,10,FALSE),
IF($A113&lt;'Swing Joints Components'!$A$135,VLOOKUP($A113,'Swing Joints Components'!$A$9:$M$134,10,FALSE),
IF($A113&lt;Nonstandard!$A$42,VLOOKUP($A113,Nonstandard!$A$31:$J$41,10,FALSE),"")))))))))))))))))))))))))))),"")</f>
        <v/>
      </c>
      <c r="L113" s="314" t="str">
        <f t="shared" si="2"/>
        <v>-</v>
      </c>
      <c r="M113" s="315"/>
    </row>
    <row r="114" spans="1:13" ht="15.6">
      <c r="A114" s="536">
        <v>82</v>
      </c>
      <c r="B114" s="536" t="str">
        <f>IFERROR(IF($A114&lt;'DWV PVC'!$A$317,VLOOKUP($A114,'DWV PVC'!$A$9:$M$316,4,FALSE),
IF($A114&lt;'DWV ABS'!$A$117,VLOOKUP($A114,'DWV ABS'!$A$8:$M$116,4,FALSE),
IF($A114&lt;'PVC SCH40'!$A$425,VLOOKUP($A114,'PVC SCH40'!$A$8:$M$424,4,FALSE),
IF($A114&lt;'PVC SCH40 LD'!$A$22,VLOOKUP($A114,'PVC SCH40 LD'!$A$8:$M$21,4,FALSE),
IF($A114&lt;'Pool &amp; SPA Sweep Elbows'!$A$12,VLOOKUP($A114,'Pool &amp; SPA Sweep Elbows'!$A$8:$M$11,4,FALSE),
IF($A114&lt;'Pool &amp; SPA Pipe Extender'!$A$11,VLOOKUP($A114,'Pool &amp; SPA Pipe Extender'!$A$8:$M$10,4,FALSE),
IF($A114&lt;'PVC SCH80'!$A$250,VLOOKUP($A114,'PVC SCH80'!$A$8:$M$249,4,FALSE),
IF($A114&lt;'PVC SCH80 Flange'!$A$49,VLOOKUP($A114,'PVC SCH80 Flange'!$A$8:$M$48,4,FALSE),
IF($A114&lt;'PVC SCH80 LD Flange'!$A$17,VLOOKUP($A114,'PVC SCH80 LD Flange'!$A$8:$M$16,4,FALSE),
IF($A114&lt;CPVC!$A$105,VLOOKUP($A114,CPVC!$A$9:$M$104,4,FALSE),
IF($A114&lt;InsertFittings!$A$185,VLOOKUP($A114,InsertFittings!$A$9:$M$184,4,FALSE),
IF($A114&lt;Valves!$A$92,VLOOKUP($A114,Valves!$A$9:$Q$91,4,FALSE),
IF($A114&lt;SDR35SW!$A$133,VLOOKUP($A114,SDR35SW!$A$9:$M$132,4,FALSE),
IF($A114&lt;SDR35G!$A$151,VLOOKUP($A114,SDR35G!$A$9:$M$150,4,FALSE),
IF($A114&lt;SDR26G!$A$67,VLOOKUP($A114,SDR26G!$A$9:$N$66,5,FALSE),
IF($A114&lt;Cements!$A$95,VLOOKUP($A114,Cements!$A$8:$Q$94,4,FALSE),
IF($A114&lt;ValveBox!$A$124,VLOOKUP($A114,ValveBox!$A$9:$O$123,4,FALSE),
IF($A114&lt;'ValveBox Components'!$A$142,VLOOKUP($A114,'ValveBox Components'!$A$9:$N$141,4,FALSE),
IF($A114&lt;Drainage!$A$69,VLOOKUP($A114,Drainage!$A$8:$M$68,4,FALSE),
IF($A114&lt;Nipples!$A$82,VLOOKUP($A114,Nipples!$A$9:$Q$81,4,FALSE),
IF($A114&lt;Manifold!$A$33,VLOOKUP($A114,Manifold!$A$9:$M$32,4,FALSE),
IF($A114&lt;FlexibleRepairCouplings!$A$12,VLOOKUP($A114,FlexibleRepairCouplings!$A$9:$M$11,4,FALSE),
IF($A114&lt;DuraFix!$A$15,VLOOKUP($A114,DuraFix!$A$9:$M$14,4,FALSE),
IF($A114&lt;'Compression Fittings'!$A$16,VLOOKUP($A114,'Compression Fittings'!$A$8:$M$15,4,FALSE),
IF($A114&lt;'Hose Fittings'!$A$30,VLOOKUP($A114,'Hose Fittings'!$A$8:$M$29,4,FALSE),
IF($A114&lt;'Swing Joints'!$A$495,VLOOKUP($A114,'Swing Joints'!$A$9:$M$494,4,FALSE),
IF($A114&lt;'Swing Joints Components'!$A$135,VLOOKUP($A114,'Swing Joints Components'!$A$9:$M$134,4,FALSE),
IF($A114&lt;Nonstandard!$A$42,VLOOKUP($A114,Nonstandard!$A$31:$J$41,5,FALSE),"")))))))))))))))))))))))))))),"")</f>
        <v/>
      </c>
      <c r="C114" s="536" t="str">
        <f>IFERROR(IF($A114&lt;'DWV PVC'!$A$317,VLOOKUP($A114,'DWV PVC'!$A$9:$M$316,5,FALSE),
IF($A114&lt;'DWV ABS'!$A$117,VLOOKUP($A114,'DWV ABS'!$A$8:$M$116,5,FALSE),
IF($A114&lt;'PVC SCH40'!$A$425,VLOOKUP($A114,'PVC SCH40'!$A$8:$M$424,5,FALSE),
IF($A114&lt;'PVC SCH40 LD'!$A$22,VLOOKUP($A114,'PVC SCH40 LD'!$A$8:$M$21,5,FALSE),
IF($A114&lt;'Pool &amp; SPA Sweep Elbows'!$A$12,VLOOKUP($A114,'Pool &amp; SPA Sweep Elbows'!$A$8:$M$11,5,FALSE),
IF($A114&lt;'Pool &amp; SPA Pipe Extender'!$A$11,VLOOKUP($A114,'Pool &amp; SPA Pipe Extender'!$A$8:$M$10,5,FALSE),
IF($A114&lt;'PVC SCH80'!$A$250,VLOOKUP($A114,'PVC SCH80'!$A$8:$M$249,5,FALSE),
IF($A114&lt;'PVC SCH80 Flange'!$A$49,VLOOKUP($A114,'PVC SCH80 Flange'!$A$8:$M$48,5,FALSE),
IF($A114&lt;'PVC SCH80 LD Flange'!$A$17,VLOOKUP($A114,'PVC SCH80 LD Flange'!$A$8:$M$16,5,FALSE),
IF($A114&lt;CPVC!$A$105,VLOOKUP($A114,CPVC!$A$9:$M$104,5,FALSE),
IF($A114&lt;InsertFittings!$A$185,VLOOKUP($A114,InsertFittings!$A$9:$M$184,5,FALSE),
IF($A114&lt;Valves!$A$92,VLOOKUP($A114,Valves!$A$9:$Q$91,5,FALSE),
IF($A114&lt;SDR35SW!$A$133,VLOOKUP($A114,SDR35SW!$A$9:$M$132,5,FALSE),
IF($A114&lt;SDR35G!$A$151,VLOOKUP($A114,SDR35G!$A$9:$M$150,5,FALSE),
IF($A114&lt;SDR26G!$A$67,VLOOKUP($A114,SDR26G!$A$9:$N$66,6,FALSE),
IF($A114&lt;Cements!$A$95,VLOOKUP($A114,Cements!$A$8:$Q$94,5,FALSE),
IF($A114&lt;ValveBox!$A$124,VLOOKUP($A114,ValveBox!$A$9:$O$123,5,FALSE),
IF($A114&lt;'ValveBox Components'!$A$142,VLOOKUP($A114,'ValveBox Components'!$A$9:$N$141,5,FALSE),
IF($A114&lt;Drainage!$A$69,VLOOKUP($A114,Drainage!$A$8:$M$68,5,FALSE),
IF($A114&lt;Nipples!$A$82,VLOOKUP($A114,Nipples!$A$9:$Q$81,5,FALSE),
IF($A114&lt;Manifold!$A$33,VLOOKUP($A114,Manifold!$A$9:$M$32,5,FALSE),
IF($A114&lt;FlexibleRepairCouplings!$A$12,VLOOKUP($A114,FlexibleRepairCouplings!$A$9:$M$11,5,FALSE),
IF($A114&lt;DuraFix!$A$15,VLOOKUP($A114,DuraFix!$A$9:$M$14,5,FALSE),
IF($A114&lt;'Compression Fittings'!$A$16,VLOOKUP($A114,'Compression Fittings'!$A$8:$M$15,5,FALSE),
IF($A114&lt;'Hose Fittings'!$A$30,VLOOKUP($A114,'Hose Fittings'!$A$8:$M$29,5,FALSE),
IF($A114&lt;'Swing Joints'!$A$495,VLOOKUP($A114,'Swing Joints'!$A$9:$M$494,5,FALSE),
IF($A114&lt;'Swing Joints Components'!$A$135,VLOOKUP($A114,'Swing Joints Components'!$A$9:$M$134,5,FALSE),
IF($A114&lt;Nonstandard!$A$42,VLOOKUP($A114,Nonstandard!$A$31:$J$41,6,FALSE),"")))))))))))))))))))))))))))),"")</f>
        <v/>
      </c>
      <c r="D114" s="537" t="str">
        <f>IFERROR(IF($A114&lt;'DWV PVC'!$A$317,VLOOKUP($A114,'DWV PVC'!$A$9:$M$316,6,FALSE),
IF($A114&lt;'DWV ABS'!$A$117,VLOOKUP($A114,'DWV ABS'!$A$8:$M$116,6,FALSE),
IF($A114&lt;'PVC SCH40'!$A$425,VLOOKUP($A114,'PVC SCH40'!$A$8:$M$424,6,FALSE),
IF($A114&lt;'PVC SCH40 LD'!$A$22,VLOOKUP($A114,'PVC SCH40 LD'!$A$8:$M$21,6,FALSE),
IF($A114&lt;'Pool &amp; SPA Sweep Elbows'!$A$12,VLOOKUP($A114,'Pool &amp; SPA Sweep Elbows'!$A$8:$M$11,6,FALSE),
IF($A114&lt;'Pool &amp; SPA Pipe Extender'!$A$11,VLOOKUP($A114,'Pool &amp; SPA Pipe Extender'!$A$8:$M$10,6,FALSE),
IF($A114&lt;'PVC SCH80'!$A$250,VLOOKUP($A114,'PVC SCH80'!$A$8:$M$249,6,FALSE),
IF($A114&lt;'PVC SCH80 Flange'!$A$49,VLOOKUP($A114,'PVC SCH80 Flange'!$A$8:$M$48,6,FALSE),
IF($A114&lt;'PVC SCH80 LD Flange'!$A$17,VLOOKUP($A114,'PVC SCH80 LD Flange'!$A$8:$M$16,6,FALSE),
IF($A114&lt;CPVC!$A$105,VLOOKUP($A114,CPVC!$A$9:$M$104,6,FALSE),
IF($A114&lt;InsertFittings!$A$185,VLOOKUP($A114,InsertFittings!$A$9:$M$184,6,FALSE),
IF($A114&lt;Valves!$A$92,VLOOKUP($A114,Valves!$A$9:$Q$91,6,FALSE),
IF($A114&lt;SDR35SW!$A$133,VLOOKUP($A114,SDR35SW!$A$9:$M$132,6,FALSE),
IF($A114&lt;SDR35G!$A$151,VLOOKUP($A114,SDR35G!$A$9:$M$150,6,FALSE),
IF($A114&lt;SDR26G!$A$67,VLOOKUP($A114,SDR26G!$A$9:$N$66,7,FALSE),
IF($A114&lt;Cements!$A$95,VLOOKUP($A114,Cements!$A$8:$Q$94,6,FALSE),
IF($A114&lt;ValveBox!$A$124,VLOOKUP($A114,ValveBox!$A$9:$O$123,6,FALSE),
IF($A114&lt;'ValveBox Components'!$A$142,VLOOKUP($A114,'ValveBox Components'!$A$9:$N$141,6,FALSE),
IF($A114&lt;Drainage!$A$69,VLOOKUP($A114,Drainage!$A$8:$M$68,6,FALSE),
IF($A114&lt;Nipples!$A$82,VLOOKUP($A114,Nipples!$A$9:$Q$81,6,FALSE),
IF($A114&lt;Manifold!$A$33,VLOOKUP($A114,Manifold!$A$9:$M$32,6,FALSE),
IF($A114&lt;FlexibleRepairCouplings!$A$12,VLOOKUP($A114,FlexibleRepairCouplings!$A$9:$M$11,6,FALSE),
IF($A114&lt;DuraFix!$A$15,VLOOKUP($A114,DuraFix!$A$9:$M$14,6,FALSE),
IF($A114&lt;'Compression Fittings'!$A$16,VLOOKUP($A114,'Compression Fittings'!$A$8:$M$15,6,FALSE),
IF($A114&lt;'Hose Fittings'!$A$30,VLOOKUP($A114,'Hose Fittings'!$A$8:$M$29,6,FALSE),
IF($A114&lt;'Swing Joints'!$A$495,VLOOKUP($A114,'Swing Joints'!$A$9:$M$494,6,FALSE),
IF($A114&lt;'Swing Joints Components'!$A$135,VLOOKUP($A114,'Swing Joints Components'!$A$9:$M$134,6,FALSE),
IF($A114&lt;Nonstandard!$A$42,VLOOKUP($A114,Nonstandard!$A$31:$J$41,7,FALSE),"")))))))))))))))))))))))))))),"")</f>
        <v/>
      </c>
      <c r="E114" s="538"/>
      <c r="F114" s="539" t="str">
        <f>IFERROR(IF($A114&lt;'DWV PVC'!$A$317,VLOOKUP($A114,'DWV PVC'!$A$9:$M$316,9,FALSE),
IF($A114&lt;'DWV ABS'!$A$117,VLOOKUP($A114,'DWV ABS'!$A$8:$M$116,9,FALSE),                                                                                                                                                                                                                                                     IF($A114&lt;'PVC SCH40'!$A$425,VLOOKUP($A114,'PVC SCH40'!$A$8:$M$424,9,FALSE),
IF($A114&lt;'PVC SCH40 LD'!$A$22,VLOOKUP($A114,'PVC SCH40 LD'!$A$8:$M$21,9,FALSE),
IF($A114&lt;'Pool &amp; SPA Sweep Elbows'!$A$12,VLOOKUP($A114,'Pool &amp; SPA Sweep Elbows'!$A$8:$M$11,9,FALSE),
IF($A114&lt;'Pool &amp; SPA Pipe Extender'!$A$11,VLOOKUP($A114,'Pool &amp; SPA Pipe Extender'!$A$8:$M$10,9,FALSE),
IF($A114&lt;'PVC SCH80'!$A$250,VLOOKUP($A114,'PVC SCH80'!$A$8:$M$249,9,FALSE),
IF($A114&lt;'PVC SCH80 Flange'!$A$49,VLOOKUP($A114,'PVC SCH80 Flange'!$A$8:$M$48,9,FALSE),
IF($A114&lt;'PVC SCH80 LD Flange'!$A$17,VLOOKUP($A114,'PVC SCH80 LD Flange'!$A$8:$M$16,9,FALSE),
IF($A114&lt;CPVC!$A$105,VLOOKUP($A114,CPVC!$A$9:$M$104,9,FALSE),
IF($A114&lt;InsertFittings!$A$185,VLOOKUP($A114,InsertFittings!$A$9:$M$184,9,FALSE),
IF($A114&lt;Valves!$A$92,VLOOKUP($A114,Valves!$A$9:$Q$91,13,FALSE),
IF($A114&lt;SDR35SW!$A$133,VLOOKUP($A114,SDR35SW!$A$9:$M$132,9,FALSE),
IF($A114&lt;SDR35G!$A$151,VLOOKUP($A114,SDR35G!$A$9:$M$150,9,FALSE),                                                                                                                                                                                                                                                          IF($A114&lt;SDR26G!$A$67,VLOOKUP($A114,SDR26G!$A$9:$N$66,10,FALSE),                                                                                                                                                                                                                                                       IF($A114&lt;Cements!$A$95,VLOOKUP($A114,Cements!$A$8:$Q$94,13,FALSE),
IF($A114&lt;ValveBox!$A$124,VLOOKUP($A114,ValveBox!$A$9:$O$123,11,FALSE),
IF($A114&lt;'ValveBox Components'!$A$142,VLOOKUP($A114,'ValveBox Components'!$A$9:$N$141,10,FALSE),
IF($A114&lt;Drainage!$A$69,VLOOKUP($A114,Drainage!$A$8:$M$68,9,FALSE),                                                                                                                                                                                                                                                              IF($A114&lt;Nipples!$A$82,VLOOKUP($A114,Nipples!$A$9:$Q$81,13,FALSE),
IF($A114&lt;Manifold!$A$33,VLOOKUP($A114,Manifold!$A$9:$M$32,9,FALSE),
IF($A114&lt;FlexibleRepairCouplings!$A$12,VLOOKUP($A114,FlexibleRepairCouplings!$A$9:$M$11,9,FALSE),
IF($A114&lt;DuraFix!$A$15,VLOOKUP($A114,DuraFix!$A$9:$M$14,9,FALSE),                                                                                                                                                                                                                                                          IF($A114&lt;'Compression Fittings'!$A$16,VLOOKUP($A114,'Compression Fittings'!$A$8:$M$15,9,FALSE),
IF($A114&lt;'Hose Fittings'!$A$30,VLOOKUP($A114,'Hose Fittings'!$A$8:$M$29,9,FALSE),
IF($A114&lt;'Swing Joints'!$A$495,VLOOKUP($A114,'Swing Joints'!$A$9:$M$494,9,FALSE),
IF($A114&lt;'Swing Joints Components'!$A$135,VLOOKUP($A114,'Swing Joints Components'!$A$9:$M$134,9,FALSE),
IF($A114&lt;Nonstandard!$A$42,VLOOKUP($A114,Nonstandard!$A$31:$J$41,8,FALSE),"")))))))))))))))))))))))))))),"")</f>
        <v/>
      </c>
      <c r="G114" s="540" t="str">
        <f>IFERROR(IF($A114&lt;'DWV PVC'!$A$317,VLOOKUP($A114,'DWV PVC'!$A$9:$M$316,11,FALSE),
IF($A114&lt;'DWV ABS'!$A$117,VLOOKUP($A114,'DWV ABS'!$A$8:$M$116,11,FALSE),                                                                                                                                                                                                                                                     IF($A114&lt;'PVC SCH40'!$A$425,VLOOKUP($A114,'PVC SCH40'!$A$8:$M$424,11,FALSE),
IF($A114&lt;'PVC SCH40 LD'!$A$22,VLOOKUP($A114,'PVC SCH40 LD'!$A$8:$M$21,11,FALSE),
IF($A114&lt;'Pool &amp; SPA Sweep Elbows'!$A$12,VLOOKUP($A114,'Pool &amp; SPA Sweep Elbows'!$A$8:$M$11,11,FALSE),
IF($A114&lt;'Pool &amp; SPA Pipe Extender'!$A$11,VLOOKUP($A114,'Pool &amp; SPA Pipe Extender'!$A$8:$M$10,11,FALSE),
IF($A114&lt;'PVC SCH80'!$A$250,VLOOKUP($A114,'PVC SCH80'!$A$8:$M$249,11,FALSE),
IF($A114&lt;'PVC SCH80 Flange'!$A$49,VLOOKUP($A114,'PVC SCH80 Flange'!$A$8:$M$48,11,FALSE),
IF($A114&lt;'PVC SCH80 LD Flange'!$A$17,VLOOKUP($A114,'PVC SCH80 LD Flange'!$A$8:$M$16,11,FALSE),
IF($A114&lt;CPVC!$A$105,VLOOKUP($A114,CPVC!$A$9:$M$104,11,FALSE),
IF($A114&lt;InsertFittings!$A$185,VLOOKUP($A114,InsertFittings!$A$9:$M$184,11,FALSE),
IF($A114&lt;Valves!$A$92,VLOOKUP($A114,Valves!$A$9:$Q$91,15,FALSE),
IF($A114&lt;SDR35SW!$A$133,VLOOKUP($A114,SDR35SW!$A$9:$M$132,11,FALSE),
IF($A114&lt;SDR35G!$A$151,VLOOKUP($A114,SDR35G!$A$9:$M$150,11,FALSE),                                                                                                                                                                                                                                                          IF($A114&lt;SDR26G!$A$67,VLOOKUP($A114,SDR26G!$A$9:$N$66,12,FALSE),                                                                                                                                                                                                                                                       IF($A114&lt;Cements!$A$95,VLOOKUP($A114,Cements!$A$8:$Q$94,15,FALSE),
IF($A114&lt;ValveBox!$A$124,VLOOKUP($A114,ValveBox!$A$9:$O$123,13,FALSE),
IF($A114&lt;'ValveBox Components'!$A$142,VLOOKUP($A114,'ValveBox Components'!$A$9:$N$141,12,FALSE),
IF($A114&lt;Drainage!$A$69,VLOOKUP($A114,Drainage!$A$8:$M$68,11,FALSE),                                                                                                                                                                                                                                                           IF($A114&lt;Nipples!$A$82,VLOOKUP($A114,Nipples!$A$9:$Q$81,15,FALSE),
IF($A114&lt;Manifold!$A$33,VLOOKUP($A114,Manifold!$A$9:$M$32,11,FALSE),
IF($A114&lt;FlexibleRepairCouplings!$A$12,VLOOKUP($A114,FlexibleRepairCouplings!$A$9:$M$11,11,FALSE),
IF($A114&lt;DuraFix!$A$15,VLOOKUP($A114,DuraFix!$A$9:$M$14,11,FALSE),                                                                                                                                                                                                                                                            IF($A114&lt;'Compression Fittings'!$A$16,VLOOKUP($A114,'Compression Fittings'!$A$8:$M$15,11,FALSE),
IF($A114&lt;'Hose Fittings'!$A$30,VLOOKUP($A114,'Hose Fittings'!$A$8:$M$29,11,FALSE),
IF($A114&lt;'Swing Joints'!$A$495,VLOOKUP($A114,'Swing Joints'!$A$9:$M$494,11,FALSE),
IF($A114&lt;'Swing Joints Components'!$A$135,VLOOKUP($A114,'Swing Joints Components'!$A$9:$M$134,11,FALSE),
IF($A114&lt;Nonstandard!$A$42,VLOOKUP($A114,Nonstandard!$A$31:$J$41,10,FALSE),"")))))))))))))))))))))))))))),"")</f>
        <v/>
      </c>
      <c r="H114" s="620" t="str">
        <f>IFERROR(IF($A114&lt;'DWV PVC'!$A$317,VLOOKUP($A114,'DWV PVC'!$A$9:$M$316,7,FALSE),
IF($A114&lt;'DWV ABS'!$A$117,VLOOKUP($A114,'DWV ABS'!$A$8:$M$116,11,FALSE),                                                                                                                                                                                                                                                     IF($A114&lt;'PVC SCH40'!$A$425,VLOOKUP($A114,'PVC SCH40'!$A$8:$M$424,7,FALSE),
IF($A114&lt;'PVC SCH40 LD'!$A$22,VLOOKUP($A114,'PVC SCH40 LD'!$A$8:$M$21,7,FALSE),
IF($A114&lt;'Pool &amp; SPA Sweep Elbows'!$A$12,VLOOKUP($A114,'Pool &amp; SPA Sweep Elbows'!$A$8:$M$11,7,FALSE),
IF($A114&lt;'Pool &amp; SPA Pipe Extender'!$A$11,VLOOKUP($A114,'Pool &amp; SPA Pipe Extender'!$A$8:$M$10,7,FALSE),
IF($A114&lt;'PVC SCH80'!$A$250,VLOOKUP($A114,'PVC SCH80'!$A$8:$M$249,7,FALSE),
IF($A114&lt;'PVC SCH80 Flange'!$A$49,VLOOKUP($A114,'PVC SCH80 Flange'!$A$8:$M$48,7,FALSE),
IF($A114&lt;'PVC SCH80 LD Flange'!$A$17,VLOOKUP($A114,'PVC SCH80 LD Flange'!$A$8:$M$16,7,FALSE),
IF($A114&lt;CPVC!$A$105,VLOOKUP($A114,CPVC!$A$9:$M$104,7,FALSE),
IF($A114&lt;InsertFittings!$A$185,VLOOKUP($A114,InsertFittings!$A$9:$M$184,7,FALSE),
IF($A114&lt;Valves!$A$92,VLOOKUP($A114,Valves!$A$9:$Q$91,11,FALSE),
IF($A114&lt;SDR35SW!$A$133,VLOOKUP($A114,SDR35SW!$A$9:$M$132,7,FALSE),
IF($A114&lt;SDR35G!$A$151,VLOOKUP($A114,SDR35G!$A$9:$M$150,7,FALSE),                                                                                                                                                                                                                                                       IF($A114&lt;SDR26G!$A$67,VLOOKUP($A114,SDR26G!$A$9:$N$66,8,FALSE),                                                                                                                                                                                                                                                     IF($A114&lt;Cements!$A$95,VLOOKUP($A114,Cements!$A$8:$Q$94,11,FALSE),
IF($A114&lt;ValveBox!$A$124,VLOOKUP($A114,ValveBox!$A$9:$O$123,10,FALSE),
IF($A114&lt;'ValveBox Components'!$A$142,VLOOKUP($A114,'ValveBox Components'!$A$9:$N$141,9,FALSE),
IF($A114&lt;Drainage!$A$69,VLOOKUP($A114,Drainage!$A$8:$M$68,7,FALSE),                                                                                                                                                                                                                                                          IF($A114&lt;Nipples!$A$82,VLOOKUP($A114,Nipples!$A$9:$Q$81,11,FALSE),
IF($A114&lt;Manifold!$A$33,VLOOKUP($A114,Manifold!$A$9:$M$32,7,FALSE),
IF($A114&lt;FlexibleRepairCouplings!$A$12,VLOOKUP($A114,FlexibleRepairCouplings!$A$9:$M$11,7,FALSE),
IF($A114&lt;DuraFix!$A$15,VLOOKUP($A114,DuraFix!$A$9:$M$14,7,FALSE),                                                                                                                                                                                                                                                           IF($A114&lt;'Compression Fittings'!$A$16,VLOOKUP($A114,'Compression Fittings'!$A$8:$M$15,7,FALSE),
IF($A114&lt;'Hose Fittings'!$A$30,VLOOKUP($A114,'Hose Fittings'!$A$8:$M$29,7,FALSE),
IF($A114&lt;'Swing Joints'!$A$495,VLOOKUP($A114,'Swing Joints'!$A$9:$M$494,7,FALSE),
IF($A114&lt;'Swing Joints Components'!$A$135,VLOOKUP($A114,'Swing Joints Components'!$A$9:$M$134,7,FALSE),
IF($A114&lt;Nonstandard!$A$42,VLOOKUP($A114,Nonstandard!$A$31:$J$41,10,FALSE),"")))))))))))))))))))))))))))),"")</f>
        <v/>
      </c>
      <c r="I114" s="621"/>
      <c r="J114" s="541" t="str">
        <f t="shared" si="3"/>
        <v/>
      </c>
      <c r="K114" s="599" t="str">
        <f>IFERROR(IF($A114&lt;'DWV PVC'!$A$317,VLOOKUP($A114,'DWV PVC'!$A$9:$M$316,10,FALSE),
IF($A114&lt;'DWV ABS'!$A$117,VLOOKUP($A114,'DWV ABS'!$A$8:$M$116,10,FALSE),
IF($A114&lt;'PVC SCH40'!$A$425,VLOOKUP($A114,'PVC SCH40'!$A$8:$M$424,10,FALSE),
IF($A114&lt;'PVC SCH40 LD'!$A$22,VLOOKUP($A114,'PVC SCH40 LD'!$A$8:$M$21,10,FALSE),
IF($A114&lt;'Pool &amp; SPA Sweep Elbows'!$A$12,VLOOKUP($A114,'Pool &amp; SPA Sweep Elbows'!$A$8:$M$11,10,FALSE),
IF($A114&lt;'Pool &amp; SPA Pipe Extender'!$A$11,VLOOKUP($A114,'Pool &amp; SPA Pipe Extender'!$A$8:$M$10,10,FALSE),
IF($A114&lt;'PVC SCH80'!$A$250,VLOOKUP($A114,'PVC SCH80'!$A$8:$M$249,10,FALSE),
IF($A114&lt;'PVC SCH80 Flange'!$A$49,VLOOKUP($A114,'PVC SCH80 Flange'!$A$8:$M$48,10,FALSE),
IF($A114&lt;'PVC SCH80 LD Flange'!$A$17,VLOOKUP($A114,'PVC SCH80 LD Flange'!$A$8:$M$16,10,FALSE),
IF($A114&lt;CPVC!$A$105,VLOOKUP($A114,CPVC!$A$9:$M$104,10,FALSE),
IF($A114&lt;InsertFittings!$A$185,VLOOKUP($A114,InsertFittings!$A$9:$M$184,10,FALSE),
IF($A114&lt;Valves!$A$92,VLOOKUP($A114,Valves!$A$9:$Q$91,14,FALSE),
IF($A114&lt;SDR35SW!$A$133,VLOOKUP($A114,SDR35SW!$A$9:$M$132,10,FALSE),
IF($A114&lt;SDR35G!$A$151,VLOOKUP($A114,SDR35G!$A$9:$M$150,10,FALSE),
IF($A114&lt;SDR26G!$A$67,VLOOKUP($A114,SDR26G!$A$9:$N$66,11,FALSE),
IF($A114&lt;Cements!$A$95,VLOOKUP($A114,Cements!$A$8:$Q$94,14,FALSE),
IF($A114&lt;ValveBox!$A$124,VLOOKUP($A114,ValveBox!$A$9:$O$123,12,FALSE),
IF($A114&lt;'ValveBox Components'!$A$142,VLOOKUP($A114,'ValveBox Components'!$A$9:$N$141,11,FALSE),
IF($A114&lt;Drainage!$A$69,VLOOKUP($A114,Drainage!$A$8:$M$68,10,FALSE),
IF($A114&lt;Nipples!$A$82,VLOOKUP($A114,Nipples!$A$9:$Q$81,14,FALSE),
IF($A114&lt;Manifold!$A$33,VLOOKUP($A114,Manifold!$A$9:$M$32,10,FALSE),
IF($A114&lt;FlexibleRepairCouplings!$A$12,VLOOKUP($A114,FlexibleRepairCouplings!$A$9:$M$11,10,FALSE),
IF($A114&lt;DuraFix!$A$15,VLOOKUP($A114,DuraFix!$A$9:$M$14,10,FALSE),
IF($A114&lt;'Compression Fittings'!$A$16,VLOOKUP($A114,'Compression Fittings'!$A$8:$M$15,10,FALSE),
IF($A114&lt;'Hose Fittings'!$A$30,VLOOKUP($A114,'Hose Fittings'!$A$8:$M$29,10,FALSE),
IF($A114&lt;'Swing Joints'!$A$495,VLOOKUP($A114,'Swing Joints'!$A$9:$M$494,10,FALSE),
IF($A114&lt;'Swing Joints Components'!$A$135,VLOOKUP($A114,'Swing Joints Components'!$A$9:$M$134,10,FALSE),
IF($A114&lt;Nonstandard!$A$42,VLOOKUP($A114,Nonstandard!$A$31:$J$41,10,FALSE),"")))))))))))))))))))))))))))),"")</f>
        <v/>
      </c>
      <c r="L114" s="539" t="str">
        <f t="shared" si="2"/>
        <v>-</v>
      </c>
      <c r="M114" s="542"/>
    </row>
    <row r="115" spans="1:13" ht="15.6">
      <c r="A115" s="312">
        <v>83</v>
      </c>
      <c r="B115" s="312" t="str">
        <f>IFERROR(IF($A115&lt;'DWV PVC'!$A$317,VLOOKUP($A115,'DWV PVC'!$A$9:$M$316,4,FALSE),
IF($A115&lt;'DWV ABS'!$A$117,VLOOKUP($A115,'DWV ABS'!$A$8:$M$116,4,FALSE),
IF($A115&lt;'PVC SCH40'!$A$425,VLOOKUP($A115,'PVC SCH40'!$A$8:$M$424,4,FALSE),
IF($A115&lt;'PVC SCH40 LD'!$A$22,VLOOKUP($A115,'PVC SCH40 LD'!$A$8:$M$21,4,FALSE),
IF($A115&lt;'Pool &amp; SPA Sweep Elbows'!$A$12,VLOOKUP($A115,'Pool &amp; SPA Sweep Elbows'!$A$8:$M$11,4,FALSE),
IF($A115&lt;'Pool &amp; SPA Pipe Extender'!$A$11,VLOOKUP($A115,'Pool &amp; SPA Pipe Extender'!$A$8:$M$10,4,FALSE),
IF($A115&lt;'PVC SCH80'!$A$250,VLOOKUP($A115,'PVC SCH80'!$A$8:$M$249,4,FALSE),
IF($A115&lt;'PVC SCH80 Flange'!$A$49,VLOOKUP($A115,'PVC SCH80 Flange'!$A$8:$M$48,4,FALSE),
IF($A115&lt;'PVC SCH80 LD Flange'!$A$17,VLOOKUP($A115,'PVC SCH80 LD Flange'!$A$8:$M$16,4,FALSE),
IF($A115&lt;CPVC!$A$105,VLOOKUP($A115,CPVC!$A$9:$M$104,4,FALSE),
IF($A115&lt;InsertFittings!$A$185,VLOOKUP($A115,InsertFittings!$A$9:$M$184,4,FALSE),
IF($A115&lt;Valves!$A$92,VLOOKUP($A115,Valves!$A$9:$Q$91,4,FALSE),
IF($A115&lt;SDR35SW!$A$133,VLOOKUP($A115,SDR35SW!$A$9:$M$132,4,FALSE),
IF($A115&lt;SDR35G!$A$151,VLOOKUP($A115,SDR35G!$A$9:$M$150,4,FALSE),
IF($A115&lt;SDR26G!$A$67,VLOOKUP($A115,SDR26G!$A$9:$N$66,5,FALSE),
IF($A115&lt;Cements!$A$95,VLOOKUP($A115,Cements!$A$8:$Q$94,4,FALSE),
IF($A115&lt;ValveBox!$A$124,VLOOKUP($A115,ValveBox!$A$9:$O$123,4,FALSE),
IF($A115&lt;'ValveBox Components'!$A$142,VLOOKUP($A115,'ValveBox Components'!$A$9:$N$141,4,FALSE),
IF($A115&lt;Drainage!$A$69,VLOOKUP($A115,Drainage!$A$8:$M$68,4,FALSE),
IF($A115&lt;Nipples!$A$82,VLOOKUP($A115,Nipples!$A$9:$Q$81,4,FALSE),
IF($A115&lt;Manifold!$A$33,VLOOKUP($A115,Manifold!$A$9:$M$32,4,FALSE),
IF($A115&lt;FlexibleRepairCouplings!$A$12,VLOOKUP($A115,FlexibleRepairCouplings!$A$9:$M$11,4,FALSE),
IF($A115&lt;DuraFix!$A$15,VLOOKUP($A115,DuraFix!$A$9:$M$14,4,FALSE),
IF($A115&lt;'Compression Fittings'!$A$16,VLOOKUP($A115,'Compression Fittings'!$A$8:$M$15,4,FALSE),
IF($A115&lt;'Hose Fittings'!$A$30,VLOOKUP($A115,'Hose Fittings'!$A$8:$M$29,4,FALSE),
IF($A115&lt;'Swing Joints'!$A$495,VLOOKUP($A115,'Swing Joints'!$A$9:$M$494,4,FALSE),
IF($A115&lt;'Swing Joints Components'!$A$135,VLOOKUP($A115,'Swing Joints Components'!$A$9:$M$134,4,FALSE),
IF($A115&lt;Nonstandard!$A$42,VLOOKUP($A115,Nonstandard!$A$31:$J$41,5,FALSE),"")))))))))))))))))))))))))))),"")</f>
        <v/>
      </c>
      <c r="C115" s="312" t="str">
        <f>IFERROR(IF($A115&lt;'DWV PVC'!$A$317,VLOOKUP($A115,'DWV PVC'!$A$9:$M$316,5,FALSE),
IF($A115&lt;'DWV ABS'!$A$117,VLOOKUP($A115,'DWV ABS'!$A$8:$M$116,5,FALSE),
IF($A115&lt;'PVC SCH40'!$A$425,VLOOKUP($A115,'PVC SCH40'!$A$8:$M$424,5,FALSE),
IF($A115&lt;'PVC SCH40 LD'!$A$22,VLOOKUP($A115,'PVC SCH40 LD'!$A$8:$M$21,5,FALSE),
IF($A115&lt;'Pool &amp; SPA Sweep Elbows'!$A$12,VLOOKUP($A115,'Pool &amp; SPA Sweep Elbows'!$A$8:$M$11,5,FALSE),
IF($A115&lt;'Pool &amp; SPA Pipe Extender'!$A$11,VLOOKUP($A115,'Pool &amp; SPA Pipe Extender'!$A$8:$M$10,5,FALSE),
IF($A115&lt;'PVC SCH80'!$A$250,VLOOKUP($A115,'PVC SCH80'!$A$8:$M$249,5,FALSE),
IF($A115&lt;'PVC SCH80 Flange'!$A$49,VLOOKUP($A115,'PVC SCH80 Flange'!$A$8:$M$48,5,FALSE),
IF($A115&lt;'PVC SCH80 LD Flange'!$A$17,VLOOKUP($A115,'PVC SCH80 LD Flange'!$A$8:$M$16,5,FALSE),
IF($A115&lt;CPVC!$A$105,VLOOKUP($A115,CPVC!$A$9:$M$104,5,FALSE),
IF($A115&lt;InsertFittings!$A$185,VLOOKUP($A115,InsertFittings!$A$9:$M$184,5,FALSE),
IF($A115&lt;Valves!$A$92,VLOOKUP($A115,Valves!$A$9:$Q$91,5,FALSE),
IF($A115&lt;SDR35SW!$A$133,VLOOKUP($A115,SDR35SW!$A$9:$M$132,5,FALSE),
IF($A115&lt;SDR35G!$A$151,VLOOKUP($A115,SDR35G!$A$9:$M$150,5,FALSE),
IF($A115&lt;SDR26G!$A$67,VLOOKUP($A115,SDR26G!$A$9:$N$66,6,FALSE),
IF($A115&lt;Cements!$A$95,VLOOKUP($A115,Cements!$A$8:$Q$94,5,FALSE),
IF($A115&lt;ValveBox!$A$124,VLOOKUP($A115,ValveBox!$A$9:$O$123,5,FALSE),
IF($A115&lt;'ValveBox Components'!$A$142,VLOOKUP($A115,'ValveBox Components'!$A$9:$N$141,5,FALSE),
IF($A115&lt;Drainage!$A$69,VLOOKUP($A115,Drainage!$A$8:$M$68,5,FALSE),
IF($A115&lt;Nipples!$A$82,VLOOKUP($A115,Nipples!$A$9:$Q$81,5,FALSE),
IF($A115&lt;Manifold!$A$33,VLOOKUP($A115,Manifold!$A$9:$M$32,5,FALSE),
IF($A115&lt;FlexibleRepairCouplings!$A$12,VLOOKUP($A115,FlexibleRepairCouplings!$A$9:$M$11,5,FALSE),
IF($A115&lt;DuraFix!$A$15,VLOOKUP($A115,DuraFix!$A$9:$M$14,5,FALSE),
IF($A115&lt;'Compression Fittings'!$A$16,VLOOKUP($A115,'Compression Fittings'!$A$8:$M$15,5,FALSE),
IF($A115&lt;'Hose Fittings'!$A$30,VLOOKUP($A115,'Hose Fittings'!$A$8:$M$29,5,FALSE),
IF($A115&lt;'Swing Joints'!$A$495,VLOOKUP($A115,'Swing Joints'!$A$9:$M$494,5,FALSE),
IF($A115&lt;'Swing Joints Components'!$A$135,VLOOKUP($A115,'Swing Joints Components'!$A$9:$M$134,5,FALSE),
IF($A115&lt;Nonstandard!$A$42,VLOOKUP($A115,Nonstandard!$A$31:$J$41,6,FALSE),"")))))))))))))))))))))))))))),"")</f>
        <v/>
      </c>
      <c r="D115" s="534" t="str">
        <f>IFERROR(IF($A115&lt;'DWV PVC'!$A$317,VLOOKUP($A115,'DWV PVC'!$A$9:$M$316,6,FALSE),
IF($A115&lt;'DWV ABS'!$A$117,VLOOKUP($A115,'DWV ABS'!$A$8:$M$116,6,FALSE),
IF($A115&lt;'PVC SCH40'!$A$425,VLOOKUP($A115,'PVC SCH40'!$A$8:$M$424,6,FALSE),
IF($A115&lt;'PVC SCH40 LD'!$A$22,VLOOKUP($A115,'PVC SCH40 LD'!$A$8:$M$21,6,FALSE),
IF($A115&lt;'Pool &amp; SPA Sweep Elbows'!$A$12,VLOOKUP($A115,'Pool &amp; SPA Sweep Elbows'!$A$8:$M$11,6,FALSE),
IF($A115&lt;'Pool &amp; SPA Pipe Extender'!$A$11,VLOOKUP($A115,'Pool &amp; SPA Pipe Extender'!$A$8:$M$10,6,FALSE),
IF($A115&lt;'PVC SCH80'!$A$250,VLOOKUP($A115,'PVC SCH80'!$A$8:$M$249,6,FALSE),
IF($A115&lt;'PVC SCH80 Flange'!$A$49,VLOOKUP($A115,'PVC SCH80 Flange'!$A$8:$M$48,6,FALSE),
IF($A115&lt;'PVC SCH80 LD Flange'!$A$17,VLOOKUP($A115,'PVC SCH80 LD Flange'!$A$8:$M$16,6,FALSE),
IF($A115&lt;CPVC!$A$105,VLOOKUP($A115,CPVC!$A$9:$M$104,6,FALSE),
IF($A115&lt;InsertFittings!$A$185,VLOOKUP($A115,InsertFittings!$A$9:$M$184,6,FALSE),
IF($A115&lt;Valves!$A$92,VLOOKUP($A115,Valves!$A$9:$Q$91,6,FALSE),
IF($A115&lt;SDR35SW!$A$133,VLOOKUP($A115,SDR35SW!$A$9:$M$132,6,FALSE),
IF($A115&lt;SDR35G!$A$151,VLOOKUP($A115,SDR35G!$A$9:$M$150,6,FALSE),
IF($A115&lt;SDR26G!$A$67,VLOOKUP($A115,SDR26G!$A$9:$N$66,7,FALSE),
IF($A115&lt;Cements!$A$95,VLOOKUP($A115,Cements!$A$8:$Q$94,6,FALSE),
IF($A115&lt;ValveBox!$A$124,VLOOKUP($A115,ValveBox!$A$9:$O$123,6,FALSE),
IF($A115&lt;'ValveBox Components'!$A$142,VLOOKUP($A115,'ValveBox Components'!$A$9:$N$141,6,FALSE),
IF($A115&lt;Drainage!$A$69,VLOOKUP($A115,Drainage!$A$8:$M$68,6,FALSE),
IF($A115&lt;Nipples!$A$82,VLOOKUP($A115,Nipples!$A$9:$Q$81,6,FALSE),
IF($A115&lt;Manifold!$A$33,VLOOKUP($A115,Manifold!$A$9:$M$32,6,FALSE),
IF($A115&lt;FlexibleRepairCouplings!$A$12,VLOOKUP($A115,FlexibleRepairCouplings!$A$9:$M$11,6,FALSE),
IF($A115&lt;DuraFix!$A$15,VLOOKUP($A115,DuraFix!$A$9:$M$14,6,FALSE),
IF($A115&lt;'Compression Fittings'!$A$16,VLOOKUP($A115,'Compression Fittings'!$A$8:$M$15,6,FALSE),
IF($A115&lt;'Hose Fittings'!$A$30,VLOOKUP($A115,'Hose Fittings'!$A$8:$M$29,6,FALSE),
IF($A115&lt;'Swing Joints'!$A$495,VLOOKUP($A115,'Swing Joints'!$A$9:$M$494,6,FALSE),
IF($A115&lt;'Swing Joints Components'!$A$135,VLOOKUP($A115,'Swing Joints Components'!$A$9:$M$134,6,FALSE),
IF($A115&lt;Nonstandard!$A$42,VLOOKUP($A115,Nonstandard!$A$31:$J$41,7,FALSE),"")))))))))))))))))))))))))))),"")</f>
        <v/>
      </c>
      <c r="E115" s="316"/>
      <c r="F115" s="314" t="str">
        <f>IFERROR(IF($A115&lt;'DWV PVC'!$A$317,VLOOKUP($A115,'DWV PVC'!$A$9:$M$316,9,FALSE),
IF($A115&lt;'DWV ABS'!$A$117,VLOOKUP($A115,'DWV ABS'!$A$8:$M$116,9,FALSE),                                                                                                                                                                                                                                                     IF($A115&lt;'PVC SCH40'!$A$425,VLOOKUP($A115,'PVC SCH40'!$A$8:$M$424,9,FALSE),
IF($A115&lt;'PVC SCH40 LD'!$A$22,VLOOKUP($A115,'PVC SCH40 LD'!$A$8:$M$21,9,FALSE),
IF($A115&lt;'Pool &amp; SPA Sweep Elbows'!$A$12,VLOOKUP($A115,'Pool &amp; SPA Sweep Elbows'!$A$8:$M$11,9,FALSE),
IF($A115&lt;'Pool &amp; SPA Pipe Extender'!$A$11,VLOOKUP($A115,'Pool &amp; SPA Pipe Extender'!$A$8:$M$10,9,FALSE),
IF($A115&lt;'PVC SCH80'!$A$250,VLOOKUP($A115,'PVC SCH80'!$A$8:$M$249,9,FALSE),
IF($A115&lt;'PVC SCH80 Flange'!$A$49,VLOOKUP($A115,'PVC SCH80 Flange'!$A$8:$M$48,9,FALSE),
IF($A115&lt;'PVC SCH80 LD Flange'!$A$17,VLOOKUP($A115,'PVC SCH80 LD Flange'!$A$8:$M$16,9,FALSE),
IF($A115&lt;CPVC!$A$105,VLOOKUP($A115,CPVC!$A$9:$M$104,9,FALSE),
IF($A115&lt;InsertFittings!$A$185,VLOOKUP($A115,InsertFittings!$A$9:$M$184,9,FALSE),
IF($A115&lt;Valves!$A$92,VLOOKUP($A115,Valves!$A$9:$Q$91,13,FALSE),
IF($A115&lt;SDR35SW!$A$133,VLOOKUP($A115,SDR35SW!$A$9:$M$132,9,FALSE),
IF($A115&lt;SDR35G!$A$151,VLOOKUP($A115,SDR35G!$A$9:$M$150,9,FALSE),                                                                                                                                                                                                                                                          IF($A115&lt;SDR26G!$A$67,VLOOKUP($A115,SDR26G!$A$9:$N$66,10,FALSE),                                                                                                                                                                                                                                                       IF($A115&lt;Cements!$A$95,VLOOKUP($A115,Cements!$A$8:$Q$94,13,FALSE),
IF($A115&lt;ValveBox!$A$124,VLOOKUP($A115,ValveBox!$A$9:$O$123,11,FALSE),
IF($A115&lt;'ValveBox Components'!$A$142,VLOOKUP($A115,'ValveBox Components'!$A$9:$N$141,10,FALSE),
IF($A115&lt;Drainage!$A$69,VLOOKUP($A115,Drainage!$A$8:$M$68,9,FALSE),                                                                                                                                                                                                                                                              IF($A115&lt;Nipples!$A$82,VLOOKUP($A115,Nipples!$A$9:$Q$81,13,FALSE),
IF($A115&lt;Manifold!$A$33,VLOOKUP($A115,Manifold!$A$9:$M$32,9,FALSE),
IF($A115&lt;FlexibleRepairCouplings!$A$12,VLOOKUP($A115,FlexibleRepairCouplings!$A$9:$M$11,9,FALSE),
IF($A115&lt;DuraFix!$A$15,VLOOKUP($A115,DuraFix!$A$9:$M$14,9,FALSE),                                                                                                                                                                                                                                                          IF($A115&lt;'Compression Fittings'!$A$16,VLOOKUP($A115,'Compression Fittings'!$A$8:$M$15,9,FALSE),
IF($A115&lt;'Hose Fittings'!$A$30,VLOOKUP($A115,'Hose Fittings'!$A$8:$M$29,9,FALSE),
IF($A115&lt;'Swing Joints'!$A$495,VLOOKUP($A115,'Swing Joints'!$A$9:$M$494,9,FALSE),
IF($A115&lt;'Swing Joints Components'!$A$135,VLOOKUP($A115,'Swing Joints Components'!$A$9:$M$134,9,FALSE),
IF($A115&lt;Nonstandard!$A$42,VLOOKUP($A115,Nonstandard!$A$31:$J$41,8,FALSE),"")))))))))))))))))))))))))))),"")</f>
        <v/>
      </c>
      <c r="G115" s="533" t="str">
        <f>IFERROR(IF($A115&lt;'DWV PVC'!$A$317,VLOOKUP($A115,'DWV PVC'!$A$9:$M$316,11,FALSE),
IF($A115&lt;'DWV ABS'!$A$117,VLOOKUP($A115,'DWV ABS'!$A$8:$M$116,11,FALSE),                                                                                                                                                                                                                                                     IF($A115&lt;'PVC SCH40'!$A$425,VLOOKUP($A115,'PVC SCH40'!$A$8:$M$424,11,FALSE),
IF($A115&lt;'PVC SCH40 LD'!$A$22,VLOOKUP($A115,'PVC SCH40 LD'!$A$8:$M$21,11,FALSE),
IF($A115&lt;'Pool &amp; SPA Sweep Elbows'!$A$12,VLOOKUP($A115,'Pool &amp; SPA Sweep Elbows'!$A$8:$M$11,11,FALSE),
IF($A115&lt;'Pool &amp; SPA Pipe Extender'!$A$11,VLOOKUP($A115,'Pool &amp; SPA Pipe Extender'!$A$8:$M$10,11,FALSE),
IF($A115&lt;'PVC SCH80'!$A$250,VLOOKUP($A115,'PVC SCH80'!$A$8:$M$249,11,FALSE),
IF($A115&lt;'PVC SCH80 Flange'!$A$49,VLOOKUP($A115,'PVC SCH80 Flange'!$A$8:$M$48,11,FALSE),
IF($A115&lt;'PVC SCH80 LD Flange'!$A$17,VLOOKUP($A115,'PVC SCH80 LD Flange'!$A$8:$M$16,11,FALSE),
IF($A115&lt;CPVC!$A$105,VLOOKUP($A115,CPVC!$A$9:$M$104,11,FALSE),
IF($A115&lt;InsertFittings!$A$185,VLOOKUP($A115,InsertFittings!$A$9:$M$184,11,FALSE),
IF($A115&lt;Valves!$A$92,VLOOKUP($A115,Valves!$A$9:$Q$91,15,FALSE),
IF($A115&lt;SDR35SW!$A$133,VLOOKUP($A115,SDR35SW!$A$9:$M$132,11,FALSE),
IF($A115&lt;SDR35G!$A$151,VLOOKUP($A115,SDR35G!$A$9:$M$150,11,FALSE),                                                                                                                                                                                                                                                          IF($A115&lt;SDR26G!$A$67,VLOOKUP($A115,SDR26G!$A$9:$N$66,12,FALSE),                                                                                                                                                                                                                                                       IF($A115&lt;Cements!$A$95,VLOOKUP($A115,Cements!$A$8:$Q$94,15,FALSE),
IF($A115&lt;ValveBox!$A$124,VLOOKUP($A115,ValveBox!$A$9:$O$123,13,FALSE),
IF($A115&lt;'ValveBox Components'!$A$142,VLOOKUP($A115,'ValveBox Components'!$A$9:$N$141,12,FALSE),
IF($A115&lt;Drainage!$A$69,VLOOKUP($A115,Drainage!$A$8:$M$68,11,FALSE),                                                                                                                                                                                                                                                           IF($A115&lt;Nipples!$A$82,VLOOKUP($A115,Nipples!$A$9:$Q$81,15,FALSE),
IF($A115&lt;Manifold!$A$33,VLOOKUP($A115,Manifold!$A$9:$M$32,11,FALSE),
IF($A115&lt;FlexibleRepairCouplings!$A$12,VLOOKUP($A115,FlexibleRepairCouplings!$A$9:$M$11,11,FALSE),
IF($A115&lt;DuraFix!$A$15,VLOOKUP($A115,DuraFix!$A$9:$M$14,11,FALSE),                                                                                                                                                                                                                                                            IF($A115&lt;'Compression Fittings'!$A$16,VLOOKUP($A115,'Compression Fittings'!$A$8:$M$15,11,FALSE),
IF($A115&lt;'Hose Fittings'!$A$30,VLOOKUP($A115,'Hose Fittings'!$A$8:$M$29,11,FALSE),
IF($A115&lt;'Swing Joints'!$A$495,VLOOKUP($A115,'Swing Joints'!$A$9:$M$494,11,FALSE),
IF($A115&lt;'Swing Joints Components'!$A$135,VLOOKUP($A115,'Swing Joints Components'!$A$9:$M$134,11,FALSE),
IF($A115&lt;Nonstandard!$A$42,VLOOKUP($A115,Nonstandard!$A$31:$J$41,10,FALSE),"")))))))))))))))))))))))))))),"")</f>
        <v/>
      </c>
      <c r="H115" s="618" t="str">
        <f>IFERROR(IF($A115&lt;'DWV PVC'!$A$317,VLOOKUP($A115,'DWV PVC'!$A$9:$M$316,7,FALSE),
IF($A115&lt;'DWV ABS'!$A$117,VLOOKUP($A115,'DWV ABS'!$A$8:$M$116,11,FALSE),                                                                                                                                                                                                                                                     IF($A115&lt;'PVC SCH40'!$A$425,VLOOKUP($A115,'PVC SCH40'!$A$8:$M$424,7,FALSE),
IF($A115&lt;'PVC SCH40 LD'!$A$22,VLOOKUP($A115,'PVC SCH40 LD'!$A$8:$M$21,7,FALSE),
IF($A115&lt;'Pool &amp; SPA Sweep Elbows'!$A$12,VLOOKUP($A115,'Pool &amp; SPA Sweep Elbows'!$A$8:$M$11,7,FALSE),
IF($A115&lt;'Pool &amp; SPA Pipe Extender'!$A$11,VLOOKUP($A115,'Pool &amp; SPA Pipe Extender'!$A$8:$M$10,7,FALSE),
IF($A115&lt;'PVC SCH80'!$A$250,VLOOKUP($A115,'PVC SCH80'!$A$8:$M$249,7,FALSE),
IF($A115&lt;'PVC SCH80 Flange'!$A$49,VLOOKUP($A115,'PVC SCH80 Flange'!$A$8:$M$48,7,FALSE),
IF($A115&lt;'PVC SCH80 LD Flange'!$A$17,VLOOKUP($A115,'PVC SCH80 LD Flange'!$A$8:$M$16,7,FALSE),
IF($A115&lt;CPVC!$A$105,VLOOKUP($A115,CPVC!$A$9:$M$104,7,FALSE),
IF($A115&lt;InsertFittings!$A$185,VLOOKUP($A115,InsertFittings!$A$9:$M$184,7,FALSE),
IF($A115&lt;Valves!$A$92,VLOOKUP($A115,Valves!$A$9:$Q$91,11,FALSE),
IF($A115&lt;SDR35SW!$A$133,VLOOKUP($A115,SDR35SW!$A$9:$M$132,7,FALSE),
IF($A115&lt;SDR35G!$A$151,VLOOKUP($A115,SDR35G!$A$9:$M$150,7,FALSE),                                                                                                                                                                                                                                                       IF($A115&lt;SDR26G!$A$67,VLOOKUP($A115,SDR26G!$A$9:$N$66,8,FALSE),                                                                                                                                                                                                                                                     IF($A115&lt;Cements!$A$95,VLOOKUP($A115,Cements!$A$8:$Q$94,11,FALSE),
IF($A115&lt;ValveBox!$A$124,VLOOKUP($A115,ValveBox!$A$9:$O$123,10,FALSE),
IF($A115&lt;'ValveBox Components'!$A$142,VLOOKUP($A115,'ValveBox Components'!$A$9:$N$141,9,FALSE),
IF($A115&lt;Drainage!$A$69,VLOOKUP($A115,Drainage!$A$8:$M$68,7,FALSE),                                                                                                                                                                                                                                                          IF($A115&lt;Nipples!$A$82,VLOOKUP($A115,Nipples!$A$9:$Q$81,11,FALSE),
IF($A115&lt;Manifold!$A$33,VLOOKUP($A115,Manifold!$A$9:$M$32,7,FALSE),
IF($A115&lt;FlexibleRepairCouplings!$A$12,VLOOKUP($A115,FlexibleRepairCouplings!$A$9:$M$11,7,FALSE),
IF($A115&lt;DuraFix!$A$15,VLOOKUP($A115,DuraFix!$A$9:$M$14,7,FALSE),                                                                                                                                                                                                                                                           IF($A115&lt;'Compression Fittings'!$A$16,VLOOKUP($A115,'Compression Fittings'!$A$8:$M$15,7,FALSE),
IF($A115&lt;'Hose Fittings'!$A$30,VLOOKUP($A115,'Hose Fittings'!$A$8:$M$29,7,FALSE),
IF($A115&lt;'Swing Joints'!$A$495,VLOOKUP($A115,'Swing Joints'!$A$9:$M$494,7,FALSE),
IF($A115&lt;'Swing Joints Components'!$A$135,VLOOKUP($A115,'Swing Joints Components'!$A$9:$M$134,7,FALSE),
IF($A115&lt;Nonstandard!$A$42,VLOOKUP($A115,Nonstandard!$A$31:$J$41,10,FALSE),"")))))))))))))))))))))))))))),"")</f>
        <v/>
      </c>
      <c r="I115" s="619"/>
      <c r="J115" s="281" t="str">
        <f t="shared" si="3"/>
        <v/>
      </c>
      <c r="K115" s="313" t="str">
        <f>IFERROR(IF($A115&lt;'DWV PVC'!$A$317,VLOOKUP($A115,'DWV PVC'!$A$9:$M$316,10,FALSE),
IF($A115&lt;'DWV ABS'!$A$117,VLOOKUP($A115,'DWV ABS'!$A$8:$M$116,10,FALSE),
IF($A115&lt;'PVC SCH40'!$A$425,VLOOKUP($A115,'PVC SCH40'!$A$8:$M$424,10,FALSE),
IF($A115&lt;'PVC SCH40 LD'!$A$22,VLOOKUP($A115,'PVC SCH40 LD'!$A$8:$M$21,10,FALSE),
IF($A115&lt;'Pool &amp; SPA Sweep Elbows'!$A$12,VLOOKUP($A115,'Pool &amp; SPA Sweep Elbows'!$A$8:$M$11,10,FALSE),
IF($A115&lt;'Pool &amp; SPA Pipe Extender'!$A$11,VLOOKUP($A115,'Pool &amp; SPA Pipe Extender'!$A$8:$M$10,10,FALSE),
IF($A115&lt;'PVC SCH80'!$A$250,VLOOKUP($A115,'PVC SCH80'!$A$8:$M$249,10,FALSE),
IF($A115&lt;'PVC SCH80 Flange'!$A$49,VLOOKUP($A115,'PVC SCH80 Flange'!$A$8:$M$48,10,FALSE),
IF($A115&lt;'PVC SCH80 LD Flange'!$A$17,VLOOKUP($A115,'PVC SCH80 LD Flange'!$A$8:$M$16,10,FALSE),
IF($A115&lt;CPVC!$A$105,VLOOKUP($A115,CPVC!$A$9:$M$104,10,FALSE),
IF($A115&lt;InsertFittings!$A$185,VLOOKUP($A115,InsertFittings!$A$9:$M$184,10,FALSE),
IF($A115&lt;Valves!$A$92,VLOOKUP($A115,Valves!$A$9:$Q$91,14,FALSE),
IF($A115&lt;SDR35SW!$A$133,VLOOKUP($A115,SDR35SW!$A$9:$M$132,10,FALSE),
IF($A115&lt;SDR35G!$A$151,VLOOKUP($A115,SDR35G!$A$9:$M$150,10,FALSE),
IF($A115&lt;SDR26G!$A$67,VLOOKUP($A115,SDR26G!$A$9:$N$66,11,FALSE),
IF($A115&lt;Cements!$A$95,VLOOKUP($A115,Cements!$A$8:$Q$94,14,FALSE),
IF($A115&lt;ValveBox!$A$124,VLOOKUP($A115,ValveBox!$A$9:$O$123,12,FALSE),
IF($A115&lt;'ValveBox Components'!$A$142,VLOOKUP($A115,'ValveBox Components'!$A$9:$N$141,11,FALSE),
IF($A115&lt;Drainage!$A$69,VLOOKUP($A115,Drainage!$A$8:$M$68,10,FALSE),
IF($A115&lt;Nipples!$A$82,VLOOKUP($A115,Nipples!$A$9:$Q$81,14,FALSE),
IF($A115&lt;Manifold!$A$33,VLOOKUP($A115,Manifold!$A$9:$M$32,10,FALSE),
IF($A115&lt;FlexibleRepairCouplings!$A$12,VLOOKUP($A115,FlexibleRepairCouplings!$A$9:$M$11,10,FALSE),
IF($A115&lt;DuraFix!$A$15,VLOOKUP($A115,DuraFix!$A$9:$M$14,10,FALSE),
IF($A115&lt;'Compression Fittings'!$A$16,VLOOKUP($A115,'Compression Fittings'!$A$8:$M$15,10,FALSE),
IF($A115&lt;'Hose Fittings'!$A$30,VLOOKUP($A115,'Hose Fittings'!$A$8:$M$29,10,FALSE),
IF($A115&lt;'Swing Joints'!$A$495,VLOOKUP($A115,'Swing Joints'!$A$9:$M$494,10,FALSE),
IF($A115&lt;'Swing Joints Components'!$A$135,VLOOKUP($A115,'Swing Joints Components'!$A$9:$M$134,10,FALSE),
IF($A115&lt;Nonstandard!$A$42,VLOOKUP($A115,Nonstandard!$A$31:$J$41,10,FALSE),"")))))))))))))))))))))))))))),"")</f>
        <v/>
      </c>
      <c r="L115" s="314" t="str">
        <f t="shared" si="2"/>
        <v>-</v>
      </c>
      <c r="M115" s="315"/>
    </row>
    <row r="116" spans="1:13" ht="15.6">
      <c r="A116" s="536">
        <v>84</v>
      </c>
      <c r="B116" s="536" t="str">
        <f>IFERROR(IF($A116&lt;'DWV PVC'!$A$317,VLOOKUP($A116,'DWV PVC'!$A$9:$M$316,4,FALSE),
IF($A116&lt;'DWV ABS'!$A$117,VLOOKUP($A116,'DWV ABS'!$A$8:$M$116,4,FALSE),
IF($A116&lt;'PVC SCH40'!$A$425,VLOOKUP($A116,'PVC SCH40'!$A$8:$M$424,4,FALSE),
IF($A116&lt;'PVC SCH40 LD'!$A$22,VLOOKUP($A116,'PVC SCH40 LD'!$A$8:$M$21,4,FALSE),
IF($A116&lt;'Pool &amp; SPA Sweep Elbows'!$A$12,VLOOKUP($A116,'Pool &amp; SPA Sweep Elbows'!$A$8:$M$11,4,FALSE),
IF($A116&lt;'Pool &amp; SPA Pipe Extender'!$A$11,VLOOKUP($A116,'Pool &amp; SPA Pipe Extender'!$A$8:$M$10,4,FALSE),
IF($A116&lt;'PVC SCH80'!$A$250,VLOOKUP($A116,'PVC SCH80'!$A$8:$M$249,4,FALSE),
IF($A116&lt;'PVC SCH80 Flange'!$A$49,VLOOKUP($A116,'PVC SCH80 Flange'!$A$8:$M$48,4,FALSE),
IF($A116&lt;'PVC SCH80 LD Flange'!$A$17,VLOOKUP($A116,'PVC SCH80 LD Flange'!$A$8:$M$16,4,FALSE),
IF($A116&lt;CPVC!$A$105,VLOOKUP($A116,CPVC!$A$9:$M$104,4,FALSE),
IF($A116&lt;InsertFittings!$A$185,VLOOKUP($A116,InsertFittings!$A$9:$M$184,4,FALSE),
IF($A116&lt;Valves!$A$92,VLOOKUP($A116,Valves!$A$9:$Q$91,4,FALSE),
IF($A116&lt;SDR35SW!$A$133,VLOOKUP($A116,SDR35SW!$A$9:$M$132,4,FALSE),
IF($A116&lt;SDR35G!$A$151,VLOOKUP($A116,SDR35G!$A$9:$M$150,4,FALSE),
IF($A116&lt;SDR26G!$A$67,VLOOKUP($A116,SDR26G!$A$9:$N$66,5,FALSE),
IF($A116&lt;Cements!$A$95,VLOOKUP($A116,Cements!$A$8:$Q$94,4,FALSE),
IF($A116&lt;ValveBox!$A$124,VLOOKUP($A116,ValveBox!$A$9:$O$123,4,FALSE),
IF($A116&lt;'ValveBox Components'!$A$142,VLOOKUP($A116,'ValveBox Components'!$A$9:$N$141,4,FALSE),
IF($A116&lt;Drainage!$A$69,VLOOKUP($A116,Drainage!$A$8:$M$68,4,FALSE),
IF($A116&lt;Nipples!$A$82,VLOOKUP($A116,Nipples!$A$9:$Q$81,4,FALSE),
IF($A116&lt;Manifold!$A$33,VLOOKUP($A116,Manifold!$A$9:$M$32,4,FALSE),
IF($A116&lt;FlexibleRepairCouplings!$A$12,VLOOKUP($A116,FlexibleRepairCouplings!$A$9:$M$11,4,FALSE),
IF($A116&lt;DuraFix!$A$15,VLOOKUP($A116,DuraFix!$A$9:$M$14,4,FALSE),
IF($A116&lt;'Compression Fittings'!$A$16,VLOOKUP($A116,'Compression Fittings'!$A$8:$M$15,4,FALSE),
IF($A116&lt;'Hose Fittings'!$A$30,VLOOKUP($A116,'Hose Fittings'!$A$8:$M$29,4,FALSE),
IF($A116&lt;'Swing Joints'!$A$495,VLOOKUP($A116,'Swing Joints'!$A$9:$M$494,4,FALSE),
IF($A116&lt;'Swing Joints Components'!$A$135,VLOOKUP($A116,'Swing Joints Components'!$A$9:$M$134,4,FALSE),
IF($A116&lt;Nonstandard!$A$42,VLOOKUP($A116,Nonstandard!$A$31:$J$41,5,FALSE),"")))))))))))))))))))))))))))),"")</f>
        <v/>
      </c>
      <c r="C116" s="536" t="str">
        <f>IFERROR(IF($A116&lt;'DWV PVC'!$A$317,VLOOKUP($A116,'DWV PVC'!$A$9:$M$316,5,FALSE),
IF($A116&lt;'DWV ABS'!$A$117,VLOOKUP($A116,'DWV ABS'!$A$8:$M$116,5,FALSE),
IF($A116&lt;'PVC SCH40'!$A$425,VLOOKUP($A116,'PVC SCH40'!$A$8:$M$424,5,FALSE),
IF($A116&lt;'PVC SCH40 LD'!$A$22,VLOOKUP($A116,'PVC SCH40 LD'!$A$8:$M$21,5,FALSE),
IF($A116&lt;'Pool &amp; SPA Sweep Elbows'!$A$12,VLOOKUP($A116,'Pool &amp; SPA Sweep Elbows'!$A$8:$M$11,5,FALSE),
IF($A116&lt;'Pool &amp; SPA Pipe Extender'!$A$11,VLOOKUP($A116,'Pool &amp; SPA Pipe Extender'!$A$8:$M$10,5,FALSE),
IF($A116&lt;'PVC SCH80'!$A$250,VLOOKUP($A116,'PVC SCH80'!$A$8:$M$249,5,FALSE),
IF($A116&lt;'PVC SCH80 Flange'!$A$49,VLOOKUP($A116,'PVC SCH80 Flange'!$A$8:$M$48,5,FALSE),
IF($A116&lt;'PVC SCH80 LD Flange'!$A$17,VLOOKUP($A116,'PVC SCH80 LD Flange'!$A$8:$M$16,5,FALSE),
IF($A116&lt;CPVC!$A$105,VLOOKUP($A116,CPVC!$A$9:$M$104,5,FALSE),
IF($A116&lt;InsertFittings!$A$185,VLOOKUP($A116,InsertFittings!$A$9:$M$184,5,FALSE),
IF($A116&lt;Valves!$A$92,VLOOKUP($A116,Valves!$A$9:$Q$91,5,FALSE),
IF($A116&lt;SDR35SW!$A$133,VLOOKUP($A116,SDR35SW!$A$9:$M$132,5,FALSE),
IF($A116&lt;SDR35G!$A$151,VLOOKUP($A116,SDR35G!$A$9:$M$150,5,FALSE),
IF($A116&lt;SDR26G!$A$67,VLOOKUP($A116,SDR26G!$A$9:$N$66,6,FALSE),
IF($A116&lt;Cements!$A$95,VLOOKUP($A116,Cements!$A$8:$Q$94,5,FALSE),
IF($A116&lt;ValveBox!$A$124,VLOOKUP($A116,ValveBox!$A$9:$O$123,5,FALSE),
IF($A116&lt;'ValveBox Components'!$A$142,VLOOKUP($A116,'ValveBox Components'!$A$9:$N$141,5,FALSE),
IF($A116&lt;Drainage!$A$69,VLOOKUP($A116,Drainage!$A$8:$M$68,5,FALSE),
IF($A116&lt;Nipples!$A$82,VLOOKUP($A116,Nipples!$A$9:$Q$81,5,FALSE),
IF($A116&lt;Manifold!$A$33,VLOOKUP($A116,Manifold!$A$9:$M$32,5,FALSE),
IF($A116&lt;FlexibleRepairCouplings!$A$12,VLOOKUP($A116,FlexibleRepairCouplings!$A$9:$M$11,5,FALSE),
IF($A116&lt;DuraFix!$A$15,VLOOKUP($A116,DuraFix!$A$9:$M$14,5,FALSE),
IF($A116&lt;'Compression Fittings'!$A$16,VLOOKUP($A116,'Compression Fittings'!$A$8:$M$15,5,FALSE),
IF($A116&lt;'Hose Fittings'!$A$30,VLOOKUP($A116,'Hose Fittings'!$A$8:$M$29,5,FALSE),
IF($A116&lt;'Swing Joints'!$A$495,VLOOKUP($A116,'Swing Joints'!$A$9:$M$494,5,FALSE),
IF($A116&lt;'Swing Joints Components'!$A$135,VLOOKUP($A116,'Swing Joints Components'!$A$9:$M$134,5,FALSE),
IF($A116&lt;Nonstandard!$A$42,VLOOKUP($A116,Nonstandard!$A$31:$J$41,6,FALSE),"")))))))))))))))))))))))))))),"")</f>
        <v/>
      </c>
      <c r="D116" s="537" t="str">
        <f>IFERROR(IF($A116&lt;'DWV PVC'!$A$317,VLOOKUP($A116,'DWV PVC'!$A$9:$M$316,6,FALSE),
IF($A116&lt;'DWV ABS'!$A$117,VLOOKUP($A116,'DWV ABS'!$A$8:$M$116,6,FALSE),
IF($A116&lt;'PVC SCH40'!$A$425,VLOOKUP($A116,'PVC SCH40'!$A$8:$M$424,6,FALSE),
IF($A116&lt;'PVC SCH40 LD'!$A$22,VLOOKUP($A116,'PVC SCH40 LD'!$A$8:$M$21,6,FALSE),
IF($A116&lt;'Pool &amp; SPA Sweep Elbows'!$A$12,VLOOKUP($A116,'Pool &amp; SPA Sweep Elbows'!$A$8:$M$11,6,FALSE),
IF($A116&lt;'Pool &amp; SPA Pipe Extender'!$A$11,VLOOKUP($A116,'Pool &amp; SPA Pipe Extender'!$A$8:$M$10,6,FALSE),
IF($A116&lt;'PVC SCH80'!$A$250,VLOOKUP($A116,'PVC SCH80'!$A$8:$M$249,6,FALSE),
IF($A116&lt;'PVC SCH80 Flange'!$A$49,VLOOKUP($A116,'PVC SCH80 Flange'!$A$8:$M$48,6,FALSE),
IF($A116&lt;'PVC SCH80 LD Flange'!$A$17,VLOOKUP($A116,'PVC SCH80 LD Flange'!$A$8:$M$16,6,FALSE),
IF($A116&lt;CPVC!$A$105,VLOOKUP($A116,CPVC!$A$9:$M$104,6,FALSE),
IF($A116&lt;InsertFittings!$A$185,VLOOKUP($A116,InsertFittings!$A$9:$M$184,6,FALSE),
IF($A116&lt;Valves!$A$92,VLOOKUP($A116,Valves!$A$9:$Q$91,6,FALSE),
IF($A116&lt;SDR35SW!$A$133,VLOOKUP($A116,SDR35SW!$A$9:$M$132,6,FALSE),
IF($A116&lt;SDR35G!$A$151,VLOOKUP($A116,SDR35G!$A$9:$M$150,6,FALSE),
IF($A116&lt;SDR26G!$A$67,VLOOKUP($A116,SDR26G!$A$9:$N$66,7,FALSE),
IF($A116&lt;Cements!$A$95,VLOOKUP($A116,Cements!$A$8:$Q$94,6,FALSE),
IF($A116&lt;ValveBox!$A$124,VLOOKUP($A116,ValveBox!$A$9:$O$123,6,FALSE),
IF($A116&lt;'ValveBox Components'!$A$142,VLOOKUP($A116,'ValveBox Components'!$A$9:$N$141,6,FALSE),
IF($A116&lt;Drainage!$A$69,VLOOKUP($A116,Drainage!$A$8:$M$68,6,FALSE),
IF($A116&lt;Nipples!$A$82,VLOOKUP($A116,Nipples!$A$9:$Q$81,6,FALSE),
IF($A116&lt;Manifold!$A$33,VLOOKUP($A116,Manifold!$A$9:$M$32,6,FALSE),
IF($A116&lt;FlexibleRepairCouplings!$A$12,VLOOKUP($A116,FlexibleRepairCouplings!$A$9:$M$11,6,FALSE),
IF($A116&lt;DuraFix!$A$15,VLOOKUP($A116,DuraFix!$A$9:$M$14,6,FALSE),
IF($A116&lt;'Compression Fittings'!$A$16,VLOOKUP($A116,'Compression Fittings'!$A$8:$M$15,6,FALSE),
IF($A116&lt;'Hose Fittings'!$A$30,VLOOKUP($A116,'Hose Fittings'!$A$8:$M$29,6,FALSE),
IF($A116&lt;'Swing Joints'!$A$495,VLOOKUP($A116,'Swing Joints'!$A$9:$M$494,6,FALSE),
IF($A116&lt;'Swing Joints Components'!$A$135,VLOOKUP($A116,'Swing Joints Components'!$A$9:$M$134,6,FALSE),
IF($A116&lt;Nonstandard!$A$42,VLOOKUP($A116,Nonstandard!$A$31:$J$41,7,FALSE),"")))))))))))))))))))))))))))),"")</f>
        <v/>
      </c>
      <c r="E116" s="538"/>
      <c r="F116" s="539" t="str">
        <f>IFERROR(IF($A116&lt;'DWV PVC'!$A$317,VLOOKUP($A116,'DWV PVC'!$A$9:$M$316,9,FALSE),
IF($A116&lt;'DWV ABS'!$A$117,VLOOKUP($A116,'DWV ABS'!$A$8:$M$116,9,FALSE),                                                                                                                                                                                                                                                     IF($A116&lt;'PVC SCH40'!$A$425,VLOOKUP($A116,'PVC SCH40'!$A$8:$M$424,9,FALSE),
IF($A116&lt;'PVC SCH40 LD'!$A$22,VLOOKUP($A116,'PVC SCH40 LD'!$A$8:$M$21,9,FALSE),
IF($A116&lt;'Pool &amp; SPA Sweep Elbows'!$A$12,VLOOKUP($A116,'Pool &amp; SPA Sweep Elbows'!$A$8:$M$11,9,FALSE),
IF($A116&lt;'Pool &amp; SPA Pipe Extender'!$A$11,VLOOKUP($A116,'Pool &amp; SPA Pipe Extender'!$A$8:$M$10,9,FALSE),
IF($A116&lt;'PVC SCH80'!$A$250,VLOOKUP($A116,'PVC SCH80'!$A$8:$M$249,9,FALSE),
IF($A116&lt;'PVC SCH80 Flange'!$A$49,VLOOKUP($A116,'PVC SCH80 Flange'!$A$8:$M$48,9,FALSE),
IF($A116&lt;'PVC SCH80 LD Flange'!$A$17,VLOOKUP($A116,'PVC SCH80 LD Flange'!$A$8:$M$16,9,FALSE),
IF($A116&lt;CPVC!$A$105,VLOOKUP($A116,CPVC!$A$9:$M$104,9,FALSE),
IF($A116&lt;InsertFittings!$A$185,VLOOKUP($A116,InsertFittings!$A$9:$M$184,9,FALSE),
IF($A116&lt;Valves!$A$92,VLOOKUP($A116,Valves!$A$9:$Q$91,13,FALSE),
IF($A116&lt;SDR35SW!$A$133,VLOOKUP($A116,SDR35SW!$A$9:$M$132,9,FALSE),
IF($A116&lt;SDR35G!$A$151,VLOOKUP($A116,SDR35G!$A$9:$M$150,9,FALSE),                                                                                                                                                                                                                                                          IF($A116&lt;SDR26G!$A$67,VLOOKUP($A116,SDR26G!$A$9:$N$66,10,FALSE),                                                                                                                                                                                                                                                       IF($A116&lt;Cements!$A$95,VLOOKUP($A116,Cements!$A$8:$Q$94,13,FALSE),
IF($A116&lt;ValveBox!$A$124,VLOOKUP($A116,ValveBox!$A$9:$O$123,11,FALSE),
IF($A116&lt;'ValveBox Components'!$A$142,VLOOKUP($A116,'ValveBox Components'!$A$9:$N$141,10,FALSE),
IF($A116&lt;Drainage!$A$69,VLOOKUP($A116,Drainage!$A$8:$M$68,9,FALSE),                                                                                                                                                                                                                                                              IF($A116&lt;Nipples!$A$82,VLOOKUP($A116,Nipples!$A$9:$Q$81,13,FALSE),
IF($A116&lt;Manifold!$A$33,VLOOKUP($A116,Manifold!$A$9:$M$32,9,FALSE),
IF($A116&lt;FlexibleRepairCouplings!$A$12,VLOOKUP($A116,FlexibleRepairCouplings!$A$9:$M$11,9,FALSE),
IF($A116&lt;DuraFix!$A$15,VLOOKUP($A116,DuraFix!$A$9:$M$14,9,FALSE),                                                                                                                                                                                                                                                          IF($A116&lt;'Compression Fittings'!$A$16,VLOOKUP($A116,'Compression Fittings'!$A$8:$M$15,9,FALSE),
IF($A116&lt;'Hose Fittings'!$A$30,VLOOKUP($A116,'Hose Fittings'!$A$8:$M$29,9,FALSE),
IF($A116&lt;'Swing Joints'!$A$495,VLOOKUP($A116,'Swing Joints'!$A$9:$M$494,9,FALSE),
IF($A116&lt;'Swing Joints Components'!$A$135,VLOOKUP($A116,'Swing Joints Components'!$A$9:$M$134,9,FALSE),
IF($A116&lt;Nonstandard!$A$42,VLOOKUP($A116,Nonstandard!$A$31:$J$41,8,FALSE),"")))))))))))))))))))))))))))),"")</f>
        <v/>
      </c>
      <c r="G116" s="540" t="str">
        <f>IFERROR(IF($A116&lt;'DWV PVC'!$A$317,VLOOKUP($A116,'DWV PVC'!$A$9:$M$316,11,FALSE),
IF($A116&lt;'DWV ABS'!$A$117,VLOOKUP($A116,'DWV ABS'!$A$8:$M$116,11,FALSE),                                                                                                                                                                                                                                                     IF($A116&lt;'PVC SCH40'!$A$425,VLOOKUP($A116,'PVC SCH40'!$A$8:$M$424,11,FALSE),
IF($A116&lt;'PVC SCH40 LD'!$A$22,VLOOKUP($A116,'PVC SCH40 LD'!$A$8:$M$21,11,FALSE),
IF($A116&lt;'Pool &amp; SPA Sweep Elbows'!$A$12,VLOOKUP($A116,'Pool &amp; SPA Sweep Elbows'!$A$8:$M$11,11,FALSE),
IF($A116&lt;'Pool &amp; SPA Pipe Extender'!$A$11,VLOOKUP($A116,'Pool &amp; SPA Pipe Extender'!$A$8:$M$10,11,FALSE),
IF($A116&lt;'PVC SCH80'!$A$250,VLOOKUP($A116,'PVC SCH80'!$A$8:$M$249,11,FALSE),
IF($A116&lt;'PVC SCH80 Flange'!$A$49,VLOOKUP($A116,'PVC SCH80 Flange'!$A$8:$M$48,11,FALSE),
IF($A116&lt;'PVC SCH80 LD Flange'!$A$17,VLOOKUP($A116,'PVC SCH80 LD Flange'!$A$8:$M$16,11,FALSE),
IF($A116&lt;CPVC!$A$105,VLOOKUP($A116,CPVC!$A$9:$M$104,11,FALSE),
IF($A116&lt;InsertFittings!$A$185,VLOOKUP($A116,InsertFittings!$A$9:$M$184,11,FALSE),
IF($A116&lt;Valves!$A$92,VLOOKUP($A116,Valves!$A$9:$Q$91,15,FALSE),
IF($A116&lt;SDR35SW!$A$133,VLOOKUP($A116,SDR35SW!$A$9:$M$132,11,FALSE),
IF($A116&lt;SDR35G!$A$151,VLOOKUP($A116,SDR35G!$A$9:$M$150,11,FALSE),                                                                                                                                                                                                                                                          IF($A116&lt;SDR26G!$A$67,VLOOKUP($A116,SDR26G!$A$9:$N$66,12,FALSE),                                                                                                                                                                                                                                                       IF($A116&lt;Cements!$A$95,VLOOKUP($A116,Cements!$A$8:$Q$94,15,FALSE),
IF($A116&lt;ValveBox!$A$124,VLOOKUP($A116,ValveBox!$A$9:$O$123,13,FALSE),
IF($A116&lt;'ValveBox Components'!$A$142,VLOOKUP($A116,'ValveBox Components'!$A$9:$N$141,12,FALSE),
IF($A116&lt;Drainage!$A$69,VLOOKUP($A116,Drainage!$A$8:$M$68,11,FALSE),                                                                                                                                                                                                                                                           IF($A116&lt;Nipples!$A$82,VLOOKUP($A116,Nipples!$A$9:$Q$81,15,FALSE),
IF($A116&lt;Manifold!$A$33,VLOOKUP($A116,Manifold!$A$9:$M$32,11,FALSE),
IF($A116&lt;FlexibleRepairCouplings!$A$12,VLOOKUP($A116,FlexibleRepairCouplings!$A$9:$M$11,11,FALSE),
IF($A116&lt;DuraFix!$A$15,VLOOKUP($A116,DuraFix!$A$9:$M$14,11,FALSE),                                                                                                                                                                                                                                                            IF($A116&lt;'Compression Fittings'!$A$16,VLOOKUP($A116,'Compression Fittings'!$A$8:$M$15,11,FALSE),
IF($A116&lt;'Hose Fittings'!$A$30,VLOOKUP($A116,'Hose Fittings'!$A$8:$M$29,11,FALSE),
IF($A116&lt;'Swing Joints'!$A$495,VLOOKUP($A116,'Swing Joints'!$A$9:$M$494,11,FALSE),
IF($A116&lt;'Swing Joints Components'!$A$135,VLOOKUP($A116,'Swing Joints Components'!$A$9:$M$134,11,FALSE),
IF($A116&lt;Nonstandard!$A$42,VLOOKUP($A116,Nonstandard!$A$31:$J$41,10,FALSE),"")))))))))))))))))))))))))))),"")</f>
        <v/>
      </c>
      <c r="H116" s="620" t="str">
        <f>IFERROR(IF($A116&lt;'DWV PVC'!$A$317,VLOOKUP($A116,'DWV PVC'!$A$9:$M$316,7,FALSE),
IF($A116&lt;'DWV ABS'!$A$117,VLOOKUP($A116,'DWV ABS'!$A$8:$M$116,11,FALSE),                                                                                                                                                                                                                                                     IF($A116&lt;'PVC SCH40'!$A$425,VLOOKUP($A116,'PVC SCH40'!$A$8:$M$424,7,FALSE),
IF($A116&lt;'PVC SCH40 LD'!$A$22,VLOOKUP($A116,'PVC SCH40 LD'!$A$8:$M$21,7,FALSE),
IF($A116&lt;'Pool &amp; SPA Sweep Elbows'!$A$12,VLOOKUP($A116,'Pool &amp; SPA Sweep Elbows'!$A$8:$M$11,7,FALSE),
IF($A116&lt;'Pool &amp; SPA Pipe Extender'!$A$11,VLOOKUP($A116,'Pool &amp; SPA Pipe Extender'!$A$8:$M$10,7,FALSE),
IF($A116&lt;'PVC SCH80'!$A$250,VLOOKUP($A116,'PVC SCH80'!$A$8:$M$249,7,FALSE),
IF($A116&lt;'PVC SCH80 Flange'!$A$49,VLOOKUP($A116,'PVC SCH80 Flange'!$A$8:$M$48,7,FALSE),
IF($A116&lt;'PVC SCH80 LD Flange'!$A$17,VLOOKUP($A116,'PVC SCH80 LD Flange'!$A$8:$M$16,7,FALSE),
IF($A116&lt;CPVC!$A$105,VLOOKUP($A116,CPVC!$A$9:$M$104,7,FALSE),
IF($A116&lt;InsertFittings!$A$185,VLOOKUP($A116,InsertFittings!$A$9:$M$184,7,FALSE),
IF($A116&lt;Valves!$A$92,VLOOKUP($A116,Valves!$A$9:$Q$91,11,FALSE),
IF($A116&lt;SDR35SW!$A$133,VLOOKUP($A116,SDR35SW!$A$9:$M$132,7,FALSE),
IF($A116&lt;SDR35G!$A$151,VLOOKUP($A116,SDR35G!$A$9:$M$150,7,FALSE),                                                                                                                                                                                                                                                       IF($A116&lt;SDR26G!$A$67,VLOOKUP($A116,SDR26G!$A$9:$N$66,8,FALSE),                                                                                                                                                                                                                                                     IF($A116&lt;Cements!$A$95,VLOOKUP($A116,Cements!$A$8:$Q$94,11,FALSE),
IF($A116&lt;ValveBox!$A$124,VLOOKUP($A116,ValveBox!$A$9:$O$123,10,FALSE),
IF($A116&lt;'ValveBox Components'!$A$142,VLOOKUP($A116,'ValveBox Components'!$A$9:$N$141,9,FALSE),
IF($A116&lt;Drainage!$A$69,VLOOKUP($A116,Drainage!$A$8:$M$68,7,FALSE),                                                                                                                                                                                                                                                          IF($A116&lt;Nipples!$A$82,VLOOKUP($A116,Nipples!$A$9:$Q$81,11,FALSE),
IF($A116&lt;Manifold!$A$33,VLOOKUP($A116,Manifold!$A$9:$M$32,7,FALSE),
IF($A116&lt;FlexibleRepairCouplings!$A$12,VLOOKUP($A116,FlexibleRepairCouplings!$A$9:$M$11,7,FALSE),
IF($A116&lt;DuraFix!$A$15,VLOOKUP($A116,DuraFix!$A$9:$M$14,7,FALSE),                                                                                                                                                                                                                                                           IF($A116&lt;'Compression Fittings'!$A$16,VLOOKUP($A116,'Compression Fittings'!$A$8:$M$15,7,FALSE),
IF($A116&lt;'Hose Fittings'!$A$30,VLOOKUP($A116,'Hose Fittings'!$A$8:$M$29,7,FALSE),
IF($A116&lt;'Swing Joints'!$A$495,VLOOKUP($A116,'Swing Joints'!$A$9:$M$494,7,FALSE),
IF($A116&lt;'Swing Joints Components'!$A$135,VLOOKUP($A116,'Swing Joints Components'!$A$9:$M$134,7,FALSE),
IF($A116&lt;Nonstandard!$A$42,VLOOKUP($A116,Nonstandard!$A$31:$J$41,10,FALSE),"")))))))))))))))))))))))))))),"")</f>
        <v/>
      </c>
      <c r="I116" s="621"/>
      <c r="J116" s="541" t="str">
        <f t="shared" si="3"/>
        <v/>
      </c>
      <c r="K116" s="599" t="str">
        <f>IFERROR(IF($A116&lt;'DWV PVC'!$A$317,VLOOKUP($A116,'DWV PVC'!$A$9:$M$316,10,FALSE),
IF($A116&lt;'DWV ABS'!$A$117,VLOOKUP($A116,'DWV ABS'!$A$8:$M$116,10,FALSE),
IF($A116&lt;'PVC SCH40'!$A$425,VLOOKUP($A116,'PVC SCH40'!$A$8:$M$424,10,FALSE),
IF($A116&lt;'PVC SCH40 LD'!$A$22,VLOOKUP($A116,'PVC SCH40 LD'!$A$8:$M$21,10,FALSE),
IF($A116&lt;'Pool &amp; SPA Sweep Elbows'!$A$12,VLOOKUP($A116,'Pool &amp; SPA Sweep Elbows'!$A$8:$M$11,10,FALSE),
IF($A116&lt;'Pool &amp; SPA Pipe Extender'!$A$11,VLOOKUP($A116,'Pool &amp; SPA Pipe Extender'!$A$8:$M$10,10,FALSE),
IF($A116&lt;'PVC SCH80'!$A$250,VLOOKUP($A116,'PVC SCH80'!$A$8:$M$249,10,FALSE),
IF($A116&lt;'PVC SCH80 Flange'!$A$49,VLOOKUP($A116,'PVC SCH80 Flange'!$A$8:$M$48,10,FALSE),
IF($A116&lt;'PVC SCH80 LD Flange'!$A$17,VLOOKUP($A116,'PVC SCH80 LD Flange'!$A$8:$M$16,10,FALSE),
IF($A116&lt;CPVC!$A$105,VLOOKUP($A116,CPVC!$A$9:$M$104,10,FALSE),
IF($A116&lt;InsertFittings!$A$185,VLOOKUP($A116,InsertFittings!$A$9:$M$184,10,FALSE),
IF($A116&lt;Valves!$A$92,VLOOKUP($A116,Valves!$A$9:$Q$91,14,FALSE),
IF($A116&lt;SDR35SW!$A$133,VLOOKUP($A116,SDR35SW!$A$9:$M$132,10,FALSE),
IF($A116&lt;SDR35G!$A$151,VLOOKUP($A116,SDR35G!$A$9:$M$150,10,FALSE),
IF($A116&lt;SDR26G!$A$67,VLOOKUP($A116,SDR26G!$A$9:$N$66,11,FALSE),
IF($A116&lt;Cements!$A$95,VLOOKUP($A116,Cements!$A$8:$Q$94,14,FALSE),
IF($A116&lt;ValveBox!$A$124,VLOOKUP($A116,ValveBox!$A$9:$O$123,12,FALSE),
IF($A116&lt;'ValveBox Components'!$A$142,VLOOKUP($A116,'ValveBox Components'!$A$9:$N$141,11,FALSE),
IF($A116&lt;Drainage!$A$69,VLOOKUP($A116,Drainage!$A$8:$M$68,10,FALSE),
IF($A116&lt;Nipples!$A$82,VLOOKUP($A116,Nipples!$A$9:$Q$81,14,FALSE),
IF($A116&lt;Manifold!$A$33,VLOOKUP($A116,Manifold!$A$9:$M$32,10,FALSE),
IF($A116&lt;FlexibleRepairCouplings!$A$12,VLOOKUP($A116,FlexibleRepairCouplings!$A$9:$M$11,10,FALSE),
IF($A116&lt;DuraFix!$A$15,VLOOKUP($A116,DuraFix!$A$9:$M$14,10,FALSE),
IF($A116&lt;'Compression Fittings'!$A$16,VLOOKUP($A116,'Compression Fittings'!$A$8:$M$15,10,FALSE),
IF($A116&lt;'Hose Fittings'!$A$30,VLOOKUP($A116,'Hose Fittings'!$A$8:$M$29,10,FALSE),
IF($A116&lt;'Swing Joints'!$A$495,VLOOKUP($A116,'Swing Joints'!$A$9:$M$494,10,FALSE),
IF($A116&lt;'Swing Joints Components'!$A$135,VLOOKUP($A116,'Swing Joints Components'!$A$9:$M$134,10,FALSE),
IF($A116&lt;Nonstandard!$A$42,VLOOKUP($A116,Nonstandard!$A$31:$J$41,10,FALSE),"")))))))))))))))))))))))))))),"")</f>
        <v/>
      </c>
      <c r="L116" s="539" t="str">
        <f t="shared" si="2"/>
        <v>-</v>
      </c>
      <c r="M116" s="542"/>
    </row>
    <row r="117" spans="1:13" ht="15.6">
      <c r="A117" s="312">
        <v>85</v>
      </c>
      <c r="B117" s="312" t="str">
        <f>IFERROR(IF($A117&lt;'DWV PVC'!$A$317,VLOOKUP($A117,'DWV PVC'!$A$9:$M$316,4,FALSE),
IF($A117&lt;'DWV ABS'!$A$117,VLOOKUP($A117,'DWV ABS'!$A$8:$M$116,4,FALSE),
IF($A117&lt;'PVC SCH40'!$A$425,VLOOKUP($A117,'PVC SCH40'!$A$8:$M$424,4,FALSE),
IF($A117&lt;'PVC SCH40 LD'!$A$22,VLOOKUP($A117,'PVC SCH40 LD'!$A$8:$M$21,4,FALSE),
IF($A117&lt;'Pool &amp; SPA Sweep Elbows'!$A$12,VLOOKUP($A117,'Pool &amp; SPA Sweep Elbows'!$A$8:$M$11,4,FALSE),
IF($A117&lt;'Pool &amp; SPA Pipe Extender'!$A$11,VLOOKUP($A117,'Pool &amp; SPA Pipe Extender'!$A$8:$M$10,4,FALSE),
IF($A117&lt;'PVC SCH80'!$A$250,VLOOKUP($A117,'PVC SCH80'!$A$8:$M$249,4,FALSE),
IF($A117&lt;'PVC SCH80 Flange'!$A$49,VLOOKUP($A117,'PVC SCH80 Flange'!$A$8:$M$48,4,FALSE),
IF($A117&lt;'PVC SCH80 LD Flange'!$A$17,VLOOKUP($A117,'PVC SCH80 LD Flange'!$A$8:$M$16,4,FALSE),
IF($A117&lt;CPVC!$A$105,VLOOKUP($A117,CPVC!$A$9:$M$104,4,FALSE),
IF($A117&lt;InsertFittings!$A$185,VLOOKUP($A117,InsertFittings!$A$9:$M$184,4,FALSE),
IF($A117&lt;Valves!$A$92,VLOOKUP($A117,Valves!$A$9:$Q$91,4,FALSE),
IF($A117&lt;SDR35SW!$A$133,VLOOKUP($A117,SDR35SW!$A$9:$M$132,4,FALSE),
IF($A117&lt;SDR35G!$A$151,VLOOKUP($A117,SDR35G!$A$9:$M$150,4,FALSE),
IF($A117&lt;SDR26G!$A$67,VLOOKUP($A117,SDR26G!$A$9:$N$66,5,FALSE),
IF($A117&lt;Cements!$A$95,VLOOKUP($A117,Cements!$A$8:$Q$94,4,FALSE),
IF($A117&lt;ValveBox!$A$124,VLOOKUP($A117,ValveBox!$A$9:$O$123,4,FALSE),
IF($A117&lt;'ValveBox Components'!$A$142,VLOOKUP($A117,'ValveBox Components'!$A$9:$N$141,4,FALSE),
IF($A117&lt;Drainage!$A$69,VLOOKUP($A117,Drainage!$A$8:$M$68,4,FALSE),
IF($A117&lt;Nipples!$A$82,VLOOKUP($A117,Nipples!$A$9:$Q$81,4,FALSE),
IF($A117&lt;Manifold!$A$33,VLOOKUP($A117,Manifold!$A$9:$M$32,4,FALSE),
IF($A117&lt;FlexibleRepairCouplings!$A$12,VLOOKUP($A117,FlexibleRepairCouplings!$A$9:$M$11,4,FALSE),
IF($A117&lt;DuraFix!$A$15,VLOOKUP($A117,DuraFix!$A$9:$M$14,4,FALSE),
IF($A117&lt;'Compression Fittings'!$A$16,VLOOKUP($A117,'Compression Fittings'!$A$8:$M$15,4,FALSE),
IF($A117&lt;'Hose Fittings'!$A$30,VLOOKUP($A117,'Hose Fittings'!$A$8:$M$29,4,FALSE),
IF($A117&lt;'Swing Joints'!$A$495,VLOOKUP($A117,'Swing Joints'!$A$9:$M$494,4,FALSE),
IF($A117&lt;'Swing Joints Components'!$A$135,VLOOKUP($A117,'Swing Joints Components'!$A$9:$M$134,4,FALSE),
IF($A117&lt;Nonstandard!$A$42,VLOOKUP($A117,Nonstandard!$A$31:$J$41,5,FALSE),"")))))))))))))))))))))))))))),"")</f>
        <v/>
      </c>
      <c r="C117" s="312" t="str">
        <f>IFERROR(IF($A117&lt;'DWV PVC'!$A$317,VLOOKUP($A117,'DWV PVC'!$A$9:$M$316,5,FALSE),
IF($A117&lt;'DWV ABS'!$A$117,VLOOKUP($A117,'DWV ABS'!$A$8:$M$116,5,FALSE),
IF($A117&lt;'PVC SCH40'!$A$425,VLOOKUP($A117,'PVC SCH40'!$A$8:$M$424,5,FALSE),
IF($A117&lt;'PVC SCH40 LD'!$A$22,VLOOKUP($A117,'PVC SCH40 LD'!$A$8:$M$21,5,FALSE),
IF($A117&lt;'Pool &amp; SPA Sweep Elbows'!$A$12,VLOOKUP($A117,'Pool &amp; SPA Sweep Elbows'!$A$8:$M$11,5,FALSE),
IF($A117&lt;'Pool &amp; SPA Pipe Extender'!$A$11,VLOOKUP($A117,'Pool &amp; SPA Pipe Extender'!$A$8:$M$10,5,FALSE),
IF($A117&lt;'PVC SCH80'!$A$250,VLOOKUP($A117,'PVC SCH80'!$A$8:$M$249,5,FALSE),
IF($A117&lt;'PVC SCH80 Flange'!$A$49,VLOOKUP($A117,'PVC SCH80 Flange'!$A$8:$M$48,5,FALSE),
IF($A117&lt;'PVC SCH80 LD Flange'!$A$17,VLOOKUP($A117,'PVC SCH80 LD Flange'!$A$8:$M$16,5,FALSE),
IF($A117&lt;CPVC!$A$105,VLOOKUP($A117,CPVC!$A$9:$M$104,5,FALSE),
IF($A117&lt;InsertFittings!$A$185,VLOOKUP($A117,InsertFittings!$A$9:$M$184,5,FALSE),
IF($A117&lt;Valves!$A$92,VLOOKUP($A117,Valves!$A$9:$Q$91,5,FALSE),
IF($A117&lt;SDR35SW!$A$133,VLOOKUP($A117,SDR35SW!$A$9:$M$132,5,FALSE),
IF($A117&lt;SDR35G!$A$151,VLOOKUP($A117,SDR35G!$A$9:$M$150,5,FALSE),
IF($A117&lt;SDR26G!$A$67,VLOOKUP($A117,SDR26G!$A$9:$N$66,6,FALSE),
IF($A117&lt;Cements!$A$95,VLOOKUP($A117,Cements!$A$8:$Q$94,5,FALSE),
IF($A117&lt;ValveBox!$A$124,VLOOKUP($A117,ValveBox!$A$9:$O$123,5,FALSE),
IF($A117&lt;'ValveBox Components'!$A$142,VLOOKUP($A117,'ValveBox Components'!$A$9:$N$141,5,FALSE),
IF($A117&lt;Drainage!$A$69,VLOOKUP($A117,Drainage!$A$8:$M$68,5,FALSE),
IF($A117&lt;Nipples!$A$82,VLOOKUP($A117,Nipples!$A$9:$Q$81,5,FALSE),
IF($A117&lt;Manifold!$A$33,VLOOKUP($A117,Manifold!$A$9:$M$32,5,FALSE),
IF($A117&lt;FlexibleRepairCouplings!$A$12,VLOOKUP($A117,FlexibleRepairCouplings!$A$9:$M$11,5,FALSE),
IF($A117&lt;DuraFix!$A$15,VLOOKUP($A117,DuraFix!$A$9:$M$14,5,FALSE),
IF($A117&lt;'Compression Fittings'!$A$16,VLOOKUP($A117,'Compression Fittings'!$A$8:$M$15,5,FALSE),
IF($A117&lt;'Hose Fittings'!$A$30,VLOOKUP($A117,'Hose Fittings'!$A$8:$M$29,5,FALSE),
IF($A117&lt;'Swing Joints'!$A$495,VLOOKUP($A117,'Swing Joints'!$A$9:$M$494,5,FALSE),
IF($A117&lt;'Swing Joints Components'!$A$135,VLOOKUP($A117,'Swing Joints Components'!$A$9:$M$134,5,FALSE),
IF($A117&lt;Nonstandard!$A$42,VLOOKUP($A117,Nonstandard!$A$31:$J$41,6,FALSE),"")))))))))))))))))))))))))))),"")</f>
        <v/>
      </c>
      <c r="D117" s="534" t="str">
        <f>IFERROR(IF($A117&lt;'DWV PVC'!$A$317,VLOOKUP($A117,'DWV PVC'!$A$9:$M$316,6,FALSE),
IF($A117&lt;'DWV ABS'!$A$117,VLOOKUP($A117,'DWV ABS'!$A$8:$M$116,6,FALSE),
IF($A117&lt;'PVC SCH40'!$A$425,VLOOKUP($A117,'PVC SCH40'!$A$8:$M$424,6,FALSE),
IF($A117&lt;'PVC SCH40 LD'!$A$22,VLOOKUP($A117,'PVC SCH40 LD'!$A$8:$M$21,6,FALSE),
IF($A117&lt;'Pool &amp; SPA Sweep Elbows'!$A$12,VLOOKUP($A117,'Pool &amp; SPA Sweep Elbows'!$A$8:$M$11,6,FALSE),
IF($A117&lt;'Pool &amp; SPA Pipe Extender'!$A$11,VLOOKUP($A117,'Pool &amp; SPA Pipe Extender'!$A$8:$M$10,6,FALSE),
IF($A117&lt;'PVC SCH80'!$A$250,VLOOKUP($A117,'PVC SCH80'!$A$8:$M$249,6,FALSE),
IF($A117&lt;'PVC SCH80 Flange'!$A$49,VLOOKUP($A117,'PVC SCH80 Flange'!$A$8:$M$48,6,FALSE),
IF($A117&lt;'PVC SCH80 LD Flange'!$A$17,VLOOKUP($A117,'PVC SCH80 LD Flange'!$A$8:$M$16,6,FALSE),
IF($A117&lt;CPVC!$A$105,VLOOKUP($A117,CPVC!$A$9:$M$104,6,FALSE),
IF($A117&lt;InsertFittings!$A$185,VLOOKUP($A117,InsertFittings!$A$9:$M$184,6,FALSE),
IF($A117&lt;Valves!$A$92,VLOOKUP($A117,Valves!$A$9:$Q$91,6,FALSE),
IF($A117&lt;SDR35SW!$A$133,VLOOKUP($A117,SDR35SW!$A$9:$M$132,6,FALSE),
IF($A117&lt;SDR35G!$A$151,VLOOKUP($A117,SDR35G!$A$9:$M$150,6,FALSE),
IF($A117&lt;SDR26G!$A$67,VLOOKUP($A117,SDR26G!$A$9:$N$66,7,FALSE),
IF($A117&lt;Cements!$A$95,VLOOKUP($A117,Cements!$A$8:$Q$94,6,FALSE),
IF($A117&lt;ValveBox!$A$124,VLOOKUP($A117,ValveBox!$A$9:$O$123,6,FALSE),
IF($A117&lt;'ValveBox Components'!$A$142,VLOOKUP($A117,'ValveBox Components'!$A$9:$N$141,6,FALSE),
IF($A117&lt;Drainage!$A$69,VLOOKUP($A117,Drainage!$A$8:$M$68,6,FALSE),
IF($A117&lt;Nipples!$A$82,VLOOKUP($A117,Nipples!$A$9:$Q$81,6,FALSE),
IF($A117&lt;Manifold!$A$33,VLOOKUP($A117,Manifold!$A$9:$M$32,6,FALSE),
IF($A117&lt;FlexibleRepairCouplings!$A$12,VLOOKUP($A117,FlexibleRepairCouplings!$A$9:$M$11,6,FALSE),
IF($A117&lt;DuraFix!$A$15,VLOOKUP($A117,DuraFix!$A$9:$M$14,6,FALSE),
IF($A117&lt;'Compression Fittings'!$A$16,VLOOKUP($A117,'Compression Fittings'!$A$8:$M$15,6,FALSE),
IF($A117&lt;'Hose Fittings'!$A$30,VLOOKUP($A117,'Hose Fittings'!$A$8:$M$29,6,FALSE),
IF($A117&lt;'Swing Joints'!$A$495,VLOOKUP($A117,'Swing Joints'!$A$9:$M$494,6,FALSE),
IF($A117&lt;'Swing Joints Components'!$A$135,VLOOKUP($A117,'Swing Joints Components'!$A$9:$M$134,6,FALSE),
IF($A117&lt;Nonstandard!$A$42,VLOOKUP($A117,Nonstandard!$A$31:$J$41,7,FALSE),"")))))))))))))))))))))))))))),"")</f>
        <v/>
      </c>
      <c r="E117" s="316"/>
      <c r="F117" s="314" t="str">
        <f>IFERROR(IF($A117&lt;'DWV PVC'!$A$317,VLOOKUP($A117,'DWV PVC'!$A$9:$M$316,9,FALSE),
IF($A117&lt;'DWV ABS'!$A$117,VLOOKUP($A117,'DWV ABS'!$A$8:$M$116,9,FALSE),                                                                                                                                                                                                                                                     IF($A117&lt;'PVC SCH40'!$A$425,VLOOKUP($A117,'PVC SCH40'!$A$8:$M$424,9,FALSE),
IF($A117&lt;'PVC SCH40 LD'!$A$22,VLOOKUP($A117,'PVC SCH40 LD'!$A$8:$M$21,9,FALSE),
IF($A117&lt;'Pool &amp; SPA Sweep Elbows'!$A$12,VLOOKUP($A117,'Pool &amp; SPA Sweep Elbows'!$A$8:$M$11,9,FALSE),
IF($A117&lt;'Pool &amp; SPA Pipe Extender'!$A$11,VLOOKUP($A117,'Pool &amp; SPA Pipe Extender'!$A$8:$M$10,9,FALSE),
IF($A117&lt;'PVC SCH80'!$A$250,VLOOKUP($A117,'PVC SCH80'!$A$8:$M$249,9,FALSE),
IF($A117&lt;'PVC SCH80 Flange'!$A$49,VLOOKUP($A117,'PVC SCH80 Flange'!$A$8:$M$48,9,FALSE),
IF($A117&lt;'PVC SCH80 LD Flange'!$A$17,VLOOKUP($A117,'PVC SCH80 LD Flange'!$A$8:$M$16,9,FALSE),
IF($A117&lt;CPVC!$A$105,VLOOKUP($A117,CPVC!$A$9:$M$104,9,FALSE),
IF($A117&lt;InsertFittings!$A$185,VLOOKUP($A117,InsertFittings!$A$9:$M$184,9,FALSE),
IF($A117&lt;Valves!$A$92,VLOOKUP($A117,Valves!$A$9:$Q$91,13,FALSE),
IF($A117&lt;SDR35SW!$A$133,VLOOKUP($A117,SDR35SW!$A$9:$M$132,9,FALSE),
IF($A117&lt;SDR35G!$A$151,VLOOKUP($A117,SDR35G!$A$9:$M$150,9,FALSE),                                                                                                                                                                                                                                                          IF($A117&lt;SDR26G!$A$67,VLOOKUP($A117,SDR26G!$A$9:$N$66,10,FALSE),                                                                                                                                                                                                                                                       IF($A117&lt;Cements!$A$95,VLOOKUP($A117,Cements!$A$8:$Q$94,13,FALSE),
IF($A117&lt;ValveBox!$A$124,VLOOKUP($A117,ValveBox!$A$9:$O$123,11,FALSE),
IF($A117&lt;'ValveBox Components'!$A$142,VLOOKUP($A117,'ValveBox Components'!$A$9:$N$141,10,FALSE),
IF($A117&lt;Drainage!$A$69,VLOOKUP($A117,Drainage!$A$8:$M$68,9,FALSE),                                                                                                                                                                                                                                                              IF($A117&lt;Nipples!$A$82,VLOOKUP($A117,Nipples!$A$9:$Q$81,13,FALSE),
IF($A117&lt;Manifold!$A$33,VLOOKUP($A117,Manifold!$A$9:$M$32,9,FALSE),
IF($A117&lt;FlexibleRepairCouplings!$A$12,VLOOKUP($A117,FlexibleRepairCouplings!$A$9:$M$11,9,FALSE),
IF($A117&lt;DuraFix!$A$15,VLOOKUP($A117,DuraFix!$A$9:$M$14,9,FALSE),                                                                                                                                                                                                                                                          IF($A117&lt;'Compression Fittings'!$A$16,VLOOKUP($A117,'Compression Fittings'!$A$8:$M$15,9,FALSE),
IF($A117&lt;'Hose Fittings'!$A$30,VLOOKUP($A117,'Hose Fittings'!$A$8:$M$29,9,FALSE),
IF($A117&lt;'Swing Joints'!$A$495,VLOOKUP($A117,'Swing Joints'!$A$9:$M$494,9,FALSE),
IF($A117&lt;'Swing Joints Components'!$A$135,VLOOKUP($A117,'Swing Joints Components'!$A$9:$M$134,9,FALSE),
IF($A117&lt;Nonstandard!$A$42,VLOOKUP($A117,Nonstandard!$A$31:$J$41,8,FALSE),"")))))))))))))))))))))))))))),"")</f>
        <v/>
      </c>
      <c r="G117" s="533" t="str">
        <f>IFERROR(IF($A117&lt;'DWV PVC'!$A$317,VLOOKUP($A117,'DWV PVC'!$A$9:$M$316,11,FALSE),
IF($A117&lt;'DWV ABS'!$A$117,VLOOKUP($A117,'DWV ABS'!$A$8:$M$116,11,FALSE),                                                                                                                                                                                                                                                     IF($A117&lt;'PVC SCH40'!$A$425,VLOOKUP($A117,'PVC SCH40'!$A$8:$M$424,11,FALSE),
IF($A117&lt;'PVC SCH40 LD'!$A$22,VLOOKUP($A117,'PVC SCH40 LD'!$A$8:$M$21,11,FALSE),
IF($A117&lt;'Pool &amp; SPA Sweep Elbows'!$A$12,VLOOKUP($A117,'Pool &amp; SPA Sweep Elbows'!$A$8:$M$11,11,FALSE),
IF($A117&lt;'Pool &amp; SPA Pipe Extender'!$A$11,VLOOKUP($A117,'Pool &amp; SPA Pipe Extender'!$A$8:$M$10,11,FALSE),
IF($A117&lt;'PVC SCH80'!$A$250,VLOOKUP($A117,'PVC SCH80'!$A$8:$M$249,11,FALSE),
IF($A117&lt;'PVC SCH80 Flange'!$A$49,VLOOKUP($A117,'PVC SCH80 Flange'!$A$8:$M$48,11,FALSE),
IF($A117&lt;'PVC SCH80 LD Flange'!$A$17,VLOOKUP($A117,'PVC SCH80 LD Flange'!$A$8:$M$16,11,FALSE),
IF($A117&lt;CPVC!$A$105,VLOOKUP($A117,CPVC!$A$9:$M$104,11,FALSE),
IF($A117&lt;InsertFittings!$A$185,VLOOKUP($A117,InsertFittings!$A$9:$M$184,11,FALSE),
IF($A117&lt;Valves!$A$92,VLOOKUP($A117,Valves!$A$9:$Q$91,15,FALSE),
IF($A117&lt;SDR35SW!$A$133,VLOOKUP($A117,SDR35SW!$A$9:$M$132,11,FALSE),
IF($A117&lt;SDR35G!$A$151,VLOOKUP($A117,SDR35G!$A$9:$M$150,11,FALSE),                                                                                                                                                                                                                                                          IF($A117&lt;SDR26G!$A$67,VLOOKUP($A117,SDR26G!$A$9:$N$66,12,FALSE),                                                                                                                                                                                                                                                       IF($A117&lt;Cements!$A$95,VLOOKUP($A117,Cements!$A$8:$Q$94,15,FALSE),
IF($A117&lt;ValveBox!$A$124,VLOOKUP($A117,ValveBox!$A$9:$O$123,13,FALSE),
IF($A117&lt;'ValveBox Components'!$A$142,VLOOKUP($A117,'ValveBox Components'!$A$9:$N$141,12,FALSE),
IF($A117&lt;Drainage!$A$69,VLOOKUP($A117,Drainage!$A$8:$M$68,11,FALSE),                                                                                                                                                                                                                                                           IF($A117&lt;Nipples!$A$82,VLOOKUP($A117,Nipples!$A$9:$Q$81,15,FALSE),
IF($A117&lt;Manifold!$A$33,VLOOKUP($A117,Manifold!$A$9:$M$32,11,FALSE),
IF($A117&lt;FlexibleRepairCouplings!$A$12,VLOOKUP($A117,FlexibleRepairCouplings!$A$9:$M$11,11,FALSE),
IF($A117&lt;DuraFix!$A$15,VLOOKUP($A117,DuraFix!$A$9:$M$14,11,FALSE),                                                                                                                                                                                                                                                            IF($A117&lt;'Compression Fittings'!$A$16,VLOOKUP($A117,'Compression Fittings'!$A$8:$M$15,11,FALSE),
IF($A117&lt;'Hose Fittings'!$A$30,VLOOKUP($A117,'Hose Fittings'!$A$8:$M$29,11,FALSE),
IF($A117&lt;'Swing Joints'!$A$495,VLOOKUP($A117,'Swing Joints'!$A$9:$M$494,11,FALSE),
IF($A117&lt;'Swing Joints Components'!$A$135,VLOOKUP($A117,'Swing Joints Components'!$A$9:$M$134,11,FALSE),
IF($A117&lt;Nonstandard!$A$42,VLOOKUP($A117,Nonstandard!$A$31:$J$41,10,FALSE),"")))))))))))))))))))))))))))),"")</f>
        <v/>
      </c>
      <c r="H117" s="618" t="str">
        <f>IFERROR(IF($A117&lt;'DWV PVC'!$A$317,VLOOKUP($A117,'DWV PVC'!$A$9:$M$316,7,FALSE),
IF($A117&lt;'DWV ABS'!$A$117,VLOOKUP($A117,'DWV ABS'!$A$8:$M$116,11,FALSE),                                                                                                                                                                                                                                                     IF($A117&lt;'PVC SCH40'!$A$425,VLOOKUP($A117,'PVC SCH40'!$A$8:$M$424,7,FALSE),
IF($A117&lt;'PVC SCH40 LD'!$A$22,VLOOKUP($A117,'PVC SCH40 LD'!$A$8:$M$21,7,FALSE),
IF($A117&lt;'Pool &amp; SPA Sweep Elbows'!$A$12,VLOOKUP($A117,'Pool &amp; SPA Sweep Elbows'!$A$8:$M$11,7,FALSE),
IF($A117&lt;'Pool &amp; SPA Pipe Extender'!$A$11,VLOOKUP($A117,'Pool &amp; SPA Pipe Extender'!$A$8:$M$10,7,FALSE),
IF($A117&lt;'PVC SCH80'!$A$250,VLOOKUP($A117,'PVC SCH80'!$A$8:$M$249,7,FALSE),
IF($A117&lt;'PVC SCH80 Flange'!$A$49,VLOOKUP($A117,'PVC SCH80 Flange'!$A$8:$M$48,7,FALSE),
IF($A117&lt;'PVC SCH80 LD Flange'!$A$17,VLOOKUP($A117,'PVC SCH80 LD Flange'!$A$8:$M$16,7,FALSE),
IF($A117&lt;CPVC!$A$105,VLOOKUP($A117,CPVC!$A$9:$M$104,7,FALSE),
IF($A117&lt;InsertFittings!$A$185,VLOOKUP($A117,InsertFittings!$A$9:$M$184,7,FALSE),
IF($A117&lt;Valves!$A$92,VLOOKUP($A117,Valves!$A$9:$Q$91,11,FALSE),
IF($A117&lt;SDR35SW!$A$133,VLOOKUP($A117,SDR35SW!$A$9:$M$132,7,FALSE),
IF($A117&lt;SDR35G!$A$151,VLOOKUP($A117,SDR35G!$A$9:$M$150,7,FALSE),                                                                                                                                                                                                                                                       IF($A117&lt;SDR26G!$A$67,VLOOKUP($A117,SDR26G!$A$9:$N$66,8,FALSE),                                                                                                                                                                                                                                                     IF($A117&lt;Cements!$A$95,VLOOKUP($A117,Cements!$A$8:$Q$94,11,FALSE),
IF($A117&lt;ValveBox!$A$124,VLOOKUP($A117,ValveBox!$A$9:$O$123,10,FALSE),
IF($A117&lt;'ValveBox Components'!$A$142,VLOOKUP($A117,'ValveBox Components'!$A$9:$N$141,9,FALSE),
IF($A117&lt;Drainage!$A$69,VLOOKUP($A117,Drainage!$A$8:$M$68,7,FALSE),                                                                                                                                                                                                                                                          IF($A117&lt;Nipples!$A$82,VLOOKUP($A117,Nipples!$A$9:$Q$81,11,FALSE),
IF($A117&lt;Manifold!$A$33,VLOOKUP($A117,Manifold!$A$9:$M$32,7,FALSE),
IF($A117&lt;FlexibleRepairCouplings!$A$12,VLOOKUP($A117,FlexibleRepairCouplings!$A$9:$M$11,7,FALSE),
IF($A117&lt;DuraFix!$A$15,VLOOKUP($A117,DuraFix!$A$9:$M$14,7,FALSE),                                                                                                                                                                                                                                                           IF($A117&lt;'Compression Fittings'!$A$16,VLOOKUP($A117,'Compression Fittings'!$A$8:$M$15,7,FALSE),
IF($A117&lt;'Hose Fittings'!$A$30,VLOOKUP($A117,'Hose Fittings'!$A$8:$M$29,7,FALSE),
IF($A117&lt;'Swing Joints'!$A$495,VLOOKUP($A117,'Swing Joints'!$A$9:$M$494,7,FALSE),
IF($A117&lt;'Swing Joints Components'!$A$135,VLOOKUP($A117,'Swing Joints Components'!$A$9:$M$134,7,FALSE),
IF($A117&lt;Nonstandard!$A$42,VLOOKUP($A117,Nonstandard!$A$31:$J$41,10,FALSE),"")))))))))))))))))))))))))))),"")</f>
        <v/>
      </c>
      <c r="I117" s="619"/>
      <c r="J117" s="281" t="str">
        <f t="shared" si="3"/>
        <v/>
      </c>
      <c r="K117" s="313" t="str">
        <f>IFERROR(IF($A117&lt;'DWV PVC'!$A$317,VLOOKUP($A117,'DWV PVC'!$A$9:$M$316,10,FALSE),
IF($A117&lt;'DWV ABS'!$A$117,VLOOKUP($A117,'DWV ABS'!$A$8:$M$116,10,FALSE),
IF($A117&lt;'PVC SCH40'!$A$425,VLOOKUP($A117,'PVC SCH40'!$A$8:$M$424,10,FALSE),
IF($A117&lt;'PVC SCH40 LD'!$A$22,VLOOKUP($A117,'PVC SCH40 LD'!$A$8:$M$21,10,FALSE),
IF($A117&lt;'Pool &amp; SPA Sweep Elbows'!$A$12,VLOOKUP($A117,'Pool &amp; SPA Sweep Elbows'!$A$8:$M$11,10,FALSE),
IF($A117&lt;'Pool &amp; SPA Pipe Extender'!$A$11,VLOOKUP($A117,'Pool &amp; SPA Pipe Extender'!$A$8:$M$10,10,FALSE),
IF($A117&lt;'PVC SCH80'!$A$250,VLOOKUP($A117,'PVC SCH80'!$A$8:$M$249,10,FALSE),
IF($A117&lt;'PVC SCH80 Flange'!$A$49,VLOOKUP($A117,'PVC SCH80 Flange'!$A$8:$M$48,10,FALSE),
IF($A117&lt;'PVC SCH80 LD Flange'!$A$17,VLOOKUP($A117,'PVC SCH80 LD Flange'!$A$8:$M$16,10,FALSE),
IF($A117&lt;CPVC!$A$105,VLOOKUP($A117,CPVC!$A$9:$M$104,10,FALSE),
IF($A117&lt;InsertFittings!$A$185,VLOOKUP($A117,InsertFittings!$A$9:$M$184,10,FALSE),
IF($A117&lt;Valves!$A$92,VLOOKUP($A117,Valves!$A$9:$Q$91,14,FALSE),
IF($A117&lt;SDR35SW!$A$133,VLOOKUP($A117,SDR35SW!$A$9:$M$132,10,FALSE),
IF($A117&lt;SDR35G!$A$151,VLOOKUP($A117,SDR35G!$A$9:$M$150,10,FALSE),
IF($A117&lt;SDR26G!$A$67,VLOOKUP($A117,SDR26G!$A$9:$N$66,11,FALSE),
IF($A117&lt;Cements!$A$95,VLOOKUP($A117,Cements!$A$8:$Q$94,14,FALSE),
IF($A117&lt;ValveBox!$A$124,VLOOKUP($A117,ValveBox!$A$9:$O$123,12,FALSE),
IF($A117&lt;'ValveBox Components'!$A$142,VLOOKUP($A117,'ValveBox Components'!$A$9:$N$141,11,FALSE),
IF($A117&lt;Drainage!$A$69,VLOOKUP($A117,Drainage!$A$8:$M$68,10,FALSE),
IF($A117&lt;Nipples!$A$82,VLOOKUP($A117,Nipples!$A$9:$Q$81,14,FALSE),
IF($A117&lt;Manifold!$A$33,VLOOKUP($A117,Manifold!$A$9:$M$32,10,FALSE),
IF($A117&lt;FlexibleRepairCouplings!$A$12,VLOOKUP($A117,FlexibleRepairCouplings!$A$9:$M$11,10,FALSE),
IF($A117&lt;DuraFix!$A$15,VLOOKUP($A117,DuraFix!$A$9:$M$14,10,FALSE),
IF($A117&lt;'Compression Fittings'!$A$16,VLOOKUP($A117,'Compression Fittings'!$A$8:$M$15,10,FALSE),
IF($A117&lt;'Hose Fittings'!$A$30,VLOOKUP($A117,'Hose Fittings'!$A$8:$M$29,10,FALSE),
IF($A117&lt;'Swing Joints'!$A$495,VLOOKUP($A117,'Swing Joints'!$A$9:$M$494,10,FALSE),
IF($A117&lt;'Swing Joints Components'!$A$135,VLOOKUP($A117,'Swing Joints Components'!$A$9:$M$134,10,FALSE),
IF($A117&lt;Nonstandard!$A$42,VLOOKUP($A117,Nonstandard!$A$31:$J$41,10,FALSE),"")))))))))))))))))))))))))))),"")</f>
        <v/>
      </c>
      <c r="L117" s="314" t="str">
        <f t="shared" si="2"/>
        <v>-</v>
      </c>
      <c r="M117" s="315"/>
    </row>
    <row r="118" spans="1:13" ht="15.6">
      <c r="A118" s="536">
        <v>86</v>
      </c>
      <c r="B118" s="536" t="str">
        <f>IFERROR(IF($A118&lt;'DWV PVC'!$A$317,VLOOKUP($A118,'DWV PVC'!$A$9:$M$316,4,FALSE),
IF($A118&lt;'DWV ABS'!$A$117,VLOOKUP($A118,'DWV ABS'!$A$8:$M$116,4,FALSE),
IF($A118&lt;'PVC SCH40'!$A$425,VLOOKUP($A118,'PVC SCH40'!$A$8:$M$424,4,FALSE),
IF($A118&lt;'PVC SCH40 LD'!$A$22,VLOOKUP($A118,'PVC SCH40 LD'!$A$8:$M$21,4,FALSE),
IF($A118&lt;'Pool &amp; SPA Sweep Elbows'!$A$12,VLOOKUP($A118,'Pool &amp; SPA Sweep Elbows'!$A$8:$M$11,4,FALSE),
IF($A118&lt;'Pool &amp; SPA Pipe Extender'!$A$11,VLOOKUP($A118,'Pool &amp; SPA Pipe Extender'!$A$8:$M$10,4,FALSE),
IF($A118&lt;'PVC SCH80'!$A$250,VLOOKUP($A118,'PVC SCH80'!$A$8:$M$249,4,FALSE),
IF($A118&lt;'PVC SCH80 Flange'!$A$49,VLOOKUP($A118,'PVC SCH80 Flange'!$A$8:$M$48,4,FALSE),
IF($A118&lt;'PVC SCH80 LD Flange'!$A$17,VLOOKUP($A118,'PVC SCH80 LD Flange'!$A$8:$M$16,4,FALSE),
IF($A118&lt;CPVC!$A$105,VLOOKUP($A118,CPVC!$A$9:$M$104,4,FALSE),
IF($A118&lt;InsertFittings!$A$185,VLOOKUP($A118,InsertFittings!$A$9:$M$184,4,FALSE),
IF($A118&lt;Valves!$A$92,VLOOKUP($A118,Valves!$A$9:$Q$91,4,FALSE),
IF($A118&lt;SDR35SW!$A$133,VLOOKUP($A118,SDR35SW!$A$9:$M$132,4,FALSE),
IF($A118&lt;SDR35G!$A$151,VLOOKUP($A118,SDR35G!$A$9:$M$150,4,FALSE),
IF($A118&lt;SDR26G!$A$67,VLOOKUP($A118,SDR26G!$A$9:$N$66,5,FALSE),
IF($A118&lt;Cements!$A$95,VLOOKUP($A118,Cements!$A$8:$Q$94,4,FALSE),
IF($A118&lt;ValveBox!$A$124,VLOOKUP($A118,ValveBox!$A$9:$O$123,4,FALSE),
IF($A118&lt;'ValveBox Components'!$A$142,VLOOKUP($A118,'ValveBox Components'!$A$9:$N$141,4,FALSE),
IF($A118&lt;Drainage!$A$69,VLOOKUP($A118,Drainage!$A$8:$M$68,4,FALSE),
IF($A118&lt;Nipples!$A$82,VLOOKUP($A118,Nipples!$A$9:$Q$81,4,FALSE),
IF($A118&lt;Manifold!$A$33,VLOOKUP($A118,Manifold!$A$9:$M$32,4,FALSE),
IF($A118&lt;FlexibleRepairCouplings!$A$12,VLOOKUP($A118,FlexibleRepairCouplings!$A$9:$M$11,4,FALSE),
IF($A118&lt;DuraFix!$A$15,VLOOKUP($A118,DuraFix!$A$9:$M$14,4,FALSE),
IF($A118&lt;'Compression Fittings'!$A$16,VLOOKUP($A118,'Compression Fittings'!$A$8:$M$15,4,FALSE),
IF($A118&lt;'Hose Fittings'!$A$30,VLOOKUP($A118,'Hose Fittings'!$A$8:$M$29,4,FALSE),
IF($A118&lt;'Swing Joints'!$A$495,VLOOKUP($A118,'Swing Joints'!$A$9:$M$494,4,FALSE),
IF($A118&lt;'Swing Joints Components'!$A$135,VLOOKUP($A118,'Swing Joints Components'!$A$9:$M$134,4,FALSE),
IF($A118&lt;Nonstandard!$A$42,VLOOKUP($A118,Nonstandard!$A$31:$J$41,5,FALSE),"")))))))))))))))))))))))))))),"")</f>
        <v/>
      </c>
      <c r="C118" s="536" t="str">
        <f>IFERROR(IF($A118&lt;'DWV PVC'!$A$317,VLOOKUP($A118,'DWV PVC'!$A$9:$M$316,5,FALSE),
IF($A118&lt;'DWV ABS'!$A$117,VLOOKUP($A118,'DWV ABS'!$A$8:$M$116,5,FALSE),
IF($A118&lt;'PVC SCH40'!$A$425,VLOOKUP($A118,'PVC SCH40'!$A$8:$M$424,5,FALSE),
IF($A118&lt;'PVC SCH40 LD'!$A$22,VLOOKUP($A118,'PVC SCH40 LD'!$A$8:$M$21,5,FALSE),
IF($A118&lt;'Pool &amp; SPA Sweep Elbows'!$A$12,VLOOKUP($A118,'Pool &amp; SPA Sweep Elbows'!$A$8:$M$11,5,FALSE),
IF($A118&lt;'Pool &amp; SPA Pipe Extender'!$A$11,VLOOKUP($A118,'Pool &amp; SPA Pipe Extender'!$A$8:$M$10,5,FALSE),
IF($A118&lt;'PVC SCH80'!$A$250,VLOOKUP($A118,'PVC SCH80'!$A$8:$M$249,5,FALSE),
IF($A118&lt;'PVC SCH80 Flange'!$A$49,VLOOKUP($A118,'PVC SCH80 Flange'!$A$8:$M$48,5,FALSE),
IF($A118&lt;'PVC SCH80 LD Flange'!$A$17,VLOOKUP($A118,'PVC SCH80 LD Flange'!$A$8:$M$16,5,FALSE),
IF($A118&lt;CPVC!$A$105,VLOOKUP($A118,CPVC!$A$9:$M$104,5,FALSE),
IF($A118&lt;InsertFittings!$A$185,VLOOKUP($A118,InsertFittings!$A$9:$M$184,5,FALSE),
IF($A118&lt;Valves!$A$92,VLOOKUP($A118,Valves!$A$9:$Q$91,5,FALSE),
IF($A118&lt;SDR35SW!$A$133,VLOOKUP($A118,SDR35SW!$A$9:$M$132,5,FALSE),
IF($A118&lt;SDR35G!$A$151,VLOOKUP($A118,SDR35G!$A$9:$M$150,5,FALSE),
IF($A118&lt;SDR26G!$A$67,VLOOKUP($A118,SDR26G!$A$9:$N$66,6,FALSE),
IF($A118&lt;Cements!$A$95,VLOOKUP($A118,Cements!$A$8:$Q$94,5,FALSE),
IF($A118&lt;ValveBox!$A$124,VLOOKUP($A118,ValveBox!$A$9:$O$123,5,FALSE),
IF($A118&lt;'ValveBox Components'!$A$142,VLOOKUP($A118,'ValveBox Components'!$A$9:$N$141,5,FALSE),
IF($A118&lt;Drainage!$A$69,VLOOKUP($A118,Drainage!$A$8:$M$68,5,FALSE),
IF($A118&lt;Nipples!$A$82,VLOOKUP($A118,Nipples!$A$9:$Q$81,5,FALSE),
IF($A118&lt;Manifold!$A$33,VLOOKUP($A118,Manifold!$A$9:$M$32,5,FALSE),
IF($A118&lt;FlexibleRepairCouplings!$A$12,VLOOKUP($A118,FlexibleRepairCouplings!$A$9:$M$11,5,FALSE),
IF($A118&lt;DuraFix!$A$15,VLOOKUP($A118,DuraFix!$A$9:$M$14,5,FALSE),
IF($A118&lt;'Compression Fittings'!$A$16,VLOOKUP($A118,'Compression Fittings'!$A$8:$M$15,5,FALSE),
IF($A118&lt;'Hose Fittings'!$A$30,VLOOKUP($A118,'Hose Fittings'!$A$8:$M$29,5,FALSE),
IF($A118&lt;'Swing Joints'!$A$495,VLOOKUP($A118,'Swing Joints'!$A$9:$M$494,5,FALSE),
IF($A118&lt;'Swing Joints Components'!$A$135,VLOOKUP($A118,'Swing Joints Components'!$A$9:$M$134,5,FALSE),
IF($A118&lt;Nonstandard!$A$42,VLOOKUP($A118,Nonstandard!$A$31:$J$41,6,FALSE),"")))))))))))))))))))))))))))),"")</f>
        <v/>
      </c>
      <c r="D118" s="537" t="str">
        <f>IFERROR(IF($A118&lt;'DWV PVC'!$A$317,VLOOKUP($A118,'DWV PVC'!$A$9:$M$316,6,FALSE),
IF($A118&lt;'DWV ABS'!$A$117,VLOOKUP($A118,'DWV ABS'!$A$8:$M$116,6,FALSE),
IF($A118&lt;'PVC SCH40'!$A$425,VLOOKUP($A118,'PVC SCH40'!$A$8:$M$424,6,FALSE),
IF($A118&lt;'PVC SCH40 LD'!$A$22,VLOOKUP($A118,'PVC SCH40 LD'!$A$8:$M$21,6,FALSE),
IF($A118&lt;'Pool &amp; SPA Sweep Elbows'!$A$12,VLOOKUP($A118,'Pool &amp; SPA Sweep Elbows'!$A$8:$M$11,6,FALSE),
IF($A118&lt;'Pool &amp; SPA Pipe Extender'!$A$11,VLOOKUP($A118,'Pool &amp; SPA Pipe Extender'!$A$8:$M$10,6,FALSE),
IF($A118&lt;'PVC SCH80'!$A$250,VLOOKUP($A118,'PVC SCH80'!$A$8:$M$249,6,FALSE),
IF($A118&lt;'PVC SCH80 Flange'!$A$49,VLOOKUP($A118,'PVC SCH80 Flange'!$A$8:$M$48,6,FALSE),
IF($A118&lt;'PVC SCH80 LD Flange'!$A$17,VLOOKUP($A118,'PVC SCH80 LD Flange'!$A$8:$M$16,6,FALSE),
IF($A118&lt;CPVC!$A$105,VLOOKUP($A118,CPVC!$A$9:$M$104,6,FALSE),
IF($A118&lt;InsertFittings!$A$185,VLOOKUP($A118,InsertFittings!$A$9:$M$184,6,FALSE),
IF($A118&lt;Valves!$A$92,VLOOKUP($A118,Valves!$A$9:$Q$91,6,FALSE),
IF($A118&lt;SDR35SW!$A$133,VLOOKUP($A118,SDR35SW!$A$9:$M$132,6,FALSE),
IF($A118&lt;SDR35G!$A$151,VLOOKUP($A118,SDR35G!$A$9:$M$150,6,FALSE),
IF($A118&lt;SDR26G!$A$67,VLOOKUP($A118,SDR26G!$A$9:$N$66,7,FALSE),
IF($A118&lt;Cements!$A$95,VLOOKUP($A118,Cements!$A$8:$Q$94,6,FALSE),
IF($A118&lt;ValveBox!$A$124,VLOOKUP($A118,ValveBox!$A$9:$O$123,6,FALSE),
IF($A118&lt;'ValveBox Components'!$A$142,VLOOKUP($A118,'ValveBox Components'!$A$9:$N$141,6,FALSE),
IF($A118&lt;Drainage!$A$69,VLOOKUP($A118,Drainage!$A$8:$M$68,6,FALSE),
IF($A118&lt;Nipples!$A$82,VLOOKUP($A118,Nipples!$A$9:$Q$81,6,FALSE),
IF($A118&lt;Manifold!$A$33,VLOOKUP($A118,Manifold!$A$9:$M$32,6,FALSE),
IF($A118&lt;FlexibleRepairCouplings!$A$12,VLOOKUP($A118,FlexibleRepairCouplings!$A$9:$M$11,6,FALSE),
IF($A118&lt;DuraFix!$A$15,VLOOKUP($A118,DuraFix!$A$9:$M$14,6,FALSE),
IF($A118&lt;'Compression Fittings'!$A$16,VLOOKUP($A118,'Compression Fittings'!$A$8:$M$15,6,FALSE),
IF($A118&lt;'Hose Fittings'!$A$30,VLOOKUP($A118,'Hose Fittings'!$A$8:$M$29,6,FALSE),
IF($A118&lt;'Swing Joints'!$A$495,VLOOKUP($A118,'Swing Joints'!$A$9:$M$494,6,FALSE),
IF($A118&lt;'Swing Joints Components'!$A$135,VLOOKUP($A118,'Swing Joints Components'!$A$9:$M$134,6,FALSE),
IF($A118&lt;Nonstandard!$A$42,VLOOKUP($A118,Nonstandard!$A$31:$J$41,7,FALSE),"")))))))))))))))))))))))))))),"")</f>
        <v/>
      </c>
      <c r="E118" s="538"/>
      <c r="F118" s="539" t="str">
        <f>IFERROR(IF($A118&lt;'DWV PVC'!$A$317,VLOOKUP($A118,'DWV PVC'!$A$9:$M$316,9,FALSE),
IF($A118&lt;'DWV ABS'!$A$117,VLOOKUP($A118,'DWV ABS'!$A$8:$M$116,9,FALSE),                                                                                                                                                                                                                                                     IF($A118&lt;'PVC SCH40'!$A$425,VLOOKUP($A118,'PVC SCH40'!$A$8:$M$424,9,FALSE),
IF($A118&lt;'PVC SCH40 LD'!$A$22,VLOOKUP($A118,'PVC SCH40 LD'!$A$8:$M$21,9,FALSE),
IF($A118&lt;'Pool &amp; SPA Sweep Elbows'!$A$12,VLOOKUP($A118,'Pool &amp; SPA Sweep Elbows'!$A$8:$M$11,9,FALSE),
IF($A118&lt;'Pool &amp; SPA Pipe Extender'!$A$11,VLOOKUP($A118,'Pool &amp; SPA Pipe Extender'!$A$8:$M$10,9,FALSE),
IF($A118&lt;'PVC SCH80'!$A$250,VLOOKUP($A118,'PVC SCH80'!$A$8:$M$249,9,FALSE),
IF($A118&lt;'PVC SCH80 Flange'!$A$49,VLOOKUP($A118,'PVC SCH80 Flange'!$A$8:$M$48,9,FALSE),
IF($A118&lt;'PVC SCH80 LD Flange'!$A$17,VLOOKUP($A118,'PVC SCH80 LD Flange'!$A$8:$M$16,9,FALSE),
IF($A118&lt;CPVC!$A$105,VLOOKUP($A118,CPVC!$A$9:$M$104,9,FALSE),
IF($A118&lt;InsertFittings!$A$185,VLOOKUP($A118,InsertFittings!$A$9:$M$184,9,FALSE),
IF($A118&lt;Valves!$A$92,VLOOKUP($A118,Valves!$A$9:$Q$91,13,FALSE),
IF($A118&lt;SDR35SW!$A$133,VLOOKUP($A118,SDR35SW!$A$9:$M$132,9,FALSE),
IF($A118&lt;SDR35G!$A$151,VLOOKUP($A118,SDR35G!$A$9:$M$150,9,FALSE),                                                                                                                                                                                                                                                          IF($A118&lt;SDR26G!$A$67,VLOOKUP($A118,SDR26G!$A$9:$N$66,10,FALSE),                                                                                                                                                                                                                                                       IF($A118&lt;Cements!$A$95,VLOOKUP($A118,Cements!$A$8:$Q$94,13,FALSE),
IF($A118&lt;ValveBox!$A$124,VLOOKUP($A118,ValveBox!$A$9:$O$123,11,FALSE),
IF($A118&lt;'ValveBox Components'!$A$142,VLOOKUP($A118,'ValveBox Components'!$A$9:$N$141,10,FALSE),
IF($A118&lt;Drainage!$A$69,VLOOKUP($A118,Drainage!$A$8:$M$68,9,FALSE),                                                                                                                                                                                                                                                              IF($A118&lt;Nipples!$A$82,VLOOKUP($A118,Nipples!$A$9:$Q$81,13,FALSE),
IF($A118&lt;Manifold!$A$33,VLOOKUP($A118,Manifold!$A$9:$M$32,9,FALSE),
IF($A118&lt;FlexibleRepairCouplings!$A$12,VLOOKUP($A118,FlexibleRepairCouplings!$A$9:$M$11,9,FALSE),
IF($A118&lt;DuraFix!$A$15,VLOOKUP($A118,DuraFix!$A$9:$M$14,9,FALSE),                                                                                                                                                                                                                                                          IF($A118&lt;'Compression Fittings'!$A$16,VLOOKUP($A118,'Compression Fittings'!$A$8:$M$15,9,FALSE),
IF($A118&lt;'Hose Fittings'!$A$30,VLOOKUP($A118,'Hose Fittings'!$A$8:$M$29,9,FALSE),
IF($A118&lt;'Swing Joints'!$A$495,VLOOKUP($A118,'Swing Joints'!$A$9:$M$494,9,FALSE),
IF($A118&lt;'Swing Joints Components'!$A$135,VLOOKUP($A118,'Swing Joints Components'!$A$9:$M$134,9,FALSE),
IF($A118&lt;Nonstandard!$A$42,VLOOKUP($A118,Nonstandard!$A$31:$J$41,8,FALSE),"")))))))))))))))))))))))))))),"")</f>
        <v/>
      </c>
      <c r="G118" s="540" t="str">
        <f>IFERROR(IF($A118&lt;'DWV PVC'!$A$317,VLOOKUP($A118,'DWV PVC'!$A$9:$M$316,11,FALSE),
IF($A118&lt;'DWV ABS'!$A$117,VLOOKUP($A118,'DWV ABS'!$A$8:$M$116,11,FALSE),                                                                                                                                                                                                                                                     IF($A118&lt;'PVC SCH40'!$A$425,VLOOKUP($A118,'PVC SCH40'!$A$8:$M$424,11,FALSE),
IF($A118&lt;'PVC SCH40 LD'!$A$22,VLOOKUP($A118,'PVC SCH40 LD'!$A$8:$M$21,11,FALSE),
IF($A118&lt;'Pool &amp; SPA Sweep Elbows'!$A$12,VLOOKUP($A118,'Pool &amp; SPA Sweep Elbows'!$A$8:$M$11,11,FALSE),
IF($A118&lt;'Pool &amp; SPA Pipe Extender'!$A$11,VLOOKUP($A118,'Pool &amp; SPA Pipe Extender'!$A$8:$M$10,11,FALSE),
IF($A118&lt;'PVC SCH80'!$A$250,VLOOKUP($A118,'PVC SCH80'!$A$8:$M$249,11,FALSE),
IF($A118&lt;'PVC SCH80 Flange'!$A$49,VLOOKUP($A118,'PVC SCH80 Flange'!$A$8:$M$48,11,FALSE),
IF($A118&lt;'PVC SCH80 LD Flange'!$A$17,VLOOKUP($A118,'PVC SCH80 LD Flange'!$A$8:$M$16,11,FALSE),
IF($A118&lt;CPVC!$A$105,VLOOKUP($A118,CPVC!$A$9:$M$104,11,FALSE),
IF($A118&lt;InsertFittings!$A$185,VLOOKUP($A118,InsertFittings!$A$9:$M$184,11,FALSE),
IF($A118&lt;Valves!$A$92,VLOOKUP($A118,Valves!$A$9:$Q$91,15,FALSE),
IF($A118&lt;SDR35SW!$A$133,VLOOKUP($A118,SDR35SW!$A$9:$M$132,11,FALSE),
IF($A118&lt;SDR35G!$A$151,VLOOKUP($A118,SDR35G!$A$9:$M$150,11,FALSE),                                                                                                                                                                                                                                                          IF($A118&lt;SDR26G!$A$67,VLOOKUP($A118,SDR26G!$A$9:$N$66,12,FALSE),                                                                                                                                                                                                                                                       IF($A118&lt;Cements!$A$95,VLOOKUP($A118,Cements!$A$8:$Q$94,15,FALSE),
IF($A118&lt;ValveBox!$A$124,VLOOKUP($A118,ValveBox!$A$9:$O$123,13,FALSE),
IF($A118&lt;'ValveBox Components'!$A$142,VLOOKUP($A118,'ValveBox Components'!$A$9:$N$141,12,FALSE),
IF($A118&lt;Drainage!$A$69,VLOOKUP($A118,Drainage!$A$8:$M$68,11,FALSE),                                                                                                                                                                                                                                                           IF($A118&lt;Nipples!$A$82,VLOOKUP($A118,Nipples!$A$9:$Q$81,15,FALSE),
IF($A118&lt;Manifold!$A$33,VLOOKUP($A118,Manifold!$A$9:$M$32,11,FALSE),
IF($A118&lt;FlexibleRepairCouplings!$A$12,VLOOKUP($A118,FlexibleRepairCouplings!$A$9:$M$11,11,FALSE),
IF($A118&lt;DuraFix!$A$15,VLOOKUP($A118,DuraFix!$A$9:$M$14,11,FALSE),                                                                                                                                                                                                                                                            IF($A118&lt;'Compression Fittings'!$A$16,VLOOKUP($A118,'Compression Fittings'!$A$8:$M$15,11,FALSE),
IF($A118&lt;'Hose Fittings'!$A$30,VLOOKUP($A118,'Hose Fittings'!$A$8:$M$29,11,FALSE),
IF($A118&lt;'Swing Joints'!$A$495,VLOOKUP($A118,'Swing Joints'!$A$9:$M$494,11,FALSE),
IF($A118&lt;'Swing Joints Components'!$A$135,VLOOKUP($A118,'Swing Joints Components'!$A$9:$M$134,11,FALSE),
IF($A118&lt;Nonstandard!$A$42,VLOOKUP($A118,Nonstandard!$A$31:$J$41,10,FALSE),"")))))))))))))))))))))))))))),"")</f>
        <v/>
      </c>
      <c r="H118" s="620" t="str">
        <f>IFERROR(IF($A118&lt;'DWV PVC'!$A$317,VLOOKUP($A118,'DWV PVC'!$A$9:$M$316,7,FALSE),
IF($A118&lt;'DWV ABS'!$A$117,VLOOKUP($A118,'DWV ABS'!$A$8:$M$116,11,FALSE),                                                                                                                                                                                                                                                     IF($A118&lt;'PVC SCH40'!$A$425,VLOOKUP($A118,'PVC SCH40'!$A$8:$M$424,7,FALSE),
IF($A118&lt;'PVC SCH40 LD'!$A$22,VLOOKUP($A118,'PVC SCH40 LD'!$A$8:$M$21,7,FALSE),
IF($A118&lt;'Pool &amp; SPA Sweep Elbows'!$A$12,VLOOKUP($A118,'Pool &amp; SPA Sweep Elbows'!$A$8:$M$11,7,FALSE),
IF($A118&lt;'Pool &amp; SPA Pipe Extender'!$A$11,VLOOKUP($A118,'Pool &amp; SPA Pipe Extender'!$A$8:$M$10,7,FALSE),
IF($A118&lt;'PVC SCH80'!$A$250,VLOOKUP($A118,'PVC SCH80'!$A$8:$M$249,7,FALSE),
IF($A118&lt;'PVC SCH80 Flange'!$A$49,VLOOKUP($A118,'PVC SCH80 Flange'!$A$8:$M$48,7,FALSE),
IF($A118&lt;'PVC SCH80 LD Flange'!$A$17,VLOOKUP($A118,'PVC SCH80 LD Flange'!$A$8:$M$16,7,FALSE),
IF($A118&lt;CPVC!$A$105,VLOOKUP($A118,CPVC!$A$9:$M$104,7,FALSE),
IF($A118&lt;InsertFittings!$A$185,VLOOKUP($A118,InsertFittings!$A$9:$M$184,7,FALSE),
IF($A118&lt;Valves!$A$92,VLOOKUP($A118,Valves!$A$9:$Q$91,11,FALSE),
IF($A118&lt;SDR35SW!$A$133,VLOOKUP($A118,SDR35SW!$A$9:$M$132,7,FALSE),
IF($A118&lt;SDR35G!$A$151,VLOOKUP($A118,SDR35G!$A$9:$M$150,7,FALSE),                                                                                                                                                                                                                                                       IF($A118&lt;SDR26G!$A$67,VLOOKUP($A118,SDR26G!$A$9:$N$66,8,FALSE),                                                                                                                                                                                                                                                     IF($A118&lt;Cements!$A$95,VLOOKUP($A118,Cements!$A$8:$Q$94,11,FALSE),
IF($A118&lt;ValveBox!$A$124,VLOOKUP($A118,ValveBox!$A$9:$O$123,10,FALSE),
IF($A118&lt;'ValveBox Components'!$A$142,VLOOKUP($A118,'ValveBox Components'!$A$9:$N$141,9,FALSE),
IF($A118&lt;Drainage!$A$69,VLOOKUP($A118,Drainage!$A$8:$M$68,7,FALSE),                                                                                                                                                                                                                                                          IF($A118&lt;Nipples!$A$82,VLOOKUP($A118,Nipples!$A$9:$Q$81,11,FALSE),
IF($A118&lt;Manifold!$A$33,VLOOKUP($A118,Manifold!$A$9:$M$32,7,FALSE),
IF($A118&lt;FlexibleRepairCouplings!$A$12,VLOOKUP($A118,FlexibleRepairCouplings!$A$9:$M$11,7,FALSE),
IF($A118&lt;DuraFix!$A$15,VLOOKUP($A118,DuraFix!$A$9:$M$14,7,FALSE),                                                                                                                                                                                                                                                           IF($A118&lt;'Compression Fittings'!$A$16,VLOOKUP($A118,'Compression Fittings'!$A$8:$M$15,7,FALSE),
IF($A118&lt;'Hose Fittings'!$A$30,VLOOKUP($A118,'Hose Fittings'!$A$8:$M$29,7,FALSE),
IF($A118&lt;'Swing Joints'!$A$495,VLOOKUP($A118,'Swing Joints'!$A$9:$M$494,7,FALSE),
IF($A118&lt;'Swing Joints Components'!$A$135,VLOOKUP($A118,'Swing Joints Components'!$A$9:$M$134,7,FALSE),
IF($A118&lt;Nonstandard!$A$42,VLOOKUP($A118,Nonstandard!$A$31:$J$41,10,FALSE),"")))))))))))))))))))))))))))),"")</f>
        <v/>
      </c>
      <c r="I118" s="621"/>
      <c r="J118" s="541" t="str">
        <f t="shared" si="3"/>
        <v/>
      </c>
      <c r="K118" s="599" t="str">
        <f>IFERROR(IF($A118&lt;'DWV PVC'!$A$317,VLOOKUP($A118,'DWV PVC'!$A$9:$M$316,10,FALSE),
IF($A118&lt;'DWV ABS'!$A$117,VLOOKUP($A118,'DWV ABS'!$A$8:$M$116,10,FALSE),
IF($A118&lt;'PVC SCH40'!$A$425,VLOOKUP($A118,'PVC SCH40'!$A$8:$M$424,10,FALSE),
IF($A118&lt;'PVC SCH40 LD'!$A$22,VLOOKUP($A118,'PVC SCH40 LD'!$A$8:$M$21,10,FALSE),
IF($A118&lt;'Pool &amp; SPA Sweep Elbows'!$A$12,VLOOKUP($A118,'Pool &amp; SPA Sweep Elbows'!$A$8:$M$11,10,FALSE),
IF($A118&lt;'Pool &amp; SPA Pipe Extender'!$A$11,VLOOKUP($A118,'Pool &amp; SPA Pipe Extender'!$A$8:$M$10,10,FALSE),
IF($A118&lt;'PVC SCH80'!$A$250,VLOOKUP($A118,'PVC SCH80'!$A$8:$M$249,10,FALSE),
IF($A118&lt;'PVC SCH80 Flange'!$A$49,VLOOKUP($A118,'PVC SCH80 Flange'!$A$8:$M$48,10,FALSE),
IF($A118&lt;'PVC SCH80 LD Flange'!$A$17,VLOOKUP($A118,'PVC SCH80 LD Flange'!$A$8:$M$16,10,FALSE),
IF($A118&lt;CPVC!$A$105,VLOOKUP($A118,CPVC!$A$9:$M$104,10,FALSE),
IF($A118&lt;InsertFittings!$A$185,VLOOKUP($A118,InsertFittings!$A$9:$M$184,10,FALSE),
IF($A118&lt;Valves!$A$92,VLOOKUP($A118,Valves!$A$9:$Q$91,14,FALSE),
IF($A118&lt;SDR35SW!$A$133,VLOOKUP($A118,SDR35SW!$A$9:$M$132,10,FALSE),
IF($A118&lt;SDR35G!$A$151,VLOOKUP($A118,SDR35G!$A$9:$M$150,10,FALSE),
IF($A118&lt;SDR26G!$A$67,VLOOKUP($A118,SDR26G!$A$9:$N$66,11,FALSE),
IF($A118&lt;Cements!$A$95,VLOOKUP($A118,Cements!$A$8:$Q$94,14,FALSE),
IF($A118&lt;ValveBox!$A$124,VLOOKUP($A118,ValveBox!$A$9:$O$123,12,FALSE),
IF($A118&lt;'ValveBox Components'!$A$142,VLOOKUP($A118,'ValveBox Components'!$A$9:$N$141,11,FALSE),
IF($A118&lt;Drainage!$A$69,VLOOKUP($A118,Drainage!$A$8:$M$68,10,FALSE),
IF($A118&lt;Nipples!$A$82,VLOOKUP($A118,Nipples!$A$9:$Q$81,14,FALSE),
IF($A118&lt;Manifold!$A$33,VLOOKUP($A118,Manifold!$A$9:$M$32,10,FALSE),
IF($A118&lt;FlexibleRepairCouplings!$A$12,VLOOKUP($A118,FlexibleRepairCouplings!$A$9:$M$11,10,FALSE),
IF($A118&lt;DuraFix!$A$15,VLOOKUP($A118,DuraFix!$A$9:$M$14,10,FALSE),
IF($A118&lt;'Compression Fittings'!$A$16,VLOOKUP($A118,'Compression Fittings'!$A$8:$M$15,10,FALSE),
IF($A118&lt;'Hose Fittings'!$A$30,VLOOKUP($A118,'Hose Fittings'!$A$8:$M$29,10,FALSE),
IF($A118&lt;'Swing Joints'!$A$495,VLOOKUP($A118,'Swing Joints'!$A$9:$M$494,10,FALSE),
IF($A118&lt;'Swing Joints Components'!$A$135,VLOOKUP($A118,'Swing Joints Components'!$A$9:$M$134,10,FALSE),
IF($A118&lt;Nonstandard!$A$42,VLOOKUP($A118,Nonstandard!$A$31:$J$41,10,FALSE),"")))))))))))))))))))))))))))),"")</f>
        <v/>
      </c>
      <c r="L118" s="539" t="str">
        <f t="shared" si="2"/>
        <v>-</v>
      </c>
      <c r="M118" s="542"/>
    </row>
    <row r="119" spans="1:13" ht="15.6">
      <c r="A119" s="312">
        <v>87</v>
      </c>
      <c r="B119" s="312" t="str">
        <f>IFERROR(IF($A119&lt;'DWV PVC'!$A$317,VLOOKUP($A119,'DWV PVC'!$A$9:$M$316,4,FALSE),
IF($A119&lt;'DWV ABS'!$A$117,VLOOKUP($A119,'DWV ABS'!$A$8:$M$116,4,FALSE),
IF($A119&lt;'PVC SCH40'!$A$425,VLOOKUP($A119,'PVC SCH40'!$A$8:$M$424,4,FALSE),
IF($A119&lt;'PVC SCH40 LD'!$A$22,VLOOKUP($A119,'PVC SCH40 LD'!$A$8:$M$21,4,FALSE),
IF($A119&lt;'Pool &amp; SPA Sweep Elbows'!$A$12,VLOOKUP($A119,'Pool &amp; SPA Sweep Elbows'!$A$8:$M$11,4,FALSE),
IF($A119&lt;'Pool &amp; SPA Pipe Extender'!$A$11,VLOOKUP($A119,'Pool &amp; SPA Pipe Extender'!$A$8:$M$10,4,FALSE),
IF($A119&lt;'PVC SCH80'!$A$250,VLOOKUP($A119,'PVC SCH80'!$A$8:$M$249,4,FALSE),
IF($A119&lt;'PVC SCH80 Flange'!$A$49,VLOOKUP($A119,'PVC SCH80 Flange'!$A$8:$M$48,4,FALSE),
IF($A119&lt;'PVC SCH80 LD Flange'!$A$17,VLOOKUP($A119,'PVC SCH80 LD Flange'!$A$8:$M$16,4,FALSE),
IF($A119&lt;CPVC!$A$105,VLOOKUP($A119,CPVC!$A$9:$M$104,4,FALSE),
IF($A119&lt;InsertFittings!$A$185,VLOOKUP($A119,InsertFittings!$A$9:$M$184,4,FALSE),
IF($A119&lt;Valves!$A$92,VLOOKUP($A119,Valves!$A$9:$Q$91,4,FALSE),
IF($A119&lt;SDR35SW!$A$133,VLOOKUP($A119,SDR35SW!$A$9:$M$132,4,FALSE),
IF($A119&lt;SDR35G!$A$151,VLOOKUP($A119,SDR35G!$A$9:$M$150,4,FALSE),
IF($A119&lt;SDR26G!$A$67,VLOOKUP($A119,SDR26G!$A$9:$N$66,5,FALSE),
IF($A119&lt;Cements!$A$95,VLOOKUP($A119,Cements!$A$8:$Q$94,4,FALSE),
IF($A119&lt;ValveBox!$A$124,VLOOKUP($A119,ValveBox!$A$9:$O$123,4,FALSE),
IF($A119&lt;'ValveBox Components'!$A$142,VLOOKUP($A119,'ValveBox Components'!$A$9:$N$141,4,FALSE),
IF($A119&lt;Drainage!$A$69,VLOOKUP($A119,Drainage!$A$8:$M$68,4,FALSE),
IF($A119&lt;Nipples!$A$82,VLOOKUP($A119,Nipples!$A$9:$Q$81,4,FALSE),
IF($A119&lt;Manifold!$A$33,VLOOKUP($A119,Manifold!$A$9:$M$32,4,FALSE),
IF($A119&lt;FlexibleRepairCouplings!$A$12,VLOOKUP($A119,FlexibleRepairCouplings!$A$9:$M$11,4,FALSE),
IF($A119&lt;DuraFix!$A$15,VLOOKUP($A119,DuraFix!$A$9:$M$14,4,FALSE),
IF($A119&lt;'Compression Fittings'!$A$16,VLOOKUP($A119,'Compression Fittings'!$A$8:$M$15,4,FALSE),
IF($A119&lt;'Hose Fittings'!$A$30,VLOOKUP($A119,'Hose Fittings'!$A$8:$M$29,4,FALSE),
IF($A119&lt;'Swing Joints'!$A$495,VLOOKUP($A119,'Swing Joints'!$A$9:$M$494,4,FALSE),
IF($A119&lt;'Swing Joints Components'!$A$135,VLOOKUP($A119,'Swing Joints Components'!$A$9:$M$134,4,FALSE),
IF($A119&lt;Nonstandard!$A$42,VLOOKUP($A119,Nonstandard!$A$31:$J$41,5,FALSE),"")))))))))))))))))))))))))))),"")</f>
        <v/>
      </c>
      <c r="C119" s="312" t="str">
        <f>IFERROR(IF($A119&lt;'DWV PVC'!$A$317,VLOOKUP($A119,'DWV PVC'!$A$9:$M$316,5,FALSE),
IF($A119&lt;'DWV ABS'!$A$117,VLOOKUP($A119,'DWV ABS'!$A$8:$M$116,5,FALSE),
IF($A119&lt;'PVC SCH40'!$A$425,VLOOKUP($A119,'PVC SCH40'!$A$8:$M$424,5,FALSE),
IF($A119&lt;'PVC SCH40 LD'!$A$22,VLOOKUP($A119,'PVC SCH40 LD'!$A$8:$M$21,5,FALSE),
IF($A119&lt;'Pool &amp; SPA Sweep Elbows'!$A$12,VLOOKUP($A119,'Pool &amp; SPA Sweep Elbows'!$A$8:$M$11,5,FALSE),
IF($A119&lt;'Pool &amp; SPA Pipe Extender'!$A$11,VLOOKUP($A119,'Pool &amp; SPA Pipe Extender'!$A$8:$M$10,5,FALSE),
IF($A119&lt;'PVC SCH80'!$A$250,VLOOKUP($A119,'PVC SCH80'!$A$8:$M$249,5,FALSE),
IF($A119&lt;'PVC SCH80 Flange'!$A$49,VLOOKUP($A119,'PVC SCH80 Flange'!$A$8:$M$48,5,FALSE),
IF($A119&lt;'PVC SCH80 LD Flange'!$A$17,VLOOKUP($A119,'PVC SCH80 LD Flange'!$A$8:$M$16,5,FALSE),
IF($A119&lt;CPVC!$A$105,VLOOKUP($A119,CPVC!$A$9:$M$104,5,FALSE),
IF($A119&lt;InsertFittings!$A$185,VLOOKUP($A119,InsertFittings!$A$9:$M$184,5,FALSE),
IF($A119&lt;Valves!$A$92,VLOOKUP($A119,Valves!$A$9:$Q$91,5,FALSE),
IF($A119&lt;SDR35SW!$A$133,VLOOKUP($A119,SDR35SW!$A$9:$M$132,5,FALSE),
IF($A119&lt;SDR35G!$A$151,VLOOKUP($A119,SDR35G!$A$9:$M$150,5,FALSE),
IF($A119&lt;SDR26G!$A$67,VLOOKUP($A119,SDR26G!$A$9:$N$66,6,FALSE),
IF($A119&lt;Cements!$A$95,VLOOKUP($A119,Cements!$A$8:$Q$94,5,FALSE),
IF($A119&lt;ValveBox!$A$124,VLOOKUP($A119,ValveBox!$A$9:$O$123,5,FALSE),
IF($A119&lt;'ValveBox Components'!$A$142,VLOOKUP($A119,'ValveBox Components'!$A$9:$N$141,5,FALSE),
IF($A119&lt;Drainage!$A$69,VLOOKUP($A119,Drainage!$A$8:$M$68,5,FALSE),
IF($A119&lt;Nipples!$A$82,VLOOKUP($A119,Nipples!$A$9:$Q$81,5,FALSE),
IF($A119&lt;Manifold!$A$33,VLOOKUP($A119,Manifold!$A$9:$M$32,5,FALSE),
IF($A119&lt;FlexibleRepairCouplings!$A$12,VLOOKUP($A119,FlexibleRepairCouplings!$A$9:$M$11,5,FALSE),
IF($A119&lt;DuraFix!$A$15,VLOOKUP($A119,DuraFix!$A$9:$M$14,5,FALSE),
IF($A119&lt;'Compression Fittings'!$A$16,VLOOKUP($A119,'Compression Fittings'!$A$8:$M$15,5,FALSE),
IF($A119&lt;'Hose Fittings'!$A$30,VLOOKUP($A119,'Hose Fittings'!$A$8:$M$29,5,FALSE),
IF($A119&lt;'Swing Joints'!$A$495,VLOOKUP($A119,'Swing Joints'!$A$9:$M$494,5,FALSE),
IF($A119&lt;'Swing Joints Components'!$A$135,VLOOKUP($A119,'Swing Joints Components'!$A$9:$M$134,5,FALSE),
IF($A119&lt;Nonstandard!$A$42,VLOOKUP($A119,Nonstandard!$A$31:$J$41,6,FALSE),"")))))))))))))))))))))))))))),"")</f>
        <v/>
      </c>
      <c r="D119" s="534" t="str">
        <f>IFERROR(IF($A119&lt;'DWV PVC'!$A$317,VLOOKUP($A119,'DWV PVC'!$A$9:$M$316,6,FALSE),
IF($A119&lt;'DWV ABS'!$A$117,VLOOKUP($A119,'DWV ABS'!$A$8:$M$116,6,FALSE),
IF($A119&lt;'PVC SCH40'!$A$425,VLOOKUP($A119,'PVC SCH40'!$A$8:$M$424,6,FALSE),
IF($A119&lt;'PVC SCH40 LD'!$A$22,VLOOKUP($A119,'PVC SCH40 LD'!$A$8:$M$21,6,FALSE),
IF($A119&lt;'Pool &amp; SPA Sweep Elbows'!$A$12,VLOOKUP($A119,'Pool &amp; SPA Sweep Elbows'!$A$8:$M$11,6,FALSE),
IF($A119&lt;'Pool &amp; SPA Pipe Extender'!$A$11,VLOOKUP($A119,'Pool &amp; SPA Pipe Extender'!$A$8:$M$10,6,FALSE),
IF($A119&lt;'PVC SCH80'!$A$250,VLOOKUP($A119,'PVC SCH80'!$A$8:$M$249,6,FALSE),
IF($A119&lt;'PVC SCH80 Flange'!$A$49,VLOOKUP($A119,'PVC SCH80 Flange'!$A$8:$M$48,6,FALSE),
IF($A119&lt;'PVC SCH80 LD Flange'!$A$17,VLOOKUP($A119,'PVC SCH80 LD Flange'!$A$8:$M$16,6,FALSE),
IF($A119&lt;CPVC!$A$105,VLOOKUP($A119,CPVC!$A$9:$M$104,6,FALSE),
IF($A119&lt;InsertFittings!$A$185,VLOOKUP($A119,InsertFittings!$A$9:$M$184,6,FALSE),
IF($A119&lt;Valves!$A$92,VLOOKUP($A119,Valves!$A$9:$Q$91,6,FALSE),
IF($A119&lt;SDR35SW!$A$133,VLOOKUP($A119,SDR35SW!$A$9:$M$132,6,FALSE),
IF($A119&lt;SDR35G!$A$151,VLOOKUP($A119,SDR35G!$A$9:$M$150,6,FALSE),
IF($A119&lt;SDR26G!$A$67,VLOOKUP($A119,SDR26G!$A$9:$N$66,7,FALSE),
IF($A119&lt;Cements!$A$95,VLOOKUP($A119,Cements!$A$8:$Q$94,6,FALSE),
IF($A119&lt;ValveBox!$A$124,VLOOKUP($A119,ValveBox!$A$9:$O$123,6,FALSE),
IF($A119&lt;'ValveBox Components'!$A$142,VLOOKUP($A119,'ValveBox Components'!$A$9:$N$141,6,FALSE),
IF($A119&lt;Drainage!$A$69,VLOOKUP($A119,Drainage!$A$8:$M$68,6,FALSE),
IF($A119&lt;Nipples!$A$82,VLOOKUP($A119,Nipples!$A$9:$Q$81,6,FALSE),
IF($A119&lt;Manifold!$A$33,VLOOKUP($A119,Manifold!$A$9:$M$32,6,FALSE),
IF($A119&lt;FlexibleRepairCouplings!$A$12,VLOOKUP($A119,FlexibleRepairCouplings!$A$9:$M$11,6,FALSE),
IF($A119&lt;DuraFix!$A$15,VLOOKUP($A119,DuraFix!$A$9:$M$14,6,FALSE),
IF($A119&lt;'Compression Fittings'!$A$16,VLOOKUP($A119,'Compression Fittings'!$A$8:$M$15,6,FALSE),
IF($A119&lt;'Hose Fittings'!$A$30,VLOOKUP($A119,'Hose Fittings'!$A$8:$M$29,6,FALSE),
IF($A119&lt;'Swing Joints'!$A$495,VLOOKUP($A119,'Swing Joints'!$A$9:$M$494,6,FALSE),
IF($A119&lt;'Swing Joints Components'!$A$135,VLOOKUP($A119,'Swing Joints Components'!$A$9:$M$134,6,FALSE),
IF($A119&lt;Nonstandard!$A$42,VLOOKUP($A119,Nonstandard!$A$31:$J$41,7,FALSE),"")))))))))))))))))))))))))))),"")</f>
        <v/>
      </c>
      <c r="E119" s="316"/>
      <c r="F119" s="314" t="str">
        <f>IFERROR(IF($A119&lt;'DWV PVC'!$A$317,VLOOKUP($A119,'DWV PVC'!$A$9:$M$316,9,FALSE),
IF($A119&lt;'DWV ABS'!$A$117,VLOOKUP($A119,'DWV ABS'!$A$8:$M$116,9,FALSE),                                                                                                                                                                                                                                                     IF($A119&lt;'PVC SCH40'!$A$425,VLOOKUP($A119,'PVC SCH40'!$A$8:$M$424,9,FALSE),
IF($A119&lt;'PVC SCH40 LD'!$A$22,VLOOKUP($A119,'PVC SCH40 LD'!$A$8:$M$21,9,FALSE),
IF($A119&lt;'Pool &amp; SPA Sweep Elbows'!$A$12,VLOOKUP($A119,'Pool &amp; SPA Sweep Elbows'!$A$8:$M$11,9,FALSE),
IF($A119&lt;'Pool &amp; SPA Pipe Extender'!$A$11,VLOOKUP($A119,'Pool &amp; SPA Pipe Extender'!$A$8:$M$10,9,FALSE),
IF($A119&lt;'PVC SCH80'!$A$250,VLOOKUP($A119,'PVC SCH80'!$A$8:$M$249,9,FALSE),
IF($A119&lt;'PVC SCH80 Flange'!$A$49,VLOOKUP($A119,'PVC SCH80 Flange'!$A$8:$M$48,9,FALSE),
IF($A119&lt;'PVC SCH80 LD Flange'!$A$17,VLOOKUP($A119,'PVC SCH80 LD Flange'!$A$8:$M$16,9,FALSE),
IF($A119&lt;CPVC!$A$105,VLOOKUP($A119,CPVC!$A$9:$M$104,9,FALSE),
IF($A119&lt;InsertFittings!$A$185,VLOOKUP($A119,InsertFittings!$A$9:$M$184,9,FALSE),
IF($A119&lt;Valves!$A$92,VLOOKUP($A119,Valves!$A$9:$Q$91,13,FALSE),
IF($A119&lt;SDR35SW!$A$133,VLOOKUP($A119,SDR35SW!$A$9:$M$132,9,FALSE),
IF($A119&lt;SDR35G!$A$151,VLOOKUP($A119,SDR35G!$A$9:$M$150,9,FALSE),                                                                                                                                                                                                                                                          IF($A119&lt;SDR26G!$A$67,VLOOKUP($A119,SDR26G!$A$9:$N$66,10,FALSE),                                                                                                                                                                                                                                                       IF($A119&lt;Cements!$A$95,VLOOKUP($A119,Cements!$A$8:$Q$94,13,FALSE),
IF($A119&lt;ValveBox!$A$124,VLOOKUP($A119,ValveBox!$A$9:$O$123,11,FALSE),
IF($A119&lt;'ValveBox Components'!$A$142,VLOOKUP($A119,'ValveBox Components'!$A$9:$N$141,10,FALSE),
IF($A119&lt;Drainage!$A$69,VLOOKUP($A119,Drainage!$A$8:$M$68,9,FALSE),                                                                                                                                                                                                                                                              IF($A119&lt;Nipples!$A$82,VLOOKUP($A119,Nipples!$A$9:$Q$81,13,FALSE),
IF($A119&lt;Manifold!$A$33,VLOOKUP($A119,Manifold!$A$9:$M$32,9,FALSE),
IF($A119&lt;FlexibleRepairCouplings!$A$12,VLOOKUP($A119,FlexibleRepairCouplings!$A$9:$M$11,9,FALSE),
IF($A119&lt;DuraFix!$A$15,VLOOKUP($A119,DuraFix!$A$9:$M$14,9,FALSE),                                                                                                                                                                                                                                                          IF($A119&lt;'Compression Fittings'!$A$16,VLOOKUP($A119,'Compression Fittings'!$A$8:$M$15,9,FALSE),
IF($A119&lt;'Hose Fittings'!$A$30,VLOOKUP($A119,'Hose Fittings'!$A$8:$M$29,9,FALSE),
IF($A119&lt;'Swing Joints'!$A$495,VLOOKUP($A119,'Swing Joints'!$A$9:$M$494,9,FALSE),
IF($A119&lt;'Swing Joints Components'!$A$135,VLOOKUP($A119,'Swing Joints Components'!$A$9:$M$134,9,FALSE),
IF($A119&lt;Nonstandard!$A$42,VLOOKUP($A119,Nonstandard!$A$31:$J$41,8,FALSE),"")))))))))))))))))))))))))))),"")</f>
        <v/>
      </c>
      <c r="G119" s="533" t="str">
        <f>IFERROR(IF($A119&lt;'DWV PVC'!$A$317,VLOOKUP($A119,'DWV PVC'!$A$9:$M$316,11,FALSE),
IF($A119&lt;'DWV ABS'!$A$117,VLOOKUP($A119,'DWV ABS'!$A$8:$M$116,11,FALSE),                                                                                                                                                                                                                                                     IF($A119&lt;'PVC SCH40'!$A$425,VLOOKUP($A119,'PVC SCH40'!$A$8:$M$424,11,FALSE),
IF($A119&lt;'PVC SCH40 LD'!$A$22,VLOOKUP($A119,'PVC SCH40 LD'!$A$8:$M$21,11,FALSE),
IF($A119&lt;'Pool &amp; SPA Sweep Elbows'!$A$12,VLOOKUP($A119,'Pool &amp; SPA Sweep Elbows'!$A$8:$M$11,11,FALSE),
IF($A119&lt;'Pool &amp; SPA Pipe Extender'!$A$11,VLOOKUP($A119,'Pool &amp; SPA Pipe Extender'!$A$8:$M$10,11,FALSE),
IF($A119&lt;'PVC SCH80'!$A$250,VLOOKUP($A119,'PVC SCH80'!$A$8:$M$249,11,FALSE),
IF($A119&lt;'PVC SCH80 Flange'!$A$49,VLOOKUP($A119,'PVC SCH80 Flange'!$A$8:$M$48,11,FALSE),
IF($A119&lt;'PVC SCH80 LD Flange'!$A$17,VLOOKUP($A119,'PVC SCH80 LD Flange'!$A$8:$M$16,11,FALSE),
IF($A119&lt;CPVC!$A$105,VLOOKUP($A119,CPVC!$A$9:$M$104,11,FALSE),
IF($A119&lt;InsertFittings!$A$185,VLOOKUP($A119,InsertFittings!$A$9:$M$184,11,FALSE),
IF($A119&lt;Valves!$A$92,VLOOKUP($A119,Valves!$A$9:$Q$91,15,FALSE),
IF($A119&lt;SDR35SW!$A$133,VLOOKUP($A119,SDR35SW!$A$9:$M$132,11,FALSE),
IF($A119&lt;SDR35G!$A$151,VLOOKUP($A119,SDR35G!$A$9:$M$150,11,FALSE),                                                                                                                                                                                                                                                          IF($A119&lt;SDR26G!$A$67,VLOOKUP($A119,SDR26G!$A$9:$N$66,12,FALSE),                                                                                                                                                                                                                                                       IF($A119&lt;Cements!$A$95,VLOOKUP($A119,Cements!$A$8:$Q$94,15,FALSE),
IF($A119&lt;ValveBox!$A$124,VLOOKUP($A119,ValveBox!$A$9:$O$123,13,FALSE),
IF($A119&lt;'ValveBox Components'!$A$142,VLOOKUP($A119,'ValveBox Components'!$A$9:$N$141,12,FALSE),
IF($A119&lt;Drainage!$A$69,VLOOKUP($A119,Drainage!$A$8:$M$68,11,FALSE),                                                                                                                                                                                                                                                           IF($A119&lt;Nipples!$A$82,VLOOKUP($A119,Nipples!$A$9:$Q$81,15,FALSE),
IF($A119&lt;Manifold!$A$33,VLOOKUP($A119,Manifold!$A$9:$M$32,11,FALSE),
IF($A119&lt;FlexibleRepairCouplings!$A$12,VLOOKUP($A119,FlexibleRepairCouplings!$A$9:$M$11,11,FALSE),
IF($A119&lt;DuraFix!$A$15,VLOOKUP($A119,DuraFix!$A$9:$M$14,11,FALSE),                                                                                                                                                                                                                                                            IF($A119&lt;'Compression Fittings'!$A$16,VLOOKUP($A119,'Compression Fittings'!$A$8:$M$15,11,FALSE),
IF($A119&lt;'Hose Fittings'!$A$30,VLOOKUP($A119,'Hose Fittings'!$A$8:$M$29,11,FALSE),
IF($A119&lt;'Swing Joints'!$A$495,VLOOKUP($A119,'Swing Joints'!$A$9:$M$494,11,FALSE),
IF($A119&lt;'Swing Joints Components'!$A$135,VLOOKUP($A119,'Swing Joints Components'!$A$9:$M$134,11,FALSE),
IF($A119&lt;Nonstandard!$A$42,VLOOKUP($A119,Nonstandard!$A$31:$J$41,10,FALSE),"")))))))))))))))))))))))))))),"")</f>
        <v/>
      </c>
      <c r="H119" s="618" t="str">
        <f>IFERROR(IF($A119&lt;'DWV PVC'!$A$317,VLOOKUP($A119,'DWV PVC'!$A$9:$M$316,7,FALSE),
IF($A119&lt;'DWV ABS'!$A$117,VLOOKUP($A119,'DWV ABS'!$A$8:$M$116,11,FALSE),                                                                                                                                                                                                                                                     IF($A119&lt;'PVC SCH40'!$A$425,VLOOKUP($A119,'PVC SCH40'!$A$8:$M$424,7,FALSE),
IF($A119&lt;'PVC SCH40 LD'!$A$22,VLOOKUP($A119,'PVC SCH40 LD'!$A$8:$M$21,7,FALSE),
IF($A119&lt;'Pool &amp; SPA Sweep Elbows'!$A$12,VLOOKUP($A119,'Pool &amp; SPA Sweep Elbows'!$A$8:$M$11,7,FALSE),
IF($A119&lt;'Pool &amp; SPA Pipe Extender'!$A$11,VLOOKUP($A119,'Pool &amp; SPA Pipe Extender'!$A$8:$M$10,7,FALSE),
IF($A119&lt;'PVC SCH80'!$A$250,VLOOKUP($A119,'PVC SCH80'!$A$8:$M$249,7,FALSE),
IF($A119&lt;'PVC SCH80 Flange'!$A$49,VLOOKUP($A119,'PVC SCH80 Flange'!$A$8:$M$48,7,FALSE),
IF($A119&lt;'PVC SCH80 LD Flange'!$A$17,VLOOKUP($A119,'PVC SCH80 LD Flange'!$A$8:$M$16,7,FALSE),
IF($A119&lt;CPVC!$A$105,VLOOKUP($A119,CPVC!$A$9:$M$104,7,FALSE),
IF($A119&lt;InsertFittings!$A$185,VLOOKUP($A119,InsertFittings!$A$9:$M$184,7,FALSE),
IF($A119&lt;Valves!$A$92,VLOOKUP($A119,Valves!$A$9:$Q$91,11,FALSE),
IF($A119&lt;SDR35SW!$A$133,VLOOKUP($A119,SDR35SW!$A$9:$M$132,7,FALSE),
IF($A119&lt;SDR35G!$A$151,VLOOKUP($A119,SDR35G!$A$9:$M$150,7,FALSE),                                                                                                                                                                                                                                                       IF($A119&lt;SDR26G!$A$67,VLOOKUP($A119,SDR26G!$A$9:$N$66,8,FALSE),                                                                                                                                                                                                                                                     IF($A119&lt;Cements!$A$95,VLOOKUP($A119,Cements!$A$8:$Q$94,11,FALSE),
IF($A119&lt;ValveBox!$A$124,VLOOKUP($A119,ValveBox!$A$9:$O$123,10,FALSE),
IF($A119&lt;'ValveBox Components'!$A$142,VLOOKUP($A119,'ValveBox Components'!$A$9:$N$141,9,FALSE),
IF($A119&lt;Drainage!$A$69,VLOOKUP($A119,Drainage!$A$8:$M$68,7,FALSE),                                                                                                                                                                                                                                                          IF($A119&lt;Nipples!$A$82,VLOOKUP($A119,Nipples!$A$9:$Q$81,11,FALSE),
IF($A119&lt;Manifold!$A$33,VLOOKUP($A119,Manifold!$A$9:$M$32,7,FALSE),
IF($A119&lt;FlexibleRepairCouplings!$A$12,VLOOKUP($A119,FlexibleRepairCouplings!$A$9:$M$11,7,FALSE),
IF($A119&lt;DuraFix!$A$15,VLOOKUP($A119,DuraFix!$A$9:$M$14,7,FALSE),                                                                                                                                                                                                                                                           IF($A119&lt;'Compression Fittings'!$A$16,VLOOKUP($A119,'Compression Fittings'!$A$8:$M$15,7,FALSE),
IF($A119&lt;'Hose Fittings'!$A$30,VLOOKUP($A119,'Hose Fittings'!$A$8:$M$29,7,FALSE),
IF($A119&lt;'Swing Joints'!$A$495,VLOOKUP($A119,'Swing Joints'!$A$9:$M$494,7,FALSE),
IF($A119&lt;'Swing Joints Components'!$A$135,VLOOKUP($A119,'Swing Joints Components'!$A$9:$M$134,7,FALSE),
IF($A119&lt;Nonstandard!$A$42,VLOOKUP($A119,Nonstandard!$A$31:$J$41,10,FALSE),"")))))))))))))))))))))))))))),"")</f>
        <v/>
      </c>
      <c r="I119" s="619"/>
      <c r="J119" s="281" t="str">
        <f t="shared" si="3"/>
        <v/>
      </c>
      <c r="K119" s="313" t="str">
        <f>IFERROR(IF($A119&lt;'DWV PVC'!$A$317,VLOOKUP($A119,'DWV PVC'!$A$9:$M$316,10,FALSE),
IF($A119&lt;'DWV ABS'!$A$117,VLOOKUP($A119,'DWV ABS'!$A$8:$M$116,10,FALSE),
IF($A119&lt;'PVC SCH40'!$A$425,VLOOKUP($A119,'PVC SCH40'!$A$8:$M$424,10,FALSE),
IF($A119&lt;'PVC SCH40 LD'!$A$22,VLOOKUP($A119,'PVC SCH40 LD'!$A$8:$M$21,10,FALSE),
IF($A119&lt;'Pool &amp; SPA Sweep Elbows'!$A$12,VLOOKUP($A119,'Pool &amp; SPA Sweep Elbows'!$A$8:$M$11,10,FALSE),
IF($A119&lt;'Pool &amp; SPA Pipe Extender'!$A$11,VLOOKUP($A119,'Pool &amp; SPA Pipe Extender'!$A$8:$M$10,10,FALSE),
IF($A119&lt;'PVC SCH80'!$A$250,VLOOKUP($A119,'PVC SCH80'!$A$8:$M$249,10,FALSE),
IF($A119&lt;'PVC SCH80 Flange'!$A$49,VLOOKUP($A119,'PVC SCH80 Flange'!$A$8:$M$48,10,FALSE),
IF($A119&lt;'PVC SCH80 LD Flange'!$A$17,VLOOKUP($A119,'PVC SCH80 LD Flange'!$A$8:$M$16,10,FALSE),
IF($A119&lt;CPVC!$A$105,VLOOKUP($A119,CPVC!$A$9:$M$104,10,FALSE),
IF($A119&lt;InsertFittings!$A$185,VLOOKUP($A119,InsertFittings!$A$9:$M$184,10,FALSE),
IF($A119&lt;Valves!$A$92,VLOOKUP($A119,Valves!$A$9:$Q$91,14,FALSE),
IF($A119&lt;SDR35SW!$A$133,VLOOKUP($A119,SDR35SW!$A$9:$M$132,10,FALSE),
IF($A119&lt;SDR35G!$A$151,VLOOKUP($A119,SDR35G!$A$9:$M$150,10,FALSE),
IF($A119&lt;SDR26G!$A$67,VLOOKUP($A119,SDR26G!$A$9:$N$66,11,FALSE),
IF($A119&lt;Cements!$A$95,VLOOKUP($A119,Cements!$A$8:$Q$94,14,FALSE),
IF($A119&lt;ValveBox!$A$124,VLOOKUP($A119,ValveBox!$A$9:$O$123,12,FALSE),
IF($A119&lt;'ValveBox Components'!$A$142,VLOOKUP($A119,'ValveBox Components'!$A$9:$N$141,11,FALSE),
IF($A119&lt;Drainage!$A$69,VLOOKUP($A119,Drainage!$A$8:$M$68,10,FALSE),
IF($A119&lt;Nipples!$A$82,VLOOKUP($A119,Nipples!$A$9:$Q$81,14,FALSE),
IF($A119&lt;Manifold!$A$33,VLOOKUP($A119,Manifold!$A$9:$M$32,10,FALSE),
IF($A119&lt;FlexibleRepairCouplings!$A$12,VLOOKUP($A119,FlexibleRepairCouplings!$A$9:$M$11,10,FALSE),
IF($A119&lt;DuraFix!$A$15,VLOOKUP($A119,DuraFix!$A$9:$M$14,10,FALSE),
IF($A119&lt;'Compression Fittings'!$A$16,VLOOKUP($A119,'Compression Fittings'!$A$8:$M$15,10,FALSE),
IF($A119&lt;'Hose Fittings'!$A$30,VLOOKUP($A119,'Hose Fittings'!$A$8:$M$29,10,FALSE),
IF($A119&lt;'Swing Joints'!$A$495,VLOOKUP($A119,'Swing Joints'!$A$9:$M$494,10,FALSE),
IF($A119&lt;'Swing Joints Components'!$A$135,VLOOKUP($A119,'Swing Joints Components'!$A$9:$M$134,10,FALSE),
IF($A119&lt;Nonstandard!$A$42,VLOOKUP($A119,Nonstandard!$A$31:$J$41,10,FALSE),"")))))))))))))))))))))))))))),"")</f>
        <v/>
      </c>
      <c r="L119" s="314" t="str">
        <f t="shared" si="2"/>
        <v>-</v>
      </c>
      <c r="M119" s="315"/>
    </row>
    <row r="120" spans="1:13" ht="15.6">
      <c r="A120" s="536">
        <v>88</v>
      </c>
      <c r="B120" s="536" t="str">
        <f>IFERROR(IF($A120&lt;'DWV PVC'!$A$317,VLOOKUP($A120,'DWV PVC'!$A$9:$M$316,4,FALSE),
IF($A120&lt;'DWV ABS'!$A$117,VLOOKUP($A120,'DWV ABS'!$A$8:$M$116,4,FALSE),
IF($A120&lt;'PVC SCH40'!$A$425,VLOOKUP($A120,'PVC SCH40'!$A$8:$M$424,4,FALSE),
IF($A120&lt;'PVC SCH40 LD'!$A$22,VLOOKUP($A120,'PVC SCH40 LD'!$A$8:$M$21,4,FALSE),
IF($A120&lt;'Pool &amp; SPA Sweep Elbows'!$A$12,VLOOKUP($A120,'Pool &amp; SPA Sweep Elbows'!$A$8:$M$11,4,FALSE),
IF($A120&lt;'Pool &amp; SPA Pipe Extender'!$A$11,VLOOKUP($A120,'Pool &amp; SPA Pipe Extender'!$A$8:$M$10,4,FALSE),
IF($A120&lt;'PVC SCH80'!$A$250,VLOOKUP($A120,'PVC SCH80'!$A$8:$M$249,4,FALSE),
IF($A120&lt;'PVC SCH80 Flange'!$A$49,VLOOKUP($A120,'PVC SCH80 Flange'!$A$8:$M$48,4,FALSE),
IF($A120&lt;'PVC SCH80 LD Flange'!$A$17,VLOOKUP($A120,'PVC SCH80 LD Flange'!$A$8:$M$16,4,FALSE),
IF($A120&lt;CPVC!$A$105,VLOOKUP($A120,CPVC!$A$9:$M$104,4,FALSE),
IF($A120&lt;InsertFittings!$A$185,VLOOKUP($A120,InsertFittings!$A$9:$M$184,4,FALSE),
IF($A120&lt;Valves!$A$92,VLOOKUP($A120,Valves!$A$9:$Q$91,4,FALSE),
IF($A120&lt;SDR35SW!$A$133,VLOOKUP($A120,SDR35SW!$A$9:$M$132,4,FALSE),
IF($A120&lt;SDR35G!$A$151,VLOOKUP($A120,SDR35G!$A$9:$M$150,4,FALSE),
IF($A120&lt;SDR26G!$A$67,VLOOKUP($A120,SDR26G!$A$9:$N$66,5,FALSE),
IF($A120&lt;Cements!$A$95,VLOOKUP($A120,Cements!$A$8:$Q$94,4,FALSE),
IF($A120&lt;ValveBox!$A$124,VLOOKUP($A120,ValveBox!$A$9:$O$123,4,FALSE),
IF($A120&lt;'ValveBox Components'!$A$142,VLOOKUP($A120,'ValveBox Components'!$A$9:$N$141,4,FALSE),
IF($A120&lt;Drainage!$A$69,VLOOKUP($A120,Drainage!$A$8:$M$68,4,FALSE),
IF($A120&lt;Nipples!$A$82,VLOOKUP($A120,Nipples!$A$9:$Q$81,4,FALSE),
IF($A120&lt;Manifold!$A$33,VLOOKUP($A120,Manifold!$A$9:$M$32,4,FALSE),
IF($A120&lt;FlexibleRepairCouplings!$A$12,VLOOKUP($A120,FlexibleRepairCouplings!$A$9:$M$11,4,FALSE),
IF($A120&lt;DuraFix!$A$15,VLOOKUP($A120,DuraFix!$A$9:$M$14,4,FALSE),
IF($A120&lt;'Compression Fittings'!$A$16,VLOOKUP($A120,'Compression Fittings'!$A$8:$M$15,4,FALSE),
IF($A120&lt;'Hose Fittings'!$A$30,VLOOKUP($A120,'Hose Fittings'!$A$8:$M$29,4,FALSE),
IF($A120&lt;'Swing Joints'!$A$495,VLOOKUP($A120,'Swing Joints'!$A$9:$M$494,4,FALSE),
IF($A120&lt;'Swing Joints Components'!$A$135,VLOOKUP($A120,'Swing Joints Components'!$A$9:$M$134,4,FALSE),
IF($A120&lt;Nonstandard!$A$42,VLOOKUP($A120,Nonstandard!$A$31:$J$41,5,FALSE),"")))))))))))))))))))))))))))),"")</f>
        <v/>
      </c>
      <c r="C120" s="536" t="str">
        <f>IFERROR(IF($A120&lt;'DWV PVC'!$A$317,VLOOKUP($A120,'DWV PVC'!$A$9:$M$316,5,FALSE),
IF($A120&lt;'DWV ABS'!$A$117,VLOOKUP($A120,'DWV ABS'!$A$8:$M$116,5,FALSE),
IF($A120&lt;'PVC SCH40'!$A$425,VLOOKUP($A120,'PVC SCH40'!$A$8:$M$424,5,FALSE),
IF($A120&lt;'PVC SCH40 LD'!$A$22,VLOOKUP($A120,'PVC SCH40 LD'!$A$8:$M$21,5,FALSE),
IF($A120&lt;'Pool &amp; SPA Sweep Elbows'!$A$12,VLOOKUP($A120,'Pool &amp; SPA Sweep Elbows'!$A$8:$M$11,5,FALSE),
IF($A120&lt;'Pool &amp; SPA Pipe Extender'!$A$11,VLOOKUP($A120,'Pool &amp; SPA Pipe Extender'!$A$8:$M$10,5,FALSE),
IF($A120&lt;'PVC SCH80'!$A$250,VLOOKUP($A120,'PVC SCH80'!$A$8:$M$249,5,FALSE),
IF($A120&lt;'PVC SCH80 Flange'!$A$49,VLOOKUP($A120,'PVC SCH80 Flange'!$A$8:$M$48,5,FALSE),
IF($A120&lt;'PVC SCH80 LD Flange'!$A$17,VLOOKUP($A120,'PVC SCH80 LD Flange'!$A$8:$M$16,5,FALSE),
IF($A120&lt;CPVC!$A$105,VLOOKUP($A120,CPVC!$A$9:$M$104,5,FALSE),
IF($A120&lt;InsertFittings!$A$185,VLOOKUP($A120,InsertFittings!$A$9:$M$184,5,FALSE),
IF($A120&lt;Valves!$A$92,VLOOKUP($A120,Valves!$A$9:$Q$91,5,FALSE),
IF($A120&lt;SDR35SW!$A$133,VLOOKUP($A120,SDR35SW!$A$9:$M$132,5,FALSE),
IF($A120&lt;SDR35G!$A$151,VLOOKUP($A120,SDR35G!$A$9:$M$150,5,FALSE),
IF($A120&lt;SDR26G!$A$67,VLOOKUP($A120,SDR26G!$A$9:$N$66,6,FALSE),
IF($A120&lt;Cements!$A$95,VLOOKUP($A120,Cements!$A$8:$Q$94,5,FALSE),
IF($A120&lt;ValveBox!$A$124,VLOOKUP($A120,ValveBox!$A$9:$O$123,5,FALSE),
IF($A120&lt;'ValveBox Components'!$A$142,VLOOKUP($A120,'ValveBox Components'!$A$9:$N$141,5,FALSE),
IF($A120&lt;Drainage!$A$69,VLOOKUP($A120,Drainage!$A$8:$M$68,5,FALSE),
IF($A120&lt;Nipples!$A$82,VLOOKUP($A120,Nipples!$A$9:$Q$81,5,FALSE),
IF($A120&lt;Manifold!$A$33,VLOOKUP($A120,Manifold!$A$9:$M$32,5,FALSE),
IF($A120&lt;FlexibleRepairCouplings!$A$12,VLOOKUP($A120,FlexibleRepairCouplings!$A$9:$M$11,5,FALSE),
IF($A120&lt;DuraFix!$A$15,VLOOKUP($A120,DuraFix!$A$9:$M$14,5,FALSE),
IF($A120&lt;'Compression Fittings'!$A$16,VLOOKUP($A120,'Compression Fittings'!$A$8:$M$15,5,FALSE),
IF($A120&lt;'Hose Fittings'!$A$30,VLOOKUP($A120,'Hose Fittings'!$A$8:$M$29,5,FALSE),
IF($A120&lt;'Swing Joints'!$A$495,VLOOKUP($A120,'Swing Joints'!$A$9:$M$494,5,FALSE),
IF($A120&lt;'Swing Joints Components'!$A$135,VLOOKUP($A120,'Swing Joints Components'!$A$9:$M$134,5,FALSE),
IF($A120&lt;Nonstandard!$A$42,VLOOKUP($A120,Nonstandard!$A$31:$J$41,6,FALSE),"")))))))))))))))))))))))))))),"")</f>
        <v/>
      </c>
      <c r="D120" s="537" t="str">
        <f>IFERROR(IF($A120&lt;'DWV PVC'!$A$317,VLOOKUP($A120,'DWV PVC'!$A$9:$M$316,6,FALSE),
IF($A120&lt;'DWV ABS'!$A$117,VLOOKUP($A120,'DWV ABS'!$A$8:$M$116,6,FALSE),
IF($A120&lt;'PVC SCH40'!$A$425,VLOOKUP($A120,'PVC SCH40'!$A$8:$M$424,6,FALSE),
IF($A120&lt;'PVC SCH40 LD'!$A$22,VLOOKUP($A120,'PVC SCH40 LD'!$A$8:$M$21,6,FALSE),
IF($A120&lt;'Pool &amp; SPA Sweep Elbows'!$A$12,VLOOKUP($A120,'Pool &amp; SPA Sweep Elbows'!$A$8:$M$11,6,FALSE),
IF($A120&lt;'Pool &amp; SPA Pipe Extender'!$A$11,VLOOKUP($A120,'Pool &amp; SPA Pipe Extender'!$A$8:$M$10,6,FALSE),
IF($A120&lt;'PVC SCH80'!$A$250,VLOOKUP($A120,'PVC SCH80'!$A$8:$M$249,6,FALSE),
IF($A120&lt;'PVC SCH80 Flange'!$A$49,VLOOKUP($A120,'PVC SCH80 Flange'!$A$8:$M$48,6,FALSE),
IF($A120&lt;'PVC SCH80 LD Flange'!$A$17,VLOOKUP($A120,'PVC SCH80 LD Flange'!$A$8:$M$16,6,FALSE),
IF($A120&lt;CPVC!$A$105,VLOOKUP($A120,CPVC!$A$9:$M$104,6,FALSE),
IF($A120&lt;InsertFittings!$A$185,VLOOKUP($A120,InsertFittings!$A$9:$M$184,6,FALSE),
IF($A120&lt;Valves!$A$92,VLOOKUP($A120,Valves!$A$9:$Q$91,6,FALSE),
IF($A120&lt;SDR35SW!$A$133,VLOOKUP($A120,SDR35SW!$A$9:$M$132,6,FALSE),
IF($A120&lt;SDR35G!$A$151,VLOOKUP($A120,SDR35G!$A$9:$M$150,6,FALSE),
IF($A120&lt;SDR26G!$A$67,VLOOKUP($A120,SDR26G!$A$9:$N$66,7,FALSE),
IF($A120&lt;Cements!$A$95,VLOOKUP($A120,Cements!$A$8:$Q$94,6,FALSE),
IF($A120&lt;ValveBox!$A$124,VLOOKUP($A120,ValveBox!$A$9:$O$123,6,FALSE),
IF($A120&lt;'ValveBox Components'!$A$142,VLOOKUP($A120,'ValveBox Components'!$A$9:$N$141,6,FALSE),
IF($A120&lt;Drainage!$A$69,VLOOKUP($A120,Drainage!$A$8:$M$68,6,FALSE),
IF($A120&lt;Nipples!$A$82,VLOOKUP($A120,Nipples!$A$9:$Q$81,6,FALSE),
IF($A120&lt;Manifold!$A$33,VLOOKUP($A120,Manifold!$A$9:$M$32,6,FALSE),
IF($A120&lt;FlexibleRepairCouplings!$A$12,VLOOKUP($A120,FlexibleRepairCouplings!$A$9:$M$11,6,FALSE),
IF($A120&lt;DuraFix!$A$15,VLOOKUP($A120,DuraFix!$A$9:$M$14,6,FALSE),
IF($A120&lt;'Compression Fittings'!$A$16,VLOOKUP($A120,'Compression Fittings'!$A$8:$M$15,6,FALSE),
IF($A120&lt;'Hose Fittings'!$A$30,VLOOKUP($A120,'Hose Fittings'!$A$8:$M$29,6,FALSE),
IF($A120&lt;'Swing Joints'!$A$495,VLOOKUP($A120,'Swing Joints'!$A$9:$M$494,6,FALSE),
IF($A120&lt;'Swing Joints Components'!$A$135,VLOOKUP($A120,'Swing Joints Components'!$A$9:$M$134,6,FALSE),
IF($A120&lt;Nonstandard!$A$42,VLOOKUP($A120,Nonstandard!$A$31:$J$41,7,FALSE),"")))))))))))))))))))))))))))),"")</f>
        <v/>
      </c>
      <c r="E120" s="538"/>
      <c r="F120" s="539" t="str">
        <f>IFERROR(IF($A120&lt;'DWV PVC'!$A$317,VLOOKUP($A120,'DWV PVC'!$A$9:$M$316,9,FALSE),
IF($A120&lt;'DWV ABS'!$A$117,VLOOKUP($A120,'DWV ABS'!$A$8:$M$116,9,FALSE),                                                                                                                                                                                                                                                     IF($A120&lt;'PVC SCH40'!$A$425,VLOOKUP($A120,'PVC SCH40'!$A$8:$M$424,9,FALSE),
IF($A120&lt;'PVC SCH40 LD'!$A$22,VLOOKUP($A120,'PVC SCH40 LD'!$A$8:$M$21,9,FALSE),
IF($A120&lt;'Pool &amp; SPA Sweep Elbows'!$A$12,VLOOKUP($A120,'Pool &amp; SPA Sweep Elbows'!$A$8:$M$11,9,FALSE),
IF($A120&lt;'Pool &amp; SPA Pipe Extender'!$A$11,VLOOKUP($A120,'Pool &amp; SPA Pipe Extender'!$A$8:$M$10,9,FALSE),
IF($A120&lt;'PVC SCH80'!$A$250,VLOOKUP($A120,'PVC SCH80'!$A$8:$M$249,9,FALSE),
IF($A120&lt;'PVC SCH80 Flange'!$A$49,VLOOKUP($A120,'PVC SCH80 Flange'!$A$8:$M$48,9,FALSE),
IF($A120&lt;'PVC SCH80 LD Flange'!$A$17,VLOOKUP($A120,'PVC SCH80 LD Flange'!$A$8:$M$16,9,FALSE),
IF($A120&lt;CPVC!$A$105,VLOOKUP($A120,CPVC!$A$9:$M$104,9,FALSE),
IF($A120&lt;InsertFittings!$A$185,VLOOKUP($A120,InsertFittings!$A$9:$M$184,9,FALSE),
IF($A120&lt;Valves!$A$92,VLOOKUP($A120,Valves!$A$9:$Q$91,13,FALSE),
IF($A120&lt;SDR35SW!$A$133,VLOOKUP($A120,SDR35SW!$A$9:$M$132,9,FALSE),
IF($A120&lt;SDR35G!$A$151,VLOOKUP($A120,SDR35G!$A$9:$M$150,9,FALSE),                                                                                                                                                                                                                                                          IF($A120&lt;SDR26G!$A$67,VLOOKUP($A120,SDR26G!$A$9:$N$66,10,FALSE),                                                                                                                                                                                                                                                       IF($A120&lt;Cements!$A$95,VLOOKUP($A120,Cements!$A$8:$Q$94,13,FALSE),
IF($A120&lt;ValveBox!$A$124,VLOOKUP($A120,ValveBox!$A$9:$O$123,11,FALSE),
IF($A120&lt;'ValveBox Components'!$A$142,VLOOKUP($A120,'ValveBox Components'!$A$9:$N$141,10,FALSE),
IF($A120&lt;Drainage!$A$69,VLOOKUP($A120,Drainage!$A$8:$M$68,9,FALSE),                                                                                                                                                                                                                                                              IF($A120&lt;Nipples!$A$82,VLOOKUP($A120,Nipples!$A$9:$Q$81,13,FALSE),
IF($A120&lt;Manifold!$A$33,VLOOKUP($A120,Manifold!$A$9:$M$32,9,FALSE),
IF($A120&lt;FlexibleRepairCouplings!$A$12,VLOOKUP($A120,FlexibleRepairCouplings!$A$9:$M$11,9,FALSE),
IF($A120&lt;DuraFix!$A$15,VLOOKUP($A120,DuraFix!$A$9:$M$14,9,FALSE),                                                                                                                                                                                                                                                          IF($A120&lt;'Compression Fittings'!$A$16,VLOOKUP($A120,'Compression Fittings'!$A$8:$M$15,9,FALSE),
IF($A120&lt;'Hose Fittings'!$A$30,VLOOKUP($A120,'Hose Fittings'!$A$8:$M$29,9,FALSE),
IF($A120&lt;'Swing Joints'!$A$495,VLOOKUP($A120,'Swing Joints'!$A$9:$M$494,9,FALSE),
IF($A120&lt;'Swing Joints Components'!$A$135,VLOOKUP($A120,'Swing Joints Components'!$A$9:$M$134,9,FALSE),
IF($A120&lt;Nonstandard!$A$42,VLOOKUP($A120,Nonstandard!$A$31:$J$41,8,FALSE),"")))))))))))))))))))))))))))),"")</f>
        <v/>
      </c>
      <c r="G120" s="540" t="str">
        <f>IFERROR(IF($A120&lt;'DWV PVC'!$A$317,VLOOKUP($A120,'DWV PVC'!$A$9:$M$316,11,FALSE),
IF($A120&lt;'DWV ABS'!$A$117,VLOOKUP($A120,'DWV ABS'!$A$8:$M$116,11,FALSE),                                                                                                                                                                                                                                                     IF($A120&lt;'PVC SCH40'!$A$425,VLOOKUP($A120,'PVC SCH40'!$A$8:$M$424,11,FALSE),
IF($A120&lt;'PVC SCH40 LD'!$A$22,VLOOKUP($A120,'PVC SCH40 LD'!$A$8:$M$21,11,FALSE),
IF($A120&lt;'Pool &amp; SPA Sweep Elbows'!$A$12,VLOOKUP($A120,'Pool &amp; SPA Sweep Elbows'!$A$8:$M$11,11,FALSE),
IF($A120&lt;'Pool &amp; SPA Pipe Extender'!$A$11,VLOOKUP($A120,'Pool &amp; SPA Pipe Extender'!$A$8:$M$10,11,FALSE),
IF($A120&lt;'PVC SCH80'!$A$250,VLOOKUP($A120,'PVC SCH80'!$A$8:$M$249,11,FALSE),
IF($A120&lt;'PVC SCH80 Flange'!$A$49,VLOOKUP($A120,'PVC SCH80 Flange'!$A$8:$M$48,11,FALSE),
IF($A120&lt;'PVC SCH80 LD Flange'!$A$17,VLOOKUP($A120,'PVC SCH80 LD Flange'!$A$8:$M$16,11,FALSE),
IF($A120&lt;CPVC!$A$105,VLOOKUP($A120,CPVC!$A$9:$M$104,11,FALSE),
IF($A120&lt;InsertFittings!$A$185,VLOOKUP($A120,InsertFittings!$A$9:$M$184,11,FALSE),
IF($A120&lt;Valves!$A$92,VLOOKUP($A120,Valves!$A$9:$Q$91,15,FALSE),
IF($A120&lt;SDR35SW!$A$133,VLOOKUP($A120,SDR35SW!$A$9:$M$132,11,FALSE),
IF($A120&lt;SDR35G!$A$151,VLOOKUP($A120,SDR35G!$A$9:$M$150,11,FALSE),                                                                                                                                                                                                                                                          IF($A120&lt;SDR26G!$A$67,VLOOKUP($A120,SDR26G!$A$9:$N$66,12,FALSE),                                                                                                                                                                                                                                                       IF($A120&lt;Cements!$A$95,VLOOKUP($A120,Cements!$A$8:$Q$94,15,FALSE),
IF($A120&lt;ValveBox!$A$124,VLOOKUP($A120,ValveBox!$A$9:$O$123,13,FALSE),
IF($A120&lt;'ValveBox Components'!$A$142,VLOOKUP($A120,'ValveBox Components'!$A$9:$N$141,12,FALSE),
IF($A120&lt;Drainage!$A$69,VLOOKUP($A120,Drainage!$A$8:$M$68,11,FALSE),                                                                                                                                                                                                                                                           IF($A120&lt;Nipples!$A$82,VLOOKUP($A120,Nipples!$A$9:$Q$81,15,FALSE),
IF($A120&lt;Manifold!$A$33,VLOOKUP($A120,Manifold!$A$9:$M$32,11,FALSE),
IF($A120&lt;FlexibleRepairCouplings!$A$12,VLOOKUP($A120,FlexibleRepairCouplings!$A$9:$M$11,11,FALSE),
IF($A120&lt;DuraFix!$A$15,VLOOKUP($A120,DuraFix!$A$9:$M$14,11,FALSE),                                                                                                                                                                                                                                                            IF($A120&lt;'Compression Fittings'!$A$16,VLOOKUP($A120,'Compression Fittings'!$A$8:$M$15,11,FALSE),
IF($A120&lt;'Hose Fittings'!$A$30,VLOOKUP($A120,'Hose Fittings'!$A$8:$M$29,11,FALSE),
IF($A120&lt;'Swing Joints'!$A$495,VLOOKUP($A120,'Swing Joints'!$A$9:$M$494,11,FALSE),
IF($A120&lt;'Swing Joints Components'!$A$135,VLOOKUP($A120,'Swing Joints Components'!$A$9:$M$134,11,FALSE),
IF($A120&lt;Nonstandard!$A$42,VLOOKUP($A120,Nonstandard!$A$31:$J$41,10,FALSE),"")))))))))))))))))))))))))))),"")</f>
        <v/>
      </c>
      <c r="H120" s="620" t="str">
        <f>IFERROR(IF($A120&lt;'DWV PVC'!$A$317,VLOOKUP($A120,'DWV PVC'!$A$9:$M$316,7,FALSE),
IF($A120&lt;'DWV ABS'!$A$117,VLOOKUP($A120,'DWV ABS'!$A$8:$M$116,11,FALSE),                                                                                                                                                                                                                                                     IF($A120&lt;'PVC SCH40'!$A$425,VLOOKUP($A120,'PVC SCH40'!$A$8:$M$424,7,FALSE),
IF($A120&lt;'PVC SCH40 LD'!$A$22,VLOOKUP($A120,'PVC SCH40 LD'!$A$8:$M$21,7,FALSE),
IF($A120&lt;'Pool &amp; SPA Sweep Elbows'!$A$12,VLOOKUP($A120,'Pool &amp; SPA Sweep Elbows'!$A$8:$M$11,7,FALSE),
IF($A120&lt;'Pool &amp; SPA Pipe Extender'!$A$11,VLOOKUP($A120,'Pool &amp; SPA Pipe Extender'!$A$8:$M$10,7,FALSE),
IF($A120&lt;'PVC SCH80'!$A$250,VLOOKUP($A120,'PVC SCH80'!$A$8:$M$249,7,FALSE),
IF($A120&lt;'PVC SCH80 Flange'!$A$49,VLOOKUP($A120,'PVC SCH80 Flange'!$A$8:$M$48,7,FALSE),
IF($A120&lt;'PVC SCH80 LD Flange'!$A$17,VLOOKUP($A120,'PVC SCH80 LD Flange'!$A$8:$M$16,7,FALSE),
IF($A120&lt;CPVC!$A$105,VLOOKUP($A120,CPVC!$A$9:$M$104,7,FALSE),
IF($A120&lt;InsertFittings!$A$185,VLOOKUP($A120,InsertFittings!$A$9:$M$184,7,FALSE),
IF($A120&lt;Valves!$A$92,VLOOKUP($A120,Valves!$A$9:$Q$91,11,FALSE),
IF($A120&lt;SDR35SW!$A$133,VLOOKUP($A120,SDR35SW!$A$9:$M$132,7,FALSE),
IF($A120&lt;SDR35G!$A$151,VLOOKUP($A120,SDR35G!$A$9:$M$150,7,FALSE),                                                                                                                                                                                                                                                       IF($A120&lt;SDR26G!$A$67,VLOOKUP($A120,SDR26G!$A$9:$N$66,8,FALSE),                                                                                                                                                                                                                                                     IF($A120&lt;Cements!$A$95,VLOOKUP($A120,Cements!$A$8:$Q$94,11,FALSE),
IF($A120&lt;ValveBox!$A$124,VLOOKUP($A120,ValveBox!$A$9:$O$123,10,FALSE),
IF($A120&lt;'ValveBox Components'!$A$142,VLOOKUP($A120,'ValveBox Components'!$A$9:$N$141,9,FALSE),
IF($A120&lt;Drainage!$A$69,VLOOKUP($A120,Drainage!$A$8:$M$68,7,FALSE),                                                                                                                                                                                                                                                          IF($A120&lt;Nipples!$A$82,VLOOKUP($A120,Nipples!$A$9:$Q$81,11,FALSE),
IF($A120&lt;Manifold!$A$33,VLOOKUP($A120,Manifold!$A$9:$M$32,7,FALSE),
IF($A120&lt;FlexibleRepairCouplings!$A$12,VLOOKUP($A120,FlexibleRepairCouplings!$A$9:$M$11,7,FALSE),
IF($A120&lt;DuraFix!$A$15,VLOOKUP($A120,DuraFix!$A$9:$M$14,7,FALSE),                                                                                                                                                                                                                                                           IF($A120&lt;'Compression Fittings'!$A$16,VLOOKUP($A120,'Compression Fittings'!$A$8:$M$15,7,FALSE),
IF($A120&lt;'Hose Fittings'!$A$30,VLOOKUP($A120,'Hose Fittings'!$A$8:$M$29,7,FALSE),
IF($A120&lt;'Swing Joints'!$A$495,VLOOKUP($A120,'Swing Joints'!$A$9:$M$494,7,FALSE),
IF($A120&lt;'Swing Joints Components'!$A$135,VLOOKUP($A120,'Swing Joints Components'!$A$9:$M$134,7,FALSE),
IF($A120&lt;Nonstandard!$A$42,VLOOKUP($A120,Nonstandard!$A$31:$J$41,10,FALSE),"")))))))))))))))))))))))))))),"")</f>
        <v/>
      </c>
      <c r="I120" s="621"/>
      <c r="J120" s="541" t="str">
        <f t="shared" si="3"/>
        <v/>
      </c>
      <c r="K120" s="599" t="str">
        <f>IFERROR(IF($A120&lt;'DWV PVC'!$A$317,VLOOKUP($A120,'DWV PVC'!$A$9:$M$316,10,FALSE),
IF($A120&lt;'DWV ABS'!$A$117,VLOOKUP($A120,'DWV ABS'!$A$8:$M$116,10,FALSE),
IF($A120&lt;'PVC SCH40'!$A$425,VLOOKUP($A120,'PVC SCH40'!$A$8:$M$424,10,FALSE),
IF($A120&lt;'PVC SCH40 LD'!$A$22,VLOOKUP($A120,'PVC SCH40 LD'!$A$8:$M$21,10,FALSE),
IF($A120&lt;'Pool &amp; SPA Sweep Elbows'!$A$12,VLOOKUP($A120,'Pool &amp; SPA Sweep Elbows'!$A$8:$M$11,10,FALSE),
IF($A120&lt;'Pool &amp; SPA Pipe Extender'!$A$11,VLOOKUP($A120,'Pool &amp; SPA Pipe Extender'!$A$8:$M$10,10,FALSE),
IF($A120&lt;'PVC SCH80'!$A$250,VLOOKUP($A120,'PVC SCH80'!$A$8:$M$249,10,FALSE),
IF($A120&lt;'PVC SCH80 Flange'!$A$49,VLOOKUP($A120,'PVC SCH80 Flange'!$A$8:$M$48,10,FALSE),
IF($A120&lt;'PVC SCH80 LD Flange'!$A$17,VLOOKUP($A120,'PVC SCH80 LD Flange'!$A$8:$M$16,10,FALSE),
IF($A120&lt;CPVC!$A$105,VLOOKUP($A120,CPVC!$A$9:$M$104,10,FALSE),
IF($A120&lt;InsertFittings!$A$185,VLOOKUP($A120,InsertFittings!$A$9:$M$184,10,FALSE),
IF($A120&lt;Valves!$A$92,VLOOKUP($A120,Valves!$A$9:$Q$91,14,FALSE),
IF($A120&lt;SDR35SW!$A$133,VLOOKUP($A120,SDR35SW!$A$9:$M$132,10,FALSE),
IF($A120&lt;SDR35G!$A$151,VLOOKUP($A120,SDR35G!$A$9:$M$150,10,FALSE),
IF($A120&lt;SDR26G!$A$67,VLOOKUP($A120,SDR26G!$A$9:$N$66,11,FALSE),
IF($A120&lt;Cements!$A$95,VLOOKUP($A120,Cements!$A$8:$Q$94,14,FALSE),
IF($A120&lt;ValveBox!$A$124,VLOOKUP($A120,ValveBox!$A$9:$O$123,12,FALSE),
IF($A120&lt;'ValveBox Components'!$A$142,VLOOKUP($A120,'ValveBox Components'!$A$9:$N$141,11,FALSE),
IF($A120&lt;Drainage!$A$69,VLOOKUP($A120,Drainage!$A$8:$M$68,10,FALSE),
IF($A120&lt;Nipples!$A$82,VLOOKUP($A120,Nipples!$A$9:$Q$81,14,FALSE),
IF($A120&lt;Manifold!$A$33,VLOOKUP($A120,Manifold!$A$9:$M$32,10,FALSE),
IF($A120&lt;FlexibleRepairCouplings!$A$12,VLOOKUP($A120,FlexibleRepairCouplings!$A$9:$M$11,10,FALSE),
IF($A120&lt;DuraFix!$A$15,VLOOKUP($A120,DuraFix!$A$9:$M$14,10,FALSE),
IF($A120&lt;'Compression Fittings'!$A$16,VLOOKUP($A120,'Compression Fittings'!$A$8:$M$15,10,FALSE),
IF($A120&lt;'Hose Fittings'!$A$30,VLOOKUP($A120,'Hose Fittings'!$A$8:$M$29,10,FALSE),
IF($A120&lt;'Swing Joints'!$A$495,VLOOKUP($A120,'Swing Joints'!$A$9:$M$494,10,FALSE),
IF($A120&lt;'Swing Joints Components'!$A$135,VLOOKUP($A120,'Swing Joints Components'!$A$9:$M$134,10,FALSE),
IF($A120&lt;Nonstandard!$A$42,VLOOKUP($A120,Nonstandard!$A$31:$J$41,10,FALSE),"")))))))))))))))))))))))))))),"")</f>
        <v/>
      </c>
      <c r="L120" s="539" t="str">
        <f t="shared" si="2"/>
        <v>-</v>
      </c>
      <c r="M120" s="542"/>
    </row>
    <row r="121" spans="1:13" ht="15.6">
      <c r="A121" s="312">
        <v>89</v>
      </c>
      <c r="B121" s="312" t="str">
        <f>IFERROR(IF($A121&lt;'DWV PVC'!$A$317,VLOOKUP($A121,'DWV PVC'!$A$9:$M$316,4,FALSE),
IF($A121&lt;'DWV ABS'!$A$117,VLOOKUP($A121,'DWV ABS'!$A$8:$M$116,4,FALSE),
IF($A121&lt;'PVC SCH40'!$A$425,VLOOKUP($A121,'PVC SCH40'!$A$8:$M$424,4,FALSE),
IF($A121&lt;'PVC SCH40 LD'!$A$22,VLOOKUP($A121,'PVC SCH40 LD'!$A$8:$M$21,4,FALSE),
IF($A121&lt;'Pool &amp; SPA Sweep Elbows'!$A$12,VLOOKUP($A121,'Pool &amp; SPA Sweep Elbows'!$A$8:$M$11,4,FALSE),
IF($A121&lt;'Pool &amp; SPA Pipe Extender'!$A$11,VLOOKUP($A121,'Pool &amp; SPA Pipe Extender'!$A$8:$M$10,4,FALSE),
IF($A121&lt;'PVC SCH80'!$A$250,VLOOKUP($A121,'PVC SCH80'!$A$8:$M$249,4,FALSE),
IF($A121&lt;'PVC SCH80 Flange'!$A$49,VLOOKUP($A121,'PVC SCH80 Flange'!$A$8:$M$48,4,FALSE),
IF($A121&lt;'PVC SCH80 LD Flange'!$A$17,VLOOKUP($A121,'PVC SCH80 LD Flange'!$A$8:$M$16,4,FALSE),
IF($A121&lt;CPVC!$A$105,VLOOKUP($A121,CPVC!$A$9:$M$104,4,FALSE),
IF($A121&lt;InsertFittings!$A$185,VLOOKUP($A121,InsertFittings!$A$9:$M$184,4,FALSE),
IF($A121&lt;Valves!$A$92,VLOOKUP($A121,Valves!$A$9:$Q$91,4,FALSE),
IF($A121&lt;SDR35SW!$A$133,VLOOKUP($A121,SDR35SW!$A$9:$M$132,4,FALSE),
IF($A121&lt;SDR35G!$A$151,VLOOKUP($A121,SDR35G!$A$9:$M$150,4,FALSE),
IF($A121&lt;SDR26G!$A$67,VLOOKUP($A121,SDR26G!$A$9:$N$66,5,FALSE),
IF($A121&lt;Cements!$A$95,VLOOKUP($A121,Cements!$A$8:$Q$94,4,FALSE),
IF($A121&lt;ValveBox!$A$124,VLOOKUP($A121,ValveBox!$A$9:$O$123,4,FALSE),
IF($A121&lt;'ValveBox Components'!$A$142,VLOOKUP($A121,'ValveBox Components'!$A$9:$N$141,4,FALSE),
IF($A121&lt;Drainage!$A$69,VLOOKUP($A121,Drainage!$A$8:$M$68,4,FALSE),
IF($A121&lt;Nipples!$A$82,VLOOKUP($A121,Nipples!$A$9:$Q$81,4,FALSE),
IF($A121&lt;Manifold!$A$33,VLOOKUP($A121,Manifold!$A$9:$M$32,4,FALSE),
IF($A121&lt;FlexibleRepairCouplings!$A$12,VLOOKUP($A121,FlexibleRepairCouplings!$A$9:$M$11,4,FALSE),
IF($A121&lt;DuraFix!$A$15,VLOOKUP($A121,DuraFix!$A$9:$M$14,4,FALSE),
IF($A121&lt;'Compression Fittings'!$A$16,VLOOKUP($A121,'Compression Fittings'!$A$8:$M$15,4,FALSE),
IF($A121&lt;'Hose Fittings'!$A$30,VLOOKUP($A121,'Hose Fittings'!$A$8:$M$29,4,FALSE),
IF($A121&lt;'Swing Joints'!$A$495,VLOOKUP($A121,'Swing Joints'!$A$9:$M$494,4,FALSE),
IF($A121&lt;'Swing Joints Components'!$A$135,VLOOKUP($A121,'Swing Joints Components'!$A$9:$M$134,4,FALSE),
IF($A121&lt;Nonstandard!$A$42,VLOOKUP($A121,Nonstandard!$A$31:$J$41,5,FALSE),"")))))))))))))))))))))))))))),"")</f>
        <v/>
      </c>
      <c r="C121" s="312" t="str">
        <f>IFERROR(IF($A121&lt;'DWV PVC'!$A$317,VLOOKUP($A121,'DWV PVC'!$A$9:$M$316,5,FALSE),
IF($A121&lt;'DWV ABS'!$A$117,VLOOKUP($A121,'DWV ABS'!$A$8:$M$116,5,FALSE),
IF($A121&lt;'PVC SCH40'!$A$425,VLOOKUP($A121,'PVC SCH40'!$A$8:$M$424,5,FALSE),
IF($A121&lt;'PVC SCH40 LD'!$A$22,VLOOKUP($A121,'PVC SCH40 LD'!$A$8:$M$21,5,FALSE),
IF($A121&lt;'Pool &amp; SPA Sweep Elbows'!$A$12,VLOOKUP($A121,'Pool &amp; SPA Sweep Elbows'!$A$8:$M$11,5,FALSE),
IF($A121&lt;'Pool &amp; SPA Pipe Extender'!$A$11,VLOOKUP($A121,'Pool &amp; SPA Pipe Extender'!$A$8:$M$10,5,FALSE),
IF($A121&lt;'PVC SCH80'!$A$250,VLOOKUP($A121,'PVC SCH80'!$A$8:$M$249,5,FALSE),
IF($A121&lt;'PVC SCH80 Flange'!$A$49,VLOOKUP($A121,'PVC SCH80 Flange'!$A$8:$M$48,5,FALSE),
IF($A121&lt;'PVC SCH80 LD Flange'!$A$17,VLOOKUP($A121,'PVC SCH80 LD Flange'!$A$8:$M$16,5,FALSE),
IF($A121&lt;CPVC!$A$105,VLOOKUP($A121,CPVC!$A$9:$M$104,5,FALSE),
IF($A121&lt;InsertFittings!$A$185,VLOOKUP($A121,InsertFittings!$A$9:$M$184,5,FALSE),
IF($A121&lt;Valves!$A$92,VLOOKUP($A121,Valves!$A$9:$Q$91,5,FALSE),
IF($A121&lt;SDR35SW!$A$133,VLOOKUP($A121,SDR35SW!$A$9:$M$132,5,FALSE),
IF($A121&lt;SDR35G!$A$151,VLOOKUP($A121,SDR35G!$A$9:$M$150,5,FALSE),
IF($A121&lt;SDR26G!$A$67,VLOOKUP($A121,SDR26G!$A$9:$N$66,6,FALSE),
IF($A121&lt;Cements!$A$95,VLOOKUP($A121,Cements!$A$8:$Q$94,5,FALSE),
IF($A121&lt;ValveBox!$A$124,VLOOKUP($A121,ValveBox!$A$9:$O$123,5,FALSE),
IF($A121&lt;'ValveBox Components'!$A$142,VLOOKUP($A121,'ValveBox Components'!$A$9:$N$141,5,FALSE),
IF($A121&lt;Drainage!$A$69,VLOOKUP($A121,Drainage!$A$8:$M$68,5,FALSE),
IF($A121&lt;Nipples!$A$82,VLOOKUP($A121,Nipples!$A$9:$Q$81,5,FALSE),
IF($A121&lt;Manifold!$A$33,VLOOKUP($A121,Manifold!$A$9:$M$32,5,FALSE),
IF($A121&lt;FlexibleRepairCouplings!$A$12,VLOOKUP($A121,FlexibleRepairCouplings!$A$9:$M$11,5,FALSE),
IF($A121&lt;DuraFix!$A$15,VLOOKUP($A121,DuraFix!$A$9:$M$14,5,FALSE),
IF($A121&lt;'Compression Fittings'!$A$16,VLOOKUP($A121,'Compression Fittings'!$A$8:$M$15,5,FALSE),
IF($A121&lt;'Hose Fittings'!$A$30,VLOOKUP($A121,'Hose Fittings'!$A$8:$M$29,5,FALSE),
IF($A121&lt;'Swing Joints'!$A$495,VLOOKUP($A121,'Swing Joints'!$A$9:$M$494,5,FALSE),
IF($A121&lt;'Swing Joints Components'!$A$135,VLOOKUP($A121,'Swing Joints Components'!$A$9:$M$134,5,FALSE),
IF($A121&lt;Nonstandard!$A$42,VLOOKUP($A121,Nonstandard!$A$31:$J$41,6,FALSE),"")))))))))))))))))))))))))))),"")</f>
        <v/>
      </c>
      <c r="D121" s="534" t="str">
        <f>IFERROR(IF($A121&lt;'DWV PVC'!$A$317,VLOOKUP($A121,'DWV PVC'!$A$9:$M$316,6,FALSE),
IF($A121&lt;'DWV ABS'!$A$117,VLOOKUP($A121,'DWV ABS'!$A$8:$M$116,6,FALSE),
IF($A121&lt;'PVC SCH40'!$A$425,VLOOKUP($A121,'PVC SCH40'!$A$8:$M$424,6,FALSE),
IF($A121&lt;'PVC SCH40 LD'!$A$22,VLOOKUP($A121,'PVC SCH40 LD'!$A$8:$M$21,6,FALSE),
IF($A121&lt;'Pool &amp; SPA Sweep Elbows'!$A$12,VLOOKUP($A121,'Pool &amp; SPA Sweep Elbows'!$A$8:$M$11,6,FALSE),
IF($A121&lt;'Pool &amp; SPA Pipe Extender'!$A$11,VLOOKUP($A121,'Pool &amp; SPA Pipe Extender'!$A$8:$M$10,6,FALSE),
IF($A121&lt;'PVC SCH80'!$A$250,VLOOKUP($A121,'PVC SCH80'!$A$8:$M$249,6,FALSE),
IF($A121&lt;'PVC SCH80 Flange'!$A$49,VLOOKUP($A121,'PVC SCH80 Flange'!$A$8:$M$48,6,FALSE),
IF($A121&lt;'PVC SCH80 LD Flange'!$A$17,VLOOKUP($A121,'PVC SCH80 LD Flange'!$A$8:$M$16,6,FALSE),
IF($A121&lt;CPVC!$A$105,VLOOKUP($A121,CPVC!$A$9:$M$104,6,FALSE),
IF($A121&lt;InsertFittings!$A$185,VLOOKUP($A121,InsertFittings!$A$9:$M$184,6,FALSE),
IF($A121&lt;Valves!$A$92,VLOOKUP($A121,Valves!$A$9:$Q$91,6,FALSE),
IF($A121&lt;SDR35SW!$A$133,VLOOKUP($A121,SDR35SW!$A$9:$M$132,6,FALSE),
IF($A121&lt;SDR35G!$A$151,VLOOKUP($A121,SDR35G!$A$9:$M$150,6,FALSE),
IF($A121&lt;SDR26G!$A$67,VLOOKUP($A121,SDR26G!$A$9:$N$66,7,FALSE),
IF($A121&lt;Cements!$A$95,VLOOKUP($A121,Cements!$A$8:$Q$94,6,FALSE),
IF($A121&lt;ValveBox!$A$124,VLOOKUP($A121,ValveBox!$A$9:$O$123,6,FALSE),
IF($A121&lt;'ValveBox Components'!$A$142,VLOOKUP($A121,'ValveBox Components'!$A$9:$N$141,6,FALSE),
IF($A121&lt;Drainage!$A$69,VLOOKUP($A121,Drainage!$A$8:$M$68,6,FALSE),
IF($A121&lt;Nipples!$A$82,VLOOKUP($A121,Nipples!$A$9:$Q$81,6,FALSE),
IF($A121&lt;Manifold!$A$33,VLOOKUP($A121,Manifold!$A$9:$M$32,6,FALSE),
IF($A121&lt;FlexibleRepairCouplings!$A$12,VLOOKUP($A121,FlexibleRepairCouplings!$A$9:$M$11,6,FALSE),
IF($A121&lt;DuraFix!$A$15,VLOOKUP($A121,DuraFix!$A$9:$M$14,6,FALSE),
IF($A121&lt;'Compression Fittings'!$A$16,VLOOKUP($A121,'Compression Fittings'!$A$8:$M$15,6,FALSE),
IF($A121&lt;'Hose Fittings'!$A$30,VLOOKUP($A121,'Hose Fittings'!$A$8:$M$29,6,FALSE),
IF($A121&lt;'Swing Joints'!$A$495,VLOOKUP($A121,'Swing Joints'!$A$9:$M$494,6,FALSE),
IF($A121&lt;'Swing Joints Components'!$A$135,VLOOKUP($A121,'Swing Joints Components'!$A$9:$M$134,6,FALSE),
IF($A121&lt;Nonstandard!$A$42,VLOOKUP($A121,Nonstandard!$A$31:$J$41,7,FALSE),"")))))))))))))))))))))))))))),"")</f>
        <v/>
      </c>
      <c r="E121" s="316"/>
      <c r="F121" s="314" t="str">
        <f>IFERROR(IF($A121&lt;'DWV PVC'!$A$317,VLOOKUP($A121,'DWV PVC'!$A$9:$M$316,9,FALSE),
IF($A121&lt;'DWV ABS'!$A$117,VLOOKUP($A121,'DWV ABS'!$A$8:$M$116,9,FALSE),                                                                                                                                                                                                                                                     IF($A121&lt;'PVC SCH40'!$A$425,VLOOKUP($A121,'PVC SCH40'!$A$8:$M$424,9,FALSE),
IF($A121&lt;'PVC SCH40 LD'!$A$22,VLOOKUP($A121,'PVC SCH40 LD'!$A$8:$M$21,9,FALSE),
IF($A121&lt;'Pool &amp; SPA Sweep Elbows'!$A$12,VLOOKUP($A121,'Pool &amp; SPA Sweep Elbows'!$A$8:$M$11,9,FALSE),
IF($A121&lt;'Pool &amp; SPA Pipe Extender'!$A$11,VLOOKUP($A121,'Pool &amp; SPA Pipe Extender'!$A$8:$M$10,9,FALSE),
IF($A121&lt;'PVC SCH80'!$A$250,VLOOKUP($A121,'PVC SCH80'!$A$8:$M$249,9,FALSE),
IF($A121&lt;'PVC SCH80 Flange'!$A$49,VLOOKUP($A121,'PVC SCH80 Flange'!$A$8:$M$48,9,FALSE),
IF($A121&lt;'PVC SCH80 LD Flange'!$A$17,VLOOKUP($A121,'PVC SCH80 LD Flange'!$A$8:$M$16,9,FALSE),
IF($A121&lt;CPVC!$A$105,VLOOKUP($A121,CPVC!$A$9:$M$104,9,FALSE),
IF($A121&lt;InsertFittings!$A$185,VLOOKUP($A121,InsertFittings!$A$9:$M$184,9,FALSE),
IF($A121&lt;Valves!$A$92,VLOOKUP($A121,Valves!$A$9:$Q$91,13,FALSE),
IF($A121&lt;SDR35SW!$A$133,VLOOKUP($A121,SDR35SW!$A$9:$M$132,9,FALSE),
IF($A121&lt;SDR35G!$A$151,VLOOKUP($A121,SDR35G!$A$9:$M$150,9,FALSE),                                                                                                                                                                                                                                                          IF($A121&lt;SDR26G!$A$67,VLOOKUP($A121,SDR26G!$A$9:$N$66,10,FALSE),                                                                                                                                                                                                                                                       IF($A121&lt;Cements!$A$95,VLOOKUP($A121,Cements!$A$8:$Q$94,13,FALSE),
IF($A121&lt;ValveBox!$A$124,VLOOKUP($A121,ValveBox!$A$9:$O$123,11,FALSE),
IF($A121&lt;'ValveBox Components'!$A$142,VLOOKUP($A121,'ValveBox Components'!$A$9:$N$141,10,FALSE),
IF($A121&lt;Drainage!$A$69,VLOOKUP($A121,Drainage!$A$8:$M$68,9,FALSE),                                                                                                                                                                                                                                                              IF($A121&lt;Nipples!$A$82,VLOOKUP($A121,Nipples!$A$9:$Q$81,13,FALSE),
IF($A121&lt;Manifold!$A$33,VLOOKUP($A121,Manifold!$A$9:$M$32,9,FALSE),
IF($A121&lt;FlexibleRepairCouplings!$A$12,VLOOKUP($A121,FlexibleRepairCouplings!$A$9:$M$11,9,FALSE),
IF($A121&lt;DuraFix!$A$15,VLOOKUP($A121,DuraFix!$A$9:$M$14,9,FALSE),                                                                                                                                                                                                                                                          IF($A121&lt;'Compression Fittings'!$A$16,VLOOKUP($A121,'Compression Fittings'!$A$8:$M$15,9,FALSE),
IF($A121&lt;'Hose Fittings'!$A$30,VLOOKUP($A121,'Hose Fittings'!$A$8:$M$29,9,FALSE),
IF($A121&lt;'Swing Joints'!$A$495,VLOOKUP($A121,'Swing Joints'!$A$9:$M$494,9,FALSE),
IF($A121&lt;'Swing Joints Components'!$A$135,VLOOKUP($A121,'Swing Joints Components'!$A$9:$M$134,9,FALSE),
IF($A121&lt;Nonstandard!$A$42,VLOOKUP($A121,Nonstandard!$A$31:$J$41,8,FALSE),"")))))))))))))))))))))))))))),"")</f>
        <v/>
      </c>
      <c r="G121" s="533" t="str">
        <f>IFERROR(IF($A121&lt;'DWV PVC'!$A$317,VLOOKUP($A121,'DWV PVC'!$A$9:$M$316,11,FALSE),
IF($A121&lt;'DWV ABS'!$A$117,VLOOKUP($A121,'DWV ABS'!$A$8:$M$116,11,FALSE),                                                                                                                                                                                                                                                     IF($A121&lt;'PVC SCH40'!$A$425,VLOOKUP($A121,'PVC SCH40'!$A$8:$M$424,11,FALSE),
IF($A121&lt;'PVC SCH40 LD'!$A$22,VLOOKUP($A121,'PVC SCH40 LD'!$A$8:$M$21,11,FALSE),
IF($A121&lt;'Pool &amp; SPA Sweep Elbows'!$A$12,VLOOKUP($A121,'Pool &amp; SPA Sweep Elbows'!$A$8:$M$11,11,FALSE),
IF($A121&lt;'Pool &amp; SPA Pipe Extender'!$A$11,VLOOKUP($A121,'Pool &amp; SPA Pipe Extender'!$A$8:$M$10,11,FALSE),
IF($A121&lt;'PVC SCH80'!$A$250,VLOOKUP($A121,'PVC SCH80'!$A$8:$M$249,11,FALSE),
IF($A121&lt;'PVC SCH80 Flange'!$A$49,VLOOKUP($A121,'PVC SCH80 Flange'!$A$8:$M$48,11,FALSE),
IF($A121&lt;'PVC SCH80 LD Flange'!$A$17,VLOOKUP($A121,'PVC SCH80 LD Flange'!$A$8:$M$16,11,FALSE),
IF($A121&lt;CPVC!$A$105,VLOOKUP($A121,CPVC!$A$9:$M$104,11,FALSE),
IF($A121&lt;InsertFittings!$A$185,VLOOKUP($A121,InsertFittings!$A$9:$M$184,11,FALSE),
IF($A121&lt;Valves!$A$92,VLOOKUP($A121,Valves!$A$9:$Q$91,15,FALSE),
IF($A121&lt;SDR35SW!$A$133,VLOOKUP($A121,SDR35SW!$A$9:$M$132,11,FALSE),
IF($A121&lt;SDR35G!$A$151,VLOOKUP($A121,SDR35G!$A$9:$M$150,11,FALSE),                                                                                                                                                                                                                                                          IF($A121&lt;SDR26G!$A$67,VLOOKUP($A121,SDR26G!$A$9:$N$66,12,FALSE),                                                                                                                                                                                                                                                       IF($A121&lt;Cements!$A$95,VLOOKUP($A121,Cements!$A$8:$Q$94,15,FALSE),
IF($A121&lt;ValveBox!$A$124,VLOOKUP($A121,ValveBox!$A$9:$O$123,13,FALSE),
IF($A121&lt;'ValveBox Components'!$A$142,VLOOKUP($A121,'ValveBox Components'!$A$9:$N$141,12,FALSE),
IF($A121&lt;Drainage!$A$69,VLOOKUP($A121,Drainage!$A$8:$M$68,11,FALSE),                                                                                                                                                                                                                                                           IF($A121&lt;Nipples!$A$82,VLOOKUP($A121,Nipples!$A$9:$Q$81,15,FALSE),
IF($A121&lt;Manifold!$A$33,VLOOKUP($A121,Manifold!$A$9:$M$32,11,FALSE),
IF($A121&lt;FlexibleRepairCouplings!$A$12,VLOOKUP($A121,FlexibleRepairCouplings!$A$9:$M$11,11,FALSE),
IF($A121&lt;DuraFix!$A$15,VLOOKUP($A121,DuraFix!$A$9:$M$14,11,FALSE),                                                                                                                                                                                                                                                            IF($A121&lt;'Compression Fittings'!$A$16,VLOOKUP($A121,'Compression Fittings'!$A$8:$M$15,11,FALSE),
IF($A121&lt;'Hose Fittings'!$A$30,VLOOKUP($A121,'Hose Fittings'!$A$8:$M$29,11,FALSE),
IF($A121&lt;'Swing Joints'!$A$495,VLOOKUP($A121,'Swing Joints'!$A$9:$M$494,11,FALSE),
IF($A121&lt;'Swing Joints Components'!$A$135,VLOOKUP($A121,'Swing Joints Components'!$A$9:$M$134,11,FALSE),
IF($A121&lt;Nonstandard!$A$42,VLOOKUP($A121,Nonstandard!$A$31:$J$41,10,FALSE),"")))))))))))))))))))))))))))),"")</f>
        <v/>
      </c>
      <c r="H121" s="618" t="str">
        <f>IFERROR(IF($A121&lt;'DWV PVC'!$A$317,VLOOKUP($A121,'DWV PVC'!$A$9:$M$316,7,FALSE),
IF($A121&lt;'DWV ABS'!$A$117,VLOOKUP($A121,'DWV ABS'!$A$8:$M$116,11,FALSE),                                                                                                                                                                                                                                                     IF($A121&lt;'PVC SCH40'!$A$425,VLOOKUP($A121,'PVC SCH40'!$A$8:$M$424,7,FALSE),
IF($A121&lt;'PVC SCH40 LD'!$A$22,VLOOKUP($A121,'PVC SCH40 LD'!$A$8:$M$21,7,FALSE),
IF($A121&lt;'Pool &amp; SPA Sweep Elbows'!$A$12,VLOOKUP($A121,'Pool &amp; SPA Sweep Elbows'!$A$8:$M$11,7,FALSE),
IF($A121&lt;'Pool &amp; SPA Pipe Extender'!$A$11,VLOOKUP($A121,'Pool &amp; SPA Pipe Extender'!$A$8:$M$10,7,FALSE),
IF($A121&lt;'PVC SCH80'!$A$250,VLOOKUP($A121,'PVC SCH80'!$A$8:$M$249,7,FALSE),
IF($A121&lt;'PVC SCH80 Flange'!$A$49,VLOOKUP($A121,'PVC SCH80 Flange'!$A$8:$M$48,7,FALSE),
IF($A121&lt;'PVC SCH80 LD Flange'!$A$17,VLOOKUP($A121,'PVC SCH80 LD Flange'!$A$8:$M$16,7,FALSE),
IF($A121&lt;CPVC!$A$105,VLOOKUP($A121,CPVC!$A$9:$M$104,7,FALSE),
IF($A121&lt;InsertFittings!$A$185,VLOOKUP($A121,InsertFittings!$A$9:$M$184,7,FALSE),
IF($A121&lt;Valves!$A$92,VLOOKUP($A121,Valves!$A$9:$Q$91,11,FALSE),
IF($A121&lt;SDR35SW!$A$133,VLOOKUP($A121,SDR35SW!$A$9:$M$132,7,FALSE),
IF($A121&lt;SDR35G!$A$151,VLOOKUP($A121,SDR35G!$A$9:$M$150,7,FALSE),                                                                                                                                                                                                                                                       IF($A121&lt;SDR26G!$A$67,VLOOKUP($A121,SDR26G!$A$9:$N$66,8,FALSE),                                                                                                                                                                                                                                                     IF($A121&lt;Cements!$A$95,VLOOKUP($A121,Cements!$A$8:$Q$94,11,FALSE),
IF($A121&lt;ValveBox!$A$124,VLOOKUP($A121,ValveBox!$A$9:$O$123,10,FALSE),
IF($A121&lt;'ValveBox Components'!$A$142,VLOOKUP($A121,'ValveBox Components'!$A$9:$N$141,9,FALSE),
IF($A121&lt;Drainage!$A$69,VLOOKUP($A121,Drainage!$A$8:$M$68,7,FALSE),                                                                                                                                                                                                                                                          IF($A121&lt;Nipples!$A$82,VLOOKUP($A121,Nipples!$A$9:$Q$81,11,FALSE),
IF($A121&lt;Manifold!$A$33,VLOOKUP($A121,Manifold!$A$9:$M$32,7,FALSE),
IF($A121&lt;FlexibleRepairCouplings!$A$12,VLOOKUP($A121,FlexibleRepairCouplings!$A$9:$M$11,7,FALSE),
IF($A121&lt;DuraFix!$A$15,VLOOKUP($A121,DuraFix!$A$9:$M$14,7,FALSE),                                                                                                                                                                                                                                                           IF($A121&lt;'Compression Fittings'!$A$16,VLOOKUP($A121,'Compression Fittings'!$A$8:$M$15,7,FALSE),
IF($A121&lt;'Hose Fittings'!$A$30,VLOOKUP($A121,'Hose Fittings'!$A$8:$M$29,7,FALSE),
IF($A121&lt;'Swing Joints'!$A$495,VLOOKUP($A121,'Swing Joints'!$A$9:$M$494,7,FALSE),
IF($A121&lt;'Swing Joints Components'!$A$135,VLOOKUP($A121,'Swing Joints Components'!$A$9:$M$134,7,FALSE),
IF($A121&lt;Nonstandard!$A$42,VLOOKUP($A121,Nonstandard!$A$31:$J$41,10,FALSE),"")))))))))))))))))))))))))))),"")</f>
        <v/>
      </c>
      <c r="I121" s="619"/>
      <c r="J121" s="281" t="str">
        <f t="shared" si="3"/>
        <v/>
      </c>
      <c r="K121" s="313" t="str">
        <f>IFERROR(IF($A121&lt;'DWV PVC'!$A$317,VLOOKUP($A121,'DWV PVC'!$A$9:$M$316,10,FALSE),
IF($A121&lt;'DWV ABS'!$A$117,VLOOKUP($A121,'DWV ABS'!$A$8:$M$116,10,FALSE),
IF($A121&lt;'PVC SCH40'!$A$425,VLOOKUP($A121,'PVC SCH40'!$A$8:$M$424,10,FALSE),
IF($A121&lt;'PVC SCH40 LD'!$A$22,VLOOKUP($A121,'PVC SCH40 LD'!$A$8:$M$21,10,FALSE),
IF($A121&lt;'Pool &amp; SPA Sweep Elbows'!$A$12,VLOOKUP($A121,'Pool &amp; SPA Sweep Elbows'!$A$8:$M$11,10,FALSE),
IF($A121&lt;'Pool &amp; SPA Pipe Extender'!$A$11,VLOOKUP($A121,'Pool &amp; SPA Pipe Extender'!$A$8:$M$10,10,FALSE),
IF($A121&lt;'PVC SCH80'!$A$250,VLOOKUP($A121,'PVC SCH80'!$A$8:$M$249,10,FALSE),
IF($A121&lt;'PVC SCH80 Flange'!$A$49,VLOOKUP($A121,'PVC SCH80 Flange'!$A$8:$M$48,10,FALSE),
IF($A121&lt;'PVC SCH80 LD Flange'!$A$17,VLOOKUP($A121,'PVC SCH80 LD Flange'!$A$8:$M$16,10,FALSE),
IF($A121&lt;CPVC!$A$105,VLOOKUP($A121,CPVC!$A$9:$M$104,10,FALSE),
IF($A121&lt;InsertFittings!$A$185,VLOOKUP($A121,InsertFittings!$A$9:$M$184,10,FALSE),
IF($A121&lt;Valves!$A$92,VLOOKUP($A121,Valves!$A$9:$Q$91,14,FALSE),
IF($A121&lt;SDR35SW!$A$133,VLOOKUP($A121,SDR35SW!$A$9:$M$132,10,FALSE),
IF($A121&lt;SDR35G!$A$151,VLOOKUP($A121,SDR35G!$A$9:$M$150,10,FALSE),
IF($A121&lt;SDR26G!$A$67,VLOOKUP($A121,SDR26G!$A$9:$N$66,11,FALSE),
IF($A121&lt;Cements!$A$95,VLOOKUP($A121,Cements!$A$8:$Q$94,14,FALSE),
IF($A121&lt;ValveBox!$A$124,VLOOKUP($A121,ValveBox!$A$9:$O$123,12,FALSE),
IF($A121&lt;'ValveBox Components'!$A$142,VLOOKUP($A121,'ValveBox Components'!$A$9:$N$141,11,FALSE),
IF($A121&lt;Drainage!$A$69,VLOOKUP($A121,Drainage!$A$8:$M$68,10,FALSE),
IF($A121&lt;Nipples!$A$82,VLOOKUP($A121,Nipples!$A$9:$Q$81,14,FALSE),
IF($A121&lt;Manifold!$A$33,VLOOKUP($A121,Manifold!$A$9:$M$32,10,FALSE),
IF($A121&lt;FlexibleRepairCouplings!$A$12,VLOOKUP($A121,FlexibleRepairCouplings!$A$9:$M$11,10,FALSE),
IF($A121&lt;DuraFix!$A$15,VLOOKUP($A121,DuraFix!$A$9:$M$14,10,FALSE),
IF($A121&lt;'Compression Fittings'!$A$16,VLOOKUP($A121,'Compression Fittings'!$A$8:$M$15,10,FALSE),
IF($A121&lt;'Hose Fittings'!$A$30,VLOOKUP($A121,'Hose Fittings'!$A$8:$M$29,10,FALSE),
IF($A121&lt;'Swing Joints'!$A$495,VLOOKUP($A121,'Swing Joints'!$A$9:$M$494,10,FALSE),
IF($A121&lt;'Swing Joints Components'!$A$135,VLOOKUP($A121,'Swing Joints Components'!$A$9:$M$134,10,FALSE),
IF($A121&lt;Nonstandard!$A$42,VLOOKUP($A121,Nonstandard!$A$31:$J$41,10,FALSE),"")))))))))))))))))))))))))))),"")</f>
        <v/>
      </c>
      <c r="L121" s="314" t="str">
        <f t="shared" si="2"/>
        <v>-</v>
      </c>
      <c r="M121" s="315"/>
    </row>
    <row r="122" spans="1:13" ht="15.6">
      <c r="A122" s="536">
        <v>90</v>
      </c>
      <c r="B122" s="536" t="str">
        <f>IFERROR(IF($A122&lt;'DWV PVC'!$A$317,VLOOKUP($A122,'DWV PVC'!$A$9:$M$316,4,FALSE),
IF($A122&lt;'DWV ABS'!$A$117,VLOOKUP($A122,'DWV ABS'!$A$8:$M$116,4,FALSE),
IF($A122&lt;'PVC SCH40'!$A$425,VLOOKUP($A122,'PVC SCH40'!$A$8:$M$424,4,FALSE),
IF($A122&lt;'PVC SCH40 LD'!$A$22,VLOOKUP($A122,'PVC SCH40 LD'!$A$8:$M$21,4,FALSE),
IF($A122&lt;'Pool &amp; SPA Sweep Elbows'!$A$12,VLOOKUP($A122,'Pool &amp; SPA Sweep Elbows'!$A$8:$M$11,4,FALSE),
IF($A122&lt;'Pool &amp; SPA Pipe Extender'!$A$11,VLOOKUP($A122,'Pool &amp; SPA Pipe Extender'!$A$8:$M$10,4,FALSE),
IF($A122&lt;'PVC SCH80'!$A$250,VLOOKUP($A122,'PVC SCH80'!$A$8:$M$249,4,FALSE),
IF($A122&lt;'PVC SCH80 Flange'!$A$49,VLOOKUP($A122,'PVC SCH80 Flange'!$A$8:$M$48,4,FALSE),
IF($A122&lt;'PVC SCH80 LD Flange'!$A$17,VLOOKUP($A122,'PVC SCH80 LD Flange'!$A$8:$M$16,4,FALSE),
IF($A122&lt;CPVC!$A$105,VLOOKUP($A122,CPVC!$A$9:$M$104,4,FALSE),
IF($A122&lt;InsertFittings!$A$185,VLOOKUP($A122,InsertFittings!$A$9:$M$184,4,FALSE),
IF($A122&lt;Valves!$A$92,VLOOKUP($A122,Valves!$A$9:$Q$91,4,FALSE),
IF($A122&lt;SDR35SW!$A$133,VLOOKUP($A122,SDR35SW!$A$9:$M$132,4,FALSE),
IF($A122&lt;SDR35G!$A$151,VLOOKUP($A122,SDR35G!$A$9:$M$150,4,FALSE),
IF($A122&lt;SDR26G!$A$67,VLOOKUP($A122,SDR26G!$A$9:$N$66,5,FALSE),
IF($A122&lt;Cements!$A$95,VLOOKUP($A122,Cements!$A$8:$Q$94,4,FALSE),
IF($A122&lt;ValveBox!$A$124,VLOOKUP($A122,ValveBox!$A$9:$O$123,4,FALSE),
IF($A122&lt;'ValveBox Components'!$A$142,VLOOKUP($A122,'ValveBox Components'!$A$9:$N$141,4,FALSE),
IF($A122&lt;Drainage!$A$69,VLOOKUP($A122,Drainage!$A$8:$M$68,4,FALSE),
IF($A122&lt;Nipples!$A$82,VLOOKUP($A122,Nipples!$A$9:$Q$81,4,FALSE),
IF($A122&lt;Manifold!$A$33,VLOOKUP($A122,Manifold!$A$9:$M$32,4,FALSE),
IF($A122&lt;FlexibleRepairCouplings!$A$12,VLOOKUP($A122,FlexibleRepairCouplings!$A$9:$M$11,4,FALSE),
IF($A122&lt;DuraFix!$A$15,VLOOKUP($A122,DuraFix!$A$9:$M$14,4,FALSE),
IF($A122&lt;'Compression Fittings'!$A$16,VLOOKUP($A122,'Compression Fittings'!$A$8:$M$15,4,FALSE),
IF($A122&lt;'Hose Fittings'!$A$30,VLOOKUP($A122,'Hose Fittings'!$A$8:$M$29,4,FALSE),
IF($A122&lt;'Swing Joints'!$A$495,VLOOKUP($A122,'Swing Joints'!$A$9:$M$494,4,FALSE),
IF($A122&lt;'Swing Joints Components'!$A$135,VLOOKUP($A122,'Swing Joints Components'!$A$9:$M$134,4,FALSE),
IF($A122&lt;Nonstandard!$A$42,VLOOKUP($A122,Nonstandard!$A$31:$J$41,5,FALSE),"")))))))))))))))))))))))))))),"")</f>
        <v/>
      </c>
      <c r="C122" s="536" t="str">
        <f>IFERROR(IF($A122&lt;'DWV PVC'!$A$317,VLOOKUP($A122,'DWV PVC'!$A$9:$M$316,5,FALSE),
IF($A122&lt;'DWV ABS'!$A$117,VLOOKUP($A122,'DWV ABS'!$A$8:$M$116,5,FALSE),
IF($A122&lt;'PVC SCH40'!$A$425,VLOOKUP($A122,'PVC SCH40'!$A$8:$M$424,5,FALSE),
IF($A122&lt;'PVC SCH40 LD'!$A$22,VLOOKUP($A122,'PVC SCH40 LD'!$A$8:$M$21,5,FALSE),
IF($A122&lt;'Pool &amp; SPA Sweep Elbows'!$A$12,VLOOKUP($A122,'Pool &amp; SPA Sweep Elbows'!$A$8:$M$11,5,FALSE),
IF($A122&lt;'Pool &amp; SPA Pipe Extender'!$A$11,VLOOKUP($A122,'Pool &amp; SPA Pipe Extender'!$A$8:$M$10,5,FALSE),
IF($A122&lt;'PVC SCH80'!$A$250,VLOOKUP($A122,'PVC SCH80'!$A$8:$M$249,5,FALSE),
IF($A122&lt;'PVC SCH80 Flange'!$A$49,VLOOKUP($A122,'PVC SCH80 Flange'!$A$8:$M$48,5,FALSE),
IF($A122&lt;'PVC SCH80 LD Flange'!$A$17,VLOOKUP($A122,'PVC SCH80 LD Flange'!$A$8:$M$16,5,FALSE),
IF($A122&lt;CPVC!$A$105,VLOOKUP($A122,CPVC!$A$9:$M$104,5,FALSE),
IF($A122&lt;InsertFittings!$A$185,VLOOKUP($A122,InsertFittings!$A$9:$M$184,5,FALSE),
IF($A122&lt;Valves!$A$92,VLOOKUP($A122,Valves!$A$9:$Q$91,5,FALSE),
IF($A122&lt;SDR35SW!$A$133,VLOOKUP($A122,SDR35SW!$A$9:$M$132,5,FALSE),
IF($A122&lt;SDR35G!$A$151,VLOOKUP($A122,SDR35G!$A$9:$M$150,5,FALSE),
IF($A122&lt;SDR26G!$A$67,VLOOKUP($A122,SDR26G!$A$9:$N$66,6,FALSE),
IF($A122&lt;Cements!$A$95,VLOOKUP($A122,Cements!$A$8:$Q$94,5,FALSE),
IF($A122&lt;ValveBox!$A$124,VLOOKUP($A122,ValveBox!$A$9:$O$123,5,FALSE),
IF($A122&lt;'ValveBox Components'!$A$142,VLOOKUP($A122,'ValveBox Components'!$A$9:$N$141,5,FALSE),
IF($A122&lt;Drainage!$A$69,VLOOKUP($A122,Drainage!$A$8:$M$68,5,FALSE),
IF($A122&lt;Nipples!$A$82,VLOOKUP($A122,Nipples!$A$9:$Q$81,5,FALSE),
IF($A122&lt;Manifold!$A$33,VLOOKUP($A122,Manifold!$A$9:$M$32,5,FALSE),
IF($A122&lt;FlexibleRepairCouplings!$A$12,VLOOKUP($A122,FlexibleRepairCouplings!$A$9:$M$11,5,FALSE),
IF($A122&lt;DuraFix!$A$15,VLOOKUP($A122,DuraFix!$A$9:$M$14,5,FALSE),
IF($A122&lt;'Compression Fittings'!$A$16,VLOOKUP($A122,'Compression Fittings'!$A$8:$M$15,5,FALSE),
IF($A122&lt;'Hose Fittings'!$A$30,VLOOKUP($A122,'Hose Fittings'!$A$8:$M$29,5,FALSE),
IF($A122&lt;'Swing Joints'!$A$495,VLOOKUP($A122,'Swing Joints'!$A$9:$M$494,5,FALSE),
IF($A122&lt;'Swing Joints Components'!$A$135,VLOOKUP($A122,'Swing Joints Components'!$A$9:$M$134,5,FALSE),
IF($A122&lt;Nonstandard!$A$42,VLOOKUP($A122,Nonstandard!$A$31:$J$41,6,FALSE),"")))))))))))))))))))))))))))),"")</f>
        <v/>
      </c>
      <c r="D122" s="537" t="str">
        <f>IFERROR(IF($A122&lt;'DWV PVC'!$A$317,VLOOKUP($A122,'DWV PVC'!$A$9:$M$316,6,FALSE),
IF($A122&lt;'DWV ABS'!$A$117,VLOOKUP($A122,'DWV ABS'!$A$8:$M$116,6,FALSE),
IF($A122&lt;'PVC SCH40'!$A$425,VLOOKUP($A122,'PVC SCH40'!$A$8:$M$424,6,FALSE),
IF($A122&lt;'PVC SCH40 LD'!$A$22,VLOOKUP($A122,'PVC SCH40 LD'!$A$8:$M$21,6,FALSE),
IF($A122&lt;'Pool &amp; SPA Sweep Elbows'!$A$12,VLOOKUP($A122,'Pool &amp; SPA Sweep Elbows'!$A$8:$M$11,6,FALSE),
IF($A122&lt;'Pool &amp; SPA Pipe Extender'!$A$11,VLOOKUP($A122,'Pool &amp; SPA Pipe Extender'!$A$8:$M$10,6,FALSE),
IF($A122&lt;'PVC SCH80'!$A$250,VLOOKUP($A122,'PVC SCH80'!$A$8:$M$249,6,FALSE),
IF($A122&lt;'PVC SCH80 Flange'!$A$49,VLOOKUP($A122,'PVC SCH80 Flange'!$A$8:$M$48,6,FALSE),
IF($A122&lt;'PVC SCH80 LD Flange'!$A$17,VLOOKUP($A122,'PVC SCH80 LD Flange'!$A$8:$M$16,6,FALSE),
IF($A122&lt;CPVC!$A$105,VLOOKUP($A122,CPVC!$A$9:$M$104,6,FALSE),
IF($A122&lt;InsertFittings!$A$185,VLOOKUP($A122,InsertFittings!$A$9:$M$184,6,FALSE),
IF($A122&lt;Valves!$A$92,VLOOKUP($A122,Valves!$A$9:$Q$91,6,FALSE),
IF($A122&lt;SDR35SW!$A$133,VLOOKUP($A122,SDR35SW!$A$9:$M$132,6,FALSE),
IF($A122&lt;SDR35G!$A$151,VLOOKUP($A122,SDR35G!$A$9:$M$150,6,FALSE),
IF($A122&lt;SDR26G!$A$67,VLOOKUP($A122,SDR26G!$A$9:$N$66,7,FALSE),
IF($A122&lt;Cements!$A$95,VLOOKUP($A122,Cements!$A$8:$Q$94,6,FALSE),
IF($A122&lt;ValveBox!$A$124,VLOOKUP($A122,ValveBox!$A$9:$O$123,6,FALSE),
IF($A122&lt;'ValveBox Components'!$A$142,VLOOKUP($A122,'ValveBox Components'!$A$9:$N$141,6,FALSE),
IF($A122&lt;Drainage!$A$69,VLOOKUP($A122,Drainage!$A$8:$M$68,6,FALSE),
IF($A122&lt;Nipples!$A$82,VLOOKUP($A122,Nipples!$A$9:$Q$81,6,FALSE),
IF($A122&lt;Manifold!$A$33,VLOOKUP($A122,Manifold!$A$9:$M$32,6,FALSE),
IF($A122&lt;FlexibleRepairCouplings!$A$12,VLOOKUP($A122,FlexibleRepairCouplings!$A$9:$M$11,6,FALSE),
IF($A122&lt;DuraFix!$A$15,VLOOKUP($A122,DuraFix!$A$9:$M$14,6,FALSE),
IF($A122&lt;'Compression Fittings'!$A$16,VLOOKUP($A122,'Compression Fittings'!$A$8:$M$15,6,FALSE),
IF($A122&lt;'Hose Fittings'!$A$30,VLOOKUP($A122,'Hose Fittings'!$A$8:$M$29,6,FALSE),
IF($A122&lt;'Swing Joints'!$A$495,VLOOKUP($A122,'Swing Joints'!$A$9:$M$494,6,FALSE),
IF($A122&lt;'Swing Joints Components'!$A$135,VLOOKUP($A122,'Swing Joints Components'!$A$9:$M$134,6,FALSE),
IF($A122&lt;Nonstandard!$A$42,VLOOKUP($A122,Nonstandard!$A$31:$J$41,7,FALSE),"")))))))))))))))))))))))))))),"")</f>
        <v/>
      </c>
      <c r="E122" s="538"/>
      <c r="F122" s="539" t="str">
        <f>IFERROR(IF($A122&lt;'DWV PVC'!$A$317,VLOOKUP($A122,'DWV PVC'!$A$9:$M$316,9,FALSE),
IF($A122&lt;'DWV ABS'!$A$117,VLOOKUP($A122,'DWV ABS'!$A$8:$M$116,9,FALSE),                                                                                                                                                                                                                                                     IF($A122&lt;'PVC SCH40'!$A$425,VLOOKUP($A122,'PVC SCH40'!$A$8:$M$424,9,FALSE),
IF($A122&lt;'PVC SCH40 LD'!$A$22,VLOOKUP($A122,'PVC SCH40 LD'!$A$8:$M$21,9,FALSE),
IF($A122&lt;'Pool &amp; SPA Sweep Elbows'!$A$12,VLOOKUP($A122,'Pool &amp; SPA Sweep Elbows'!$A$8:$M$11,9,FALSE),
IF($A122&lt;'Pool &amp; SPA Pipe Extender'!$A$11,VLOOKUP($A122,'Pool &amp; SPA Pipe Extender'!$A$8:$M$10,9,FALSE),
IF($A122&lt;'PVC SCH80'!$A$250,VLOOKUP($A122,'PVC SCH80'!$A$8:$M$249,9,FALSE),
IF($A122&lt;'PVC SCH80 Flange'!$A$49,VLOOKUP($A122,'PVC SCH80 Flange'!$A$8:$M$48,9,FALSE),
IF($A122&lt;'PVC SCH80 LD Flange'!$A$17,VLOOKUP($A122,'PVC SCH80 LD Flange'!$A$8:$M$16,9,FALSE),
IF($A122&lt;CPVC!$A$105,VLOOKUP($A122,CPVC!$A$9:$M$104,9,FALSE),
IF($A122&lt;InsertFittings!$A$185,VLOOKUP($A122,InsertFittings!$A$9:$M$184,9,FALSE),
IF($A122&lt;Valves!$A$92,VLOOKUP($A122,Valves!$A$9:$Q$91,13,FALSE),
IF($A122&lt;SDR35SW!$A$133,VLOOKUP($A122,SDR35SW!$A$9:$M$132,9,FALSE),
IF($A122&lt;SDR35G!$A$151,VLOOKUP($A122,SDR35G!$A$9:$M$150,9,FALSE),                                                                                                                                                                                                                                                          IF($A122&lt;SDR26G!$A$67,VLOOKUP($A122,SDR26G!$A$9:$N$66,10,FALSE),                                                                                                                                                                                                                                                       IF($A122&lt;Cements!$A$95,VLOOKUP($A122,Cements!$A$8:$Q$94,13,FALSE),
IF($A122&lt;ValveBox!$A$124,VLOOKUP($A122,ValveBox!$A$9:$O$123,11,FALSE),
IF($A122&lt;'ValveBox Components'!$A$142,VLOOKUP($A122,'ValveBox Components'!$A$9:$N$141,10,FALSE),
IF($A122&lt;Drainage!$A$69,VLOOKUP($A122,Drainage!$A$8:$M$68,9,FALSE),                                                                                                                                                                                                                                                              IF($A122&lt;Nipples!$A$82,VLOOKUP($A122,Nipples!$A$9:$Q$81,13,FALSE),
IF($A122&lt;Manifold!$A$33,VLOOKUP($A122,Manifold!$A$9:$M$32,9,FALSE),
IF($A122&lt;FlexibleRepairCouplings!$A$12,VLOOKUP($A122,FlexibleRepairCouplings!$A$9:$M$11,9,FALSE),
IF($A122&lt;DuraFix!$A$15,VLOOKUP($A122,DuraFix!$A$9:$M$14,9,FALSE),                                                                                                                                                                                                                                                          IF($A122&lt;'Compression Fittings'!$A$16,VLOOKUP($A122,'Compression Fittings'!$A$8:$M$15,9,FALSE),
IF($A122&lt;'Hose Fittings'!$A$30,VLOOKUP($A122,'Hose Fittings'!$A$8:$M$29,9,FALSE),
IF($A122&lt;'Swing Joints'!$A$495,VLOOKUP($A122,'Swing Joints'!$A$9:$M$494,9,FALSE),
IF($A122&lt;'Swing Joints Components'!$A$135,VLOOKUP($A122,'Swing Joints Components'!$A$9:$M$134,9,FALSE),
IF($A122&lt;Nonstandard!$A$42,VLOOKUP($A122,Nonstandard!$A$31:$J$41,8,FALSE),"")))))))))))))))))))))))))))),"")</f>
        <v/>
      </c>
      <c r="G122" s="540" t="str">
        <f>IFERROR(IF($A122&lt;'DWV PVC'!$A$317,VLOOKUP($A122,'DWV PVC'!$A$9:$M$316,11,FALSE),
IF($A122&lt;'DWV ABS'!$A$117,VLOOKUP($A122,'DWV ABS'!$A$8:$M$116,11,FALSE),                                                                                                                                                                                                                                                     IF($A122&lt;'PVC SCH40'!$A$425,VLOOKUP($A122,'PVC SCH40'!$A$8:$M$424,11,FALSE),
IF($A122&lt;'PVC SCH40 LD'!$A$22,VLOOKUP($A122,'PVC SCH40 LD'!$A$8:$M$21,11,FALSE),
IF($A122&lt;'Pool &amp; SPA Sweep Elbows'!$A$12,VLOOKUP($A122,'Pool &amp; SPA Sweep Elbows'!$A$8:$M$11,11,FALSE),
IF($A122&lt;'Pool &amp; SPA Pipe Extender'!$A$11,VLOOKUP($A122,'Pool &amp; SPA Pipe Extender'!$A$8:$M$10,11,FALSE),
IF($A122&lt;'PVC SCH80'!$A$250,VLOOKUP($A122,'PVC SCH80'!$A$8:$M$249,11,FALSE),
IF($A122&lt;'PVC SCH80 Flange'!$A$49,VLOOKUP($A122,'PVC SCH80 Flange'!$A$8:$M$48,11,FALSE),
IF($A122&lt;'PVC SCH80 LD Flange'!$A$17,VLOOKUP($A122,'PVC SCH80 LD Flange'!$A$8:$M$16,11,FALSE),
IF($A122&lt;CPVC!$A$105,VLOOKUP($A122,CPVC!$A$9:$M$104,11,FALSE),
IF($A122&lt;InsertFittings!$A$185,VLOOKUP($A122,InsertFittings!$A$9:$M$184,11,FALSE),
IF($A122&lt;Valves!$A$92,VLOOKUP($A122,Valves!$A$9:$Q$91,15,FALSE),
IF($A122&lt;SDR35SW!$A$133,VLOOKUP($A122,SDR35SW!$A$9:$M$132,11,FALSE),
IF($A122&lt;SDR35G!$A$151,VLOOKUP($A122,SDR35G!$A$9:$M$150,11,FALSE),                                                                                                                                                                                                                                                          IF($A122&lt;SDR26G!$A$67,VLOOKUP($A122,SDR26G!$A$9:$N$66,12,FALSE),                                                                                                                                                                                                                                                       IF($A122&lt;Cements!$A$95,VLOOKUP($A122,Cements!$A$8:$Q$94,15,FALSE),
IF($A122&lt;ValveBox!$A$124,VLOOKUP($A122,ValveBox!$A$9:$O$123,13,FALSE),
IF($A122&lt;'ValveBox Components'!$A$142,VLOOKUP($A122,'ValveBox Components'!$A$9:$N$141,12,FALSE),
IF($A122&lt;Drainage!$A$69,VLOOKUP($A122,Drainage!$A$8:$M$68,11,FALSE),                                                                                                                                                                                                                                                           IF($A122&lt;Nipples!$A$82,VLOOKUP($A122,Nipples!$A$9:$Q$81,15,FALSE),
IF($A122&lt;Manifold!$A$33,VLOOKUP($A122,Manifold!$A$9:$M$32,11,FALSE),
IF($A122&lt;FlexibleRepairCouplings!$A$12,VLOOKUP($A122,FlexibleRepairCouplings!$A$9:$M$11,11,FALSE),
IF($A122&lt;DuraFix!$A$15,VLOOKUP($A122,DuraFix!$A$9:$M$14,11,FALSE),                                                                                                                                                                                                                                                            IF($A122&lt;'Compression Fittings'!$A$16,VLOOKUP($A122,'Compression Fittings'!$A$8:$M$15,11,FALSE),
IF($A122&lt;'Hose Fittings'!$A$30,VLOOKUP($A122,'Hose Fittings'!$A$8:$M$29,11,FALSE),
IF($A122&lt;'Swing Joints'!$A$495,VLOOKUP($A122,'Swing Joints'!$A$9:$M$494,11,FALSE),
IF($A122&lt;'Swing Joints Components'!$A$135,VLOOKUP($A122,'Swing Joints Components'!$A$9:$M$134,11,FALSE),
IF($A122&lt;Nonstandard!$A$42,VLOOKUP($A122,Nonstandard!$A$31:$J$41,10,FALSE),"")))))))))))))))))))))))))))),"")</f>
        <v/>
      </c>
      <c r="H122" s="620" t="str">
        <f>IFERROR(IF($A122&lt;'DWV PVC'!$A$317,VLOOKUP($A122,'DWV PVC'!$A$9:$M$316,7,FALSE),
IF($A122&lt;'DWV ABS'!$A$117,VLOOKUP($A122,'DWV ABS'!$A$8:$M$116,11,FALSE),                                                                                                                                                                                                                                                     IF($A122&lt;'PVC SCH40'!$A$425,VLOOKUP($A122,'PVC SCH40'!$A$8:$M$424,7,FALSE),
IF($A122&lt;'PVC SCH40 LD'!$A$22,VLOOKUP($A122,'PVC SCH40 LD'!$A$8:$M$21,7,FALSE),
IF($A122&lt;'Pool &amp; SPA Sweep Elbows'!$A$12,VLOOKUP($A122,'Pool &amp; SPA Sweep Elbows'!$A$8:$M$11,7,FALSE),
IF($A122&lt;'Pool &amp; SPA Pipe Extender'!$A$11,VLOOKUP($A122,'Pool &amp; SPA Pipe Extender'!$A$8:$M$10,7,FALSE),
IF($A122&lt;'PVC SCH80'!$A$250,VLOOKUP($A122,'PVC SCH80'!$A$8:$M$249,7,FALSE),
IF($A122&lt;'PVC SCH80 Flange'!$A$49,VLOOKUP($A122,'PVC SCH80 Flange'!$A$8:$M$48,7,FALSE),
IF($A122&lt;'PVC SCH80 LD Flange'!$A$17,VLOOKUP($A122,'PVC SCH80 LD Flange'!$A$8:$M$16,7,FALSE),
IF($A122&lt;CPVC!$A$105,VLOOKUP($A122,CPVC!$A$9:$M$104,7,FALSE),
IF($A122&lt;InsertFittings!$A$185,VLOOKUP($A122,InsertFittings!$A$9:$M$184,7,FALSE),
IF($A122&lt;Valves!$A$92,VLOOKUP($A122,Valves!$A$9:$Q$91,11,FALSE),
IF($A122&lt;SDR35SW!$A$133,VLOOKUP($A122,SDR35SW!$A$9:$M$132,7,FALSE),
IF($A122&lt;SDR35G!$A$151,VLOOKUP($A122,SDR35G!$A$9:$M$150,7,FALSE),                                                                                                                                                                                                                                                       IF($A122&lt;SDR26G!$A$67,VLOOKUP($A122,SDR26G!$A$9:$N$66,8,FALSE),                                                                                                                                                                                                                                                     IF($A122&lt;Cements!$A$95,VLOOKUP($A122,Cements!$A$8:$Q$94,11,FALSE),
IF($A122&lt;ValveBox!$A$124,VLOOKUP($A122,ValveBox!$A$9:$O$123,10,FALSE),
IF($A122&lt;'ValveBox Components'!$A$142,VLOOKUP($A122,'ValveBox Components'!$A$9:$N$141,9,FALSE),
IF($A122&lt;Drainage!$A$69,VLOOKUP($A122,Drainage!$A$8:$M$68,7,FALSE),                                                                                                                                                                                                                                                          IF($A122&lt;Nipples!$A$82,VLOOKUP($A122,Nipples!$A$9:$Q$81,11,FALSE),
IF($A122&lt;Manifold!$A$33,VLOOKUP($A122,Manifold!$A$9:$M$32,7,FALSE),
IF($A122&lt;FlexibleRepairCouplings!$A$12,VLOOKUP($A122,FlexibleRepairCouplings!$A$9:$M$11,7,FALSE),
IF($A122&lt;DuraFix!$A$15,VLOOKUP($A122,DuraFix!$A$9:$M$14,7,FALSE),                                                                                                                                                                                                                                                           IF($A122&lt;'Compression Fittings'!$A$16,VLOOKUP($A122,'Compression Fittings'!$A$8:$M$15,7,FALSE),
IF($A122&lt;'Hose Fittings'!$A$30,VLOOKUP($A122,'Hose Fittings'!$A$8:$M$29,7,FALSE),
IF($A122&lt;'Swing Joints'!$A$495,VLOOKUP($A122,'Swing Joints'!$A$9:$M$494,7,FALSE),
IF($A122&lt;'Swing Joints Components'!$A$135,VLOOKUP($A122,'Swing Joints Components'!$A$9:$M$134,7,FALSE),
IF($A122&lt;Nonstandard!$A$42,VLOOKUP($A122,Nonstandard!$A$31:$J$41,10,FALSE),"")))))))))))))))))))))))))))),"")</f>
        <v/>
      </c>
      <c r="I122" s="621"/>
      <c r="J122" s="541" t="str">
        <f t="shared" si="3"/>
        <v/>
      </c>
      <c r="K122" s="599" t="str">
        <f>IFERROR(IF($A122&lt;'DWV PVC'!$A$317,VLOOKUP($A122,'DWV PVC'!$A$9:$M$316,10,FALSE),
IF($A122&lt;'DWV ABS'!$A$117,VLOOKUP($A122,'DWV ABS'!$A$8:$M$116,10,FALSE),
IF($A122&lt;'PVC SCH40'!$A$425,VLOOKUP($A122,'PVC SCH40'!$A$8:$M$424,10,FALSE),
IF($A122&lt;'PVC SCH40 LD'!$A$22,VLOOKUP($A122,'PVC SCH40 LD'!$A$8:$M$21,10,FALSE),
IF($A122&lt;'Pool &amp; SPA Sweep Elbows'!$A$12,VLOOKUP($A122,'Pool &amp; SPA Sweep Elbows'!$A$8:$M$11,10,FALSE),
IF($A122&lt;'Pool &amp; SPA Pipe Extender'!$A$11,VLOOKUP($A122,'Pool &amp; SPA Pipe Extender'!$A$8:$M$10,10,FALSE),
IF($A122&lt;'PVC SCH80'!$A$250,VLOOKUP($A122,'PVC SCH80'!$A$8:$M$249,10,FALSE),
IF($A122&lt;'PVC SCH80 Flange'!$A$49,VLOOKUP($A122,'PVC SCH80 Flange'!$A$8:$M$48,10,FALSE),
IF($A122&lt;'PVC SCH80 LD Flange'!$A$17,VLOOKUP($A122,'PVC SCH80 LD Flange'!$A$8:$M$16,10,FALSE),
IF($A122&lt;CPVC!$A$105,VLOOKUP($A122,CPVC!$A$9:$M$104,10,FALSE),
IF($A122&lt;InsertFittings!$A$185,VLOOKUP($A122,InsertFittings!$A$9:$M$184,10,FALSE),
IF($A122&lt;Valves!$A$92,VLOOKUP($A122,Valves!$A$9:$Q$91,14,FALSE),
IF($A122&lt;SDR35SW!$A$133,VLOOKUP($A122,SDR35SW!$A$9:$M$132,10,FALSE),
IF($A122&lt;SDR35G!$A$151,VLOOKUP($A122,SDR35G!$A$9:$M$150,10,FALSE),
IF($A122&lt;SDR26G!$A$67,VLOOKUP($A122,SDR26G!$A$9:$N$66,11,FALSE),
IF($A122&lt;Cements!$A$95,VLOOKUP($A122,Cements!$A$8:$Q$94,14,FALSE),
IF($A122&lt;ValveBox!$A$124,VLOOKUP($A122,ValveBox!$A$9:$O$123,12,FALSE),
IF($A122&lt;'ValveBox Components'!$A$142,VLOOKUP($A122,'ValveBox Components'!$A$9:$N$141,11,FALSE),
IF($A122&lt;Drainage!$A$69,VLOOKUP($A122,Drainage!$A$8:$M$68,10,FALSE),
IF($A122&lt;Nipples!$A$82,VLOOKUP($A122,Nipples!$A$9:$Q$81,14,FALSE),
IF($A122&lt;Manifold!$A$33,VLOOKUP($A122,Manifold!$A$9:$M$32,10,FALSE),
IF($A122&lt;FlexibleRepairCouplings!$A$12,VLOOKUP($A122,FlexibleRepairCouplings!$A$9:$M$11,10,FALSE),
IF($A122&lt;DuraFix!$A$15,VLOOKUP($A122,DuraFix!$A$9:$M$14,10,FALSE),
IF($A122&lt;'Compression Fittings'!$A$16,VLOOKUP($A122,'Compression Fittings'!$A$8:$M$15,10,FALSE),
IF($A122&lt;'Hose Fittings'!$A$30,VLOOKUP($A122,'Hose Fittings'!$A$8:$M$29,10,FALSE),
IF($A122&lt;'Swing Joints'!$A$495,VLOOKUP($A122,'Swing Joints'!$A$9:$M$494,10,FALSE),
IF($A122&lt;'Swing Joints Components'!$A$135,VLOOKUP($A122,'Swing Joints Components'!$A$9:$M$134,10,FALSE),
IF($A122&lt;Nonstandard!$A$42,VLOOKUP($A122,Nonstandard!$A$31:$J$41,10,FALSE),"")))))))))))))))))))))))))))),"")</f>
        <v/>
      </c>
      <c r="L122" s="539" t="str">
        <f t="shared" si="2"/>
        <v>-</v>
      </c>
      <c r="M122" s="542"/>
    </row>
    <row r="123" spans="1:13" ht="15.6">
      <c r="A123" s="312">
        <v>91</v>
      </c>
      <c r="B123" s="312" t="str">
        <f>IFERROR(IF($A123&lt;'DWV PVC'!$A$317,VLOOKUP($A123,'DWV PVC'!$A$9:$M$316,4,FALSE),
IF($A123&lt;'DWV ABS'!$A$117,VLOOKUP($A123,'DWV ABS'!$A$8:$M$116,4,FALSE),
IF($A123&lt;'PVC SCH40'!$A$425,VLOOKUP($A123,'PVC SCH40'!$A$8:$M$424,4,FALSE),
IF($A123&lt;'PVC SCH40 LD'!$A$22,VLOOKUP($A123,'PVC SCH40 LD'!$A$8:$M$21,4,FALSE),
IF($A123&lt;'Pool &amp; SPA Sweep Elbows'!$A$12,VLOOKUP($A123,'Pool &amp; SPA Sweep Elbows'!$A$8:$M$11,4,FALSE),
IF($A123&lt;'Pool &amp; SPA Pipe Extender'!$A$11,VLOOKUP($A123,'Pool &amp; SPA Pipe Extender'!$A$8:$M$10,4,FALSE),
IF($A123&lt;'PVC SCH80'!$A$250,VLOOKUP($A123,'PVC SCH80'!$A$8:$M$249,4,FALSE),
IF($A123&lt;'PVC SCH80 Flange'!$A$49,VLOOKUP($A123,'PVC SCH80 Flange'!$A$8:$M$48,4,FALSE),
IF($A123&lt;'PVC SCH80 LD Flange'!$A$17,VLOOKUP($A123,'PVC SCH80 LD Flange'!$A$8:$M$16,4,FALSE),
IF($A123&lt;CPVC!$A$105,VLOOKUP($A123,CPVC!$A$9:$M$104,4,FALSE),
IF($A123&lt;InsertFittings!$A$185,VLOOKUP($A123,InsertFittings!$A$9:$M$184,4,FALSE),
IF($A123&lt;Valves!$A$92,VLOOKUP($A123,Valves!$A$9:$Q$91,4,FALSE),
IF($A123&lt;SDR35SW!$A$133,VLOOKUP($A123,SDR35SW!$A$9:$M$132,4,FALSE),
IF($A123&lt;SDR35G!$A$151,VLOOKUP($A123,SDR35G!$A$9:$M$150,4,FALSE),
IF($A123&lt;SDR26G!$A$67,VLOOKUP($A123,SDR26G!$A$9:$N$66,5,FALSE),
IF($A123&lt;Cements!$A$95,VLOOKUP($A123,Cements!$A$8:$Q$94,4,FALSE),
IF($A123&lt;ValveBox!$A$124,VLOOKUP($A123,ValveBox!$A$9:$O$123,4,FALSE),
IF($A123&lt;'ValveBox Components'!$A$142,VLOOKUP($A123,'ValveBox Components'!$A$9:$N$141,4,FALSE),
IF($A123&lt;Drainage!$A$69,VLOOKUP($A123,Drainage!$A$8:$M$68,4,FALSE),
IF($A123&lt;Nipples!$A$82,VLOOKUP($A123,Nipples!$A$9:$Q$81,4,FALSE),
IF($A123&lt;Manifold!$A$33,VLOOKUP($A123,Manifold!$A$9:$M$32,4,FALSE),
IF($A123&lt;FlexibleRepairCouplings!$A$12,VLOOKUP($A123,FlexibleRepairCouplings!$A$9:$M$11,4,FALSE),
IF($A123&lt;DuraFix!$A$15,VLOOKUP($A123,DuraFix!$A$9:$M$14,4,FALSE),
IF($A123&lt;'Compression Fittings'!$A$16,VLOOKUP($A123,'Compression Fittings'!$A$8:$M$15,4,FALSE),
IF($A123&lt;'Hose Fittings'!$A$30,VLOOKUP($A123,'Hose Fittings'!$A$8:$M$29,4,FALSE),
IF($A123&lt;'Swing Joints'!$A$495,VLOOKUP($A123,'Swing Joints'!$A$9:$M$494,4,FALSE),
IF($A123&lt;'Swing Joints Components'!$A$135,VLOOKUP($A123,'Swing Joints Components'!$A$9:$M$134,4,FALSE),
IF($A123&lt;Nonstandard!$A$42,VLOOKUP($A123,Nonstandard!$A$31:$J$41,5,FALSE),"")))))))))))))))))))))))))))),"")</f>
        <v/>
      </c>
      <c r="C123" s="312" t="str">
        <f>IFERROR(IF($A123&lt;'DWV PVC'!$A$317,VLOOKUP($A123,'DWV PVC'!$A$9:$M$316,5,FALSE),
IF($A123&lt;'DWV ABS'!$A$117,VLOOKUP($A123,'DWV ABS'!$A$8:$M$116,5,FALSE),
IF($A123&lt;'PVC SCH40'!$A$425,VLOOKUP($A123,'PVC SCH40'!$A$8:$M$424,5,FALSE),
IF($A123&lt;'PVC SCH40 LD'!$A$22,VLOOKUP($A123,'PVC SCH40 LD'!$A$8:$M$21,5,FALSE),
IF($A123&lt;'Pool &amp; SPA Sweep Elbows'!$A$12,VLOOKUP($A123,'Pool &amp; SPA Sweep Elbows'!$A$8:$M$11,5,FALSE),
IF($A123&lt;'Pool &amp; SPA Pipe Extender'!$A$11,VLOOKUP($A123,'Pool &amp; SPA Pipe Extender'!$A$8:$M$10,5,FALSE),
IF($A123&lt;'PVC SCH80'!$A$250,VLOOKUP($A123,'PVC SCH80'!$A$8:$M$249,5,FALSE),
IF($A123&lt;'PVC SCH80 Flange'!$A$49,VLOOKUP($A123,'PVC SCH80 Flange'!$A$8:$M$48,5,FALSE),
IF($A123&lt;'PVC SCH80 LD Flange'!$A$17,VLOOKUP($A123,'PVC SCH80 LD Flange'!$A$8:$M$16,5,FALSE),
IF($A123&lt;CPVC!$A$105,VLOOKUP($A123,CPVC!$A$9:$M$104,5,FALSE),
IF($A123&lt;InsertFittings!$A$185,VLOOKUP($A123,InsertFittings!$A$9:$M$184,5,FALSE),
IF($A123&lt;Valves!$A$92,VLOOKUP($A123,Valves!$A$9:$Q$91,5,FALSE),
IF($A123&lt;SDR35SW!$A$133,VLOOKUP($A123,SDR35SW!$A$9:$M$132,5,FALSE),
IF($A123&lt;SDR35G!$A$151,VLOOKUP($A123,SDR35G!$A$9:$M$150,5,FALSE),
IF($A123&lt;SDR26G!$A$67,VLOOKUP($A123,SDR26G!$A$9:$N$66,6,FALSE),
IF($A123&lt;Cements!$A$95,VLOOKUP($A123,Cements!$A$8:$Q$94,5,FALSE),
IF($A123&lt;ValveBox!$A$124,VLOOKUP($A123,ValveBox!$A$9:$O$123,5,FALSE),
IF($A123&lt;'ValveBox Components'!$A$142,VLOOKUP($A123,'ValveBox Components'!$A$9:$N$141,5,FALSE),
IF($A123&lt;Drainage!$A$69,VLOOKUP($A123,Drainage!$A$8:$M$68,5,FALSE),
IF($A123&lt;Nipples!$A$82,VLOOKUP($A123,Nipples!$A$9:$Q$81,5,FALSE),
IF($A123&lt;Manifold!$A$33,VLOOKUP($A123,Manifold!$A$9:$M$32,5,FALSE),
IF($A123&lt;FlexibleRepairCouplings!$A$12,VLOOKUP($A123,FlexibleRepairCouplings!$A$9:$M$11,5,FALSE),
IF($A123&lt;DuraFix!$A$15,VLOOKUP($A123,DuraFix!$A$9:$M$14,5,FALSE),
IF($A123&lt;'Compression Fittings'!$A$16,VLOOKUP($A123,'Compression Fittings'!$A$8:$M$15,5,FALSE),
IF($A123&lt;'Hose Fittings'!$A$30,VLOOKUP($A123,'Hose Fittings'!$A$8:$M$29,5,FALSE),
IF($A123&lt;'Swing Joints'!$A$495,VLOOKUP($A123,'Swing Joints'!$A$9:$M$494,5,FALSE),
IF($A123&lt;'Swing Joints Components'!$A$135,VLOOKUP($A123,'Swing Joints Components'!$A$9:$M$134,5,FALSE),
IF($A123&lt;Nonstandard!$A$42,VLOOKUP($A123,Nonstandard!$A$31:$J$41,6,FALSE),"")))))))))))))))))))))))))))),"")</f>
        <v/>
      </c>
      <c r="D123" s="534" t="str">
        <f>IFERROR(IF($A123&lt;'DWV PVC'!$A$317,VLOOKUP($A123,'DWV PVC'!$A$9:$M$316,6,FALSE),
IF($A123&lt;'DWV ABS'!$A$117,VLOOKUP($A123,'DWV ABS'!$A$8:$M$116,6,FALSE),
IF($A123&lt;'PVC SCH40'!$A$425,VLOOKUP($A123,'PVC SCH40'!$A$8:$M$424,6,FALSE),
IF($A123&lt;'PVC SCH40 LD'!$A$22,VLOOKUP($A123,'PVC SCH40 LD'!$A$8:$M$21,6,FALSE),
IF($A123&lt;'Pool &amp; SPA Sweep Elbows'!$A$12,VLOOKUP($A123,'Pool &amp; SPA Sweep Elbows'!$A$8:$M$11,6,FALSE),
IF($A123&lt;'Pool &amp; SPA Pipe Extender'!$A$11,VLOOKUP($A123,'Pool &amp; SPA Pipe Extender'!$A$8:$M$10,6,FALSE),
IF($A123&lt;'PVC SCH80'!$A$250,VLOOKUP($A123,'PVC SCH80'!$A$8:$M$249,6,FALSE),
IF($A123&lt;'PVC SCH80 Flange'!$A$49,VLOOKUP($A123,'PVC SCH80 Flange'!$A$8:$M$48,6,FALSE),
IF($A123&lt;'PVC SCH80 LD Flange'!$A$17,VLOOKUP($A123,'PVC SCH80 LD Flange'!$A$8:$M$16,6,FALSE),
IF($A123&lt;CPVC!$A$105,VLOOKUP($A123,CPVC!$A$9:$M$104,6,FALSE),
IF($A123&lt;InsertFittings!$A$185,VLOOKUP($A123,InsertFittings!$A$9:$M$184,6,FALSE),
IF($A123&lt;Valves!$A$92,VLOOKUP($A123,Valves!$A$9:$Q$91,6,FALSE),
IF($A123&lt;SDR35SW!$A$133,VLOOKUP($A123,SDR35SW!$A$9:$M$132,6,FALSE),
IF($A123&lt;SDR35G!$A$151,VLOOKUP($A123,SDR35G!$A$9:$M$150,6,FALSE),
IF($A123&lt;SDR26G!$A$67,VLOOKUP($A123,SDR26G!$A$9:$N$66,7,FALSE),
IF($A123&lt;Cements!$A$95,VLOOKUP($A123,Cements!$A$8:$Q$94,6,FALSE),
IF($A123&lt;ValveBox!$A$124,VLOOKUP($A123,ValveBox!$A$9:$O$123,6,FALSE),
IF($A123&lt;'ValveBox Components'!$A$142,VLOOKUP($A123,'ValveBox Components'!$A$9:$N$141,6,FALSE),
IF($A123&lt;Drainage!$A$69,VLOOKUP($A123,Drainage!$A$8:$M$68,6,FALSE),
IF($A123&lt;Nipples!$A$82,VLOOKUP($A123,Nipples!$A$9:$Q$81,6,FALSE),
IF($A123&lt;Manifold!$A$33,VLOOKUP($A123,Manifold!$A$9:$M$32,6,FALSE),
IF($A123&lt;FlexibleRepairCouplings!$A$12,VLOOKUP($A123,FlexibleRepairCouplings!$A$9:$M$11,6,FALSE),
IF($A123&lt;DuraFix!$A$15,VLOOKUP($A123,DuraFix!$A$9:$M$14,6,FALSE),
IF($A123&lt;'Compression Fittings'!$A$16,VLOOKUP($A123,'Compression Fittings'!$A$8:$M$15,6,FALSE),
IF($A123&lt;'Hose Fittings'!$A$30,VLOOKUP($A123,'Hose Fittings'!$A$8:$M$29,6,FALSE),
IF($A123&lt;'Swing Joints'!$A$495,VLOOKUP($A123,'Swing Joints'!$A$9:$M$494,6,FALSE),
IF($A123&lt;'Swing Joints Components'!$A$135,VLOOKUP($A123,'Swing Joints Components'!$A$9:$M$134,6,FALSE),
IF($A123&lt;Nonstandard!$A$42,VLOOKUP($A123,Nonstandard!$A$31:$J$41,7,FALSE),"")))))))))))))))))))))))))))),"")</f>
        <v/>
      </c>
      <c r="E123" s="316"/>
      <c r="F123" s="314" t="str">
        <f>IFERROR(IF($A123&lt;'DWV PVC'!$A$317,VLOOKUP($A123,'DWV PVC'!$A$9:$M$316,9,FALSE),
IF($A123&lt;'DWV ABS'!$A$117,VLOOKUP($A123,'DWV ABS'!$A$8:$M$116,9,FALSE),                                                                                                                                                                                                                                                     IF($A123&lt;'PVC SCH40'!$A$425,VLOOKUP($A123,'PVC SCH40'!$A$8:$M$424,9,FALSE),
IF($A123&lt;'PVC SCH40 LD'!$A$22,VLOOKUP($A123,'PVC SCH40 LD'!$A$8:$M$21,9,FALSE),
IF($A123&lt;'Pool &amp; SPA Sweep Elbows'!$A$12,VLOOKUP($A123,'Pool &amp; SPA Sweep Elbows'!$A$8:$M$11,9,FALSE),
IF($A123&lt;'Pool &amp; SPA Pipe Extender'!$A$11,VLOOKUP($A123,'Pool &amp; SPA Pipe Extender'!$A$8:$M$10,9,FALSE),
IF($A123&lt;'PVC SCH80'!$A$250,VLOOKUP($A123,'PVC SCH80'!$A$8:$M$249,9,FALSE),
IF($A123&lt;'PVC SCH80 Flange'!$A$49,VLOOKUP($A123,'PVC SCH80 Flange'!$A$8:$M$48,9,FALSE),
IF($A123&lt;'PVC SCH80 LD Flange'!$A$17,VLOOKUP($A123,'PVC SCH80 LD Flange'!$A$8:$M$16,9,FALSE),
IF($A123&lt;CPVC!$A$105,VLOOKUP($A123,CPVC!$A$9:$M$104,9,FALSE),
IF($A123&lt;InsertFittings!$A$185,VLOOKUP($A123,InsertFittings!$A$9:$M$184,9,FALSE),
IF($A123&lt;Valves!$A$92,VLOOKUP($A123,Valves!$A$9:$Q$91,13,FALSE),
IF($A123&lt;SDR35SW!$A$133,VLOOKUP($A123,SDR35SW!$A$9:$M$132,9,FALSE),
IF($A123&lt;SDR35G!$A$151,VLOOKUP($A123,SDR35G!$A$9:$M$150,9,FALSE),                                                                                                                                                                                                                                                          IF($A123&lt;SDR26G!$A$67,VLOOKUP($A123,SDR26G!$A$9:$N$66,10,FALSE),                                                                                                                                                                                                                                                       IF($A123&lt;Cements!$A$95,VLOOKUP($A123,Cements!$A$8:$Q$94,13,FALSE),
IF($A123&lt;ValveBox!$A$124,VLOOKUP($A123,ValveBox!$A$9:$O$123,11,FALSE),
IF($A123&lt;'ValveBox Components'!$A$142,VLOOKUP($A123,'ValveBox Components'!$A$9:$N$141,10,FALSE),
IF($A123&lt;Drainage!$A$69,VLOOKUP($A123,Drainage!$A$8:$M$68,9,FALSE),                                                                                                                                                                                                                                                              IF($A123&lt;Nipples!$A$82,VLOOKUP($A123,Nipples!$A$9:$Q$81,13,FALSE),
IF($A123&lt;Manifold!$A$33,VLOOKUP($A123,Manifold!$A$9:$M$32,9,FALSE),
IF($A123&lt;FlexibleRepairCouplings!$A$12,VLOOKUP($A123,FlexibleRepairCouplings!$A$9:$M$11,9,FALSE),
IF($A123&lt;DuraFix!$A$15,VLOOKUP($A123,DuraFix!$A$9:$M$14,9,FALSE),                                                                                                                                                                                                                                                          IF($A123&lt;'Compression Fittings'!$A$16,VLOOKUP($A123,'Compression Fittings'!$A$8:$M$15,9,FALSE),
IF($A123&lt;'Hose Fittings'!$A$30,VLOOKUP($A123,'Hose Fittings'!$A$8:$M$29,9,FALSE),
IF($A123&lt;'Swing Joints'!$A$495,VLOOKUP($A123,'Swing Joints'!$A$9:$M$494,9,FALSE),
IF($A123&lt;'Swing Joints Components'!$A$135,VLOOKUP($A123,'Swing Joints Components'!$A$9:$M$134,9,FALSE),
IF($A123&lt;Nonstandard!$A$42,VLOOKUP($A123,Nonstandard!$A$31:$J$41,8,FALSE),"")))))))))))))))))))))))))))),"")</f>
        <v/>
      </c>
      <c r="G123" s="533" t="str">
        <f>IFERROR(IF($A123&lt;'DWV PVC'!$A$317,VLOOKUP($A123,'DWV PVC'!$A$9:$M$316,11,FALSE),
IF($A123&lt;'DWV ABS'!$A$117,VLOOKUP($A123,'DWV ABS'!$A$8:$M$116,11,FALSE),                                                                                                                                                                                                                                                     IF($A123&lt;'PVC SCH40'!$A$425,VLOOKUP($A123,'PVC SCH40'!$A$8:$M$424,11,FALSE),
IF($A123&lt;'PVC SCH40 LD'!$A$22,VLOOKUP($A123,'PVC SCH40 LD'!$A$8:$M$21,11,FALSE),
IF($A123&lt;'Pool &amp; SPA Sweep Elbows'!$A$12,VLOOKUP($A123,'Pool &amp; SPA Sweep Elbows'!$A$8:$M$11,11,FALSE),
IF($A123&lt;'Pool &amp; SPA Pipe Extender'!$A$11,VLOOKUP($A123,'Pool &amp; SPA Pipe Extender'!$A$8:$M$10,11,FALSE),
IF($A123&lt;'PVC SCH80'!$A$250,VLOOKUP($A123,'PVC SCH80'!$A$8:$M$249,11,FALSE),
IF($A123&lt;'PVC SCH80 Flange'!$A$49,VLOOKUP($A123,'PVC SCH80 Flange'!$A$8:$M$48,11,FALSE),
IF($A123&lt;'PVC SCH80 LD Flange'!$A$17,VLOOKUP($A123,'PVC SCH80 LD Flange'!$A$8:$M$16,11,FALSE),
IF($A123&lt;CPVC!$A$105,VLOOKUP($A123,CPVC!$A$9:$M$104,11,FALSE),
IF($A123&lt;InsertFittings!$A$185,VLOOKUP($A123,InsertFittings!$A$9:$M$184,11,FALSE),
IF($A123&lt;Valves!$A$92,VLOOKUP($A123,Valves!$A$9:$Q$91,15,FALSE),
IF($A123&lt;SDR35SW!$A$133,VLOOKUP($A123,SDR35SW!$A$9:$M$132,11,FALSE),
IF($A123&lt;SDR35G!$A$151,VLOOKUP($A123,SDR35G!$A$9:$M$150,11,FALSE),                                                                                                                                                                                                                                                          IF($A123&lt;SDR26G!$A$67,VLOOKUP($A123,SDR26G!$A$9:$N$66,12,FALSE),                                                                                                                                                                                                                                                       IF($A123&lt;Cements!$A$95,VLOOKUP($A123,Cements!$A$8:$Q$94,15,FALSE),
IF($A123&lt;ValveBox!$A$124,VLOOKUP($A123,ValveBox!$A$9:$O$123,13,FALSE),
IF($A123&lt;'ValveBox Components'!$A$142,VLOOKUP($A123,'ValveBox Components'!$A$9:$N$141,12,FALSE),
IF($A123&lt;Drainage!$A$69,VLOOKUP($A123,Drainage!$A$8:$M$68,11,FALSE),                                                                                                                                                                                                                                                           IF($A123&lt;Nipples!$A$82,VLOOKUP($A123,Nipples!$A$9:$Q$81,15,FALSE),
IF($A123&lt;Manifold!$A$33,VLOOKUP($A123,Manifold!$A$9:$M$32,11,FALSE),
IF($A123&lt;FlexibleRepairCouplings!$A$12,VLOOKUP($A123,FlexibleRepairCouplings!$A$9:$M$11,11,FALSE),
IF($A123&lt;DuraFix!$A$15,VLOOKUP($A123,DuraFix!$A$9:$M$14,11,FALSE),                                                                                                                                                                                                                                                            IF($A123&lt;'Compression Fittings'!$A$16,VLOOKUP($A123,'Compression Fittings'!$A$8:$M$15,11,FALSE),
IF($A123&lt;'Hose Fittings'!$A$30,VLOOKUP($A123,'Hose Fittings'!$A$8:$M$29,11,FALSE),
IF($A123&lt;'Swing Joints'!$A$495,VLOOKUP($A123,'Swing Joints'!$A$9:$M$494,11,FALSE),
IF($A123&lt;'Swing Joints Components'!$A$135,VLOOKUP($A123,'Swing Joints Components'!$A$9:$M$134,11,FALSE),
IF($A123&lt;Nonstandard!$A$42,VLOOKUP($A123,Nonstandard!$A$31:$J$41,10,FALSE),"")))))))))))))))))))))))))))),"")</f>
        <v/>
      </c>
      <c r="H123" s="618" t="str">
        <f>IFERROR(IF($A123&lt;'DWV PVC'!$A$317,VLOOKUP($A123,'DWV PVC'!$A$9:$M$316,7,FALSE),
IF($A123&lt;'DWV ABS'!$A$117,VLOOKUP($A123,'DWV ABS'!$A$8:$M$116,11,FALSE),                                                                                                                                                                                                                                                     IF($A123&lt;'PVC SCH40'!$A$425,VLOOKUP($A123,'PVC SCH40'!$A$8:$M$424,7,FALSE),
IF($A123&lt;'PVC SCH40 LD'!$A$22,VLOOKUP($A123,'PVC SCH40 LD'!$A$8:$M$21,7,FALSE),
IF($A123&lt;'Pool &amp; SPA Sweep Elbows'!$A$12,VLOOKUP($A123,'Pool &amp; SPA Sweep Elbows'!$A$8:$M$11,7,FALSE),
IF($A123&lt;'Pool &amp; SPA Pipe Extender'!$A$11,VLOOKUP($A123,'Pool &amp; SPA Pipe Extender'!$A$8:$M$10,7,FALSE),
IF($A123&lt;'PVC SCH80'!$A$250,VLOOKUP($A123,'PVC SCH80'!$A$8:$M$249,7,FALSE),
IF($A123&lt;'PVC SCH80 Flange'!$A$49,VLOOKUP($A123,'PVC SCH80 Flange'!$A$8:$M$48,7,FALSE),
IF($A123&lt;'PVC SCH80 LD Flange'!$A$17,VLOOKUP($A123,'PVC SCH80 LD Flange'!$A$8:$M$16,7,FALSE),
IF($A123&lt;CPVC!$A$105,VLOOKUP($A123,CPVC!$A$9:$M$104,7,FALSE),
IF($A123&lt;InsertFittings!$A$185,VLOOKUP($A123,InsertFittings!$A$9:$M$184,7,FALSE),
IF($A123&lt;Valves!$A$92,VLOOKUP($A123,Valves!$A$9:$Q$91,11,FALSE),
IF($A123&lt;SDR35SW!$A$133,VLOOKUP($A123,SDR35SW!$A$9:$M$132,7,FALSE),
IF($A123&lt;SDR35G!$A$151,VLOOKUP($A123,SDR35G!$A$9:$M$150,7,FALSE),                                                                                                                                                                                                                                                       IF($A123&lt;SDR26G!$A$67,VLOOKUP($A123,SDR26G!$A$9:$N$66,8,FALSE),                                                                                                                                                                                                                                                     IF($A123&lt;Cements!$A$95,VLOOKUP($A123,Cements!$A$8:$Q$94,11,FALSE),
IF($A123&lt;ValveBox!$A$124,VLOOKUP($A123,ValveBox!$A$9:$O$123,10,FALSE),
IF($A123&lt;'ValveBox Components'!$A$142,VLOOKUP($A123,'ValveBox Components'!$A$9:$N$141,9,FALSE),
IF($A123&lt;Drainage!$A$69,VLOOKUP($A123,Drainage!$A$8:$M$68,7,FALSE),                                                                                                                                                                                                                                                          IF($A123&lt;Nipples!$A$82,VLOOKUP($A123,Nipples!$A$9:$Q$81,11,FALSE),
IF($A123&lt;Manifold!$A$33,VLOOKUP($A123,Manifold!$A$9:$M$32,7,FALSE),
IF($A123&lt;FlexibleRepairCouplings!$A$12,VLOOKUP($A123,FlexibleRepairCouplings!$A$9:$M$11,7,FALSE),
IF($A123&lt;DuraFix!$A$15,VLOOKUP($A123,DuraFix!$A$9:$M$14,7,FALSE),                                                                                                                                                                                                                                                           IF($A123&lt;'Compression Fittings'!$A$16,VLOOKUP($A123,'Compression Fittings'!$A$8:$M$15,7,FALSE),
IF($A123&lt;'Hose Fittings'!$A$30,VLOOKUP($A123,'Hose Fittings'!$A$8:$M$29,7,FALSE),
IF($A123&lt;'Swing Joints'!$A$495,VLOOKUP($A123,'Swing Joints'!$A$9:$M$494,7,FALSE),
IF($A123&lt;'Swing Joints Components'!$A$135,VLOOKUP($A123,'Swing Joints Components'!$A$9:$M$134,7,FALSE),
IF($A123&lt;Nonstandard!$A$42,VLOOKUP($A123,Nonstandard!$A$31:$J$41,10,FALSE),"")))))))))))))))))))))))))))),"")</f>
        <v/>
      </c>
      <c r="I123" s="619"/>
      <c r="J123" s="281" t="str">
        <f t="shared" si="3"/>
        <v/>
      </c>
      <c r="K123" s="313" t="str">
        <f>IFERROR(IF($A123&lt;'DWV PVC'!$A$317,VLOOKUP($A123,'DWV PVC'!$A$9:$M$316,10,FALSE),
IF($A123&lt;'DWV ABS'!$A$117,VLOOKUP($A123,'DWV ABS'!$A$8:$M$116,10,FALSE),
IF($A123&lt;'PVC SCH40'!$A$425,VLOOKUP($A123,'PVC SCH40'!$A$8:$M$424,10,FALSE),
IF($A123&lt;'PVC SCH40 LD'!$A$22,VLOOKUP($A123,'PVC SCH40 LD'!$A$8:$M$21,10,FALSE),
IF($A123&lt;'Pool &amp; SPA Sweep Elbows'!$A$12,VLOOKUP($A123,'Pool &amp; SPA Sweep Elbows'!$A$8:$M$11,10,FALSE),
IF($A123&lt;'Pool &amp; SPA Pipe Extender'!$A$11,VLOOKUP($A123,'Pool &amp; SPA Pipe Extender'!$A$8:$M$10,10,FALSE),
IF($A123&lt;'PVC SCH80'!$A$250,VLOOKUP($A123,'PVC SCH80'!$A$8:$M$249,10,FALSE),
IF($A123&lt;'PVC SCH80 Flange'!$A$49,VLOOKUP($A123,'PVC SCH80 Flange'!$A$8:$M$48,10,FALSE),
IF($A123&lt;'PVC SCH80 LD Flange'!$A$17,VLOOKUP($A123,'PVC SCH80 LD Flange'!$A$8:$M$16,10,FALSE),
IF($A123&lt;CPVC!$A$105,VLOOKUP($A123,CPVC!$A$9:$M$104,10,FALSE),
IF($A123&lt;InsertFittings!$A$185,VLOOKUP($A123,InsertFittings!$A$9:$M$184,10,FALSE),
IF($A123&lt;Valves!$A$92,VLOOKUP($A123,Valves!$A$9:$Q$91,14,FALSE),
IF($A123&lt;SDR35SW!$A$133,VLOOKUP($A123,SDR35SW!$A$9:$M$132,10,FALSE),
IF($A123&lt;SDR35G!$A$151,VLOOKUP($A123,SDR35G!$A$9:$M$150,10,FALSE),
IF($A123&lt;SDR26G!$A$67,VLOOKUP($A123,SDR26G!$A$9:$N$66,11,FALSE),
IF($A123&lt;Cements!$A$95,VLOOKUP($A123,Cements!$A$8:$Q$94,14,FALSE),
IF($A123&lt;ValveBox!$A$124,VLOOKUP($A123,ValveBox!$A$9:$O$123,12,FALSE),
IF($A123&lt;'ValveBox Components'!$A$142,VLOOKUP($A123,'ValveBox Components'!$A$9:$N$141,11,FALSE),
IF($A123&lt;Drainage!$A$69,VLOOKUP($A123,Drainage!$A$8:$M$68,10,FALSE),
IF($A123&lt;Nipples!$A$82,VLOOKUP($A123,Nipples!$A$9:$Q$81,14,FALSE),
IF($A123&lt;Manifold!$A$33,VLOOKUP($A123,Manifold!$A$9:$M$32,10,FALSE),
IF($A123&lt;FlexibleRepairCouplings!$A$12,VLOOKUP($A123,FlexibleRepairCouplings!$A$9:$M$11,10,FALSE),
IF($A123&lt;DuraFix!$A$15,VLOOKUP($A123,DuraFix!$A$9:$M$14,10,FALSE),
IF($A123&lt;'Compression Fittings'!$A$16,VLOOKUP($A123,'Compression Fittings'!$A$8:$M$15,10,FALSE),
IF($A123&lt;'Hose Fittings'!$A$30,VLOOKUP($A123,'Hose Fittings'!$A$8:$M$29,10,FALSE),
IF($A123&lt;'Swing Joints'!$A$495,VLOOKUP($A123,'Swing Joints'!$A$9:$M$494,10,FALSE),
IF($A123&lt;'Swing Joints Components'!$A$135,VLOOKUP($A123,'Swing Joints Components'!$A$9:$M$134,10,FALSE),
IF($A123&lt;Nonstandard!$A$42,VLOOKUP($A123,Nonstandard!$A$31:$J$41,10,FALSE),"")))))))))))))))))))))))))))),"")</f>
        <v/>
      </c>
      <c r="L123" s="314" t="str">
        <f t="shared" si="2"/>
        <v>-</v>
      </c>
      <c r="M123" s="315"/>
    </row>
    <row r="124" spans="1:13" ht="15.6">
      <c r="A124" s="536">
        <v>92</v>
      </c>
      <c r="B124" s="536" t="str">
        <f>IFERROR(IF($A124&lt;'DWV PVC'!$A$317,VLOOKUP($A124,'DWV PVC'!$A$9:$M$316,4,FALSE),
IF($A124&lt;'DWV ABS'!$A$117,VLOOKUP($A124,'DWV ABS'!$A$8:$M$116,4,FALSE),
IF($A124&lt;'PVC SCH40'!$A$425,VLOOKUP($A124,'PVC SCH40'!$A$8:$M$424,4,FALSE),
IF($A124&lt;'PVC SCH40 LD'!$A$22,VLOOKUP($A124,'PVC SCH40 LD'!$A$8:$M$21,4,FALSE),
IF($A124&lt;'Pool &amp; SPA Sweep Elbows'!$A$12,VLOOKUP($A124,'Pool &amp; SPA Sweep Elbows'!$A$8:$M$11,4,FALSE),
IF($A124&lt;'Pool &amp; SPA Pipe Extender'!$A$11,VLOOKUP($A124,'Pool &amp; SPA Pipe Extender'!$A$8:$M$10,4,FALSE),
IF($A124&lt;'PVC SCH80'!$A$250,VLOOKUP($A124,'PVC SCH80'!$A$8:$M$249,4,FALSE),
IF($A124&lt;'PVC SCH80 Flange'!$A$49,VLOOKUP($A124,'PVC SCH80 Flange'!$A$8:$M$48,4,FALSE),
IF($A124&lt;'PVC SCH80 LD Flange'!$A$17,VLOOKUP($A124,'PVC SCH80 LD Flange'!$A$8:$M$16,4,FALSE),
IF($A124&lt;CPVC!$A$105,VLOOKUP($A124,CPVC!$A$9:$M$104,4,FALSE),
IF($A124&lt;InsertFittings!$A$185,VLOOKUP($A124,InsertFittings!$A$9:$M$184,4,FALSE),
IF($A124&lt;Valves!$A$92,VLOOKUP($A124,Valves!$A$9:$Q$91,4,FALSE),
IF($A124&lt;SDR35SW!$A$133,VLOOKUP($A124,SDR35SW!$A$9:$M$132,4,FALSE),
IF($A124&lt;SDR35G!$A$151,VLOOKUP($A124,SDR35G!$A$9:$M$150,4,FALSE),
IF($A124&lt;SDR26G!$A$67,VLOOKUP($A124,SDR26G!$A$9:$N$66,5,FALSE),
IF($A124&lt;Cements!$A$95,VLOOKUP($A124,Cements!$A$8:$Q$94,4,FALSE),
IF($A124&lt;ValveBox!$A$124,VLOOKUP($A124,ValveBox!$A$9:$O$123,4,FALSE),
IF($A124&lt;'ValveBox Components'!$A$142,VLOOKUP($A124,'ValveBox Components'!$A$9:$N$141,4,FALSE),
IF($A124&lt;Drainage!$A$69,VLOOKUP($A124,Drainage!$A$8:$M$68,4,FALSE),
IF($A124&lt;Nipples!$A$82,VLOOKUP($A124,Nipples!$A$9:$Q$81,4,FALSE),
IF($A124&lt;Manifold!$A$33,VLOOKUP($A124,Manifold!$A$9:$M$32,4,FALSE),
IF($A124&lt;FlexibleRepairCouplings!$A$12,VLOOKUP($A124,FlexibleRepairCouplings!$A$9:$M$11,4,FALSE),
IF($A124&lt;DuraFix!$A$15,VLOOKUP($A124,DuraFix!$A$9:$M$14,4,FALSE),
IF($A124&lt;'Compression Fittings'!$A$16,VLOOKUP($A124,'Compression Fittings'!$A$8:$M$15,4,FALSE),
IF($A124&lt;'Hose Fittings'!$A$30,VLOOKUP($A124,'Hose Fittings'!$A$8:$M$29,4,FALSE),
IF($A124&lt;'Swing Joints'!$A$495,VLOOKUP($A124,'Swing Joints'!$A$9:$M$494,4,FALSE),
IF($A124&lt;'Swing Joints Components'!$A$135,VLOOKUP($A124,'Swing Joints Components'!$A$9:$M$134,4,FALSE),
IF($A124&lt;Nonstandard!$A$42,VLOOKUP($A124,Nonstandard!$A$31:$J$41,5,FALSE),"")))))))))))))))))))))))))))),"")</f>
        <v/>
      </c>
      <c r="C124" s="536" t="str">
        <f>IFERROR(IF($A124&lt;'DWV PVC'!$A$317,VLOOKUP($A124,'DWV PVC'!$A$9:$M$316,5,FALSE),
IF($A124&lt;'DWV ABS'!$A$117,VLOOKUP($A124,'DWV ABS'!$A$8:$M$116,5,FALSE),
IF($A124&lt;'PVC SCH40'!$A$425,VLOOKUP($A124,'PVC SCH40'!$A$8:$M$424,5,FALSE),
IF($A124&lt;'PVC SCH40 LD'!$A$22,VLOOKUP($A124,'PVC SCH40 LD'!$A$8:$M$21,5,FALSE),
IF($A124&lt;'Pool &amp; SPA Sweep Elbows'!$A$12,VLOOKUP($A124,'Pool &amp; SPA Sweep Elbows'!$A$8:$M$11,5,FALSE),
IF($A124&lt;'Pool &amp; SPA Pipe Extender'!$A$11,VLOOKUP($A124,'Pool &amp; SPA Pipe Extender'!$A$8:$M$10,5,FALSE),
IF($A124&lt;'PVC SCH80'!$A$250,VLOOKUP($A124,'PVC SCH80'!$A$8:$M$249,5,FALSE),
IF($A124&lt;'PVC SCH80 Flange'!$A$49,VLOOKUP($A124,'PVC SCH80 Flange'!$A$8:$M$48,5,FALSE),
IF($A124&lt;'PVC SCH80 LD Flange'!$A$17,VLOOKUP($A124,'PVC SCH80 LD Flange'!$A$8:$M$16,5,FALSE),
IF($A124&lt;CPVC!$A$105,VLOOKUP($A124,CPVC!$A$9:$M$104,5,FALSE),
IF($A124&lt;InsertFittings!$A$185,VLOOKUP($A124,InsertFittings!$A$9:$M$184,5,FALSE),
IF($A124&lt;Valves!$A$92,VLOOKUP($A124,Valves!$A$9:$Q$91,5,FALSE),
IF($A124&lt;SDR35SW!$A$133,VLOOKUP($A124,SDR35SW!$A$9:$M$132,5,FALSE),
IF($A124&lt;SDR35G!$A$151,VLOOKUP($A124,SDR35G!$A$9:$M$150,5,FALSE),
IF($A124&lt;SDR26G!$A$67,VLOOKUP($A124,SDR26G!$A$9:$N$66,6,FALSE),
IF($A124&lt;Cements!$A$95,VLOOKUP($A124,Cements!$A$8:$Q$94,5,FALSE),
IF($A124&lt;ValveBox!$A$124,VLOOKUP($A124,ValveBox!$A$9:$O$123,5,FALSE),
IF($A124&lt;'ValveBox Components'!$A$142,VLOOKUP($A124,'ValveBox Components'!$A$9:$N$141,5,FALSE),
IF($A124&lt;Drainage!$A$69,VLOOKUP($A124,Drainage!$A$8:$M$68,5,FALSE),
IF($A124&lt;Nipples!$A$82,VLOOKUP($A124,Nipples!$A$9:$Q$81,5,FALSE),
IF($A124&lt;Manifold!$A$33,VLOOKUP($A124,Manifold!$A$9:$M$32,5,FALSE),
IF($A124&lt;FlexibleRepairCouplings!$A$12,VLOOKUP($A124,FlexibleRepairCouplings!$A$9:$M$11,5,FALSE),
IF($A124&lt;DuraFix!$A$15,VLOOKUP($A124,DuraFix!$A$9:$M$14,5,FALSE),
IF($A124&lt;'Compression Fittings'!$A$16,VLOOKUP($A124,'Compression Fittings'!$A$8:$M$15,5,FALSE),
IF($A124&lt;'Hose Fittings'!$A$30,VLOOKUP($A124,'Hose Fittings'!$A$8:$M$29,5,FALSE),
IF($A124&lt;'Swing Joints'!$A$495,VLOOKUP($A124,'Swing Joints'!$A$9:$M$494,5,FALSE),
IF($A124&lt;'Swing Joints Components'!$A$135,VLOOKUP($A124,'Swing Joints Components'!$A$9:$M$134,5,FALSE),
IF($A124&lt;Nonstandard!$A$42,VLOOKUP($A124,Nonstandard!$A$31:$J$41,6,FALSE),"")))))))))))))))))))))))))))),"")</f>
        <v/>
      </c>
      <c r="D124" s="537" t="str">
        <f>IFERROR(IF($A124&lt;'DWV PVC'!$A$317,VLOOKUP($A124,'DWV PVC'!$A$9:$M$316,6,FALSE),
IF($A124&lt;'DWV ABS'!$A$117,VLOOKUP($A124,'DWV ABS'!$A$8:$M$116,6,FALSE),
IF($A124&lt;'PVC SCH40'!$A$425,VLOOKUP($A124,'PVC SCH40'!$A$8:$M$424,6,FALSE),
IF($A124&lt;'PVC SCH40 LD'!$A$22,VLOOKUP($A124,'PVC SCH40 LD'!$A$8:$M$21,6,FALSE),
IF($A124&lt;'Pool &amp; SPA Sweep Elbows'!$A$12,VLOOKUP($A124,'Pool &amp; SPA Sweep Elbows'!$A$8:$M$11,6,FALSE),
IF($A124&lt;'Pool &amp; SPA Pipe Extender'!$A$11,VLOOKUP($A124,'Pool &amp; SPA Pipe Extender'!$A$8:$M$10,6,FALSE),
IF($A124&lt;'PVC SCH80'!$A$250,VLOOKUP($A124,'PVC SCH80'!$A$8:$M$249,6,FALSE),
IF($A124&lt;'PVC SCH80 Flange'!$A$49,VLOOKUP($A124,'PVC SCH80 Flange'!$A$8:$M$48,6,FALSE),
IF($A124&lt;'PVC SCH80 LD Flange'!$A$17,VLOOKUP($A124,'PVC SCH80 LD Flange'!$A$8:$M$16,6,FALSE),
IF($A124&lt;CPVC!$A$105,VLOOKUP($A124,CPVC!$A$9:$M$104,6,FALSE),
IF($A124&lt;InsertFittings!$A$185,VLOOKUP($A124,InsertFittings!$A$9:$M$184,6,FALSE),
IF($A124&lt;Valves!$A$92,VLOOKUP($A124,Valves!$A$9:$Q$91,6,FALSE),
IF($A124&lt;SDR35SW!$A$133,VLOOKUP($A124,SDR35SW!$A$9:$M$132,6,FALSE),
IF($A124&lt;SDR35G!$A$151,VLOOKUP($A124,SDR35G!$A$9:$M$150,6,FALSE),
IF($A124&lt;SDR26G!$A$67,VLOOKUP($A124,SDR26G!$A$9:$N$66,7,FALSE),
IF($A124&lt;Cements!$A$95,VLOOKUP($A124,Cements!$A$8:$Q$94,6,FALSE),
IF($A124&lt;ValveBox!$A$124,VLOOKUP($A124,ValveBox!$A$9:$O$123,6,FALSE),
IF($A124&lt;'ValveBox Components'!$A$142,VLOOKUP($A124,'ValveBox Components'!$A$9:$N$141,6,FALSE),
IF($A124&lt;Drainage!$A$69,VLOOKUP($A124,Drainage!$A$8:$M$68,6,FALSE),
IF($A124&lt;Nipples!$A$82,VLOOKUP($A124,Nipples!$A$9:$Q$81,6,FALSE),
IF($A124&lt;Manifold!$A$33,VLOOKUP($A124,Manifold!$A$9:$M$32,6,FALSE),
IF($A124&lt;FlexibleRepairCouplings!$A$12,VLOOKUP($A124,FlexibleRepairCouplings!$A$9:$M$11,6,FALSE),
IF($A124&lt;DuraFix!$A$15,VLOOKUP($A124,DuraFix!$A$9:$M$14,6,FALSE),
IF($A124&lt;'Compression Fittings'!$A$16,VLOOKUP($A124,'Compression Fittings'!$A$8:$M$15,6,FALSE),
IF($A124&lt;'Hose Fittings'!$A$30,VLOOKUP($A124,'Hose Fittings'!$A$8:$M$29,6,FALSE),
IF($A124&lt;'Swing Joints'!$A$495,VLOOKUP($A124,'Swing Joints'!$A$9:$M$494,6,FALSE),
IF($A124&lt;'Swing Joints Components'!$A$135,VLOOKUP($A124,'Swing Joints Components'!$A$9:$M$134,6,FALSE),
IF($A124&lt;Nonstandard!$A$42,VLOOKUP($A124,Nonstandard!$A$31:$J$41,7,FALSE),"")))))))))))))))))))))))))))),"")</f>
        <v/>
      </c>
      <c r="E124" s="538"/>
      <c r="F124" s="539" t="str">
        <f>IFERROR(IF($A124&lt;'DWV PVC'!$A$317,VLOOKUP($A124,'DWV PVC'!$A$9:$M$316,9,FALSE),
IF($A124&lt;'DWV ABS'!$A$117,VLOOKUP($A124,'DWV ABS'!$A$8:$M$116,9,FALSE),                                                                                                                                                                                                                                                     IF($A124&lt;'PVC SCH40'!$A$425,VLOOKUP($A124,'PVC SCH40'!$A$8:$M$424,9,FALSE),
IF($A124&lt;'PVC SCH40 LD'!$A$22,VLOOKUP($A124,'PVC SCH40 LD'!$A$8:$M$21,9,FALSE),
IF($A124&lt;'Pool &amp; SPA Sweep Elbows'!$A$12,VLOOKUP($A124,'Pool &amp; SPA Sweep Elbows'!$A$8:$M$11,9,FALSE),
IF($A124&lt;'Pool &amp; SPA Pipe Extender'!$A$11,VLOOKUP($A124,'Pool &amp; SPA Pipe Extender'!$A$8:$M$10,9,FALSE),
IF($A124&lt;'PVC SCH80'!$A$250,VLOOKUP($A124,'PVC SCH80'!$A$8:$M$249,9,FALSE),
IF($A124&lt;'PVC SCH80 Flange'!$A$49,VLOOKUP($A124,'PVC SCH80 Flange'!$A$8:$M$48,9,FALSE),
IF($A124&lt;'PVC SCH80 LD Flange'!$A$17,VLOOKUP($A124,'PVC SCH80 LD Flange'!$A$8:$M$16,9,FALSE),
IF($A124&lt;CPVC!$A$105,VLOOKUP($A124,CPVC!$A$9:$M$104,9,FALSE),
IF($A124&lt;InsertFittings!$A$185,VLOOKUP($A124,InsertFittings!$A$9:$M$184,9,FALSE),
IF($A124&lt;Valves!$A$92,VLOOKUP($A124,Valves!$A$9:$Q$91,13,FALSE),
IF($A124&lt;SDR35SW!$A$133,VLOOKUP($A124,SDR35SW!$A$9:$M$132,9,FALSE),
IF($A124&lt;SDR35G!$A$151,VLOOKUP($A124,SDR35G!$A$9:$M$150,9,FALSE),                                                                                                                                                                                                                                                          IF($A124&lt;SDR26G!$A$67,VLOOKUP($A124,SDR26G!$A$9:$N$66,10,FALSE),                                                                                                                                                                                                                                                       IF($A124&lt;Cements!$A$95,VLOOKUP($A124,Cements!$A$8:$Q$94,13,FALSE),
IF($A124&lt;ValveBox!$A$124,VLOOKUP($A124,ValveBox!$A$9:$O$123,11,FALSE),
IF($A124&lt;'ValveBox Components'!$A$142,VLOOKUP($A124,'ValveBox Components'!$A$9:$N$141,10,FALSE),
IF($A124&lt;Drainage!$A$69,VLOOKUP($A124,Drainage!$A$8:$M$68,9,FALSE),                                                                                                                                                                                                                                                              IF($A124&lt;Nipples!$A$82,VLOOKUP($A124,Nipples!$A$9:$Q$81,13,FALSE),
IF($A124&lt;Manifold!$A$33,VLOOKUP($A124,Manifold!$A$9:$M$32,9,FALSE),
IF($A124&lt;FlexibleRepairCouplings!$A$12,VLOOKUP($A124,FlexibleRepairCouplings!$A$9:$M$11,9,FALSE),
IF($A124&lt;DuraFix!$A$15,VLOOKUP($A124,DuraFix!$A$9:$M$14,9,FALSE),                                                                                                                                                                                                                                                          IF($A124&lt;'Compression Fittings'!$A$16,VLOOKUP($A124,'Compression Fittings'!$A$8:$M$15,9,FALSE),
IF($A124&lt;'Hose Fittings'!$A$30,VLOOKUP($A124,'Hose Fittings'!$A$8:$M$29,9,FALSE),
IF($A124&lt;'Swing Joints'!$A$495,VLOOKUP($A124,'Swing Joints'!$A$9:$M$494,9,FALSE),
IF($A124&lt;'Swing Joints Components'!$A$135,VLOOKUP($A124,'Swing Joints Components'!$A$9:$M$134,9,FALSE),
IF($A124&lt;Nonstandard!$A$42,VLOOKUP($A124,Nonstandard!$A$31:$J$41,8,FALSE),"")))))))))))))))))))))))))))),"")</f>
        <v/>
      </c>
      <c r="G124" s="540" t="str">
        <f>IFERROR(IF($A124&lt;'DWV PVC'!$A$317,VLOOKUP($A124,'DWV PVC'!$A$9:$M$316,11,FALSE),
IF($A124&lt;'DWV ABS'!$A$117,VLOOKUP($A124,'DWV ABS'!$A$8:$M$116,11,FALSE),                                                                                                                                                                                                                                                     IF($A124&lt;'PVC SCH40'!$A$425,VLOOKUP($A124,'PVC SCH40'!$A$8:$M$424,11,FALSE),
IF($A124&lt;'PVC SCH40 LD'!$A$22,VLOOKUP($A124,'PVC SCH40 LD'!$A$8:$M$21,11,FALSE),
IF($A124&lt;'Pool &amp; SPA Sweep Elbows'!$A$12,VLOOKUP($A124,'Pool &amp; SPA Sweep Elbows'!$A$8:$M$11,11,FALSE),
IF($A124&lt;'Pool &amp; SPA Pipe Extender'!$A$11,VLOOKUP($A124,'Pool &amp; SPA Pipe Extender'!$A$8:$M$10,11,FALSE),
IF($A124&lt;'PVC SCH80'!$A$250,VLOOKUP($A124,'PVC SCH80'!$A$8:$M$249,11,FALSE),
IF($A124&lt;'PVC SCH80 Flange'!$A$49,VLOOKUP($A124,'PVC SCH80 Flange'!$A$8:$M$48,11,FALSE),
IF($A124&lt;'PVC SCH80 LD Flange'!$A$17,VLOOKUP($A124,'PVC SCH80 LD Flange'!$A$8:$M$16,11,FALSE),
IF($A124&lt;CPVC!$A$105,VLOOKUP($A124,CPVC!$A$9:$M$104,11,FALSE),
IF($A124&lt;InsertFittings!$A$185,VLOOKUP($A124,InsertFittings!$A$9:$M$184,11,FALSE),
IF($A124&lt;Valves!$A$92,VLOOKUP($A124,Valves!$A$9:$Q$91,15,FALSE),
IF($A124&lt;SDR35SW!$A$133,VLOOKUP($A124,SDR35SW!$A$9:$M$132,11,FALSE),
IF($A124&lt;SDR35G!$A$151,VLOOKUP($A124,SDR35G!$A$9:$M$150,11,FALSE),                                                                                                                                                                                                                                                          IF($A124&lt;SDR26G!$A$67,VLOOKUP($A124,SDR26G!$A$9:$N$66,12,FALSE),                                                                                                                                                                                                                                                       IF($A124&lt;Cements!$A$95,VLOOKUP($A124,Cements!$A$8:$Q$94,15,FALSE),
IF($A124&lt;ValveBox!$A$124,VLOOKUP($A124,ValveBox!$A$9:$O$123,13,FALSE),
IF($A124&lt;'ValveBox Components'!$A$142,VLOOKUP($A124,'ValveBox Components'!$A$9:$N$141,12,FALSE),
IF($A124&lt;Drainage!$A$69,VLOOKUP($A124,Drainage!$A$8:$M$68,11,FALSE),                                                                                                                                                                                                                                                           IF($A124&lt;Nipples!$A$82,VLOOKUP($A124,Nipples!$A$9:$Q$81,15,FALSE),
IF($A124&lt;Manifold!$A$33,VLOOKUP($A124,Manifold!$A$9:$M$32,11,FALSE),
IF($A124&lt;FlexibleRepairCouplings!$A$12,VLOOKUP($A124,FlexibleRepairCouplings!$A$9:$M$11,11,FALSE),
IF($A124&lt;DuraFix!$A$15,VLOOKUP($A124,DuraFix!$A$9:$M$14,11,FALSE),                                                                                                                                                                                                                                                            IF($A124&lt;'Compression Fittings'!$A$16,VLOOKUP($A124,'Compression Fittings'!$A$8:$M$15,11,FALSE),
IF($A124&lt;'Hose Fittings'!$A$30,VLOOKUP($A124,'Hose Fittings'!$A$8:$M$29,11,FALSE),
IF($A124&lt;'Swing Joints'!$A$495,VLOOKUP($A124,'Swing Joints'!$A$9:$M$494,11,FALSE),
IF($A124&lt;'Swing Joints Components'!$A$135,VLOOKUP($A124,'Swing Joints Components'!$A$9:$M$134,11,FALSE),
IF($A124&lt;Nonstandard!$A$42,VLOOKUP($A124,Nonstandard!$A$31:$J$41,10,FALSE),"")))))))))))))))))))))))))))),"")</f>
        <v/>
      </c>
      <c r="H124" s="620" t="str">
        <f>IFERROR(IF($A124&lt;'DWV PVC'!$A$317,VLOOKUP($A124,'DWV PVC'!$A$9:$M$316,7,FALSE),
IF($A124&lt;'DWV ABS'!$A$117,VLOOKUP($A124,'DWV ABS'!$A$8:$M$116,11,FALSE),                                                                                                                                                                                                                                                     IF($A124&lt;'PVC SCH40'!$A$425,VLOOKUP($A124,'PVC SCH40'!$A$8:$M$424,7,FALSE),
IF($A124&lt;'PVC SCH40 LD'!$A$22,VLOOKUP($A124,'PVC SCH40 LD'!$A$8:$M$21,7,FALSE),
IF($A124&lt;'Pool &amp; SPA Sweep Elbows'!$A$12,VLOOKUP($A124,'Pool &amp; SPA Sweep Elbows'!$A$8:$M$11,7,FALSE),
IF($A124&lt;'Pool &amp; SPA Pipe Extender'!$A$11,VLOOKUP($A124,'Pool &amp; SPA Pipe Extender'!$A$8:$M$10,7,FALSE),
IF($A124&lt;'PVC SCH80'!$A$250,VLOOKUP($A124,'PVC SCH80'!$A$8:$M$249,7,FALSE),
IF($A124&lt;'PVC SCH80 Flange'!$A$49,VLOOKUP($A124,'PVC SCH80 Flange'!$A$8:$M$48,7,FALSE),
IF($A124&lt;'PVC SCH80 LD Flange'!$A$17,VLOOKUP($A124,'PVC SCH80 LD Flange'!$A$8:$M$16,7,FALSE),
IF($A124&lt;CPVC!$A$105,VLOOKUP($A124,CPVC!$A$9:$M$104,7,FALSE),
IF($A124&lt;InsertFittings!$A$185,VLOOKUP($A124,InsertFittings!$A$9:$M$184,7,FALSE),
IF($A124&lt;Valves!$A$92,VLOOKUP($A124,Valves!$A$9:$Q$91,11,FALSE),
IF($A124&lt;SDR35SW!$A$133,VLOOKUP($A124,SDR35SW!$A$9:$M$132,7,FALSE),
IF($A124&lt;SDR35G!$A$151,VLOOKUP($A124,SDR35G!$A$9:$M$150,7,FALSE),                                                                                                                                                                                                                                                       IF($A124&lt;SDR26G!$A$67,VLOOKUP($A124,SDR26G!$A$9:$N$66,8,FALSE),                                                                                                                                                                                                                                                     IF($A124&lt;Cements!$A$95,VLOOKUP($A124,Cements!$A$8:$Q$94,11,FALSE),
IF($A124&lt;ValveBox!$A$124,VLOOKUP($A124,ValveBox!$A$9:$O$123,10,FALSE),
IF($A124&lt;'ValveBox Components'!$A$142,VLOOKUP($A124,'ValveBox Components'!$A$9:$N$141,9,FALSE),
IF($A124&lt;Drainage!$A$69,VLOOKUP($A124,Drainage!$A$8:$M$68,7,FALSE),                                                                                                                                                                                                                                                          IF($A124&lt;Nipples!$A$82,VLOOKUP($A124,Nipples!$A$9:$Q$81,11,FALSE),
IF($A124&lt;Manifold!$A$33,VLOOKUP($A124,Manifold!$A$9:$M$32,7,FALSE),
IF($A124&lt;FlexibleRepairCouplings!$A$12,VLOOKUP($A124,FlexibleRepairCouplings!$A$9:$M$11,7,FALSE),
IF($A124&lt;DuraFix!$A$15,VLOOKUP($A124,DuraFix!$A$9:$M$14,7,FALSE),                                                                                                                                                                                                                                                           IF($A124&lt;'Compression Fittings'!$A$16,VLOOKUP($A124,'Compression Fittings'!$A$8:$M$15,7,FALSE),
IF($A124&lt;'Hose Fittings'!$A$30,VLOOKUP($A124,'Hose Fittings'!$A$8:$M$29,7,FALSE),
IF($A124&lt;'Swing Joints'!$A$495,VLOOKUP($A124,'Swing Joints'!$A$9:$M$494,7,FALSE),
IF($A124&lt;'Swing Joints Components'!$A$135,VLOOKUP($A124,'Swing Joints Components'!$A$9:$M$134,7,FALSE),
IF($A124&lt;Nonstandard!$A$42,VLOOKUP($A124,Nonstandard!$A$31:$J$41,10,FALSE),"")))))))))))))))))))))))))))),"")</f>
        <v/>
      </c>
      <c r="I124" s="621"/>
      <c r="J124" s="541" t="str">
        <f t="shared" si="3"/>
        <v/>
      </c>
      <c r="K124" s="599" t="str">
        <f>IFERROR(IF($A124&lt;'DWV PVC'!$A$317,VLOOKUP($A124,'DWV PVC'!$A$9:$M$316,10,FALSE),
IF($A124&lt;'DWV ABS'!$A$117,VLOOKUP($A124,'DWV ABS'!$A$8:$M$116,10,FALSE),
IF($A124&lt;'PVC SCH40'!$A$425,VLOOKUP($A124,'PVC SCH40'!$A$8:$M$424,10,FALSE),
IF($A124&lt;'PVC SCH40 LD'!$A$22,VLOOKUP($A124,'PVC SCH40 LD'!$A$8:$M$21,10,FALSE),
IF($A124&lt;'Pool &amp; SPA Sweep Elbows'!$A$12,VLOOKUP($A124,'Pool &amp; SPA Sweep Elbows'!$A$8:$M$11,10,FALSE),
IF($A124&lt;'Pool &amp; SPA Pipe Extender'!$A$11,VLOOKUP($A124,'Pool &amp; SPA Pipe Extender'!$A$8:$M$10,10,FALSE),
IF($A124&lt;'PVC SCH80'!$A$250,VLOOKUP($A124,'PVC SCH80'!$A$8:$M$249,10,FALSE),
IF($A124&lt;'PVC SCH80 Flange'!$A$49,VLOOKUP($A124,'PVC SCH80 Flange'!$A$8:$M$48,10,FALSE),
IF($A124&lt;'PVC SCH80 LD Flange'!$A$17,VLOOKUP($A124,'PVC SCH80 LD Flange'!$A$8:$M$16,10,FALSE),
IF($A124&lt;CPVC!$A$105,VLOOKUP($A124,CPVC!$A$9:$M$104,10,FALSE),
IF($A124&lt;InsertFittings!$A$185,VLOOKUP($A124,InsertFittings!$A$9:$M$184,10,FALSE),
IF($A124&lt;Valves!$A$92,VLOOKUP($A124,Valves!$A$9:$Q$91,14,FALSE),
IF($A124&lt;SDR35SW!$A$133,VLOOKUP($A124,SDR35SW!$A$9:$M$132,10,FALSE),
IF($A124&lt;SDR35G!$A$151,VLOOKUP($A124,SDR35G!$A$9:$M$150,10,FALSE),
IF($A124&lt;SDR26G!$A$67,VLOOKUP($A124,SDR26G!$A$9:$N$66,11,FALSE),
IF($A124&lt;Cements!$A$95,VLOOKUP($A124,Cements!$A$8:$Q$94,14,FALSE),
IF($A124&lt;ValveBox!$A$124,VLOOKUP($A124,ValveBox!$A$9:$O$123,12,FALSE),
IF($A124&lt;'ValveBox Components'!$A$142,VLOOKUP($A124,'ValveBox Components'!$A$9:$N$141,11,FALSE),
IF($A124&lt;Drainage!$A$69,VLOOKUP($A124,Drainage!$A$8:$M$68,10,FALSE),
IF($A124&lt;Nipples!$A$82,VLOOKUP($A124,Nipples!$A$9:$Q$81,14,FALSE),
IF($A124&lt;Manifold!$A$33,VLOOKUP($A124,Manifold!$A$9:$M$32,10,FALSE),
IF($A124&lt;FlexibleRepairCouplings!$A$12,VLOOKUP($A124,FlexibleRepairCouplings!$A$9:$M$11,10,FALSE),
IF($A124&lt;DuraFix!$A$15,VLOOKUP($A124,DuraFix!$A$9:$M$14,10,FALSE),
IF($A124&lt;'Compression Fittings'!$A$16,VLOOKUP($A124,'Compression Fittings'!$A$8:$M$15,10,FALSE),
IF($A124&lt;'Hose Fittings'!$A$30,VLOOKUP($A124,'Hose Fittings'!$A$8:$M$29,10,FALSE),
IF($A124&lt;'Swing Joints'!$A$495,VLOOKUP($A124,'Swing Joints'!$A$9:$M$494,10,FALSE),
IF($A124&lt;'Swing Joints Components'!$A$135,VLOOKUP($A124,'Swing Joints Components'!$A$9:$M$134,10,FALSE),
IF($A124&lt;Nonstandard!$A$42,VLOOKUP($A124,Nonstandard!$A$31:$J$41,10,FALSE),"")))))))))))))))))))))))))))),"")</f>
        <v/>
      </c>
      <c r="L124" s="539" t="str">
        <f t="shared" si="2"/>
        <v>-</v>
      </c>
      <c r="M124" s="542"/>
    </row>
    <row r="125" spans="1:13" ht="15.6">
      <c r="A125" s="312">
        <v>93</v>
      </c>
      <c r="B125" s="312" t="str">
        <f>IFERROR(IF($A125&lt;'DWV PVC'!$A$317,VLOOKUP($A125,'DWV PVC'!$A$9:$M$316,4,FALSE),
IF($A125&lt;'DWV ABS'!$A$117,VLOOKUP($A125,'DWV ABS'!$A$8:$M$116,4,FALSE),
IF($A125&lt;'PVC SCH40'!$A$425,VLOOKUP($A125,'PVC SCH40'!$A$8:$M$424,4,FALSE),
IF($A125&lt;'PVC SCH40 LD'!$A$22,VLOOKUP($A125,'PVC SCH40 LD'!$A$8:$M$21,4,FALSE),
IF($A125&lt;'Pool &amp; SPA Sweep Elbows'!$A$12,VLOOKUP($A125,'Pool &amp; SPA Sweep Elbows'!$A$8:$M$11,4,FALSE),
IF($A125&lt;'Pool &amp; SPA Pipe Extender'!$A$11,VLOOKUP($A125,'Pool &amp; SPA Pipe Extender'!$A$8:$M$10,4,FALSE),
IF($A125&lt;'PVC SCH80'!$A$250,VLOOKUP($A125,'PVC SCH80'!$A$8:$M$249,4,FALSE),
IF($A125&lt;'PVC SCH80 Flange'!$A$49,VLOOKUP($A125,'PVC SCH80 Flange'!$A$8:$M$48,4,FALSE),
IF($A125&lt;'PVC SCH80 LD Flange'!$A$17,VLOOKUP($A125,'PVC SCH80 LD Flange'!$A$8:$M$16,4,FALSE),
IF($A125&lt;CPVC!$A$105,VLOOKUP($A125,CPVC!$A$9:$M$104,4,FALSE),
IF($A125&lt;InsertFittings!$A$185,VLOOKUP($A125,InsertFittings!$A$9:$M$184,4,FALSE),
IF($A125&lt;Valves!$A$92,VLOOKUP($A125,Valves!$A$9:$Q$91,4,FALSE),
IF($A125&lt;SDR35SW!$A$133,VLOOKUP($A125,SDR35SW!$A$9:$M$132,4,FALSE),
IF($A125&lt;SDR35G!$A$151,VLOOKUP($A125,SDR35G!$A$9:$M$150,4,FALSE),
IF($A125&lt;SDR26G!$A$67,VLOOKUP($A125,SDR26G!$A$9:$N$66,5,FALSE),
IF($A125&lt;Cements!$A$95,VLOOKUP($A125,Cements!$A$8:$Q$94,4,FALSE),
IF($A125&lt;ValveBox!$A$124,VLOOKUP($A125,ValveBox!$A$9:$O$123,4,FALSE),
IF($A125&lt;'ValveBox Components'!$A$142,VLOOKUP($A125,'ValveBox Components'!$A$9:$N$141,4,FALSE),
IF($A125&lt;Drainage!$A$69,VLOOKUP($A125,Drainage!$A$8:$M$68,4,FALSE),
IF($A125&lt;Nipples!$A$82,VLOOKUP($A125,Nipples!$A$9:$Q$81,4,FALSE),
IF($A125&lt;Manifold!$A$33,VLOOKUP($A125,Manifold!$A$9:$M$32,4,FALSE),
IF($A125&lt;FlexibleRepairCouplings!$A$12,VLOOKUP($A125,FlexibleRepairCouplings!$A$9:$M$11,4,FALSE),
IF($A125&lt;DuraFix!$A$15,VLOOKUP($A125,DuraFix!$A$9:$M$14,4,FALSE),
IF($A125&lt;'Compression Fittings'!$A$16,VLOOKUP($A125,'Compression Fittings'!$A$8:$M$15,4,FALSE),
IF($A125&lt;'Hose Fittings'!$A$30,VLOOKUP($A125,'Hose Fittings'!$A$8:$M$29,4,FALSE),
IF($A125&lt;'Swing Joints'!$A$495,VLOOKUP($A125,'Swing Joints'!$A$9:$M$494,4,FALSE),
IF($A125&lt;'Swing Joints Components'!$A$135,VLOOKUP($A125,'Swing Joints Components'!$A$9:$M$134,4,FALSE),
IF($A125&lt;Nonstandard!$A$42,VLOOKUP($A125,Nonstandard!$A$31:$J$41,5,FALSE),"")))))))))))))))))))))))))))),"")</f>
        <v/>
      </c>
      <c r="C125" s="312" t="str">
        <f>IFERROR(IF($A125&lt;'DWV PVC'!$A$317,VLOOKUP($A125,'DWV PVC'!$A$9:$M$316,5,FALSE),
IF($A125&lt;'DWV ABS'!$A$117,VLOOKUP($A125,'DWV ABS'!$A$8:$M$116,5,FALSE),
IF($A125&lt;'PVC SCH40'!$A$425,VLOOKUP($A125,'PVC SCH40'!$A$8:$M$424,5,FALSE),
IF($A125&lt;'PVC SCH40 LD'!$A$22,VLOOKUP($A125,'PVC SCH40 LD'!$A$8:$M$21,5,FALSE),
IF($A125&lt;'Pool &amp; SPA Sweep Elbows'!$A$12,VLOOKUP($A125,'Pool &amp; SPA Sweep Elbows'!$A$8:$M$11,5,FALSE),
IF($A125&lt;'Pool &amp; SPA Pipe Extender'!$A$11,VLOOKUP($A125,'Pool &amp; SPA Pipe Extender'!$A$8:$M$10,5,FALSE),
IF($A125&lt;'PVC SCH80'!$A$250,VLOOKUP($A125,'PVC SCH80'!$A$8:$M$249,5,FALSE),
IF($A125&lt;'PVC SCH80 Flange'!$A$49,VLOOKUP($A125,'PVC SCH80 Flange'!$A$8:$M$48,5,FALSE),
IF($A125&lt;'PVC SCH80 LD Flange'!$A$17,VLOOKUP($A125,'PVC SCH80 LD Flange'!$A$8:$M$16,5,FALSE),
IF($A125&lt;CPVC!$A$105,VLOOKUP($A125,CPVC!$A$9:$M$104,5,FALSE),
IF($A125&lt;InsertFittings!$A$185,VLOOKUP($A125,InsertFittings!$A$9:$M$184,5,FALSE),
IF($A125&lt;Valves!$A$92,VLOOKUP($A125,Valves!$A$9:$Q$91,5,FALSE),
IF($A125&lt;SDR35SW!$A$133,VLOOKUP($A125,SDR35SW!$A$9:$M$132,5,FALSE),
IF($A125&lt;SDR35G!$A$151,VLOOKUP($A125,SDR35G!$A$9:$M$150,5,FALSE),
IF($A125&lt;SDR26G!$A$67,VLOOKUP($A125,SDR26G!$A$9:$N$66,6,FALSE),
IF($A125&lt;Cements!$A$95,VLOOKUP($A125,Cements!$A$8:$Q$94,5,FALSE),
IF($A125&lt;ValveBox!$A$124,VLOOKUP($A125,ValveBox!$A$9:$O$123,5,FALSE),
IF($A125&lt;'ValveBox Components'!$A$142,VLOOKUP($A125,'ValveBox Components'!$A$9:$N$141,5,FALSE),
IF($A125&lt;Drainage!$A$69,VLOOKUP($A125,Drainage!$A$8:$M$68,5,FALSE),
IF($A125&lt;Nipples!$A$82,VLOOKUP($A125,Nipples!$A$9:$Q$81,5,FALSE),
IF($A125&lt;Manifold!$A$33,VLOOKUP($A125,Manifold!$A$9:$M$32,5,FALSE),
IF($A125&lt;FlexibleRepairCouplings!$A$12,VLOOKUP($A125,FlexibleRepairCouplings!$A$9:$M$11,5,FALSE),
IF($A125&lt;DuraFix!$A$15,VLOOKUP($A125,DuraFix!$A$9:$M$14,5,FALSE),
IF($A125&lt;'Compression Fittings'!$A$16,VLOOKUP($A125,'Compression Fittings'!$A$8:$M$15,5,FALSE),
IF($A125&lt;'Hose Fittings'!$A$30,VLOOKUP($A125,'Hose Fittings'!$A$8:$M$29,5,FALSE),
IF($A125&lt;'Swing Joints'!$A$495,VLOOKUP($A125,'Swing Joints'!$A$9:$M$494,5,FALSE),
IF($A125&lt;'Swing Joints Components'!$A$135,VLOOKUP($A125,'Swing Joints Components'!$A$9:$M$134,5,FALSE),
IF($A125&lt;Nonstandard!$A$42,VLOOKUP($A125,Nonstandard!$A$31:$J$41,6,FALSE),"")))))))))))))))))))))))))))),"")</f>
        <v/>
      </c>
      <c r="D125" s="534" t="str">
        <f>IFERROR(IF($A125&lt;'DWV PVC'!$A$317,VLOOKUP($A125,'DWV PVC'!$A$9:$M$316,6,FALSE),
IF($A125&lt;'DWV ABS'!$A$117,VLOOKUP($A125,'DWV ABS'!$A$8:$M$116,6,FALSE),
IF($A125&lt;'PVC SCH40'!$A$425,VLOOKUP($A125,'PVC SCH40'!$A$8:$M$424,6,FALSE),
IF($A125&lt;'PVC SCH40 LD'!$A$22,VLOOKUP($A125,'PVC SCH40 LD'!$A$8:$M$21,6,FALSE),
IF($A125&lt;'Pool &amp; SPA Sweep Elbows'!$A$12,VLOOKUP($A125,'Pool &amp; SPA Sweep Elbows'!$A$8:$M$11,6,FALSE),
IF($A125&lt;'Pool &amp; SPA Pipe Extender'!$A$11,VLOOKUP($A125,'Pool &amp; SPA Pipe Extender'!$A$8:$M$10,6,FALSE),
IF($A125&lt;'PVC SCH80'!$A$250,VLOOKUP($A125,'PVC SCH80'!$A$8:$M$249,6,FALSE),
IF($A125&lt;'PVC SCH80 Flange'!$A$49,VLOOKUP($A125,'PVC SCH80 Flange'!$A$8:$M$48,6,FALSE),
IF($A125&lt;'PVC SCH80 LD Flange'!$A$17,VLOOKUP($A125,'PVC SCH80 LD Flange'!$A$8:$M$16,6,FALSE),
IF($A125&lt;CPVC!$A$105,VLOOKUP($A125,CPVC!$A$9:$M$104,6,FALSE),
IF($A125&lt;InsertFittings!$A$185,VLOOKUP($A125,InsertFittings!$A$9:$M$184,6,FALSE),
IF($A125&lt;Valves!$A$92,VLOOKUP($A125,Valves!$A$9:$Q$91,6,FALSE),
IF($A125&lt;SDR35SW!$A$133,VLOOKUP($A125,SDR35SW!$A$9:$M$132,6,FALSE),
IF($A125&lt;SDR35G!$A$151,VLOOKUP($A125,SDR35G!$A$9:$M$150,6,FALSE),
IF($A125&lt;SDR26G!$A$67,VLOOKUP($A125,SDR26G!$A$9:$N$66,7,FALSE),
IF($A125&lt;Cements!$A$95,VLOOKUP($A125,Cements!$A$8:$Q$94,6,FALSE),
IF($A125&lt;ValveBox!$A$124,VLOOKUP($A125,ValveBox!$A$9:$O$123,6,FALSE),
IF($A125&lt;'ValveBox Components'!$A$142,VLOOKUP($A125,'ValveBox Components'!$A$9:$N$141,6,FALSE),
IF($A125&lt;Drainage!$A$69,VLOOKUP($A125,Drainage!$A$8:$M$68,6,FALSE),
IF($A125&lt;Nipples!$A$82,VLOOKUP($A125,Nipples!$A$9:$Q$81,6,FALSE),
IF($A125&lt;Manifold!$A$33,VLOOKUP($A125,Manifold!$A$9:$M$32,6,FALSE),
IF($A125&lt;FlexibleRepairCouplings!$A$12,VLOOKUP($A125,FlexibleRepairCouplings!$A$9:$M$11,6,FALSE),
IF($A125&lt;DuraFix!$A$15,VLOOKUP($A125,DuraFix!$A$9:$M$14,6,FALSE),
IF($A125&lt;'Compression Fittings'!$A$16,VLOOKUP($A125,'Compression Fittings'!$A$8:$M$15,6,FALSE),
IF($A125&lt;'Hose Fittings'!$A$30,VLOOKUP($A125,'Hose Fittings'!$A$8:$M$29,6,FALSE),
IF($A125&lt;'Swing Joints'!$A$495,VLOOKUP($A125,'Swing Joints'!$A$9:$M$494,6,FALSE),
IF($A125&lt;'Swing Joints Components'!$A$135,VLOOKUP($A125,'Swing Joints Components'!$A$9:$M$134,6,FALSE),
IF($A125&lt;Nonstandard!$A$42,VLOOKUP($A125,Nonstandard!$A$31:$J$41,7,FALSE),"")))))))))))))))))))))))))))),"")</f>
        <v/>
      </c>
      <c r="E125" s="316"/>
      <c r="F125" s="314" t="str">
        <f>IFERROR(IF($A125&lt;'DWV PVC'!$A$317,VLOOKUP($A125,'DWV PVC'!$A$9:$M$316,9,FALSE),
IF($A125&lt;'DWV ABS'!$A$117,VLOOKUP($A125,'DWV ABS'!$A$8:$M$116,9,FALSE),                                                                                                                                                                                                                                                     IF($A125&lt;'PVC SCH40'!$A$425,VLOOKUP($A125,'PVC SCH40'!$A$8:$M$424,9,FALSE),
IF($A125&lt;'PVC SCH40 LD'!$A$22,VLOOKUP($A125,'PVC SCH40 LD'!$A$8:$M$21,9,FALSE),
IF($A125&lt;'Pool &amp; SPA Sweep Elbows'!$A$12,VLOOKUP($A125,'Pool &amp; SPA Sweep Elbows'!$A$8:$M$11,9,FALSE),
IF($A125&lt;'Pool &amp; SPA Pipe Extender'!$A$11,VLOOKUP($A125,'Pool &amp; SPA Pipe Extender'!$A$8:$M$10,9,FALSE),
IF($A125&lt;'PVC SCH80'!$A$250,VLOOKUP($A125,'PVC SCH80'!$A$8:$M$249,9,FALSE),
IF($A125&lt;'PVC SCH80 Flange'!$A$49,VLOOKUP($A125,'PVC SCH80 Flange'!$A$8:$M$48,9,FALSE),
IF($A125&lt;'PVC SCH80 LD Flange'!$A$17,VLOOKUP($A125,'PVC SCH80 LD Flange'!$A$8:$M$16,9,FALSE),
IF($A125&lt;CPVC!$A$105,VLOOKUP($A125,CPVC!$A$9:$M$104,9,FALSE),
IF($A125&lt;InsertFittings!$A$185,VLOOKUP($A125,InsertFittings!$A$9:$M$184,9,FALSE),
IF($A125&lt;Valves!$A$92,VLOOKUP($A125,Valves!$A$9:$Q$91,13,FALSE),
IF($A125&lt;SDR35SW!$A$133,VLOOKUP($A125,SDR35SW!$A$9:$M$132,9,FALSE),
IF($A125&lt;SDR35G!$A$151,VLOOKUP($A125,SDR35G!$A$9:$M$150,9,FALSE),                                                                                                                                                                                                                                                          IF($A125&lt;SDR26G!$A$67,VLOOKUP($A125,SDR26G!$A$9:$N$66,10,FALSE),                                                                                                                                                                                                                                                       IF($A125&lt;Cements!$A$95,VLOOKUP($A125,Cements!$A$8:$Q$94,13,FALSE),
IF($A125&lt;ValveBox!$A$124,VLOOKUP($A125,ValveBox!$A$9:$O$123,11,FALSE),
IF($A125&lt;'ValveBox Components'!$A$142,VLOOKUP($A125,'ValveBox Components'!$A$9:$N$141,10,FALSE),
IF($A125&lt;Drainage!$A$69,VLOOKUP($A125,Drainage!$A$8:$M$68,9,FALSE),                                                                                                                                                                                                                                                              IF($A125&lt;Nipples!$A$82,VLOOKUP($A125,Nipples!$A$9:$Q$81,13,FALSE),
IF($A125&lt;Manifold!$A$33,VLOOKUP($A125,Manifold!$A$9:$M$32,9,FALSE),
IF($A125&lt;FlexibleRepairCouplings!$A$12,VLOOKUP($A125,FlexibleRepairCouplings!$A$9:$M$11,9,FALSE),
IF($A125&lt;DuraFix!$A$15,VLOOKUP($A125,DuraFix!$A$9:$M$14,9,FALSE),                                                                                                                                                                                                                                                          IF($A125&lt;'Compression Fittings'!$A$16,VLOOKUP($A125,'Compression Fittings'!$A$8:$M$15,9,FALSE),
IF($A125&lt;'Hose Fittings'!$A$30,VLOOKUP($A125,'Hose Fittings'!$A$8:$M$29,9,FALSE),
IF($A125&lt;'Swing Joints'!$A$495,VLOOKUP($A125,'Swing Joints'!$A$9:$M$494,9,FALSE),
IF($A125&lt;'Swing Joints Components'!$A$135,VLOOKUP($A125,'Swing Joints Components'!$A$9:$M$134,9,FALSE),
IF($A125&lt;Nonstandard!$A$42,VLOOKUP($A125,Nonstandard!$A$31:$J$41,8,FALSE),"")))))))))))))))))))))))))))),"")</f>
        <v/>
      </c>
      <c r="G125" s="533" t="str">
        <f>IFERROR(IF($A125&lt;'DWV PVC'!$A$317,VLOOKUP($A125,'DWV PVC'!$A$9:$M$316,11,FALSE),
IF($A125&lt;'DWV ABS'!$A$117,VLOOKUP($A125,'DWV ABS'!$A$8:$M$116,11,FALSE),                                                                                                                                                                                                                                                     IF($A125&lt;'PVC SCH40'!$A$425,VLOOKUP($A125,'PVC SCH40'!$A$8:$M$424,11,FALSE),
IF($A125&lt;'PVC SCH40 LD'!$A$22,VLOOKUP($A125,'PVC SCH40 LD'!$A$8:$M$21,11,FALSE),
IF($A125&lt;'Pool &amp; SPA Sweep Elbows'!$A$12,VLOOKUP($A125,'Pool &amp; SPA Sweep Elbows'!$A$8:$M$11,11,FALSE),
IF($A125&lt;'Pool &amp; SPA Pipe Extender'!$A$11,VLOOKUP($A125,'Pool &amp; SPA Pipe Extender'!$A$8:$M$10,11,FALSE),
IF($A125&lt;'PVC SCH80'!$A$250,VLOOKUP($A125,'PVC SCH80'!$A$8:$M$249,11,FALSE),
IF($A125&lt;'PVC SCH80 Flange'!$A$49,VLOOKUP($A125,'PVC SCH80 Flange'!$A$8:$M$48,11,FALSE),
IF($A125&lt;'PVC SCH80 LD Flange'!$A$17,VLOOKUP($A125,'PVC SCH80 LD Flange'!$A$8:$M$16,11,FALSE),
IF($A125&lt;CPVC!$A$105,VLOOKUP($A125,CPVC!$A$9:$M$104,11,FALSE),
IF($A125&lt;InsertFittings!$A$185,VLOOKUP($A125,InsertFittings!$A$9:$M$184,11,FALSE),
IF($A125&lt;Valves!$A$92,VLOOKUP($A125,Valves!$A$9:$Q$91,15,FALSE),
IF($A125&lt;SDR35SW!$A$133,VLOOKUP($A125,SDR35SW!$A$9:$M$132,11,FALSE),
IF($A125&lt;SDR35G!$A$151,VLOOKUP($A125,SDR35G!$A$9:$M$150,11,FALSE),                                                                                                                                                                                                                                                          IF($A125&lt;SDR26G!$A$67,VLOOKUP($A125,SDR26G!$A$9:$N$66,12,FALSE),                                                                                                                                                                                                                                                       IF($A125&lt;Cements!$A$95,VLOOKUP($A125,Cements!$A$8:$Q$94,15,FALSE),
IF($A125&lt;ValveBox!$A$124,VLOOKUP($A125,ValveBox!$A$9:$O$123,13,FALSE),
IF($A125&lt;'ValveBox Components'!$A$142,VLOOKUP($A125,'ValveBox Components'!$A$9:$N$141,12,FALSE),
IF($A125&lt;Drainage!$A$69,VLOOKUP($A125,Drainage!$A$8:$M$68,11,FALSE),                                                                                                                                                                                                                                                           IF($A125&lt;Nipples!$A$82,VLOOKUP($A125,Nipples!$A$9:$Q$81,15,FALSE),
IF($A125&lt;Manifold!$A$33,VLOOKUP($A125,Manifold!$A$9:$M$32,11,FALSE),
IF($A125&lt;FlexibleRepairCouplings!$A$12,VLOOKUP($A125,FlexibleRepairCouplings!$A$9:$M$11,11,FALSE),
IF($A125&lt;DuraFix!$A$15,VLOOKUP($A125,DuraFix!$A$9:$M$14,11,FALSE),                                                                                                                                                                                                                                                            IF($A125&lt;'Compression Fittings'!$A$16,VLOOKUP($A125,'Compression Fittings'!$A$8:$M$15,11,FALSE),
IF($A125&lt;'Hose Fittings'!$A$30,VLOOKUP($A125,'Hose Fittings'!$A$8:$M$29,11,FALSE),
IF($A125&lt;'Swing Joints'!$A$495,VLOOKUP($A125,'Swing Joints'!$A$9:$M$494,11,FALSE),
IF($A125&lt;'Swing Joints Components'!$A$135,VLOOKUP($A125,'Swing Joints Components'!$A$9:$M$134,11,FALSE),
IF($A125&lt;Nonstandard!$A$42,VLOOKUP($A125,Nonstandard!$A$31:$J$41,10,FALSE),"")))))))))))))))))))))))))))),"")</f>
        <v/>
      </c>
      <c r="H125" s="618" t="str">
        <f>IFERROR(IF($A125&lt;'DWV PVC'!$A$317,VLOOKUP($A125,'DWV PVC'!$A$9:$M$316,7,FALSE),
IF($A125&lt;'DWV ABS'!$A$117,VLOOKUP($A125,'DWV ABS'!$A$8:$M$116,11,FALSE),                                                                                                                                                                                                                                                     IF($A125&lt;'PVC SCH40'!$A$425,VLOOKUP($A125,'PVC SCH40'!$A$8:$M$424,7,FALSE),
IF($A125&lt;'PVC SCH40 LD'!$A$22,VLOOKUP($A125,'PVC SCH40 LD'!$A$8:$M$21,7,FALSE),
IF($A125&lt;'Pool &amp; SPA Sweep Elbows'!$A$12,VLOOKUP($A125,'Pool &amp; SPA Sweep Elbows'!$A$8:$M$11,7,FALSE),
IF($A125&lt;'Pool &amp; SPA Pipe Extender'!$A$11,VLOOKUP($A125,'Pool &amp; SPA Pipe Extender'!$A$8:$M$10,7,FALSE),
IF($A125&lt;'PVC SCH80'!$A$250,VLOOKUP($A125,'PVC SCH80'!$A$8:$M$249,7,FALSE),
IF($A125&lt;'PVC SCH80 Flange'!$A$49,VLOOKUP($A125,'PVC SCH80 Flange'!$A$8:$M$48,7,FALSE),
IF($A125&lt;'PVC SCH80 LD Flange'!$A$17,VLOOKUP($A125,'PVC SCH80 LD Flange'!$A$8:$M$16,7,FALSE),
IF($A125&lt;CPVC!$A$105,VLOOKUP($A125,CPVC!$A$9:$M$104,7,FALSE),
IF($A125&lt;InsertFittings!$A$185,VLOOKUP($A125,InsertFittings!$A$9:$M$184,7,FALSE),
IF($A125&lt;Valves!$A$92,VLOOKUP($A125,Valves!$A$9:$Q$91,11,FALSE),
IF($A125&lt;SDR35SW!$A$133,VLOOKUP($A125,SDR35SW!$A$9:$M$132,7,FALSE),
IF($A125&lt;SDR35G!$A$151,VLOOKUP($A125,SDR35G!$A$9:$M$150,7,FALSE),                                                                                                                                                                                                                                                       IF($A125&lt;SDR26G!$A$67,VLOOKUP($A125,SDR26G!$A$9:$N$66,8,FALSE),                                                                                                                                                                                                                                                     IF($A125&lt;Cements!$A$95,VLOOKUP($A125,Cements!$A$8:$Q$94,11,FALSE),
IF($A125&lt;ValveBox!$A$124,VLOOKUP($A125,ValveBox!$A$9:$O$123,10,FALSE),
IF($A125&lt;'ValveBox Components'!$A$142,VLOOKUP($A125,'ValveBox Components'!$A$9:$N$141,9,FALSE),
IF($A125&lt;Drainage!$A$69,VLOOKUP($A125,Drainage!$A$8:$M$68,7,FALSE),                                                                                                                                                                                                                                                          IF($A125&lt;Nipples!$A$82,VLOOKUP($A125,Nipples!$A$9:$Q$81,11,FALSE),
IF($A125&lt;Manifold!$A$33,VLOOKUP($A125,Manifold!$A$9:$M$32,7,FALSE),
IF($A125&lt;FlexibleRepairCouplings!$A$12,VLOOKUP($A125,FlexibleRepairCouplings!$A$9:$M$11,7,FALSE),
IF($A125&lt;DuraFix!$A$15,VLOOKUP($A125,DuraFix!$A$9:$M$14,7,FALSE),                                                                                                                                                                                                                                                           IF($A125&lt;'Compression Fittings'!$A$16,VLOOKUP($A125,'Compression Fittings'!$A$8:$M$15,7,FALSE),
IF($A125&lt;'Hose Fittings'!$A$30,VLOOKUP($A125,'Hose Fittings'!$A$8:$M$29,7,FALSE),
IF($A125&lt;'Swing Joints'!$A$495,VLOOKUP($A125,'Swing Joints'!$A$9:$M$494,7,FALSE),
IF($A125&lt;'Swing Joints Components'!$A$135,VLOOKUP($A125,'Swing Joints Components'!$A$9:$M$134,7,FALSE),
IF($A125&lt;Nonstandard!$A$42,VLOOKUP($A125,Nonstandard!$A$31:$J$41,10,FALSE),"")))))))))))))))))))))))))))),"")</f>
        <v/>
      </c>
      <c r="I125" s="619"/>
      <c r="J125" s="281" t="str">
        <f t="shared" si="3"/>
        <v/>
      </c>
      <c r="K125" s="313" t="str">
        <f>IFERROR(IF($A125&lt;'DWV PVC'!$A$317,VLOOKUP($A125,'DWV PVC'!$A$9:$M$316,10,FALSE),
IF($A125&lt;'DWV ABS'!$A$117,VLOOKUP($A125,'DWV ABS'!$A$8:$M$116,10,FALSE),
IF($A125&lt;'PVC SCH40'!$A$425,VLOOKUP($A125,'PVC SCH40'!$A$8:$M$424,10,FALSE),
IF($A125&lt;'PVC SCH40 LD'!$A$22,VLOOKUP($A125,'PVC SCH40 LD'!$A$8:$M$21,10,FALSE),
IF($A125&lt;'Pool &amp; SPA Sweep Elbows'!$A$12,VLOOKUP($A125,'Pool &amp; SPA Sweep Elbows'!$A$8:$M$11,10,FALSE),
IF($A125&lt;'Pool &amp; SPA Pipe Extender'!$A$11,VLOOKUP($A125,'Pool &amp; SPA Pipe Extender'!$A$8:$M$10,10,FALSE),
IF($A125&lt;'PVC SCH80'!$A$250,VLOOKUP($A125,'PVC SCH80'!$A$8:$M$249,10,FALSE),
IF($A125&lt;'PVC SCH80 Flange'!$A$49,VLOOKUP($A125,'PVC SCH80 Flange'!$A$8:$M$48,10,FALSE),
IF($A125&lt;'PVC SCH80 LD Flange'!$A$17,VLOOKUP($A125,'PVC SCH80 LD Flange'!$A$8:$M$16,10,FALSE),
IF($A125&lt;CPVC!$A$105,VLOOKUP($A125,CPVC!$A$9:$M$104,10,FALSE),
IF($A125&lt;InsertFittings!$A$185,VLOOKUP($A125,InsertFittings!$A$9:$M$184,10,FALSE),
IF($A125&lt;Valves!$A$92,VLOOKUP($A125,Valves!$A$9:$Q$91,14,FALSE),
IF($A125&lt;SDR35SW!$A$133,VLOOKUP($A125,SDR35SW!$A$9:$M$132,10,FALSE),
IF($A125&lt;SDR35G!$A$151,VLOOKUP($A125,SDR35G!$A$9:$M$150,10,FALSE),
IF($A125&lt;SDR26G!$A$67,VLOOKUP($A125,SDR26G!$A$9:$N$66,11,FALSE),
IF($A125&lt;Cements!$A$95,VLOOKUP($A125,Cements!$A$8:$Q$94,14,FALSE),
IF($A125&lt;ValveBox!$A$124,VLOOKUP($A125,ValveBox!$A$9:$O$123,12,FALSE),
IF($A125&lt;'ValveBox Components'!$A$142,VLOOKUP($A125,'ValveBox Components'!$A$9:$N$141,11,FALSE),
IF($A125&lt;Drainage!$A$69,VLOOKUP($A125,Drainage!$A$8:$M$68,10,FALSE),
IF($A125&lt;Nipples!$A$82,VLOOKUP($A125,Nipples!$A$9:$Q$81,14,FALSE),
IF($A125&lt;Manifold!$A$33,VLOOKUP($A125,Manifold!$A$9:$M$32,10,FALSE),
IF($A125&lt;FlexibleRepairCouplings!$A$12,VLOOKUP($A125,FlexibleRepairCouplings!$A$9:$M$11,10,FALSE),
IF($A125&lt;DuraFix!$A$15,VLOOKUP($A125,DuraFix!$A$9:$M$14,10,FALSE),
IF($A125&lt;'Compression Fittings'!$A$16,VLOOKUP($A125,'Compression Fittings'!$A$8:$M$15,10,FALSE),
IF($A125&lt;'Hose Fittings'!$A$30,VLOOKUP($A125,'Hose Fittings'!$A$8:$M$29,10,FALSE),
IF($A125&lt;'Swing Joints'!$A$495,VLOOKUP($A125,'Swing Joints'!$A$9:$M$494,10,FALSE),
IF($A125&lt;'Swing Joints Components'!$A$135,VLOOKUP($A125,'Swing Joints Components'!$A$9:$M$134,10,FALSE),
IF($A125&lt;Nonstandard!$A$42,VLOOKUP($A125,Nonstandard!$A$31:$J$41,10,FALSE),"")))))))))))))))))))))))))))),"")</f>
        <v/>
      </c>
      <c r="L125" s="314" t="str">
        <f t="shared" si="2"/>
        <v>-</v>
      </c>
      <c r="M125" s="315"/>
    </row>
    <row r="126" spans="1:13" ht="15.6">
      <c r="A126" s="536">
        <v>94</v>
      </c>
      <c r="B126" s="536" t="str">
        <f>IFERROR(IF($A126&lt;'DWV PVC'!$A$317,VLOOKUP($A126,'DWV PVC'!$A$9:$M$316,4,FALSE),
IF($A126&lt;'DWV ABS'!$A$117,VLOOKUP($A126,'DWV ABS'!$A$8:$M$116,4,FALSE),
IF($A126&lt;'PVC SCH40'!$A$425,VLOOKUP($A126,'PVC SCH40'!$A$8:$M$424,4,FALSE),
IF($A126&lt;'PVC SCH40 LD'!$A$22,VLOOKUP($A126,'PVC SCH40 LD'!$A$8:$M$21,4,FALSE),
IF($A126&lt;'Pool &amp; SPA Sweep Elbows'!$A$12,VLOOKUP($A126,'Pool &amp; SPA Sweep Elbows'!$A$8:$M$11,4,FALSE),
IF($A126&lt;'Pool &amp; SPA Pipe Extender'!$A$11,VLOOKUP($A126,'Pool &amp; SPA Pipe Extender'!$A$8:$M$10,4,FALSE),
IF($A126&lt;'PVC SCH80'!$A$250,VLOOKUP($A126,'PVC SCH80'!$A$8:$M$249,4,FALSE),
IF($A126&lt;'PVC SCH80 Flange'!$A$49,VLOOKUP($A126,'PVC SCH80 Flange'!$A$8:$M$48,4,FALSE),
IF($A126&lt;'PVC SCH80 LD Flange'!$A$17,VLOOKUP($A126,'PVC SCH80 LD Flange'!$A$8:$M$16,4,FALSE),
IF($A126&lt;CPVC!$A$105,VLOOKUP($A126,CPVC!$A$9:$M$104,4,FALSE),
IF($A126&lt;InsertFittings!$A$185,VLOOKUP($A126,InsertFittings!$A$9:$M$184,4,FALSE),
IF($A126&lt;Valves!$A$92,VLOOKUP($A126,Valves!$A$9:$Q$91,4,FALSE),
IF($A126&lt;SDR35SW!$A$133,VLOOKUP($A126,SDR35SW!$A$9:$M$132,4,FALSE),
IF($A126&lt;SDR35G!$A$151,VLOOKUP($A126,SDR35G!$A$9:$M$150,4,FALSE),
IF($A126&lt;SDR26G!$A$67,VLOOKUP($A126,SDR26G!$A$9:$N$66,5,FALSE),
IF($A126&lt;Cements!$A$95,VLOOKUP($A126,Cements!$A$8:$Q$94,4,FALSE),
IF($A126&lt;ValveBox!$A$124,VLOOKUP($A126,ValveBox!$A$9:$O$123,4,FALSE),
IF($A126&lt;'ValveBox Components'!$A$142,VLOOKUP($A126,'ValveBox Components'!$A$9:$N$141,4,FALSE),
IF($A126&lt;Drainage!$A$69,VLOOKUP($A126,Drainage!$A$8:$M$68,4,FALSE),
IF($A126&lt;Nipples!$A$82,VLOOKUP($A126,Nipples!$A$9:$Q$81,4,FALSE),
IF($A126&lt;Manifold!$A$33,VLOOKUP($A126,Manifold!$A$9:$M$32,4,FALSE),
IF($A126&lt;FlexibleRepairCouplings!$A$12,VLOOKUP($A126,FlexibleRepairCouplings!$A$9:$M$11,4,FALSE),
IF($A126&lt;DuraFix!$A$15,VLOOKUP($A126,DuraFix!$A$9:$M$14,4,FALSE),
IF($A126&lt;'Compression Fittings'!$A$16,VLOOKUP($A126,'Compression Fittings'!$A$8:$M$15,4,FALSE),
IF($A126&lt;'Hose Fittings'!$A$30,VLOOKUP($A126,'Hose Fittings'!$A$8:$M$29,4,FALSE),
IF($A126&lt;'Swing Joints'!$A$495,VLOOKUP($A126,'Swing Joints'!$A$9:$M$494,4,FALSE),
IF($A126&lt;'Swing Joints Components'!$A$135,VLOOKUP($A126,'Swing Joints Components'!$A$9:$M$134,4,FALSE),
IF($A126&lt;Nonstandard!$A$42,VLOOKUP($A126,Nonstandard!$A$31:$J$41,5,FALSE),"")))))))))))))))))))))))))))),"")</f>
        <v/>
      </c>
      <c r="C126" s="536" t="str">
        <f>IFERROR(IF($A126&lt;'DWV PVC'!$A$317,VLOOKUP($A126,'DWV PVC'!$A$9:$M$316,5,FALSE),
IF($A126&lt;'DWV ABS'!$A$117,VLOOKUP($A126,'DWV ABS'!$A$8:$M$116,5,FALSE),
IF($A126&lt;'PVC SCH40'!$A$425,VLOOKUP($A126,'PVC SCH40'!$A$8:$M$424,5,FALSE),
IF($A126&lt;'PVC SCH40 LD'!$A$22,VLOOKUP($A126,'PVC SCH40 LD'!$A$8:$M$21,5,FALSE),
IF($A126&lt;'Pool &amp; SPA Sweep Elbows'!$A$12,VLOOKUP($A126,'Pool &amp; SPA Sweep Elbows'!$A$8:$M$11,5,FALSE),
IF($A126&lt;'Pool &amp; SPA Pipe Extender'!$A$11,VLOOKUP($A126,'Pool &amp; SPA Pipe Extender'!$A$8:$M$10,5,FALSE),
IF($A126&lt;'PVC SCH80'!$A$250,VLOOKUP($A126,'PVC SCH80'!$A$8:$M$249,5,FALSE),
IF($A126&lt;'PVC SCH80 Flange'!$A$49,VLOOKUP($A126,'PVC SCH80 Flange'!$A$8:$M$48,5,FALSE),
IF($A126&lt;'PVC SCH80 LD Flange'!$A$17,VLOOKUP($A126,'PVC SCH80 LD Flange'!$A$8:$M$16,5,FALSE),
IF($A126&lt;CPVC!$A$105,VLOOKUP($A126,CPVC!$A$9:$M$104,5,FALSE),
IF($A126&lt;InsertFittings!$A$185,VLOOKUP($A126,InsertFittings!$A$9:$M$184,5,FALSE),
IF($A126&lt;Valves!$A$92,VLOOKUP($A126,Valves!$A$9:$Q$91,5,FALSE),
IF($A126&lt;SDR35SW!$A$133,VLOOKUP($A126,SDR35SW!$A$9:$M$132,5,FALSE),
IF($A126&lt;SDR35G!$A$151,VLOOKUP($A126,SDR35G!$A$9:$M$150,5,FALSE),
IF($A126&lt;SDR26G!$A$67,VLOOKUP($A126,SDR26G!$A$9:$N$66,6,FALSE),
IF($A126&lt;Cements!$A$95,VLOOKUP($A126,Cements!$A$8:$Q$94,5,FALSE),
IF($A126&lt;ValveBox!$A$124,VLOOKUP($A126,ValveBox!$A$9:$O$123,5,FALSE),
IF($A126&lt;'ValveBox Components'!$A$142,VLOOKUP($A126,'ValveBox Components'!$A$9:$N$141,5,FALSE),
IF($A126&lt;Drainage!$A$69,VLOOKUP($A126,Drainage!$A$8:$M$68,5,FALSE),
IF($A126&lt;Nipples!$A$82,VLOOKUP($A126,Nipples!$A$9:$Q$81,5,FALSE),
IF($A126&lt;Manifold!$A$33,VLOOKUP($A126,Manifold!$A$9:$M$32,5,FALSE),
IF($A126&lt;FlexibleRepairCouplings!$A$12,VLOOKUP($A126,FlexibleRepairCouplings!$A$9:$M$11,5,FALSE),
IF($A126&lt;DuraFix!$A$15,VLOOKUP($A126,DuraFix!$A$9:$M$14,5,FALSE),
IF($A126&lt;'Compression Fittings'!$A$16,VLOOKUP($A126,'Compression Fittings'!$A$8:$M$15,5,FALSE),
IF($A126&lt;'Hose Fittings'!$A$30,VLOOKUP($A126,'Hose Fittings'!$A$8:$M$29,5,FALSE),
IF($A126&lt;'Swing Joints'!$A$495,VLOOKUP($A126,'Swing Joints'!$A$9:$M$494,5,FALSE),
IF($A126&lt;'Swing Joints Components'!$A$135,VLOOKUP($A126,'Swing Joints Components'!$A$9:$M$134,5,FALSE),
IF($A126&lt;Nonstandard!$A$42,VLOOKUP($A126,Nonstandard!$A$31:$J$41,6,FALSE),"")))))))))))))))))))))))))))),"")</f>
        <v/>
      </c>
      <c r="D126" s="537" t="str">
        <f>IFERROR(IF($A126&lt;'DWV PVC'!$A$317,VLOOKUP($A126,'DWV PVC'!$A$9:$M$316,6,FALSE),
IF($A126&lt;'DWV ABS'!$A$117,VLOOKUP($A126,'DWV ABS'!$A$8:$M$116,6,FALSE),
IF($A126&lt;'PVC SCH40'!$A$425,VLOOKUP($A126,'PVC SCH40'!$A$8:$M$424,6,FALSE),
IF($A126&lt;'PVC SCH40 LD'!$A$22,VLOOKUP($A126,'PVC SCH40 LD'!$A$8:$M$21,6,FALSE),
IF($A126&lt;'Pool &amp; SPA Sweep Elbows'!$A$12,VLOOKUP($A126,'Pool &amp; SPA Sweep Elbows'!$A$8:$M$11,6,FALSE),
IF($A126&lt;'Pool &amp; SPA Pipe Extender'!$A$11,VLOOKUP($A126,'Pool &amp; SPA Pipe Extender'!$A$8:$M$10,6,FALSE),
IF($A126&lt;'PVC SCH80'!$A$250,VLOOKUP($A126,'PVC SCH80'!$A$8:$M$249,6,FALSE),
IF($A126&lt;'PVC SCH80 Flange'!$A$49,VLOOKUP($A126,'PVC SCH80 Flange'!$A$8:$M$48,6,FALSE),
IF($A126&lt;'PVC SCH80 LD Flange'!$A$17,VLOOKUP($A126,'PVC SCH80 LD Flange'!$A$8:$M$16,6,FALSE),
IF($A126&lt;CPVC!$A$105,VLOOKUP($A126,CPVC!$A$9:$M$104,6,FALSE),
IF($A126&lt;InsertFittings!$A$185,VLOOKUP($A126,InsertFittings!$A$9:$M$184,6,FALSE),
IF($A126&lt;Valves!$A$92,VLOOKUP($A126,Valves!$A$9:$Q$91,6,FALSE),
IF($A126&lt;SDR35SW!$A$133,VLOOKUP($A126,SDR35SW!$A$9:$M$132,6,FALSE),
IF($A126&lt;SDR35G!$A$151,VLOOKUP($A126,SDR35G!$A$9:$M$150,6,FALSE),
IF($A126&lt;SDR26G!$A$67,VLOOKUP($A126,SDR26G!$A$9:$N$66,7,FALSE),
IF($A126&lt;Cements!$A$95,VLOOKUP($A126,Cements!$A$8:$Q$94,6,FALSE),
IF($A126&lt;ValveBox!$A$124,VLOOKUP($A126,ValveBox!$A$9:$O$123,6,FALSE),
IF($A126&lt;'ValveBox Components'!$A$142,VLOOKUP($A126,'ValveBox Components'!$A$9:$N$141,6,FALSE),
IF($A126&lt;Drainage!$A$69,VLOOKUP($A126,Drainage!$A$8:$M$68,6,FALSE),
IF($A126&lt;Nipples!$A$82,VLOOKUP($A126,Nipples!$A$9:$Q$81,6,FALSE),
IF($A126&lt;Manifold!$A$33,VLOOKUP($A126,Manifold!$A$9:$M$32,6,FALSE),
IF($A126&lt;FlexibleRepairCouplings!$A$12,VLOOKUP($A126,FlexibleRepairCouplings!$A$9:$M$11,6,FALSE),
IF($A126&lt;DuraFix!$A$15,VLOOKUP($A126,DuraFix!$A$9:$M$14,6,FALSE),
IF($A126&lt;'Compression Fittings'!$A$16,VLOOKUP($A126,'Compression Fittings'!$A$8:$M$15,6,FALSE),
IF($A126&lt;'Hose Fittings'!$A$30,VLOOKUP($A126,'Hose Fittings'!$A$8:$M$29,6,FALSE),
IF($A126&lt;'Swing Joints'!$A$495,VLOOKUP($A126,'Swing Joints'!$A$9:$M$494,6,FALSE),
IF($A126&lt;'Swing Joints Components'!$A$135,VLOOKUP($A126,'Swing Joints Components'!$A$9:$M$134,6,FALSE),
IF($A126&lt;Nonstandard!$A$42,VLOOKUP($A126,Nonstandard!$A$31:$J$41,7,FALSE),"")))))))))))))))))))))))))))),"")</f>
        <v/>
      </c>
      <c r="E126" s="538"/>
      <c r="F126" s="539" t="str">
        <f>IFERROR(IF($A126&lt;'DWV PVC'!$A$317,VLOOKUP($A126,'DWV PVC'!$A$9:$M$316,9,FALSE),
IF($A126&lt;'DWV ABS'!$A$117,VLOOKUP($A126,'DWV ABS'!$A$8:$M$116,9,FALSE),                                                                                                                                                                                                                                                     IF($A126&lt;'PVC SCH40'!$A$425,VLOOKUP($A126,'PVC SCH40'!$A$8:$M$424,9,FALSE),
IF($A126&lt;'PVC SCH40 LD'!$A$22,VLOOKUP($A126,'PVC SCH40 LD'!$A$8:$M$21,9,FALSE),
IF($A126&lt;'Pool &amp; SPA Sweep Elbows'!$A$12,VLOOKUP($A126,'Pool &amp; SPA Sweep Elbows'!$A$8:$M$11,9,FALSE),
IF($A126&lt;'Pool &amp; SPA Pipe Extender'!$A$11,VLOOKUP($A126,'Pool &amp; SPA Pipe Extender'!$A$8:$M$10,9,FALSE),
IF($A126&lt;'PVC SCH80'!$A$250,VLOOKUP($A126,'PVC SCH80'!$A$8:$M$249,9,FALSE),
IF($A126&lt;'PVC SCH80 Flange'!$A$49,VLOOKUP($A126,'PVC SCH80 Flange'!$A$8:$M$48,9,FALSE),
IF($A126&lt;'PVC SCH80 LD Flange'!$A$17,VLOOKUP($A126,'PVC SCH80 LD Flange'!$A$8:$M$16,9,FALSE),
IF($A126&lt;CPVC!$A$105,VLOOKUP($A126,CPVC!$A$9:$M$104,9,FALSE),
IF($A126&lt;InsertFittings!$A$185,VLOOKUP($A126,InsertFittings!$A$9:$M$184,9,FALSE),
IF($A126&lt;Valves!$A$92,VLOOKUP($A126,Valves!$A$9:$Q$91,13,FALSE),
IF($A126&lt;SDR35SW!$A$133,VLOOKUP($A126,SDR35SW!$A$9:$M$132,9,FALSE),
IF($A126&lt;SDR35G!$A$151,VLOOKUP($A126,SDR35G!$A$9:$M$150,9,FALSE),                                                                                                                                                                                                                                                          IF($A126&lt;SDR26G!$A$67,VLOOKUP($A126,SDR26G!$A$9:$N$66,10,FALSE),                                                                                                                                                                                                                                                       IF($A126&lt;Cements!$A$95,VLOOKUP($A126,Cements!$A$8:$Q$94,13,FALSE),
IF($A126&lt;ValveBox!$A$124,VLOOKUP($A126,ValveBox!$A$9:$O$123,11,FALSE),
IF($A126&lt;'ValveBox Components'!$A$142,VLOOKUP($A126,'ValveBox Components'!$A$9:$N$141,10,FALSE),
IF($A126&lt;Drainage!$A$69,VLOOKUP($A126,Drainage!$A$8:$M$68,9,FALSE),                                                                                                                                                                                                                                                              IF($A126&lt;Nipples!$A$82,VLOOKUP($A126,Nipples!$A$9:$Q$81,13,FALSE),
IF($A126&lt;Manifold!$A$33,VLOOKUP($A126,Manifold!$A$9:$M$32,9,FALSE),
IF($A126&lt;FlexibleRepairCouplings!$A$12,VLOOKUP($A126,FlexibleRepairCouplings!$A$9:$M$11,9,FALSE),
IF($A126&lt;DuraFix!$A$15,VLOOKUP($A126,DuraFix!$A$9:$M$14,9,FALSE),                                                                                                                                                                                                                                                          IF($A126&lt;'Compression Fittings'!$A$16,VLOOKUP($A126,'Compression Fittings'!$A$8:$M$15,9,FALSE),
IF($A126&lt;'Hose Fittings'!$A$30,VLOOKUP($A126,'Hose Fittings'!$A$8:$M$29,9,FALSE),
IF($A126&lt;'Swing Joints'!$A$495,VLOOKUP($A126,'Swing Joints'!$A$9:$M$494,9,FALSE),
IF($A126&lt;'Swing Joints Components'!$A$135,VLOOKUP($A126,'Swing Joints Components'!$A$9:$M$134,9,FALSE),
IF($A126&lt;Nonstandard!$A$42,VLOOKUP($A126,Nonstandard!$A$31:$J$41,8,FALSE),"")))))))))))))))))))))))))))),"")</f>
        <v/>
      </c>
      <c r="G126" s="540" t="str">
        <f>IFERROR(IF($A126&lt;'DWV PVC'!$A$317,VLOOKUP($A126,'DWV PVC'!$A$9:$M$316,11,FALSE),
IF($A126&lt;'DWV ABS'!$A$117,VLOOKUP($A126,'DWV ABS'!$A$8:$M$116,11,FALSE),                                                                                                                                                                                                                                                     IF($A126&lt;'PVC SCH40'!$A$425,VLOOKUP($A126,'PVC SCH40'!$A$8:$M$424,11,FALSE),
IF($A126&lt;'PVC SCH40 LD'!$A$22,VLOOKUP($A126,'PVC SCH40 LD'!$A$8:$M$21,11,FALSE),
IF($A126&lt;'Pool &amp; SPA Sweep Elbows'!$A$12,VLOOKUP($A126,'Pool &amp; SPA Sweep Elbows'!$A$8:$M$11,11,FALSE),
IF($A126&lt;'Pool &amp; SPA Pipe Extender'!$A$11,VLOOKUP($A126,'Pool &amp; SPA Pipe Extender'!$A$8:$M$10,11,FALSE),
IF($A126&lt;'PVC SCH80'!$A$250,VLOOKUP($A126,'PVC SCH80'!$A$8:$M$249,11,FALSE),
IF($A126&lt;'PVC SCH80 Flange'!$A$49,VLOOKUP($A126,'PVC SCH80 Flange'!$A$8:$M$48,11,FALSE),
IF($A126&lt;'PVC SCH80 LD Flange'!$A$17,VLOOKUP($A126,'PVC SCH80 LD Flange'!$A$8:$M$16,11,FALSE),
IF($A126&lt;CPVC!$A$105,VLOOKUP($A126,CPVC!$A$9:$M$104,11,FALSE),
IF($A126&lt;InsertFittings!$A$185,VLOOKUP($A126,InsertFittings!$A$9:$M$184,11,FALSE),
IF($A126&lt;Valves!$A$92,VLOOKUP($A126,Valves!$A$9:$Q$91,15,FALSE),
IF($A126&lt;SDR35SW!$A$133,VLOOKUP($A126,SDR35SW!$A$9:$M$132,11,FALSE),
IF($A126&lt;SDR35G!$A$151,VLOOKUP($A126,SDR35G!$A$9:$M$150,11,FALSE),                                                                                                                                                                                                                                                          IF($A126&lt;SDR26G!$A$67,VLOOKUP($A126,SDR26G!$A$9:$N$66,12,FALSE),                                                                                                                                                                                                                                                       IF($A126&lt;Cements!$A$95,VLOOKUP($A126,Cements!$A$8:$Q$94,15,FALSE),
IF($A126&lt;ValveBox!$A$124,VLOOKUP($A126,ValveBox!$A$9:$O$123,13,FALSE),
IF($A126&lt;'ValveBox Components'!$A$142,VLOOKUP($A126,'ValveBox Components'!$A$9:$N$141,12,FALSE),
IF($A126&lt;Drainage!$A$69,VLOOKUP($A126,Drainage!$A$8:$M$68,11,FALSE),                                                                                                                                                                                                                                                           IF($A126&lt;Nipples!$A$82,VLOOKUP($A126,Nipples!$A$9:$Q$81,15,FALSE),
IF($A126&lt;Manifold!$A$33,VLOOKUP($A126,Manifold!$A$9:$M$32,11,FALSE),
IF($A126&lt;FlexibleRepairCouplings!$A$12,VLOOKUP($A126,FlexibleRepairCouplings!$A$9:$M$11,11,FALSE),
IF($A126&lt;DuraFix!$A$15,VLOOKUP($A126,DuraFix!$A$9:$M$14,11,FALSE),                                                                                                                                                                                                                                                            IF($A126&lt;'Compression Fittings'!$A$16,VLOOKUP($A126,'Compression Fittings'!$A$8:$M$15,11,FALSE),
IF($A126&lt;'Hose Fittings'!$A$30,VLOOKUP($A126,'Hose Fittings'!$A$8:$M$29,11,FALSE),
IF($A126&lt;'Swing Joints'!$A$495,VLOOKUP($A126,'Swing Joints'!$A$9:$M$494,11,FALSE),
IF($A126&lt;'Swing Joints Components'!$A$135,VLOOKUP($A126,'Swing Joints Components'!$A$9:$M$134,11,FALSE),
IF($A126&lt;Nonstandard!$A$42,VLOOKUP($A126,Nonstandard!$A$31:$J$41,10,FALSE),"")))))))))))))))))))))))))))),"")</f>
        <v/>
      </c>
      <c r="H126" s="620" t="str">
        <f>IFERROR(IF($A126&lt;'DWV PVC'!$A$317,VLOOKUP($A126,'DWV PVC'!$A$9:$M$316,7,FALSE),
IF($A126&lt;'DWV ABS'!$A$117,VLOOKUP($A126,'DWV ABS'!$A$8:$M$116,11,FALSE),                                                                                                                                                                                                                                                     IF($A126&lt;'PVC SCH40'!$A$425,VLOOKUP($A126,'PVC SCH40'!$A$8:$M$424,7,FALSE),
IF($A126&lt;'PVC SCH40 LD'!$A$22,VLOOKUP($A126,'PVC SCH40 LD'!$A$8:$M$21,7,FALSE),
IF($A126&lt;'Pool &amp; SPA Sweep Elbows'!$A$12,VLOOKUP($A126,'Pool &amp; SPA Sweep Elbows'!$A$8:$M$11,7,FALSE),
IF($A126&lt;'Pool &amp; SPA Pipe Extender'!$A$11,VLOOKUP($A126,'Pool &amp; SPA Pipe Extender'!$A$8:$M$10,7,FALSE),
IF($A126&lt;'PVC SCH80'!$A$250,VLOOKUP($A126,'PVC SCH80'!$A$8:$M$249,7,FALSE),
IF($A126&lt;'PVC SCH80 Flange'!$A$49,VLOOKUP($A126,'PVC SCH80 Flange'!$A$8:$M$48,7,FALSE),
IF($A126&lt;'PVC SCH80 LD Flange'!$A$17,VLOOKUP($A126,'PVC SCH80 LD Flange'!$A$8:$M$16,7,FALSE),
IF($A126&lt;CPVC!$A$105,VLOOKUP($A126,CPVC!$A$9:$M$104,7,FALSE),
IF($A126&lt;InsertFittings!$A$185,VLOOKUP($A126,InsertFittings!$A$9:$M$184,7,FALSE),
IF($A126&lt;Valves!$A$92,VLOOKUP($A126,Valves!$A$9:$Q$91,11,FALSE),
IF($A126&lt;SDR35SW!$A$133,VLOOKUP($A126,SDR35SW!$A$9:$M$132,7,FALSE),
IF($A126&lt;SDR35G!$A$151,VLOOKUP($A126,SDR35G!$A$9:$M$150,7,FALSE),                                                                                                                                                                                                                                                       IF($A126&lt;SDR26G!$A$67,VLOOKUP($A126,SDR26G!$A$9:$N$66,8,FALSE),                                                                                                                                                                                                                                                     IF($A126&lt;Cements!$A$95,VLOOKUP($A126,Cements!$A$8:$Q$94,11,FALSE),
IF($A126&lt;ValveBox!$A$124,VLOOKUP($A126,ValveBox!$A$9:$O$123,10,FALSE),
IF($A126&lt;'ValveBox Components'!$A$142,VLOOKUP($A126,'ValveBox Components'!$A$9:$N$141,9,FALSE),
IF($A126&lt;Drainage!$A$69,VLOOKUP($A126,Drainage!$A$8:$M$68,7,FALSE),                                                                                                                                                                                                                                                          IF($A126&lt;Nipples!$A$82,VLOOKUP($A126,Nipples!$A$9:$Q$81,11,FALSE),
IF($A126&lt;Manifold!$A$33,VLOOKUP($A126,Manifold!$A$9:$M$32,7,FALSE),
IF($A126&lt;FlexibleRepairCouplings!$A$12,VLOOKUP($A126,FlexibleRepairCouplings!$A$9:$M$11,7,FALSE),
IF($A126&lt;DuraFix!$A$15,VLOOKUP($A126,DuraFix!$A$9:$M$14,7,FALSE),                                                                                                                                                                                                                                                           IF($A126&lt;'Compression Fittings'!$A$16,VLOOKUP($A126,'Compression Fittings'!$A$8:$M$15,7,FALSE),
IF($A126&lt;'Hose Fittings'!$A$30,VLOOKUP($A126,'Hose Fittings'!$A$8:$M$29,7,FALSE),
IF($A126&lt;'Swing Joints'!$A$495,VLOOKUP($A126,'Swing Joints'!$A$9:$M$494,7,FALSE),
IF($A126&lt;'Swing Joints Components'!$A$135,VLOOKUP($A126,'Swing Joints Components'!$A$9:$M$134,7,FALSE),
IF($A126&lt;Nonstandard!$A$42,VLOOKUP($A126,Nonstandard!$A$31:$J$41,10,FALSE),"")))))))))))))))))))))))))))),"")</f>
        <v/>
      </c>
      <c r="I126" s="621"/>
      <c r="J126" s="541" t="str">
        <f t="shared" si="3"/>
        <v/>
      </c>
      <c r="K126" s="599" t="str">
        <f>IFERROR(IF($A126&lt;'DWV PVC'!$A$317,VLOOKUP($A126,'DWV PVC'!$A$9:$M$316,10,FALSE),
IF($A126&lt;'DWV ABS'!$A$117,VLOOKUP($A126,'DWV ABS'!$A$8:$M$116,10,FALSE),
IF($A126&lt;'PVC SCH40'!$A$425,VLOOKUP($A126,'PVC SCH40'!$A$8:$M$424,10,FALSE),
IF($A126&lt;'PVC SCH40 LD'!$A$22,VLOOKUP($A126,'PVC SCH40 LD'!$A$8:$M$21,10,FALSE),
IF($A126&lt;'Pool &amp; SPA Sweep Elbows'!$A$12,VLOOKUP($A126,'Pool &amp; SPA Sweep Elbows'!$A$8:$M$11,10,FALSE),
IF($A126&lt;'Pool &amp; SPA Pipe Extender'!$A$11,VLOOKUP($A126,'Pool &amp; SPA Pipe Extender'!$A$8:$M$10,10,FALSE),
IF($A126&lt;'PVC SCH80'!$A$250,VLOOKUP($A126,'PVC SCH80'!$A$8:$M$249,10,FALSE),
IF($A126&lt;'PVC SCH80 Flange'!$A$49,VLOOKUP($A126,'PVC SCH80 Flange'!$A$8:$M$48,10,FALSE),
IF($A126&lt;'PVC SCH80 LD Flange'!$A$17,VLOOKUP($A126,'PVC SCH80 LD Flange'!$A$8:$M$16,10,FALSE),
IF($A126&lt;CPVC!$A$105,VLOOKUP($A126,CPVC!$A$9:$M$104,10,FALSE),
IF($A126&lt;InsertFittings!$A$185,VLOOKUP($A126,InsertFittings!$A$9:$M$184,10,FALSE),
IF($A126&lt;Valves!$A$92,VLOOKUP($A126,Valves!$A$9:$Q$91,14,FALSE),
IF($A126&lt;SDR35SW!$A$133,VLOOKUP($A126,SDR35SW!$A$9:$M$132,10,FALSE),
IF($A126&lt;SDR35G!$A$151,VLOOKUP($A126,SDR35G!$A$9:$M$150,10,FALSE),
IF($A126&lt;SDR26G!$A$67,VLOOKUP($A126,SDR26G!$A$9:$N$66,11,FALSE),
IF($A126&lt;Cements!$A$95,VLOOKUP($A126,Cements!$A$8:$Q$94,14,FALSE),
IF($A126&lt;ValveBox!$A$124,VLOOKUP($A126,ValveBox!$A$9:$O$123,12,FALSE),
IF($A126&lt;'ValveBox Components'!$A$142,VLOOKUP($A126,'ValveBox Components'!$A$9:$N$141,11,FALSE),
IF($A126&lt;Drainage!$A$69,VLOOKUP($A126,Drainage!$A$8:$M$68,10,FALSE),
IF($A126&lt;Nipples!$A$82,VLOOKUP($A126,Nipples!$A$9:$Q$81,14,FALSE),
IF($A126&lt;Manifold!$A$33,VLOOKUP($A126,Manifold!$A$9:$M$32,10,FALSE),
IF($A126&lt;FlexibleRepairCouplings!$A$12,VLOOKUP($A126,FlexibleRepairCouplings!$A$9:$M$11,10,FALSE),
IF($A126&lt;DuraFix!$A$15,VLOOKUP($A126,DuraFix!$A$9:$M$14,10,FALSE),
IF($A126&lt;'Compression Fittings'!$A$16,VLOOKUP($A126,'Compression Fittings'!$A$8:$M$15,10,FALSE),
IF($A126&lt;'Hose Fittings'!$A$30,VLOOKUP($A126,'Hose Fittings'!$A$8:$M$29,10,FALSE),
IF($A126&lt;'Swing Joints'!$A$495,VLOOKUP($A126,'Swing Joints'!$A$9:$M$494,10,FALSE),
IF($A126&lt;'Swing Joints Components'!$A$135,VLOOKUP($A126,'Swing Joints Components'!$A$9:$M$134,10,FALSE),
IF($A126&lt;Nonstandard!$A$42,VLOOKUP($A126,Nonstandard!$A$31:$J$41,10,FALSE),"")))))))))))))))))))))))))))),"")</f>
        <v/>
      </c>
      <c r="L126" s="539" t="str">
        <f t="shared" si="2"/>
        <v>-</v>
      </c>
      <c r="M126" s="542"/>
    </row>
    <row r="127" spans="1:13" ht="15.6">
      <c r="A127" s="312">
        <v>95</v>
      </c>
      <c r="B127" s="312" t="str">
        <f>IFERROR(IF($A127&lt;'DWV PVC'!$A$317,VLOOKUP($A127,'DWV PVC'!$A$9:$M$316,4,FALSE),
IF($A127&lt;'DWV ABS'!$A$117,VLOOKUP($A127,'DWV ABS'!$A$8:$M$116,4,FALSE),
IF($A127&lt;'PVC SCH40'!$A$425,VLOOKUP($A127,'PVC SCH40'!$A$8:$M$424,4,FALSE),
IF($A127&lt;'PVC SCH40 LD'!$A$22,VLOOKUP($A127,'PVC SCH40 LD'!$A$8:$M$21,4,FALSE),
IF($A127&lt;'Pool &amp; SPA Sweep Elbows'!$A$12,VLOOKUP($A127,'Pool &amp; SPA Sweep Elbows'!$A$8:$M$11,4,FALSE),
IF($A127&lt;'Pool &amp; SPA Pipe Extender'!$A$11,VLOOKUP($A127,'Pool &amp; SPA Pipe Extender'!$A$8:$M$10,4,FALSE),
IF($A127&lt;'PVC SCH80'!$A$250,VLOOKUP($A127,'PVC SCH80'!$A$8:$M$249,4,FALSE),
IF($A127&lt;'PVC SCH80 Flange'!$A$49,VLOOKUP($A127,'PVC SCH80 Flange'!$A$8:$M$48,4,FALSE),
IF($A127&lt;'PVC SCH80 LD Flange'!$A$17,VLOOKUP($A127,'PVC SCH80 LD Flange'!$A$8:$M$16,4,FALSE),
IF($A127&lt;CPVC!$A$105,VLOOKUP($A127,CPVC!$A$9:$M$104,4,FALSE),
IF($A127&lt;InsertFittings!$A$185,VLOOKUP($A127,InsertFittings!$A$9:$M$184,4,FALSE),
IF($A127&lt;Valves!$A$92,VLOOKUP($A127,Valves!$A$9:$Q$91,4,FALSE),
IF($A127&lt;SDR35SW!$A$133,VLOOKUP($A127,SDR35SW!$A$9:$M$132,4,FALSE),
IF($A127&lt;SDR35G!$A$151,VLOOKUP($A127,SDR35G!$A$9:$M$150,4,FALSE),
IF($A127&lt;SDR26G!$A$67,VLOOKUP($A127,SDR26G!$A$9:$N$66,5,FALSE),
IF($A127&lt;Cements!$A$95,VLOOKUP($A127,Cements!$A$8:$Q$94,4,FALSE),
IF($A127&lt;ValveBox!$A$124,VLOOKUP($A127,ValveBox!$A$9:$O$123,4,FALSE),
IF($A127&lt;'ValveBox Components'!$A$142,VLOOKUP($A127,'ValveBox Components'!$A$9:$N$141,4,FALSE),
IF($A127&lt;Drainage!$A$69,VLOOKUP($A127,Drainage!$A$8:$M$68,4,FALSE),
IF($A127&lt;Nipples!$A$82,VLOOKUP($A127,Nipples!$A$9:$Q$81,4,FALSE),
IF($A127&lt;Manifold!$A$33,VLOOKUP($A127,Manifold!$A$9:$M$32,4,FALSE),
IF($A127&lt;FlexibleRepairCouplings!$A$12,VLOOKUP($A127,FlexibleRepairCouplings!$A$9:$M$11,4,FALSE),
IF($A127&lt;DuraFix!$A$15,VLOOKUP($A127,DuraFix!$A$9:$M$14,4,FALSE),
IF($A127&lt;'Compression Fittings'!$A$16,VLOOKUP($A127,'Compression Fittings'!$A$8:$M$15,4,FALSE),
IF($A127&lt;'Hose Fittings'!$A$30,VLOOKUP($A127,'Hose Fittings'!$A$8:$M$29,4,FALSE),
IF($A127&lt;'Swing Joints'!$A$495,VLOOKUP($A127,'Swing Joints'!$A$9:$M$494,4,FALSE),
IF($A127&lt;'Swing Joints Components'!$A$135,VLOOKUP($A127,'Swing Joints Components'!$A$9:$M$134,4,FALSE),
IF($A127&lt;Nonstandard!$A$42,VLOOKUP($A127,Nonstandard!$A$31:$J$41,5,FALSE),"")))))))))))))))))))))))))))),"")</f>
        <v/>
      </c>
      <c r="C127" s="312" t="str">
        <f>IFERROR(IF($A127&lt;'DWV PVC'!$A$317,VLOOKUP($A127,'DWV PVC'!$A$9:$M$316,5,FALSE),
IF($A127&lt;'DWV ABS'!$A$117,VLOOKUP($A127,'DWV ABS'!$A$8:$M$116,5,FALSE),
IF($A127&lt;'PVC SCH40'!$A$425,VLOOKUP($A127,'PVC SCH40'!$A$8:$M$424,5,FALSE),
IF($A127&lt;'PVC SCH40 LD'!$A$22,VLOOKUP($A127,'PVC SCH40 LD'!$A$8:$M$21,5,FALSE),
IF($A127&lt;'Pool &amp; SPA Sweep Elbows'!$A$12,VLOOKUP($A127,'Pool &amp; SPA Sweep Elbows'!$A$8:$M$11,5,FALSE),
IF($A127&lt;'Pool &amp; SPA Pipe Extender'!$A$11,VLOOKUP($A127,'Pool &amp; SPA Pipe Extender'!$A$8:$M$10,5,FALSE),
IF($A127&lt;'PVC SCH80'!$A$250,VLOOKUP($A127,'PVC SCH80'!$A$8:$M$249,5,FALSE),
IF($A127&lt;'PVC SCH80 Flange'!$A$49,VLOOKUP($A127,'PVC SCH80 Flange'!$A$8:$M$48,5,FALSE),
IF($A127&lt;'PVC SCH80 LD Flange'!$A$17,VLOOKUP($A127,'PVC SCH80 LD Flange'!$A$8:$M$16,5,FALSE),
IF($A127&lt;CPVC!$A$105,VLOOKUP($A127,CPVC!$A$9:$M$104,5,FALSE),
IF($A127&lt;InsertFittings!$A$185,VLOOKUP($A127,InsertFittings!$A$9:$M$184,5,FALSE),
IF($A127&lt;Valves!$A$92,VLOOKUP($A127,Valves!$A$9:$Q$91,5,FALSE),
IF($A127&lt;SDR35SW!$A$133,VLOOKUP($A127,SDR35SW!$A$9:$M$132,5,FALSE),
IF($A127&lt;SDR35G!$A$151,VLOOKUP($A127,SDR35G!$A$9:$M$150,5,FALSE),
IF($A127&lt;SDR26G!$A$67,VLOOKUP($A127,SDR26G!$A$9:$N$66,6,FALSE),
IF($A127&lt;Cements!$A$95,VLOOKUP($A127,Cements!$A$8:$Q$94,5,FALSE),
IF($A127&lt;ValveBox!$A$124,VLOOKUP($A127,ValveBox!$A$9:$O$123,5,FALSE),
IF($A127&lt;'ValveBox Components'!$A$142,VLOOKUP($A127,'ValveBox Components'!$A$9:$N$141,5,FALSE),
IF($A127&lt;Drainage!$A$69,VLOOKUP($A127,Drainage!$A$8:$M$68,5,FALSE),
IF($A127&lt;Nipples!$A$82,VLOOKUP($A127,Nipples!$A$9:$Q$81,5,FALSE),
IF($A127&lt;Manifold!$A$33,VLOOKUP($A127,Manifold!$A$9:$M$32,5,FALSE),
IF($A127&lt;FlexibleRepairCouplings!$A$12,VLOOKUP($A127,FlexibleRepairCouplings!$A$9:$M$11,5,FALSE),
IF($A127&lt;DuraFix!$A$15,VLOOKUP($A127,DuraFix!$A$9:$M$14,5,FALSE),
IF($A127&lt;'Compression Fittings'!$A$16,VLOOKUP($A127,'Compression Fittings'!$A$8:$M$15,5,FALSE),
IF($A127&lt;'Hose Fittings'!$A$30,VLOOKUP($A127,'Hose Fittings'!$A$8:$M$29,5,FALSE),
IF($A127&lt;'Swing Joints'!$A$495,VLOOKUP($A127,'Swing Joints'!$A$9:$M$494,5,FALSE),
IF($A127&lt;'Swing Joints Components'!$A$135,VLOOKUP($A127,'Swing Joints Components'!$A$9:$M$134,5,FALSE),
IF($A127&lt;Nonstandard!$A$42,VLOOKUP($A127,Nonstandard!$A$31:$J$41,6,FALSE),"")))))))))))))))))))))))))))),"")</f>
        <v/>
      </c>
      <c r="D127" s="534" t="str">
        <f>IFERROR(IF($A127&lt;'DWV PVC'!$A$317,VLOOKUP($A127,'DWV PVC'!$A$9:$M$316,6,FALSE),
IF($A127&lt;'DWV ABS'!$A$117,VLOOKUP($A127,'DWV ABS'!$A$8:$M$116,6,FALSE),
IF($A127&lt;'PVC SCH40'!$A$425,VLOOKUP($A127,'PVC SCH40'!$A$8:$M$424,6,FALSE),
IF($A127&lt;'PVC SCH40 LD'!$A$22,VLOOKUP($A127,'PVC SCH40 LD'!$A$8:$M$21,6,FALSE),
IF($A127&lt;'Pool &amp; SPA Sweep Elbows'!$A$12,VLOOKUP($A127,'Pool &amp; SPA Sweep Elbows'!$A$8:$M$11,6,FALSE),
IF($A127&lt;'Pool &amp; SPA Pipe Extender'!$A$11,VLOOKUP($A127,'Pool &amp; SPA Pipe Extender'!$A$8:$M$10,6,FALSE),
IF($A127&lt;'PVC SCH80'!$A$250,VLOOKUP($A127,'PVC SCH80'!$A$8:$M$249,6,FALSE),
IF($A127&lt;'PVC SCH80 Flange'!$A$49,VLOOKUP($A127,'PVC SCH80 Flange'!$A$8:$M$48,6,FALSE),
IF($A127&lt;'PVC SCH80 LD Flange'!$A$17,VLOOKUP($A127,'PVC SCH80 LD Flange'!$A$8:$M$16,6,FALSE),
IF($A127&lt;CPVC!$A$105,VLOOKUP($A127,CPVC!$A$9:$M$104,6,FALSE),
IF($A127&lt;InsertFittings!$A$185,VLOOKUP($A127,InsertFittings!$A$9:$M$184,6,FALSE),
IF($A127&lt;Valves!$A$92,VLOOKUP($A127,Valves!$A$9:$Q$91,6,FALSE),
IF($A127&lt;SDR35SW!$A$133,VLOOKUP($A127,SDR35SW!$A$9:$M$132,6,FALSE),
IF($A127&lt;SDR35G!$A$151,VLOOKUP($A127,SDR35G!$A$9:$M$150,6,FALSE),
IF($A127&lt;SDR26G!$A$67,VLOOKUP($A127,SDR26G!$A$9:$N$66,7,FALSE),
IF($A127&lt;Cements!$A$95,VLOOKUP($A127,Cements!$A$8:$Q$94,6,FALSE),
IF($A127&lt;ValveBox!$A$124,VLOOKUP($A127,ValveBox!$A$9:$O$123,6,FALSE),
IF($A127&lt;'ValveBox Components'!$A$142,VLOOKUP($A127,'ValveBox Components'!$A$9:$N$141,6,FALSE),
IF($A127&lt;Drainage!$A$69,VLOOKUP($A127,Drainage!$A$8:$M$68,6,FALSE),
IF($A127&lt;Nipples!$A$82,VLOOKUP($A127,Nipples!$A$9:$Q$81,6,FALSE),
IF($A127&lt;Manifold!$A$33,VLOOKUP($A127,Manifold!$A$9:$M$32,6,FALSE),
IF($A127&lt;FlexibleRepairCouplings!$A$12,VLOOKUP($A127,FlexibleRepairCouplings!$A$9:$M$11,6,FALSE),
IF($A127&lt;DuraFix!$A$15,VLOOKUP($A127,DuraFix!$A$9:$M$14,6,FALSE),
IF($A127&lt;'Compression Fittings'!$A$16,VLOOKUP($A127,'Compression Fittings'!$A$8:$M$15,6,FALSE),
IF($A127&lt;'Hose Fittings'!$A$30,VLOOKUP($A127,'Hose Fittings'!$A$8:$M$29,6,FALSE),
IF($A127&lt;'Swing Joints'!$A$495,VLOOKUP($A127,'Swing Joints'!$A$9:$M$494,6,FALSE),
IF($A127&lt;'Swing Joints Components'!$A$135,VLOOKUP($A127,'Swing Joints Components'!$A$9:$M$134,6,FALSE),
IF($A127&lt;Nonstandard!$A$42,VLOOKUP($A127,Nonstandard!$A$31:$J$41,7,FALSE),"")))))))))))))))))))))))))))),"")</f>
        <v/>
      </c>
      <c r="E127" s="316"/>
      <c r="F127" s="314" t="str">
        <f>IFERROR(IF($A127&lt;'DWV PVC'!$A$317,VLOOKUP($A127,'DWV PVC'!$A$9:$M$316,9,FALSE),
IF($A127&lt;'DWV ABS'!$A$117,VLOOKUP($A127,'DWV ABS'!$A$8:$M$116,9,FALSE),                                                                                                                                                                                                                                                     IF($A127&lt;'PVC SCH40'!$A$425,VLOOKUP($A127,'PVC SCH40'!$A$8:$M$424,9,FALSE),
IF($A127&lt;'PVC SCH40 LD'!$A$22,VLOOKUP($A127,'PVC SCH40 LD'!$A$8:$M$21,9,FALSE),
IF($A127&lt;'Pool &amp; SPA Sweep Elbows'!$A$12,VLOOKUP($A127,'Pool &amp; SPA Sweep Elbows'!$A$8:$M$11,9,FALSE),
IF($A127&lt;'Pool &amp; SPA Pipe Extender'!$A$11,VLOOKUP($A127,'Pool &amp; SPA Pipe Extender'!$A$8:$M$10,9,FALSE),
IF($A127&lt;'PVC SCH80'!$A$250,VLOOKUP($A127,'PVC SCH80'!$A$8:$M$249,9,FALSE),
IF($A127&lt;'PVC SCH80 Flange'!$A$49,VLOOKUP($A127,'PVC SCH80 Flange'!$A$8:$M$48,9,FALSE),
IF($A127&lt;'PVC SCH80 LD Flange'!$A$17,VLOOKUP($A127,'PVC SCH80 LD Flange'!$A$8:$M$16,9,FALSE),
IF($A127&lt;CPVC!$A$105,VLOOKUP($A127,CPVC!$A$9:$M$104,9,FALSE),
IF($A127&lt;InsertFittings!$A$185,VLOOKUP($A127,InsertFittings!$A$9:$M$184,9,FALSE),
IF($A127&lt;Valves!$A$92,VLOOKUP($A127,Valves!$A$9:$Q$91,13,FALSE),
IF($A127&lt;SDR35SW!$A$133,VLOOKUP($A127,SDR35SW!$A$9:$M$132,9,FALSE),
IF($A127&lt;SDR35G!$A$151,VLOOKUP($A127,SDR35G!$A$9:$M$150,9,FALSE),                                                                                                                                                                                                                                                          IF($A127&lt;SDR26G!$A$67,VLOOKUP($A127,SDR26G!$A$9:$N$66,10,FALSE),                                                                                                                                                                                                                                                       IF($A127&lt;Cements!$A$95,VLOOKUP($A127,Cements!$A$8:$Q$94,13,FALSE),
IF($A127&lt;ValveBox!$A$124,VLOOKUP($A127,ValveBox!$A$9:$O$123,11,FALSE),
IF($A127&lt;'ValveBox Components'!$A$142,VLOOKUP($A127,'ValveBox Components'!$A$9:$N$141,10,FALSE),
IF($A127&lt;Drainage!$A$69,VLOOKUP($A127,Drainage!$A$8:$M$68,9,FALSE),                                                                                                                                                                                                                                                              IF($A127&lt;Nipples!$A$82,VLOOKUP($A127,Nipples!$A$9:$Q$81,13,FALSE),
IF($A127&lt;Manifold!$A$33,VLOOKUP($A127,Manifold!$A$9:$M$32,9,FALSE),
IF($A127&lt;FlexibleRepairCouplings!$A$12,VLOOKUP($A127,FlexibleRepairCouplings!$A$9:$M$11,9,FALSE),
IF($A127&lt;DuraFix!$A$15,VLOOKUP($A127,DuraFix!$A$9:$M$14,9,FALSE),                                                                                                                                                                                                                                                          IF($A127&lt;'Compression Fittings'!$A$16,VLOOKUP($A127,'Compression Fittings'!$A$8:$M$15,9,FALSE),
IF($A127&lt;'Hose Fittings'!$A$30,VLOOKUP($A127,'Hose Fittings'!$A$8:$M$29,9,FALSE),
IF($A127&lt;'Swing Joints'!$A$495,VLOOKUP($A127,'Swing Joints'!$A$9:$M$494,9,FALSE),
IF($A127&lt;'Swing Joints Components'!$A$135,VLOOKUP($A127,'Swing Joints Components'!$A$9:$M$134,9,FALSE),
IF($A127&lt;Nonstandard!$A$42,VLOOKUP($A127,Nonstandard!$A$31:$J$41,8,FALSE),"")))))))))))))))))))))))))))),"")</f>
        <v/>
      </c>
      <c r="G127" s="533" t="str">
        <f>IFERROR(IF($A127&lt;'DWV PVC'!$A$317,VLOOKUP($A127,'DWV PVC'!$A$9:$M$316,11,FALSE),
IF($A127&lt;'DWV ABS'!$A$117,VLOOKUP($A127,'DWV ABS'!$A$8:$M$116,11,FALSE),                                                                                                                                                                                                                                                     IF($A127&lt;'PVC SCH40'!$A$425,VLOOKUP($A127,'PVC SCH40'!$A$8:$M$424,11,FALSE),
IF($A127&lt;'PVC SCH40 LD'!$A$22,VLOOKUP($A127,'PVC SCH40 LD'!$A$8:$M$21,11,FALSE),
IF($A127&lt;'Pool &amp; SPA Sweep Elbows'!$A$12,VLOOKUP($A127,'Pool &amp; SPA Sweep Elbows'!$A$8:$M$11,11,FALSE),
IF($A127&lt;'Pool &amp; SPA Pipe Extender'!$A$11,VLOOKUP($A127,'Pool &amp; SPA Pipe Extender'!$A$8:$M$10,11,FALSE),
IF($A127&lt;'PVC SCH80'!$A$250,VLOOKUP($A127,'PVC SCH80'!$A$8:$M$249,11,FALSE),
IF($A127&lt;'PVC SCH80 Flange'!$A$49,VLOOKUP($A127,'PVC SCH80 Flange'!$A$8:$M$48,11,FALSE),
IF($A127&lt;'PVC SCH80 LD Flange'!$A$17,VLOOKUP($A127,'PVC SCH80 LD Flange'!$A$8:$M$16,11,FALSE),
IF($A127&lt;CPVC!$A$105,VLOOKUP($A127,CPVC!$A$9:$M$104,11,FALSE),
IF($A127&lt;InsertFittings!$A$185,VLOOKUP($A127,InsertFittings!$A$9:$M$184,11,FALSE),
IF($A127&lt;Valves!$A$92,VLOOKUP($A127,Valves!$A$9:$Q$91,15,FALSE),
IF($A127&lt;SDR35SW!$A$133,VLOOKUP($A127,SDR35SW!$A$9:$M$132,11,FALSE),
IF($A127&lt;SDR35G!$A$151,VLOOKUP($A127,SDR35G!$A$9:$M$150,11,FALSE),                                                                                                                                                                                                                                                          IF($A127&lt;SDR26G!$A$67,VLOOKUP($A127,SDR26G!$A$9:$N$66,12,FALSE),                                                                                                                                                                                                                                                       IF($A127&lt;Cements!$A$95,VLOOKUP($A127,Cements!$A$8:$Q$94,15,FALSE),
IF($A127&lt;ValveBox!$A$124,VLOOKUP($A127,ValveBox!$A$9:$O$123,13,FALSE),
IF($A127&lt;'ValveBox Components'!$A$142,VLOOKUP($A127,'ValveBox Components'!$A$9:$N$141,12,FALSE),
IF($A127&lt;Drainage!$A$69,VLOOKUP($A127,Drainage!$A$8:$M$68,11,FALSE),                                                                                                                                                                                                                                                           IF($A127&lt;Nipples!$A$82,VLOOKUP($A127,Nipples!$A$9:$Q$81,15,FALSE),
IF($A127&lt;Manifold!$A$33,VLOOKUP($A127,Manifold!$A$9:$M$32,11,FALSE),
IF($A127&lt;FlexibleRepairCouplings!$A$12,VLOOKUP($A127,FlexibleRepairCouplings!$A$9:$M$11,11,FALSE),
IF($A127&lt;DuraFix!$A$15,VLOOKUP($A127,DuraFix!$A$9:$M$14,11,FALSE),                                                                                                                                                                                                                                                            IF($A127&lt;'Compression Fittings'!$A$16,VLOOKUP($A127,'Compression Fittings'!$A$8:$M$15,11,FALSE),
IF($A127&lt;'Hose Fittings'!$A$30,VLOOKUP($A127,'Hose Fittings'!$A$8:$M$29,11,FALSE),
IF($A127&lt;'Swing Joints'!$A$495,VLOOKUP($A127,'Swing Joints'!$A$9:$M$494,11,FALSE),
IF($A127&lt;'Swing Joints Components'!$A$135,VLOOKUP($A127,'Swing Joints Components'!$A$9:$M$134,11,FALSE),
IF($A127&lt;Nonstandard!$A$42,VLOOKUP($A127,Nonstandard!$A$31:$J$41,10,FALSE),"")))))))))))))))))))))))))))),"")</f>
        <v/>
      </c>
      <c r="H127" s="618" t="str">
        <f>IFERROR(IF($A127&lt;'DWV PVC'!$A$317,VLOOKUP($A127,'DWV PVC'!$A$9:$M$316,7,FALSE),
IF($A127&lt;'DWV ABS'!$A$117,VLOOKUP($A127,'DWV ABS'!$A$8:$M$116,11,FALSE),                                                                                                                                                                                                                                                     IF($A127&lt;'PVC SCH40'!$A$425,VLOOKUP($A127,'PVC SCH40'!$A$8:$M$424,7,FALSE),
IF($A127&lt;'PVC SCH40 LD'!$A$22,VLOOKUP($A127,'PVC SCH40 LD'!$A$8:$M$21,7,FALSE),
IF($A127&lt;'Pool &amp; SPA Sweep Elbows'!$A$12,VLOOKUP($A127,'Pool &amp; SPA Sweep Elbows'!$A$8:$M$11,7,FALSE),
IF($A127&lt;'Pool &amp; SPA Pipe Extender'!$A$11,VLOOKUP($A127,'Pool &amp; SPA Pipe Extender'!$A$8:$M$10,7,FALSE),
IF($A127&lt;'PVC SCH80'!$A$250,VLOOKUP($A127,'PVC SCH80'!$A$8:$M$249,7,FALSE),
IF($A127&lt;'PVC SCH80 Flange'!$A$49,VLOOKUP($A127,'PVC SCH80 Flange'!$A$8:$M$48,7,FALSE),
IF($A127&lt;'PVC SCH80 LD Flange'!$A$17,VLOOKUP($A127,'PVC SCH80 LD Flange'!$A$8:$M$16,7,FALSE),
IF($A127&lt;CPVC!$A$105,VLOOKUP($A127,CPVC!$A$9:$M$104,7,FALSE),
IF($A127&lt;InsertFittings!$A$185,VLOOKUP($A127,InsertFittings!$A$9:$M$184,7,FALSE),
IF($A127&lt;Valves!$A$92,VLOOKUP($A127,Valves!$A$9:$Q$91,11,FALSE),
IF($A127&lt;SDR35SW!$A$133,VLOOKUP($A127,SDR35SW!$A$9:$M$132,7,FALSE),
IF($A127&lt;SDR35G!$A$151,VLOOKUP($A127,SDR35G!$A$9:$M$150,7,FALSE),                                                                                                                                                                                                                                                       IF($A127&lt;SDR26G!$A$67,VLOOKUP($A127,SDR26G!$A$9:$N$66,8,FALSE),                                                                                                                                                                                                                                                     IF($A127&lt;Cements!$A$95,VLOOKUP($A127,Cements!$A$8:$Q$94,11,FALSE),
IF($A127&lt;ValveBox!$A$124,VLOOKUP($A127,ValveBox!$A$9:$O$123,10,FALSE),
IF($A127&lt;'ValveBox Components'!$A$142,VLOOKUP($A127,'ValveBox Components'!$A$9:$N$141,9,FALSE),
IF($A127&lt;Drainage!$A$69,VLOOKUP($A127,Drainage!$A$8:$M$68,7,FALSE),                                                                                                                                                                                                                                                          IF($A127&lt;Nipples!$A$82,VLOOKUP($A127,Nipples!$A$9:$Q$81,11,FALSE),
IF($A127&lt;Manifold!$A$33,VLOOKUP($A127,Manifold!$A$9:$M$32,7,FALSE),
IF($A127&lt;FlexibleRepairCouplings!$A$12,VLOOKUP($A127,FlexibleRepairCouplings!$A$9:$M$11,7,FALSE),
IF($A127&lt;DuraFix!$A$15,VLOOKUP($A127,DuraFix!$A$9:$M$14,7,FALSE),                                                                                                                                                                                                                                                           IF($A127&lt;'Compression Fittings'!$A$16,VLOOKUP($A127,'Compression Fittings'!$A$8:$M$15,7,FALSE),
IF($A127&lt;'Hose Fittings'!$A$30,VLOOKUP($A127,'Hose Fittings'!$A$8:$M$29,7,FALSE),
IF($A127&lt;'Swing Joints'!$A$495,VLOOKUP($A127,'Swing Joints'!$A$9:$M$494,7,FALSE),
IF($A127&lt;'Swing Joints Components'!$A$135,VLOOKUP($A127,'Swing Joints Components'!$A$9:$M$134,7,FALSE),
IF($A127&lt;Nonstandard!$A$42,VLOOKUP($A127,Nonstandard!$A$31:$J$41,10,FALSE),"")))))))))))))))))))))))))))),"")</f>
        <v/>
      </c>
      <c r="I127" s="619"/>
      <c r="J127" s="281" t="str">
        <f t="shared" si="3"/>
        <v/>
      </c>
      <c r="K127" s="313" t="str">
        <f>IFERROR(IF($A127&lt;'DWV PVC'!$A$317,VLOOKUP($A127,'DWV PVC'!$A$9:$M$316,10,FALSE),
IF($A127&lt;'DWV ABS'!$A$117,VLOOKUP($A127,'DWV ABS'!$A$8:$M$116,10,FALSE),
IF($A127&lt;'PVC SCH40'!$A$425,VLOOKUP($A127,'PVC SCH40'!$A$8:$M$424,10,FALSE),
IF($A127&lt;'PVC SCH40 LD'!$A$22,VLOOKUP($A127,'PVC SCH40 LD'!$A$8:$M$21,10,FALSE),
IF($A127&lt;'Pool &amp; SPA Sweep Elbows'!$A$12,VLOOKUP($A127,'Pool &amp; SPA Sweep Elbows'!$A$8:$M$11,10,FALSE),
IF($A127&lt;'Pool &amp; SPA Pipe Extender'!$A$11,VLOOKUP($A127,'Pool &amp; SPA Pipe Extender'!$A$8:$M$10,10,FALSE),
IF($A127&lt;'PVC SCH80'!$A$250,VLOOKUP($A127,'PVC SCH80'!$A$8:$M$249,10,FALSE),
IF($A127&lt;'PVC SCH80 Flange'!$A$49,VLOOKUP($A127,'PVC SCH80 Flange'!$A$8:$M$48,10,FALSE),
IF($A127&lt;'PVC SCH80 LD Flange'!$A$17,VLOOKUP($A127,'PVC SCH80 LD Flange'!$A$8:$M$16,10,FALSE),
IF($A127&lt;CPVC!$A$105,VLOOKUP($A127,CPVC!$A$9:$M$104,10,FALSE),
IF($A127&lt;InsertFittings!$A$185,VLOOKUP($A127,InsertFittings!$A$9:$M$184,10,FALSE),
IF($A127&lt;Valves!$A$92,VLOOKUP($A127,Valves!$A$9:$Q$91,14,FALSE),
IF($A127&lt;SDR35SW!$A$133,VLOOKUP($A127,SDR35SW!$A$9:$M$132,10,FALSE),
IF($A127&lt;SDR35G!$A$151,VLOOKUP($A127,SDR35G!$A$9:$M$150,10,FALSE),
IF($A127&lt;SDR26G!$A$67,VLOOKUP($A127,SDR26G!$A$9:$N$66,11,FALSE),
IF($A127&lt;Cements!$A$95,VLOOKUP($A127,Cements!$A$8:$Q$94,14,FALSE),
IF($A127&lt;ValveBox!$A$124,VLOOKUP($A127,ValveBox!$A$9:$O$123,12,FALSE),
IF($A127&lt;'ValveBox Components'!$A$142,VLOOKUP($A127,'ValveBox Components'!$A$9:$N$141,11,FALSE),
IF($A127&lt;Drainage!$A$69,VLOOKUP($A127,Drainage!$A$8:$M$68,10,FALSE),
IF($A127&lt;Nipples!$A$82,VLOOKUP($A127,Nipples!$A$9:$Q$81,14,FALSE),
IF($A127&lt;Manifold!$A$33,VLOOKUP($A127,Manifold!$A$9:$M$32,10,FALSE),
IF($A127&lt;FlexibleRepairCouplings!$A$12,VLOOKUP($A127,FlexibleRepairCouplings!$A$9:$M$11,10,FALSE),
IF($A127&lt;DuraFix!$A$15,VLOOKUP($A127,DuraFix!$A$9:$M$14,10,FALSE),
IF($A127&lt;'Compression Fittings'!$A$16,VLOOKUP($A127,'Compression Fittings'!$A$8:$M$15,10,FALSE),
IF($A127&lt;'Hose Fittings'!$A$30,VLOOKUP($A127,'Hose Fittings'!$A$8:$M$29,10,FALSE),
IF($A127&lt;'Swing Joints'!$A$495,VLOOKUP($A127,'Swing Joints'!$A$9:$M$494,10,FALSE),
IF($A127&lt;'Swing Joints Components'!$A$135,VLOOKUP($A127,'Swing Joints Components'!$A$9:$M$134,10,FALSE),
IF($A127&lt;Nonstandard!$A$42,VLOOKUP($A127,Nonstandard!$A$31:$J$41,10,FALSE),"")))))))))))))))))))))))))))),"")</f>
        <v/>
      </c>
      <c r="L127" s="314" t="str">
        <f t="shared" si="2"/>
        <v>-</v>
      </c>
      <c r="M127" s="315"/>
    </row>
    <row r="128" spans="1:13" ht="15.6">
      <c r="A128" s="536">
        <v>96</v>
      </c>
      <c r="B128" s="536" t="str">
        <f>IFERROR(IF($A128&lt;'DWV PVC'!$A$317,VLOOKUP($A128,'DWV PVC'!$A$9:$M$316,4,FALSE),
IF($A128&lt;'DWV ABS'!$A$117,VLOOKUP($A128,'DWV ABS'!$A$8:$M$116,4,FALSE),
IF($A128&lt;'PVC SCH40'!$A$425,VLOOKUP($A128,'PVC SCH40'!$A$8:$M$424,4,FALSE),
IF($A128&lt;'PVC SCH40 LD'!$A$22,VLOOKUP($A128,'PVC SCH40 LD'!$A$8:$M$21,4,FALSE),
IF($A128&lt;'Pool &amp; SPA Sweep Elbows'!$A$12,VLOOKUP($A128,'Pool &amp; SPA Sweep Elbows'!$A$8:$M$11,4,FALSE),
IF($A128&lt;'Pool &amp; SPA Pipe Extender'!$A$11,VLOOKUP($A128,'Pool &amp; SPA Pipe Extender'!$A$8:$M$10,4,FALSE),
IF($A128&lt;'PVC SCH80'!$A$250,VLOOKUP($A128,'PVC SCH80'!$A$8:$M$249,4,FALSE),
IF($A128&lt;'PVC SCH80 Flange'!$A$49,VLOOKUP($A128,'PVC SCH80 Flange'!$A$8:$M$48,4,FALSE),
IF($A128&lt;'PVC SCH80 LD Flange'!$A$17,VLOOKUP($A128,'PVC SCH80 LD Flange'!$A$8:$M$16,4,FALSE),
IF($A128&lt;CPVC!$A$105,VLOOKUP($A128,CPVC!$A$9:$M$104,4,FALSE),
IF($A128&lt;InsertFittings!$A$185,VLOOKUP($A128,InsertFittings!$A$9:$M$184,4,FALSE),
IF($A128&lt;Valves!$A$92,VLOOKUP($A128,Valves!$A$9:$Q$91,4,FALSE),
IF($A128&lt;SDR35SW!$A$133,VLOOKUP($A128,SDR35SW!$A$9:$M$132,4,FALSE),
IF($A128&lt;SDR35G!$A$151,VLOOKUP($A128,SDR35G!$A$9:$M$150,4,FALSE),
IF($A128&lt;SDR26G!$A$67,VLOOKUP($A128,SDR26G!$A$9:$N$66,5,FALSE),
IF($A128&lt;Cements!$A$95,VLOOKUP($A128,Cements!$A$8:$Q$94,4,FALSE),
IF($A128&lt;ValveBox!$A$124,VLOOKUP($A128,ValveBox!$A$9:$O$123,4,FALSE),
IF($A128&lt;'ValveBox Components'!$A$142,VLOOKUP($A128,'ValveBox Components'!$A$9:$N$141,4,FALSE),
IF($A128&lt;Drainage!$A$69,VLOOKUP($A128,Drainage!$A$8:$M$68,4,FALSE),
IF($A128&lt;Nipples!$A$82,VLOOKUP($A128,Nipples!$A$9:$Q$81,4,FALSE),
IF($A128&lt;Manifold!$A$33,VLOOKUP($A128,Manifold!$A$9:$M$32,4,FALSE),
IF($A128&lt;FlexibleRepairCouplings!$A$12,VLOOKUP($A128,FlexibleRepairCouplings!$A$9:$M$11,4,FALSE),
IF($A128&lt;DuraFix!$A$15,VLOOKUP($A128,DuraFix!$A$9:$M$14,4,FALSE),
IF($A128&lt;'Compression Fittings'!$A$16,VLOOKUP($A128,'Compression Fittings'!$A$8:$M$15,4,FALSE),
IF($A128&lt;'Hose Fittings'!$A$30,VLOOKUP($A128,'Hose Fittings'!$A$8:$M$29,4,FALSE),
IF($A128&lt;'Swing Joints'!$A$495,VLOOKUP($A128,'Swing Joints'!$A$9:$M$494,4,FALSE),
IF($A128&lt;'Swing Joints Components'!$A$135,VLOOKUP($A128,'Swing Joints Components'!$A$9:$M$134,4,FALSE),
IF($A128&lt;Nonstandard!$A$42,VLOOKUP($A128,Nonstandard!$A$31:$J$41,5,FALSE),"")))))))))))))))))))))))))))),"")</f>
        <v/>
      </c>
      <c r="C128" s="536" t="str">
        <f>IFERROR(IF($A128&lt;'DWV PVC'!$A$317,VLOOKUP($A128,'DWV PVC'!$A$9:$M$316,5,FALSE),
IF($A128&lt;'DWV ABS'!$A$117,VLOOKUP($A128,'DWV ABS'!$A$8:$M$116,5,FALSE),
IF($A128&lt;'PVC SCH40'!$A$425,VLOOKUP($A128,'PVC SCH40'!$A$8:$M$424,5,FALSE),
IF($A128&lt;'PVC SCH40 LD'!$A$22,VLOOKUP($A128,'PVC SCH40 LD'!$A$8:$M$21,5,FALSE),
IF($A128&lt;'Pool &amp; SPA Sweep Elbows'!$A$12,VLOOKUP($A128,'Pool &amp; SPA Sweep Elbows'!$A$8:$M$11,5,FALSE),
IF($A128&lt;'Pool &amp; SPA Pipe Extender'!$A$11,VLOOKUP($A128,'Pool &amp; SPA Pipe Extender'!$A$8:$M$10,5,FALSE),
IF($A128&lt;'PVC SCH80'!$A$250,VLOOKUP($A128,'PVC SCH80'!$A$8:$M$249,5,FALSE),
IF($A128&lt;'PVC SCH80 Flange'!$A$49,VLOOKUP($A128,'PVC SCH80 Flange'!$A$8:$M$48,5,FALSE),
IF($A128&lt;'PVC SCH80 LD Flange'!$A$17,VLOOKUP($A128,'PVC SCH80 LD Flange'!$A$8:$M$16,5,FALSE),
IF($A128&lt;CPVC!$A$105,VLOOKUP($A128,CPVC!$A$9:$M$104,5,FALSE),
IF($A128&lt;InsertFittings!$A$185,VLOOKUP($A128,InsertFittings!$A$9:$M$184,5,FALSE),
IF($A128&lt;Valves!$A$92,VLOOKUP($A128,Valves!$A$9:$Q$91,5,FALSE),
IF($A128&lt;SDR35SW!$A$133,VLOOKUP($A128,SDR35SW!$A$9:$M$132,5,FALSE),
IF($A128&lt;SDR35G!$A$151,VLOOKUP($A128,SDR35G!$A$9:$M$150,5,FALSE),
IF($A128&lt;SDR26G!$A$67,VLOOKUP($A128,SDR26G!$A$9:$N$66,6,FALSE),
IF($A128&lt;Cements!$A$95,VLOOKUP($A128,Cements!$A$8:$Q$94,5,FALSE),
IF($A128&lt;ValveBox!$A$124,VLOOKUP($A128,ValveBox!$A$9:$O$123,5,FALSE),
IF($A128&lt;'ValveBox Components'!$A$142,VLOOKUP($A128,'ValveBox Components'!$A$9:$N$141,5,FALSE),
IF($A128&lt;Drainage!$A$69,VLOOKUP($A128,Drainage!$A$8:$M$68,5,FALSE),
IF($A128&lt;Nipples!$A$82,VLOOKUP($A128,Nipples!$A$9:$Q$81,5,FALSE),
IF($A128&lt;Manifold!$A$33,VLOOKUP($A128,Manifold!$A$9:$M$32,5,FALSE),
IF($A128&lt;FlexibleRepairCouplings!$A$12,VLOOKUP($A128,FlexibleRepairCouplings!$A$9:$M$11,5,FALSE),
IF($A128&lt;DuraFix!$A$15,VLOOKUP($A128,DuraFix!$A$9:$M$14,5,FALSE),
IF($A128&lt;'Compression Fittings'!$A$16,VLOOKUP($A128,'Compression Fittings'!$A$8:$M$15,5,FALSE),
IF($A128&lt;'Hose Fittings'!$A$30,VLOOKUP($A128,'Hose Fittings'!$A$8:$M$29,5,FALSE),
IF($A128&lt;'Swing Joints'!$A$495,VLOOKUP($A128,'Swing Joints'!$A$9:$M$494,5,FALSE),
IF($A128&lt;'Swing Joints Components'!$A$135,VLOOKUP($A128,'Swing Joints Components'!$A$9:$M$134,5,FALSE),
IF($A128&lt;Nonstandard!$A$42,VLOOKUP($A128,Nonstandard!$A$31:$J$41,6,FALSE),"")))))))))))))))))))))))))))),"")</f>
        <v/>
      </c>
      <c r="D128" s="537" t="str">
        <f>IFERROR(IF($A128&lt;'DWV PVC'!$A$317,VLOOKUP($A128,'DWV PVC'!$A$9:$M$316,6,FALSE),
IF($A128&lt;'DWV ABS'!$A$117,VLOOKUP($A128,'DWV ABS'!$A$8:$M$116,6,FALSE),
IF($A128&lt;'PVC SCH40'!$A$425,VLOOKUP($A128,'PVC SCH40'!$A$8:$M$424,6,FALSE),
IF($A128&lt;'PVC SCH40 LD'!$A$22,VLOOKUP($A128,'PVC SCH40 LD'!$A$8:$M$21,6,FALSE),
IF($A128&lt;'Pool &amp; SPA Sweep Elbows'!$A$12,VLOOKUP($A128,'Pool &amp; SPA Sweep Elbows'!$A$8:$M$11,6,FALSE),
IF($A128&lt;'Pool &amp; SPA Pipe Extender'!$A$11,VLOOKUP($A128,'Pool &amp; SPA Pipe Extender'!$A$8:$M$10,6,FALSE),
IF($A128&lt;'PVC SCH80'!$A$250,VLOOKUP($A128,'PVC SCH80'!$A$8:$M$249,6,FALSE),
IF($A128&lt;'PVC SCH80 Flange'!$A$49,VLOOKUP($A128,'PVC SCH80 Flange'!$A$8:$M$48,6,FALSE),
IF($A128&lt;'PVC SCH80 LD Flange'!$A$17,VLOOKUP($A128,'PVC SCH80 LD Flange'!$A$8:$M$16,6,FALSE),
IF($A128&lt;CPVC!$A$105,VLOOKUP($A128,CPVC!$A$9:$M$104,6,FALSE),
IF($A128&lt;InsertFittings!$A$185,VLOOKUP($A128,InsertFittings!$A$9:$M$184,6,FALSE),
IF($A128&lt;Valves!$A$92,VLOOKUP($A128,Valves!$A$9:$Q$91,6,FALSE),
IF($A128&lt;SDR35SW!$A$133,VLOOKUP($A128,SDR35SW!$A$9:$M$132,6,FALSE),
IF($A128&lt;SDR35G!$A$151,VLOOKUP($A128,SDR35G!$A$9:$M$150,6,FALSE),
IF($A128&lt;SDR26G!$A$67,VLOOKUP($A128,SDR26G!$A$9:$N$66,7,FALSE),
IF($A128&lt;Cements!$A$95,VLOOKUP($A128,Cements!$A$8:$Q$94,6,FALSE),
IF($A128&lt;ValveBox!$A$124,VLOOKUP($A128,ValveBox!$A$9:$O$123,6,FALSE),
IF($A128&lt;'ValveBox Components'!$A$142,VLOOKUP($A128,'ValveBox Components'!$A$9:$N$141,6,FALSE),
IF($A128&lt;Drainage!$A$69,VLOOKUP($A128,Drainage!$A$8:$M$68,6,FALSE),
IF($A128&lt;Nipples!$A$82,VLOOKUP($A128,Nipples!$A$9:$Q$81,6,FALSE),
IF($A128&lt;Manifold!$A$33,VLOOKUP($A128,Manifold!$A$9:$M$32,6,FALSE),
IF($A128&lt;FlexibleRepairCouplings!$A$12,VLOOKUP($A128,FlexibleRepairCouplings!$A$9:$M$11,6,FALSE),
IF($A128&lt;DuraFix!$A$15,VLOOKUP($A128,DuraFix!$A$9:$M$14,6,FALSE),
IF($A128&lt;'Compression Fittings'!$A$16,VLOOKUP($A128,'Compression Fittings'!$A$8:$M$15,6,FALSE),
IF($A128&lt;'Hose Fittings'!$A$30,VLOOKUP($A128,'Hose Fittings'!$A$8:$M$29,6,FALSE),
IF($A128&lt;'Swing Joints'!$A$495,VLOOKUP($A128,'Swing Joints'!$A$9:$M$494,6,FALSE),
IF($A128&lt;'Swing Joints Components'!$A$135,VLOOKUP($A128,'Swing Joints Components'!$A$9:$M$134,6,FALSE),
IF($A128&lt;Nonstandard!$A$42,VLOOKUP($A128,Nonstandard!$A$31:$J$41,7,FALSE),"")))))))))))))))))))))))))))),"")</f>
        <v/>
      </c>
      <c r="E128" s="538"/>
      <c r="F128" s="539" t="str">
        <f>IFERROR(IF($A128&lt;'DWV PVC'!$A$317,VLOOKUP($A128,'DWV PVC'!$A$9:$M$316,9,FALSE),
IF($A128&lt;'DWV ABS'!$A$117,VLOOKUP($A128,'DWV ABS'!$A$8:$M$116,9,FALSE),                                                                                                                                                                                                                                                     IF($A128&lt;'PVC SCH40'!$A$425,VLOOKUP($A128,'PVC SCH40'!$A$8:$M$424,9,FALSE),
IF($A128&lt;'PVC SCH40 LD'!$A$22,VLOOKUP($A128,'PVC SCH40 LD'!$A$8:$M$21,9,FALSE),
IF($A128&lt;'Pool &amp; SPA Sweep Elbows'!$A$12,VLOOKUP($A128,'Pool &amp; SPA Sweep Elbows'!$A$8:$M$11,9,FALSE),
IF($A128&lt;'Pool &amp; SPA Pipe Extender'!$A$11,VLOOKUP($A128,'Pool &amp; SPA Pipe Extender'!$A$8:$M$10,9,FALSE),
IF($A128&lt;'PVC SCH80'!$A$250,VLOOKUP($A128,'PVC SCH80'!$A$8:$M$249,9,FALSE),
IF($A128&lt;'PVC SCH80 Flange'!$A$49,VLOOKUP($A128,'PVC SCH80 Flange'!$A$8:$M$48,9,FALSE),
IF($A128&lt;'PVC SCH80 LD Flange'!$A$17,VLOOKUP($A128,'PVC SCH80 LD Flange'!$A$8:$M$16,9,FALSE),
IF($A128&lt;CPVC!$A$105,VLOOKUP($A128,CPVC!$A$9:$M$104,9,FALSE),
IF($A128&lt;InsertFittings!$A$185,VLOOKUP($A128,InsertFittings!$A$9:$M$184,9,FALSE),
IF($A128&lt;Valves!$A$92,VLOOKUP($A128,Valves!$A$9:$Q$91,13,FALSE),
IF($A128&lt;SDR35SW!$A$133,VLOOKUP($A128,SDR35SW!$A$9:$M$132,9,FALSE),
IF($A128&lt;SDR35G!$A$151,VLOOKUP($A128,SDR35G!$A$9:$M$150,9,FALSE),                                                                                                                                                                                                                                                          IF($A128&lt;SDR26G!$A$67,VLOOKUP($A128,SDR26G!$A$9:$N$66,10,FALSE),                                                                                                                                                                                                                                                       IF($A128&lt;Cements!$A$95,VLOOKUP($A128,Cements!$A$8:$Q$94,13,FALSE),
IF($A128&lt;ValveBox!$A$124,VLOOKUP($A128,ValveBox!$A$9:$O$123,11,FALSE),
IF($A128&lt;'ValveBox Components'!$A$142,VLOOKUP($A128,'ValveBox Components'!$A$9:$N$141,10,FALSE),
IF($A128&lt;Drainage!$A$69,VLOOKUP($A128,Drainage!$A$8:$M$68,9,FALSE),                                                                                                                                                                                                                                                              IF($A128&lt;Nipples!$A$82,VLOOKUP($A128,Nipples!$A$9:$Q$81,13,FALSE),
IF($A128&lt;Manifold!$A$33,VLOOKUP($A128,Manifold!$A$9:$M$32,9,FALSE),
IF($A128&lt;FlexibleRepairCouplings!$A$12,VLOOKUP($A128,FlexibleRepairCouplings!$A$9:$M$11,9,FALSE),
IF($A128&lt;DuraFix!$A$15,VLOOKUP($A128,DuraFix!$A$9:$M$14,9,FALSE),                                                                                                                                                                                                                                                          IF($A128&lt;'Compression Fittings'!$A$16,VLOOKUP($A128,'Compression Fittings'!$A$8:$M$15,9,FALSE),
IF($A128&lt;'Hose Fittings'!$A$30,VLOOKUP($A128,'Hose Fittings'!$A$8:$M$29,9,FALSE),
IF($A128&lt;'Swing Joints'!$A$495,VLOOKUP($A128,'Swing Joints'!$A$9:$M$494,9,FALSE),
IF($A128&lt;'Swing Joints Components'!$A$135,VLOOKUP($A128,'Swing Joints Components'!$A$9:$M$134,9,FALSE),
IF($A128&lt;Nonstandard!$A$42,VLOOKUP($A128,Nonstandard!$A$31:$J$41,8,FALSE),"")))))))))))))))))))))))))))),"")</f>
        <v/>
      </c>
      <c r="G128" s="540" t="str">
        <f>IFERROR(IF($A128&lt;'DWV PVC'!$A$317,VLOOKUP($A128,'DWV PVC'!$A$9:$M$316,11,FALSE),
IF($A128&lt;'DWV ABS'!$A$117,VLOOKUP($A128,'DWV ABS'!$A$8:$M$116,11,FALSE),                                                                                                                                                                                                                                                     IF($A128&lt;'PVC SCH40'!$A$425,VLOOKUP($A128,'PVC SCH40'!$A$8:$M$424,11,FALSE),
IF($A128&lt;'PVC SCH40 LD'!$A$22,VLOOKUP($A128,'PVC SCH40 LD'!$A$8:$M$21,11,FALSE),
IF($A128&lt;'Pool &amp; SPA Sweep Elbows'!$A$12,VLOOKUP($A128,'Pool &amp; SPA Sweep Elbows'!$A$8:$M$11,11,FALSE),
IF($A128&lt;'Pool &amp; SPA Pipe Extender'!$A$11,VLOOKUP($A128,'Pool &amp; SPA Pipe Extender'!$A$8:$M$10,11,FALSE),
IF($A128&lt;'PVC SCH80'!$A$250,VLOOKUP($A128,'PVC SCH80'!$A$8:$M$249,11,FALSE),
IF($A128&lt;'PVC SCH80 Flange'!$A$49,VLOOKUP($A128,'PVC SCH80 Flange'!$A$8:$M$48,11,FALSE),
IF($A128&lt;'PVC SCH80 LD Flange'!$A$17,VLOOKUP($A128,'PVC SCH80 LD Flange'!$A$8:$M$16,11,FALSE),
IF($A128&lt;CPVC!$A$105,VLOOKUP($A128,CPVC!$A$9:$M$104,11,FALSE),
IF($A128&lt;InsertFittings!$A$185,VLOOKUP($A128,InsertFittings!$A$9:$M$184,11,FALSE),
IF($A128&lt;Valves!$A$92,VLOOKUP($A128,Valves!$A$9:$Q$91,15,FALSE),
IF($A128&lt;SDR35SW!$A$133,VLOOKUP($A128,SDR35SW!$A$9:$M$132,11,FALSE),
IF($A128&lt;SDR35G!$A$151,VLOOKUP($A128,SDR35G!$A$9:$M$150,11,FALSE),                                                                                                                                                                                                                                                          IF($A128&lt;SDR26G!$A$67,VLOOKUP($A128,SDR26G!$A$9:$N$66,12,FALSE),                                                                                                                                                                                                                                                       IF($A128&lt;Cements!$A$95,VLOOKUP($A128,Cements!$A$8:$Q$94,15,FALSE),
IF($A128&lt;ValveBox!$A$124,VLOOKUP($A128,ValveBox!$A$9:$O$123,13,FALSE),
IF($A128&lt;'ValveBox Components'!$A$142,VLOOKUP($A128,'ValveBox Components'!$A$9:$N$141,12,FALSE),
IF($A128&lt;Drainage!$A$69,VLOOKUP($A128,Drainage!$A$8:$M$68,11,FALSE),                                                                                                                                                                                                                                                           IF($A128&lt;Nipples!$A$82,VLOOKUP($A128,Nipples!$A$9:$Q$81,15,FALSE),
IF($A128&lt;Manifold!$A$33,VLOOKUP($A128,Manifold!$A$9:$M$32,11,FALSE),
IF($A128&lt;FlexibleRepairCouplings!$A$12,VLOOKUP($A128,FlexibleRepairCouplings!$A$9:$M$11,11,FALSE),
IF($A128&lt;DuraFix!$A$15,VLOOKUP($A128,DuraFix!$A$9:$M$14,11,FALSE),                                                                                                                                                                                                                                                            IF($A128&lt;'Compression Fittings'!$A$16,VLOOKUP($A128,'Compression Fittings'!$A$8:$M$15,11,FALSE),
IF($A128&lt;'Hose Fittings'!$A$30,VLOOKUP($A128,'Hose Fittings'!$A$8:$M$29,11,FALSE),
IF($A128&lt;'Swing Joints'!$A$495,VLOOKUP($A128,'Swing Joints'!$A$9:$M$494,11,FALSE),
IF($A128&lt;'Swing Joints Components'!$A$135,VLOOKUP($A128,'Swing Joints Components'!$A$9:$M$134,11,FALSE),
IF($A128&lt;Nonstandard!$A$42,VLOOKUP($A128,Nonstandard!$A$31:$J$41,10,FALSE),"")))))))))))))))))))))))))))),"")</f>
        <v/>
      </c>
      <c r="H128" s="620" t="str">
        <f>IFERROR(IF($A128&lt;'DWV PVC'!$A$317,VLOOKUP($A128,'DWV PVC'!$A$9:$M$316,7,FALSE),
IF($A128&lt;'DWV ABS'!$A$117,VLOOKUP($A128,'DWV ABS'!$A$8:$M$116,11,FALSE),                                                                                                                                                                                                                                                     IF($A128&lt;'PVC SCH40'!$A$425,VLOOKUP($A128,'PVC SCH40'!$A$8:$M$424,7,FALSE),
IF($A128&lt;'PVC SCH40 LD'!$A$22,VLOOKUP($A128,'PVC SCH40 LD'!$A$8:$M$21,7,FALSE),
IF($A128&lt;'Pool &amp; SPA Sweep Elbows'!$A$12,VLOOKUP($A128,'Pool &amp; SPA Sweep Elbows'!$A$8:$M$11,7,FALSE),
IF($A128&lt;'Pool &amp; SPA Pipe Extender'!$A$11,VLOOKUP($A128,'Pool &amp; SPA Pipe Extender'!$A$8:$M$10,7,FALSE),
IF($A128&lt;'PVC SCH80'!$A$250,VLOOKUP($A128,'PVC SCH80'!$A$8:$M$249,7,FALSE),
IF($A128&lt;'PVC SCH80 Flange'!$A$49,VLOOKUP($A128,'PVC SCH80 Flange'!$A$8:$M$48,7,FALSE),
IF($A128&lt;'PVC SCH80 LD Flange'!$A$17,VLOOKUP($A128,'PVC SCH80 LD Flange'!$A$8:$M$16,7,FALSE),
IF($A128&lt;CPVC!$A$105,VLOOKUP($A128,CPVC!$A$9:$M$104,7,FALSE),
IF($A128&lt;InsertFittings!$A$185,VLOOKUP($A128,InsertFittings!$A$9:$M$184,7,FALSE),
IF($A128&lt;Valves!$A$92,VLOOKUP($A128,Valves!$A$9:$Q$91,11,FALSE),
IF($A128&lt;SDR35SW!$A$133,VLOOKUP($A128,SDR35SW!$A$9:$M$132,7,FALSE),
IF($A128&lt;SDR35G!$A$151,VLOOKUP($A128,SDR35G!$A$9:$M$150,7,FALSE),                                                                                                                                                                                                                                                       IF($A128&lt;SDR26G!$A$67,VLOOKUP($A128,SDR26G!$A$9:$N$66,8,FALSE),                                                                                                                                                                                                                                                     IF($A128&lt;Cements!$A$95,VLOOKUP($A128,Cements!$A$8:$Q$94,11,FALSE),
IF($A128&lt;ValveBox!$A$124,VLOOKUP($A128,ValveBox!$A$9:$O$123,10,FALSE),
IF($A128&lt;'ValveBox Components'!$A$142,VLOOKUP($A128,'ValveBox Components'!$A$9:$N$141,9,FALSE),
IF($A128&lt;Drainage!$A$69,VLOOKUP($A128,Drainage!$A$8:$M$68,7,FALSE),                                                                                                                                                                                                                                                          IF($A128&lt;Nipples!$A$82,VLOOKUP($A128,Nipples!$A$9:$Q$81,11,FALSE),
IF($A128&lt;Manifold!$A$33,VLOOKUP($A128,Manifold!$A$9:$M$32,7,FALSE),
IF($A128&lt;FlexibleRepairCouplings!$A$12,VLOOKUP($A128,FlexibleRepairCouplings!$A$9:$M$11,7,FALSE),
IF($A128&lt;DuraFix!$A$15,VLOOKUP($A128,DuraFix!$A$9:$M$14,7,FALSE),                                                                                                                                                                                                                                                           IF($A128&lt;'Compression Fittings'!$A$16,VLOOKUP($A128,'Compression Fittings'!$A$8:$M$15,7,FALSE),
IF($A128&lt;'Hose Fittings'!$A$30,VLOOKUP($A128,'Hose Fittings'!$A$8:$M$29,7,FALSE),
IF($A128&lt;'Swing Joints'!$A$495,VLOOKUP($A128,'Swing Joints'!$A$9:$M$494,7,FALSE),
IF($A128&lt;'Swing Joints Components'!$A$135,VLOOKUP($A128,'Swing Joints Components'!$A$9:$M$134,7,FALSE),
IF($A128&lt;Nonstandard!$A$42,VLOOKUP($A128,Nonstandard!$A$31:$J$41,10,FALSE),"")))))))))))))))))))))))))))),"")</f>
        <v/>
      </c>
      <c r="I128" s="621"/>
      <c r="J128" s="541" t="str">
        <f t="shared" si="3"/>
        <v/>
      </c>
      <c r="K128" s="599" t="str">
        <f>IFERROR(IF($A128&lt;'DWV PVC'!$A$317,VLOOKUP($A128,'DWV PVC'!$A$9:$M$316,10,FALSE),
IF($A128&lt;'DWV ABS'!$A$117,VLOOKUP($A128,'DWV ABS'!$A$8:$M$116,10,FALSE),
IF($A128&lt;'PVC SCH40'!$A$425,VLOOKUP($A128,'PVC SCH40'!$A$8:$M$424,10,FALSE),
IF($A128&lt;'PVC SCH40 LD'!$A$22,VLOOKUP($A128,'PVC SCH40 LD'!$A$8:$M$21,10,FALSE),
IF($A128&lt;'Pool &amp; SPA Sweep Elbows'!$A$12,VLOOKUP($A128,'Pool &amp; SPA Sweep Elbows'!$A$8:$M$11,10,FALSE),
IF($A128&lt;'Pool &amp; SPA Pipe Extender'!$A$11,VLOOKUP($A128,'Pool &amp; SPA Pipe Extender'!$A$8:$M$10,10,FALSE),
IF($A128&lt;'PVC SCH80'!$A$250,VLOOKUP($A128,'PVC SCH80'!$A$8:$M$249,10,FALSE),
IF($A128&lt;'PVC SCH80 Flange'!$A$49,VLOOKUP($A128,'PVC SCH80 Flange'!$A$8:$M$48,10,FALSE),
IF($A128&lt;'PVC SCH80 LD Flange'!$A$17,VLOOKUP($A128,'PVC SCH80 LD Flange'!$A$8:$M$16,10,FALSE),
IF($A128&lt;CPVC!$A$105,VLOOKUP($A128,CPVC!$A$9:$M$104,10,FALSE),
IF($A128&lt;InsertFittings!$A$185,VLOOKUP($A128,InsertFittings!$A$9:$M$184,10,FALSE),
IF($A128&lt;Valves!$A$92,VLOOKUP($A128,Valves!$A$9:$Q$91,14,FALSE),
IF($A128&lt;SDR35SW!$A$133,VLOOKUP($A128,SDR35SW!$A$9:$M$132,10,FALSE),
IF($A128&lt;SDR35G!$A$151,VLOOKUP($A128,SDR35G!$A$9:$M$150,10,FALSE),
IF($A128&lt;SDR26G!$A$67,VLOOKUP($A128,SDR26G!$A$9:$N$66,11,FALSE),
IF($A128&lt;Cements!$A$95,VLOOKUP($A128,Cements!$A$8:$Q$94,14,FALSE),
IF($A128&lt;ValveBox!$A$124,VLOOKUP($A128,ValveBox!$A$9:$O$123,12,FALSE),
IF($A128&lt;'ValveBox Components'!$A$142,VLOOKUP($A128,'ValveBox Components'!$A$9:$N$141,11,FALSE),
IF($A128&lt;Drainage!$A$69,VLOOKUP($A128,Drainage!$A$8:$M$68,10,FALSE),
IF($A128&lt;Nipples!$A$82,VLOOKUP($A128,Nipples!$A$9:$Q$81,14,FALSE),
IF($A128&lt;Manifold!$A$33,VLOOKUP($A128,Manifold!$A$9:$M$32,10,FALSE),
IF($A128&lt;FlexibleRepairCouplings!$A$12,VLOOKUP($A128,FlexibleRepairCouplings!$A$9:$M$11,10,FALSE),
IF($A128&lt;DuraFix!$A$15,VLOOKUP($A128,DuraFix!$A$9:$M$14,10,FALSE),
IF($A128&lt;'Compression Fittings'!$A$16,VLOOKUP($A128,'Compression Fittings'!$A$8:$M$15,10,FALSE),
IF($A128&lt;'Hose Fittings'!$A$30,VLOOKUP($A128,'Hose Fittings'!$A$8:$M$29,10,FALSE),
IF($A128&lt;'Swing Joints'!$A$495,VLOOKUP($A128,'Swing Joints'!$A$9:$M$494,10,FALSE),
IF($A128&lt;'Swing Joints Components'!$A$135,VLOOKUP($A128,'Swing Joints Components'!$A$9:$M$134,10,FALSE),
IF($A128&lt;Nonstandard!$A$42,VLOOKUP($A128,Nonstandard!$A$31:$J$41,10,FALSE),"")))))))))))))))))))))))))))),"")</f>
        <v/>
      </c>
      <c r="L128" s="539" t="str">
        <f t="shared" si="2"/>
        <v>-</v>
      </c>
      <c r="M128" s="542"/>
    </row>
    <row r="129" spans="1:13" ht="15.6">
      <c r="A129" s="312">
        <v>97</v>
      </c>
      <c r="B129" s="312" t="str">
        <f>IFERROR(IF($A129&lt;'DWV PVC'!$A$317,VLOOKUP($A129,'DWV PVC'!$A$9:$M$316,4,FALSE),
IF($A129&lt;'DWV ABS'!$A$117,VLOOKUP($A129,'DWV ABS'!$A$8:$M$116,4,FALSE),
IF($A129&lt;'PVC SCH40'!$A$425,VLOOKUP($A129,'PVC SCH40'!$A$8:$M$424,4,FALSE),
IF($A129&lt;'PVC SCH40 LD'!$A$22,VLOOKUP($A129,'PVC SCH40 LD'!$A$8:$M$21,4,FALSE),
IF($A129&lt;'Pool &amp; SPA Sweep Elbows'!$A$12,VLOOKUP($A129,'Pool &amp; SPA Sweep Elbows'!$A$8:$M$11,4,FALSE),
IF($A129&lt;'Pool &amp; SPA Pipe Extender'!$A$11,VLOOKUP($A129,'Pool &amp; SPA Pipe Extender'!$A$8:$M$10,4,FALSE),
IF($A129&lt;'PVC SCH80'!$A$250,VLOOKUP($A129,'PVC SCH80'!$A$8:$M$249,4,FALSE),
IF($A129&lt;'PVC SCH80 Flange'!$A$49,VLOOKUP($A129,'PVC SCH80 Flange'!$A$8:$M$48,4,FALSE),
IF($A129&lt;'PVC SCH80 LD Flange'!$A$17,VLOOKUP($A129,'PVC SCH80 LD Flange'!$A$8:$M$16,4,FALSE),
IF($A129&lt;CPVC!$A$105,VLOOKUP($A129,CPVC!$A$9:$M$104,4,FALSE),
IF($A129&lt;InsertFittings!$A$185,VLOOKUP($A129,InsertFittings!$A$9:$M$184,4,FALSE),
IF($A129&lt;Valves!$A$92,VLOOKUP($A129,Valves!$A$9:$Q$91,4,FALSE),
IF($A129&lt;SDR35SW!$A$133,VLOOKUP($A129,SDR35SW!$A$9:$M$132,4,FALSE),
IF($A129&lt;SDR35G!$A$151,VLOOKUP($A129,SDR35G!$A$9:$M$150,4,FALSE),
IF($A129&lt;SDR26G!$A$67,VLOOKUP($A129,SDR26G!$A$9:$N$66,5,FALSE),
IF($A129&lt;Cements!$A$95,VLOOKUP($A129,Cements!$A$8:$Q$94,4,FALSE),
IF($A129&lt;ValveBox!$A$124,VLOOKUP($A129,ValveBox!$A$9:$O$123,4,FALSE),
IF($A129&lt;'ValveBox Components'!$A$142,VLOOKUP($A129,'ValveBox Components'!$A$9:$N$141,4,FALSE),
IF($A129&lt;Drainage!$A$69,VLOOKUP($A129,Drainage!$A$8:$M$68,4,FALSE),
IF($A129&lt;Nipples!$A$82,VLOOKUP($A129,Nipples!$A$9:$Q$81,4,FALSE),
IF($A129&lt;Manifold!$A$33,VLOOKUP($A129,Manifold!$A$9:$M$32,4,FALSE),
IF($A129&lt;FlexibleRepairCouplings!$A$12,VLOOKUP($A129,FlexibleRepairCouplings!$A$9:$M$11,4,FALSE),
IF($A129&lt;DuraFix!$A$15,VLOOKUP($A129,DuraFix!$A$9:$M$14,4,FALSE),
IF($A129&lt;'Compression Fittings'!$A$16,VLOOKUP($A129,'Compression Fittings'!$A$8:$M$15,4,FALSE),
IF($A129&lt;'Hose Fittings'!$A$30,VLOOKUP($A129,'Hose Fittings'!$A$8:$M$29,4,FALSE),
IF($A129&lt;'Swing Joints'!$A$495,VLOOKUP($A129,'Swing Joints'!$A$9:$M$494,4,FALSE),
IF($A129&lt;'Swing Joints Components'!$A$135,VLOOKUP($A129,'Swing Joints Components'!$A$9:$M$134,4,FALSE),
IF($A129&lt;Nonstandard!$A$42,VLOOKUP($A129,Nonstandard!$A$31:$J$41,5,FALSE),"")))))))))))))))))))))))))))),"")</f>
        <v/>
      </c>
      <c r="C129" s="312" t="str">
        <f>IFERROR(IF($A129&lt;'DWV PVC'!$A$317,VLOOKUP($A129,'DWV PVC'!$A$9:$M$316,5,FALSE),
IF($A129&lt;'DWV ABS'!$A$117,VLOOKUP($A129,'DWV ABS'!$A$8:$M$116,5,FALSE),
IF($A129&lt;'PVC SCH40'!$A$425,VLOOKUP($A129,'PVC SCH40'!$A$8:$M$424,5,FALSE),
IF($A129&lt;'PVC SCH40 LD'!$A$22,VLOOKUP($A129,'PVC SCH40 LD'!$A$8:$M$21,5,FALSE),
IF($A129&lt;'Pool &amp; SPA Sweep Elbows'!$A$12,VLOOKUP($A129,'Pool &amp; SPA Sweep Elbows'!$A$8:$M$11,5,FALSE),
IF($A129&lt;'Pool &amp; SPA Pipe Extender'!$A$11,VLOOKUP($A129,'Pool &amp; SPA Pipe Extender'!$A$8:$M$10,5,FALSE),
IF($A129&lt;'PVC SCH80'!$A$250,VLOOKUP($A129,'PVC SCH80'!$A$8:$M$249,5,FALSE),
IF($A129&lt;'PVC SCH80 Flange'!$A$49,VLOOKUP($A129,'PVC SCH80 Flange'!$A$8:$M$48,5,FALSE),
IF($A129&lt;'PVC SCH80 LD Flange'!$A$17,VLOOKUP($A129,'PVC SCH80 LD Flange'!$A$8:$M$16,5,FALSE),
IF($A129&lt;CPVC!$A$105,VLOOKUP($A129,CPVC!$A$9:$M$104,5,FALSE),
IF($A129&lt;InsertFittings!$A$185,VLOOKUP($A129,InsertFittings!$A$9:$M$184,5,FALSE),
IF($A129&lt;Valves!$A$92,VLOOKUP($A129,Valves!$A$9:$Q$91,5,FALSE),
IF($A129&lt;SDR35SW!$A$133,VLOOKUP($A129,SDR35SW!$A$9:$M$132,5,FALSE),
IF($A129&lt;SDR35G!$A$151,VLOOKUP($A129,SDR35G!$A$9:$M$150,5,FALSE),
IF($A129&lt;SDR26G!$A$67,VLOOKUP($A129,SDR26G!$A$9:$N$66,6,FALSE),
IF($A129&lt;Cements!$A$95,VLOOKUP($A129,Cements!$A$8:$Q$94,5,FALSE),
IF($A129&lt;ValveBox!$A$124,VLOOKUP($A129,ValveBox!$A$9:$O$123,5,FALSE),
IF($A129&lt;'ValveBox Components'!$A$142,VLOOKUP($A129,'ValveBox Components'!$A$9:$N$141,5,FALSE),
IF($A129&lt;Drainage!$A$69,VLOOKUP($A129,Drainage!$A$8:$M$68,5,FALSE),
IF($A129&lt;Nipples!$A$82,VLOOKUP($A129,Nipples!$A$9:$Q$81,5,FALSE),
IF($A129&lt;Manifold!$A$33,VLOOKUP($A129,Manifold!$A$9:$M$32,5,FALSE),
IF($A129&lt;FlexibleRepairCouplings!$A$12,VLOOKUP($A129,FlexibleRepairCouplings!$A$9:$M$11,5,FALSE),
IF($A129&lt;DuraFix!$A$15,VLOOKUP($A129,DuraFix!$A$9:$M$14,5,FALSE),
IF($A129&lt;'Compression Fittings'!$A$16,VLOOKUP($A129,'Compression Fittings'!$A$8:$M$15,5,FALSE),
IF($A129&lt;'Hose Fittings'!$A$30,VLOOKUP($A129,'Hose Fittings'!$A$8:$M$29,5,FALSE),
IF($A129&lt;'Swing Joints'!$A$495,VLOOKUP($A129,'Swing Joints'!$A$9:$M$494,5,FALSE),
IF($A129&lt;'Swing Joints Components'!$A$135,VLOOKUP($A129,'Swing Joints Components'!$A$9:$M$134,5,FALSE),
IF($A129&lt;Nonstandard!$A$42,VLOOKUP($A129,Nonstandard!$A$31:$J$41,6,FALSE),"")))))))))))))))))))))))))))),"")</f>
        <v/>
      </c>
      <c r="D129" s="534" t="str">
        <f>IFERROR(IF($A129&lt;'DWV PVC'!$A$317,VLOOKUP($A129,'DWV PVC'!$A$9:$M$316,6,FALSE),
IF($A129&lt;'DWV ABS'!$A$117,VLOOKUP($A129,'DWV ABS'!$A$8:$M$116,6,FALSE),
IF($A129&lt;'PVC SCH40'!$A$425,VLOOKUP($A129,'PVC SCH40'!$A$8:$M$424,6,FALSE),
IF($A129&lt;'PVC SCH40 LD'!$A$22,VLOOKUP($A129,'PVC SCH40 LD'!$A$8:$M$21,6,FALSE),
IF($A129&lt;'Pool &amp; SPA Sweep Elbows'!$A$12,VLOOKUP($A129,'Pool &amp; SPA Sweep Elbows'!$A$8:$M$11,6,FALSE),
IF($A129&lt;'Pool &amp; SPA Pipe Extender'!$A$11,VLOOKUP($A129,'Pool &amp; SPA Pipe Extender'!$A$8:$M$10,6,FALSE),
IF($A129&lt;'PVC SCH80'!$A$250,VLOOKUP($A129,'PVC SCH80'!$A$8:$M$249,6,FALSE),
IF($A129&lt;'PVC SCH80 Flange'!$A$49,VLOOKUP($A129,'PVC SCH80 Flange'!$A$8:$M$48,6,FALSE),
IF($A129&lt;'PVC SCH80 LD Flange'!$A$17,VLOOKUP($A129,'PVC SCH80 LD Flange'!$A$8:$M$16,6,FALSE),
IF($A129&lt;CPVC!$A$105,VLOOKUP($A129,CPVC!$A$9:$M$104,6,FALSE),
IF($A129&lt;InsertFittings!$A$185,VLOOKUP($A129,InsertFittings!$A$9:$M$184,6,FALSE),
IF($A129&lt;Valves!$A$92,VLOOKUP($A129,Valves!$A$9:$Q$91,6,FALSE),
IF($A129&lt;SDR35SW!$A$133,VLOOKUP($A129,SDR35SW!$A$9:$M$132,6,FALSE),
IF($A129&lt;SDR35G!$A$151,VLOOKUP($A129,SDR35G!$A$9:$M$150,6,FALSE),
IF($A129&lt;SDR26G!$A$67,VLOOKUP($A129,SDR26G!$A$9:$N$66,7,FALSE),
IF($A129&lt;Cements!$A$95,VLOOKUP($A129,Cements!$A$8:$Q$94,6,FALSE),
IF($A129&lt;ValveBox!$A$124,VLOOKUP($A129,ValveBox!$A$9:$O$123,6,FALSE),
IF($A129&lt;'ValveBox Components'!$A$142,VLOOKUP($A129,'ValveBox Components'!$A$9:$N$141,6,FALSE),
IF($A129&lt;Drainage!$A$69,VLOOKUP($A129,Drainage!$A$8:$M$68,6,FALSE),
IF($A129&lt;Nipples!$A$82,VLOOKUP($A129,Nipples!$A$9:$Q$81,6,FALSE),
IF($A129&lt;Manifold!$A$33,VLOOKUP($A129,Manifold!$A$9:$M$32,6,FALSE),
IF($A129&lt;FlexibleRepairCouplings!$A$12,VLOOKUP($A129,FlexibleRepairCouplings!$A$9:$M$11,6,FALSE),
IF($A129&lt;DuraFix!$A$15,VLOOKUP($A129,DuraFix!$A$9:$M$14,6,FALSE),
IF($A129&lt;'Compression Fittings'!$A$16,VLOOKUP($A129,'Compression Fittings'!$A$8:$M$15,6,FALSE),
IF($A129&lt;'Hose Fittings'!$A$30,VLOOKUP($A129,'Hose Fittings'!$A$8:$M$29,6,FALSE),
IF($A129&lt;'Swing Joints'!$A$495,VLOOKUP($A129,'Swing Joints'!$A$9:$M$494,6,FALSE),
IF($A129&lt;'Swing Joints Components'!$A$135,VLOOKUP($A129,'Swing Joints Components'!$A$9:$M$134,6,FALSE),
IF($A129&lt;Nonstandard!$A$42,VLOOKUP($A129,Nonstandard!$A$31:$J$41,7,FALSE),"")))))))))))))))))))))))))))),"")</f>
        <v/>
      </c>
      <c r="E129" s="316"/>
      <c r="F129" s="314" t="str">
        <f>IFERROR(IF($A129&lt;'DWV PVC'!$A$317,VLOOKUP($A129,'DWV PVC'!$A$9:$M$316,9,FALSE),
IF($A129&lt;'DWV ABS'!$A$117,VLOOKUP($A129,'DWV ABS'!$A$8:$M$116,9,FALSE),                                                                                                                                                                                                                                                     IF($A129&lt;'PVC SCH40'!$A$425,VLOOKUP($A129,'PVC SCH40'!$A$8:$M$424,9,FALSE),
IF($A129&lt;'PVC SCH40 LD'!$A$22,VLOOKUP($A129,'PVC SCH40 LD'!$A$8:$M$21,9,FALSE),
IF($A129&lt;'Pool &amp; SPA Sweep Elbows'!$A$12,VLOOKUP($A129,'Pool &amp; SPA Sweep Elbows'!$A$8:$M$11,9,FALSE),
IF($A129&lt;'Pool &amp; SPA Pipe Extender'!$A$11,VLOOKUP($A129,'Pool &amp; SPA Pipe Extender'!$A$8:$M$10,9,FALSE),
IF($A129&lt;'PVC SCH80'!$A$250,VLOOKUP($A129,'PVC SCH80'!$A$8:$M$249,9,FALSE),
IF($A129&lt;'PVC SCH80 Flange'!$A$49,VLOOKUP($A129,'PVC SCH80 Flange'!$A$8:$M$48,9,FALSE),
IF($A129&lt;'PVC SCH80 LD Flange'!$A$17,VLOOKUP($A129,'PVC SCH80 LD Flange'!$A$8:$M$16,9,FALSE),
IF($A129&lt;CPVC!$A$105,VLOOKUP($A129,CPVC!$A$9:$M$104,9,FALSE),
IF($A129&lt;InsertFittings!$A$185,VLOOKUP($A129,InsertFittings!$A$9:$M$184,9,FALSE),
IF($A129&lt;Valves!$A$92,VLOOKUP($A129,Valves!$A$9:$Q$91,13,FALSE),
IF($A129&lt;SDR35SW!$A$133,VLOOKUP($A129,SDR35SW!$A$9:$M$132,9,FALSE),
IF($A129&lt;SDR35G!$A$151,VLOOKUP($A129,SDR35G!$A$9:$M$150,9,FALSE),                                                                                                                                                                                                                                                          IF($A129&lt;SDR26G!$A$67,VLOOKUP($A129,SDR26G!$A$9:$N$66,10,FALSE),                                                                                                                                                                                                                                                       IF($A129&lt;Cements!$A$95,VLOOKUP($A129,Cements!$A$8:$Q$94,13,FALSE),
IF($A129&lt;ValveBox!$A$124,VLOOKUP($A129,ValveBox!$A$9:$O$123,11,FALSE),
IF($A129&lt;'ValveBox Components'!$A$142,VLOOKUP($A129,'ValveBox Components'!$A$9:$N$141,10,FALSE),
IF($A129&lt;Drainage!$A$69,VLOOKUP($A129,Drainage!$A$8:$M$68,9,FALSE),                                                                                                                                                                                                                                                              IF($A129&lt;Nipples!$A$82,VLOOKUP($A129,Nipples!$A$9:$Q$81,13,FALSE),
IF($A129&lt;Manifold!$A$33,VLOOKUP($A129,Manifold!$A$9:$M$32,9,FALSE),
IF($A129&lt;FlexibleRepairCouplings!$A$12,VLOOKUP($A129,FlexibleRepairCouplings!$A$9:$M$11,9,FALSE),
IF($A129&lt;DuraFix!$A$15,VLOOKUP($A129,DuraFix!$A$9:$M$14,9,FALSE),                                                                                                                                                                                                                                                          IF($A129&lt;'Compression Fittings'!$A$16,VLOOKUP($A129,'Compression Fittings'!$A$8:$M$15,9,FALSE),
IF($A129&lt;'Hose Fittings'!$A$30,VLOOKUP($A129,'Hose Fittings'!$A$8:$M$29,9,FALSE),
IF($A129&lt;'Swing Joints'!$A$495,VLOOKUP($A129,'Swing Joints'!$A$9:$M$494,9,FALSE),
IF($A129&lt;'Swing Joints Components'!$A$135,VLOOKUP($A129,'Swing Joints Components'!$A$9:$M$134,9,FALSE),
IF($A129&lt;Nonstandard!$A$42,VLOOKUP($A129,Nonstandard!$A$31:$J$41,8,FALSE),"")))))))))))))))))))))))))))),"")</f>
        <v/>
      </c>
      <c r="G129" s="533" t="str">
        <f>IFERROR(IF($A129&lt;'DWV PVC'!$A$317,VLOOKUP($A129,'DWV PVC'!$A$9:$M$316,11,FALSE),
IF($A129&lt;'DWV ABS'!$A$117,VLOOKUP($A129,'DWV ABS'!$A$8:$M$116,11,FALSE),                                                                                                                                                                                                                                                     IF($A129&lt;'PVC SCH40'!$A$425,VLOOKUP($A129,'PVC SCH40'!$A$8:$M$424,11,FALSE),
IF($A129&lt;'PVC SCH40 LD'!$A$22,VLOOKUP($A129,'PVC SCH40 LD'!$A$8:$M$21,11,FALSE),
IF($A129&lt;'Pool &amp; SPA Sweep Elbows'!$A$12,VLOOKUP($A129,'Pool &amp; SPA Sweep Elbows'!$A$8:$M$11,11,FALSE),
IF($A129&lt;'Pool &amp; SPA Pipe Extender'!$A$11,VLOOKUP($A129,'Pool &amp; SPA Pipe Extender'!$A$8:$M$10,11,FALSE),
IF($A129&lt;'PVC SCH80'!$A$250,VLOOKUP($A129,'PVC SCH80'!$A$8:$M$249,11,FALSE),
IF($A129&lt;'PVC SCH80 Flange'!$A$49,VLOOKUP($A129,'PVC SCH80 Flange'!$A$8:$M$48,11,FALSE),
IF($A129&lt;'PVC SCH80 LD Flange'!$A$17,VLOOKUP($A129,'PVC SCH80 LD Flange'!$A$8:$M$16,11,FALSE),
IF($A129&lt;CPVC!$A$105,VLOOKUP($A129,CPVC!$A$9:$M$104,11,FALSE),
IF($A129&lt;InsertFittings!$A$185,VLOOKUP($A129,InsertFittings!$A$9:$M$184,11,FALSE),
IF($A129&lt;Valves!$A$92,VLOOKUP($A129,Valves!$A$9:$Q$91,15,FALSE),
IF($A129&lt;SDR35SW!$A$133,VLOOKUP($A129,SDR35SW!$A$9:$M$132,11,FALSE),
IF($A129&lt;SDR35G!$A$151,VLOOKUP($A129,SDR35G!$A$9:$M$150,11,FALSE),                                                                                                                                                                                                                                                          IF($A129&lt;SDR26G!$A$67,VLOOKUP($A129,SDR26G!$A$9:$N$66,12,FALSE),                                                                                                                                                                                                                                                       IF($A129&lt;Cements!$A$95,VLOOKUP($A129,Cements!$A$8:$Q$94,15,FALSE),
IF($A129&lt;ValveBox!$A$124,VLOOKUP($A129,ValveBox!$A$9:$O$123,13,FALSE),
IF($A129&lt;'ValveBox Components'!$A$142,VLOOKUP($A129,'ValveBox Components'!$A$9:$N$141,12,FALSE),
IF($A129&lt;Drainage!$A$69,VLOOKUP($A129,Drainage!$A$8:$M$68,11,FALSE),                                                                                                                                                                                                                                                           IF($A129&lt;Nipples!$A$82,VLOOKUP($A129,Nipples!$A$9:$Q$81,15,FALSE),
IF($A129&lt;Manifold!$A$33,VLOOKUP($A129,Manifold!$A$9:$M$32,11,FALSE),
IF($A129&lt;FlexibleRepairCouplings!$A$12,VLOOKUP($A129,FlexibleRepairCouplings!$A$9:$M$11,11,FALSE),
IF($A129&lt;DuraFix!$A$15,VLOOKUP($A129,DuraFix!$A$9:$M$14,11,FALSE),                                                                                                                                                                                                                                                            IF($A129&lt;'Compression Fittings'!$A$16,VLOOKUP($A129,'Compression Fittings'!$A$8:$M$15,11,FALSE),
IF($A129&lt;'Hose Fittings'!$A$30,VLOOKUP($A129,'Hose Fittings'!$A$8:$M$29,11,FALSE),
IF($A129&lt;'Swing Joints'!$A$495,VLOOKUP($A129,'Swing Joints'!$A$9:$M$494,11,FALSE),
IF($A129&lt;'Swing Joints Components'!$A$135,VLOOKUP($A129,'Swing Joints Components'!$A$9:$M$134,11,FALSE),
IF($A129&lt;Nonstandard!$A$42,VLOOKUP($A129,Nonstandard!$A$31:$J$41,10,FALSE),"")))))))))))))))))))))))))))),"")</f>
        <v/>
      </c>
      <c r="H129" s="618" t="str">
        <f>IFERROR(IF($A129&lt;'DWV PVC'!$A$317,VLOOKUP($A129,'DWV PVC'!$A$9:$M$316,7,FALSE),
IF($A129&lt;'DWV ABS'!$A$117,VLOOKUP($A129,'DWV ABS'!$A$8:$M$116,11,FALSE),                                                                                                                                                                                                                                                     IF($A129&lt;'PVC SCH40'!$A$425,VLOOKUP($A129,'PVC SCH40'!$A$8:$M$424,7,FALSE),
IF($A129&lt;'PVC SCH40 LD'!$A$22,VLOOKUP($A129,'PVC SCH40 LD'!$A$8:$M$21,7,FALSE),
IF($A129&lt;'Pool &amp; SPA Sweep Elbows'!$A$12,VLOOKUP($A129,'Pool &amp; SPA Sweep Elbows'!$A$8:$M$11,7,FALSE),
IF($A129&lt;'Pool &amp; SPA Pipe Extender'!$A$11,VLOOKUP($A129,'Pool &amp; SPA Pipe Extender'!$A$8:$M$10,7,FALSE),
IF($A129&lt;'PVC SCH80'!$A$250,VLOOKUP($A129,'PVC SCH80'!$A$8:$M$249,7,FALSE),
IF($A129&lt;'PVC SCH80 Flange'!$A$49,VLOOKUP($A129,'PVC SCH80 Flange'!$A$8:$M$48,7,FALSE),
IF($A129&lt;'PVC SCH80 LD Flange'!$A$17,VLOOKUP($A129,'PVC SCH80 LD Flange'!$A$8:$M$16,7,FALSE),
IF($A129&lt;CPVC!$A$105,VLOOKUP($A129,CPVC!$A$9:$M$104,7,FALSE),
IF($A129&lt;InsertFittings!$A$185,VLOOKUP($A129,InsertFittings!$A$9:$M$184,7,FALSE),
IF($A129&lt;Valves!$A$92,VLOOKUP($A129,Valves!$A$9:$Q$91,11,FALSE),
IF($A129&lt;SDR35SW!$A$133,VLOOKUP($A129,SDR35SW!$A$9:$M$132,7,FALSE),
IF($A129&lt;SDR35G!$A$151,VLOOKUP($A129,SDR35G!$A$9:$M$150,7,FALSE),                                                                                                                                                                                                                                                       IF($A129&lt;SDR26G!$A$67,VLOOKUP($A129,SDR26G!$A$9:$N$66,8,FALSE),                                                                                                                                                                                                                                                     IF($A129&lt;Cements!$A$95,VLOOKUP($A129,Cements!$A$8:$Q$94,11,FALSE),
IF($A129&lt;ValveBox!$A$124,VLOOKUP($A129,ValveBox!$A$9:$O$123,10,FALSE),
IF($A129&lt;'ValveBox Components'!$A$142,VLOOKUP($A129,'ValveBox Components'!$A$9:$N$141,9,FALSE),
IF($A129&lt;Drainage!$A$69,VLOOKUP($A129,Drainage!$A$8:$M$68,7,FALSE),                                                                                                                                                                                                                                                          IF($A129&lt;Nipples!$A$82,VLOOKUP($A129,Nipples!$A$9:$Q$81,11,FALSE),
IF($A129&lt;Manifold!$A$33,VLOOKUP($A129,Manifold!$A$9:$M$32,7,FALSE),
IF($A129&lt;FlexibleRepairCouplings!$A$12,VLOOKUP($A129,FlexibleRepairCouplings!$A$9:$M$11,7,FALSE),
IF($A129&lt;DuraFix!$A$15,VLOOKUP($A129,DuraFix!$A$9:$M$14,7,FALSE),                                                                                                                                                                                                                                                           IF($A129&lt;'Compression Fittings'!$A$16,VLOOKUP($A129,'Compression Fittings'!$A$8:$M$15,7,FALSE),
IF($A129&lt;'Hose Fittings'!$A$30,VLOOKUP($A129,'Hose Fittings'!$A$8:$M$29,7,FALSE),
IF($A129&lt;'Swing Joints'!$A$495,VLOOKUP($A129,'Swing Joints'!$A$9:$M$494,7,FALSE),
IF($A129&lt;'Swing Joints Components'!$A$135,VLOOKUP($A129,'Swing Joints Components'!$A$9:$M$134,7,FALSE),
IF($A129&lt;Nonstandard!$A$42,VLOOKUP($A129,Nonstandard!$A$31:$J$41,10,FALSE),"")))))))))))))))))))))))))))),"")</f>
        <v/>
      </c>
      <c r="I129" s="619"/>
      <c r="J129" s="281" t="str">
        <f t="shared" si="3"/>
        <v/>
      </c>
      <c r="K129" s="313" t="str">
        <f>IFERROR(IF($A129&lt;'DWV PVC'!$A$317,VLOOKUP($A129,'DWV PVC'!$A$9:$M$316,10,FALSE),
IF($A129&lt;'DWV ABS'!$A$117,VLOOKUP($A129,'DWV ABS'!$A$8:$M$116,10,FALSE),
IF($A129&lt;'PVC SCH40'!$A$425,VLOOKUP($A129,'PVC SCH40'!$A$8:$M$424,10,FALSE),
IF($A129&lt;'PVC SCH40 LD'!$A$22,VLOOKUP($A129,'PVC SCH40 LD'!$A$8:$M$21,10,FALSE),
IF($A129&lt;'Pool &amp; SPA Sweep Elbows'!$A$12,VLOOKUP($A129,'Pool &amp; SPA Sweep Elbows'!$A$8:$M$11,10,FALSE),
IF($A129&lt;'Pool &amp; SPA Pipe Extender'!$A$11,VLOOKUP($A129,'Pool &amp; SPA Pipe Extender'!$A$8:$M$10,10,FALSE),
IF($A129&lt;'PVC SCH80'!$A$250,VLOOKUP($A129,'PVC SCH80'!$A$8:$M$249,10,FALSE),
IF($A129&lt;'PVC SCH80 Flange'!$A$49,VLOOKUP($A129,'PVC SCH80 Flange'!$A$8:$M$48,10,FALSE),
IF($A129&lt;'PVC SCH80 LD Flange'!$A$17,VLOOKUP($A129,'PVC SCH80 LD Flange'!$A$8:$M$16,10,FALSE),
IF($A129&lt;CPVC!$A$105,VLOOKUP($A129,CPVC!$A$9:$M$104,10,FALSE),
IF($A129&lt;InsertFittings!$A$185,VLOOKUP($A129,InsertFittings!$A$9:$M$184,10,FALSE),
IF($A129&lt;Valves!$A$92,VLOOKUP($A129,Valves!$A$9:$Q$91,14,FALSE),
IF($A129&lt;SDR35SW!$A$133,VLOOKUP($A129,SDR35SW!$A$9:$M$132,10,FALSE),
IF($A129&lt;SDR35G!$A$151,VLOOKUP($A129,SDR35G!$A$9:$M$150,10,FALSE),
IF($A129&lt;SDR26G!$A$67,VLOOKUP($A129,SDR26G!$A$9:$N$66,11,FALSE),
IF($A129&lt;Cements!$A$95,VLOOKUP($A129,Cements!$A$8:$Q$94,14,FALSE),
IF($A129&lt;ValveBox!$A$124,VLOOKUP($A129,ValveBox!$A$9:$O$123,12,FALSE),
IF($A129&lt;'ValveBox Components'!$A$142,VLOOKUP($A129,'ValveBox Components'!$A$9:$N$141,11,FALSE),
IF($A129&lt;Drainage!$A$69,VLOOKUP($A129,Drainage!$A$8:$M$68,10,FALSE),
IF($A129&lt;Nipples!$A$82,VLOOKUP($A129,Nipples!$A$9:$Q$81,14,FALSE),
IF($A129&lt;Manifold!$A$33,VLOOKUP($A129,Manifold!$A$9:$M$32,10,FALSE),
IF($A129&lt;FlexibleRepairCouplings!$A$12,VLOOKUP($A129,FlexibleRepairCouplings!$A$9:$M$11,10,FALSE),
IF($A129&lt;DuraFix!$A$15,VLOOKUP($A129,DuraFix!$A$9:$M$14,10,FALSE),
IF($A129&lt;'Compression Fittings'!$A$16,VLOOKUP($A129,'Compression Fittings'!$A$8:$M$15,10,FALSE),
IF($A129&lt;'Hose Fittings'!$A$30,VLOOKUP($A129,'Hose Fittings'!$A$8:$M$29,10,FALSE),
IF($A129&lt;'Swing Joints'!$A$495,VLOOKUP($A129,'Swing Joints'!$A$9:$M$494,10,FALSE),
IF($A129&lt;'Swing Joints Components'!$A$135,VLOOKUP($A129,'Swing Joints Components'!$A$9:$M$134,10,FALSE),
IF($A129&lt;Nonstandard!$A$42,VLOOKUP($A129,Nonstandard!$A$31:$J$41,10,FALSE),"")))))))))))))))))))))))))))),"")</f>
        <v/>
      </c>
      <c r="L129" s="314" t="str">
        <f t="shared" si="2"/>
        <v>-</v>
      </c>
      <c r="M129" s="315"/>
    </row>
    <row r="130" spans="1:13" ht="15.6">
      <c r="A130" s="536">
        <v>98</v>
      </c>
      <c r="B130" s="536" t="str">
        <f>IFERROR(IF($A130&lt;'DWV PVC'!$A$317,VLOOKUP($A130,'DWV PVC'!$A$9:$M$316,4,FALSE),
IF($A130&lt;'DWV ABS'!$A$117,VLOOKUP($A130,'DWV ABS'!$A$8:$M$116,4,FALSE),
IF($A130&lt;'PVC SCH40'!$A$425,VLOOKUP($A130,'PVC SCH40'!$A$8:$M$424,4,FALSE),
IF($A130&lt;'PVC SCH40 LD'!$A$22,VLOOKUP($A130,'PVC SCH40 LD'!$A$8:$M$21,4,FALSE),
IF($A130&lt;'Pool &amp; SPA Sweep Elbows'!$A$12,VLOOKUP($A130,'Pool &amp; SPA Sweep Elbows'!$A$8:$M$11,4,FALSE),
IF($A130&lt;'Pool &amp; SPA Pipe Extender'!$A$11,VLOOKUP($A130,'Pool &amp; SPA Pipe Extender'!$A$8:$M$10,4,FALSE),
IF($A130&lt;'PVC SCH80'!$A$250,VLOOKUP($A130,'PVC SCH80'!$A$8:$M$249,4,FALSE),
IF($A130&lt;'PVC SCH80 Flange'!$A$49,VLOOKUP($A130,'PVC SCH80 Flange'!$A$8:$M$48,4,FALSE),
IF($A130&lt;'PVC SCH80 LD Flange'!$A$17,VLOOKUP($A130,'PVC SCH80 LD Flange'!$A$8:$M$16,4,FALSE),
IF($A130&lt;CPVC!$A$105,VLOOKUP($A130,CPVC!$A$9:$M$104,4,FALSE),
IF($A130&lt;InsertFittings!$A$185,VLOOKUP($A130,InsertFittings!$A$9:$M$184,4,FALSE),
IF($A130&lt;Valves!$A$92,VLOOKUP($A130,Valves!$A$9:$Q$91,4,FALSE),
IF($A130&lt;SDR35SW!$A$133,VLOOKUP($A130,SDR35SW!$A$9:$M$132,4,FALSE),
IF($A130&lt;SDR35G!$A$151,VLOOKUP($A130,SDR35G!$A$9:$M$150,4,FALSE),
IF($A130&lt;SDR26G!$A$67,VLOOKUP($A130,SDR26G!$A$9:$N$66,5,FALSE),
IF($A130&lt;Cements!$A$95,VLOOKUP($A130,Cements!$A$8:$Q$94,4,FALSE),
IF($A130&lt;ValveBox!$A$124,VLOOKUP($A130,ValveBox!$A$9:$O$123,4,FALSE),
IF($A130&lt;'ValveBox Components'!$A$142,VLOOKUP($A130,'ValveBox Components'!$A$9:$N$141,4,FALSE),
IF($A130&lt;Drainage!$A$69,VLOOKUP($A130,Drainage!$A$8:$M$68,4,FALSE),
IF($A130&lt;Nipples!$A$82,VLOOKUP($A130,Nipples!$A$9:$Q$81,4,FALSE),
IF($A130&lt;Manifold!$A$33,VLOOKUP($A130,Manifold!$A$9:$M$32,4,FALSE),
IF($A130&lt;FlexibleRepairCouplings!$A$12,VLOOKUP($A130,FlexibleRepairCouplings!$A$9:$M$11,4,FALSE),
IF($A130&lt;DuraFix!$A$15,VLOOKUP($A130,DuraFix!$A$9:$M$14,4,FALSE),
IF($A130&lt;'Compression Fittings'!$A$16,VLOOKUP($A130,'Compression Fittings'!$A$8:$M$15,4,FALSE),
IF($A130&lt;'Hose Fittings'!$A$30,VLOOKUP($A130,'Hose Fittings'!$A$8:$M$29,4,FALSE),
IF($A130&lt;'Swing Joints'!$A$495,VLOOKUP($A130,'Swing Joints'!$A$9:$M$494,4,FALSE),
IF($A130&lt;'Swing Joints Components'!$A$135,VLOOKUP($A130,'Swing Joints Components'!$A$9:$M$134,4,FALSE),
IF($A130&lt;Nonstandard!$A$42,VLOOKUP($A130,Nonstandard!$A$31:$J$41,5,FALSE),"")))))))))))))))))))))))))))),"")</f>
        <v/>
      </c>
      <c r="C130" s="536" t="str">
        <f>IFERROR(IF($A130&lt;'DWV PVC'!$A$317,VLOOKUP($A130,'DWV PVC'!$A$9:$M$316,5,FALSE),
IF($A130&lt;'DWV ABS'!$A$117,VLOOKUP($A130,'DWV ABS'!$A$8:$M$116,5,FALSE),
IF($A130&lt;'PVC SCH40'!$A$425,VLOOKUP($A130,'PVC SCH40'!$A$8:$M$424,5,FALSE),
IF($A130&lt;'PVC SCH40 LD'!$A$22,VLOOKUP($A130,'PVC SCH40 LD'!$A$8:$M$21,5,FALSE),
IF($A130&lt;'Pool &amp; SPA Sweep Elbows'!$A$12,VLOOKUP($A130,'Pool &amp; SPA Sweep Elbows'!$A$8:$M$11,5,FALSE),
IF($A130&lt;'Pool &amp; SPA Pipe Extender'!$A$11,VLOOKUP($A130,'Pool &amp; SPA Pipe Extender'!$A$8:$M$10,5,FALSE),
IF($A130&lt;'PVC SCH80'!$A$250,VLOOKUP($A130,'PVC SCH80'!$A$8:$M$249,5,FALSE),
IF($A130&lt;'PVC SCH80 Flange'!$A$49,VLOOKUP($A130,'PVC SCH80 Flange'!$A$8:$M$48,5,FALSE),
IF($A130&lt;'PVC SCH80 LD Flange'!$A$17,VLOOKUP($A130,'PVC SCH80 LD Flange'!$A$8:$M$16,5,FALSE),
IF($A130&lt;CPVC!$A$105,VLOOKUP($A130,CPVC!$A$9:$M$104,5,FALSE),
IF($A130&lt;InsertFittings!$A$185,VLOOKUP($A130,InsertFittings!$A$9:$M$184,5,FALSE),
IF($A130&lt;Valves!$A$92,VLOOKUP($A130,Valves!$A$9:$Q$91,5,FALSE),
IF($A130&lt;SDR35SW!$A$133,VLOOKUP($A130,SDR35SW!$A$9:$M$132,5,FALSE),
IF($A130&lt;SDR35G!$A$151,VLOOKUP($A130,SDR35G!$A$9:$M$150,5,FALSE),
IF($A130&lt;SDR26G!$A$67,VLOOKUP($A130,SDR26G!$A$9:$N$66,6,FALSE),
IF($A130&lt;Cements!$A$95,VLOOKUP($A130,Cements!$A$8:$Q$94,5,FALSE),
IF($A130&lt;ValveBox!$A$124,VLOOKUP($A130,ValveBox!$A$9:$O$123,5,FALSE),
IF($A130&lt;'ValveBox Components'!$A$142,VLOOKUP($A130,'ValveBox Components'!$A$9:$N$141,5,FALSE),
IF($A130&lt;Drainage!$A$69,VLOOKUP($A130,Drainage!$A$8:$M$68,5,FALSE),
IF($A130&lt;Nipples!$A$82,VLOOKUP($A130,Nipples!$A$9:$Q$81,5,FALSE),
IF($A130&lt;Manifold!$A$33,VLOOKUP($A130,Manifold!$A$9:$M$32,5,FALSE),
IF($A130&lt;FlexibleRepairCouplings!$A$12,VLOOKUP($A130,FlexibleRepairCouplings!$A$9:$M$11,5,FALSE),
IF($A130&lt;DuraFix!$A$15,VLOOKUP($A130,DuraFix!$A$9:$M$14,5,FALSE),
IF($A130&lt;'Compression Fittings'!$A$16,VLOOKUP($A130,'Compression Fittings'!$A$8:$M$15,5,FALSE),
IF($A130&lt;'Hose Fittings'!$A$30,VLOOKUP($A130,'Hose Fittings'!$A$8:$M$29,5,FALSE),
IF($A130&lt;'Swing Joints'!$A$495,VLOOKUP($A130,'Swing Joints'!$A$9:$M$494,5,FALSE),
IF($A130&lt;'Swing Joints Components'!$A$135,VLOOKUP($A130,'Swing Joints Components'!$A$9:$M$134,5,FALSE),
IF($A130&lt;Nonstandard!$A$42,VLOOKUP($A130,Nonstandard!$A$31:$J$41,6,FALSE),"")))))))))))))))))))))))))))),"")</f>
        <v/>
      </c>
      <c r="D130" s="537" t="str">
        <f>IFERROR(IF($A130&lt;'DWV PVC'!$A$317,VLOOKUP($A130,'DWV PVC'!$A$9:$M$316,6,FALSE),
IF($A130&lt;'DWV ABS'!$A$117,VLOOKUP($A130,'DWV ABS'!$A$8:$M$116,6,FALSE),
IF($A130&lt;'PVC SCH40'!$A$425,VLOOKUP($A130,'PVC SCH40'!$A$8:$M$424,6,FALSE),
IF($A130&lt;'PVC SCH40 LD'!$A$22,VLOOKUP($A130,'PVC SCH40 LD'!$A$8:$M$21,6,FALSE),
IF($A130&lt;'Pool &amp; SPA Sweep Elbows'!$A$12,VLOOKUP($A130,'Pool &amp; SPA Sweep Elbows'!$A$8:$M$11,6,FALSE),
IF($A130&lt;'Pool &amp; SPA Pipe Extender'!$A$11,VLOOKUP($A130,'Pool &amp; SPA Pipe Extender'!$A$8:$M$10,6,FALSE),
IF($A130&lt;'PVC SCH80'!$A$250,VLOOKUP($A130,'PVC SCH80'!$A$8:$M$249,6,FALSE),
IF($A130&lt;'PVC SCH80 Flange'!$A$49,VLOOKUP($A130,'PVC SCH80 Flange'!$A$8:$M$48,6,FALSE),
IF($A130&lt;'PVC SCH80 LD Flange'!$A$17,VLOOKUP($A130,'PVC SCH80 LD Flange'!$A$8:$M$16,6,FALSE),
IF($A130&lt;CPVC!$A$105,VLOOKUP($A130,CPVC!$A$9:$M$104,6,FALSE),
IF($A130&lt;InsertFittings!$A$185,VLOOKUP($A130,InsertFittings!$A$9:$M$184,6,FALSE),
IF($A130&lt;Valves!$A$92,VLOOKUP($A130,Valves!$A$9:$Q$91,6,FALSE),
IF($A130&lt;SDR35SW!$A$133,VLOOKUP($A130,SDR35SW!$A$9:$M$132,6,FALSE),
IF($A130&lt;SDR35G!$A$151,VLOOKUP($A130,SDR35G!$A$9:$M$150,6,FALSE),
IF($A130&lt;SDR26G!$A$67,VLOOKUP($A130,SDR26G!$A$9:$N$66,7,FALSE),
IF($A130&lt;Cements!$A$95,VLOOKUP($A130,Cements!$A$8:$Q$94,6,FALSE),
IF($A130&lt;ValveBox!$A$124,VLOOKUP($A130,ValveBox!$A$9:$O$123,6,FALSE),
IF($A130&lt;'ValveBox Components'!$A$142,VLOOKUP($A130,'ValveBox Components'!$A$9:$N$141,6,FALSE),
IF($A130&lt;Drainage!$A$69,VLOOKUP($A130,Drainage!$A$8:$M$68,6,FALSE),
IF($A130&lt;Nipples!$A$82,VLOOKUP($A130,Nipples!$A$9:$Q$81,6,FALSE),
IF($A130&lt;Manifold!$A$33,VLOOKUP($A130,Manifold!$A$9:$M$32,6,FALSE),
IF($A130&lt;FlexibleRepairCouplings!$A$12,VLOOKUP($A130,FlexibleRepairCouplings!$A$9:$M$11,6,FALSE),
IF($A130&lt;DuraFix!$A$15,VLOOKUP($A130,DuraFix!$A$9:$M$14,6,FALSE),
IF($A130&lt;'Compression Fittings'!$A$16,VLOOKUP($A130,'Compression Fittings'!$A$8:$M$15,6,FALSE),
IF($A130&lt;'Hose Fittings'!$A$30,VLOOKUP($A130,'Hose Fittings'!$A$8:$M$29,6,FALSE),
IF($A130&lt;'Swing Joints'!$A$495,VLOOKUP($A130,'Swing Joints'!$A$9:$M$494,6,FALSE),
IF($A130&lt;'Swing Joints Components'!$A$135,VLOOKUP($A130,'Swing Joints Components'!$A$9:$M$134,6,FALSE),
IF($A130&lt;Nonstandard!$A$42,VLOOKUP($A130,Nonstandard!$A$31:$J$41,7,FALSE),"")))))))))))))))))))))))))))),"")</f>
        <v/>
      </c>
      <c r="E130" s="538"/>
      <c r="F130" s="539" t="str">
        <f>IFERROR(IF($A130&lt;'DWV PVC'!$A$317,VLOOKUP($A130,'DWV PVC'!$A$9:$M$316,9,FALSE),
IF($A130&lt;'DWV ABS'!$A$117,VLOOKUP($A130,'DWV ABS'!$A$8:$M$116,9,FALSE),                                                                                                                                                                                                                                                     IF($A130&lt;'PVC SCH40'!$A$425,VLOOKUP($A130,'PVC SCH40'!$A$8:$M$424,9,FALSE),
IF($A130&lt;'PVC SCH40 LD'!$A$22,VLOOKUP($A130,'PVC SCH40 LD'!$A$8:$M$21,9,FALSE),
IF($A130&lt;'Pool &amp; SPA Sweep Elbows'!$A$12,VLOOKUP($A130,'Pool &amp; SPA Sweep Elbows'!$A$8:$M$11,9,FALSE),
IF($A130&lt;'Pool &amp; SPA Pipe Extender'!$A$11,VLOOKUP($A130,'Pool &amp; SPA Pipe Extender'!$A$8:$M$10,9,FALSE),
IF($A130&lt;'PVC SCH80'!$A$250,VLOOKUP($A130,'PVC SCH80'!$A$8:$M$249,9,FALSE),
IF($A130&lt;'PVC SCH80 Flange'!$A$49,VLOOKUP($A130,'PVC SCH80 Flange'!$A$8:$M$48,9,FALSE),
IF($A130&lt;'PVC SCH80 LD Flange'!$A$17,VLOOKUP($A130,'PVC SCH80 LD Flange'!$A$8:$M$16,9,FALSE),
IF($A130&lt;CPVC!$A$105,VLOOKUP($A130,CPVC!$A$9:$M$104,9,FALSE),
IF($A130&lt;InsertFittings!$A$185,VLOOKUP($A130,InsertFittings!$A$9:$M$184,9,FALSE),
IF($A130&lt;Valves!$A$92,VLOOKUP($A130,Valves!$A$9:$Q$91,13,FALSE),
IF($A130&lt;SDR35SW!$A$133,VLOOKUP($A130,SDR35SW!$A$9:$M$132,9,FALSE),
IF($A130&lt;SDR35G!$A$151,VLOOKUP($A130,SDR35G!$A$9:$M$150,9,FALSE),                                                                                                                                                                                                                                                          IF($A130&lt;SDR26G!$A$67,VLOOKUP($A130,SDR26G!$A$9:$N$66,10,FALSE),                                                                                                                                                                                                                                                       IF($A130&lt;Cements!$A$95,VLOOKUP($A130,Cements!$A$8:$Q$94,13,FALSE),
IF($A130&lt;ValveBox!$A$124,VLOOKUP($A130,ValveBox!$A$9:$O$123,11,FALSE),
IF($A130&lt;'ValveBox Components'!$A$142,VLOOKUP($A130,'ValveBox Components'!$A$9:$N$141,10,FALSE),
IF($A130&lt;Drainage!$A$69,VLOOKUP($A130,Drainage!$A$8:$M$68,9,FALSE),                                                                                                                                                                                                                                                              IF($A130&lt;Nipples!$A$82,VLOOKUP($A130,Nipples!$A$9:$Q$81,13,FALSE),
IF($A130&lt;Manifold!$A$33,VLOOKUP($A130,Manifold!$A$9:$M$32,9,FALSE),
IF($A130&lt;FlexibleRepairCouplings!$A$12,VLOOKUP($A130,FlexibleRepairCouplings!$A$9:$M$11,9,FALSE),
IF($A130&lt;DuraFix!$A$15,VLOOKUP($A130,DuraFix!$A$9:$M$14,9,FALSE),                                                                                                                                                                                                                                                          IF($A130&lt;'Compression Fittings'!$A$16,VLOOKUP($A130,'Compression Fittings'!$A$8:$M$15,9,FALSE),
IF($A130&lt;'Hose Fittings'!$A$30,VLOOKUP($A130,'Hose Fittings'!$A$8:$M$29,9,FALSE),
IF($A130&lt;'Swing Joints'!$A$495,VLOOKUP($A130,'Swing Joints'!$A$9:$M$494,9,FALSE),
IF($A130&lt;'Swing Joints Components'!$A$135,VLOOKUP($A130,'Swing Joints Components'!$A$9:$M$134,9,FALSE),
IF($A130&lt;Nonstandard!$A$42,VLOOKUP($A130,Nonstandard!$A$31:$J$41,8,FALSE),"")))))))))))))))))))))))))))),"")</f>
        <v/>
      </c>
      <c r="G130" s="540" t="str">
        <f>IFERROR(IF($A130&lt;'DWV PVC'!$A$317,VLOOKUP($A130,'DWV PVC'!$A$9:$M$316,11,FALSE),
IF($A130&lt;'DWV ABS'!$A$117,VLOOKUP($A130,'DWV ABS'!$A$8:$M$116,11,FALSE),                                                                                                                                                                                                                                                     IF($A130&lt;'PVC SCH40'!$A$425,VLOOKUP($A130,'PVC SCH40'!$A$8:$M$424,11,FALSE),
IF($A130&lt;'PVC SCH40 LD'!$A$22,VLOOKUP($A130,'PVC SCH40 LD'!$A$8:$M$21,11,FALSE),
IF($A130&lt;'Pool &amp; SPA Sweep Elbows'!$A$12,VLOOKUP($A130,'Pool &amp; SPA Sweep Elbows'!$A$8:$M$11,11,FALSE),
IF($A130&lt;'Pool &amp; SPA Pipe Extender'!$A$11,VLOOKUP($A130,'Pool &amp; SPA Pipe Extender'!$A$8:$M$10,11,FALSE),
IF($A130&lt;'PVC SCH80'!$A$250,VLOOKUP($A130,'PVC SCH80'!$A$8:$M$249,11,FALSE),
IF($A130&lt;'PVC SCH80 Flange'!$A$49,VLOOKUP($A130,'PVC SCH80 Flange'!$A$8:$M$48,11,FALSE),
IF($A130&lt;'PVC SCH80 LD Flange'!$A$17,VLOOKUP($A130,'PVC SCH80 LD Flange'!$A$8:$M$16,11,FALSE),
IF($A130&lt;CPVC!$A$105,VLOOKUP($A130,CPVC!$A$9:$M$104,11,FALSE),
IF($A130&lt;InsertFittings!$A$185,VLOOKUP($A130,InsertFittings!$A$9:$M$184,11,FALSE),
IF($A130&lt;Valves!$A$92,VLOOKUP($A130,Valves!$A$9:$Q$91,15,FALSE),
IF($A130&lt;SDR35SW!$A$133,VLOOKUP($A130,SDR35SW!$A$9:$M$132,11,FALSE),
IF($A130&lt;SDR35G!$A$151,VLOOKUP($A130,SDR35G!$A$9:$M$150,11,FALSE),                                                                                                                                                                                                                                                          IF($A130&lt;SDR26G!$A$67,VLOOKUP($A130,SDR26G!$A$9:$N$66,12,FALSE),                                                                                                                                                                                                                                                       IF($A130&lt;Cements!$A$95,VLOOKUP($A130,Cements!$A$8:$Q$94,15,FALSE),
IF($A130&lt;ValveBox!$A$124,VLOOKUP($A130,ValveBox!$A$9:$O$123,13,FALSE),
IF($A130&lt;'ValveBox Components'!$A$142,VLOOKUP($A130,'ValveBox Components'!$A$9:$N$141,12,FALSE),
IF($A130&lt;Drainage!$A$69,VLOOKUP($A130,Drainage!$A$8:$M$68,11,FALSE),                                                                                                                                                                                                                                                           IF($A130&lt;Nipples!$A$82,VLOOKUP($A130,Nipples!$A$9:$Q$81,15,FALSE),
IF($A130&lt;Manifold!$A$33,VLOOKUP($A130,Manifold!$A$9:$M$32,11,FALSE),
IF($A130&lt;FlexibleRepairCouplings!$A$12,VLOOKUP($A130,FlexibleRepairCouplings!$A$9:$M$11,11,FALSE),
IF($A130&lt;DuraFix!$A$15,VLOOKUP($A130,DuraFix!$A$9:$M$14,11,FALSE),                                                                                                                                                                                                                                                            IF($A130&lt;'Compression Fittings'!$A$16,VLOOKUP($A130,'Compression Fittings'!$A$8:$M$15,11,FALSE),
IF($A130&lt;'Hose Fittings'!$A$30,VLOOKUP($A130,'Hose Fittings'!$A$8:$M$29,11,FALSE),
IF($A130&lt;'Swing Joints'!$A$495,VLOOKUP($A130,'Swing Joints'!$A$9:$M$494,11,FALSE),
IF($A130&lt;'Swing Joints Components'!$A$135,VLOOKUP($A130,'Swing Joints Components'!$A$9:$M$134,11,FALSE),
IF($A130&lt;Nonstandard!$A$42,VLOOKUP($A130,Nonstandard!$A$31:$J$41,10,FALSE),"")))))))))))))))))))))))))))),"")</f>
        <v/>
      </c>
      <c r="H130" s="620" t="str">
        <f>IFERROR(IF($A130&lt;'DWV PVC'!$A$317,VLOOKUP($A130,'DWV PVC'!$A$9:$M$316,7,FALSE),
IF($A130&lt;'DWV ABS'!$A$117,VLOOKUP($A130,'DWV ABS'!$A$8:$M$116,11,FALSE),                                                                                                                                                                                                                                                     IF($A130&lt;'PVC SCH40'!$A$425,VLOOKUP($A130,'PVC SCH40'!$A$8:$M$424,7,FALSE),
IF($A130&lt;'PVC SCH40 LD'!$A$22,VLOOKUP($A130,'PVC SCH40 LD'!$A$8:$M$21,7,FALSE),
IF($A130&lt;'Pool &amp; SPA Sweep Elbows'!$A$12,VLOOKUP($A130,'Pool &amp; SPA Sweep Elbows'!$A$8:$M$11,7,FALSE),
IF($A130&lt;'Pool &amp; SPA Pipe Extender'!$A$11,VLOOKUP($A130,'Pool &amp; SPA Pipe Extender'!$A$8:$M$10,7,FALSE),
IF($A130&lt;'PVC SCH80'!$A$250,VLOOKUP($A130,'PVC SCH80'!$A$8:$M$249,7,FALSE),
IF($A130&lt;'PVC SCH80 Flange'!$A$49,VLOOKUP($A130,'PVC SCH80 Flange'!$A$8:$M$48,7,FALSE),
IF($A130&lt;'PVC SCH80 LD Flange'!$A$17,VLOOKUP($A130,'PVC SCH80 LD Flange'!$A$8:$M$16,7,FALSE),
IF($A130&lt;CPVC!$A$105,VLOOKUP($A130,CPVC!$A$9:$M$104,7,FALSE),
IF($A130&lt;InsertFittings!$A$185,VLOOKUP($A130,InsertFittings!$A$9:$M$184,7,FALSE),
IF($A130&lt;Valves!$A$92,VLOOKUP($A130,Valves!$A$9:$Q$91,11,FALSE),
IF($A130&lt;SDR35SW!$A$133,VLOOKUP($A130,SDR35SW!$A$9:$M$132,7,FALSE),
IF($A130&lt;SDR35G!$A$151,VLOOKUP($A130,SDR35G!$A$9:$M$150,7,FALSE),                                                                                                                                                                                                                                                       IF($A130&lt;SDR26G!$A$67,VLOOKUP($A130,SDR26G!$A$9:$N$66,8,FALSE),                                                                                                                                                                                                                                                     IF($A130&lt;Cements!$A$95,VLOOKUP($A130,Cements!$A$8:$Q$94,11,FALSE),
IF($A130&lt;ValveBox!$A$124,VLOOKUP($A130,ValveBox!$A$9:$O$123,10,FALSE),
IF($A130&lt;'ValveBox Components'!$A$142,VLOOKUP($A130,'ValveBox Components'!$A$9:$N$141,9,FALSE),
IF($A130&lt;Drainage!$A$69,VLOOKUP($A130,Drainage!$A$8:$M$68,7,FALSE),                                                                                                                                                                                                                                                          IF($A130&lt;Nipples!$A$82,VLOOKUP($A130,Nipples!$A$9:$Q$81,11,FALSE),
IF($A130&lt;Manifold!$A$33,VLOOKUP($A130,Manifold!$A$9:$M$32,7,FALSE),
IF($A130&lt;FlexibleRepairCouplings!$A$12,VLOOKUP($A130,FlexibleRepairCouplings!$A$9:$M$11,7,FALSE),
IF($A130&lt;DuraFix!$A$15,VLOOKUP($A130,DuraFix!$A$9:$M$14,7,FALSE),                                                                                                                                                                                                                                                           IF($A130&lt;'Compression Fittings'!$A$16,VLOOKUP($A130,'Compression Fittings'!$A$8:$M$15,7,FALSE),
IF($A130&lt;'Hose Fittings'!$A$30,VLOOKUP($A130,'Hose Fittings'!$A$8:$M$29,7,FALSE),
IF($A130&lt;'Swing Joints'!$A$495,VLOOKUP($A130,'Swing Joints'!$A$9:$M$494,7,FALSE),
IF($A130&lt;'Swing Joints Components'!$A$135,VLOOKUP($A130,'Swing Joints Components'!$A$9:$M$134,7,FALSE),
IF($A130&lt;Nonstandard!$A$42,VLOOKUP($A130,Nonstandard!$A$31:$J$41,10,FALSE),"")))))))))))))))))))))))))))),"")</f>
        <v/>
      </c>
      <c r="I130" s="621"/>
      <c r="J130" s="541" t="str">
        <f t="shared" si="3"/>
        <v/>
      </c>
      <c r="K130" s="599" t="str">
        <f>IFERROR(IF($A130&lt;'DWV PVC'!$A$317,VLOOKUP($A130,'DWV PVC'!$A$9:$M$316,10,FALSE),
IF($A130&lt;'DWV ABS'!$A$117,VLOOKUP($A130,'DWV ABS'!$A$8:$M$116,10,FALSE),
IF($A130&lt;'PVC SCH40'!$A$425,VLOOKUP($A130,'PVC SCH40'!$A$8:$M$424,10,FALSE),
IF($A130&lt;'PVC SCH40 LD'!$A$22,VLOOKUP($A130,'PVC SCH40 LD'!$A$8:$M$21,10,FALSE),
IF($A130&lt;'Pool &amp; SPA Sweep Elbows'!$A$12,VLOOKUP($A130,'Pool &amp; SPA Sweep Elbows'!$A$8:$M$11,10,FALSE),
IF($A130&lt;'Pool &amp; SPA Pipe Extender'!$A$11,VLOOKUP($A130,'Pool &amp; SPA Pipe Extender'!$A$8:$M$10,10,FALSE),
IF($A130&lt;'PVC SCH80'!$A$250,VLOOKUP($A130,'PVC SCH80'!$A$8:$M$249,10,FALSE),
IF($A130&lt;'PVC SCH80 Flange'!$A$49,VLOOKUP($A130,'PVC SCH80 Flange'!$A$8:$M$48,10,FALSE),
IF($A130&lt;'PVC SCH80 LD Flange'!$A$17,VLOOKUP($A130,'PVC SCH80 LD Flange'!$A$8:$M$16,10,FALSE),
IF($A130&lt;CPVC!$A$105,VLOOKUP($A130,CPVC!$A$9:$M$104,10,FALSE),
IF($A130&lt;InsertFittings!$A$185,VLOOKUP($A130,InsertFittings!$A$9:$M$184,10,FALSE),
IF($A130&lt;Valves!$A$92,VLOOKUP($A130,Valves!$A$9:$Q$91,14,FALSE),
IF($A130&lt;SDR35SW!$A$133,VLOOKUP($A130,SDR35SW!$A$9:$M$132,10,FALSE),
IF($A130&lt;SDR35G!$A$151,VLOOKUP($A130,SDR35G!$A$9:$M$150,10,FALSE),
IF($A130&lt;SDR26G!$A$67,VLOOKUP($A130,SDR26G!$A$9:$N$66,11,FALSE),
IF($A130&lt;Cements!$A$95,VLOOKUP($A130,Cements!$A$8:$Q$94,14,FALSE),
IF($A130&lt;ValveBox!$A$124,VLOOKUP($A130,ValveBox!$A$9:$O$123,12,FALSE),
IF($A130&lt;'ValveBox Components'!$A$142,VLOOKUP($A130,'ValveBox Components'!$A$9:$N$141,11,FALSE),
IF($A130&lt;Drainage!$A$69,VLOOKUP($A130,Drainage!$A$8:$M$68,10,FALSE),
IF($A130&lt;Nipples!$A$82,VLOOKUP($A130,Nipples!$A$9:$Q$81,14,FALSE),
IF($A130&lt;Manifold!$A$33,VLOOKUP($A130,Manifold!$A$9:$M$32,10,FALSE),
IF($A130&lt;FlexibleRepairCouplings!$A$12,VLOOKUP($A130,FlexibleRepairCouplings!$A$9:$M$11,10,FALSE),
IF($A130&lt;DuraFix!$A$15,VLOOKUP($A130,DuraFix!$A$9:$M$14,10,FALSE),
IF($A130&lt;'Compression Fittings'!$A$16,VLOOKUP($A130,'Compression Fittings'!$A$8:$M$15,10,FALSE),
IF($A130&lt;'Hose Fittings'!$A$30,VLOOKUP($A130,'Hose Fittings'!$A$8:$M$29,10,FALSE),
IF($A130&lt;'Swing Joints'!$A$495,VLOOKUP($A130,'Swing Joints'!$A$9:$M$494,10,FALSE),
IF($A130&lt;'Swing Joints Components'!$A$135,VLOOKUP($A130,'Swing Joints Components'!$A$9:$M$134,10,FALSE),
IF($A130&lt;Nonstandard!$A$42,VLOOKUP($A130,Nonstandard!$A$31:$J$41,10,FALSE),"")))))))))))))))))))))))))))),"")</f>
        <v/>
      </c>
      <c r="L130" s="539" t="str">
        <f t="shared" si="2"/>
        <v>-</v>
      </c>
      <c r="M130" s="542"/>
    </row>
    <row r="131" spans="1:13" ht="15.6">
      <c r="A131" s="312">
        <v>99</v>
      </c>
      <c r="B131" s="312" t="str">
        <f>IFERROR(IF($A131&lt;'DWV PVC'!$A$317,VLOOKUP($A131,'DWV PVC'!$A$9:$M$316,4,FALSE),
IF($A131&lt;'DWV ABS'!$A$117,VLOOKUP($A131,'DWV ABS'!$A$8:$M$116,4,FALSE),
IF($A131&lt;'PVC SCH40'!$A$425,VLOOKUP($A131,'PVC SCH40'!$A$8:$M$424,4,FALSE),
IF($A131&lt;'PVC SCH40 LD'!$A$22,VLOOKUP($A131,'PVC SCH40 LD'!$A$8:$M$21,4,FALSE),
IF($A131&lt;'Pool &amp; SPA Sweep Elbows'!$A$12,VLOOKUP($A131,'Pool &amp; SPA Sweep Elbows'!$A$8:$M$11,4,FALSE),
IF($A131&lt;'Pool &amp; SPA Pipe Extender'!$A$11,VLOOKUP($A131,'Pool &amp; SPA Pipe Extender'!$A$8:$M$10,4,FALSE),
IF($A131&lt;'PVC SCH80'!$A$250,VLOOKUP($A131,'PVC SCH80'!$A$8:$M$249,4,FALSE),
IF($A131&lt;'PVC SCH80 Flange'!$A$49,VLOOKUP($A131,'PVC SCH80 Flange'!$A$8:$M$48,4,FALSE),
IF($A131&lt;'PVC SCH80 LD Flange'!$A$17,VLOOKUP($A131,'PVC SCH80 LD Flange'!$A$8:$M$16,4,FALSE),
IF($A131&lt;CPVC!$A$105,VLOOKUP($A131,CPVC!$A$9:$M$104,4,FALSE),
IF($A131&lt;InsertFittings!$A$185,VLOOKUP($A131,InsertFittings!$A$9:$M$184,4,FALSE),
IF($A131&lt;Valves!$A$92,VLOOKUP($A131,Valves!$A$9:$Q$91,4,FALSE),
IF($A131&lt;SDR35SW!$A$133,VLOOKUP($A131,SDR35SW!$A$9:$M$132,4,FALSE),
IF($A131&lt;SDR35G!$A$151,VLOOKUP($A131,SDR35G!$A$9:$M$150,4,FALSE),
IF($A131&lt;SDR26G!$A$67,VLOOKUP($A131,SDR26G!$A$9:$N$66,5,FALSE),
IF($A131&lt;Cements!$A$95,VLOOKUP($A131,Cements!$A$8:$Q$94,4,FALSE),
IF($A131&lt;ValveBox!$A$124,VLOOKUP($A131,ValveBox!$A$9:$O$123,4,FALSE),
IF($A131&lt;'ValveBox Components'!$A$142,VLOOKUP($A131,'ValveBox Components'!$A$9:$N$141,4,FALSE),
IF($A131&lt;Drainage!$A$69,VLOOKUP($A131,Drainage!$A$8:$M$68,4,FALSE),
IF($A131&lt;Nipples!$A$82,VLOOKUP($A131,Nipples!$A$9:$Q$81,4,FALSE),
IF($A131&lt;Manifold!$A$33,VLOOKUP($A131,Manifold!$A$9:$M$32,4,FALSE),
IF($A131&lt;FlexibleRepairCouplings!$A$12,VLOOKUP($A131,FlexibleRepairCouplings!$A$9:$M$11,4,FALSE),
IF($A131&lt;DuraFix!$A$15,VLOOKUP($A131,DuraFix!$A$9:$M$14,4,FALSE),
IF($A131&lt;'Compression Fittings'!$A$16,VLOOKUP($A131,'Compression Fittings'!$A$8:$M$15,4,FALSE),
IF($A131&lt;'Hose Fittings'!$A$30,VLOOKUP($A131,'Hose Fittings'!$A$8:$M$29,4,FALSE),
IF($A131&lt;'Swing Joints'!$A$495,VLOOKUP($A131,'Swing Joints'!$A$9:$M$494,4,FALSE),
IF($A131&lt;'Swing Joints Components'!$A$135,VLOOKUP($A131,'Swing Joints Components'!$A$9:$M$134,4,FALSE),
IF($A131&lt;Nonstandard!$A$42,VLOOKUP($A131,Nonstandard!$A$31:$J$41,5,FALSE),"")))))))))))))))))))))))))))),"")</f>
        <v/>
      </c>
      <c r="C131" s="312" t="str">
        <f>IFERROR(IF($A131&lt;'DWV PVC'!$A$317,VLOOKUP($A131,'DWV PVC'!$A$9:$M$316,5,FALSE),
IF($A131&lt;'DWV ABS'!$A$117,VLOOKUP($A131,'DWV ABS'!$A$8:$M$116,5,FALSE),
IF($A131&lt;'PVC SCH40'!$A$425,VLOOKUP($A131,'PVC SCH40'!$A$8:$M$424,5,FALSE),
IF($A131&lt;'PVC SCH40 LD'!$A$22,VLOOKUP($A131,'PVC SCH40 LD'!$A$8:$M$21,5,FALSE),
IF($A131&lt;'Pool &amp; SPA Sweep Elbows'!$A$12,VLOOKUP($A131,'Pool &amp; SPA Sweep Elbows'!$A$8:$M$11,5,FALSE),
IF($A131&lt;'Pool &amp; SPA Pipe Extender'!$A$11,VLOOKUP($A131,'Pool &amp; SPA Pipe Extender'!$A$8:$M$10,5,FALSE),
IF($A131&lt;'PVC SCH80'!$A$250,VLOOKUP($A131,'PVC SCH80'!$A$8:$M$249,5,FALSE),
IF($A131&lt;'PVC SCH80 Flange'!$A$49,VLOOKUP($A131,'PVC SCH80 Flange'!$A$8:$M$48,5,FALSE),
IF($A131&lt;'PVC SCH80 LD Flange'!$A$17,VLOOKUP($A131,'PVC SCH80 LD Flange'!$A$8:$M$16,5,FALSE),
IF($A131&lt;CPVC!$A$105,VLOOKUP($A131,CPVC!$A$9:$M$104,5,FALSE),
IF($A131&lt;InsertFittings!$A$185,VLOOKUP($A131,InsertFittings!$A$9:$M$184,5,FALSE),
IF($A131&lt;Valves!$A$92,VLOOKUP($A131,Valves!$A$9:$Q$91,5,FALSE),
IF($A131&lt;SDR35SW!$A$133,VLOOKUP($A131,SDR35SW!$A$9:$M$132,5,FALSE),
IF($A131&lt;SDR35G!$A$151,VLOOKUP($A131,SDR35G!$A$9:$M$150,5,FALSE),
IF($A131&lt;SDR26G!$A$67,VLOOKUP($A131,SDR26G!$A$9:$N$66,6,FALSE),
IF($A131&lt;Cements!$A$95,VLOOKUP($A131,Cements!$A$8:$Q$94,5,FALSE),
IF($A131&lt;ValveBox!$A$124,VLOOKUP($A131,ValveBox!$A$9:$O$123,5,FALSE),
IF($A131&lt;'ValveBox Components'!$A$142,VLOOKUP($A131,'ValveBox Components'!$A$9:$N$141,5,FALSE),
IF($A131&lt;Drainage!$A$69,VLOOKUP($A131,Drainage!$A$8:$M$68,5,FALSE),
IF($A131&lt;Nipples!$A$82,VLOOKUP($A131,Nipples!$A$9:$Q$81,5,FALSE),
IF($A131&lt;Manifold!$A$33,VLOOKUP($A131,Manifold!$A$9:$M$32,5,FALSE),
IF($A131&lt;FlexibleRepairCouplings!$A$12,VLOOKUP($A131,FlexibleRepairCouplings!$A$9:$M$11,5,FALSE),
IF($A131&lt;DuraFix!$A$15,VLOOKUP($A131,DuraFix!$A$9:$M$14,5,FALSE),
IF($A131&lt;'Compression Fittings'!$A$16,VLOOKUP($A131,'Compression Fittings'!$A$8:$M$15,5,FALSE),
IF($A131&lt;'Hose Fittings'!$A$30,VLOOKUP($A131,'Hose Fittings'!$A$8:$M$29,5,FALSE),
IF($A131&lt;'Swing Joints'!$A$495,VLOOKUP($A131,'Swing Joints'!$A$9:$M$494,5,FALSE),
IF($A131&lt;'Swing Joints Components'!$A$135,VLOOKUP($A131,'Swing Joints Components'!$A$9:$M$134,5,FALSE),
IF($A131&lt;Nonstandard!$A$42,VLOOKUP($A131,Nonstandard!$A$31:$J$41,6,FALSE),"")))))))))))))))))))))))))))),"")</f>
        <v/>
      </c>
      <c r="D131" s="534" t="str">
        <f>IFERROR(IF($A131&lt;'DWV PVC'!$A$317,VLOOKUP($A131,'DWV PVC'!$A$9:$M$316,6,FALSE),
IF($A131&lt;'DWV ABS'!$A$117,VLOOKUP($A131,'DWV ABS'!$A$8:$M$116,6,FALSE),
IF($A131&lt;'PVC SCH40'!$A$425,VLOOKUP($A131,'PVC SCH40'!$A$8:$M$424,6,FALSE),
IF($A131&lt;'PVC SCH40 LD'!$A$22,VLOOKUP($A131,'PVC SCH40 LD'!$A$8:$M$21,6,FALSE),
IF($A131&lt;'Pool &amp; SPA Sweep Elbows'!$A$12,VLOOKUP($A131,'Pool &amp; SPA Sweep Elbows'!$A$8:$M$11,6,FALSE),
IF($A131&lt;'Pool &amp; SPA Pipe Extender'!$A$11,VLOOKUP($A131,'Pool &amp; SPA Pipe Extender'!$A$8:$M$10,6,FALSE),
IF($A131&lt;'PVC SCH80'!$A$250,VLOOKUP($A131,'PVC SCH80'!$A$8:$M$249,6,FALSE),
IF($A131&lt;'PVC SCH80 Flange'!$A$49,VLOOKUP($A131,'PVC SCH80 Flange'!$A$8:$M$48,6,FALSE),
IF($A131&lt;'PVC SCH80 LD Flange'!$A$17,VLOOKUP($A131,'PVC SCH80 LD Flange'!$A$8:$M$16,6,FALSE),
IF($A131&lt;CPVC!$A$105,VLOOKUP($A131,CPVC!$A$9:$M$104,6,FALSE),
IF($A131&lt;InsertFittings!$A$185,VLOOKUP($A131,InsertFittings!$A$9:$M$184,6,FALSE),
IF($A131&lt;Valves!$A$92,VLOOKUP($A131,Valves!$A$9:$Q$91,6,FALSE),
IF($A131&lt;SDR35SW!$A$133,VLOOKUP($A131,SDR35SW!$A$9:$M$132,6,FALSE),
IF($A131&lt;SDR35G!$A$151,VLOOKUP($A131,SDR35G!$A$9:$M$150,6,FALSE),
IF($A131&lt;SDR26G!$A$67,VLOOKUP($A131,SDR26G!$A$9:$N$66,7,FALSE),
IF($A131&lt;Cements!$A$95,VLOOKUP($A131,Cements!$A$8:$Q$94,6,FALSE),
IF($A131&lt;ValveBox!$A$124,VLOOKUP($A131,ValveBox!$A$9:$O$123,6,FALSE),
IF($A131&lt;'ValveBox Components'!$A$142,VLOOKUP($A131,'ValveBox Components'!$A$9:$N$141,6,FALSE),
IF($A131&lt;Drainage!$A$69,VLOOKUP($A131,Drainage!$A$8:$M$68,6,FALSE),
IF($A131&lt;Nipples!$A$82,VLOOKUP($A131,Nipples!$A$9:$Q$81,6,FALSE),
IF($A131&lt;Manifold!$A$33,VLOOKUP($A131,Manifold!$A$9:$M$32,6,FALSE),
IF($A131&lt;FlexibleRepairCouplings!$A$12,VLOOKUP($A131,FlexibleRepairCouplings!$A$9:$M$11,6,FALSE),
IF($A131&lt;DuraFix!$A$15,VLOOKUP($A131,DuraFix!$A$9:$M$14,6,FALSE),
IF($A131&lt;'Compression Fittings'!$A$16,VLOOKUP($A131,'Compression Fittings'!$A$8:$M$15,6,FALSE),
IF($A131&lt;'Hose Fittings'!$A$30,VLOOKUP($A131,'Hose Fittings'!$A$8:$M$29,6,FALSE),
IF($A131&lt;'Swing Joints'!$A$495,VLOOKUP($A131,'Swing Joints'!$A$9:$M$494,6,FALSE),
IF($A131&lt;'Swing Joints Components'!$A$135,VLOOKUP($A131,'Swing Joints Components'!$A$9:$M$134,6,FALSE),
IF($A131&lt;Nonstandard!$A$42,VLOOKUP($A131,Nonstandard!$A$31:$J$41,7,FALSE),"")))))))))))))))))))))))))))),"")</f>
        <v/>
      </c>
      <c r="E131" s="316"/>
      <c r="F131" s="314" t="str">
        <f>IFERROR(IF($A131&lt;'DWV PVC'!$A$317,VLOOKUP($A131,'DWV PVC'!$A$9:$M$316,9,FALSE),
IF($A131&lt;'DWV ABS'!$A$117,VLOOKUP($A131,'DWV ABS'!$A$8:$M$116,9,FALSE),                                                                                                                                                                                                                                                     IF($A131&lt;'PVC SCH40'!$A$425,VLOOKUP($A131,'PVC SCH40'!$A$8:$M$424,9,FALSE),
IF($A131&lt;'PVC SCH40 LD'!$A$22,VLOOKUP($A131,'PVC SCH40 LD'!$A$8:$M$21,9,FALSE),
IF($A131&lt;'Pool &amp; SPA Sweep Elbows'!$A$12,VLOOKUP($A131,'Pool &amp; SPA Sweep Elbows'!$A$8:$M$11,9,FALSE),
IF($A131&lt;'Pool &amp; SPA Pipe Extender'!$A$11,VLOOKUP($A131,'Pool &amp; SPA Pipe Extender'!$A$8:$M$10,9,FALSE),
IF($A131&lt;'PVC SCH80'!$A$250,VLOOKUP($A131,'PVC SCH80'!$A$8:$M$249,9,FALSE),
IF($A131&lt;'PVC SCH80 Flange'!$A$49,VLOOKUP($A131,'PVC SCH80 Flange'!$A$8:$M$48,9,FALSE),
IF($A131&lt;'PVC SCH80 LD Flange'!$A$17,VLOOKUP($A131,'PVC SCH80 LD Flange'!$A$8:$M$16,9,FALSE),
IF($A131&lt;CPVC!$A$105,VLOOKUP($A131,CPVC!$A$9:$M$104,9,FALSE),
IF($A131&lt;InsertFittings!$A$185,VLOOKUP($A131,InsertFittings!$A$9:$M$184,9,FALSE),
IF($A131&lt;Valves!$A$92,VLOOKUP($A131,Valves!$A$9:$Q$91,13,FALSE),
IF($A131&lt;SDR35SW!$A$133,VLOOKUP($A131,SDR35SW!$A$9:$M$132,9,FALSE),
IF($A131&lt;SDR35G!$A$151,VLOOKUP($A131,SDR35G!$A$9:$M$150,9,FALSE),                                                                                                                                                                                                                                                          IF($A131&lt;SDR26G!$A$67,VLOOKUP($A131,SDR26G!$A$9:$N$66,10,FALSE),                                                                                                                                                                                                                                                       IF($A131&lt;Cements!$A$95,VLOOKUP($A131,Cements!$A$8:$Q$94,13,FALSE),
IF($A131&lt;ValveBox!$A$124,VLOOKUP($A131,ValveBox!$A$9:$O$123,11,FALSE),
IF($A131&lt;'ValveBox Components'!$A$142,VLOOKUP($A131,'ValveBox Components'!$A$9:$N$141,10,FALSE),
IF($A131&lt;Drainage!$A$69,VLOOKUP($A131,Drainage!$A$8:$M$68,9,FALSE),                                                                                                                                                                                                                                                              IF($A131&lt;Nipples!$A$82,VLOOKUP($A131,Nipples!$A$9:$Q$81,13,FALSE),
IF($A131&lt;Manifold!$A$33,VLOOKUP($A131,Manifold!$A$9:$M$32,9,FALSE),
IF($A131&lt;FlexibleRepairCouplings!$A$12,VLOOKUP($A131,FlexibleRepairCouplings!$A$9:$M$11,9,FALSE),
IF($A131&lt;DuraFix!$A$15,VLOOKUP($A131,DuraFix!$A$9:$M$14,9,FALSE),                                                                                                                                                                                                                                                          IF($A131&lt;'Compression Fittings'!$A$16,VLOOKUP($A131,'Compression Fittings'!$A$8:$M$15,9,FALSE),
IF($A131&lt;'Hose Fittings'!$A$30,VLOOKUP($A131,'Hose Fittings'!$A$8:$M$29,9,FALSE),
IF($A131&lt;'Swing Joints'!$A$495,VLOOKUP($A131,'Swing Joints'!$A$9:$M$494,9,FALSE),
IF($A131&lt;'Swing Joints Components'!$A$135,VLOOKUP($A131,'Swing Joints Components'!$A$9:$M$134,9,FALSE),
IF($A131&lt;Nonstandard!$A$42,VLOOKUP($A131,Nonstandard!$A$31:$J$41,8,FALSE),"")))))))))))))))))))))))))))),"")</f>
        <v/>
      </c>
      <c r="G131" s="533" t="str">
        <f>IFERROR(IF($A131&lt;'DWV PVC'!$A$317,VLOOKUP($A131,'DWV PVC'!$A$9:$M$316,11,FALSE),
IF($A131&lt;'DWV ABS'!$A$117,VLOOKUP($A131,'DWV ABS'!$A$8:$M$116,11,FALSE),                                                                                                                                                                                                                                                     IF($A131&lt;'PVC SCH40'!$A$425,VLOOKUP($A131,'PVC SCH40'!$A$8:$M$424,11,FALSE),
IF($A131&lt;'PVC SCH40 LD'!$A$22,VLOOKUP($A131,'PVC SCH40 LD'!$A$8:$M$21,11,FALSE),
IF($A131&lt;'Pool &amp; SPA Sweep Elbows'!$A$12,VLOOKUP($A131,'Pool &amp; SPA Sweep Elbows'!$A$8:$M$11,11,FALSE),
IF($A131&lt;'Pool &amp; SPA Pipe Extender'!$A$11,VLOOKUP($A131,'Pool &amp; SPA Pipe Extender'!$A$8:$M$10,11,FALSE),
IF($A131&lt;'PVC SCH80'!$A$250,VLOOKUP($A131,'PVC SCH80'!$A$8:$M$249,11,FALSE),
IF($A131&lt;'PVC SCH80 Flange'!$A$49,VLOOKUP($A131,'PVC SCH80 Flange'!$A$8:$M$48,11,FALSE),
IF($A131&lt;'PVC SCH80 LD Flange'!$A$17,VLOOKUP($A131,'PVC SCH80 LD Flange'!$A$8:$M$16,11,FALSE),
IF($A131&lt;CPVC!$A$105,VLOOKUP($A131,CPVC!$A$9:$M$104,11,FALSE),
IF($A131&lt;InsertFittings!$A$185,VLOOKUP($A131,InsertFittings!$A$9:$M$184,11,FALSE),
IF($A131&lt;Valves!$A$92,VLOOKUP($A131,Valves!$A$9:$Q$91,15,FALSE),
IF($A131&lt;SDR35SW!$A$133,VLOOKUP($A131,SDR35SW!$A$9:$M$132,11,FALSE),
IF($A131&lt;SDR35G!$A$151,VLOOKUP($A131,SDR35G!$A$9:$M$150,11,FALSE),                                                                                                                                                                                                                                                          IF($A131&lt;SDR26G!$A$67,VLOOKUP($A131,SDR26G!$A$9:$N$66,12,FALSE),                                                                                                                                                                                                                                                       IF($A131&lt;Cements!$A$95,VLOOKUP($A131,Cements!$A$8:$Q$94,15,FALSE),
IF($A131&lt;ValveBox!$A$124,VLOOKUP($A131,ValveBox!$A$9:$O$123,13,FALSE),
IF($A131&lt;'ValveBox Components'!$A$142,VLOOKUP($A131,'ValveBox Components'!$A$9:$N$141,12,FALSE),
IF($A131&lt;Drainage!$A$69,VLOOKUP($A131,Drainage!$A$8:$M$68,11,FALSE),                                                                                                                                                                                                                                                           IF($A131&lt;Nipples!$A$82,VLOOKUP($A131,Nipples!$A$9:$Q$81,15,FALSE),
IF($A131&lt;Manifold!$A$33,VLOOKUP($A131,Manifold!$A$9:$M$32,11,FALSE),
IF($A131&lt;FlexibleRepairCouplings!$A$12,VLOOKUP($A131,FlexibleRepairCouplings!$A$9:$M$11,11,FALSE),
IF($A131&lt;DuraFix!$A$15,VLOOKUP($A131,DuraFix!$A$9:$M$14,11,FALSE),                                                                                                                                                                                                                                                            IF($A131&lt;'Compression Fittings'!$A$16,VLOOKUP($A131,'Compression Fittings'!$A$8:$M$15,11,FALSE),
IF($A131&lt;'Hose Fittings'!$A$30,VLOOKUP($A131,'Hose Fittings'!$A$8:$M$29,11,FALSE),
IF($A131&lt;'Swing Joints'!$A$495,VLOOKUP($A131,'Swing Joints'!$A$9:$M$494,11,FALSE),
IF($A131&lt;'Swing Joints Components'!$A$135,VLOOKUP($A131,'Swing Joints Components'!$A$9:$M$134,11,FALSE),
IF($A131&lt;Nonstandard!$A$42,VLOOKUP($A131,Nonstandard!$A$31:$J$41,10,FALSE),"")))))))))))))))))))))))))))),"")</f>
        <v/>
      </c>
      <c r="H131" s="618" t="str">
        <f>IFERROR(IF($A131&lt;'DWV PVC'!$A$317,VLOOKUP($A131,'DWV PVC'!$A$9:$M$316,7,FALSE),
IF($A131&lt;'DWV ABS'!$A$117,VLOOKUP($A131,'DWV ABS'!$A$8:$M$116,11,FALSE),                                                                                                                                                                                                                                                     IF($A131&lt;'PVC SCH40'!$A$425,VLOOKUP($A131,'PVC SCH40'!$A$8:$M$424,7,FALSE),
IF($A131&lt;'PVC SCH40 LD'!$A$22,VLOOKUP($A131,'PVC SCH40 LD'!$A$8:$M$21,7,FALSE),
IF($A131&lt;'Pool &amp; SPA Sweep Elbows'!$A$12,VLOOKUP($A131,'Pool &amp; SPA Sweep Elbows'!$A$8:$M$11,7,FALSE),
IF($A131&lt;'Pool &amp; SPA Pipe Extender'!$A$11,VLOOKUP($A131,'Pool &amp; SPA Pipe Extender'!$A$8:$M$10,7,FALSE),
IF($A131&lt;'PVC SCH80'!$A$250,VLOOKUP($A131,'PVC SCH80'!$A$8:$M$249,7,FALSE),
IF($A131&lt;'PVC SCH80 Flange'!$A$49,VLOOKUP($A131,'PVC SCH80 Flange'!$A$8:$M$48,7,FALSE),
IF($A131&lt;'PVC SCH80 LD Flange'!$A$17,VLOOKUP($A131,'PVC SCH80 LD Flange'!$A$8:$M$16,7,FALSE),
IF($A131&lt;CPVC!$A$105,VLOOKUP($A131,CPVC!$A$9:$M$104,7,FALSE),
IF($A131&lt;InsertFittings!$A$185,VLOOKUP($A131,InsertFittings!$A$9:$M$184,7,FALSE),
IF($A131&lt;Valves!$A$92,VLOOKUP($A131,Valves!$A$9:$Q$91,11,FALSE),
IF($A131&lt;SDR35SW!$A$133,VLOOKUP($A131,SDR35SW!$A$9:$M$132,7,FALSE),
IF($A131&lt;SDR35G!$A$151,VLOOKUP($A131,SDR35G!$A$9:$M$150,7,FALSE),                                                                                                                                                                                                                                                       IF($A131&lt;SDR26G!$A$67,VLOOKUP($A131,SDR26G!$A$9:$N$66,8,FALSE),                                                                                                                                                                                                                                                     IF($A131&lt;Cements!$A$95,VLOOKUP($A131,Cements!$A$8:$Q$94,11,FALSE),
IF($A131&lt;ValveBox!$A$124,VLOOKUP($A131,ValveBox!$A$9:$O$123,10,FALSE),
IF($A131&lt;'ValveBox Components'!$A$142,VLOOKUP($A131,'ValveBox Components'!$A$9:$N$141,9,FALSE),
IF($A131&lt;Drainage!$A$69,VLOOKUP($A131,Drainage!$A$8:$M$68,7,FALSE),                                                                                                                                                                                                                                                          IF($A131&lt;Nipples!$A$82,VLOOKUP($A131,Nipples!$A$9:$Q$81,11,FALSE),
IF($A131&lt;Manifold!$A$33,VLOOKUP($A131,Manifold!$A$9:$M$32,7,FALSE),
IF($A131&lt;FlexibleRepairCouplings!$A$12,VLOOKUP($A131,FlexibleRepairCouplings!$A$9:$M$11,7,FALSE),
IF($A131&lt;DuraFix!$A$15,VLOOKUP($A131,DuraFix!$A$9:$M$14,7,FALSE),                                                                                                                                                                                                                                                           IF($A131&lt;'Compression Fittings'!$A$16,VLOOKUP($A131,'Compression Fittings'!$A$8:$M$15,7,FALSE),
IF($A131&lt;'Hose Fittings'!$A$30,VLOOKUP($A131,'Hose Fittings'!$A$8:$M$29,7,FALSE),
IF($A131&lt;'Swing Joints'!$A$495,VLOOKUP($A131,'Swing Joints'!$A$9:$M$494,7,FALSE),
IF($A131&lt;'Swing Joints Components'!$A$135,VLOOKUP($A131,'Swing Joints Components'!$A$9:$M$134,7,FALSE),
IF($A131&lt;Nonstandard!$A$42,VLOOKUP($A131,Nonstandard!$A$31:$J$41,10,FALSE),"")))))))))))))))))))))))))))),"")</f>
        <v/>
      </c>
      <c r="I131" s="619"/>
      <c r="J131" s="281" t="str">
        <f t="shared" si="3"/>
        <v/>
      </c>
      <c r="K131" s="313" t="str">
        <f>IFERROR(IF($A131&lt;'DWV PVC'!$A$317,VLOOKUP($A131,'DWV PVC'!$A$9:$M$316,10,FALSE),
IF($A131&lt;'DWV ABS'!$A$117,VLOOKUP($A131,'DWV ABS'!$A$8:$M$116,10,FALSE),
IF($A131&lt;'PVC SCH40'!$A$425,VLOOKUP($A131,'PVC SCH40'!$A$8:$M$424,10,FALSE),
IF($A131&lt;'PVC SCH40 LD'!$A$22,VLOOKUP($A131,'PVC SCH40 LD'!$A$8:$M$21,10,FALSE),
IF($A131&lt;'Pool &amp; SPA Sweep Elbows'!$A$12,VLOOKUP($A131,'Pool &amp; SPA Sweep Elbows'!$A$8:$M$11,10,FALSE),
IF($A131&lt;'Pool &amp; SPA Pipe Extender'!$A$11,VLOOKUP($A131,'Pool &amp; SPA Pipe Extender'!$A$8:$M$10,10,FALSE),
IF($A131&lt;'PVC SCH80'!$A$250,VLOOKUP($A131,'PVC SCH80'!$A$8:$M$249,10,FALSE),
IF($A131&lt;'PVC SCH80 Flange'!$A$49,VLOOKUP($A131,'PVC SCH80 Flange'!$A$8:$M$48,10,FALSE),
IF($A131&lt;'PVC SCH80 LD Flange'!$A$17,VLOOKUP($A131,'PVC SCH80 LD Flange'!$A$8:$M$16,10,FALSE),
IF($A131&lt;CPVC!$A$105,VLOOKUP($A131,CPVC!$A$9:$M$104,10,FALSE),
IF($A131&lt;InsertFittings!$A$185,VLOOKUP($A131,InsertFittings!$A$9:$M$184,10,FALSE),
IF($A131&lt;Valves!$A$92,VLOOKUP($A131,Valves!$A$9:$Q$91,14,FALSE),
IF($A131&lt;SDR35SW!$A$133,VLOOKUP($A131,SDR35SW!$A$9:$M$132,10,FALSE),
IF($A131&lt;SDR35G!$A$151,VLOOKUP($A131,SDR35G!$A$9:$M$150,10,FALSE),
IF($A131&lt;SDR26G!$A$67,VLOOKUP($A131,SDR26G!$A$9:$N$66,11,FALSE),
IF($A131&lt;Cements!$A$95,VLOOKUP($A131,Cements!$A$8:$Q$94,14,FALSE),
IF($A131&lt;ValveBox!$A$124,VLOOKUP($A131,ValveBox!$A$9:$O$123,12,FALSE),
IF($A131&lt;'ValveBox Components'!$A$142,VLOOKUP($A131,'ValveBox Components'!$A$9:$N$141,11,FALSE),
IF($A131&lt;Drainage!$A$69,VLOOKUP($A131,Drainage!$A$8:$M$68,10,FALSE),
IF($A131&lt;Nipples!$A$82,VLOOKUP($A131,Nipples!$A$9:$Q$81,14,FALSE),
IF($A131&lt;Manifold!$A$33,VLOOKUP($A131,Manifold!$A$9:$M$32,10,FALSE),
IF($A131&lt;FlexibleRepairCouplings!$A$12,VLOOKUP($A131,FlexibleRepairCouplings!$A$9:$M$11,10,FALSE),
IF($A131&lt;DuraFix!$A$15,VLOOKUP($A131,DuraFix!$A$9:$M$14,10,FALSE),
IF($A131&lt;'Compression Fittings'!$A$16,VLOOKUP($A131,'Compression Fittings'!$A$8:$M$15,10,FALSE),
IF($A131&lt;'Hose Fittings'!$A$30,VLOOKUP($A131,'Hose Fittings'!$A$8:$M$29,10,FALSE),
IF($A131&lt;'Swing Joints'!$A$495,VLOOKUP($A131,'Swing Joints'!$A$9:$M$494,10,FALSE),
IF($A131&lt;'Swing Joints Components'!$A$135,VLOOKUP($A131,'Swing Joints Components'!$A$9:$M$134,10,FALSE),
IF($A131&lt;Nonstandard!$A$42,VLOOKUP($A131,Nonstandard!$A$31:$J$41,10,FALSE),"")))))))))))))))))))))))))))),"")</f>
        <v/>
      </c>
      <c r="L131" s="314" t="str">
        <f t="shared" si="2"/>
        <v>-</v>
      </c>
      <c r="M131" s="315"/>
    </row>
    <row r="132" spans="1:13" ht="15.6">
      <c r="A132" s="536">
        <v>100</v>
      </c>
      <c r="B132" s="536" t="str">
        <f>IFERROR(IF($A132&lt;'DWV PVC'!$A$317,VLOOKUP($A132,'DWV PVC'!$A$9:$M$316,4,FALSE),
IF($A132&lt;'DWV ABS'!$A$117,VLOOKUP($A132,'DWV ABS'!$A$8:$M$116,4,FALSE),
IF($A132&lt;'PVC SCH40'!$A$425,VLOOKUP($A132,'PVC SCH40'!$A$8:$M$424,4,FALSE),
IF($A132&lt;'PVC SCH40 LD'!$A$22,VLOOKUP($A132,'PVC SCH40 LD'!$A$8:$M$21,4,FALSE),
IF($A132&lt;'Pool &amp; SPA Sweep Elbows'!$A$12,VLOOKUP($A132,'Pool &amp; SPA Sweep Elbows'!$A$8:$M$11,4,FALSE),
IF($A132&lt;'Pool &amp; SPA Pipe Extender'!$A$11,VLOOKUP($A132,'Pool &amp; SPA Pipe Extender'!$A$8:$M$10,4,FALSE),
IF($A132&lt;'PVC SCH80'!$A$250,VLOOKUP($A132,'PVC SCH80'!$A$8:$M$249,4,FALSE),
IF($A132&lt;'PVC SCH80 Flange'!$A$49,VLOOKUP($A132,'PVC SCH80 Flange'!$A$8:$M$48,4,FALSE),
IF($A132&lt;'PVC SCH80 LD Flange'!$A$17,VLOOKUP($A132,'PVC SCH80 LD Flange'!$A$8:$M$16,4,FALSE),
IF($A132&lt;CPVC!$A$105,VLOOKUP($A132,CPVC!$A$9:$M$104,4,FALSE),
IF($A132&lt;InsertFittings!$A$185,VLOOKUP($A132,InsertFittings!$A$9:$M$184,4,FALSE),
IF($A132&lt;Valves!$A$92,VLOOKUP($A132,Valves!$A$9:$Q$91,4,FALSE),
IF($A132&lt;SDR35SW!$A$133,VLOOKUP($A132,SDR35SW!$A$9:$M$132,4,FALSE),
IF($A132&lt;SDR35G!$A$151,VLOOKUP($A132,SDR35G!$A$9:$M$150,4,FALSE),
IF($A132&lt;SDR26G!$A$67,VLOOKUP($A132,SDR26G!$A$9:$N$66,5,FALSE),
IF($A132&lt;Cements!$A$95,VLOOKUP($A132,Cements!$A$8:$Q$94,4,FALSE),
IF($A132&lt;ValveBox!$A$124,VLOOKUP($A132,ValveBox!$A$9:$O$123,4,FALSE),
IF($A132&lt;'ValveBox Components'!$A$142,VLOOKUP($A132,'ValveBox Components'!$A$9:$N$141,4,FALSE),
IF($A132&lt;Drainage!$A$69,VLOOKUP($A132,Drainage!$A$8:$M$68,4,FALSE),
IF($A132&lt;Nipples!$A$82,VLOOKUP($A132,Nipples!$A$9:$Q$81,4,FALSE),
IF($A132&lt;Manifold!$A$33,VLOOKUP($A132,Manifold!$A$9:$M$32,4,FALSE),
IF($A132&lt;FlexibleRepairCouplings!$A$12,VLOOKUP($A132,FlexibleRepairCouplings!$A$9:$M$11,4,FALSE),
IF($A132&lt;DuraFix!$A$15,VLOOKUP($A132,DuraFix!$A$9:$M$14,4,FALSE),
IF($A132&lt;'Compression Fittings'!$A$16,VLOOKUP($A132,'Compression Fittings'!$A$8:$M$15,4,FALSE),
IF($A132&lt;'Hose Fittings'!$A$30,VLOOKUP($A132,'Hose Fittings'!$A$8:$M$29,4,FALSE),
IF($A132&lt;'Swing Joints'!$A$495,VLOOKUP($A132,'Swing Joints'!$A$9:$M$494,4,FALSE),
IF($A132&lt;'Swing Joints Components'!$A$135,VLOOKUP($A132,'Swing Joints Components'!$A$9:$M$134,4,FALSE),
IF($A132&lt;Nonstandard!$A$42,VLOOKUP($A132,Nonstandard!$A$31:$J$41,5,FALSE),"")))))))))))))))))))))))))))),"")</f>
        <v/>
      </c>
      <c r="C132" s="536" t="str">
        <f>IFERROR(IF($A132&lt;'DWV PVC'!$A$317,VLOOKUP($A132,'DWV PVC'!$A$9:$M$316,5,FALSE),
IF($A132&lt;'DWV ABS'!$A$117,VLOOKUP($A132,'DWV ABS'!$A$8:$M$116,5,FALSE),
IF($A132&lt;'PVC SCH40'!$A$425,VLOOKUP($A132,'PVC SCH40'!$A$8:$M$424,5,FALSE),
IF($A132&lt;'PVC SCH40 LD'!$A$22,VLOOKUP($A132,'PVC SCH40 LD'!$A$8:$M$21,5,FALSE),
IF($A132&lt;'Pool &amp; SPA Sweep Elbows'!$A$12,VLOOKUP($A132,'Pool &amp; SPA Sweep Elbows'!$A$8:$M$11,5,FALSE),
IF($A132&lt;'Pool &amp; SPA Pipe Extender'!$A$11,VLOOKUP($A132,'Pool &amp; SPA Pipe Extender'!$A$8:$M$10,5,FALSE),
IF($A132&lt;'PVC SCH80'!$A$250,VLOOKUP($A132,'PVC SCH80'!$A$8:$M$249,5,FALSE),
IF($A132&lt;'PVC SCH80 Flange'!$A$49,VLOOKUP($A132,'PVC SCH80 Flange'!$A$8:$M$48,5,FALSE),
IF($A132&lt;'PVC SCH80 LD Flange'!$A$17,VLOOKUP($A132,'PVC SCH80 LD Flange'!$A$8:$M$16,5,FALSE),
IF($A132&lt;CPVC!$A$105,VLOOKUP($A132,CPVC!$A$9:$M$104,5,FALSE),
IF($A132&lt;InsertFittings!$A$185,VLOOKUP($A132,InsertFittings!$A$9:$M$184,5,FALSE),
IF($A132&lt;Valves!$A$92,VLOOKUP($A132,Valves!$A$9:$Q$91,5,FALSE),
IF($A132&lt;SDR35SW!$A$133,VLOOKUP($A132,SDR35SW!$A$9:$M$132,5,FALSE),
IF($A132&lt;SDR35G!$A$151,VLOOKUP($A132,SDR35G!$A$9:$M$150,5,FALSE),
IF($A132&lt;SDR26G!$A$67,VLOOKUP($A132,SDR26G!$A$9:$N$66,6,FALSE),
IF($A132&lt;Cements!$A$95,VLOOKUP($A132,Cements!$A$8:$Q$94,5,FALSE),
IF($A132&lt;ValveBox!$A$124,VLOOKUP($A132,ValveBox!$A$9:$O$123,5,FALSE),
IF($A132&lt;'ValveBox Components'!$A$142,VLOOKUP($A132,'ValveBox Components'!$A$9:$N$141,5,FALSE),
IF($A132&lt;Drainage!$A$69,VLOOKUP($A132,Drainage!$A$8:$M$68,5,FALSE),
IF($A132&lt;Nipples!$A$82,VLOOKUP($A132,Nipples!$A$9:$Q$81,5,FALSE),
IF($A132&lt;Manifold!$A$33,VLOOKUP($A132,Manifold!$A$9:$M$32,5,FALSE),
IF($A132&lt;FlexibleRepairCouplings!$A$12,VLOOKUP($A132,FlexibleRepairCouplings!$A$9:$M$11,5,FALSE),
IF($A132&lt;DuraFix!$A$15,VLOOKUP($A132,DuraFix!$A$9:$M$14,5,FALSE),
IF($A132&lt;'Compression Fittings'!$A$16,VLOOKUP($A132,'Compression Fittings'!$A$8:$M$15,5,FALSE),
IF($A132&lt;'Hose Fittings'!$A$30,VLOOKUP($A132,'Hose Fittings'!$A$8:$M$29,5,FALSE),
IF($A132&lt;'Swing Joints'!$A$495,VLOOKUP($A132,'Swing Joints'!$A$9:$M$494,5,FALSE),
IF($A132&lt;'Swing Joints Components'!$A$135,VLOOKUP($A132,'Swing Joints Components'!$A$9:$M$134,5,FALSE),
IF($A132&lt;Nonstandard!$A$42,VLOOKUP($A132,Nonstandard!$A$31:$J$41,6,FALSE),"")))))))))))))))))))))))))))),"")</f>
        <v/>
      </c>
      <c r="D132" s="537" t="str">
        <f>IFERROR(IF($A132&lt;'DWV PVC'!$A$317,VLOOKUP($A132,'DWV PVC'!$A$9:$M$316,6,FALSE),
IF($A132&lt;'DWV ABS'!$A$117,VLOOKUP($A132,'DWV ABS'!$A$8:$M$116,6,FALSE),
IF($A132&lt;'PVC SCH40'!$A$425,VLOOKUP($A132,'PVC SCH40'!$A$8:$M$424,6,FALSE),
IF($A132&lt;'PVC SCH40 LD'!$A$22,VLOOKUP($A132,'PVC SCH40 LD'!$A$8:$M$21,6,FALSE),
IF($A132&lt;'Pool &amp; SPA Sweep Elbows'!$A$12,VLOOKUP($A132,'Pool &amp; SPA Sweep Elbows'!$A$8:$M$11,6,FALSE),
IF($A132&lt;'Pool &amp; SPA Pipe Extender'!$A$11,VLOOKUP($A132,'Pool &amp; SPA Pipe Extender'!$A$8:$M$10,6,FALSE),
IF($A132&lt;'PVC SCH80'!$A$250,VLOOKUP($A132,'PVC SCH80'!$A$8:$M$249,6,FALSE),
IF($A132&lt;'PVC SCH80 Flange'!$A$49,VLOOKUP($A132,'PVC SCH80 Flange'!$A$8:$M$48,6,FALSE),
IF($A132&lt;'PVC SCH80 LD Flange'!$A$17,VLOOKUP($A132,'PVC SCH80 LD Flange'!$A$8:$M$16,6,FALSE),
IF($A132&lt;CPVC!$A$105,VLOOKUP($A132,CPVC!$A$9:$M$104,6,FALSE),
IF($A132&lt;InsertFittings!$A$185,VLOOKUP($A132,InsertFittings!$A$9:$M$184,6,FALSE),
IF($A132&lt;Valves!$A$92,VLOOKUP($A132,Valves!$A$9:$Q$91,6,FALSE),
IF($A132&lt;SDR35SW!$A$133,VLOOKUP($A132,SDR35SW!$A$9:$M$132,6,FALSE),
IF($A132&lt;SDR35G!$A$151,VLOOKUP($A132,SDR35G!$A$9:$M$150,6,FALSE),
IF($A132&lt;SDR26G!$A$67,VLOOKUP($A132,SDR26G!$A$9:$N$66,7,FALSE),
IF($A132&lt;Cements!$A$95,VLOOKUP($A132,Cements!$A$8:$Q$94,6,FALSE),
IF($A132&lt;ValveBox!$A$124,VLOOKUP($A132,ValveBox!$A$9:$O$123,6,FALSE),
IF($A132&lt;'ValveBox Components'!$A$142,VLOOKUP($A132,'ValveBox Components'!$A$9:$N$141,6,FALSE),
IF($A132&lt;Drainage!$A$69,VLOOKUP($A132,Drainage!$A$8:$M$68,6,FALSE),
IF($A132&lt;Nipples!$A$82,VLOOKUP($A132,Nipples!$A$9:$Q$81,6,FALSE),
IF($A132&lt;Manifold!$A$33,VLOOKUP($A132,Manifold!$A$9:$M$32,6,FALSE),
IF($A132&lt;FlexibleRepairCouplings!$A$12,VLOOKUP($A132,FlexibleRepairCouplings!$A$9:$M$11,6,FALSE),
IF($A132&lt;DuraFix!$A$15,VLOOKUP($A132,DuraFix!$A$9:$M$14,6,FALSE),
IF($A132&lt;'Compression Fittings'!$A$16,VLOOKUP($A132,'Compression Fittings'!$A$8:$M$15,6,FALSE),
IF($A132&lt;'Hose Fittings'!$A$30,VLOOKUP($A132,'Hose Fittings'!$A$8:$M$29,6,FALSE),
IF($A132&lt;'Swing Joints'!$A$495,VLOOKUP($A132,'Swing Joints'!$A$9:$M$494,6,FALSE),
IF($A132&lt;'Swing Joints Components'!$A$135,VLOOKUP($A132,'Swing Joints Components'!$A$9:$M$134,6,FALSE),
IF($A132&lt;Nonstandard!$A$42,VLOOKUP($A132,Nonstandard!$A$31:$J$41,7,FALSE),"")))))))))))))))))))))))))))),"")</f>
        <v/>
      </c>
      <c r="E132" s="538"/>
      <c r="F132" s="539" t="str">
        <f>IFERROR(IF($A132&lt;'DWV PVC'!$A$317,VLOOKUP($A132,'DWV PVC'!$A$9:$M$316,9,FALSE),
IF($A132&lt;'DWV ABS'!$A$117,VLOOKUP($A132,'DWV ABS'!$A$8:$M$116,9,FALSE),                                                                                                                                                                                                                                                     IF($A132&lt;'PVC SCH40'!$A$425,VLOOKUP($A132,'PVC SCH40'!$A$8:$M$424,9,FALSE),
IF($A132&lt;'PVC SCH40 LD'!$A$22,VLOOKUP($A132,'PVC SCH40 LD'!$A$8:$M$21,9,FALSE),
IF($A132&lt;'Pool &amp; SPA Sweep Elbows'!$A$12,VLOOKUP($A132,'Pool &amp; SPA Sweep Elbows'!$A$8:$M$11,9,FALSE),
IF($A132&lt;'Pool &amp; SPA Pipe Extender'!$A$11,VLOOKUP($A132,'Pool &amp; SPA Pipe Extender'!$A$8:$M$10,9,FALSE),
IF($A132&lt;'PVC SCH80'!$A$250,VLOOKUP($A132,'PVC SCH80'!$A$8:$M$249,9,FALSE),
IF($A132&lt;'PVC SCH80 Flange'!$A$49,VLOOKUP($A132,'PVC SCH80 Flange'!$A$8:$M$48,9,FALSE),
IF($A132&lt;'PVC SCH80 LD Flange'!$A$17,VLOOKUP($A132,'PVC SCH80 LD Flange'!$A$8:$M$16,9,FALSE),
IF($A132&lt;CPVC!$A$105,VLOOKUP($A132,CPVC!$A$9:$M$104,9,FALSE),
IF($A132&lt;InsertFittings!$A$185,VLOOKUP($A132,InsertFittings!$A$9:$M$184,9,FALSE),
IF($A132&lt;Valves!$A$92,VLOOKUP($A132,Valves!$A$9:$Q$91,13,FALSE),
IF($A132&lt;SDR35SW!$A$133,VLOOKUP($A132,SDR35SW!$A$9:$M$132,9,FALSE),
IF($A132&lt;SDR35G!$A$151,VLOOKUP($A132,SDR35G!$A$9:$M$150,9,FALSE),                                                                                                                                                                                                                                                          IF($A132&lt;SDR26G!$A$67,VLOOKUP($A132,SDR26G!$A$9:$N$66,10,FALSE),                                                                                                                                                                                                                                                       IF($A132&lt;Cements!$A$95,VLOOKUP($A132,Cements!$A$8:$Q$94,13,FALSE),
IF($A132&lt;ValveBox!$A$124,VLOOKUP($A132,ValveBox!$A$9:$O$123,11,FALSE),
IF($A132&lt;'ValveBox Components'!$A$142,VLOOKUP($A132,'ValveBox Components'!$A$9:$N$141,10,FALSE),
IF($A132&lt;Drainage!$A$69,VLOOKUP($A132,Drainage!$A$8:$M$68,9,FALSE),                                                                                                                                                                                                                                                              IF($A132&lt;Nipples!$A$82,VLOOKUP($A132,Nipples!$A$9:$Q$81,13,FALSE),
IF($A132&lt;Manifold!$A$33,VLOOKUP($A132,Manifold!$A$9:$M$32,9,FALSE),
IF($A132&lt;FlexibleRepairCouplings!$A$12,VLOOKUP($A132,FlexibleRepairCouplings!$A$9:$M$11,9,FALSE),
IF($A132&lt;DuraFix!$A$15,VLOOKUP($A132,DuraFix!$A$9:$M$14,9,FALSE),                                                                                                                                                                                                                                                          IF($A132&lt;'Compression Fittings'!$A$16,VLOOKUP($A132,'Compression Fittings'!$A$8:$M$15,9,FALSE),
IF($A132&lt;'Hose Fittings'!$A$30,VLOOKUP($A132,'Hose Fittings'!$A$8:$M$29,9,FALSE),
IF($A132&lt;'Swing Joints'!$A$495,VLOOKUP($A132,'Swing Joints'!$A$9:$M$494,9,FALSE),
IF($A132&lt;'Swing Joints Components'!$A$135,VLOOKUP($A132,'Swing Joints Components'!$A$9:$M$134,9,FALSE),
IF($A132&lt;Nonstandard!$A$42,VLOOKUP($A132,Nonstandard!$A$31:$J$41,8,FALSE),"")))))))))))))))))))))))))))),"")</f>
        <v/>
      </c>
      <c r="G132" s="540" t="str">
        <f>IFERROR(IF($A132&lt;'DWV PVC'!$A$317,VLOOKUP($A132,'DWV PVC'!$A$9:$M$316,11,FALSE),
IF($A132&lt;'DWV ABS'!$A$117,VLOOKUP($A132,'DWV ABS'!$A$8:$M$116,11,FALSE),                                                                                                                                                                                                                                                     IF($A132&lt;'PVC SCH40'!$A$425,VLOOKUP($A132,'PVC SCH40'!$A$8:$M$424,11,FALSE),
IF($A132&lt;'PVC SCH40 LD'!$A$22,VLOOKUP($A132,'PVC SCH40 LD'!$A$8:$M$21,11,FALSE),
IF($A132&lt;'Pool &amp; SPA Sweep Elbows'!$A$12,VLOOKUP($A132,'Pool &amp; SPA Sweep Elbows'!$A$8:$M$11,11,FALSE),
IF($A132&lt;'Pool &amp; SPA Pipe Extender'!$A$11,VLOOKUP($A132,'Pool &amp; SPA Pipe Extender'!$A$8:$M$10,11,FALSE),
IF($A132&lt;'PVC SCH80'!$A$250,VLOOKUP($A132,'PVC SCH80'!$A$8:$M$249,11,FALSE),
IF($A132&lt;'PVC SCH80 Flange'!$A$49,VLOOKUP($A132,'PVC SCH80 Flange'!$A$8:$M$48,11,FALSE),
IF($A132&lt;'PVC SCH80 LD Flange'!$A$17,VLOOKUP($A132,'PVC SCH80 LD Flange'!$A$8:$M$16,11,FALSE),
IF($A132&lt;CPVC!$A$105,VLOOKUP($A132,CPVC!$A$9:$M$104,11,FALSE),
IF($A132&lt;InsertFittings!$A$185,VLOOKUP($A132,InsertFittings!$A$9:$M$184,11,FALSE),
IF($A132&lt;Valves!$A$92,VLOOKUP($A132,Valves!$A$9:$Q$91,15,FALSE),
IF($A132&lt;SDR35SW!$A$133,VLOOKUP($A132,SDR35SW!$A$9:$M$132,11,FALSE),
IF($A132&lt;SDR35G!$A$151,VLOOKUP($A132,SDR35G!$A$9:$M$150,11,FALSE),                                                                                                                                                                                                                                                          IF($A132&lt;SDR26G!$A$67,VLOOKUP($A132,SDR26G!$A$9:$N$66,12,FALSE),                                                                                                                                                                                                                                                       IF($A132&lt;Cements!$A$95,VLOOKUP($A132,Cements!$A$8:$Q$94,15,FALSE),
IF($A132&lt;ValveBox!$A$124,VLOOKUP($A132,ValveBox!$A$9:$O$123,13,FALSE),
IF($A132&lt;'ValveBox Components'!$A$142,VLOOKUP($A132,'ValveBox Components'!$A$9:$N$141,12,FALSE),
IF($A132&lt;Drainage!$A$69,VLOOKUP($A132,Drainage!$A$8:$M$68,11,FALSE),                                                                                                                                                                                                                                                           IF($A132&lt;Nipples!$A$82,VLOOKUP($A132,Nipples!$A$9:$Q$81,15,FALSE),
IF($A132&lt;Manifold!$A$33,VLOOKUP($A132,Manifold!$A$9:$M$32,11,FALSE),
IF($A132&lt;FlexibleRepairCouplings!$A$12,VLOOKUP($A132,FlexibleRepairCouplings!$A$9:$M$11,11,FALSE),
IF($A132&lt;DuraFix!$A$15,VLOOKUP($A132,DuraFix!$A$9:$M$14,11,FALSE),                                                                                                                                                                                                                                                            IF($A132&lt;'Compression Fittings'!$A$16,VLOOKUP($A132,'Compression Fittings'!$A$8:$M$15,11,FALSE),
IF($A132&lt;'Hose Fittings'!$A$30,VLOOKUP($A132,'Hose Fittings'!$A$8:$M$29,11,FALSE),
IF($A132&lt;'Swing Joints'!$A$495,VLOOKUP($A132,'Swing Joints'!$A$9:$M$494,11,FALSE),
IF($A132&lt;'Swing Joints Components'!$A$135,VLOOKUP($A132,'Swing Joints Components'!$A$9:$M$134,11,FALSE),
IF($A132&lt;Nonstandard!$A$42,VLOOKUP($A132,Nonstandard!$A$31:$J$41,10,FALSE),"")))))))))))))))))))))))))))),"")</f>
        <v/>
      </c>
      <c r="H132" s="620" t="str">
        <f>IFERROR(IF($A132&lt;'DWV PVC'!$A$317,VLOOKUP($A132,'DWV PVC'!$A$9:$M$316,7,FALSE),
IF($A132&lt;'DWV ABS'!$A$117,VLOOKUP($A132,'DWV ABS'!$A$8:$M$116,11,FALSE),                                                                                                                                                                                                                                                     IF($A132&lt;'PVC SCH40'!$A$425,VLOOKUP($A132,'PVC SCH40'!$A$8:$M$424,7,FALSE),
IF($A132&lt;'PVC SCH40 LD'!$A$22,VLOOKUP($A132,'PVC SCH40 LD'!$A$8:$M$21,7,FALSE),
IF($A132&lt;'Pool &amp; SPA Sweep Elbows'!$A$12,VLOOKUP($A132,'Pool &amp; SPA Sweep Elbows'!$A$8:$M$11,7,FALSE),
IF($A132&lt;'Pool &amp; SPA Pipe Extender'!$A$11,VLOOKUP($A132,'Pool &amp; SPA Pipe Extender'!$A$8:$M$10,7,FALSE),
IF($A132&lt;'PVC SCH80'!$A$250,VLOOKUP($A132,'PVC SCH80'!$A$8:$M$249,7,FALSE),
IF($A132&lt;'PVC SCH80 Flange'!$A$49,VLOOKUP($A132,'PVC SCH80 Flange'!$A$8:$M$48,7,FALSE),
IF($A132&lt;'PVC SCH80 LD Flange'!$A$17,VLOOKUP($A132,'PVC SCH80 LD Flange'!$A$8:$M$16,7,FALSE),
IF($A132&lt;CPVC!$A$105,VLOOKUP($A132,CPVC!$A$9:$M$104,7,FALSE),
IF($A132&lt;InsertFittings!$A$185,VLOOKUP($A132,InsertFittings!$A$9:$M$184,7,FALSE),
IF($A132&lt;Valves!$A$92,VLOOKUP($A132,Valves!$A$9:$Q$91,11,FALSE),
IF($A132&lt;SDR35SW!$A$133,VLOOKUP($A132,SDR35SW!$A$9:$M$132,7,FALSE),
IF($A132&lt;SDR35G!$A$151,VLOOKUP($A132,SDR35G!$A$9:$M$150,7,FALSE),                                                                                                                                                                                                                                                       IF($A132&lt;SDR26G!$A$67,VLOOKUP($A132,SDR26G!$A$9:$N$66,8,FALSE),                                                                                                                                                                                                                                                     IF($A132&lt;Cements!$A$95,VLOOKUP($A132,Cements!$A$8:$Q$94,11,FALSE),
IF($A132&lt;ValveBox!$A$124,VLOOKUP($A132,ValveBox!$A$9:$O$123,10,FALSE),
IF($A132&lt;'ValveBox Components'!$A$142,VLOOKUP($A132,'ValveBox Components'!$A$9:$N$141,9,FALSE),
IF($A132&lt;Drainage!$A$69,VLOOKUP($A132,Drainage!$A$8:$M$68,7,FALSE),                                                                                                                                                                                                                                                          IF($A132&lt;Nipples!$A$82,VLOOKUP($A132,Nipples!$A$9:$Q$81,11,FALSE),
IF($A132&lt;Manifold!$A$33,VLOOKUP($A132,Manifold!$A$9:$M$32,7,FALSE),
IF($A132&lt;FlexibleRepairCouplings!$A$12,VLOOKUP($A132,FlexibleRepairCouplings!$A$9:$M$11,7,FALSE),
IF($A132&lt;DuraFix!$A$15,VLOOKUP($A132,DuraFix!$A$9:$M$14,7,FALSE),                                                                                                                                                                                                                                                           IF($A132&lt;'Compression Fittings'!$A$16,VLOOKUP($A132,'Compression Fittings'!$A$8:$M$15,7,FALSE),
IF($A132&lt;'Hose Fittings'!$A$30,VLOOKUP($A132,'Hose Fittings'!$A$8:$M$29,7,FALSE),
IF($A132&lt;'Swing Joints'!$A$495,VLOOKUP($A132,'Swing Joints'!$A$9:$M$494,7,FALSE),
IF($A132&lt;'Swing Joints Components'!$A$135,VLOOKUP($A132,'Swing Joints Components'!$A$9:$M$134,7,FALSE),
IF($A132&lt;Nonstandard!$A$42,VLOOKUP($A132,Nonstandard!$A$31:$J$41,10,FALSE),"")))))))))))))))))))))))))))),"")</f>
        <v/>
      </c>
      <c r="I132" s="621"/>
      <c r="J132" s="541" t="str">
        <f t="shared" si="3"/>
        <v/>
      </c>
      <c r="K132" s="599" t="str">
        <f>IFERROR(IF($A132&lt;'DWV PVC'!$A$317,VLOOKUP($A132,'DWV PVC'!$A$9:$M$316,10,FALSE),
IF($A132&lt;'DWV ABS'!$A$117,VLOOKUP($A132,'DWV ABS'!$A$8:$M$116,10,FALSE),
IF($A132&lt;'PVC SCH40'!$A$425,VLOOKUP($A132,'PVC SCH40'!$A$8:$M$424,10,FALSE),
IF($A132&lt;'PVC SCH40 LD'!$A$22,VLOOKUP($A132,'PVC SCH40 LD'!$A$8:$M$21,10,FALSE),
IF($A132&lt;'Pool &amp; SPA Sweep Elbows'!$A$12,VLOOKUP($A132,'Pool &amp; SPA Sweep Elbows'!$A$8:$M$11,10,FALSE),
IF($A132&lt;'Pool &amp; SPA Pipe Extender'!$A$11,VLOOKUP($A132,'Pool &amp; SPA Pipe Extender'!$A$8:$M$10,10,FALSE),
IF($A132&lt;'PVC SCH80'!$A$250,VLOOKUP($A132,'PVC SCH80'!$A$8:$M$249,10,FALSE),
IF($A132&lt;'PVC SCH80 Flange'!$A$49,VLOOKUP($A132,'PVC SCH80 Flange'!$A$8:$M$48,10,FALSE),
IF($A132&lt;'PVC SCH80 LD Flange'!$A$17,VLOOKUP($A132,'PVC SCH80 LD Flange'!$A$8:$M$16,10,FALSE),
IF($A132&lt;CPVC!$A$105,VLOOKUP($A132,CPVC!$A$9:$M$104,10,FALSE),
IF($A132&lt;InsertFittings!$A$185,VLOOKUP($A132,InsertFittings!$A$9:$M$184,10,FALSE),
IF($A132&lt;Valves!$A$92,VLOOKUP($A132,Valves!$A$9:$Q$91,14,FALSE),
IF($A132&lt;SDR35SW!$A$133,VLOOKUP($A132,SDR35SW!$A$9:$M$132,10,FALSE),
IF($A132&lt;SDR35G!$A$151,VLOOKUP($A132,SDR35G!$A$9:$M$150,10,FALSE),
IF($A132&lt;SDR26G!$A$67,VLOOKUP($A132,SDR26G!$A$9:$N$66,11,FALSE),
IF($A132&lt;Cements!$A$95,VLOOKUP($A132,Cements!$A$8:$Q$94,14,FALSE),
IF($A132&lt;ValveBox!$A$124,VLOOKUP($A132,ValveBox!$A$9:$O$123,12,FALSE),
IF($A132&lt;'ValveBox Components'!$A$142,VLOOKUP($A132,'ValveBox Components'!$A$9:$N$141,11,FALSE),
IF($A132&lt;Drainage!$A$69,VLOOKUP($A132,Drainage!$A$8:$M$68,10,FALSE),
IF($A132&lt;Nipples!$A$82,VLOOKUP($A132,Nipples!$A$9:$Q$81,14,FALSE),
IF($A132&lt;Manifold!$A$33,VLOOKUP($A132,Manifold!$A$9:$M$32,10,FALSE),
IF($A132&lt;FlexibleRepairCouplings!$A$12,VLOOKUP($A132,FlexibleRepairCouplings!$A$9:$M$11,10,FALSE),
IF($A132&lt;DuraFix!$A$15,VLOOKUP($A132,DuraFix!$A$9:$M$14,10,FALSE),
IF($A132&lt;'Compression Fittings'!$A$16,VLOOKUP($A132,'Compression Fittings'!$A$8:$M$15,10,FALSE),
IF($A132&lt;'Hose Fittings'!$A$30,VLOOKUP($A132,'Hose Fittings'!$A$8:$M$29,10,FALSE),
IF($A132&lt;'Swing Joints'!$A$495,VLOOKUP($A132,'Swing Joints'!$A$9:$M$494,10,FALSE),
IF($A132&lt;'Swing Joints Components'!$A$135,VLOOKUP($A132,'Swing Joints Components'!$A$9:$M$134,10,FALSE),
IF($A132&lt;Nonstandard!$A$42,VLOOKUP($A132,Nonstandard!$A$31:$J$41,10,FALSE),"")))))))))))))))))))))))))))),"")</f>
        <v/>
      </c>
      <c r="L132" s="539" t="str">
        <f t="shared" si="2"/>
        <v>-</v>
      </c>
      <c r="M132" s="542"/>
    </row>
    <row r="133" spans="1:13" ht="15.6">
      <c r="A133" s="312">
        <v>101</v>
      </c>
      <c r="B133" s="312" t="str">
        <f>IFERROR(IF($A133&lt;'DWV PVC'!$A$317,VLOOKUP($A133,'DWV PVC'!$A$9:$M$316,4,FALSE),
IF($A133&lt;'DWV ABS'!$A$117,VLOOKUP($A133,'DWV ABS'!$A$8:$M$116,4,FALSE),
IF($A133&lt;'PVC SCH40'!$A$425,VLOOKUP($A133,'PVC SCH40'!$A$8:$M$424,4,FALSE),
IF($A133&lt;'PVC SCH40 LD'!$A$22,VLOOKUP($A133,'PVC SCH40 LD'!$A$8:$M$21,4,FALSE),
IF($A133&lt;'Pool &amp; SPA Sweep Elbows'!$A$12,VLOOKUP($A133,'Pool &amp; SPA Sweep Elbows'!$A$8:$M$11,4,FALSE),
IF($A133&lt;'Pool &amp; SPA Pipe Extender'!$A$11,VLOOKUP($A133,'Pool &amp; SPA Pipe Extender'!$A$8:$M$10,4,FALSE),
IF($A133&lt;'PVC SCH80'!$A$250,VLOOKUP($A133,'PVC SCH80'!$A$8:$M$249,4,FALSE),
IF($A133&lt;'PVC SCH80 Flange'!$A$49,VLOOKUP($A133,'PVC SCH80 Flange'!$A$8:$M$48,4,FALSE),
IF($A133&lt;'PVC SCH80 LD Flange'!$A$17,VLOOKUP($A133,'PVC SCH80 LD Flange'!$A$8:$M$16,4,FALSE),
IF($A133&lt;CPVC!$A$105,VLOOKUP($A133,CPVC!$A$9:$M$104,4,FALSE),
IF($A133&lt;InsertFittings!$A$185,VLOOKUP($A133,InsertFittings!$A$9:$M$184,4,FALSE),
IF($A133&lt;Valves!$A$92,VLOOKUP($A133,Valves!$A$9:$Q$91,4,FALSE),
IF($A133&lt;SDR35SW!$A$133,VLOOKUP($A133,SDR35SW!$A$9:$M$132,4,FALSE),
IF($A133&lt;SDR35G!$A$151,VLOOKUP($A133,SDR35G!$A$9:$M$150,4,FALSE),
IF($A133&lt;SDR26G!$A$67,VLOOKUP($A133,SDR26G!$A$9:$N$66,5,FALSE),
IF($A133&lt;Cements!$A$95,VLOOKUP($A133,Cements!$A$8:$Q$94,4,FALSE),
IF($A133&lt;ValveBox!$A$124,VLOOKUP($A133,ValveBox!$A$9:$O$123,4,FALSE),
IF($A133&lt;'ValveBox Components'!$A$142,VLOOKUP($A133,'ValveBox Components'!$A$9:$N$141,4,FALSE),
IF($A133&lt;Drainage!$A$69,VLOOKUP($A133,Drainage!$A$8:$M$68,4,FALSE),
IF($A133&lt;Nipples!$A$82,VLOOKUP($A133,Nipples!$A$9:$Q$81,4,FALSE),
IF($A133&lt;Manifold!$A$33,VLOOKUP($A133,Manifold!$A$9:$M$32,4,FALSE),
IF($A133&lt;FlexibleRepairCouplings!$A$12,VLOOKUP($A133,FlexibleRepairCouplings!$A$9:$M$11,4,FALSE),
IF($A133&lt;DuraFix!$A$15,VLOOKUP($A133,DuraFix!$A$9:$M$14,4,FALSE),
IF($A133&lt;'Compression Fittings'!$A$16,VLOOKUP($A133,'Compression Fittings'!$A$8:$M$15,4,FALSE),
IF($A133&lt;'Hose Fittings'!$A$30,VLOOKUP($A133,'Hose Fittings'!$A$8:$M$29,4,FALSE),
IF($A133&lt;'Swing Joints'!$A$495,VLOOKUP($A133,'Swing Joints'!$A$9:$M$494,4,FALSE),
IF($A133&lt;'Swing Joints Components'!$A$135,VLOOKUP($A133,'Swing Joints Components'!$A$9:$M$134,4,FALSE),
IF($A133&lt;Nonstandard!$A$42,VLOOKUP($A133,Nonstandard!$A$31:$J$41,5,FALSE),"")))))))))))))))))))))))))))),"")</f>
        <v/>
      </c>
      <c r="C133" s="312" t="str">
        <f>IFERROR(IF($A133&lt;'DWV PVC'!$A$317,VLOOKUP($A133,'DWV PVC'!$A$9:$M$316,5,FALSE),
IF($A133&lt;'DWV ABS'!$A$117,VLOOKUP($A133,'DWV ABS'!$A$8:$M$116,5,FALSE),
IF($A133&lt;'PVC SCH40'!$A$425,VLOOKUP($A133,'PVC SCH40'!$A$8:$M$424,5,FALSE),
IF($A133&lt;'PVC SCH40 LD'!$A$22,VLOOKUP($A133,'PVC SCH40 LD'!$A$8:$M$21,5,FALSE),
IF($A133&lt;'Pool &amp; SPA Sweep Elbows'!$A$12,VLOOKUP($A133,'Pool &amp; SPA Sweep Elbows'!$A$8:$M$11,5,FALSE),
IF($A133&lt;'Pool &amp; SPA Pipe Extender'!$A$11,VLOOKUP($A133,'Pool &amp; SPA Pipe Extender'!$A$8:$M$10,5,FALSE),
IF($A133&lt;'PVC SCH80'!$A$250,VLOOKUP($A133,'PVC SCH80'!$A$8:$M$249,5,FALSE),
IF($A133&lt;'PVC SCH80 Flange'!$A$49,VLOOKUP($A133,'PVC SCH80 Flange'!$A$8:$M$48,5,FALSE),
IF($A133&lt;'PVC SCH80 LD Flange'!$A$17,VLOOKUP($A133,'PVC SCH80 LD Flange'!$A$8:$M$16,5,FALSE),
IF($A133&lt;CPVC!$A$105,VLOOKUP($A133,CPVC!$A$9:$M$104,5,FALSE),
IF($A133&lt;InsertFittings!$A$185,VLOOKUP($A133,InsertFittings!$A$9:$M$184,5,FALSE),
IF($A133&lt;Valves!$A$92,VLOOKUP($A133,Valves!$A$9:$Q$91,5,FALSE),
IF($A133&lt;SDR35SW!$A$133,VLOOKUP($A133,SDR35SW!$A$9:$M$132,5,FALSE),
IF($A133&lt;SDR35G!$A$151,VLOOKUP($A133,SDR35G!$A$9:$M$150,5,FALSE),
IF($A133&lt;SDR26G!$A$67,VLOOKUP($A133,SDR26G!$A$9:$N$66,6,FALSE),
IF($A133&lt;Cements!$A$95,VLOOKUP($A133,Cements!$A$8:$Q$94,5,FALSE),
IF($A133&lt;ValveBox!$A$124,VLOOKUP($A133,ValveBox!$A$9:$O$123,5,FALSE),
IF($A133&lt;'ValveBox Components'!$A$142,VLOOKUP($A133,'ValveBox Components'!$A$9:$N$141,5,FALSE),
IF($A133&lt;Drainage!$A$69,VLOOKUP($A133,Drainage!$A$8:$M$68,5,FALSE),
IF($A133&lt;Nipples!$A$82,VLOOKUP($A133,Nipples!$A$9:$Q$81,5,FALSE),
IF($A133&lt;Manifold!$A$33,VLOOKUP($A133,Manifold!$A$9:$M$32,5,FALSE),
IF($A133&lt;FlexibleRepairCouplings!$A$12,VLOOKUP($A133,FlexibleRepairCouplings!$A$9:$M$11,5,FALSE),
IF($A133&lt;DuraFix!$A$15,VLOOKUP($A133,DuraFix!$A$9:$M$14,5,FALSE),
IF($A133&lt;'Compression Fittings'!$A$16,VLOOKUP($A133,'Compression Fittings'!$A$8:$M$15,5,FALSE),
IF($A133&lt;'Hose Fittings'!$A$30,VLOOKUP($A133,'Hose Fittings'!$A$8:$M$29,5,FALSE),
IF($A133&lt;'Swing Joints'!$A$495,VLOOKUP($A133,'Swing Joints'!$A$9:$M$494,5,FALSE),
IF($A133&lt;'Swing Joints Components'!$A$135,VLOOKUP($A133,'Swing Joints Components'!$A$9:$M$134,5,FALSE),
IF($A133&lt;Nonstandard!$A$42,VLOOKUP($A133,Nonstandard!$A$31:$J$41,6,FALSE),"")))))))))))))))))))))))))))),"")</f>
        <v/>
      </c>
      <c r="D133" s="534" t="str">
        <f>IFERROR(IF($A133&lt;'DWV PVC'!$A$317,VLOOKUP($A133,'DWV PVC'!$A$9:$M$316,6,FALSE),
IF($A133&lt;'DWV ABS'!$A$117,VLOOKUP($A133,'DWV ABS'!$A$8:$M$116,6,FALSE),
IF($A133&lt;'PVC SCH40'!$A$425,VLOOKUP($A133,'PVC SCH40'!$A$8:$M$424,6,FALSE),
IF($A133&lt;'PVC SCH40 LD'!$A$22,VLOOKUP($A133,'PVC SCH40 LD'!$A$8:$M$21,6,FALSE),
IF($A133&lt;'Pool &amp; SPA Sweep Elbows'!$A$12,VLOOKUP($A133,'Pool &amp; SPA Sweep Elbows'!$A$8:$M$11,6,FALSE),
IF($A133&lt;'Pool &amp; SPA Pipe Extender'!$A$11,VLOOKUP($A133,'Pool &amp; SPA Pipe Extender'!$A$8:$M$10,6,FALSE),
IF($A133&lt;'PVC SCH80'!$A$250,VLOOKUP($A133,'PVC SCH80'!$A$8:$M$249,6,FALSE),
IF($A133&lt;'PVC SCH80 Flange'!$A$49,VLOOKUP($A133,'PVC SCH80 Flange'!$A$8:$M$48,6,FALSE),
IF($A133&lt;'PVC SCH80 LD Flange'!$A$17,VLOOKUP($A133,'PVC SCH80 LD Flange'!$A$8:$M$16,6,FALSE),
IF($A133&lt;CPVC!$A$105,VLOOKUP($A133,CPVC!$A$9:$M$104,6,FALSE),
IF($A133&lt;InsertFittings!$A$185,VLOOKUP($A133,InsertFittings!$A$9:$M$184,6,FALSE),
IF($A133&lt;Valves!$A$92,VLOOKUP($A133,Valves!$A$9:$Q$91,6,FALSE),
IF($A133&lt;SDR35SW!$A$133,VLOOKUP($A133,SDR35SW!$A$9:$M$132,6,FALSE),
IF($A133&lt;SDR35G!$A$151,VLOOKUP($A133,SDR35G!$A$9:$M$150,6,FALSE),
IF($A133&lt;SDR26G!$A$67,VLOOKUP($A133,SDR26G!$A$9:$N$66,7,FALSE),
IF($A133&lt;Cements!$A$95,VLOOKUP($A133,Cements!$A$8:$Q$94,6,FALSE),
IF($A133&lt;ValveBox!$A$124,VLOOKUP($A133,ValveBox!$A$9:$O$123,6,FALSE),
IF($A133&lt;'ValveBox Components'!$A$142,VLOOKUP($A133,'ValveBox Components'!$A$9:$N$141,6,FALSE),
IF($A133&lt;Drainage!$A$69,VLOOKUP($A133,Drainage!$A$8:$M$68,6,FALSE),
IF($A133&lt;Nipples!$A$82,VLOOKUP($A133,Nipples!$A$9:$Q$81,6,FALSE),
IF($A133&lt;Manifold!$A$33,VLOOKUP($A133,Manifold!$A$9:$M$32,6,FALSE),
IF($A133&lt;FlexibleRepairCouplings!$A$12,VLOOKUP($A133,FlexibleRepairCouplings!$A$9:$M$11,6,FALSE),
IF($A133&lt;DuraFix!$A$15,VLOOKUP($A133,DuraFix!$A$9:$M$14,6,FALSE),
IF($A133&lt;'Compression Fittings'!$A$16,VLOOKUP($A133,'Compression Fittings'!$A$8:$M$15,6,FALSE),
IF($A133&lt;'Hose Fittings'!$A$30,VLOOKUP($A133,'Hose Fittings'!$A$8:$M$29,6,FALSE),
IF($A133&lt;'Swing Joints'!$A$495,VLOOKUP($A133,'Swing Joints'!$A$9:$M$494,6,FALSE),
IF($A133&lt;'Swing Joints Components'!$A$135,VLOOKUP($A133,'Swing Joints Components'!$A$9:$M$134,6,FALSE),
IF($A133&lt;Nonstandard!$A$42,VLOOKUP($A133,Nonstandard!$A$31:$J$41,7,FALSE),"")))))))))))))))))))))))))))),"")</f>
        <v/>
      </c>
      <c r="E133" s="316"/>
      <c r="F133" s="314" t="str">
        <f>IFERROR(IF($A133&lt;'DWV PVC'!$A$317,VLOOKUP($A133,'DWV PVC'!$A$9:$M$316,9,FALSE),
IF($A133&lt;'DWV ABS'!$A$117,VLOOKUP($A133,'DWV ABS'!$A$8:$M$116,9,FALSE),                                                                                                                                                                                                                                                     IF($A133&lt;'PVC SCH40'!$A$425,VLOOKUP($A133,'PVC SCH40'!$A$8:$M$424,9,FALSE),
IF($A133&lt;'PVC SCH40 LD'!$A$22,VLOOKUP($A133,'PVC SCH40 LD'!$A$8:$M$21,9,FALSE),
IF($A133&lt;'Pool &amp; SPA Sweep Elbows'!$A$12,VLOOKUP($A133,'Pool &amp; SPA Sweep Elbows'!$A$8:$M$11,9,FALSE),
IF($A133&lt;'Pool &amp; SPA Pipe Extender'!$A$11,VLOOKUP($A133,'Pool &amp; SPA Pipe Extender'!$A$8:$M$10,9,FALSE),
IF($A133&lt;'PVC SCH80'!$A$250,VLOOKUP($A133,'PVC SCH80'!$A$8:$M$249,9,FALSE),
IF($A133&lt;'PVC SCH80 Flange'!$A$49,VLOOKUP($A133,'PVC SCH80 Flange'!$A$8:$M$48,9,FALSE),
IF($A133&lt;'PVC SCH80 LD Flange'!$A$17,VLOOKUP($A133,'PVC SCH80 LD Flange'!$A$8:$M$16,9,FALSE),
IF($A133&lt;CPVC!$A$105,VLOOKUP($A133,CPVC!$A$9:$M$104,9,FALSE),
IF($A133&lt;InsertFittings!$A$185,VLOOKUP($A133,InsertFittings!$A$9:$M$184,9,FALSE),
IF($A133&lt;Valves!$A$92,VLOOKUP($A133,Valves!$A$9:$Q$91,13,FALSE),
IF($A133&lt;SDR35SW!$A$133,VLOOKUP($A133,SDR35SW!$A$9:$M$132,9,FALSE),
IF($A133&lt;SDR35G!$A$151,VLOOKUP($A133,SDR35G!$A$9:$M$150,9,FALSE),                                                                                                                                                                                                                                                          IF($A133&lt;SDR26G!$A$67,VLOOKUP($A133,SDR26G!$A$9:$N$66,10,FALSE),                                                                                                                                                                                                                                                       IF($A133&lt;Cements!$A$95,VLOOKUP($A133,Cements!$A$8:$Q$94,13,FALSE),
IF($A133&lt;ValveBox!$A$124,VLOOKUP($A133,ValveBox!$A$9:$O$123,11,FALSE),
IF($A133&lt;'ValveBox Components'!$A$142,VLOOKUP($A133,'ValveBox Components'!$A$9:$N$141,10,FALSE),
IF($A133&lt;Drainage!$A$69,VLOOKUP($A133,Drainage!$A$8:$M$68,9,FALSE),                                                                                                                                                                                                                                                              IF($A133&lt;Nipples!$A$82,VLOOKUP($A133,Nipples!$A$9:$Q$81,13,FALSE),
IF($A133&lt;Manifold!$A$33,VLOOKUP($A133,Manifold!$A$9:$M$32,9,FALSE),
IF($A133&lt;FlexibleRepairCouplings!$A$12,VLOOKUP($A133,FlexibleRepairCouplings!$A$9:$M$11,9,FALSE),
IF($A133&lt;DuraFix!$A$15,VLOOKUP($A133,DuraFix!$A$9:$M$14,9,FALSE),                                                                                                                                                                                                                                                          IF($A133&lt;'Compression Fittings'!$A$16,VLOOKUP($A133,'Compression Fittings'!$A$8:$M$15,9,FALSE),
IF($A133&lt;'Hose Fittings'!$A$30,VLOOKUP($A133,'Hose Fittings'!$A$8:$M$29,9,FALSE),
IF($A133&lt;'Swing Joints'!$A$495,VLOOKUP($A133,'Swing Joints'!$A$9:$M$494,9,FALSE),
IF($A133&lt;'Swing Joints Components'!$A$135,VLOOKUP($A133,'Swing Joints Components'!$A$9:$M$134,9,FALSE),
IF($A133&lt;Nonstandard!$A$42,VLOOKUP($A133,Nonstandard!$A$31:$J$41,8,FALSE),"")))))))))))))))))))))))))))),"")</f>
        <v/>
      </c>
      <c r="G133" s="533" t="str">
        <f>IFERROR(IF($A133&lt;'DWV PVC'!$A$317,VLOOKUP($A133,'DWV PVC'!$A$9:$M$316,11,FALSE),
IF($A133&lt;'DWV ABS'!$A$117,VLOOKUP($A133,'DWV ABS'!$A$8:$M$116,11,FALSE),                                                                                                                                                                                                                                                     IF($A133&lt;'PVC SCH40'!$A$425,VLOOKUP($A133,'PVC SCH40'!$A$8:$M$424,11,FALSE),
IF($A133&lt;'PVC SCH40 LD'!$A$22,VLOOKUP($A133,'PVC SCH40 LD'!$A$8:$M$21,11,FALSE),
IF($A133&lt;'Pool &amp; SPA Sweep Elbows'!$A$12,VLOOKUP($A133,'Pool &amp; SPA Sweep Elbows'!$A$8:$M$11,11,FALSE),
IF($A133&lt;'Pool &amp; SPA Pipe Extender'!$A$11,VLOOKUP($A133,'Pool &amp; SPA Pipe Extender'!$A$8:$M$10,11,FALSE),
IF($A133&lt;'PVC SCH80'!$A$250,VLOOKUP($A133,'PVC SCH80'!$A$8:$M$249,11,FALSE),
IF($A133&lt;'PVC SCH80 Flange'!$A$49,VLOOKUP($A133,'PVC SCH80 Flange'!$A$8:$M$48,11,FALSE),
IF($A133&lt;'PVC SCH80 LD Flange'!$A$17,VLOOKUP($A133,'PVC SCH80 LD Flange'!$A$8:$M$16,11,FALSE),
IF($A133&lt;CPVC!$A$105,VLOOKUP($A133,CPVC!$A$9:$M$104,11,FALSE),
IF($A133&lt;InsertFittings!$A$185,VLOOKUP($A133,InsertFittings!$A$9:$M$184,11,FALSE),
IF($A133&lt;Valves!$A$92,VLOOKUP($A133,Valves!$A$9:$Q$91,15,FALSE),
IF($A133&lt;SDR35SW!$A$133,VLOOKUP($A133,SDR35SW!$A$9:$M$132,11,FALSE),
IF($A133&lt;SDR35G!$A$151,VLOOKUP($A133,SDR35G!$A$9:$M$150,11,FALSE),                                                                                                                                                                                                                                                          IF($A133&lt;SDR26G!$A$67,VLOOKUP($A133,SDR26G!$A$9:$N$66,12,FALSE),                                                                                                                                                                                                                                                       IF($A133&lt;Cements!$A$95,VLOOKUP($A133,Cements!$A$8:$Q$94,15,FALSE),
IF($A133&lt;ValveBox!$A$124,VLOOKUP($A133,ValveBox!$A$9:$O$123,13,FALSE),
IF($A133&lt;'ValveBox Components'!$A$142,VLOOKUP($A133,'ValveBox Components'!$A$9:$N$141,12,FALSE),
IF($A133&lt;Drainage!$A$69,VLOOKUP($A133,Drainage!$A$8:$M$68,11,FALSE),                                                                                                                                                                                                                                                           IF($A133&lt;Nipples!$A$82,VLOOKUP($A133,Nipples!$A$9:$Q$81,15,FALSE),
IF($A133&lt;Manifold!$A$33,VLOOKUP($A133,Manifold!$A$9:$M$32,11,FALSE),
IF($A133&lt;FlexibleRepairCouplings!$A$12,VLOOKUP($A133,FlexibleRepairCouplings!$A$9:$M$11,11,FALSE),
IF($A133&lt;DuraFix!$A$15,VLOOKUP($A133,DuraFix!$A$9:$M$14,11,FALSE),                                                                                                                                                                                                                                                            IF($A133&lt;'Compression Fittings'!$A$16,VLOOKUP($A133,'Compression Fittings'!$A$8:$M$15,11,FALSE),
IF($A133&lt;'Hose Fittings'!$A$30,VLOOKUP($A133,'Hose Fittings'!$A$8:$M$29,11,FALSE),
IF($A133&lt;'Swing Joints'!$A$495,VLOOKUP($A133,'Swing Joints'!$A$9:$M$494,11,FALSE),
IF($A133&lt;'Swing Joints Components'!$A$135,VLOOKUP($A133,'Swing Joints Components'!$A$9:$M$134,11,FALSE),
IF($A133&lt;Nonstandard!$A$42,VLOOKUP($A133,Nonstandard!$A$31:$J$41,10,FALSE),"")))))))))))))))))))))))))))),"")</f>
        <v/>
      </c>
      <c r="H133" s="618" t="str">
        <f>IFERROR(IF($A133&lt;'DWV PVC'!$A$317,VLOOKUP($A133,'DWV PVC'!$A$9:$M$316,7,FALSE),
IF($A133&lt;'DWV ABS'!$A$117,VLOOKUP($A133,'DWV ABS'!$A$8:$M$116,11,FALSE),                                                                                                                                                                                                                                                     IF($A133&lt;'PVC SCH40'!$A$425,VLOOKUP($A133,'PVC SCH40'!$A$8:$M$424,7,FALSE),
IF($A133&lt;'PVC SCH40 LD'!$A$22,VLOOKUP($A133,'PVC SCH40 LD'!$A$8:$M$21,7,FALSE),
IF($A133&lt;'Pool &amp; SPA Sweep Elbows'!$A$12,VLOOKUP($A133,'Pool &amp; SPA Sweep Elbows'!$A$8:$M$11,7,FALSE),
IF($A133&lt;'Pool &amp; SPA Pipe Extender'!$A$11,VLOOKUP($A133,'Pool &amp; SPA Pipe Extender'!$A$8:$M$10,7,FALSE),
IF($A133&lt;'PVC SCH80'!$A$250,VLOOKUP($A133,'PVC SCH80'!$A$8:$M$249,7,FALSE),
IF($A133&lt;'PVC SCH80 Flange'!$A$49,VLOOKUP($A133,'PVC SCH80 Flange'!$A$8:$M$48,7,FALSE),
IF($A133&lt;'PVC SCH80 LD Flange'!$A$17,VLOOKUP($A133,'PVC SCH80 LD Flange'!$A$8:$M$16,7,FALSE),
IF($A133&lt;CPVC!$A$105,VLOOKUP($A133,CPVC!$A$9:$M$104,7,FALSE),
IF($A133&lt;InsertFittings!$A$185,VLOOKUP($A133,InsertFittings!$A$9:$M$184,7,FALSE),
IF($A133&lt;Valves!$A$92,VLOOKUP($A133,Valves!$A$9:$Q$91,11,FALSE),
IF($A133&lt;SDR35SW!$A$133,VLOOKUP($A133,SDR35SW!$A$9:$M$132,7,FALSE),
IF($A133&lt;SDR35G!$A$151,VLOOKUP($A133,SDR35G!$A$9:$M$150,7,FALSE),                                                                                                                                                                                                                                                       IF($A133&lt;SDR26G!$A$67,VLOOKUP($A133,SDR26G!$A$9:$N$66,8,FALSE),                                                                                                                                                                                                                                                     IF($A133&lt;Cements!$A$95,VLOOKUP($A133,Cements!$A$8:$Q$94,11,FALSE),
IF($A133&lt;ValveBox!$A$124,VLOOKUP($A133,ValveBox!$A$9:$O$123,10,FALSE),
IF($A133&lt;'ValveBox Components'!$A$142,VLOOKUP($A133,'ValveBox Components'!$A$9:$N$141,9,FALSE),
IF($A133&lt;Drainage!$A$69,VLOOKUP($A133,Drainage!$A$8:$M$68,7,FALSE),                                                                                                                                                                                                                                                          IF($A133&lt;Nipples!$A$82,VLOOKUP($A133,Nipples!$A$9:$Q$81,11,FALSE),
IF($A133&lt;Manifold!$A$33,VLOOKUP($A133,Manifold!$A$9:$M$32,7,FALSE),
IF($A133&lt;FlexibleRepairCouplings!$A$12,VLOOKUP($A133,FlexibleRepairCouplings!$A$9:$M$11,7,FALSE),
IF($A133&lt;DuraFix!$A$15,VLOOKUP($A133,DuraFix!$A$9:$M$14,7,FALSE),                                                                                                                                                                                                                                                           IF($A133&lt;'Compression Fittings'!$A$16,VLOOKUP($A133,'Compression Fittings'!$A$8:$M$15,7,FALSE),
IF($A133&lt;'Hose Fittings'!$A$30,VLOOKUP($A133,'Hose Fittings'!$A$8:$M$29,7,FALSE),
IF($A133&lt;'Swing Joints'!$A$495,VLOOKUP($A133,'Swing Joints'!$A$9:$M$494,7,FALSE),
IF($A133&lt;'Swing Joints Components'!$A$135,VLOOKUP($A133,'Swing Joints Components'!$A$9:$M$134,7,FALSE),
IF($A133&lt;Nonstandard!$A$42,VLOOKUP($A133,Nonstandard!$A$31:$J$41,10,FALSE),"")))))))))))))))))))))))))))),"")</f>
        <v/>
      </c>
      <c r="I133" s="619"/>
      <c r="J133" s="281" t="str">
        <f t="shared" si="3"/>
        <v/>
      </c>
      <c r="K133" s="313" t="str">
        <f>IFERROR(IF($A133&lt;'DWV PVC'!$A$317,VLOOKUP($A133,'DWV PVC'!$A$9:$M$316,10,FALSE),
IF($A133&lt;'DWV ABS'!$A$117,VLOOKUP($A133,'DWV ABS'!$A$8:$M$116,10,FALSE),
IF($A133&lt;'PVC SCH40'!$A$425,VLOOKUP($A133,'PVC SCH40'!$A$8:$M$424,10,FALSE),
IF($A133&lt;'PVC SCH40 LD'!$A$22,VLOOKUP($A133,'PVC SCH40 LD'!$A$8:$M$21,10,FALSE),
IF($A133&lt;'Pool &amp; SPA Sweep Elbows'!$A$12,VLOOKUP($A133,'Pool &amp; SPA Sweep Elbows'!$A$8:$M$11,10,FALSE),
IF($A133&lt;'Pool &amp; SPA Pipe Extender'!$A$11,VLOOKUP($A133,'Pool &amp; SPA Pipe Extender'!$A$8:$M$10,10,FALSE),
IF($A133&lt;'PVC SCH80'!$A$250,VLOOKUP($A133,'PVC SCH80'!$A$8:$M$249,10,FALSE),
IF($A133&lt;'PVC SCH80 Flange'!$A$49,VLOOKUP($A133,'PVC SCH80 Flange'!$A$8:$M$48,10,FALSE),
IF($A133&lt;'PVC SCH80 LD Flange'!$A$17,VLOOKUP($A133,'PVC SCH80 LD Flange'!$A$8:$M$16,10,FALSE),
IF($A133&lt;CPVC!$A$105,VLOOKUP($A133,CPVC!$A$9:$M$104,10,FALSE),
IF($A133&lt;InsertFittings!$A$185,VLOOKUP($A133,InsertFittings!$A$9:$M$184,10,FALSE),
IF($A133&lt;Valves!$A$92,VLOOKUP($A133,Valves!$A$9:$Q$91,14,FALSE),
IF($A133&lt;SDR35SW!$A$133,VLOOKUP($A133,SDR35SW!$A$9:$M$132,10,FALSE),
IF($A133&lt;SDR35G!$A$151,VLOOKUP($A133,SDR35G!$A$9:$M$150,10,FALSE),
IF($A133&lt;SDR26G!$A$67,VLOOKUP($A133,SDR26G!$A$9:$N$66,11,FALSE),
IF($A133&lt;Cements!$A$95,VLOOKUP($A133,Cements!$A$8:$Q$94,14,FALSE),
IF($A133&lt;ValveBox!$A$124,VLOOKUP($A133,ValveBox!$A$9:$O$123,12,FALSE),
IF($A133&lt;'ValveBox Components'!$A$142,VLOOKUP($A133,'ValveBox Components'!$A$9:$N$141,11,FALSE),
IF($A133&lt;Drainage!$A$69,VLOOKUP($A133,Drainage!$A$8:$M$68,10,FALSE),
IF($A133&lt;Nipples!$A$82,VLOOKUP($A133,Nipples!$A$9:$Q$81,14,FALSE),
IF($A133&lt;Manifold!$A$33,VLOOKUP($A133,Manifold!$A$9:$M$32,10,FALSE),
IF($A133&lt;FlexibleRepairCouplings!$A$12,VLOOKUP($A133,FlexibleRepairCouplings!$A$9:$M$11,10,FALSE),
IF($A133&lt;DuraFix!$A$15,VLOOKUP($A133,DuraFix!$A$9:$M$14,10,FALSE),
IF($A133&lt;'Compression Fittings'!$A$16,VLOOKUP($A133,'Compression Fittings'!$A$8:$M$15,10,FALSE),
IF($A133&lt;'Hose Fittings'!$A$30,VLOOKUP($A133,'Hose Fittings'!$A$8:$M$29,10,FALSE),
IF($A133&lt;'Swing Joints'!$A$495,VLOOKUP($A133,'Swing Joints'!$A$9:$M$494,10,FALSE),
IF($A133&lt;'Swing Joints Components'!$A$135,VLOOKUP($A133,'Swing Joints Components'!$A$9:$M$134,10,FALSE),
IF($A133&lt;Nonstandard!$A$42,VLOOKUP($A133,Nonstandard!$A$31:$J$41,10,FALSE),"")))))))))))))))))))))))))))),"")</f>
        <v/>
      </c>
      <c r="L133" s="314" t="str">
        <f t="shared" si="2"/>
        <v>-</v>
      </c>
      <c r="M133" s="315"/>
    </row>
    <row r="134" spans="1:13" ht="15.6">
      <c r="A134" s="536">
        <v>102</v>
      </c>
      <c r="B134" s="536" t="str">
        <f>IFERROR(IF($A134&lt;'DWV PVC'!$A$317,VLOOKUP($A134,'DWV PVC'!$A$9:$M$316,4,FALSE),
IF($A134&lt;'DWV ABS'!$A$117,VLOOKUP($A134,'DWV ABS'!$A$8:$M$116,4,FALSE),
IF($A134&lt;'PVC SCH40'!$A$425,VLOOKUP($A134,'PVC SCH40'!$A$8:$M$424,4,FALSE),
IF($A134&lt;'PVC SCH40 LD'!$A$22,VLOOKUP($A134,'PVC SCH40 LD'!$A$8:$M$21,4,FALSE),
IF($A134&lt;'Pool &amp; SPA Sweep Elbows'!$A$12,VLOOKUP($A134,'Pool &amp; SPA Sweep Elbows'!$A$8:$M$11,4,FALSE),
IF($A134&lt;'Pool &amp; SPA Pipe Extender'!$A$11,VLOOKUP($A134,'Pool &amp; SPA Pipe Extender'!$A$8:$M$10,4,FALSE),
IF($A134&lt;'PVC SCH80'!$A$250,VLOOKUP($A134,'PVC SCH80'!$A$8:$M$249,4,FALSE),
IF($A134&lt;'PVC SCH80 Flange'!$A$49,VLOOKUP($A134,'PVC SCH80 Flange'!$A$8:$M$48,4,FALSE),
IF($A134&lt;'PVC SCH80 LD Flange'!$A$17,VLOOKUP($A134,'PVC SCH80 LD Flange'!$A$8:$M$16,4,FALSE),
IF($A134&lt;CPVC!$A$105,VLOOKUP($A134,CPVC!$A$9:$M$104,4,FALSE),
IF($A134&lt;InsertFittings!$A$185,VLOOKUP($A134,InsertFittings!$A$9:$M$184,4,FALSE),
IF($A134&lt;Valves!$A$92,VLOOKUP($A134,Valves!$A$9:$Q$91,4,FALSE),
IF($A134&lt;SDR35SW!$A$133,VLOOKUP($A134,SDR35SW!$A$9:$M$132,4,FALSE),
IF($A134&lt;SDR35G!$A$151,VLOOKUP($A134,SDR35G!$A$9:$M$150,4,FALSE),
IF($A134&lt;SDR26G!$A$67,VLOOKUP($A134,SDR26G!$A$9:$N$66,5,FALSE),
IF($A134&lt;Cements!$A$95,VLOOKUP($A134,Cements!$A$8:$Q$94,4,FALSE),
IF($A134&lt;ValveBox!$A$124,VLOOKUP($A134,ValveBox!$A$9:$O$123,4,FALSE),
IF($A134&lt;'ValveBox Components'!$A$142,VLOOKUP($A134,'ValveBox Components'!$A$9:$N$141,4,FALSE),
IF($A134&lt;Drainage!$A$69,VLOOKUP($A134,Drainage!$A$8:$M$68,4,FALSE),
IF($A134&lt;Nipples!$A$82,VLOOKUP($A134,Nipples!$A$9:$Q$81,4,FALSE),
IF($A134&lt;Manifold!$A$33,VLOOKUP($A134,Manifold!$A$9:$M$32,4,FALSE),
IF($A134&lt;FlexibleRepairCouplings!$A$12,VLOOKUP($A134,FlexibleRepairCouplings!$A$9:$M$11,4,FALSE),
IF($A134&lt;DuraFix!$A$15,VLOOKUP($A134,DuraFix!$A$9:$M$14,4,FALSE),
IF($A134&lt;'Compression Fittings'!$A$16,VLOOKUP($A134,'Compression Fittings'!$A$8:$M$15,4,FALSE),
IF($A134&lt;'Hose Fittings'!$A$30,VLOOKUP($A134,'Hose Fittings'!$A$8:$M$29,4,FALSE),
IF($A134&lt;'Swing Joints'!$A$495,VLOOKUP($A134,'Swing Joints'!$A$9:$M$494,4,FALSE),
IF($A134&lt;'Swing Joints Components'!$A$135,VLOOKUP($A134,'Swing Joints Components'!$A$9:$M$134,4,FALSE),
IF($A134&lt;Nonstandard!$A$42,VLOOKUP($A134,Nonstandard!$A$31:$J$41,5,FALSE),"")))))))))))))))))))))))))))),"")</f>
        <v/>
      </c>
      <c r="C134" s="536" t="str">
        <f>IFERROR(IF($A134&lt;'DWV PVC'!$A$317,VLOOKUP($A134,'DWV PVC'!$A$9:$M$316,5,FALSE),
IF($A134&lt;'DWV ABS'!$A$117,VLOOKUP($A134,'DWV ABS'!$A$8:$M$116,5,FALSE),
IF($A134&lt;'PVC SCH40'!$A$425,VLOOKUP($A134,'PVC SCH40'!$A$8:$M$424,5,FALSE),
IF($A134&lt;'PVC SCH40 LD'!$A$22,VLOOKUP($A134,'PVC SCH40 LD'!$A$8:$M$21,5,FALSE),
IF($A134&lt;'Pool &amp; SPA Sweep Elbows'!$A$12,VLOOKUP($A134,'Pool &amp; SPA Sweep Elbows'!$A$8:$M$11,5,FALSE),
IF($A134&lt;'Pool &amp; SPA Pipe Extender'!$A$11,VLOOKUP($A134,'Pool &amp; SPA Pipe Extender'!$A$8:$M$10,5,FALSE),
IF($A134&lt;'PVC SCH80'!$A$250,VLOOKUP($A134,'PVC SCH80'!$A$8:$M$249,5,FALSE),
IF($A134&lt;'PVC SCH80 Flange'!$A$49,VLOOKUP($A134,'PVC SCH80 Flange'!$A$8:$M$48,5,FALSE),
IF($A134&lt;'PVC SCH80 LD Flange'!$A$17,VLOOKUP($A134,'PVC SCH80 LD Flange'!$A$8:$M$16,5,FALSE),
IF($A134&lt;CPVC!$A$105,VLOOKUP($A134,CPVC!$A$9:$M$104,5,FALSE),
IF($A134&lt;InsertFittings!$A$185,VLOOKUP($A134,InsertFittings!$A$9:$M$184,5,FALSE),
IF($A134&lt;Valves!$A$92,VLOOKUP($A134,Valves!$A$9:$Q$91,5,FALSE),
IF($A134&lt;SDR35SW!$A$133,VLOOKUP($A134,SDR35SW!$A$9:$M$132,5,FALSE),
IF($A134&lt;SDR35G!$A$151,VLOOKUP($A134,SDR35G!$A$9:$M$150,5,FALSE),
IF($A134&lt;SDR26G!$A$67,VLOOKUP($A134,SDR26G!$A$9:$N$66,6,FALSE),
IF($A134&lt;Cements!$A$95,VLOOKUP($A134,Cements!$A$8:$Q$94,5,FALSE),
IF($A134&lt;ValveBox!$A$124,VLOOKUP($A134,ValveBox!$A$9:$O$123,5,FALSE),
IF($A134&lt;'ValveBox Components'!$A$142,VLOOKUP($A134,'ValveBox Components'!$A$9:$N$141,5,FALSE),
IF($A134&lt;Drainage!$A$69,VLOOKUP($A134,Drainage!$A$8:$M$68,5,FALSE),
IF($A134&lt;Nipples!$A$82,VLOOKUP($A134,Nipples!$A$9:$Q$81,5,FALSE),
IF($A134&lt;Manifold!$A$33,VLOOKUP($A134,Manifold!$A$9:$M$32,5,FALSE),
IF($A134&lt;FlexibleRepairCouplings!$A$12,VLOOKUP($A134,FlexibleRepairCouplings!$A$9:$M$11,5,FALSE),
IF($A134&lt;DuraFix!$A$15,VLOOKUP($A134,DuraFix!$A$9:$M$14,5,FALSE),
IF($A134&lt;'Compression Fittings'!$A$16,VLOOKUP($A134,'Compression Fittings'!$A$8:$M$15,5,FALSE),
IF($A134&lt;'Hose Fittings'!$A$30,VLOOKUP($A134,'Hose Fittings'!$A$8:$M$29,5,FALSE),
IF($A134&lt;'Swing Joints'!$A$495,VLOOKUP($A134,'Swing Joints'!$A$9:$M$494,5,FALSE),
IF($A134&lt;'Swing Joints Components'!$A$135,VLOOKUP($A134,'Swing Joints Components'!$A$9:$M$134,5,FALSE),
IF($A134&lt;Nonstandard!$A$42,VLOOKUP($A134,Nonstandard!$A$31:$J$41,6,FALSE),"")))))))))))))))))))))))))))),"")</f>
        <v/>
      </c>
      <c r="D134" s="537" t="str">
        <f>IFERROR(IF($A134&lt;'DWV PVC'!$A$317,VLOOKUP($A134,'DWV PVC'!$A$9:$M$316,6,FALSE),
IF($A134&lt;'DWV ABS'!$A$117,VLOOKUP($A134,'DWV ABS'!$A$8:$M$116,6,FALSE),
IF($A134&lt;'PVC SCH40'!$A$425,VLOOKUP($A134,'PVC SCH40'!$A$8:$M$424,6,FALSE),
IF($A134&lt;'PVC SCH40 LD'!$A$22,VLOOKUP($A134,'PVC SCH40 LD'!$A$8:$M$21,6,FALSE),
IF($A134&lt;'Pool &amp; SPA Sweep Elbows'!$A$12,VLOOKUP($A134,'Pool &amp; SPA Sweep Elbows'!$A$8:$M$11,6,FALSE),
IF($A134&lt;'Pool &amp; SPA Pipe Extender'!$A$11,VLOOKUP($A134,'Pool &amp; SPA Pipe Extender'!$A$8:$M$10,6,FALSE),
IF($A134&lt;'PVC SCH80'!$A$250,VLOOKUP($A134,'PVC SCH80'!$A$8:$M$249,6,FALSE),
IF($A134&lt;'PVC SCH80 Flange'!$A$49,VLOOKUP($A134,'PVC SCH80 Flange'!$A$8:$M$48,6,FALSE),
IF($A134&lt;'PVC SCH80 LD Flange'!$A$17,VLOOKUP($A134,'PVC SCH80 LD Flange'!$A$8:$M$16,6,FALSE),
IF($A134&lt;CPVC!$A$105,VLOOKUP($A134,CPVC!$A$9:$M$104,6,FALSE),
IF($A134&lt;InsertFittings!$A$185,VLOOKUP($A134,InsertFittings!$A$9:$M$184,6,FALSE),
IF($A134&lt;Valves!$A$92,VLOOKUP($A134,Valves!$A$9:$Q$91,6,FALSE),
IF($A134&lt;SDR35SW!$A$133,VLOOKUP($A134,SDR35SW!$A$9:$M$132,6,FALSE),
IF($A134&lt;SDR35G!$A$151,VLOOKUP($A134,SDR35G!$A$9:$M$150,6,FALSE),
IF($A134&lt;SDR26G!$A$67,VLOOKUP($A134,SDR26G!$A$9:$N$66,7,FALSE),
IF($A134&lt;Cements!$A$95,VLOOKUP($A134,Cements!$A$8:$Q$94,6,FALSE),
IF($A134&lt;ValveBox!$A$124,VLOOKUP($A134,ValveBox!$A$9:$O$123,6,FALSE),
IF($A134&lt;'ValveBox Components'!$A$142,VLOOKUP($A134,'ValveBox Components'!$A$9:$N$141,6,FALSE),
IF($A134&lt;Drainage!$A$69,VLOOKUP($A134,Drainage!$A$8:$M$68,6,FALSE),
IF($A134&lt;Nipples!$A$82,VLOOKUP($A134,Nipples!$A$9:$Q$81,6,FALSE),
IF($A134&lt;Manifold!$A$33,VLOOKUP($A134,Manifold!$A$9:$M$32,6,FALSE),
IF($A134&lt;FlexibleRepairCouplings!$A$12,VLOOKUP($A134,FlexibleRepairCouplings!$A$9:$M$11,6,FALSE),
IF($A134&lt;DuraFix!$A$15,VLOOKUP($A134,DuraFix!$A$9:$M$14,6,FALSE),
IF($A134&lt;'Compression Fittings'!$A$16,VLOOKUP($A134,'Compression Fittings'!$A$8:$M$15,6,FALSE),
IF($A134&lt;'Hose Fittings'!$A$30,VLOOKUP($A134,'Hose Fittings'!$A$8:$M$29,6,FALSE),
IF($A134&lt;'Swing Joints'!$A$495,VLOOKUP($A134,'Swing Joints'!$A$9:$M$494,6,FALSE),
IF($A134&lt;'Swing Joints Components'!$A$135,VLOOKUP($A134,'Swing Joints Components'!$A$9:$M$134,6,FALSE),
IF($A134&lt;Nonstandard!$A$42,VLOOKUP($A134,Nonstandard!$A$31:$J$41,7,FALSE),"")))))))))))))))))))))))))))),"")</f>
        <v/>
      </c>
      <c r="E134" s="538"/>
      <c r="F134" s="539" t="str">
        <f>IFERROR(IF($A134&lt;'DWV PVC'!$A$317,VLOOKUP($A134,'DWV PVC'!$A$9:$M$316,9,FALSE),
IF($A134&lt;'DWV ABS'!$A$117,VLOOKUP($A134,'DWV ABS'!$A$8:$M$116,9,FALSE),                                                                                                                                                                                                                                                     IF($A134&lt;'PVC SCH40'!$A$425,VLOOKUP($A134,'PVC SCH40'!$A$8:$M$424,9,FALSE),
IF($A134&lt;'PVC SCH40 LD'!$A$22,VLOOKUP($A134,'PVC SCH40 LD'!$A$8:$M$21,9,FALSE),
IF($A134&lt;'Pool &amp; SPA Sweep Elbows'!$A$12,VLOOKUP($A134,'Pool &amp; SPA Sweep Elbows'!$A$8:$M$11,9,FALSE),
IF($A134&lt;'Pool &amp; SPA Pipe Extender'!$A$11,VLOOKUP($A134,'Pool &amp; SPA Pipe Extender'!$A$8:$M$10,9,FALSE),
IF($A134&lt;'PVC SCH80'!$A$250,VLOOKUP($A134,'PVC SCH80'!$A$8:$M$249,9,FALSE),
IF($A134&lt;'PVC SCH80 Flange'!$A$49,VLOOKUP($A134,'PVC SCH80 Flange'!$A$8:$M$48,9,FALSE),
IF($A134&lt;'PVC SCH80 LD Flange'!$A$17,VLOOKUP($A134,'PVC SCH80 LD Flange'!$A$8:$M$16,9,FALSE),
IF($A134&lt;CPVC!$A$105,VLOOKUP($A134,CPVC!$A$9:$M$104,9,FALSE),
IF($A134&lt;InsertFittings!$A$185,VLOOKUP($A134,InsertFittings!$A$9:$M$184,9,FALSE),
IF($A134&lt;Valves!$A$92,VLOOKUP($A134,Valves!$A$9:$Q$91,13,FALSE),
IF($A134&lt;SDR35SW!$A$133,VLOOKUP($A134,SDR35SW!$A$9:$M$132,9,FALSE),
IF($A134&lt;SDR35G!$A$151,VLOOKUP($A134,SDR35G!$A$9:$M$150,9,FALSE),                                                                                                                                                                                                                                                          IF($A134&lt;SDR26G!$A$67,VLOOKUP($A134,SDR26G!$A$9:$N$66,10,FALSE),                                                                                                                                                                                                                                                       IF($A134&lt;Cements!$A$95,VLOOKUP($A134,Cements!$A$8:$Q$94,13,FALSE),
IF($A134&lt;ValveBox!$A$124,VLOOKUP($A134,ValveBox!$A$9:$O$123,11,FALSE),
IF($A134&lt;'ValveBox Components'!$A$142,VLOOKUP($A134,'ValveBox Components'!$A$9:$N$141,10,FALSE),
IF($A134&lt;Drainage!$A$69,VLOOKUP($A134,Drainage!$A$8:$M$68,9,FALSE),                                                                                                                                                                                                                                                              IF($A134&lt;Nipples!$A$82,VLOOKUP($A134,Nipples!$A$9:$Q$81,13,FALSE),
IF($A134&lt;Manifold!$A$33,VLOOKUP($A134,Manifold!$A$9:$M$32,9,FALSE),
IF($A134&lt;FlexibleRepairCouplings!$A$12,VLOOKUP($A134,FlexibleRepairCouplings!$A$9:$M$11,9,FALSE),
IF($A134&lt;DuraFix!$A$15,VLOOKUP($A134,DuraFix!$A$9:$M$14,9,FALSE),                                                                                                                                                                                                                                                          IF($A134&lt;'Compression Fittings'!$A$16,VLOOKUP($A134,'Compression Fittings'!$A$8:$M$15,9,FALSE),
IF($A134&lt;'Hose Fittings'!$A$30,VLOOKUP($A134,'Hose Fittings'!$A$8:$M$29,9,FALSE),
IF($A134&lt;'Swing Joints'!$A$495,VLOOKUP($A134,'Swing Joints'!$A$9:$M$494,9,FALSE),
IF($A134&lt;'Swing Joints Components'!$A$135,VLOOKUP($A134,'Swing Joints Components'!$A$9:$M$134,9,FALSE),
IF($A134&lt;Nonstandard!$A$42,VLOOKUP($A134,Nonstandard!$A$31:$J$41,8,FALSE),"")))))))))))))))))))))))))))),"")</f>
        <v/>
      </c>
      <c r="G134" s="540" t="str">
        <f>IFERROR(IF($A134&lt;'DWV PVC'!$A$317,VLOOKUP($A134,'DWV PVC'!$A$9:$M$316,11,FALSE),
IF($A134&lt;'DWV ABS'!$A$117,VLOOKUP($A134,'DWV ABS'!$A$8:$M$116,11,FALSE),                                                                                                                                                                                                                                                     IF($A134&lt;'PVC SCH40'!$A$425,VLOOKUP($A134,'PVC SCH40'!$A$8:$M$424,11,FALSE),
IF($A134&lt;'PVC SCH40 LD'!$A$22,VLOOKUP($A134,'PVC SCH40 LD'!$A$8:$M$21,11,FALSE),
IF($A134&lt;'Pool &amp; SPA Sweep Elbows'!$A$12,VLOOKUP($A134,'Pool &amp; SPA Sweep Elbows'!$A$8:$M$11,11,FALSE),
IF($A134&lt;'Pool &amp; SPA Pipe Extender'!$A$11,VLOOKUP($A134,'Pool &amp; SPA Pipe Extender'!$A$8:$M$10,11,FALSE),
IF($A134&lt;'PVC SCH80'!$A$250,VLOOKUP($A134,'PVC SCH80'!$A$8:$M$249,11,FALSE),
IF($A134&lt;'PVC SCH80 Flange'!$A$49,VLOOKUP($A134,'PVC SCH80 Flange'!$A$8:$M$48,11,FALSE),
IF($A134&lt;'PVC SCH80 LD Flange'!$A$17,VLOOKUP($A134,'PVC SCH80 LD Flange'!$A$8:$M$16,11,FALSE),
IF($A134&lt;CPVC!$A$105,VLOOKUP($A134,CPVC!$A$9:$M$104,11,FALSE),
IF($A134&lt;InsertFittings!$A$185,VLOOKUP($A134,InsertFittings!$A$9:$M$184,11,FALSE),
IF($A134&lt;Valves!$A$92,VLOOKUP($A134,Valves!$A$9:$Q$91,15,FALSE),
IF($A134&lt;SDR35SW!$A$133,VLOOKUP($A134,SDR35SW!$A$9:$M$132,11,FALSE),
IF($A134&lt;SDR35G!$A$151,VLOOKUP($A134,SDR35G!$A$9:$M$150,11,FALSE),                                                                                                                                                                                                                                                          IF($A134&lt;SDR26G!$A$67,VLOOKUP($A134,SDR26G!$A$9:$N$66,12,FALSE),                                                                                                                                                                                                                                                       IF($A134&lt;Cements!$A$95,VLOOKUP($A134,Cements!$A$8:$Q$94,15,FALSE),
IF($A134&lt;ValveBox!$A$124,VLOOKUP($A134,ValveBox!$A$9:$O$123,13,FALSE),
IF($A134&lt;'ValveBox Components'!$A$142,VLOOKUP($A134,'ValveBox Components'!$A$9:$N$141,12,FALSE),
IF($A134&lt;Drainage!$A$69,VLOOKUP($A134,Drainage!$A$8:$M$68,11,FALSE),                                                                                                                                                                                                                                                           IF($A134&lt;Nipples!$A$82,VLOOKUP($A134,Nipples!$A$9:$Q$81,15,FALSE),
IF($A134&lt;Manifold!$A$33,VLOOKUP($A134,Manifold!$A$9:$M$32,11,FALSE),
IF($A134&lt;FlexibleRepairCouplings!$A$12,VLOOKUP($A134,FlexibleRepairCouplings!$A$9:$M$11,11,FALSE),
IF($A134&lt;DuraFix!$A$15,VLOOKUP($A134,DuraFix!$A$9:$M$14,11,FALSE),                                                                                                                                                                                                                                                            IF($A134&lt;'Compression Fittings'!$A$16,VLOOKUP($A134,'Compression Fittings'!$A$8:$M$15,11,FALSE),
IF($A134&lt;'Hose Fittings'!$A$30,VLOOKUP($A134,'Hose Fittings'!$A$8:$M$29,11,FALSE),
IF($A134&lt;'Swing Joints'!$A$495,VLOOKUP($A134,'Swing Joints'!$A$9:$M$494,11,FALSE),
IF($A134&lt;'Swing Joints Components'!$A$135,VLOOKUP($A134,'Swing Joints Components'!$A$9:$M$134,11,FALSE),
IF($A134&lt;Nonstandard!$A$42,VLOOKUP($A134,Nonstandard!$A$31:$J$41,10,FALSE),"")))))))))))))))))))))))))))),"")</f>
        <v/>
      </c>
      <c r="H134" s="620" t="str">
        <f>IFERROR(IF($A134&lt;'DWV PVC'!$A$317,VLOOKUP($A134,'DWV PVC'!$A$9:$M$316,7,FALSE),
IF($A134&lt;'DWV ABS'!$A$117,VLOOKUP($A134,'DWV ABS'!$A$8:$M$116,11,FALSE),                                                                                                                                                                                                                                                     IF($A134&lt;'PVC SCH40'!$A$425,VLOOKUP($A134,'PVC SCH40'!$A$8:$M$424,7,FALSE),
IF($A134&lt;'PVC SCH40 LD'!$A$22,VLOOKUP($A134,'PVC SCH40 LD'!$A$8:$M$21,7,FALSE),
IF($A134&lt;'Pool &amp; SPA Sweep Elbows'!$A$12,VLOOKUP($A134,'Pool &amp; SPA Sweep Elbows'!$A$8:$M$11,7,FALSE),
IF($A134&lt;'Pool &amp; SPA Pipe Extender'!$A$11,VLOOKUP($A134,'Pool &amp; SPA Pipe Extender'!$A$8:$M$10,7,FALSE),
IF($A134&lt;'PVC SCH80'!$A$250,VLOOKUP($A134,'PVC SCH80'!$A$8:$M$249,7,FALSE),
IF($A134&lt;'PVC SCH80 Flange'!$A$49,VLOOKUP($A134,'PVC SCH80 Flange'!$A$8:$M$48,7,FALSE),
IF($A134&lt;'PVC SCH80 LD Flange'!$A$17,VLOOKUP($A134,'PVC SCH80 LD Flange'!$A$8:$M$16,7,FALSE),
IF($A134&lt;CPVC!$A$105,VLOOKUP($A134,CPVC!$A$9:$M$104,7,FALSE),
IF($A134&lt;InsertFittings!$A$185,VLOOKUP($A134,InsertFittings!$A$9:$M$184,7,FALSE),
IF($A134&lt;Valves!$A$92,VLOOKUP($A134,Valves!$A$9:$Q$91,11,FALSE),
IF($A134&lt;SDR35SW!$A$133,VLOOKUP($A134,SDR35SW!$A$9:$M$132,7,FALSE),
IF($A134&lt;SDR35G!$A$151,VLOOKUP($A134,SDR35G!$A$9:$M$150,7,FALSE),                                                                                                                                                                                                                                                       IF($A134&lt;SDR26G!$A$67,VLOOKUP($A134,SDR26G!$A$9:$N$66,8,FALSE),                                                                                                                                                                                                                                                     IF($A134&lt;Cements!$A$95,VLOOKUP($A134,Cements!$A$8:$Q$94,11,FALSE),
IF($A134&lt;ValveBox!$A$124,VLOOKUP($A134,ValveBox!$A$9:$O$123,10,FALSE),
IF($A134&lt;'ValveBox Components'!$A$142,VLOOKUP($A134,'ValveBox Components'!$A$9:$N$141,9,FALSE),
IF($A134&lt;Drainage!$A$69,VLOOKUP($A134,Drainage!$A$8:$M$68,7,FALSE),                                                                                                                                                                                                                                                          IF($A134&lt;Nipples!$A$82,VLOOKUP($A134,Nipples!$A$9:$Q$81,11,FALSE),
IF($A134&lt;Manifold!$A$33,VLOOKUP($A134,Manifold!$A$9:$M$32,7,FALSE),
IF($A134&lt;FlexibleRepairCouplings!$A$12,VLOOKUP($A134,FlexibleRepairCouplings!$A$9:$M$11,7,FALSE),
IF($A134&lt;DuraFix!$A$15,VLOOKUP($A134,DuraFix!$A$9:$M$14,7,FALSE),                                                                                                                                                                                                                                                           IF($A134&lt;'Compression Fittings'!$A$16,VLOOKUP($A134,'Compression Fittings'!$A$8:$M$15,7,FALSE),
IF($A134&lt;'Hose Fittings'!$A$30,VLOOKUP($A134,'Hose Fittings'!$A$8:$M$29,7,FALSE),
IF($A134&lt;'Swing Joints'!$A$495,VLOOKUP($A134,'Swing Joints'!$A$9:$M$494,7,FALSE),
IF($A134&lt;'Swing Joints Components'!$A$135,VLOOKUP($A134,'Swing Joints Components'!$A$9:$M$134,7,FALSE),
IF($A134&lt;Nonstandard!$A$42,VLOOKUP($A134,Nonstandard!$A$31:$J$41,10,FALSE),"")))))))))))))))))))))))))))),"")</f>
        <v/>
      </c>
      <c r="I134" s="621"/>
      <c r="J134" s="541" t="str">
        <f t="shared" si="3"/>
        <v/>
      </c>
      <c r="K134" s="599" t="str">
        <f>IFERROR(IF($A134&lt;'DWV PVC'!$A$317,VLOOKUP($A134,'DWV PVC'!$A$9:$M$316,10,FALSE),
IF($A134&lt;'DWV ABS'!$A$117,VLOOKUP($A134,'DWV ABS'!$A$8:$M$116,10,FALSE),
IF($A134&lt;'PVC SCH40'!$A$425,VLOOKUP($A134,'PVC SCH40'!$A$8:$M$424,10,FALSE),
IF($A134&lt;'PVC SCH40 LD'!$A$22,VLOOKUP($A134,'PVC SCH40 LD'!$A$8:$M$21,10,FALSE),
IF($A134&lt;'Pool &amp; SPA Sweep Elbows'!$A$12,VLOOKUP($A134,'Pool &amp; SPA Sweep Elbows'!$A$8:$M$11,10,FALSE),
IF($A134&lt;'Pool &amp; SPA Pipe Extender'!$A$11,VLOOKUP($A134,'Pool &amp; SPA Pipe Extender'!$A$8:$M$10,10,FALSE),
IF($A134&lt;'PVC SCH80'!$A$250,VLOOKUP($A134,'PVC SCH80'!$A$8:$M$249,10,FALSE),
IF($A134&lt;'PVC SCH80 Flange'!$A$49,VLOOKUP($A134,'PVC SCH80 Flange'!$A$8:$M$48,10,FALSE),
IF($A134&lt;'PVC SCH80 LD Flange'!$A$17,VLOOKUP($A134,'PVC SCH80 LD Flange'!$A$8:$M$16,10,FALSE),
IF($A134&lt;CPVC!$A$105,VLOOKUP($A134,CPVC!$A$9:$M$104,10,FALSE),
IF($A134&lt;InsertFittings!$A$185,VLOOKUP($A134,InsertFittings!$A$9:$M$184,10,FALSE),
IF($A134&lt;Valves!$A$92,VLOOKUP($A134,Valves!$A$9:$Q$91,14,FALSE),
IF($A134&lt;SDR35SW!$A$133,VLOOKUP($A134,SDR35SW!$A$9:$M$132,10,FALSE),
IF($A134&lt;SDR35G!$A$151,VLOOKUP($A134,SDR35G!$A$9:$M$150,10,FALSE),
IF($A134&lt;SDR26G!$A$67,VLOOKUP($A134,SDR26G!$A$9:$N$66,11,FALSE),
IF($A134&lt;Cements!$A$95,VLOOKUP($A134,Cements!$A$8:$Q$94,14,FALSE),
IF($A134&lt;ValveBox!$A$124,VLOOKUP($A134,ValveBox!$A$9:$O$123,12,FALSE),
IF($A134&lt;'ValveBox Components'!$A$142,VLOOKUP($A134,'ValveBox Components'!$A$9:$N$141,11,FALSE),
IF($A134&lt;Drainage!$A$69,VLOOKUP($A134,Drainage!$A$8:$M$68,10,FALSE),
IF($A134&lt;Nipples!$A$82,VLOOKUP($A134,Nipples!$A$9:$Q$81,14,FALSE),
IF($A134&lt;Manifold!$A$33,VLOOKUP($A134,Manifold!$A$9:$M$32,10,FALSE),
IF($A134&lt;FlexibleRepairCouplings!$A$12,VLOOKUP($A134,FlexibleRepairCouplings!$A$9:$M$11,10,FALSE),
IF($A134&lt;DuraFix!$A$15,VLOOKUP($A134,DuraFix!$A$9:$M$14,10,FALSE),
IF($A134&lt;'Compression Fittings'!$A$16,VLOOKUP($A134,'Compression Fittings'!$A$8:$M$15,10,FALSE),
IF($A134&lt;'Hose Fittings'!$A$30,VLOOKUP($A134,'Hose Fittings'!$A$8:$M$29,10,FALSE),
IF($A134&lt;'Swing Joints'!$A$495,VLOOKUP($A134,'Swing Joints'!$A$9:$M$494,10,FALSE),
IF($A134&lt;'Swing Joints Components'!$A$135,VLOOKUP($A134,'Swing Joints Components'!$A$9:$M$134,10,FALSE),
IF($A134&lt;Nonstandard!$A$42,VLOOKUP($A134,Nonstandard!$A$31:$J$41,10,FALSE),"")))))))))))))))))))))))))))),"")</f>
        <v/>
      </c>
      <c r="L134" s="539" t="str">
        <f t="shared" si="2"/>
        <v>-</v>
      </c>
      <c r="M134" s="542"/>
    </row>
    <row r="135" spans="1:13" ht="15.6">
      <c r="A135" s="312">
        <v>103</v>
      </c>
      <c r="B135" s="312" t="str">
        <f>IFERROR(IF($A135&lt;'DWV PVC'!$A$317,VLOOKUP($A135,'DWV PVC'!$A$9:$M$316,4,FALSE),
IF($A135&lt;'DWV ABS'!$A$117,VLOOKUP($A135,'DWV ABS'!$A$8:$M$116,4,FALSE),
IF($A135&lt;'PVC SCH40'!$A$425,VLOOKUP($A135,'PVC SCH40'!$A$8:$M$424,4,FALSE),
IF($A135&lt;'PVC SCH40 LD'!$A$22,VLOOKUP($A135,'PVC SCH40 LD'!$A$8:$M$21,4,FALSE),
IF($A135&lt;'Pool &amp; SPA Sweep Elbows'!$A$12,VLOOKUP($A135,'Pool &amp; SPA Sweep Elbows'!$A$8:$M$11,4,FALSE),
IF($A135&lt;'Pool &amp; SPA Pipe Extender'!$A$11,VLOOKUP($A135,'Pool &amp; SPA Pipe Extender'!$A$8:$M$10,4,FALSE),
IF($A135&lt;'PVC SCH80'!$A$250,VLOOKUP($A135,'PVC SCH80'!$A$8:$M$249,4,FALSE),
IF($A135&lt;'PVC SCH80 Flange'!$A$49,VLOOKUP($A135,'PVC SCH80 Flange'!$A$8:$M$48,4,FALSE),
IF($A135&lt;'PVC SCH80 LD Flange'!$A$17,VLOOKUP($A135,'PVC SCH80 LD Flange'!$A$8:$M$16,4,FALSE),
IF($A135&lt;CPVC!$A$105,VLOOKUP($A135,CPVC!$A$9:$M$104,4,FALSE),
IF($A135&lt;InsertFittings!$A$185,VLOOKUP($A135,InsertFittings!$A$9:$M$184,4,FALSE),
IF($A135&lt;Valves!$A$92,VLOOKUP($A135,Valves!$A$9:$Q$91,4,FALSE),
IF($A135&lt;SDR35SW!$A$133,VLOOKUP($A135,SDR35SW!$A$9:$M$132,4,FALSE),
IF($A135&lt;SDR35G!$A$151,VLOOKUP($A135,SDR35G!$A$9:$M$150,4,FALSE),
IF($A135&lt;SDR26G!$A$67,VLOOKUP($A135,SDR26G!$A$9:$N$66,5,FALSE),
IF($A135&lt;Cements!$A$95,VLOOKUP($A135,Cements!$A$8:$Q$94,4,FALSE),
IF($A135&lt;ValveBox!$A$124,VLOOKUP($A135,ValveBox!$A$9:$O$123,4,FALSE),
IF($A135&lt;'ValveBox Components'!$A$142,VLOOKUP($A135,'ValveBox Components'!$A$9:$N$141,4,FALSE),
IF($A135&lt;Drainage!$A$69,VLOOKUP($A135,Drainage!$A$8:$M$68,4,FALSE),
IF($A135&lt;Nipples!$A$82,VLOOKUP($A135,Nipples!$A$9:$Q$81,4,FALSE),
IF($A135&lt;Manifold!$A$33,VLOOKUP($A135,Manifold!$A$9:$M$32,4,FALSE),
IF($A135&lt;FlexibleRepairCouplings!$A$12,VLOOKUP($A135,FlexibleRepairCouplings!$A$9:$M$11,4,FALSE),
IF($A135&lt;DuraFix!$A$15,VLOOKUP($A135,DuraFix!$A$9:$M$14,4,FALSE),
IF($A135&lt;'Compression Fittings'!$A$16,VLOOKUP($A135,'Compression Fittings'!$A$8:$M$15,4,FALSE),
IF($A135&lt;'Hose Fittings'!$A$30,VLOOKUP($A135,'Hose Fittings'!$A$8:$M$29,4,FALSE),
IF($A135&lt;'Swing Joints'!$A$495,VLOOKUP($A135,'Swing Joints'!$A$9:$M$494,4,FALSE),
IF($A135&lt;'Swing Joints Components'!$A$135,VLOOKUP($A135,'Swing Joints Components'!$A$9:$M$134,4,FALSE),
IF($A135&lt;Nonstandard!$A$42,VLOOKUP($A135,Nonstandard!$A$31:$J$41,5,FALSE),"")))))))))))))))))))))))))))),"")</f>
        <v/>
      </c>
      <c r="C135" s="312" t="str">
        <f>IFERROR(IF($A135&lt;'DWV PVC'!$A$317,VLOOKUP($A135,'DWV PVC'!$A$9:$M$316,5,FALSE),
IF($A135&lt;'DWV ABS'!$A$117,VLOOKUP($A135,'DWV ABS'!$A$8:$M$116,5,FALSE),
IF($A135&lt;'PVC SCH40'!$A$425,VLOOKUP($A135,'PVC SCH40'!$A$8:$M$424,5,FALSE),
IF($A135&lt;'PVC SCH40 LD'!$A$22,VLOOKUP($A135,'PVC SCH40 LD'!$A$8:$M$21,5,FALSE),
IF($A135&lt;'Pool &amp; SPA Sweep Elbows'!$A$12,VLOOKUP($A135,'Pool &amp; SPA Sweep Elbows'!$A$8:$M$11,5,FALSE),
IF($A135&lt;'Pool &amp; SPA Pipe Extender'!$A$11,VLOOKUP($A135,'Pool &amp; SPA Pipe Extender'!$A$8:$M$10,5,FALSE),
IF($A135&lt;'PVC SCH80'!$A$250,VLOOKUP($A135,'PVC SCH80'!$A$8:$M$249,5,FALSE),
IF($A135&lt;'PVC SCH80 Flange'!$A$49,VLOOKUP($A135,'PVC SCH80 Flange'!$A$8:$M$48,5,FALSE),
IF($A135&lt;'PVC SCH80 LD Flange'!$A$17,VLOOKUP($A135,'PVC SCH80 LD Flange'!$A$8:$M$16,5,FALSE),
IF($A135&lt;CPVC!$A$105,VLOOKUP($A135,CPVC!$A$9:$M$104,5,FALSE),
IF($A135&lt;InsertFittings!$A$185,VLOOKUP($A135,InsertFittings!$A$9:$M$184,5,FALSE),
IF($A135&lt;Valves!$A$92,VLOOKUP($A135,Valves!$A$9:$Q$91,5,FALSE),
IF($A135&lt;SDR35SW!$A$133,VLOOKUP($A135,SDR35SW!$A$9:$M$132,5,FALSE),
IF($A135&lt;SDR35G!$A$151,VLOOKUP($A135,SDR35G!$A$9:$M$150,5,FALSE),
IF($A135&lt;SDR26G!$A$67,VLOOKUP($A135,SDR26G!$A$9:$N$66,6,FALSE),
IF($A135&lt;Cements!$A$95,VLOOKUP($A135,Cements!$A$8:$Q$94,5,FALSE),
IF($A135&lt;ValveBox!$A$124,VLOOKUP($A135,ValveBox!$A$9:$O$123,5,FALSE),
IF($A135&lt;'ValveBox Components'!$A$142,VLOOKUP($A135,'ValveBox Components'!$A$9:$N$141,5,FALSE),
IF($A135&lt;Drainage!$A$69,VLOOKUP($A135,Drainage!$A$8:$M$68,5,FALSE),
IF($A135&lt;Nipples!$A$82,VLOOKUP($A135,Nipples!$A$9:$Q$81,5,FALSE),
IF($A135&lt;Manifold!$A$33,VLOOKUP($A135,Manifold!$A$9:$M$32,5,FALSE),
IF($A135&lt;FlexibleRepairCouplings!$A$12,VLOOKUP($A135,FlexibleRepairCouplings!$A$9:$M$11,5,FALSE),
IF($A135&lt;DuraFix!$A$15,VLOOKUP($A135,DuraFix!$A$9:$M$14,5,FALSE),
IF($A135&lt;'Compression Fittings'!$A$16,VLOOKUP($A135,'Compression Fittings'!$A$8:$M$15,5,FALSE),
IF($A135&lt;'Hose Fittings'!$A$30,VLOOKUP($A135,'Hose Fittings'!$A$8:$M$29,5,FALSE),
IF($A135&lt;'Swing Joints'!$A$495,VLOOKUP($A135,'Swing Joints'!$A$9:$M$494,5,FALSE),
IF($A135&lt;'Swing Joints Components'!$A$135,VLOOKUP($A135,'Swing Joints Components'!$A$9:$M$134,5,FALSE),
IF($A135&lt;Nonstandard!$A$42,VLOOKUP($A135,Nonstandard!$A$31:$J$41,6,FALSE),"")))))))))))))))))))))))))))),"")</f>
        <v/>
      </c>
      <c r="D135" s="534" t="str">
        <f>IFERROR(IF($A135&lt;'DWV PVC'!$A$317,VLOOKUP($A135,'DWV PVC'!$A$9:$M$316,6,FALSE),
IF($A135&lt;'DWV ABS'!$A$117,VLOOKUP($A135,'DWV ABS'!$A$8:$M$116,6,FALSE),
IF($A135&lt;'PVC SCH40'!$A$425,VLOOKUP($A135,'PVC SCH40'!$A$8:$M$424,6,FALSE),
IF($A135&lt;'PVC SCH40 LD'!$A$22,VLOOKUP($A135,'PVC SCH40 LD'!$A$8:$M$21,6,FALSE),
IF($A135&lt;'Pool &amp; SPA Sweep Elbows'!$A$12,VLOOKUP($A135,'Pool &amp; SPA Sweep Elbows'!$A$8:$M$11,6,FALSE),
IF($A135&lt;'Pool &amp; SPA Pipe Extender'!$A$11,VLOOKUP($A135,'Pool &amp; SPA Pipe Extender'!$A$8:$M$10,6,FALSE),
IF($A135&lt;'PVC SCH80'!$A$250,VLOOKUP($A135,'PVC SCH80'!$A$8:$M$249,6,FALSE),
IF($A135&lt;'PVC SCH80 Flange'!$A$49,VLOOKUP($A135,'PVC SCH80 Flange'!$A$8:$M$48,6,FALSE),
IF($A135&lt;'PVC SCH80 LD Flange'!$A$17,VLOOKUP($A135,'PVC SCH80 LD Flange'!$A$8:$M$16,6,FALSE),
IF($A135&lt;CPVC!$A$105,VLOOKUP($A135,CPVC!$A$9:$M$104,6,FALSE),
IF($A135&lt;InsertFittings!$A$185,VLOOKUP($A135,InsertFittings!$A$9:$M$184,6,FALSE),
IF($A135&lt;Valves!$A$92,VLOOKUP($A135,Valves!$A$9:$Q$91,6,FALSE),
IF($A135&lt;SDR35SW!$A$133,VLOOKUP($A135,SDR35SW!$A$9:$M$132,6,FALSE),
IF($A135&lt;SDR35G!$A$151,VLOOKUP($A135,SDR35G!$A$9:$M$150,6,FALSE),
IF($A135&lt;SDR26G!$A$67,VLOOKUP($A135,SDR26G!$A$9:$N$66,7,FALSE),
IF($A135&lt;Cements!$A$95,VLOOKUP($A135,Cements!$A$8:$Q$94,6,FALSE),
IF($A135&lt;ValveBox!$A$124,VLOOKUP($A135,ValveBox!$A$9:$O$123,6,FALSE),
IF($A135&lt;'ValveBox Components'!$A$142,VLOOKUP($A135,'ValveBox Components'!$A$9:$N$141,6,FALSE),
IF($A135&lt;Drainage!$A$69,VLOOKUP($A135,Drainage!$A$8:$M$68,6,FALSE),
IF($A135&lt;Nipples!$A$82,VLOOKUP($A135,Nipples!$A$9:$Q$81,6,FALSE),
IF($A135&lt;Manifold!$A$33,VLOOKUP($A135,Manifold!$A$9:$M$32,6,FALSE),
IF($A135&lt;FlexibleRepairCouplings!$A$12,VLOOKUP($A135,FlexibleRepairCouplings!$A$9:$M$11,6,FALSE),
IF($A135&lt;DuraFix!$A$15,VLOOKUP($A135,DuraFix!$A$9:$M$14,6,FALSE),
IF($A135&lt;'Compression Fittings'!$A$16,VLOOKUP($A135,'Compression Fittings'!$A$8:$M$15,6,FALSE),
IF($A135&lt;'Hose Fittings'!$A$30,VLOOKUP($A135,'Hose Fittings'!$A$8:$M$29,6,FALSE),
IF($A135&lt;'Swing Joints'!$A$495,VLOOKUP($A135,'Swing Joints'!$A$9:$M$494,6,FALSE),
IF($A135&lt;'Swing Joints Components'!$A$135,VLOOKUP($A135,'Swing Joints Components'!$A$9:$M$134,6,FALSE),
IF($A135&lt;Nonstandard!$A$42,VLOOKUP($A135,Nonstandard!$A$31:$J$41,7,FALSE),"")))))))))))))))))))))))))))),"")</f>
        <v/>
      </c>
      <c r="E135" s="316"/>
      <c r="F135" s="314" t="str">
        <f>IFERROR(IF($A135&lt;'DWV PVC'!$A$317,VLOOKUP($A135,'DWV PVC'!$A$9:$M$316,9,FALSE),
IF($A135&lt;'DWV ABS'!$A$117,VLOOKUP($A135,'DWV ABS'!$A$8:$M$116,9,FALSE),                                                                                                                                                                                                                                                     IF($A135&lt;'PVC SCH40'!$A$425,VLOOKUP($A135,'PVC SCH40'!$A$8:$M$424,9,FALSE),
IF($A135&lt;'PVC SCH40 LD'!$A$22,VLOOKUP($A135,'PVC SCH40 LD'!$A$8:$M$21,9,FALSE),
IF($A135&lt;'Pool &amp; SPA Sweep Elbows'!$A$12,VLOOKUP($A135,'Pool &amp; SPA Sweep Elbows'!$A$8:$M$11,9,FALSE),
IF($A135&lt;'Pool &amp; SPA Pipe Extender'!$A$11,VLOOKUP($A135,'Pool &amp; SPA Pipe Extender'!$A$8:$M$10,9,FALSE),
IF($A135&lt;'PVC SCH80'!$A$250,VLOOKUP($A135,'PVC SCH80'!$A$8:$M$249,9,FALSE),
IF($A135&lt;'PVC SCH80 Flange'!$A$49,VLOOKUP($A135,'PVC SCH80 Flange'!$A$8:$M$48,9,FALSE),
IF($A135&lt;'PVC SCH80 LD Flange'!$A$17,VLOOKUP($A135,'PVC SCH80 LD Flange'!$A$8:$M$16,9,FALSE),
IF($A135&lt;CPVC!$A$105,VLOOKUP($A135,CPVC!$A$9:$M$104,9,FALSE),
IF($A135&lt;InsertFittings!$A$185,VLOOKUP($A135,InsertFittings!$A$9:$M$184,9,FALSE),
IF($A135&lt;Valves!$A$92,VLOOKUP($A135,Valves!$A$9:$Q$91,13,FALSE),
IF($A135&lt;SDR35SW!$A$133,VLOOKUP($A135,SDR35SW!$A$9:$M$132,9,FALSE),
IF($A135&lt;SDR35G!$A$151,VLOOKUP($A135,SDR35G!$A$9:$M$150,9,FALSE),                                                                                                                                                                                                                                                          IF($A135&lt;SDR26G!$A$67,VLOOKUP($A135,SDR26G!$A$9:$N$66,10,FALSE),                                                                                                                                                                                                                                                       IF($A135&lt;Cements!$A$95,VLOOKUP($A135,Cements!$A$8:$Q$94,13,FALSE),
IF($A135&lt;ValveBox!$A$124,VLOOKUP($A135,ValveBox!$A$9:$O$123,11,FALSE),
IF($A135&lt;'ValveBox Components'!$A$142,VLOOKUP($A135,'ValveBox Components'!$A$9:$N$141,10,FALSE),
IF($A135&lt;Drainage!$A$69,VLOOKUP($A135,Drainage!$A$8:$M$68,9,FALSE),                                                                                                                                                                                                                                                              IF($A135&lt;Nipples!$A$82,VLOOKUP($A135,Nipples!$A$9:$Q$81,13,FALSE),
IF($A135&lt;Manifold!$A$33,VLOOKUP($A135,Manifold!$A$9:$M$32,9,FALSE),
IF($A135&lt;FlexibleRepairCouplings!$A$12,VLOOKUP($A135,FlexibleRepairCouplings!$A$9:$M$11,9,FALSE),
IF($A135&lt;DuraFix!$A$15,VLOOKUP($A135,DuraFix!$A$9:$M$14,9,FALSE),                                                                                                                                                                                                                                                          IF($A135&lt;'Compression Fittings'!$A$16,VLOOKUP($A135,'Compression Fittings'!$A$8:$M$15,9,FALSE),
IF($A135&lt;'Hose Fittings'!$A$30,VLOOKUP($A135,'Hose Fittings'!$A$8:$M$29,9,FALSE),
IF($A135&lt;'Swing Joints'!$A$495,VLOOKUP($A135,'Swing Joints'!$A$9:$M$494,9,FALSE),
IF($A135&lt;'Swing Joints Components'!$A$135,VLOOKUP($A135,'Swing Joints Components'!$A$9:$M$134,9,FALSE),
IF($A135&lt;Nonstandard!$A$42,VLOOKUP($A135,Nonstandard!$A$31:$J$41,8,FALSE),"")))))))))))))))))))))))))))),"")</f>
        <v/>
      </c>
      <c r="G135" s="533" t="str">
        <f>IFERROR(IF($A135&lt;'DWV PVC'!$A$317,VLOOKUP($A135,'DWV PVC'!$A$9:$M$316,11,FALSE),
IF($A135&lt;'DWV ABS'!$A$117,VLOOKUP($A135,'DWV ABS'!$A$8:$M$116,11,FALSE),                                                                                                                                                                                                                                                     IF($A135&lt;'PVC SCH40'!$A$425,VLOOKUP($A135,'PVC SCH40'!$A$8:$M$424,11,FALSE),
IF($A135&lt;'PVC SCH40 LD'!$A$22,VLOOKUP($A135,'PVC SCH40 LD'!$A$8:$M$21,11,FALSE),
IF($A135&lt;'Pool &amp; SPA Sweep Elbows'!$A$12,VLOOKUP($A135,'Pool &amp; SPA Sweep Elbows'!$A$8:$M$11,11,FALSE),
IF($A135&lt;'Pool &amp; SPA Pipe Extender'!$A$11,VLOOKUP($A135,'Pool &amp; SPA Pipe Extender'!$A$8:$M$10,11,FALSE),
IF($A135&lt;'PVC SCH80'!$A$250,VLOOKUP($A135,'PVC SCH80'!$A$8:$M$249,11,FALSE),
IF($A135&lt;'PVC SCH80 Flange'!$A$49,VLOOKUP($A135,'PVC SCH80 Flange'!$A$8:$M$48,11,FALSE),
IF($A135&lt;'PVC SCH80 LD Flange'!$A$17,VLOOKUP($A135,'PVC SCH80 LD Flange'!$A$8:$M$16,11,FALSE),
IF($A135&lt;CPVC!$A$105,VLOOKUP($A135,CPVC!$A$9:$M$104,11,FALSE),
IF($A135&lt;InsertFittings!$A$185,VLOOKUP($A135,InsertFittings!$A$9:$M$184,11,FALSE),
IF($A135&lt;Valves!$A$92,VLOOKUP($A135,Valves!$A$9:$Q$91,15,FALSE),
IF($A135&lt;SDR35SW!$A$133,VLOOKUP($A135,SDR35SW!$A$9:$M$132,11,FALSE),
IF($A135&lt;SDR35G!$A$151,VLOOKUP($A135,SDR35G!$A$9:$M$150,11,FALSE),                                                                                                                                                                                                                                                          IF($A135&lt;SDR26G!$A$67,VLOOKUP($A135,SDR26G!$A$9:$N$66,12,FALSE),                                                                                                                                                                                                                                                       IF($A135&lt;Cements!$A$95,VLOOKUP($A135,Cements!$A$8:$Q$94,15,FALSE),
IF($A135&lt;ValveBox!$A$124,VLOOKUP($A135,ValveBox!$A$9:$O$123,13,FALSE),
IF($A135&lt;'ValveBox Components'!$A$142,VLOOKUP($A135,'ValveBox Components'!$A$9:$N$141,12,FALSE),
IF($A135&lt;Drainage!$A$69,VLOOKUP($A135,Drainage!$A$8:$M$68,11,FALSE),                                                                                                                                                                                                                                                           IF($A135&lt;Nipples!$A$82,VLOOKUP($A135,Nipples!$A$9:$Q$81,15,FALSE),
IF($A135&lt;Manifold!$A$33,VLOOKUP($A135,Manifold!$A$9:$M$32,11,FALSE),
IF($A135&lt;FlexibleRepairCouplings!$A$12,VLOOKUP($A135,FlexibleRepairCouplings!$A$9:$M$11,11,FALSE),
IF($A135&lt;DuraFix!$A$15,VLOOKUP($A135,DuraFix!$A$9:$M$14,11,FALSE),                                                                                                                                                                                                                                                            IF($A135&lt;'Compression Fittings'!$A$16,VLOOKUP($A135,'Compression Fittings'!$A$8:$M$15,11,FALSE),
IF($A135&lt;'Hose Fittings'!$A$30,VLOOKUP($A135,'Hose Fittings'!$A$8:$M$29,11,FALSE),
IF($A135&lt;'Swing Joints'!$A$495,VLOOKUP($A135,'Swing Joints'!$A$9:$M$494,11,FALSE),
IF($A135&lt;'Swing Joints Components'!$A$135,VLOOKUP($A135,'Swing Joints Components'!$A$9:$M$134,11,FALSE),
IF($A135&lt;Nonstandard!$A$42,VLOOKUP($A135,Nonstandard!$A$31:$J$41,10,FALSE),"")))))))))))))))))))))))))))),"")</f>
        <v/>
      </c>
      <c r="H135" s="618" t="str">
        <f>IFERROR(IF($A135&lt;'DWV PVC'!$A$317,VLOOKUP($A135,'DWV PVC'!$A$9:$M$316,7,FALSE),
IF($A135&lt;'DWV ABS'!$A$117,VLOOKUP($A135,'DWV ABS'!$A$8:$M$116,11,FALSE),                                                                                                                                                                                                                                                     IF($A135&lt;'PVC SCH40'!$A$425,VLOOKUP($A135,'PVC SCH40'!$A$8:$M$424,7,FALSE),
IF($A135&lt;'PVC SCH40 LD'!$A$22,VLOOKUP($A135,'PVC SCH40 LD'!$A$8:$M$21,7,FALSE),
IF($A135&lt;'Pool &amp; SPA Sweep Elbows'!$A$12,VLOOKUP($A135,'Pool &amp; SPA Sweep Elbows'!$A$8:$M$11,7,FALSE),
IF($A135&lt;'Pool &amp; SPA Pipe Extender'!$A$11,VLOOKUP($A135,'Pool &amp; SPA Pipe Extender'!$A$8:$M$10,7,FALSE),
IF($A135&lt;'PVC SCH80'!$A$250,VLOOKUP($A135,'PVC SCH80'!$A$8:$M$249,7,FALSE),
IF($A135&lt;'PVC SCH80 Flange'!$A$49,VLOOKUP($A135,'PVC SCH80 Flange'!$A$8:$M$48,7,FALSE),
IF($A135&lt;'PVC SCH80 LD Flange'!$A$17,VLOOKUP($A135,'PVC SCH80 LD Flange'!$A$8:$M$16,7,FALSE),
IF($A135&lt;CPVC!$A$105,VLOOKUP($A135,CPVC!$A$9:$M$104,7,FALSE),
IF($A135&lt;InsertFittings!$A$185,VLOOKUP($A135,InsertFittings!$A$9:$M$184,7,FALSE),
IF($A135&lt;Valves!$A$92,VLOOKUP($A135,Valves!$A$9:$Q$91,11,FALSE),
IF($A135&lt;SDR35SW!$A$133,VLOOKUP($A135,SDR35SW!$A$9:$M$132,7,FALSE),
IF($A135&lt;SDR35G!$A$151,VLOOKUP($A135,SDR35G!$A$9:$M$150,7,FALSE),                                                                                                                                                                                                                                                       IF($A135&lt;SDR26G!$A$67,VLOOKUP($A135,SDR26G!$A$9:$N$66,8,FALSE),                                                                                                                                                                                                                                                     IF($A135&lt;Cements!$A$95,VLOOKUP($A135,Cements!$A$8:$Q$94,11,FALSE),
IF($A135&lt;ValveBox!$A$124,VLOOKUP($A135,ValveBox!$A$9:$O$123,10,FALSE),
IF($A135&lt;'ValveBox Components'!$A$142,VLOOKUP($A135,'ValveBox Components'!$A$9:$N$141,9,FALSE),
IF($A135&lt;Drainage!$A$69,VLOOKUP($A135,Drainage!$A$8:$M$68,7,FALSE),                                                                                                                                                                                                                                                          IF($A135&lt;Nipples!$A$82,VLOOKUP($A135,Nipples!$A$9:$Q$81,11,FALSE),
IF($A135&lt;Manifold!$A$33,VLOOKUP($A135,Manifold!$A$9:$M$32,7,FALSE),
IF($A135&lt;FlexibleRepairCouplings!$A$12,VLOOKUP($A135,FlexibleRepairCouplings!$A$9:$M$11,7,FALSE),
IF($A135&lt;DuraFix!$A$15,VLOOKUP($A135,DuraFix!$A$9:$M$14,7,FALSE),                                                                                                                                                                                                                                                           IF($A135&lt;'Compression Fittings'!$A$16,VLOOKUP($A135,'Compression Fittings'!$A$8:$M$15,7,FALSE),
IF($A135&lt;'Hose Fittings'!$A$30,VLOOKUP($A135,'Hose Fittings'!$A$8:$M$29,7,FALSE),
IF($A135&lt;'Swing Joints'!$A$495,VLOOKUP($A135,'Swing Joints'!$A$9:$M$494,7,FALSE),
IF($A135&lt;'Swing Joints Components'!$A$135,VLOOKUP($A135,'Swing Joints Components'!$A$9:$M$134,7,FALSE),
IF($A135&lt;Nonstandard!$A$42,VLOOKUP($A135,Nonstandard!$A$31:$J$41,10,FALSE),"")))))))))))))))))))))))))))),"")</f>
        <v/>
      </c>
      <c r="I135" s="619"/>
      <c r="J135" s="281" t="str">
        <f t="shared" si="3"/>
        <v/>
      </c>
      <c r="K135" s="313" t="str">
        <f>IFERROR(IF($A135&lt;'DWV PVC'!$A$317,VLOOKUP($A135,'DWV PVC'!$A$9:$M$316,10,FALSE),
IF($A135&lt;'DWV ABS'!$A$117,VLOOKUP($A135,'DWV ABS'!$A$8:$M$116,10,FALSE),
IF($A135&lt;'PVC SCH40'!$A$425,VLOOKUP($A135,'PVC SCH40'!$A$8:$M$424,10,FALSE),
IF($A135&lt;'PVC SCH40 LD'!$A$22,VLOOKUP($A135,'PVC SCH40 LD'!$A$8:$M$21,10,FALSE),
IF($A135&lt;'Pool &amp; SPA Sweep Elbows'!$A$12,VLOOKUP($A135,'Pool &amp; SPA Sweep Elbows'!$A$8:$M$11,10,FALSE),
IF($A135&lt;'Pool &amp; SPA Pipe Extender'!$A$11,VLOOKUP($A135,'Pool &amp; SPA Pipe Extender'!$A$8:$M$10,10,FALSE),
IF($A135&lt;'PVC SCH80'!$A$250,VLOOKUP($A135,'PVC SCH80'!$A$8:$M$249,10,FALSE),
IF($A135&lt;'PVC SCH80 Flange'!$A$49,VLOOKUP($A135,'PVC SCH80 Flange'!$A$8:$M$48,10,FALSE),
IF($A135&lt;'PVC SCH80 LD Flange'!$A$17,VLOOKUP($A135,'PVC SCH80 LD Flange'!$A$8:$M$16,10,FALSE),
IF($A135&lt;CPVC!$A$105,VLOOKUP($A135,CPVC!$A$9:$M$104,10,FALSE),
IF($A135&lt;InsertFittings!$A$185,VLOOKUP($A135,InsertFittings!$A$9:$M$184,10,FALSE),
IF($A135&lt;Valves!$A$92,VLOOKUP($A135,Valves!$A$9:$Q$91,14,FALSE),
IF($A135&lt;SDR35SW!$A$133,VLOOKUP($A135,SDR35SW!$A$9:$M$132,10,FALSE),
IF($A135&lt;SDR35G!$A$151,VLOOKUP($A135,SDR35G!$A$9:$M$150,10,FALSE),
IF($A135&lt;SDR26G!$A$67,VLOOKUP($A135,SDR26G!$A$9:$N$66,11,FALSE),
IF($A135&lt;Cements!$A$95,VLOOKUP($A135,Cements!$A$8:$Q$94,14,FALSE),
IF($A135&lt;ValveBox!$A$124,VLOOKUP($A135,ValveBox!$A$9:$O$123,12,FALSE),
IF($A135&lt;'ValveBox Components'!$A$142,VLOOKUP($A135,'ValveBox Components'!$A$9:$N$141,11,FALSE),
IF($A135&lt;Drainage!$A$69,VLOOKUP($A135,Drainage!$A$8:$M$68,10,FALSE),
IF($A135&lt;Nipples!$A$82,VLOOKUP($A135,Nipples!$A$9:$Q$81,14,FALSE),
IF($A135&lt;Manifold!$A$33,VLOOKUP($A135,Manifold!$A$9:$M$32,10,FALSE),
IF($A135&lt;FlexibleRepairCouplings!$A$12,VLOOKUP($A135,FlexibleRepairCouplings!$A$9:$M$11,10,FALSE),
IF($A135&lt;DuraFix!$A$15,VLOOKUP($A135,DuraFix!$A$9:$M$14,10,FALSE),
IF($A135&lt;'Compression Fittings'!$A$16,VLOOKUP($A135,'Compression Fittings'!$A$8:$M$15,10,FALSE),
IF($A135&lt;'Hose Fittings'!$A$30,VLOOKUP($A135,'Hose Fittings'!$A$8:$M$29,10,FALSE),
IF($A135&lt;'Swing Joints'!$A$495,VLOOKUP($A135,'Swing Joints'!$A$9:$M$494,10,FALSE),
IF($A135&lt;'Swing Joints Components'!$A$135,VLOOKUP($A135,'Swing Joints Components'!$A$9:$M$134,10,FALSE),
IF($A135&lt;Nonstandard!$A$42,VLOOKUP($A135,Nonstandard!$A$31:$J$41,10,FALSE),"")))))))))))))))))))))))))))),"")</f>
        <v/>
      </c>
      <c r="L135" s="314" t="str">
        <f t="shared" si="2"/>
        <v>-</v>
      </c>
      <c r="M135" s="315"/>
    </row>
    <row r="136" spans="1:13" ht="15.6">
      <c r="A136" s="536">
        <v>104</v>
      </c>
      <c r="B136" s="536" t="str">
        <f>IFERROR(IF($A136&lt;'DWV PVC'!$A$317,VLOOKUP($A136,'DWV PVC'!$A$9:$M$316,4,FALSE),
IF($A136&lt;'DWV ABS'!$A$117,VLOOKUP($A136,'DWV ABS'!$A$8:$M$116,4,FALSE),
IF($A136&lt;'PVC SCH40'!$A$425,VLOOKUP($A136,'PVC SCH40'!$A$8:$M$424,4,FALSE),
IF($A136&lt;'PVC SCH40 LD'!$A$22,VLOOKUP($A136,'PVC SCH40 LD'!$A$8:$M$21,4,FALSE),
IF($A136&lt;'Pool &amp; SPA Sweep Elbows'!$A$12,VLOOKUP($A136,'Pool &amp; SPA Sweep Elbows'!$A$8:$M$11,4,FALSE),
IF($A136&lt;'Pool &amp; SPA Pipe Extender'!$A$11,VLOOKUP($A136,'Pool &amp; SPA Pipe Extender'!$A$8:$M$10,4,FALSE),
IF($A136&lt;'PVC SCH80'!$A$250,VLOOKUP($A136,'PVC SCH80'!$A$8:$M$249,4,FALSE),
IF($A136&lt;'PVC SCH80 Flange'!$A$49,VLOOKUP($A136,'PVC SCH80 Flange'!$A$8:$M$48,4,FALSE),
IF($A136&lt;'PVC SCH80 LD Flange'!$A$17,VLOOKUP($A136,'PVC SCH80 LD Flange'!$A$8:$M$16,4,FALSE),
IF($A136&lt;CPVC!$A$105,VLOOKUP($A136,CPVC!$A$9:$M$104,4,FALSE),
IF($A136&lt;InsertFittings!$A$185,VLOOKUP($A136,InsertFittings!$A$9:$M$184,4,FALSE),
IF($A136&lt;Valves!$A$92,VLOOKUP($A136,Valves!$A$9:$Q$91,4,FALSE),
IF($A136&lt;SDR35SW!$A$133,VLOOKUP($A136,SDR35SW!$A$9:$M$132,4,FALSE),
IF($A136&lt;SDR35G!$A$151,VLOOKUP($A136,SDR35G!$A$9:$M$150,4,FALSE),
IF($A136&lt;SDR26G!$A$67,VLOOKUP($A136,SDR26G!$A$9:$N$66,5,FALSE),
IF($A136&lt;Cements!$A$95,VLOOKUP($A136,Cements!$A$8:$Q$94,4,FALSE),
IF($A136&lt;ValveBox!$A$124,VLOOKUP($A136,ValveBox!$A$9:$O$123,4,FALSE),
IF($A136&lt;'ValveBox Components'!$A$142,VLOOKUP($A136,'ValveBox Components'!$A$9:$N$141,4,FALSE),
IF($A136&lt;Drainage!$A$69,VLOOKUP($A136,Drainage!$A$8:$M$68,4,FALSE),
IF($A136&lt;Nipples!$A$82,VLOOKUP($A136,Nipples!$A$9:$Q$81,4,FALSE),
IF($A136&lt;Manifold!$A$33,VLOOKUP($A136,Manifold!$A$9:$M$32,4,FALSE),
IF($A136&lt;FlexibleRepairCouplings!$A$12,VLOOKUP($A136,FlexibleRepairCouplings!$A$9:$M$11,4,FALSE),
IF($A136&lt;DuraFix!$A$15,VLOOKUP($A136,DuraFix!$A$9:$M$14,4,FALSE),
IF($A136&lt;'Compression Fittings'!$A$16,VLOOKUP($A136,'Compression Fittings'!$A$8:$M$15,4,FALSE),
IF($A136&lt;'Hose Fittings'!$A$30,VLOOKUP($A136,'Hose Fittings'!$A$8:$M$29,4,FALSE),
IF($A136&lt;'Swing Joints'!$A$495,VLOOKUP($A136,'Swing Joints'!$A$9:$M$494,4,FALSE),
IF($A136&lt;'Swing Joints Components'!$A$135,VLOOKUP($A136,'Swing Joints Components'!$A$9:$M$134,4,FALSE),
IF($A136&lt;Nonstandard!$A$42,VLOOKUP($A136,Nonstandard!$A$31:$J$41,5,FALSE),"")))))))))))))))))))))))))))),"")</f>
        <v/>
      </c>
      <c r="C136" s="536" t="str">
        <f>IFERROR(IF($A136&lt;'DWV PVC'!$A$317,VLOOKUP($A136,'DWV PVC'!$A$9:$M$316,5,FALSE),
IF($A136&lt;'DWV ABS'!$A$117,VLOOKUP($A136,'DWV ABS'!$A$8:$M$116,5,FALSE),
IF($A136&lt;'PVC SCH40'!$A$425,VLOOKUP($A136,'PVC SCH40'!$A$8:$M$424,5,FALSE),
IF($A136&lt;'PVC SCH40 LD'!$A$22,VLOOKUP($A136,'PVC SCH40 LD'!$A$8:$M$21,5,FALSE),
IF($A136&lt;'Pool &amp; SPA Sweep Elbows'!$A$12,VLOOKUP($A136,'Pool &amp; SPA Sweep Elbows'!$A$8:$M$11,5,FALSE),
IF($A136&lt;'Pool &amp; SPA Pipe Extender'!$A$11,VLOOKUP($A136,'Pool &amp; SPA Pipe Extender'!$A$8:$M$10,5,FALSE),
IF($A136&lt;'PVC SCH80'!$A$250,VLOOKUP($A136,'PVC SCH80'!$A$8:$M$249,5,FALSE),
IF($A136&lt;'PVC SCH80 Flange'!$A$49,VLOOKUP($A136,'PVC SCH80 Flange'!$A$8:$M$48,5,FALSE),
IF($A136&lt;'PVC SCH80 LD Flange'!$A$17,VLOOKUP($A136,'PVC SCH80 LD Flange'!$A$8:$M$16,5,FALSE),
IF($A136&lt;CPVC!$A$105,VLOOKUP($A136,CPVC!$A$9:$M$104,5,FALSE),
IF($A136&lt;InsertFittings!$A$185,VLOOKUP($A136,InsertFittings!$A$9:$M$184,5,FALSE),
IF($A136&lt;Valves!$A$92,VLOOKUP($A136,Valves!$A$9:$Q$91,5,FALSE),
IF($A136&lt;SDR35SW!$A$133,VLOOKUP($A136,SDR35SW!$A$9:$M$132,5,FALSE),
IF($A136&lt;SDR35G!$A$151,VLOOKUP($A136,SDR35G!$A$9:$M$150,5,FALSE),
IF($A136&lt;SDR26G!$A$67,VLOOKUP($A136,SDR26G!$A$9:$N$66,6,FALSE),
IF($A136&lt;Cements!$A$95,VLOOKUP($A136,Cements!$A$8:$Q$94,5,FALSE),
IF($A136&lt;ValveBox!$A$124,VLOOKUP($A136,ValveBox!$A$9:$O$123,5,FALSE),
IF($A136&lt;'ValveBox Components'!$A$142,VLOOKUP($A136,'ValveBox Components'!$A$9:$N$141,5,FALSE),
IF($A136&lt;Drainage!$A$69,VLOOKUP($A136,Drainage!$A$8:$M$68,5,FALSE),
IF($A136&lt;Nipples!$A$82,VLOOKUP($A136,Nipples!$A$9:$Q$81,5,FALSE),
IF($A136&lt;Manifold!$A$33,VLOOKUP($A136,Manifold!$A$9:$M$32,5,FALSE),
IF($A136&lt;FlexibleRepairCouplings!$A$12,VLOOKUP($A136,FlexibleRepairCouplings!$A$9:$M$11,5,FALSE),
IF($A136&lt;DuraFix!$A$15,VLOOKUP($A136,DuraFix!$A$9:$M$14,5,FALSE),
IF($A136&lt;'Compression Fittings'!$A$16,VLOOKUP($A136,'Compression Fittings'!$A$8:$M$15,5,FALSE),
IF($A136&lt;'Hose Fittings'!$A$30,VLOOKUP($A136,'Hose Fittings'!$A$8:$M$29,5,FALSE),
IF($A136&lt;'Swing Joints'!$A$495,VLOOKUP($A136,'Swing Joints'!$A$9:$M$494,5,FALSE),
IF($A136&lt;'Swing Joints Components'!$A$135,VLOOKUP($A136,'Swing Joints Components'!$A$9:$M$134,5,FALSE),
IF($A136&lt;Nonstandard!$A$42,VLOOKUP($A136,Nonstandard!$A$31:$J$41,6,FALSE),"")))))))))))))))))))))))))))),"")</f>
        <v/>
      </c>
      <c r="D136" s="537" t="str">
        <f>IFERROR(IF($A136&lt;'DWV PVC'!$A$317,VLOOKUP($A136,'DWV PVC'!$A$9:$M$316,6,FALSE),
IF($A136&lt;'DWV ABS'!$A$117,VLOOKUP($A136,'DWV ABS'!$A$8:$M$116,6,FALSE),
IF($A136&lt;'PVC SCH40'!$A$425,VLOOKUP($A136,'PVC SCH40'!$A$8:$M$424,6,FALSE),
IF($A136&lt;'PVC SCH40 LD'!$A$22,VLOOKUP($A136,'PVC SCH40 LD'!$A$8:$M$21,6,FALSE),
IF($A136&lt;'Pool &amp; SPA Sweep Elbows'!$A$12,VLOOKUP($A136,'Pool &amp; SPA Sweep Elbows'!$A$8:$M$11,6,FALSE),
IF($A136&lt;'Pool &amp; SPA Pipe Extender'!$A$11,VLOOKUP($A136,'Pool &amp; SPA Pipe Extender'!$A$8:$M$10,6,FALSE),
IF($A136&lt;'PVC SCH80'!$A$250,VLOOKUP($A136,'PVC SCH80'!$A$8:$M$249,6,FALSE),
IF($A136&lt;'PVC SCH80 Flange'!$A$49,VLOOKUP($A136,'PVC SCH80 Flange'!$A$8:$M$48,6,FALSE),
IF($A136&lt;'PVC SCH80 LD Flange'!$A$17,VLOOKUP($A136,'PVC SCH80 LD Flange'!$A$8:$M$16,6,FALSE),
IF($A136&lt;CPVC!$A$105,VLOOKUP($A136,CPVC!$A$9:$M$104,6,FALSE),
IF($A136&lt;InsertFittings!$A$185,VLOOKUP($A136,InsertFittings!$A$9:$M$184,6,FALSE),
IF($A136&lt;Valves!$A$92,VLOOKUP($A136,Valves!$A$9:$Q$91,6,FALSE),
IF($A136&lt;SDR35SW!$A$133,VLOOKUP($A136,SDR35SW!$A$9:$M$132,6,FALSE),
IF($A136&lt;SDR35G!$A$151,VLOOKUP($A136,SDR35G!$A$9:$M$150,6,FALSE),
IF($A136&lt;SDR26G!$A$67,VLOOKUP($A136,SDR26G!$A$9:$N$66,7,FALSE),
IF($A136&lt;Cements!$A$95,VLOOKUP($A136,Cements!$A$8:$Q$94,6,FALSE),
IF($A136&lt;ValveBox!$A$124,VLOOKUP($A136,ValveBox!$A$9:$O$123,6,FALSE),
IF($A136&lt;'ValveBox Components'!$A$142,VLOOKUP($A136,'ValveBox Components'!$A$9:$N$141,6,FALSE),
IF($A136&lt;Drainage!$A$69,VLOOKUP($A136,Drainage!$A$8:$M$68,6,FALSE),
IF($A136&lt;Nipples!$A$82,VLOOKUP($A136,Nipples!$A$9:$Q$81,6,FALSE),
IF($A136&lt;Manifold!$A$33,VLOOKUP($A136,Manifold!$A$9:$M$32,6,FALSE),
IF($A136&lt;FlexibleRepairCouplings!$A$12,VLOOKUP($A136,FlexibleRepairCouplings!$A$9:$M$11,6,FALSE),
IF($A136&lt;DuraFix!$A$15,VLOOKUP($A136,DuraFix!$A$9:$M$14,6,FALSE),
IF($A136&lt;'Compression Fittings'!$A$16,VLOOKUP($A136,'Compression Fittings'!$A$8:$M$15,6,FALSE),
IF($A136&lt;'Hose Fittings'!$A$30,VLOOKUP($A136,'Hose Fittings'!$A$8:$M$29,6,FALSE),
IF($A136&lt;'Swing Joints'!$A$495,VLOOKUP($A136,'Swing Joints'!$A$9:$M$494,6,FALSE),
IF($A136&lt;'Swing Joints Components'!$A$135,VLOOKUP($A136,'Swing Joints Components'!$A$9:$M$134,6,FALSE),
IF($A136&lt;Nonstandard!$A$42,VLOOKUP($A136,Nonstandard!$A$31:$J$41,7,FALSE),"")))))))))))))))))))))))))))),"")</f>
        <v/>
      </c>
      <c r="E136" s="538"/>
      <c r="F136" s="539" t="str">
        <f>IFERROR(IF($A136&lt;'DWV PVC'!$A$317,VLOOKUP($A136,'DWV PVC'!$A$9:$M$316,9,FALSE),
IF($A136&lt;'DWV ABS'!$A$117,VLOOKUP($A136,'DWV ABS'!$A$8:$M$116,9,FALSE),                                                                                                                                                                                                                                                     IF($A136&lt;'PVC SCH40'!$A$425,VLOOKUP($A136,'PVC SCH40'!$A$8:$M$424,9,FALSE),
IF($A136&lt;'PVC SCH40 LD'!$A$22,VLOOKUP($A136,'PVC SCH40 LD'!$A$8:$M$21,9,FALSE),
IF($A136&lt;'Pool &amp; SPA Sweep Elbows'!$A$12,VLOOKUP($A136,'Pool &amp; SPA Sweep Elbows'!$A$8:$M$11,9,FALSE),
IF($A136&lt;'Pool &amp; SPA Pipe Extender'!$A$11,VLOOKUP($A136,'Pool &amp; SPA Pipe Extender'!$A$8:$M$10,9,FALSE),
IF($A136&lt;'PVC SCH80'!$A$250,VLOOKUP($A136,'PVC SCH80'!$A$8:$M$249,9,FALSE),
IF($A136&lt;'PVC SCH80 Flange'!$A$49,VLOOKUP($A136,'PVC SCH80 Flange'!$A$8:$M$48,9,FALSE),
IF($A136&lt;'PVC SCH80 LD Flange'!$A$17,VLOOKUP($A136,'PVC SCH80 LD Flange'!$A$8:$M$16,9,FALSE),
IF($A136&lt;CPVC!$A$105,VLOOKUP($A136,CPVC!$A$9:$M$104,9,FALSE),
IF($A136&lt;InsertFittings!$A$185,VLOOKUP($A136,InsertFittings!$A$9:$M$184,9,FALSE),
IF($A136&lt;Valves!$A$92,VLOOKUP($A136,Valves!$A$9:$Q$91,13,FALSE),
IF($A136&lt;SDR35SW!$A$133,VLOOKUP($A136,SDR35SW!$A$9:$M$132,9,FALSE),
IF($A136&lt;SDR35G!$A$151,VLOOKUP($A136,SDR35G!$A$9:$M$150,9,FALSE),                                                                                                                                                                                                                                                          IF($A136&lt;SDR26G!$A$67,VLOOKUP($A136,SDR26G!$A$9:$N$66,10,FALSE),                                                                                                                                                                                                                                                       IF($A136&lt;Cements!$A$95,VLOOKUP($A136,Cements!$A$8:$Q$94,13,FALSE),
IF($A136&lt;ValveBox!$A$124,VLOOKUP($A136,ValveBox!$A$9:$O$123,11,FALSE),
IF($A136&lt;'ValveBox Components'!$A$142,VLOOKUP($A136,'ValveBox Components'!$A$9:$N$141,10,FALSE),
IF($A136&lt;Drainage!$A$69,VLOOKUP($A136,Drainage!$A$8:$M$68,9,FALSE),                                                                                                                                                                                                                                                              IF($A136&lt;Nipples!$A$82,VLOOKUP($A136,Nipples!$A$9:$Q$81,13,FALSE),
IF($A136&lt;Manifold!$A$33,VLOOKUP($A136,Manifold!$A$9:$M$32,9,FALSE),
IF($A136&lt;FlexibleRepairCouplings!$A$12,VLOOKUP($A136,FlexibleRepairCouplings!$A$9:$M$11,9,FALSE),
IF($A136&lt;DuraFix!$A$15,VLOOKUP($A136,DuraFix!$A$9:$M$14,9,FALSE),                                                                                                                                                                                                                                                          IF($A136&lt;'Compression Fittings'!$A$16,VLOOKUP($A136,'Compression Fittings'!$A$8:$M$15,9,FALSE),
IF($A136&lt;'Hose Fittings'!$A$30,VLOOKUP($A136,'Hose Fittings'!$A$8:$M$29,9,FALSE),
IF($A136&lt;'Swing Joints'!$A$495,VLOOKUP($A136,'Swing Joints'!$A$9:$M$494,9,FALSE),
IF($A136&lt;'Swing Joints Components'!$A$135,VLOOKUP($A136,'Swing Joints Components'!$A$9:$M$134,9,FALSE),
IF($A136&lt;Nonstandard!$A$42,VLOOKUP($A136,Nonstandard!$A$31:$J$41,8,FALSE),"")))))))))))))))))))))))))))),"")</f>
        <v/>
      </c>
      <c r="G136" s="540" t="str">
        <f>IFERROR(IF($A136&lt;'DWV PVC'!$A$317,VLOOKUP($A136,'DWV PVC'!$A$9:$M$316,11,FALSE),
IF($A136&lt;'DWV ABS'!$A$117,VLOOKUP($A136,'DWV ABS'!$A$8:$M$116,11,FALSE),                                                                                                                                                                                                                                                     IF($A136&lt;'PVC SCH40'!$A$425,VLOOKUP($A136,'PVC SCH40'!$A$8:$M$424,11,FALSE),
IF($A136&lt;'PVC SCH40 LD'!$A$22,VLOOKUP($A136,'PVC SCH40 LD'!$A$8:$M$21,11,FALSE),
IF($A136&lt;'Pool &amp; SPA Sweep Elbows'!$A$12,VLOOKUP($A136,'Pool &amp; SPA Sweep Elbows'!$A$8:$M$11,11,FALSE),
IF($A136&lt;'Pool &amp; SPA Pipe Extender'!$A$11,VLOOKUP($A136,'Pool &amp; SPA Pipe Extender'!$A$8:$M$10,11,FALSE),
IF($A136&lt;'PVC SCH80'!$A$250,VLOOKUP($A136,'PVC SCH80'!$A$8:$M$249,11,FALSE),
IF($A136&lt;'PVC SCH80 Flange'!$A$49,VLOOKUP($A136,'PVC SCH80 Flange'!$A$8:$M$48,11,FALSE),
IF($A136&lt;'PVC SCH80 LD Flange'!$A$17,VLOOKUP($A136,'PVC SCH80 LD Flange'!$A$8:$M$16,11,FALSE),
IF($A136&lt;CPVC!$A$105,VLOOKUP($A136,CPVC!$A$9:$M$104,11,FALSE),
IF($A136&lt;InsertFittings!$A$185,VLOOKUP($A136,InsertFittings!$A$9:$M$184,11,FALSE),
IF($A136&lt;Valves!$A$92,VLOOKUP($A136,Valves!$A$9:$Q$91,15,FALSE),
IF($A136&lt;SDR35SW!$A$133,VLOOKUP($A136,SDR35SW!$A$9:$M$132,11,FALSE),
IF($A136&lt;SDR35G!$A$151,VLOOKUP($A136,SDR35G!$A$9:$M$150,11,FALSE),                                                                                                                                                                                                                                                          IF($A136&lt;SDR26G!$A$67,VLOOKUP($A136,SDR26G!$A$9:$N$66,12,FALSE),                                                                                                                                                                                                                                                       IF($A136&lt;Cements!$A$95,VLOOKUP($A136,Cements!$A$8:$Q$94,15,FALSE),
IF($A136&lt;ValveBox!$A$124,VLOOKUP($A136,ValveBox!$A$9:$O$123,13,FALSE),
IF($A136&lt;'ValveBox Components'!$A$142,VLOOKUP($A136,'ValveBox Components'!$A$9:$N$141,12,FALSE),
IF($A136&lt;Drainage!$A$69,VLOOKUP($A136,Drainage!$A$8:$M$68,11,FALSE),                                                                                                                                                                                                                                                           IF($A136&lt;Nipples!$A$82,VLOOKUP($A136,Nipples!$A$9:$Q$81,15,FALSE),
IF($A136&lt;Manifold!$A$33,VLOOKUP($A136,Manifold!$A$9:$M$32,11,FALSE),
IF($A136&lt;FlexibleRepairCouplings!$A$12,VLOOKUP($A136,FlexibleRepairCouplings!$A$9:$M$11,11,FALSE),
IF($A136&lt;DuraFix!$A$15,VLOOKUP($A136,DuraFix!$A$9:$M$14,11,FALSE),                                                                                                                                                                                                                                                            IF($A136&lt;'Compression Fittings'!$A$16,VLOOKUP($A136,'Compression Fittings'!$A$8:$M$15,11,FALSE),
IF($A136&lt;'Hose Fittings'!$A$30,VLOOKUP($A136,'Hose Fittings'!$A$8:$M$29,11,FALSE),
IF($A136&lt;'Swing Joints'!$A$495,VLOOKUP($A136,'Swing Joints'!$A$9:$M$494,11,FALSE),
IF($A136&lt;'Swing Joints Components'!$A$135,VLOOKUP($A136,'Swing Joints Components'!$A$9:$M$134,11,FALSE),
IF($A136&lt;Nonstandard!$A$42,VLOOKUP($A136,Nonstandard!$A$31:$J$41,10,FALSE),"")))))))))))))))))))))))))))),"")</f>
        <v/>
      </c>
      <c r="H136" s="620" t="str">
        <f>IFERROR(IF($A136&lt;'DWV PVC'!$A$317,VLOOKUP($A136,'DWV PVC'!$A$9:$M$316,7,FALSE),
IF($A136&lt;'DWV ABS'!$A$117,VLOOKUP($A136,'DWV ABS'!$A$8:$M$116,11,FALSE),                                                                                                                                                                                                                                                     IF($A136&lt;'PVC SCH40'!$A$425,VLOOKUP($A136,'PVC SCH40'!$A$8:$M$424,7,FALSE),
IF($A136&lt;'PVC SCH40 LD'!$A$22,VLOOKUP($A136,'PVC SCH40 LD'!$A$8:$M$21,7,FALSE),
IF($A136&lt;'Pool &amp; SPA Sweep Elbows'!$A$12,VLOOKUP($A136,'Pool &amp; SPA Sweep Elbows'!$A$8:$M$11,7,FALSE),
IF($A136&lt;'Pool &amp; SPA Pipe Extender'!$A$11,VLOOKUP($A136,'Pool &amp; SPA Pipe Extender'!$A$8:$M$10,7,FALSE),
IF($A136&lt;'PVC SCH80'!$A$250,VLOOKUP($A136,'PVC SCH80'!$A$8:$M$249,7,FALSE),
IF($A136&lt;'PVC SCH80 Flange'!$A$49,VLOOKUP($A136,'PVC SCH80 Flange'!$A$8:$M$48,7,FALSE),
IF($A136&lt;'PVC SCH80 LD Flange'!$A$17,VLOOKUP($A136,'PVC SCH80 LD Flange'!$A$8:$M$16,7,FALSE),
IF($A136&lt;CPVC!$A$105,VLOOKUP($A136,CPVC!$A$9:$M$104,7,FALSE),
IF($A136&lt;InsertFittings!$A$185,VLOOKUP($A136,InsertFittings!$A$9:$M$184,7,FALSE),
IF($A136&lt;Valves!$A$92,VLOOKUP($A136,Valves!$A$9:$Q$91,11,FALSE),
IF($A136&lt;SDR35SW!$A$133,VLOOKUP($A136,SDR35SW!$A$9:$M$132,7,FALSE),
IF($A136&lt;SDR35G!$A$151,VLOOKUP($A136,SDR35G!$A$9:$M$150,7,FALSE),                                                                                                                                                                                                                                                       IF($A136&lt;SDR26G!$A$67,VLOOKUP($A136,SDR26G!$A$9:$N$66,8,FALSE),                                                                                                                                                                                                                                                     IF($A136&lt;Cements!$A$95,VLOOKUP($A136,Cements!$A$8:$Q$94,11,FALSE),
IF($A136&lt;ValveBox!$A$124,VLOOKUP($A136,ValveBox!$A$9:$O$123,10,FALSE),
IF($A136&lt;'ValveBox Components'!$A$142,VLOOKUP($A136,'ValveBox Components'!$A$9:$N$141,9,FALSE),
IF($A136&lt;Drainage!$A$69,VLOOKUP($A136,Drainage!$A$8:$M$68,7,FALSE),                                                                                                                                                                                                                                                          IF($A136&lt;Nipples!$A$82,VLOOKUP($A136,Nipples!$A$9:$Q$81,11,FALSE),
IF($A136&lt;Manifold!$A$33,VLOOKUP($A136,Manifold!$A$9:$M$32,7,FALSE),
IF($A136&lt;FlexibleRepairCouplings!$A$12,VLOOKUP($A136,FlexibleRepairCouplings!$A$9:$M$11,7,FALSE),
IF($A136&lt;DuraFix!$A$15,VLOOKUP($A136,DuraFix!$A$9:$M$14,7,FALSE),                                                                                                                                                                                                                                                           IF($A136&lt;'Compression Fittings'!$A$16,VLOOKUP($A136,'Compression Fittings'!$A$8:$M$15,7,FALSE),
IF($A136&lt;'Hose Fittings'!$A$30,VLOOKUP($A136,'Hose Fittings'!$A$8:$M$29,7,FALSE),
IF($A136&lt;'Swing Joints'!$A$495,VLOOKUP($A136,'Swing Joints'!$A$9:$M$494,7,FALSE),
IF($A136&lt;'Swing Joints Components'!$A$135,VLOOKUP($A136,'Swing Joints Components'!$A$9:$M$134,7,FALSE),
IF($A136&lt;Nonstandard!$A$42,VLOOKUP($A136,Nonstandard!$A$31:$J$41,10,FALSE),"")))))))))))))))))))))))))))),"")</f>
        <v/>
      </c>
      <c r="I136" s="621"/>
      <c r="J136" s="541" t="str">
        <f t="shared" si="3"/>
        <v/>
      </c>
      <c r="K136" s="599" t="str">
        <f>IFERROR(IF($A136&lt;'DWV PVC'!$A$317,VLOOKUP($A136,'DWV PVC'!$A$9:$M$316,10,FALSE),
IF($A136&lt;'DWV ABS'!$A$117,VLOOKUP($A136,'DWV ABS'!$A$8:$M$116,10,FALSE),
IF($A136&lt;'PVC SCH40'!$A$425,VLOOKUP($A136,'PVC SCH40'!$A$8:$M$424,10,FALSE),
IF($A136&lt;'PVC SCH40 LD'!$A$22,VLOOKUP($A136,'PVC SCH40 LD'!$A$8:$M$21,10,FALSE),
IF($A136&lt;'Pool &amp; SPA Sweep Elbows'!$A$12,VLOOKUP($A136,'Pool &amp; SPA Sweep Elbows'!$A$8:$M$11,10,FALSE),
IF($A136&lt;'Pool &amp; SPA Pipe Extender'!$A$11,VLOOKUP($A136,'Pool &amp; SPA Pipe Extender'!$A$8:$M$10,10,FALSE),
IF($A136&lt;'PVC SCH80'!$A$250,VLOOKUP($A136,'PVC SCH80'!$A$8:$M$249,10,FALSE),
IF($A136&lt;'PVC SCH80 Flange'!$A$49,VLOOKUP($A136,'PVC SCH80 Flange'!$A$8:$M$48,10,FALSE),
IF($A136&lt;'PVC SCH80 LD Flange'!$A$17,VLOOKUP($A136,'PVC SCH80 LD Flange'!$A$8:$M$16,10,FALSE),
IF($A136&lt;CPVC!$A$105,VLOOKUP($A136,CPVC!$A$9:$M$104,10,FALSE),
IF($A136&lt;InsertFittings!$A$185,VLOOKUP($A136,InsertFittings!$A$9:$M$184,10,FALSE),
IF($A136&lt;Valves!$A$92,VLOOKUP($A136,Valves!$A$9:$Q$91,14,FALSE),
IF($A136&lt;SDR35SW!$A$133,VLOOKUP($A136,SDR35SW!$A$9:$M$132,10,FALSE),
IF($A136&lt;SDR35G!$A$151,VLOOKUP($A136,SDR35G!$A$9:$M$150,10,FALSE),
IF($A136&lt;SDR26G!$A$67,VLOOKUP($A136,SDR26G!$A$9:$N$66,11,FALSE),
IF($A136&lt;Cements!$A$95,VLOOKUP($A136,Cements!$A$8:$Q$94,14,FALSE),
IF($A136&lt;ValveBox!$A$124,VLOOKUP($A136,ValveBox!$A$9:$O$123,12,FALSE),
IF($A136&lt;'ValveBox Components'!$A$142,VLOOKUP($A136,'ValveBox Components'!$A$9:$N$141,11,FALSE),
IF($A136&lt;Drainage!$A$69,VLOOKUP($A136,Drainage!$A$8:$M$68,10,FALSE),
IF($A136&lt;Nipples!$A$82,VLOOKUP($A136,Nipples!$A$9:$Q$81,14,FALSE),
IF($A136&lt;Manifold!$A$33,VLOOKUP($A136,Manifold!$A$9:$M$32,10,FALSE),
IF($A136&lt;FlexibleRepairCouplings!$A$12,VLOOKUP($A136,FlexibleRepairCouplings!$A$9:$M$11,10,FALSE),
IF($A136&lt;DuraFix!$A$15,VLOOKUP($A136,DuraFix!$A$9:$M$14,10,FALSE),
IF($A136&lt;'Compression Fittings'!$A$16,VLOOKUP($A136,'Compression Fittings'!$A$8:$M$15,10,FALSE),
IF($A136&lt;'Hose Fittings'!$A$30,VLOOKUP($A136,'Hose Fittings'!$A$8:$M$29,10,FALSE),
IF($A136&lt;'Swing Joints'!$A$495,VLOOKUP($A136,'Swing Joints'!$A$9:$M$494,10,FALSE),
IF($A136&lt;'Swing Joints Components'!$A$135,VLOOKUP($A136,'Swing Joints Components'!$A$9:$M$134,10,FALSE),
IF($A136&lt;Nonstandard!$A$42,VLOOKUP($A136,Nonstandard!$A$31:$J$41,10,FALSE),"")))))))))))))))))))))))))))),"")</f>
        <v/>
      </c>
      <c r="L136" s="539" t="str">
        <f t="shared" si="2"/>
        <v>-</v>
      </c>
      <c r="M136" s="542"/>
    </row>
    <row r="137" spans="1:13" ht="15.6">
      <c r="A137" s="312">
        <v>105</v>
      </c>
      <c r="B137" s="312" t="str">
        <f>IFERROR(IF($A137&lt;'DWV PVC'!$A$317,VLOOKUP($A137,'DWV PVC'!$A$9:$M$316,4,FALSE),
IF($A137&lt;'DWV ABS'!$A$117,VLOOKUP($A137,'DWV ABS'!$A$8:$M$116,4,FALSE),
IF($A137&lt;'PVC SCH40'!$A$425,VLOOKUP($A137,'PVC SCH40'!$A$8:$M$424,4,FALSE),
IF($A137&lt;'PVC SCH40 LD'!$A$22,VLOOKUP($A137,'PVC SCH40 LD'!$A$8:$M$21,4,FALSE),
IF($A137&lt;'Pool &amp; SPA Sweep Elbows'!$A$12,VLOOKUP($A137,'Pool &amp; SPA Sweep Elbows'!$A$8:$M$11,4,FALSE),
IF($A137&lt;'Pool &amp; SPA Pipe Extender'!$A$11,VLOOKUP($A137,'Pool &amp; SPA Pipe Extender'!$A$8:$M$10,4,FALSE),
IF($A137&lt;'PVC SCH80'!$A$250,VLOOKUP($A137,'PVC SCH80'!$A$8:$M$249,4,FALSE),
IF($A137&lt;'PVC SCH80 Flange'!$A$49,VLOOKUP($A137,'PVC SCH80 Flange'!$A$8:$M$48,4,FALSE),
IF($A137&lt;'PVC SCH80 LD Flange'!$A$17,VLOOKUP($A137,'PVC SCH80 LD Flange'!$A$8:$M$16,4,FALSE),
IF($A137&lt;CPVC!$A$105,VLOOKUP($A137,CPVC!$A$9:$M$104,4,FALSE),
IF($A137&lt;InsertFittings!$A$185,VLOOKUP($A137,InsertFittings!$A$9:$M$184,4,FALSE),
IF($A137&lt;Valves!$A$92,VLOOKUP($A137,Valves!$A$9:$Q$91,4,FALSE),
IF($A137&lt;SDR35SW!$A$133,VLOOKUP($A137,SDR35SW!$A$9:$M$132,4,FALSE),
IF($A137&lt;SDR35G!$A$151,VLOOKUP($A137,SDR35G!$A$9:$M$150,4,FALSE),
IF($A137&lt;SDR26G!$A$67,VLOOKUP($A137,SDR26G!$A$9:$N$66,5,FALSE),
IF($A137&lt;Cements!$A$95,VLOOKUP($A137,Cements!$A$8:$Q$94,4,FALSE),
IF($A137&lt;ValveBox!$A$124,VLOOKUP($A137,ValveBox!$A$9:$O$123,4,FALSE),
IF($A137&lt;'ValveBox Components'!$A$142,VLOOKUP($A137,'ValveBox Components'!$A$9:$N$141,4,FALSE),
IF($A137&lt;Drainage!$A$69,VLOOKUP($A137,Drainage!$A$8:$M$68,4,FALSE),
IF($A137&lt;Nipples!$A$82,VLOOKUP($A137,Nipples!$A$9:$Q$81,4,FALSE),
IF($A137&lt;Manifold!$A$33,VLOOKUP($A137,Manifold!$A$9:$M$32,4,FALSE),
IF($A137&lt;FlexibleRepairCouplings!$A$12,VLOOKUP($A137,FlexibleRepairCouplings!$A$9:$M$11,4,FALSE),
IF($A137&lt;DuraFix!$A$15,VLOOKUP($A137,DuraFix!$A$9:$M$14,4,FALSE),
IF($A137&lt;'Compression Fittings'!$A$16,VLOOKUP($A137,'Compression Fittings'!$A$8:$M$15,4,FALSE),
IF($A137&lt;'Hose Fittings'!$A$30,VLOOKUP($A137,'Hose Fittings'!$A$8:$M$29,4,FALSE),
IF($A137&lt;'Swing Joints'!$A$495,VLOOKUP($A137,'Swing Joints'!$A$9:$M$494,4,FALSE),
IF($A137&lt;'Swing Joints Components'!$A$135,VLOOKUP($A137,'Swing Joints Components'!$A$9:$M$134,4,FALSE),
IF($A137&lt;Nonstandard!$A$42,VLOOKUP($A137,Nonstandard!$A$31:$J$41,5,FALSE),"")))))))))))))))))))))))))))),"")</f>
        <v/>
      </c>
      <c r="C137" s="312" t="str">
        <f>IFERROR(IF($A137&lt;'DWV PVC'!$A$317,VLOOKUP($A137,'DWV PVC'!$A$9:$M$316,5,FALSE),
IF($A137&lt;'DWV ABS'!$A$117,VLOOKUP($A137,'DWV ABS'!$A$8:$M$116,5,FALSE),
IF($A137&lt;'PVC SCH40'!$A$425,VLOOKUP($A137,'PVC SCH40'!$A$8:$M$424,5,FALSE),
IF($A137&lt;'PVC SCH40 LD'!$A$22,VLOOKUP($A137,'PVC SCH40 LD'!$A$8:$M$21,5,FALSE),
IF($A137&lt;'Pool &amp; SPA Sweep Elbows'!$A$12,VLOOKUP($A137,'Pool &amp; SPA Sweep Elbows'!$A$8:$M$11,5,FALSE),
IF($A137&lt;'Pool &amp; SPA Pipe Extender'!$A$11,VLOOKUP($A137,'Pool &amp; SPA Pipe Extender'!$A$8:$M$10,5,FALSE),
IF($A137&lt;'PVC SCH80'!$A$250,VLOOKUP($A137,'PVC SCH80'!$A$8:$M$249,5,FALSE),
IF($A137&lt;'PVC SCH80 Flange'!$A$49,VLOOKUP($A137,'PVC SCH80 Flange'!$A$8:$M$48,5,FALSE),
IF($A137&lt;'PVC SCH80 LD Flange'!$A$17,VLOOKUP($A137,'PVC SCH80 LD Flange'!$A$8:$M$16,5,FALSE),
IF($A137&lt;CPVC!$A$105,VLOOKUP($A137,CPVC!$A$9:$M$104,5,FALSE),
IF($A137&lt;InsertFittings!$A$185,VLOOKUP($A137,InsertFittings!$A$9:$M$184,5,FALSE),
IF($A137&lt;Valves!$A$92,VLOOKUP($A137,Valves!$A$9:$Q$91,5,FALSE),
IF($A137&lt;SDR35SW!$A$133,VLOOKUP($A137,SDR35SW!$A$9:$M$132,5,FALSE),
IF($A137&lt;SDR35G!$A$151,VLOOKUP($A137,SDR35G!$A$9:$M$150,5,FALSE),
IF($A137&lt;SDR26G!$A$67,VLOOKUP($A137,SDR26G!$A$9:$N$66,6,FALSE),
IF($A137&lt;Cements!$A$95,VLOOKUP($A137,Cements!$A$8:$Q$94,5,FALSE),
IF($A137&lt;ValveBox!$A$124,VLOOKUP($A137,ValveBox!$A$9:$O$123,5,FALSE),
IF($A137&lt;'ValveBox Components'!$A$142,VLOOKUP($A137,'ValveBox Components'!$A$9:$N$141,5,FALSE),
IF($A137&lt;Drainage!$A$69,VLOOKUP($A137,Drainage!$A$8:$M$68,5,FALSE),
IF($A137&lt;Nipples!$A$82,VLOOKUP($A137,Nipples!$A$9:$Q$81,5,FALSE),
IF($A137&lt;Manifold!$A$33,VLOOKUP($A137,Manifold!$A$9:$M$32,5,FALSE),
IF($A137&lt;FlexibleRepairCouplings!$A$12,VLOOKUP($A137,FlexibleRepairCouplings!$A$9:$M$11,5,FALSE),
IF($A137&lt;DuraFix!$A$15,VLOOKUP($A137,DuraFix!$A$9:$M$14,5,FALSE),
IF($A137&lt;'Compression Fittings'!$A$16,VLOOKUP($A137,'Compression Fittings'!$A$8:$M$15,5,FALSE),
IF($A137&lt;'Hose Fittings'!$A$30,VLOOKUP($A137,'Hose Fittings'!$A$8:$M$29,5,FALSE),
IF($A137&lt;'Swing Joints'!$A$495,VLOOKUP($A137,'Swing Joints'!$A$9:$M$494,5,FALSE),
IF($A137&lt;'Swing Joints Components'!$A$135,VLOOKUP($A137,'Swing Joints Components'!$A$9:$M$134,5,FALSE),
IF($A137&lt;Nonstandard!$A$42,VLOOKUP($A137,Nonstandard!$A$31:$J$41,6,FALSE),"")))))))))))))))))))))))))))),"")</f>
        <v/>
      </c>
      <c r="D137" s="534" t="str">
        <f>IFERROR(IF($A137&lt;'DWV PVC'!$A$317,VLOOKUP($A137,'DWV PVC'!$A$9:$M$316,6,FALSE),
IF($A137&lt;'DWV ABS'!$A$117,VLOOKUP($A137,'DWV ABS'!$A$8:$M$116,6,FALSE),
IF($A137&lt;'PVC SCH40'!$A$425,VLOOKUP($A137,'PVC SCH40'!$A$8:$M$424,6,FALSE),
IF($A137&lt;'PVC SCH40 LD'!$A$22,VLOOKUP($A137,'PVC SCH40 LD'!$A$8:$M$21,6,FALSE),
IF($A137&lt;'Pool &amp; SPA Sweep Elbows'!$A$12,VLOOKUP($A137,'Pool &amp; SPA Sweep Elbows'!$A$8:$M$11,6,FALSE),
IF($A137&lt;'Pool &amp; SPA Pipe Extender'!$A$11,VLOOKUP($A137,'Pool &amp; SPA Pipe Extender'!$A$8:$M$10,6,FALSE),
IF($A137&lt;'PVC SCH80'!$A$250,VLOOKUP($A137,'PVC SCH80'!$A$8:$M$249,6,FALSE),
IF($A137&lt;'PVC SCH80 Flange'!$A$49,VLOOKUP($A137,'PVC SCH80 Flange'!$A$8:$M$48,6,FALSE),
IF($A137&lt;'PVC SCH80 LD Flange'!$A$17,VLOOKUP($A137,'PVC SCH80 LD Flange'!$A$8:$M$16,6,FALSE),
IF($A137&lt;CPVC!$A$105,VLOOKUP($A137,CPVC!$A$9:$M$104,6,FALSE),
IF($A137&lt;InsertFittings!$A$185,VLOOKUP($A137,InsertFittings!$A$9:$M$184,6,FALSE),
IF($A137&lt;Valves!$A$92,VLOOKUP($A137,Valves!$A$9:$Q$91,6,FALSE),
IF($A137&lt;SDR35SW!$A$133,VLOOKUP($A137,SDR35SW!$A$9:$M$132,6,FALSE),
IF($A137&lt;SDR35G!$A$151,VLOOKUP($A137,SDR35G!$A$9:$M$150,6,FALSE),
IF($A137&lt;SDR26G!$A$67,VLOOKUP($A137,SDR26G!$A$9:$N$66,7,FALSE),
IF($A137&lt;Cements!$A$95,VLOOKUP($A137,Cements!$A$8:$Q$94,6,FALSE),
IF($A137&lt;ValveBox!$A$124,VLOOKUP($A137,ValveBox!$A$9:$O$123,6,FALSE),
IF($A137&lt;'ValveBox Components'!$A$142,VLOOKUP($A137,'ValveBox Components'!$A$9:$N$141,6,FALSE),
IF($A137&lt;Drainage!$A$69,VLOOKUP($A137,Drainage!$A$8:$M$68,6,FALSE),
IF($A137&lt;Nipples!$A$82,VLOOKUP($A137,Nipples!$A$9:$Q$81,6,FALSE),
IF($A137&lt;Manifold!$A$33,VLOOKUP($A137,Manifold!$A$9:$M$32,6,FALSE),
IF($A137&lt;FlexibleRepairCouplings!$A$12,VLOOKUP($A137,FlexibleRepairCouplings!$A$9:$M$11,6,FALSE),
IF($A137&lt;DuraFix!$A$15,VLOOKUP($A137,DuraFix!$A$9:$M$14,6,FALSE),
IF($A137&lt;'Compression Fittings'!$A$16,VLOOKUP($A137,'Compression Fittings'!$A$8:$M$15,6,FALSE),
IF($A137&lt;'Hose Fittings'!$A$30,VLOOKUP($A137,'Hose Fittings'!$A$8:$M$29,6,FALSE),
IF($A137&lt;'Swing Joints'!$A$495,VLOOKUP($A137,'Swing Joints'!$A$9:$M$494,6,FALSE),
IF($A137&lt;'Swing Joints Components'!$A$135,VLOOKUP($A137,'Swing Joints Components'!$A$9:$M$134,6,FALSE),
IF($A137&lt;Nonstandard!$A$42,VLOOKUP($A137,Nonstandard!$A$31:$J$41,7,FALSE),"")))))))))))))))))))))))))))),"")</f>
        <v/>
      </c>
      <c r="E137" s="316"/>
      <c r="F137" s="314" t="str">
        <f>IFERROR(IF($A137&lt;'DWV PVC'!$A$317,VLOOKUP($A137,'DWV PVC'!$A$9:$M$316,9,FALSE),
IF($A137&lt;'DWV ABS'!$A$117,VLOOKUP($A137,'DWV ABS'!$A$8:$M$116,9,FALSE),                                                                                                                                                                                                                                                     IF($A137&lt;'PVC SCH40'!$A$425,VLOOKUP($A137,'PVC SCH40'!$A$8:$M$424,9,FALSE),
IF($A137&lt;'PVC SCH40 LD'!$A$22,VLOOKUP($A137,'PVC SCH40 LD'!$A$8:$M$21,9,FALSE),
IF($A137&lt;'Pool &amp; SPA Sweep Elbows'!$A$12,VLOOKUP($A137,'Pool &amp; SPA Sweep Elbows'!$A$8:$M$11,9,FALSE),
IF($A137&lt;'Pool &amp; SPA Pipe Extender'!$A$11,VLOOKUP($A137,'Pool &amp; SPA Pipe Extender'!$A$8:$M$10,9,FALSE),
IF($A137&lt;'PVC SCH80'!$A$250,VLOOKUP($A137,'PVC SCH80'!$A$8:$M$249,9,FALSE),
IF($A137&lt;'PVC SCH80 Flange'!$A$49,VLOOKUP($A137,'PVC SCH80 Flange'!$A$8:$M$48,9,FALSE),
IF($A137&lt;'PVC SCH80 LD Flange'!$A$17,VLOOKUP($A137,'PVC SCH80 LD Flange'!$A$8:$M$16,9,FALSE),
IF($A137&lt;CPVC!$A$105,VLOOKUP($A137,CPVC!$A$9:$M$104,9,FALSE),
IF($A137&lt;InsertFittings!$A$185,VLOOKUP($A137,InsertFittings!$A$9:$M$184,9,FALSE),
IF($A137&lt;Valves!$A$92,VLOOKUP($A137,Valves!$A$9:$Q$91,13,FALSE),
IF($A137&lt;SDR35SW!$A$133,VLOOKUP($A137,SDR35SW!$A$9:$M$132,9,FALSE),
IF($A137&lt;SDR35G!$A$151,VLOOKUP($A137,SDR35G!$A$9:$M$150,9,FALSE),                                                                                                                                                                                                                                                          IF($A137&lt;SDR26G!$A$67,VLOOKUP($A137,SDR26G!$A$9:$N$66,10,FALSE),                                                                                                                                                                                                                                                       IF($A137&lt;Cements!$A$95,VLOOKUP($A137,Cements!$A$8:$Q$94,13,FALSE),
IF($A137&lt;ValveBox!$A$124,VLOOKUP($A137,ValveBox!$A$9:$O$123,11,FALSE),
IF($A137&lt;'ValveBox Components'!$A$142,VLOOKUP($A137,'ValveBox Components'!$A$9:$N$141,10,FALSE),
IF($A137&lt;Drainage!$A$69,VLOOKUP($A137,Drainage!$A$8:$M$68,9,FALSE),                                                                                                                                                                                                                                                              IF($A137&lt;Nipples!$A$82,VLOOKUP($A137,Nipples!$A$9:$Q$81,13,FALSE),
IF($A137&lt;Manifold!$A$33,VLOOKUP($A137,Manifold!$A$9:$M$32,9,FALSE),
IF($A137&lt;FlexibleRepairCouplings!$A$12,VLOOKUP($A137,FlexibleRepairCouplings!$A$9:$M$11,9,FALSE),
IF($A137&lt;DuraFix!$A$15,VLOOKUP($A137,DuraFix!$A$9:$M$14,9,FALSE),                                                                                                                                                                                                                                                          IF($A137&lt;'Compression Fittings'!$A$16,VLOOKUP($A137,'Compression Fittings'!$A$8:$M$15,9,FALSE),
IF($A137&lt;'Hose Fittings'!$A$30,VLOOKUP($A137,'Hose Fittings'!$A$8:$M$29,9,FALSE),
IF($A137&lt;'Swing Joints'!$A$495,VLOOKUP($A137,'Swing Joints'!$A$9:$M$494,9,FALSE),
IF($A137&lt;'Swing Joints Components'!$A$135,VLOOKUP($A137,'Swing Joints Components'!$A$9:$M$134,9,FALSE),
IF($A137&lt;Nonstandard!$A$42,VLOOKUP($A137,Nonstandard!$A$31:$J$41,8,FALSE),"")))))))))))))))))))))))))))),"")</f>
        <v/>
      </c>
      <c r="G137" s="533" t="str">
        <f>IFERROR(IF($A137&lt;'DWV PVC'!$A$317,VLOOKUP($A137,'DWV PVC'!$A$9:$M$316,11,FALSE),
IF($A137&lt;'DWV ABS'!$A$117,VLOOKUP($A137,'DWV ABS'!$A$8:$M$116,11,FALSE),                                                                                                                                                                                                                                                     IF($A137&lt;'PVC SCH40'!$A$425,VLOOKUP($A137,'PVC SCH40'!$A$8:$M$424,11,FALSE),
IF($A137&lt;'PVC SCH40 LD'!$A$22,VLOOKUP($A137,'PVC SCH40 LD'!$A$8:$M$21,11,FALSE),
IF($A137&lt;'Pool &amp; SPA Sweep Elbows'!$A$12,VLOOKUP($A137,'Pool &amp; SPA Sweep Elbows'!$A$8:$M$11,11,FALSE),
IF($A137&lt;'Pool &amp; SPA Pipe Extender'!$A$11,VLOOKUP($A137,'Pool &amp; SPA Pipe Extender'!$A$8:$M$10,11,FALSE),
IF($A137&lt;'PVC SCH80'!$A$250,VLOOKUP($A137,'PVC SCH80'!$A$8:$M$249,11,FALSE),
IF($A137&lt;'PVC SCH80 Flange'!$A$49,VLOOKUP($A137,'PVC SCH80 Flange'!$A$8:$M$48,11,FALSE),
IF($A137&lt;'PVC SCH80 LD Flange'!$A$17,VLOOKUP($A137,'PVC SCH80 LD Flange'!$A$8:$M$16,11,FALSE),
IF($A137&lt;CPVC!$A$105,VLOOKUP($A137,CPVC!$A$9:$M$104,11,FALSE),
IF($A137&lt;InsertFittings!$A$185,VLOOKUP($A137,InsertFittings!$A$9:$M$184,11,FALSE),
IF($A137&lt;Valves!$A$92,VLOOKUP($A137,Valves!$A$9:$Q$91,15,FALSE),
IF($A137&lt;SDR35SW!$A$133,VLOOKUP($A137,SDR35SW!$A$9:$M$132,11,FALSE),
IF($A137&lt;SDR35G!$A$151,VLOOKUP($A137,SDR35G!$A$9:$M$150,11,FALSE),                                                                                                                                                                                                                                                          IF($A137&lt;SDR26G!$A$67,VLOOKUP($A137,SDR26G!$A$9:$N$66,12,FALSE),                                                                                                                                                                                                                                                       IF($A137&lt;Cements!$A$95,VLOOKUP($A137,Cements!$A$8:$Q$94,15,FALSE),
IF($A137&lt;ValveBox!$A$124,VLOOKUP($A137,ValveBox!$A$9:$O$123,13,FALSE),
IF($A137&lt;'ValveBox Components'!$A$142,VLOOKUP($A137,'ValveBox Components'!$A$9:$N$141,12,FALSE),
IF($A137&lt;Drainage!$A$69,VLOOKUP($A137,Drainage!$A$8:$M$68,11,FALSE),                                                                                                                                                                                                                                                           IF($A137&lt;Nipples!$A$82,VLOOKUP($A137,Nipples!$A$9:$Q$81,15,FALSE),
IF($A137&lt;Manifold!$A$33,VLOOKUP($A137,Manifold!$A$9:$M$32,11,FALSE),
IF($A137&lt;FlexibleRepairCouplings!$A$12,VLOOKUP($A137,FlexibleRepairCouplings!$A$9:$M$11,11,FALSE),
IF($A137&lt;DuraFix!$A$15,VLOOKUP($A137,DuraFix!$A$9:$M$14,11,FALSE),                                                                                                                                                                                                                                                            IF($A137&lt;'Compression Fittings'!$A$16,VLOOKUP($A137,'Compression Fittings'!$A$8:$M$15,11,FALSE),
IF($A137&lt;'Hose Fittings'!$A$30,VLOOKUP($A137,'Hose Fittings'!$A$8:$M$29,11,FALSE),
IF($A137&lt;'Swing Joints'!$A$495,VLOOKUP($A137,'Swing Joints'!$A$9:$M$494,11,FALSE),
IF($A137&lt;'Swing Joints Components'!$A$135,VLOOKUP($A137,'Swing Joints Components'!$A$9:$M$134,11,FALSE),
IF($A137&lt;Nonstandard!$A$42,VLOOKUP($A137,Nonstandard!$A$31:$J$41,10,FALSE),"")))))))))))))))))))))))))))),"")</f>
        <v/>
      </c>
      <c r="H137" s="618" t="str">
        <f>IFERROR(IF($A137&lt;'DWV PVC'!$A$317,VLOOKUP($A137,'DWV PVC'!$A$9:$M$316,7,FALSE),
IF($A137&lt;'DWV ABS'!$A$117,VLOOKUP($A137,'DWV ABS'!$A$8:$M$116,11,FALSE),                                                                                                                                                                                                                                                     IF($A137&lt;'PVC SCH40'!$A$425,VLOOKUP($A137,'PVC SCH40'!$A$8:$M$424,7,FALSE),
IF($A137&lt;'PVC SCH40 LD'!$A$22,VLOOKUP($A137,'PVC SCH40 LD'!$A$8:$M$21,7,FALSE),
IF($A137&lt;'Pool &amp; SPA Sweep Elbows'!$A$12,VLOOKUP($A137,'Pool &amp; SPA Sweep Elbows'!$A$8:$M$11,7,FALSE),
IF($A137&lt;'Pool &amp; SPA Pipe Extender'!$A$11,VLOOKUP($A137,'Pool &amp; SPA Pipe Extender'!$A$8:$M$10,7,FALSE),
IF($A137&lt;'PVC SCH80'!$A$250,VLOOKUP($A137,'PVC SCH80'!$A$8:$M$249,7,FALSE),
IF($A137&lt;'PVC SCH80 Flange'!$A$49,VLOOKUP($A137,'PVC SCH80 Flange'!$A$8:$M$48,7,FALSE),
IF($A137&lt;'PVC SCH80 LD Flange'!$A$17,VLOOKUP($A137,'PVC SCH80 LD Flange'!$A$8:$M$16,7,FALSE),
IF($A137&lt;CPVC!$A$105,VLOOKUP($A137,CPVC!$A$9:$M$104,7,FALSE),
IF($A137&lt;InsertFittings!$A$185,VLOOKUP($A137,InsertFittings!$A$9:$M$184,7,FALSE),
IF($A137&lt;Valves!$A$92,VLOOKUP($A137,Valves!$A$9:$Q$91,11,FALSE),
IF($A137&lt;SDR35SW!$A$133,VLOOKUP($A137,SDR35SW!$A$9:$M$132,7,FALSE),
IF($A137&lt;SDR35G!$A$151,VLOOKUP($A137,SDR35G!$A$9:$M$150,7,FALSE),                                                                                                                                                                                                                                                       IF($A137&lt;SDR26G!$A$67,VLOOKUP($A137,SDR26G!$A$9:$N$66,8,FALSE),                                                                                                                                                                                                                                                     IF($A137&lt;Cements!$A$95,VLOOKUP($A137,Cements!$A$8:$Q$94,11,FALSE),
IF($A137&lt;ValveBox!$A$124,VLOOKUP($A137,ValveBox!$A$9:$O$123,10,FALSE),
IF($A137&lt;'ValveBox Components'!$A$142,VLOOKUP($A137,'ValveBox Components'!$A$9:$N$141,9,FALSE),
IF($A137&lt;Drainage!$A$69,VLOOKUP($A137,Drainage!$A$8:$M$68,7,FALSE),                                                                                                                                                                                                                                                          IF($A137&lt;Nipples!$A$82,VLOOKUP($A137,Nipples!$A$9:$Q$81,11,FALSE),
IF($A137&lt;Manifold!$A$33,VLOOKUP($A137,Manifold!$A$9:$M$32,7,FALSE),
IF($A137&lt;FlexibleRepairCouplings!$A$12,VLOOKUP($A137,FlexibleRepairCouplings!$A$9:$M$11,7,FALSE),
IF($A137&lt;DuraFix!$A$15,VLOOKUP($A137,DuraFix!$A$9:$M$14,7,FALSE),                                                                                                                                                                                                                                                           IF($A137&lt;'Compression Fittings'!$A$16,VLOOKUP($A137,'Compression Fittings'!$A$8:$M$15,7,FALSE),
IF($A137&lt;'Hose Fittings'!$A$30,VLOOKUP($A137,'Hose Fittings'!$A$8:$M$29,7,FALSE),
IF($A137&lt;'Swing Joints'!$A$495,VLOOKUP($A137,'Swing Joints'!$A$9:$M$494,7,FALSE),
IF($A137&lt;'Swing Joints Components'!$A$135,VLOOKUP($A137,'Swing Joints Components'!$A$9:$M$134,7,FALSE),
IF($A137&lt;Nonstandard!$A$42,VLOOKUP($A137,Nonstandard!$A$31:$J$41,10,FALSE),"")))))))))))))))))))))))))))),"")</f>
        <v/>
      </c>
      <c r="I137" s="619"/>
      <c r="J137" s="281" t="str">
        <f t="shared" si="3"/>
        <v/>
      </c>
      <c r="K137" s="313" t="str">
        <f>IFERROR(IF($A137&lt;'DWV PVC'!$A$317,VLOOKUP($A137,'DWV PVC'!$A$9:$M$316,10,FALSE),
IF($A137&lt;'DWV ABS'!$A$117,VLOOKUP($A137,'DWV ABS'!$A$8:$M$116,10,FALSE),
IF($A137&lt;'PVC SCH40'!$A$425,VLOOKUP($A137,'PVC SCH40'!$A$8:$M$424,10,FALSE),
IF($A137&lt;'PVC SCH40 LD'!$A$22,VLOOKUP($A137,'PVC SCH40 LD'!$A$8:$M$21,10,FALSE),
IF($A137&lt;'Pool &amp; SPA Sweep Elbows'!$A$12,VLOOKUP($A137,'Pool &amp; SPA Sweep Elbows'!$A$8:$M$11,10,FALSE),
IF($A137&lt;'Pool &amp; SPA Pipe Extender'!$A$11,VLOOKUP($A137,'Pool &amp; SPA Pipe Extender'!$A$8:$M$10,10,FALSE),
IF($A137&lt;'PVC SCH80'!$A$250,VLOOKUP($A137,'PVC SCH80'!$A$8:$M$249,10,FALSE),
IF($A137&lt;'PVC SCH80 Flange'!$A$49,VLOOKUP($A137,'PVC SCH80 Flange'!$A$8:$M$48,10,FALSE),
IF($A137&lt;'PVC SCH80 LD Flange'!$A$17,VLOOKUP($A137,'PVC SCH80 LD Flange'!$A$8:$M$16,10,FALSE),
IF($A137&lt;CPVC!$A$105,VLOOKUP($A137,CPVC!$A$9:$M$104,10,FALSE),
IF($A137&lt;InsertFittings!$A$185,VLOOKUP($A137,InsertFittings!$A$9:$M$184,10,FALSE),
IF($A137&lt;Valves!$A$92,VLOOKUP($A137,Valves!$A$9:$Q$91,14,FALSE),
IF($A137&lt;SDR35SW!$A$133,VLOOKUP($A137,SDR35SW!$A$9:$M$132,10,FALSE),
IF($A137&lt;SDR35G!$A$151,VLOOKUP($A137,SDR35G!$A$9:$M$150,10,FALSE),
IF($A137&lt;SDR26G!$A$67,VLOOKUP($A137,SDR26G!$A$9:$N$66,11,FALSE),
IF($A137&lt;Cements!$A$95,VLOOKUP($A137,Cements!$A$8:$Q$94,14,FALSE),
IF($A137&lt;ValveBox!$A$124,VLOOKUP($A137,ValveBox!$A$9:$O$123,12,FALSE),
IF($A137&lt;'ValveBox Components'!$A$142,VLOOKUP($A137,'ValveBox Components'!$A$9:$N$141,11,FALSE),
IF($A137&lt;Drainage!$A$69,VLOOKUP($A137,Drainage!$A$8:$M$68,10,FALSE),
IF($A137&lt;Nipples!$A$82,VLOOKUP($A137,Nipples!$A$9:$Q$81,14,FALSE),
IF($A137&lt;Manifold!$A$33,VLOOKUP($A137,Manifold!$A$9:$M$32,10,FALSE),
IF($A137&lt;FlexibleRepairCouplings!$A$12,VLOOKUP($A137,FlexibleRepairCouplings!$A$9:$M$11,10,FALSE),
IF($A137&lt;DuraFix!$A$15,VLOOKUP($A137,DuraFix!$A$9:$M$14,10,FALSE),
IF($A137&lt;'Compression Fittings'!$A$16,VLOOKUP($A137,'Compression Fittings'!$A$8:$M$15,10,FALSE),
IF($A137&lt;'Hose Fittings'!$A$30,VLOOKUP($A137,'Hose Fittings'!$A$8:$M$29,10,FALSE),
IF($A137&lt;'Swing Joints'!$A$495,VLOOKUP($A137,'Swing Joints'!$A$9:$M$494,10,FALSE),
IF($A137&lt;'Swing Joints Components'!$A$135,VLOOKUP($A137,'Swing Joints Components'!$A$9:$M$134,10,FALSE),
IF($A137&lt;Nonstandard!$A$42,VLOOKUP($A137,Nonstandard!$A$31:$J$41,10,FALSE),"")))))))))))))))))))))))))))),"")</f>
        <v/>
      </c>
      <c r="L137" s="314" t="str">
        <f t="shared" si="2"/>
        <v>-</v>
      </c>
      <c r="M137" s="315"/>
    </row>
    <row r="138" spans="1:13" ht="15.6">
      <c r="A138" s="536">
        <v>106</v>
      </c>
      <c r="B138" s="536" t="str">
        <f>IFERROR(IF($A138&lt;'DWV PVC'!$A$317,VLOOKUP($A138,'DWV PVC'!$A$9:$M$316,4,FALSE),
IF($A138&lt;'DWV ABS'!$A$117,VLOOKUP($A138,'DWV ABS'!$A$8:$M$116,4,FALSE),
IF($A138&lt;'PVC SCH40'!$A$425,VLOOKUP($A138,'PVC SCH40'!$A$8:$M$424,4,FALSE),
IF($A138&lt;'PVC SCH40 LD'!$A$22,VLOOKUP($A138,'PVC SCH40 LD'!$A$8:$M$21,4,FALSE),
IF($A138&lt;'Pool &amp; SPA Sweep Elbows'!$A$12,VLOOKUP($A138,'Pool &amp; SPA Sweep Elbows'!$A$8:$M$11,4,FALSE),
IF($A138&lt;'Pool &amp; SPA Pipe Extender'!$A$11,VLOOKUP($A138,'Pool &amp; SPA Pipe Extender'!$A$8:$M$10,4,FALSE),
IF($A138&lt;'PVC SCH80'!$A$250,VLOOKUP($A138,'PVC SCH80'!$A$8:$M$249,4,FALSE),
IF($A138&lt;'PVC SCH80 Flange'!$A$49,VLOOKUP($A138,'PVC SCH80 Flange'!$A$8:$M$48,4,FALSE),
IF($A138&lt;'PVC SCH80 LD Flange'!$A$17,VLOOKUP($A138,'PVC SCH80 LD Flange'!$A$8:$M$16,4,FALSE),
IF($A138&lt;CPVC!$A$105,VLOOKUP($A138,CPVC!$A$9:$M$104,4,FALSE),
IF($A138&lt;InsertFittings!$A$185,VLOOKUP($A138,InsertFittings!$A$9:$M$184,4,FALSE),
IF($A138&lt;Valves!$A$92,VLOOKUP($A138,Valves!$A$9:$Q$91,4,FALSE),
IF($A138&lt;SDR35SW!$A$133,VLOOKUP($A138,SDR35SW!$A$9:$M$132,4,FALSE),
IF($A138&lt;SDR35G!$A$151,VLOOKUP($A138,SDR35G!$A$9:$M$150,4,FALSE),
IF($A138&lt;SDR26G!$A$67,VLOOKUP($A138,SDR26G!$A$9:$N$66,5,FALSE),
IF($A138&lt;Cements!$A$95,VLOOKUP($A138,Cements!$A$8:$Q$94,4,FALSE),
IF($A138&lt;ValveBox!$A$124,VLOOKUP($A138,ValveBox!$A$9:$O$123,4,FALSE),
IF($A138&lt;'ValveBox Components'!$A$142,VLOOKUP($A138,'ValveBox Components'!$A$9:$N$141,4,FALSE),
IF($A138&lt;Drainage!$A$69,VLOOKUP($A138,Drainage!$A$8:$M$68,4,FALSE),
IF($A138&lt;Nipples!$A$82,VLOOKUP($A138,Nipples!$A$9:$Q$81,4,FALSE),
IF($A138&lt;Manifold!$A$33,VLOOKUP($A138,Manifold!$A$9:$M$32,4,FALSE),
IF($A138&lt;FlexibleRepairCouplings!$A$12,VLOOKUP($A138,FlexibleRepairCouplings!$A$9:$M$11,4,FALSE),
IF($A138&lt;DuraFix!$A$15,VLOOKUP($A138,DuraFix!$A$9:$M$14,4,FALSE),
IF($A138&lt;'Compression Fittings'!$A$16,VLOOKUP($A138,'Compression Fittings'!$A$8:$M$15,4,FALSE),
IF($A138&lt;'Hose Fittings'!$A$30,VLOOKUP($A138,'Hose Fittings'!$A$8:$M$29,4,FALSE),
IF($A138&lt;'Swing Joints'!$A$495,VLOOKUP($A138,'Swing Joints'!$A$9:$M$494,4,FALSE),
IF($A138&lt;'Swing Joints Components'!$A$135,VLOOKUP($A138,'Swing Joints Components'!$A$9:$M$134,4,FALSE),
IF($A138&lt;Nonstandard!$A$42,VLOOKUP($A138,Nonstandard!$A$31:$J$41,5,FALSE),"")))))))))))))))))))))))))))),"")</f>
        <v/>
      </c>
      <c r="C138" s="536" t="str">
        <f>IFERROR(IF($A138&lt;'DWV PVC'!$A$317,VLOOKUP($A138,'DWV PVC'!$A$9:$M$316,5,FALSE),
IF($A138&lt;'DWV ABS'!$A$117,VLOOKUP($A138,'DWV ABS'!$A$8:$M$116,5,FALSE),
IF($A138&lt;'PVC SCH40'!$A$425,VLOOKUP($A138,'PVC SCH40'!$A$8:$M$424,5,FALSE),
IF($A138&lt;'PVC SCH40 LD'!$A$22,VLOOKUP($A138,'PVC SCH40 LD'!$A$8:$M$21,5,FALSE),
IF($A138&lt;'Pool &amp; SPA Sweep Elbows'!$A$12,VLOOKUP($A138,'Pool &amp; SPA Sweep Elbows'!$A$8:$M$11,5,FALSE),
IF($A138&lt;'Pool &amp; SPA Pipe Extender'!$A$11,VLOOKUP($A138,'Pool &amp; SPA Pipe Extender'!$A$8:$M$10,5,FALSE),
IF($A138&lt;'PVC SCH80'!$A$250,VLOOKUP($A138,'PVC SCH80'!$A$8:$M$249,5,FALSE),
IF($A138&lt;'PVC SCH80 Flange'!$A$49,VLOOKUP($A138,'PVC SCH80 Flange'!$A$8:$M$48,5,FALSE),
IF($A138&lt;'PVC SCH80 LD Flange'!$A$17,VLOOKUP($A138,'PVC SCH80 LD Flange'!$A$8:$M$16,5,FALSE),
IF($A138&lt;CPVC!$A$105,VLOOKUP($A138,CPVC!$A$9:$M$104,5,FALSE),
IF($A138&lt;InsertFittings!$A$185,VLOOKUP($A138,InsertFittings!$A$9:$M$184,5,FALSE),
IF($A138&lt;Valves!$A$92,VLOOKUP($A138,Valves!$A$9:$Q$91,5,FALSE),
IF($A138&lt;SDR35SW!$A$133,VLOOKUP($A138,SDR35SW!$A$9:$M$132,5,FALSE),
IF($A138&lt;SDR35G!$A$151,VLOOKUP($A138,SDR35G!$A$9:$M$150,5,FALSE),
IF($A138&lt;SDR26G!$A$67,VLOOKUP($A138,SDR26G!$A$9:$N$66,6,FALSE),
IF($A138&lt;Cements!$A$95,VLOOKUP($A138,Cements!$A$8:$Q$94,5,FALSE),
IF($A138&lt;ValveBox!$A$124,VLOOKUP($A138,ValveBox!$A$9:$O$123,5,FALSE),
IF($A138&lt;'ValveBox Components'!$A$142,VLOOKUP($A138,'ValveBox Components'!$A$9:$N$141,5,FALSE),
IF($A138&lt;Drainage!$A$69,VLOOKUP($A138,Drainage!$A$8:$M$68,5,FALSE),
IF($A138&lt;Nipples!$A$82,VLOOKUP($A138,Nipples!$A$9:$Q$81,5,FALSE),
IF($A138&lt;Manifold!$A$33,VLOOKUP($A138,Manifold!$A$9:$M$32,5,FALSE),
IF($A138&lt;FlexibleRepairCouplings!$A$12,VLOOKUP($A138,FlexibleRepairCouplings!$A$9:$M$11,5,FALSE),
IF($A138&lt;DuraFix!$A$15,VLOOKUP($A138,DuraFix!$A$9:$M$14,5,FALSE),
IF($A138&lt;'Compression Fittings'!$A$16,VLOOKUP($A138,'Compression Fittings'!$A$8:$M$15,5,FALSE),
IF($A138&lt;'Hose Fittings'!$A$30,VLOOKUP($A138,'Hose Fittings'!$A$8:$M$29,5,FALSE),
IF($A138&lt;'Swing Joints'!$A$495,VLOOKUP($A138,'Swing Joints'!$A$9:$M$494,5,FALSE),
IF($A138&lt;'Swing Joints Components'!$A$135,VLOOKUP($A138,'Swing Joints Components'!$A$9:$M$134,5,FALSE),
IF($A138&lt;Nonstandard!$A$42,VLOOKUP($A138,Nonstandard!$A$31:$J$41,6,FALSE),"")))))))))))))))))))))))))))),"")</f>
        <v/>
      </c>
      <c r="D138" s="537" t="str">
        <f>IFERROR(IF($A138&lt;'DWV PVC'!$A$317,VLOOKUP($A138,'DWV PVC'!$A$9:$M$316,6,FALSE),
IF($A138&lt;'DWV ABS'!$A$117,VLOOKUP($A138,'DWV ABS'!$A$8:$M$116,6,FALSE),
IF($A138&lt;'PVC SCH40'!$A$425,VLOOKUP($A138,'PVC SCH40'!$A$8:$M$424,6,FALSE),
IF($A138&lt;'PVC SCH40 LD'!$A$22,VLOOKUP($A138,'PVC SCH40 LD'!$A$8:$M$21,6,FALSE),
IF($A138&lt;'Pool &amp; SPA Sweep Elbows'!$A$12,VLOOKUP($A138,'Pool &amp; SPA Sweep Elbows'!$A$8:$M$11,6,FALSE),
IF($A138&lt;'Pool &amp; SPA Pipe Extender'!$A$11,VLOOKUP($A138,'Pool &amp; SPA Pipe Extender'!$A$8:$M$10,6,FALSE),
IF($A138&lt;'PVC SCH80'!$A$250,VLOOKUP($A138,'PVC SCH80'!$A$8:$M$249,6,FALSE),
IF($A138&lt;'PVC SCH80 Flange'!$A$49,VLOOKUP($A138,'PVC SCH80 Flange'!$A$8:$M$48,6,FALSE),
IF($A138&lt;'PVC SCH80 LD Flange'!$A$17,VLOOKUP($A138,'PVC SCH80 LD Flange'!$A$8:$M$16,6,FALSE),
IF($A138&lt;CPVC!$A$105,VLOOKUP($A138,CPVC!$A$9:$M$104,6,FALSE),
IF($A138&lt;InsertFittings!$A$185,VLOOKUP($A138,InsertFittings!$A$9:$M$184,6,FALSE),
IF($A138&lt;Valves!$A$92,VLOOKUP($A138,Valves!$A$9:$Q$91,6,FALSE),
IF($A138&lt;SDR35SW!$A$133,VLOOKUP($A138,SDR35SW!$A$9:$M$132,6,FALSE),
IF($A138&lt;SDR35G!$A$151,VLOOKUP($A138,SDR35G!$A$9:$M$150,6,FALSE),
IF($A138&lt;SDR26G!$A$67,VLOOKUP($A138,SDR26G!$A$9:$N$66,7,FALSE),
IF($A138&lt;Cements!$A$95,VLOOKUP($A138,Cements!$A$8:$Q$94,6,FALSE),
IF($A138&lt;ValveBox!$A$124,VLOOKUP($A138,ValveBox!$A$9:$O$123,6,FALSE),
IF($A138&lt;'ValveBox Components'!$A$142,VLOOKUP($A138,'ValveBox Components'!$A$9:$N$141,6,FALSE),
IF($A138&lt;Drainage!$A$69,VLOOKUP($A138,Drainage!$A$8:$M$68,6,FALSE),
IF($A138&lt;Nipples!$A$82,VLOOKUP($A138,Nipples!$A$9:$Q$81,6,FALSE),
IF($A138&lt;Manifold!$A$33,VLOOKUP($A138,Manifold!$A$9:$M$32,6,FALSE),
IF($A138&lt;FlexibleRepairCouplings!$A$12,VLOOKUP($A138,FlexibleRepairCouplings!$A$9:$M$11,6,FALSE),
IF($A138&lt;DuraFix!$A$15,VLOOKUP($A138,DuraFix!$A$9:$M$14,6,FALSE),
IF($A138&lt;'Compression Fittings'!$A$16,VLOOKUP($A138,'Compression Fittings'!$A$8:$M$15,6,FALSE),
IF($A138&lt;'Hose Fittings'!$A$30,VLOOKUP($A138,'Hose Fittings'!$A$8:$M$29,6,FALSE),
IF($A138&lt;'Swing Joints'!$A$495,VLOOKUP($A138,'Swing Joints'!$A$9:$M$494,6,FALSE),
IF($A138&lt;'Swing Joints Components'!$A$135,VLOOKUP($A138,'Swing Joints Components'!$A$9:$M$134,6,FALSE),
IF($A138&lt;Nonstandard!$A$42,VLOOKUP($A138,Nonstandard!$A$31:$J$41,7,FALSE),"")))))))))))))))))))))))))))),"")</f>
        <v/>
      </c>
      <c r="E138" s="538"/>
      <c r="F138" s="539" t="str">
        <f>IFERROR(IF($A138&lt;'DWV PVC'!$A$317,VLOOKUP($A138,'DWV PVC'!$A$9:$M$316,9,FALSE),
IF($A138&lt;'DWV ABS'!$A$117,VLOOKUP($A138,'DWV ABS'!$A$8:$M$116,9,FALSE),                                                                                                                                                                                                                                                     IF($A138&lt;'PVC SCH40'!$A$425,VLOOKUP($A138,'PVC SCH40'!$A$8:$M$424,9,FALSE),
IF($A138&lt;'PVC SCH40 LD'!$A$22,VLOOKUP($A138,'PVC SCH40 LD'!$A$8:$M$21,9,FALSE),
IF($A138&lt;'Pool &amp; SPA Sweep Elbows'!$A$12,VLOOKUP($A138,'Pool &amp; SPA Sweep Elbows'!$A$8:$M$11,9,FALSE),
IF($A138&lt;'Pool &amp; SPA Pipe Extender'!$A$11,VLOOKUP($A138,'Pool &amp; SPA Pipe Extender'!$A$8:$M$10,9,FALSE),
IF($A138&lt;'PVC SCH80'!$A$250,VLOOKUP($A138,'PVC SCH80'!$A$8:$M$249,9,FALSE),
IF($A138&lt;'PVC SCH80 Flange'!$A$49,VLOOKUP($A138,'PVC SCH80 Flange'!$A$8:$M$48,9,FALSE),
IF($A138&lt;'PVC SCH80 LD Flange'!$A$17,VLOOKUP($A138,'PVC SCH80 LD Flange'!$A$8:$M$16,9,FALSE),
IF($A138&lt;CPVC!$A$105,VLOOKUP($A138,CPVC!$A$9:$M$104,9,FALSE),
IF($A138&lt;InsertFittings!$A$185,VLOOKUP($A138,InsertFittings!$A$9:$M$184,9,FALSE),
IF($A138&lt;Valves!$A$92,VLOOKUP($A138,Valves!$A$9:$Q$91,13,FALSE),
IF($A138&lt;SDR35SW!$A$133,VLOOKUP($A138,SDR35SW!$A$9:$M$132,9,FALSE),
IF($A138&lt;SDR35G!$A$151,VLOOKUP($A138,SDR35G!$A$9:$M$150,9,FALSE),                                                                                                                                                                                                                                                          IF($A138&lt;SDR26G!$A$67,VLOOKUP($A138,SDR26G!$A$9:$N$66,10,FALSE),                                                                                                                                                                                                                                                       IF($A138&lt;Cements!$A$95,VLOOKUP($A138,Cements!$A$8:$Q$94,13,FALSE),
IF($A138&lt;ValveBox!$A$124,VLOOKUP($A138,ValveBox!$A$9:$O$123,11,FALSE),
IF($A138&lt;'ValveBox Components'!$A$142,VLOOKUP($A138,'ValveBox Components'!$A$9:$N$141,10,FALSE),
IF($A138&lt;Drainage!$A$69,VLOOKUP($A138,Drainage!$A$8:$M$68,9,FALSE),                                                                                                                                                                                                                                                              IF($A138&lt;Nipples!$A$82,VLOOKUP($A138,Nipples!$A$9:$Q$81,13,FALSE),
IF($A138&lt;Manifold!$A$33,VLOOKUP($A138,Manifold!$A$9:$M$32,9,FALSE),
IF($A138&lt;FlexibleRepairCouplings!$A$12,VLOOKUP($A138,FlexibleRepairCouplings!$A$9:$M$11,9,FALSE),
IF($A138&lt;DuraFix!$A$15,VLOOKUP($A138,DuraFix!$A$9:$M$14,9,FALSE),                                                                                                                                                                                                                                                          IF($A138&lt;'Compression Fittings'!$A$16,VLOOKUP($A138,'Compression Fittings'!$A$8:$M$15,9,FALSE),
IF($A138&lt;'Hose Fittings'!$A$30,VLOOKUP($A138,'Hose Fittings'!$A$8:$M$29,9,FALSE),
IF($A138&lt;'Swing Joints'!$A$495,VLOOKUP($A138,'Swing Joints'!$A$9:$M$494,9,FALSE),
IF($A138&lt;'Swing Joints Components'!$A$135,VLOOKUP($A138,'Swing Joints Components'!$A$9:$M$134,9,FALSE),
IF($A138&lt;Nonstandard!$A$42,VLOOKUP($A138,Nonstandard!$A$31:$J$41,8,FALSE),"")))))))))))))))))))))))))))),"")</f>
        <v/>
      </c>
      <c r="G138" s="540" t="str">
        <f>IFERROR(IF($A138&lt;'DWV PVC'!$A$317,VLOOKUP($A138,'DWV PVC'!$A$9:$M$316,11,FALSE),
IF($A138&lt;'DWV ABS'!$A$117,VLOOKUP($A138,'DWV ABS'!$A$8:$M$116,11,FALSE),                                                                                                                                                                                                                                                     IF($A138&lt;'PVC SCH40'!$A$425,VLOOKUP($A138,'PVC SCH40'!$A$8:$M$424,11,FALSE),
IF($A138&lt;'PVC SCH40 LD'!$A$22,VLOOKUP($A138,'PVC SCH40 LD'!$A$8:$M$21,11,FALSE),
IF($A138&lt;'Pool &amp; SPA Sweep Elbows'!$A$12,VLOOKUP($A138,'Pool &amp; SPA Sweep Elbows'!$A$8:$M$11,11,FALSE),
IF($A138&lt;'Pool &amp; SPA Pipe Extender'!$A$11,VLOOKUP($A138,'Pool &amp; SPA Pipe Extender'!$A$8:$M$10,11,FALSE),
IF($A138&lt;'PVC SCH80'!$A$250,VLOOKUP($A138,'PVC SCH80'!$A$8:$M$249,11,FALSE),
IF($A138&lt;'PVC SCH80 Flange'!$A$49,VLOOKUP($A138,'PVC SCH80 Flange'!$A$8:$M$48,11,FALSE),
IF($A138&lt;'PVC SCH80 LD Flange'!$A$17,VLOOKUP($A138,'PVC SCH80 LD Flange'!$A$8:$M$16,11,FALSE),
IF($A138&lt;CPVC!$A$105,VLOOKUP($A138,CPVC!$A$9:$M$104,11,FALSE),
IF($A138&lt;InsertFittings!$A$185,VLOOKUP($A138,InsertFittings!$A$9:$M$184,11,FALSE),
IF($A138&lt;Valves!$A$92,VLOOKUP($A138,Valves!$A$9:$Q$91,15,FALSE),
IF($A138&lt;SDR35SW!$A$133,VLOOKUP($A138,SDR35SW!$A$9:$M$132,11,FALSE),
IF($A138&lt;SDR35G!$A$151,VLOOKUP($A138,SDR35G!$A$9:$M$150,11,FALSE),                                                                                                                                                                                                                                                          IF($A138&lt;SDR26G!$A$67,VLOOKUP($A138,SDR26G!$A$9:$N$66,12,FALSE),                                                                                                                                                                                                                                                       IF($A138&lt;Cements!$A$95,VLOOKUP($A138,Cements!$A$8:$Q$94,15,FALSE),
IF($A138&lt;ValveBox!$A$124,VLOOKUP($A138,ValveBox!$A$9:$O$123,13,FALSE),
IF($A138&lt;'ValveBox Components'!$A$142,VLOOKUP($A138,'ValveBox Components'!$A$9:$N$141,12,FALSE),
IF($A138&lt;Drainage!$A$69,VLOOKUP($A138,Drainage!$A$8:$M$68,11,FALSE),                                                                                                                                                                                                                                                           IF($A138&lt;Nipples!$A$82,VLOOKUP($A138,Nipples!$A$9:$Q$81,15,FALSE),
IF($A138&lt;Manifold!$A$33,VLOOKUP($A138,Manifold!$A$9:$M$32,11,FALSE),
IF($A138&lt;FlexibleRepairCouplings!$A$12,VLOOKUP($A138,FlexibleRepairCouplings!$A$9:$M$11,11,FALSE),
IF($A138&lt;DuraFix!$A$15,VLOOKUP($A138,DuraFix!$A$9:$M$14,11,FALSE),                                                                                                                                                                                                                                                            IF($A138&lt;'Compression Fittings'!$A$16,VLOOKUP($A138,'Compression Fittings'!$A$8:$M$15,11,FALSE),
IF($A138&lt;'Hose Fittings'!$A$30,VLOOKUP($A138,'Hose Fittings'!$A$8:$M$29,11,FALSE),
IF($A138&lt;'Swing Joints'!$A$495,VLOOKUP($A138,'Swing Joints'!$A$9:$M$494,11,FALSE),
IF($A138&lt;'Swing Joints Components'!$A$135,VLOOKUP($A138,'Swing Joints Components'!$A$9:$M$134,11,FALSE),
IF($A138&lt;Nonstandard!$A$42,VLOOKUP($A138,Nonstandard!$A$31:$J$41,10,FALSE),"")))))))))))))))))))))))))))),"")</f>
        <v/>
      </c>
      <c r="H138" s="620" t="str">
        <f>IFERROR(IF($A138&lt;'DWV PVC'!$A$317,VLOOKUP($A138,'DWV PVC'!$A$9:$M$316,7,FALSE),
IF($A138&lt;'DWV ABS'!$A$117,VLOOKUP($A138,'DWV ABS'!$A$8:$M$116,11,FALSE),                                                                                                                                                                                                                                                     IF($A138&lt;'PVC SCH40'!$A$425,VLOOKUP($A138,'PVC SCH40'!$A$8:$M$424,7,FALSE),
IF($A138&lt;'PVC SCH40 LD'!$A$22,VLOOKUP($A138,'PVC SCH40 LD'!$A$8:$M$21,7,FALSE),
IF($A138&lt;'Pool &amp; SPA Sweep Elbows'!$A$12,VLOOKUP($A138,'Pool &amp; SPA Sweep Elbows'!$A$8:$M$11,7,FALSE),
IF($A138&lt;'Pool &amp; SPA Pipe Extender'!$A$11,VLOOKUP($A138,'Pool &amp; SPA Pipe Extender'!$A$8:$M$10,7,FALSE),
IF($A138&lt;'PVC SCH80'!$A$250,VLOOKUP($A138,'PVC SCH80'!$A$8:$M$249,7,FALSE),
IF($A138&lt;'PVC SCH80 Flange'!$A$49,VLOOKUP($A138,'PVC SCH80 Flange'!$A$8:$M$48,7,FALSE),
IF($A138&lt;'PVC SCH80 LD Flange'!$A$17,VLOOKUP($A138,'PVC SCH80 LD Flange'!$A$8:$M$16,7,FALSE),
IF($A138&lt;CPVC!$A$105,VLOOKUP($A138,CPVC!$A$9:$M$104,7,FALSE),
IF($A138&lt;InsertFittings!$A$185,VLOOKUP($A138,InsertFittings!$A$9:$M$184,7,FALSE),
IF($A138&lt;Valves!$A$92,VLOOKUP($A138,Valves!$A$9:$Q$91,11,FALSE),
IF($A138&lt;SDR35SW!$A$133,VLOOKUP($A138,SDR35SW!$A$9:$M$132,7,FALSE),
IF($A138&lt;SDR35G!$A$151,VLOOKUP($A138,SDR35G!$A$9:$M$150,7,FALSE),                                                                                                                                                                                                                                                       IF($A138&lt;SDR26G!$A$67,VLOOKUP($A138,SDR26G!$A$9:$N$66,8,FALSE),                                                                                                                                                                                                                                                     IF($A138&lt;Cements!$A$95,VLOOKUP($A138,Cements!$A$8:$Q$94,11,FALSE),
IF($A138&lt;ValveBox!$A$124,VLOOKUP($A138,ValveBox!$A$9:$O$123,10,FALSE),
IF($A138&lt;'ValveBox Components'!$A$142,VLOOKUP($A138,'ValveBox Components'!$A$9:$N$141,9,FALSE),
IF($A138&lt;Drainage!$A$69,VLOOKUP($A138,Drainage!$A$8:$M$68,7,FALSE),                                                                                                                                                                                                                                                          IF($A138&lt;Nipples!$A$82,VLOOKUP($A138,Nipples!$A$9:$Q$81,11,FALSE),
IF($A138&lt;Manifold!$A$33,VLOOKUP($A138,Manifold!$A$9:$M$32,7,FALSE),
IF($A138&lt;FlexibleRepairCouplings!$A$12,VLOOKUP($A138,FlexibleRepairCouplings!$A$9:$M$11,7,FALSE),
IF($A138&lt;DuraFix!$A$15,VLOOKUP($A138,DuraFix!$A$9:$M$14,7,FALSE),                                                                                                                                                                                                                                                           IF($A138&lt;'Compression Fittings'!$A$16,VLOOKUP($A138,'Compression Fittings'!$A$8:$M$15,7,FALSE),
IF($A138&lt;'Hose Fittings'!$A$30,VLOOKUP($A138,'Hose Fittings'!$A$8:$M$29,7,FALSE),
IF($A138&lt;'Swing Joints'!$A$495,VLOOKUP($A138,'Swing Joints'!$A$9:$M$494,7,FALSE),
IF($A138&lt;'Swing Joints Components'!$A$135,VLOOKUP($A138,'Swing Joints Components'!$A$9:$M$134,7,FALSE),
IF($A138&lt;Nonstandard!$A$42,VLOOKUP($A138,Nonstandard!$A$31:$J$41,10,FALSE),"")))))))))))))))))))))))))))),"")</f>
        <v/>
      </c>
      <c r="I138" s="621"/>
      <c r="J138" s="541" t="str">
        <f t="shared" si="3"/>
        <v/>
      </c>
      <c r="K138" s="599" t="str">
        <f>IFERROR(IF($A138&lt;'DWV PVC'!$A$317,VLOOKUP($A138,'DWV PVC'!$A$9:$M$316,10,FALSE),
IF($A138&lt;'DWV ABS'!$A$117,VLOOKUP($A138,'DWV ABS'!$A$8:$M$116,10,FALSE),
IF($A138&lt;'PVC SCH40'!$A$425,VLOOKUP($A138,'PVC SCH40'!$A$8:$M$424,10,FALSE),
IF($A138&lt;'PVC SCH40 LD'!$A$22,VLOOKUP($A138,'PVC SCH40 LD'!$A$8:$M$21,10,FALSE),
IF($A138&lt;'Pool &amp; SPA Sweep Elbows'!$A$12,VLOOKUP($A138,'Pool &amp; SPA Sweep Elbows'!$A$8:$M$11,10,FALSE),
IF($A138&lt;'Pool &amp; SPA Pipe Extender'!$A$11,VLOOKUP($A138,'Pool &amp; SPA Pipe Extender'!$A$8:$M$10,10,FALSE),
IF($A138&lt;'PVC SCH80'!$A$250,VLOOKUP($A138,'PVC SCH80'!$A$8:$M$249,10,FALSE),
IF($A138&lt;'PVC SCH80 Flange'!$A$49,VLOOKUP($A138,'PVC SCH80 Flange'!$A$8:$M$48,10,FALSE),
IF($A138&lt;'PVC SCH80 LD Flange'!$A$17,VLOOKUP($A138,'PVC SCH80 LD Flange'!$A$8:$M$16,10,FALSE),
IF($A138&lt;CPVC!$A$105,VLOOKUP($A138,CPVC!$A$9:$M$104,10,FALSE),
IF($A138&lt;InsertFittings!$A$185,VLOOKUP($A138,InsertFittings!$A$9:$M$184,10,FALSE),
IF($A138&lt;Valves!$A$92,VLOOKUP($A138,Valves!$A$9:$Q$91,14,FALSE),
IF($A138&lt;SDR35SW!$A$133,VLOOKUP($A138,SDR35SW!$A$9:$M$132,10,FALSE),
IF($A138&lt;SDR35G!$A$151,VLOOKUP($A138,SDR35G!$A$9:$M$150,10,FALSE),
IF($A138&lt;SDR26G!$A$67,VLOOKUP($A138,SDR26G!$A$9:$N$66,11,FALSE),
IF($A138&lt;Cements!$A$95,VLOOKUP($A138,Cements!$A$8:$Q$94,14,FALSE),
IF($A138&lt;ValveBox!$A$124,VLOOKUP($A138,ValveBox!$A$9:$O$123,12,FALSE),
IF($A138&lt;'ValveBox Components'!$A$142,VLOOKUP($A138,'ValveBox Components'!$A$9:$N$141,11,FALSE),
IF($A138&lt;Drainage!$A$69,VLOOKUP($A138,Drainage!$A$8:$M$68,10,FALSE),
IF($A138&lt;Nipples!$A$82,VLOOKUP($A138,Nipples!$A$9:$Q$81,14,FALSE),
IF($A138&lt;Manifold!$A$33,VLOOKUP($A138,Manifold!$A$9:$M$32,10,FALSE),
IF($A138&lt;FlexibleRepairCouplings!$A$12,VLOOKUP($A138,FlexibleRepairCouplings!$A$9:$M$11,10,FALSE),
IF($A138&lt;DuraFix!$A$15,VLOOKUP($A138,DuraFix!$A$9:$M$14,10,FALSE),
IF($A138&lt;'Compression Fittings'!$A$16,VLOOKUP($A138,'Compression Fittings'!$A$8:$M$15,10,FALSE),
IF($A138&lt;'Hose Fittings'!$A$30,VLOOKUP($A138,'Hose Fittings'!$A$8:$M$29,10,FALSE),
IF($A138&lt;'Swing Joints'!$A$495,VLOOKUP($A138,'Swing Joints'!$A$9:$M$494,10,FALSE),
IF($A138&lt;'Swing Joints Components'!$A$135,VLOOKUP($A138,'Swing Joints Components'!$A$9:$M$134,10,FALSE),
IF($A138&lt;Nonstandard!$A$42,VLOOKUP($A138,Nonstandard!$A$31:$J$41,10,FALSE),"")))))))))))))))))))))))))))),"")</f>
        <v/>
      </c>
      <c r="L138" s="539" t="str">
        <f t="shared" si="2"/>
        <v>-</v>
      </c>
      <c r="M138" s="542"/>
    </row>
    <row r="139" spans="1:13" ht="15.6">
      <c r="A139" s="312">
        <v>107</v>
      </c>
      <c r="B139" s="312" t="str">
        <f>IFERROR(IF($A139&lt;'DWV PVC'!$A$317,VLOOKUP($A139,'DWV PVC'!$A$9:$M$316,4,FALSE),
IF($A139&lt;'DWV ABS'!$A$117,VLOOKUP($A139,'DWV ABS'!$A$8:$M$116,4,FALSE),
IF($A139&lt;'PVC SCH40'!$A$425,VLOOKUP($A139,'PVC SCH40'!$A$8:$M$424,4,FALSE),
IF($A139&lt;'PVC SCH40 LD'!$A$22,VLOOKUP($A139,'PVC SCH40 LD'!$A$8:$M$21,4,FALSE),
IF($A139&lt;'Pool &amp; SPA Sweep Elbows'!$A$12,VLOOKUP($A139,'Pool &amp; SPA Sweep Elbows'!$A$8:$M$11,4,FALSE),
IF($A139&lt;'Pool &amp; SPA Pipe Extender'!$A$11,VLOOKUP($A139,'Pool &amp; SPA Pipe Extender'!$A$8:$M$10,4,FALSE),
IF($A139&lt;'PVC SCH80'!$A$250,VLOOKUP($A139,'PVC SCH80'!$A$8:$M$249,4,FALSE),
IF($A139&lt;'PVC SCH80 Flange'!$A$49,VLOOKUP($A139,'PVC SCH80 Flange'!$A$8:$M$48,4,FALSE),
IF($A139&lt;'PVC SCH80 LD Flange'!$A$17,VLOOKUP($A139,'PVC SCH80 LD Flange'!$A$8:$M$16,4,FALSE),
IF($A139&lt;CPVC!$A$105,VLOOKUP($A139,CPVC!$A$9:$M$104,4,FALSE),
IF($A139&lt;InsertFittings!$A$185,VLOOKUP($A139,InsertFittings!$A$9:$M$184,4,FALSE),
IF($A139&lt;Valves!$A$92,VLOOKUP($A139,Valves!$A$9:$Q$91,4,FALSE),
IF($A139&lt;SDR35SW!$A$133,VLOOKUP($A139,SDR35SW!$A$9:$M$132,4,FALSE),
IF($A139&lt;SDR35G!$A$151,VLOOKUP($A139,SDR35G!$A$9:$M$150,4,FALSE),
IF($A139&lt;SDR26G!$A$67,VLOOKUP($A139,SDR26G!$A$9:$N$66,5,FALSE),
IF($A139&lt;Cements!$A$95,VLOOKUP($A139,Cements!$A$8:$Q$94,4,FALSE),
IF($A139&lt;ValveBox!$A$124,VLOOKUP($A139,ValveBox!$A$9:$O$123,4,FALSE),
IF($A139&lt;'ValveBox Components'!$A$142,VLOOKUP($A139,'ValveBox Components'!$A$9:$N$141,4,FALSE),
IF($A139&lt;Drainage!$A$69,VLOOKUP($A139,Drainage!$A$8:$M$68,4,FALSE),
IF($A139&lt;Nipples!$A$82,VLOOKUP($A139,Nipples!$A$9:$Q$81,4,FALSE),
IF($A139&lt;Manifold!$A$33,VLOOKUP($A139,Manifold!$A$9:$M$32,4,FALSE),
IF($A139&lt;FlexibleRepairCouplings!$A$12,VLOOKUP($A139,FlexibleRepairCouplings!$A$9:$M$11,4,FALSE),
IF($A139&lt;DuraFix!$A$15,VLOOKUP($A139,DuraFix!$A$9:$M$14,4,FALSE),
IF($A139&lt;'Compression Fittings'!$A$16,VLOOKUP($A139,'Compression Fittings'!$A$8:$M$15,4,FALSE),
IF($A139&lt;'Hose Fittings'!$A$30,VLOOKUP($A139,'Hose Fittings'!$A$8:$M$29,4,FALSE),
IF($A139&lt;'Swing Joints'!$A$495,VLOOKUP($A139,'Swing Joints'!$A$9:$M$494,4,FALSE),
IF($A139&lt;'Swing Joints Components'!$A$135,VLOOKUP($A139,'Swing Joints Components'!$A$9:$M$134,4,FALSE),
IF($A139&lt;Nonstandard!$A$42,VLOOKUP($A139,Nonstandard!$A$31:$J$41,5,FALSE),"")))))))))))))))))))))))))))),"")</f>
        <v/>
      </c>
      <c r="C139" s="312" t="str">
        <f>IFERROR(IF($A139&lt;'DWV PVC'!$A$317,VLOOKUP($A139,'DWV PVC'!$A$9:$M$316,5,FALSE),
IF($A139&lt;'DWV ABS'!$A$117,VLOOKUP($A139,'DWV ABS'!$A$8:$M$116,5,FALSE),
IF($A139&lt;'PVC SCH40'!$A$425,VLOOKUP($A139,'PVC SCH40'!$A$8:$M$424,5,FALSE),
IF($A139&lt;'PVC SCH40 LD'!$A$22,VLOOKUP($A139,'PVC SCH40 LD'!$A$8:$M$21,5,FALSE),
IF($A139&lt;'Pool &amp; SPA Sweep Elbows'!$A$12,VLOOKUP($A139,'Pool &amp; SPA Sweep Elbows'!$A$8:$M$11,5,FALSE),
IF($A139&lt;'Pool &amp; SPA Pipe Extender'!$A$11,VLOOKUP($A139,'Pool &amp; SPA Pipe Extender'!$A$8:$M$10,5,FALSE),
IF($A139&lt;'PVC SCH80'!$A$250,VLOOKUP($A139,'PVC SCH80'!$A$8:$M$249,5,FALSE),
IF($A139&lt;'PVC SCH80 Flange'!$A$49,VLOOKUP($A139,'PVC SCH80 Flange'!$A$8:$M$48,5,FALSE),
IF($A139&lt;'PVC SCH80 LD Flange'!$A$17,VLOOKUP($A139,'PVC SCH80 LD Flange'!$A$8:$M$16,5,FALSE),
IF($A139&lt;CPVC!$A$105,VLOOKUP($A139,CPVC!$A$9:$M$104,5,FALSE),
IF($A139&lt;InsertFittings!$A$185,VLOOKUP($A139,InsertFittings!$A$9:$M$184,5,FALSE),
IF($A139&lt;Valves!$A$92,VLOOKUP($A139,Valves!$A$9:$Q$91,5,FALSE),
IF($A139&lt;SDR35SW!$A$133,VLOOKUP($A139,SDR35SW!$A$9:$M$132,5,FALSE),
IF($A139&lt;SDR35G!$A$151,VLOOKUP($A139,SDR35G!$A$9:$M$150,5,FALSE),
IF($A139&lt;SDR26G!$A$67,VLOOKUP($A139,SDR26G!$A$9:$N$66,6,FALSE),
IF($A139&lt;Cements!$A$95,VLOOKUP($A139,Cements!$A$8:$Q$94,5,FALSE),
IF($A139&lt;ValveBox!$A$124,VLOOKUP($A139,ValveBox!$A$9:$O$123,5,FALSE),
IF($A139&lt;'ValveBox Components'!$A$142,VLOOKUP($A139,'ValveBox Components'!$A$9:$N$141,5,FALSE),
IF($A139&lt;Drainage!$A$69,VLOOKUP($A139,Drainage!$A$8:$M$68,5,FALSE),
IF($A139&lt;Nipples!$A$82,VLOOKUP($A139,Nipples!$A$9:$Q$81,5,FALSE),
IF($A139&lt;Manifold!$A$33,VLOOKUP($A139,Manifold!$A$9:$M$32,5,FALSE),
IF($A139&lt;FlexibleRepairCouplings!$A$12,VLOOKUP($A139,FlexibleRepairCouplings!$A$9:$M$11,5,FALSE),
IF($A139&lt;DuraFix!$A$15,VLOOKUP($A139,DuraFix!$A$9:$M$14,5,FALSE),
IF($A139&lt;'Compression Fittings'!$A$16,VLOOKUP($A139,'Compression Fittings'!$A$8:$M$15,5,FALSE),
IF($A139&lt;'Hose Fittings'!$A$30,VLOOKUP($A139,'Hose Fittings'!$A$8:$M$29,5,FALSE),
IF($A139&lt;'Swing Joints'!$A$495,VLOOKUP($A139,'Swing Joints'!$A$9:$M$494,5,FALSE),
IF($A139&lt;'Swing Joints Components'!$A$135,VLOOKUP($A139,'Swing Joints Components'!$A$9:$M$134,5,FALSE),
IF($A139&lt;Nonstandard!$A$42,VLOOKUP($A139,Nonstandard!$A$31:$J$41,6,FALSE),"")))))))))))))))))))))))))))),"")</f>
        <v/>
      </c>
      <c r="D139" s="534" t="str">
        <f>IFERROR(IF($A139&lt;'DWV PVC'!$A$317,VLOOKUP($A139,'DWV PVC'!$A$9:$M$316,6,FALSE),
IF($A139&lt;'DWV ABS'!$A$117,VLOOKUP($A139,'DWV ABS'!$A$8:$M$116,6,FALSE),
IF($A139&lt;'PVC SCH40'!$A$425,VLOOKUP($A139,'PVC SCH40'!$A$8:$M$424,6,FALSE),
IF($A139&lt;'PVC SCH40 LD'!$A$22,VLOOKUP($A139,'PVC SCH40 LD'!$A$8:$M$21,6,FALSE),
IF($A139&lt;'Pool &amp; SPA Sweep Elbows'!$A$12,VLOOKUP($A139,'Pool &amp; SPA Sweep Elbows'!$A$8:$M$11,6,FALSE),
IF($A139&lt;'Pool &amp; SPA Pipe Extender'!$A$11,VLOOKUP($A139,'Pool &amp; SPA Pipe Extender'!$A$8:$M$10,6,FALSE),
IF($A139&lt;'PVC SCH80'!$A$250,VLOOKUP($A139,'PVC SCH80'!$A$8:$M$249,6,FALSE),
IF($A139&lt;'PVC SCH80 Flange'!$A$49,VLOOKUP($A139,'PVC SCH80 Flange'!$A$8:$M$48,6,FALSE),
IF($A139&lt;'PVC SCH80 LD Flange'!$A$17,VLOOKUP($A139,'PVC SCH80 LD Flange'!$A$8:$M$16,6,FALSE),
IF($A139&lt;CPVC!$A$105,VLOOKUP($A139,CPVC!$A$9:$M$104,6,FALSE),
IF($A139&lt;InsertFittings!$A$185,VLOOKUP($A139,InsertFittings!$A$9:$M$184,6,FALSE),
IF($A139&lt;Valves!$A$92,VLOOKUP($A139,Valves!$A$9:$Q$91,6,FALSE),
IF($A139&lt;SDR35SW!$A$133,VLOOKUP($A139,SDR35SW!$A$9:$M$132,6,FALSE),
IF($A139&lt;SDR35G!$A$151,VLOOKUP($A139,SDR35G!$A$9:$M$150,6,FALSE),
IF($A139&lt;SDR26G!$A$67,VLOOKUP($A139,SDR26G!$A$9:$N$66,7,FALSE),
IF($A139&lt;Cements!$A$95,VLOOKUP($A139,Cements!$A$8:$Q$94,6,FALSE),
IF($A139&lt;ValveBox!$A$124,VLOOKUP($A139,ValveBox!$A$9:$O$123,6,FALSE),
IF($A139&lt;'ValveBox Components'!$A$142,VLOOKUP($A139,'ValveBox Components'!$A$9:$N$141,6,FALSE),
IF($A139&lt;Drainage!$A$69,VLOOKUP($A139,Drainage!$A$8:$M$68,6,FALSE),
IF($A139&lt;Nipples!$A$82,VLOOKUP($A139,Nipples!$A$9:$Q$81,6,FALSE),
IF($A139&lt;Manifold!$A$33,VLOOKUP($A139,Manifold!$A$9:$M$32,6,FALSE),
IF($A139&lt;FlexibleRepairCouplings!$A$12,VLOOKUP($A139,FlexibleRepairCouplings!$A$9:$M$11,6,FALSE),
IF($A139&lt;DuraFix!$A$15,VLOOKUP($A139,DuraFix!$A$9:$M$14,6,FALSE),
IF($A139&lt;'Compression Fittings'!$A$16,VLOOKUP($A139,'Compression Fittings'!$A$8:$M$15,6,FALSE),
IF($A139&lt;'Hose Fittings'!$A$30,VLOOKUP($A139,'Hose Fittings'!$A$8:$M$29,6,FALSE),
IF($A139&lt;'Swing Joints'!$A$495,VLOOKUP($A139,'Swing Joints'!$A$9:$M$494,6,FALSE),
IF($A139&lt;'Swing Joints Components'!$A$135,VLOOKUP($A139,'Swing Joints Components'!$A$9:$M$134,6,FALSE),
IF($A139&lt;Nonstandard!$A$42,VLOOKUP($A139,Nonstandard!$A$31:$J$41,7,FALSE),"")))))))))))))))))))))))))))),"")</f>
        <v/>
      </c>
      <c r="E139" s="316"/>
      <c r="F139" s="314" t="str">
        <f>IFERROR(IF($A139&lt;'DWV PVC'!$A$317,VLOOKUP($A139,'DWV PVC'!$A$9:$M$316,9,FALSE),
IF($A139&lt;'DWV ABS'!$A$117,VLOOKUP($A139,'DWV ABS'!$A$8:$M$116,9,FALSE),                                                                                                                                                                                                                                                     IF($A139&lt;'PVC SCH40'!$A$425,VLOOKUP($A139,'PVC SCH40'!$A$8:$M$424,9,FALSE),
IF($A139&lt;'PVC SCH40 LD'!$A$22,VLOOKUP($A139,'PVC SCH40 LD'!$A$8:$M$21,9,FALSE),
IF($A139&lt;'Pool &amp; SPA Sweep Elbows'!$A$12,VLOOKUP($A139,'Pool &amp; SPA Sweep Elbows'!$A$8:$M$11,9,FALSE),
IF($A139&lt;'Pool &amp; SPA Pipe Extender'!$A$11,VLOOKUP($A139,'Pool &amp; SPA Pipe Extender'!$A$8:$M$10,9,FALSE),
IF($A139&lt;'PVC SCH80'!$A$250,VLOOKUP($A139,'PVC SCH80'!$A$8:$M$249,9,FALSE),
IF($A139&lt;'PVC SCH80 Flange'!$A$49,VLOOKUP($A139,'PVC SCH80 Flange'!$A$8:$M$48,9,FALSE),
IF($A139&lt;'PVC SCH80 LD Flange'!$A$17,VLOOKUP($A139,'PVC SCH80 LD Flange'!$A$8:$M$16,9,FALSE),
IF($A139&lt;CPVC!$A$105,VLOOKUP($A139,CPVC!$A$9:$M$104,9,FALSE),
IF($A139&lt;InsertFittings!$A$185,VLOOKUP($A139,InsertFittings!$A$9:$M$184,9,FALSE),
IF($A139&lt;Valves!$A$92,VLOOKUP($A139,Valves!$A$9:$Q$91,13,FALSE),
IF($A139&lt;SDR35SW!$A$133,VLOOKUP($A139,SDR35SW!$A$9:$M$132,9,FALSE),
IF($A139&lt;SDR35G!$A$151,VLOOKUP($A139,SDR35G!$A$9:$M$150,9,FALSE),                                                                                                                                                                                                                                                          IF($A139&lt;SDR26G!$A$67,VLOOKUP($A139,SDR26G!$A$9:$N$66,10,FALSE),                                                                                                                                                                                                                                                       IF($A139&lt;Cements!$A$95,VLOOKUP($A139,Cements!$A$8:$Q$94,13,FALSE),
IF($A139&lt;ValveBox!$A$124,VLOOKUP($A139,ValveBox!$A$9:$O$123,11,FALSE),
IF($A139&lt;'ValveBox Components'!$A$142,VLOOKUP($A139,'ValveBox Components'!$A$9:$N$141,10,FALSE),
IF($A139&lt;Drainage!$A$69,VLOOKUP($A139,Drainage!$A$8:$M$68,9,FALSE),                                                                                                                                                                                                                                                              IF($A139&lt;Nipples!$A$82,VLOOKUP($A139,Nipples!$A$9:$Q$81,13,FALSE),
IF($A139&lt;Manifold!$A$33,VLOOKUP($A139,Manifold!$A$9:$M$32,9,FALSE),
IF($A139&lt;FlexibleRepairCouplings!$A$12,VLOOKUP($A139,FlexibleRepairCouplings!$A$9:$M$11,9,FALSE),
IF($A139&lt;DuraFix!$A$15,VLOOKUP($A139,DuraFix!$A$9:$M$14,9,FALSE),                                                                                                                                                                                                                                                          IF($A139&lt;'Compression Fittings'!$A$16,VLOOKUP($A139,'Compression Fittings'!$A$8:$M$15,9,FALSE),
IF($A139&lt;'Hose Fittings'!$A$30,VLOOKUP($A139,'Hose Fittings'!$A$8:$M$29,9,FALSE),
IF($A139&lt;'Swing Joints'!$A$495,VLOOKUP($A139,'Swing Joints'!$A$9:$M$494,9,FALSE),
IF($A139&lt;'Swing Joints Components'!$A$135,VLOOKUP($A139,'Swing Joints Components'!$A$9:$M$134,9,FALSE),
IF($A139&lt;Nonstandard!$A$42,VLOOKUP($A139,Nonstandard!$A$31:$J$41,8,FALSE),"")))))))))))))))))))))))))))),"")</f>
        <v/>
      </c>
      <c r="G139" s="533" t="str">
        <f>IFERROR(IF($A139&lt;'DWV PVC'!$A$317,VLOOKUP($A139,'DWV PVC'!$A$9:$M$316,11,FALSE),
IF($A139&lt;'DWV ABS'!$A$117,VLOOKUP($A139,'DWV ABS'!$A$8:$M$116,11,FALSE),                                                                                                                                                                                                                                                     IF($A139&lt;'PVC SCH40'!$A$425,VLOOKUP($A139,'PVC SCH40'!$A$8:$M$424,11,FALSE),
IF($A139&lt;'PVC SCH40 LD'!$A$22,VLOOKUP($A139,'PVC SCH40 LD'!$A$8:$M$21,11,FALSE),
IF($A139&lt;'Pool &amp; SPA Sweep Elbows'!$A$12,VLOOKUP($A139,'Pool &amp; SPA Sweep Elbows'!$A$8:$M$11,11,FALSE),
IF($A139&lt;'Pool &amp; SPA Pipe Extender'!$A$11,VLOOKUP($A139,'Pool &amp; SPA Pipe Extender'!$A$8:$M$10,11,FALSE),
IF($A139&lt;'PVC SCH80'!$A$250,VLOOKUP($A139,'PVC SCH80'!$A$8:$M$249,11,FALSE),
IF($A139&lt;'PVC SCH80 Flange'!$A$49,VLOOKUP($A139,'PVC SCH80 Flange'!$A$8:$M$48,11,FALSE),
IF($A139&lt;'PVC SCH80 LD Flange'!$A$17,VLOOKUP($A139,'PVC SCH80 LD Flange'!$A$8:$M$16,11,FALSE),
IF($A139&lt;CPVC!$A$105,VLOOKUP($A139,CPVC!$A$9:$M$104,11,FALSE),
IF($A139&lt;InsertFittings!$A$185,VLOOKUP($A139,InsertFittings!$A$9:$M$184,11,FALSE),
IF($A139&lt;Valves!$A$92,VLOOKUP($A139,Valves!$A$9:$Q$91,15,FALSE),
IF($A139&lt;SDR35SW!$A$133,VLOOKUP($A139,SDR35SW!$A$9:$M$132,11,FALSE),
IF($A139&lt;SDR35G!$A$151,VLOOKUP($A139,SDR35G!$A$9:$M$150,11,FALSE),                                                                                                                                                                                                                                                          IF($A139&lt;SDR26G!$A$67,VLOOKUP($A139,SDR26G!$A$9:$N$66,12,FALSE),                                                                                                                                                                                                                                                       IF($A139&lt;Cements!$A$95,VLOOKUP($A139,Cements!$A$8:$Q$94,15,FALSE),
IF($A139&lt;ValveBox!$A$124,VLOOKUP($A139,ValveBox!$A$9:$O$123,13,FALSE),
IF($A139&lt;'ValveBox Components'!$A$142,VLOOKUP($A139,'ValveBox Components'!$A$9:$N$141,12,FALSE),
IF($A139&lt;Drainage!$A$69,VLOOKUP($A139,Drainage!$A$8:$M$68,11,FALSE),                                                                                                                                                                                                                                                           IF($A139&lt;Nipples!$A$82,VLOOKUP($A139,Nipples!$A$9:$Q$81,15,FALSE),
IF($A139&lt;Manifold!$A$33,VLOOKUP($A139,Manifold!$A$9:$M$32,11,FALSE),
IF($A139&lt;FlexibleRepairCouplings!$A$12,VLOOKUP($A139,FlexibleRepairCouplings!$A$9:$M$11,11,FALSE),
IF($A139&lt;DuraFix!$A$15,VLOOKUP($A139,DuraFix!$A$9:$M$14,11,FALSE),                                                                                                                                                                                                                                                            IF($A139&lt;'Compression Fittings'!$A$16,VLOOKUP($A139,'Compression Fittings'!$A$8:$M$15,11,FALSE),
IF($A139&lt;'Hose Fittings'!$A$30,VLOOKUP($A139,'Hose Fittings'!$A$8:$M$29,11,FALSE),
IF($A139&lt;'Swing Joints'!$A$495,VLOOKUP($A139,'Swing Joints'!$A$9:$M$494,11,FALSE),
IF($A139&lt;'Swing Joints Components'!$A$135,VLOOKUP($A139,'Swing Joints Components'!$A$9:$M$134,11,FALSE),
IF($A139&lt;Nonstandard!$A$42,VLOOKUP($A139,Nonstandard!$A$31:$J$41,10,FALSE),"")))))))))))))))))))))))))))),"")</f>
        <v/>
      </c>
      <c r="H139" s="618" t="str">
        <f>IFERROR(IF($A139&lt;'DWV PVC'!$A$317,VLOOKUP($A139,'DWV PVC'!$A$9:$M$316,7,FALSE),
IF($A139&lt;'DWV ABS'!$A$117,VLOOKUP($A139,'DWV ABS'!$A$8:$M$116,11,FALSE),                                                                                                                                                                                                                                                     IF($A139&lt;'PVC SCH40'!$A$425,VLOOKUP($A139,'PVC SCH40'!$A$8:$M$424,7,FALSE),
IF($A139&lt;'PVC SCH40 LD'!$A$22,VLOOKUP($A139,'PVC SCH40 LD'!$A$8:$M$21,7,FALSE),
IF($A139&lt;'Pool &amp; SPA Sweep Elbows'!$A$12,VLOOKUP($A139,'Pool &amp; SPA Sweep Elbows'!$A$8:$M$11,7,FALSE),
IF($A139&lt;'Pool &amp; SPA Pipe Extender'!$A$11,VLOOKUP($A139,'Pool &amp; SPA Pipe Extender'!$A$8:$M$10,7,FALSE),
IF($A139&lt;'PVC SCH80'!$A$250,VLOOKUP($A139,'PVC SCH80'!$A$8:$M$249,7,FALSE),
IF($A139&lt;'PVC SCH80 Flange'!$A$49,VLOOKUP($A139,'PVC SCH80 Flange'!$A$8:$M$48,7,FALSE),
IF($A139&lt;'PVC SCH80 LD Flange'!$A$17,VLOOKUP($A139,'PVC SCH80 LD Flange'!$A$8:$M$16,7,FALSE),
IF($A139&lt;CPVC!$A$105,VLOOKUP($A139,CPVC!$A$9:$M$104,7,FALSE),
IF($A139&lt;InsertFittings!$A$185,VLOOKUP($A139,InsertFittings!$A$9:$M$184,7,FALSE),
IF($A139&lt;Valves!$A$92,VLOOKUP($A139,Valves!$A$9:$Q$91,11,FALSE),
IF($A139&lt;SDR35SW!$A$133,VLOOKUP($A139,SDR35SW!$A$9:$M$132,7,FALSE),
IF($A139&lt;SDR35G!$A$151,VLOOKUP($A139,SDR35G!$A$9:$M$150,7,FALSE),                                                                                                                                                                                                                                                       IF($A139&lt;SDR26G!$A$67,VLOOKUP($A139,SDR26G!$A$9:$N$66,8,FALSE),                                                                                                                                                                                                                                                     IF($A139&lt;Cements!$A$95,VLOOKUP($A139,Cements!$A$8:$Q$94,11,FALSE),
IF($A139&lt;ValveBox!$A$124,VLOOKUP($A139,ValveBox!$A$9:$O$123,10,FALSE),
IF($A139&lt;'ValveBox Components'!$A$142,VLOOKUP($A139,'ValveBox Components'!$A$9:$N$141,9,FALSE),
IF($A139&lt;Drainage!$A$69,VLOOKUP($A139,Drainage!$A$8:$M$68,7,FALSE),                                                                                                                                                                                                                                                          IF($A139&lt;Nipples!$A$82,VLOOKUP($A139,Nipples!$A$9:$Q$81,11,FALSE),
IF($A139&lt;Manifold!$A$33,VLOOKUP($A139,Manifold!$A$9:$M$32,7,FALSE),
IF($A139&lt;FlexibleRepairCouplings!$A$12,VLOOKUP($A139,FlexibleRepairCouplings!$A$9:$M$11,7,FALSE),
IF($A139&lt;DuraFix!$A$15,VLOOKUP($A139,DuraFix!$A$9:$M$14,7,FALSE),                                                                                                                                                                                                                                                           IF($A139&lt;'Compression Fittings'!$A$16,VLOOKUP($A139,'Compression Fittings'!$A$8:$M$15,7,FALSE),
IF($A139&lt;'Hose Fittings'!$A$30,VLOOKUP($A139,'Hose Fittings'!$A$8:$M$29,7,FALSE),
IF($A139&lt;'Swing Joints'!$A$495,VLOOKUP($A139,'Swing Joints'!$A$9:$M$494,7,FALSE),
IF($A139&lt;'Swing Joints Components'!$A$135,VLOOKUP($A139,'Swing Joints Components'!$A$9:$M$134,7,FALSE),
IF($A139&lt;Nonstandard!$A$42,VLOOKUP($A139,Nonstandard!$A$31:$J$41,10,FALSE),"")))))))))))))))))))))))))))),"")</f>
        <v/>
      </c>
      <c r="I139" s="619"/>
      <c r="J139" s="281" t="str">
        <f t="shared" si="3"/>
        <v/>
      </c>
      <c r="K139" s="313" t="str">
        <f>IFERROR(IF($A139&lt;'DWV PVC'!$A$317,VLOOKUP($A139,'DWV PVC'!$A$9:$M$316,10,FALSE),
IF($A139&lt;'DWV ABS'!$A$117,VLOOKUP($A139,'DWV ABS'!$A$8:$M$116,10,FALSE),
IF($A139&lt;'PVC SCH40'!$A$425,VLOOKUP($A139,'PVC SCH40'!$A$8:$M$424,10,FALSE),
IF($A139&lt;'PVC SCH40 LD'!$A$22,VLOOKUP($A139,'PVC SCH40 LD'!$A$8:$M$21,10,FALSE),
IF($A139&lt;'Pool &amp; SPA Sweep Elbows'!$A$12,VLOOKUP($A139,'Pool &amp; SPA Sweep Elbows'!$A$8:$M$11,10,FALSE),
IF($A139&lt;'Pool &amp; SPA Pipe Extender'!$A$11,VLOOKUP($A139,'Pool &amp; SPA Pipe Extender'!$A$8:$M$10,10,FALSE),
IF($A139&lt;'PVC SCH80'!$A$250,VLOOKUP($A139,'PVC SCH80'!$A$8:$M$249,10,FALSE),
IF($A139&lt;'PVC SCH80 Flange'!$A$49,VLOOKUP($A139,'PVC SCH80 Flange'!$A$8:$M$48,10,FALSE),
IF($A139&lt;'PVC SCH80 LD Flange'!$A$17,VLOOKUP($A139,'PVC SCH80 LD Flange'!$A$8:$M$16,10,FALSE),
IF($A139&lt;CPVC!$A$105,VLOOKUP($A139,CPVC!$A$9:$M$104,10,FALSE),
IF($A139&lt;InsertFittings!$A$185,VLOOKUP($A139,InsertFittings!$A$9:$M$184,10,FALSE),
IF($A139&lt;Valves!$A$92,VLOOKUP($A139,Valves!$A$9:$Q$91,14,FALSE),
IF($A139&lt;SDR35SW!$A$133,VLOOKUP($A139,SDR35SW!$A$9:$M$132,10,FALSE),
IF($A139&lt;SDR35G!$A$151,VLOOKUP($A139,SDR35G!$A$9:$M$150,10,FALSE),
IF($A139&lt;SDR26G!$A$67,VLOOKUP($A139,SDR26G!$A$9:$N$66,11,FALSE),
IF($A139&lt;Cements!$A$95,VLOOKUP($A139,Cements!$A$8:$Q$94,14,FALSE),
IF($A139&lt;ValveBox!$A$124,VLOOKUP($A139,ValveBox!$A$9:$O$123,12,FALSE),
IF($A139&lt;'ValveBox Components'!$A$142,VLOOKUP($A139,'ValveBox Components'!$A$9:$N$141,11,FALSE),
IF($A139&lt;Drainage!$A$69,VLOOKUP($A139,Drainage!$A$8:$M$68,10,FALSE),
IF($A139&lt;Nipples!$A$82,VLOOKUP($A139,Nipples!$A$9:$Q$81,14,FALSE),
IF($A139&lt;Manifold!$A$33,VLOOKUP($A139,Manifold!$A$9:$M$32,10,FALSE),
IF($A139&lt;FlexibleRepairCouplings!$A$12,VLOOKUP($A139,FlexibleRepairCouplings!$A$9:$M$11,10,FALSE),
IF($A139&lt;DuraFix!$A$15,VLOOKUP($A139,DuraFix!$A$9:$M$14,10,FALSE),
IF($A139&lt;'Compression Fittings'!$A$16,VLOOKUP($A139,'Compression Fittings'!$A$8:$M$15,10,FALSE),
IF($A139&lt;'Hose Fittings'!$A$30,VLOOKUP($A139,'Hose Fittings'!$A$8:$M$29,10,FALSE),
IF($A139&lt;'Swing Joints'!$A$495,VLOOKUP($A139,'Swing Joints'!$A$9:$M$494,10,FALSE),
IF($A139&lt;'Swing Joints Components'!$A$135,VLOOKUP($A139,'Swing Joints Components'!$A$9:$M$134,10,FALSE),
IF($A139&lt;Nonstandard!$A$42,VLOOKUP($A139,Nonstandard!$A$31:$J$41,10,FALSE),"")))))))))))))))))))))))))))),"")</f>
        <v/>
      </c>
      <c r="L139" s="314" t="str">
        <f t="shared" si="2"/>
        <v>-</v>
      </c>
      <c r="M139" s="315"/>
    </row>
    <row r="140" spans="1:13" ht="15.6">
      <c r="A140" s="536">
        <v>108</v>
      </c>
      <c r="B140" s="536" t="str">
        <f>IFERROR(IF($A140&lt;'DWV PVC'!$A$317,VLOOKUP($A140,'DWV PVC'!$A$9:$M$316,4,FALSE),
IF($A140&lt;'DWV ABS'!$A$117,VLOOKUP($A140,'DWV ABS'!$A$8:$M$116,4,FALSE),
IF($A140&lt;'PVC SCH40'!$A$425,VLOOKUP($A140,'PVC SCH40'!$A$8:$M$424,4,FALSE),
IF($A140&lt;'PVC SCH40 LD'!$A$22,VLOOKUP($A140,'PVC SCH40 LD'!$A$8:$M$21,4,FALSE),
IF($A140&lt;'Pool &amp; SPA Sweep Elbows'!$A$12,VLOOKUP($A140,'Pool &amp; SPA Sweep Elbows'!$A$8:$M$11,4,FALSE),
IF($A140&lt;'Pool &amp; SPA Pipe Extender'!$A$11,VLOOKUP($A140,'Pool &amp; SPA Pipe Extender'!$A$8:$M$10,4,FALSE),
IF($A140&lt;'PVC SCH80'!$A$250,VLOOKUP($A140,'PVC SCH80'!$A$8:$M$249,4,FALSE),
IF($A140&lt;'PVC SCH80 Flange'!$A$49,VLOOKUP($A140,'PVC SCH80 Flange'!$A$8:$M$48,4,FALSE),
IF($A140&lt;'PVC SCH80 LD Flange'!$A$17,VLOOKUP($A140,'PVC SCH80 LD Flange'!$A$8:$M$16,4,FALSE),
IF($A140&lt;CPVC!$A$105,VLOOKUP($A140,CPVC!$A$9:$M$104,4,FALSE),
IF($A140&lt;InsertFittings!$A$185,VLOOKUP($A140,InsertFittings!$A$9:$M$184,4,FALSE),
IF($A140&lt;Valves!$A$92,VLOOKUP($A140,Valves!$A$9:$Q$91,4,FALSE),
IF($A140&lt;SDR35SW!$A$133,VLOOKUP($A140,SDR35SW!$A$9:$M$132,4,FALSE),
IF($A140&lt;SDR35G!$A$151,VLOOKUP($A140,SDR35G!$A$9:$M$150,4,FALSE),
IF($A140&lt;SDR26G!$A$67,VLOOKUP($A140,SDR26G!$A$9:$N$66,5,FALSE),
IF($A140&lt;Cements!$A$95,VLOOKUP($A140,Cements!$A$8:$Q$94,4,FALSE),
IF($A140&lt;ValveBox!$A$124,VLOOKUP($A140,ValveBox!$A$9:$O$123,4,FALSE),
IF($A140&lt;'ValveBox Components'!$A$142,VLOOKUP($A140,'ValveBox Components'!$A$9:$N$141,4,FALSE),
IF($A140&lt;Drainage!$A$69,VLOOKUP($A140,Drainage!$A$8:$M$68,4,FALSE),
IF($A140&lt;Nipples!$A$82,VLOOKUP($A140,Nipples!$A$9:$Q$81,4,FALSE),
IF($A140&lt;Manifold!$A$33,VLOOKUP($A140,Manifold!$A$9:$M$32,4,FALSE),
IF($A140&lt;FlexibleRepairCouplings!$A$12,VLOOKUP($A140,FlexibleRepairCouplings!$A$9:$M$11,4,FALSE),
IF($A140&lt;DuraFix!$A$15,VLOOKUP($A140,DuraFix!$A$9:$M$14,4,FALSE),
IF($A140&lt;'Compression Fittings'!$A$16,VLOOKUP($A140,'Compression Fittings'!$A$8:$M$15,4,FALSE),
IF($A140&lt;'Hose Fittings'!$A$30,VLOOKUP($A140,'Hose Fittings'!$A$8:$M$29,4,FALSE),
IF($A140&lt;'Swing Joints'!$A$495,VLOOKUP($A140,'Swing Joints'!$A$9:$M$494,4,FALSE),
IF($A140&lt;'Swing Joints Components'!$A$135,VLOOKUP($A140,'Swing Joints Components'!$A$9:$M$134,4,FALSE),
IF($A140&lt;Nonstandard!$A$42,VLOOKUP($A140,Nonstandard!$A$31:$J$41,5,FALSE),"")))))))))))))))))))))))))))),"")</f>
        <v/>
      </c>
      <c r="C140" s="536" t="str">
        <f>IFERROR(IF($A140&lt;'DWV PVC'!$A$317,VLOOKUP($A140,'DWV PVC'!$A$9:$M$316,5,FALSE),
IF($A140&lt;'DWV ABS'!$A$117,VLOOKUP($A140,'DWV ABS'!$A$8:$M$116,5,FALSE),
IF($A140&lt;'PVC SCH40'!$A$425,VLOOKUP($A140,'PVC SCH40'!$A$8:$M$424,5,FALSE),
IF($A140&lt;'PVC SCH40 LD'!$A$22,VLOOKUP($A140,'PVC SCH40 LD'!$A$8:$M$21,5,FALSE),
IF($A140&lt;'Pool &amp; SPA Sweep Elbows'!$A$12,VLOOKUP($A140,'Pool &amp; SPA Sweep Elbows'!$A$8:$M$11,5,FALSE),
IF($A140&lt;'Pool &amp; SPA Pipe Extender'!$A$11,VLOOKUP($A140,'Pool &amp; SPA Pipe Extender'!$A$8:$M$10,5,FALSE),
IF($A140&lt;'PVC SCH80'!$A$250,VLOOKUP($A140,'PVC SCH80'!$A$8:$M$249,5,FALSE),
IF($A140&lt;'PVC SCH80 Flange'!$A$49,VLOOKUP($A140,'PVC SCH80 Flange'!$A$8:$M$48,5,FALSE),
IF($A140&lt;'PVC SCH80 LD Flange'!$A$17,VLOOKUP($A140,'PVC SCH80 LD Flange'!$A$8:$M$16,5,FALSE),
IF($A140&lt;CPVC!$A$105,VLOOKUP($A140,CPVC!$A$9:$M$104,5,FALSE),
IF($A140&lt;InsertFittings!$A$185,VLOOKUP($A140,InsertFittings!$A$9:$M$184,5,FALSE),
IF($A140&lt;Valves!$A$92,VLOOKUP($A140,Valves!$A$9:$Q$91,5,FALSE),
IF($A140&lt;SDR35SW!$A$133,VLOOKUP($A140,SDR35SW!$A$9:$M$132,5,FALSE),
IF($A140&lt;SDR35G!$A$151,VLOOKUP($A140,SDR35G!$A$9:$M$150,5,FALSE),
IF($A140&lt;SDR26G!$A$67,VLOOKUP($A140,SDR26G!$A$9:$N$66,6,FALSE),
IF($A140&lt;Cements!$A$95,VLOOKUP($A140,Cements!$A$8:$Q$94,5,FALSE),
IF($A140&lt;ValveBox!$A$124,VLOOKUP($A140,ValveBox!$A$9:$O$123,5,FALSE),
IF($A140&lt;'ValveBox Components'!$A$142,VLOOKUP($A140,'ValveBox Components'!$A$9:$N$141,5,FALSE),
IF($A140&lt;Drainage!$A$69,VLOOKUP($A140,Drainage!$A$8:$M$68,5,FALSE),
IF($A140&lt;Nipples!$A$82,VLOOKUP($A140,Nipples!$A$9:$Q$81,5,FALSE),
IF($A140&lt;Manifold!$A$33,VLOOKUP($A140,Manifold!$A$9:$M$32,5,FALSE),
IF($A140&lt;FlexibleRepairCouplings!$A$12,VLOOKUP($A140,FlexibleRepairCouplings!$A$9:$M$11,5,FALSE),
IF($A140&lt;DuraFix!$A$15,VLOOKUP($A140,DuraFix!$A$9:$M$14,5,FALSE),
IF($A140&lt;'Compression Fittings'!$A$16,VLOOKUP($A140,'Compression Fittings'!$A$8:$M$15,5,FALSE),
IF($A140&lt;'Hose Fittings'!$A$30,VLOOKUP($A140,'Hose Fittings'!$A$8:$M$29,5,FALSE),
IF($A140&lt;'Swing Joints'!$A$495,VLOOKUP($A140,'Swing Joints'!$A$9:$M$494,5,FALSE),
IF($A140&lt;'Swing Joints Components'!$A$135,VLOOKUP($A140,'Swing Joints Components'!$A$9:$M$134,5,FALSE),
IF($A140&lt;Nonstandard!$A$42,VLOOKUP($A140,Nonstandard!$A$31:$J$41,6,FALSE),"")))))))))))))))))))))))))))),"")</f>
        <v/>
      </c>
      <c r="D140" s="537" t="str">
        <f>IFERROR(IF($A140&lt;'DWV PVC'!$A$317,VLOOKUP($A140,'DWV PVC'!$A$9:$M$316,6,FALSE),
IF($A140&lt;'DWV ABS'!$A$117,VLOOKUP($A140,'DWV ABS'!$A$8:$M$116,6,FALSE),
IF($A140&lt;'PVC SCH40'!$A$425,VLOOKUP($A140,'PVC SCH40'!$A$8:$M$424,6,FALSE),
IF($A140&lt;'PVC SCH40 LD'!$A$22,VLOOKUP($A140,'PVC SCH40 LD'!$A$8:$M$21,6,FALSE),
IF($A140&lt;'Pool &amp; SPA Sweep Elbows'!$A$12,VLOOKUP($A140,'Pool &amp; SPA Sweep Elbows'!$A$8:$M$11,6,FALSE),
IF($A140&lt;'Pool &amp; SPA Pipe Extender'!$A$11,VLOOKUP($A140,'Pool &amp; SPA Pipe Extender'!$A$8:$M$10,6,FALSE),
IF($A140&lt;'PVC SCH80'!$A$250,VLOOKUP($A140,'PVC SCH80'!$A$8:$M$249,6,FALSE),
IF($A140&lt;'PVC SCH80 Flange'!$A$49,VLOOKUP($A140,'PVC SCH80 Flange'!$A$8:$M$48,6,FALSE),
IF($A140&lt;'PVC SCH80 LD Flange'!$A$17,VLOOKUP($A140,'PVC SCH80 LD Flange'!$A$8:$M$16,6,FALSE),
IF($A140&lt;CPVC!$A$105,VLOOKUP($A140,CPVC!$A$9:$M$104,6,FALSE),
IF($A140&lt;InsertFittings!$A$185,VLOOKUP($A140,InsertFittings!$A$9:$M$184,6,FALSE),
IF($A140&lt;Valves!$A$92,VLOOKUP($A140,Valves!$A$9:$Q$91,6,FALSE),
IF($A140&lt;SDR35SW!$A$133,VLOOKUP($A140,SDR35SW!$A$9:$M$132,6,FALSE),
IF($A140&lt;SDR35G!$A$151,VLOOKUP($A140,SDR35G!$A$9:$M$150,6,FALSE),
IF($A140&lt;SDR26G!$A$67,VLOOKUP($A140,SDR26G!$A$9:$N$66,7,FALSE),
IF($A140&lt;Cements!$A$95,VLOOKUP($A140,Cements!$A$8:$Q$94,6,FALSE),
IF($A140&lt;ValveBox!$A$124,VLOOKUP($A140,ValveBox!$A$9:$O$123,6,FALSE),
IF($A140&lt;'ValveBox Components'!$A$142,VLOOKUP($A140,'ValveBox Components'!$A$9:$N$141,6,FALSE),
IF($A140&lt;Drainage!$A$69,VLOOKUP($A140,Drainage!$A$8:$M$68,6,FALSE),
IF($A140&lt;Nipples!$A$82,VLOOKUP($A140,Nipples!$A$9:$Q$81,6,FALSE),
IF($A140&lt;Manifold!$A$33,VLOOKUP($A140,Manifold!$A$9:$M$32,6,FALSE),
IF($A140&lt;FlexibleRepairCouplings!$A$12,VLOOKUP($A140,FlexibleRepairCouplings!$A$9:$M$11,6,FALSE),
IF($A140&lt;DuraFix!$A$15,VLOOKUP($A140,DuraFix!$A$9:$M$14,6,FALSE),
IF($A140&lt;'Compression Fittings'!$A$16,VLOOKUP($A140,'Compression Fittings'!$A$8:$M$15,6,FALSE),
IF($A140&lt;'Hose Fittings'!$A$30,VLOOKUP($A140,'Hose Fittings'!$A$8:$M$29,6,FALSE),
IF($A140&lt;'Swing Joints'!$A$495,VLOOKUP($A140,'Swing Joints'!$A$9:$M$494,6,FALSE),
IF($A140&lt;'Swing Joints Components'!$A$135,VLOOKUP($A140,'Swing Joints Components'!$A$9:$M$134,6,FALSE),
IF($A140&lt;Nonstandard!$A$42,VLOOKUP($A140,Nonstandard!$A$31:$J$41,7,FALSE),"")))))))))))))))))))))))))))),"")</f>
        <v/>
      </c>
      <c r="E140" s="538"/>
      <c r="F140" s="539" t="str">
        <f>IFERROR(IF($A140&lt;'DWV PVC'!$A$317,VLOOKUP($A140,'DWV PVC'!$A$9:$M$316,9,FALSE),
IF($A140&lt;'DWV ABS'!$A$117,VLOOKUP($A140,'DWV ABS'!$A$8:$M$116,9,FALSE),                                                                                                                                                                                                                                                     IF($A140&lt;'PVC SCH40'!$A$425,VLOOKUP($A140,'PVC SCH40'!$A$8:$M$424,9,FALSE),
IF($A140&lt;'PVC SCH40 LD'!$A$22,VLOOKUP($A140,'PVC SCH40 LD'!$A$8:$M$21,9,FALSE),
IF($A140&lt;'Pool &amp; SPA Sweep Elbows'!$A$12,VLOOKUP($A140,'Pool &amp; SPA Sweep Elbows'!$A$8:$M$11,9,FALSE),
IF($A140&lt;'Pool &amp; SPA Pipe Extender'!$A$11,VLOOKUP($A140,'Pool &amp; SPA Pipe Extender'!$A$8:$M$10,9,FALSE),
IF($A140&lt;'PVC SCH80'!$A$250,VLOOKUP($A140,'PVC SCH80'!$A$8:$M$249,9,FALSE),
IF($A140&lt;'PVC SCH80 Flange'!$A$49,VLOOKUP($A140,'PVC SCH80 Flange'!$A$8:$M$48,9,FALSE),
IF($A140&lt;'PVC SCH80 LD Flange'!$A$17,VLOOKUP($A140,'PVC SCH80 LD Flange'!$A$8:$M$16,9,FALSE),
IF($A140&lt;CPVC!$A$105,VLOOKUP($A140,CPVC!$A$9:$M$104,9,FALSE),
IF($A140&lt;InsertFittings!$A$185,VLOOKUP($A140,InsertFittings!$A$9:$M$184,9,FALSE),
IF($A140&lt;Valves!$A$92,VLOOKUP($A140,Valves!$A$9:$Q$91,13,FALSE),
IF($A140&lt;SDR35SW!$A$133,VLOOKUP($A140,SDR35SW!$A$9:$M$132,9,FALSE),
IF($A140&lt;SDR35G!$A$151,VLOOKUP($A140,SDR35G!$A$9:$M$150,9,FALSE),                                                                                                                                                                                                                                                          IF($A140&lt;SDR26G!$A$67,VLOOKUP($A140,SDR26G!$A$9:$N$66,10,FALSE),                                                                                                                                                                                                                                                       IF($A140&lt;Cements!$A$95,VLOOKUP($A140,Cements!$A$8:$Q$94,13,FALSE),
IF($A140&lt;ValveBox!$A$124,VLOOKUP($A140,ValveBox!$A$9:$O$123,11,FALSE),
IF($A140&lt;'ValveBox Components'!$A$142,VLOOKUP($A140,'ValveBox Components'!$A$9:$N$141,10,FALSE),
IF($A140&lt;Drainage!$A$69,VLOOKUP($A140,Drainage!$A$8:$M$68,9,FALSE),                                                                                                                                                                                                                                                              IF($A140&lt;Nipples!$A$82,VLOOKUP($A140,Nipples!$A$9:$Q$81,13,FALSE),
IF($A140&lt;Manifold!$A$33,VLOOKUP($A140,Manifold!$A$9:$M$32,9,FALSE),
IF($A140&lt;FlexibleRepairCouplings!$A$12,VLOOKUP($A140,FlexibleRepairCouplings!$A$9:$M$11,9,FALSE),
IF($A140&lt;DuraFix!$A$15,VLOOKUP($A140,DuraFix!$A$9:$M$14,9,FALSE),                                                                                                                                                                                                                                                          IF($A140&lt;'Compression Fittings'!$A$16,VLOOKUP($A140,'Compression Fittings'!$A$8:$M$15,9,FALSE),
IF($A140&lt;'Hose Fittings'!$A$30,VLOOKUP($A140,'Hose Fittings'!$A$8:$M$29,9,FALSE),
IF($A140&lt;'Swing Joints'!$A$495,VLOOKUP($A140,'Swing Joints'!$A$9:$M$494,9,FALSE),
IF($A140&lt;'Swing Joints Components'!$A$135,VLOOKUP($A140,'Swing Joints Components'!$A$9:$M$134,9,FALSE),
IF($A140&lt;Nonstandard!$A$42,VLOOKUP($A140,Nonstandard!$A$31:$J$41,8,FALSE),"")))))))))))))))))))))))))))),"")</f>
        <v/>
      </c>
      <c r="G140" s="540" t="str">
        <f>IFERROR(IF($A140&lt;'DWV PVC'!$A$317,VLOOKUP($A140,'DWV PVC'!$A$9:$M$316,11,FALSE),
IF($A140&lt;'DWV ABS'!$A$117,VLOOKUP($A140,'DWV ABS'!$A$8:$M$116,11,FALSE),                                                                                                                                                                                                                                                     IF($A140&lt;'PVC SCH40'!$A$425,VLOOKUP($A140,'PVC SCH40'!$A$8:$M$424,11,FALSE),
IF($A140&lt;'PVC SCH40 LD'!$A$22,VLOOKUP($A140,'PVC SCH40 LD'!$A$8:$M$21,11,FALSE),
IF($A140&lt;'Pool &amp; SPA Sweep Elbows'!$A$12,VLOOKUP($A140,'Pool &amp; SPA Sweep Elbows'!$A$8:$M$11,11,FALSE),
IF($A140&lt;'Pool &amp; SPA Pipe Extender'!$A$11,VLOOKUP($A140,'Pool &amp; SPA Pipe Extender'!$A$8:$M$10,11,FALSE),
IF($A140&lt;'PVC SCH80'!$A$250,VLOOKUP($A140,'PVC SCH80'!$A$8:$M$249,11,FALSE),
IF($A140&lt;'PVC SCH80 Flange'!$A$49,VLOOKUP($A140,'PVC SCH80 Flange'!$A$8:$M$48,11,FALSE),
IF($A140&lt;'PVC SCH80 LD Flange'!$A$17,VLOOKUP($A140,'PVC SCH80 LD Flange'!$A$8:$M$16,11,FALSE),
IF($A140&lt;CPVC!$A$105,VLOOKUP($A140,CPVC!$A$9:$M$104,11,FALSE),
IF($A140&lt;InsertFittings!$A$185,VLOOKUP($A140,InsertFittings!$A$9:$M$184,11,FALSE),
IF($A140&lt;Valves!$A$92,VLOOKUP($A140,Valves!$A$9:$Q$91,15,FALSE),
IF($A140&lt;SDR35SW!$A$133,VLOOKUP($A140,SDR35SW!$A$9:$M$132,11,FALSE),
IF($A140&lt;SDR35G!$A$151,VLOOKUP($A140,SDR35G!$A$9:$M$150,11,FALSE),                                                                                                                                                                                                                                                          IF($A140&lt;SDR26G!$A$67,VLOOKUP($A140,SDR26G!$A$9:$N$66,12,FALSE),                                                                                                                                                                                                                                                       IF($A140&lt;Cements!$A$95,VLOOKUP($A140,Cements!$A$8:$Q$94,15,FALSE),
IF($A140&lt;ValveBox!$A$124,VLOOKUP($A140,ValveBox!$A$9:$O$123,13,FALSE),
IF($A140&lt;'ValveBox Components'!$A$142,VLOOKUP($A140,'ValveBox Components'!$A$9:$N$141,12,FALSE),
IF($A140&lt;Drainage!$A$69,VLOOKUP($A140,Drainage!$A$8:$M$68,11,FALSE),                                                                                                                                                                                                                                                           IF($A140&lt;Nipples!$A$82,VLOOKUP($A140,Nipples!$A$9:$Q$81,15,FALSE),
IF($A140&lt;Manifold!$A$33,VLOOKUP($A140,Manifold!$A$9:$M$32,11,FALSE),
IF($A140&lt;FlexibleRepairCouplings!$A$12,VLOOKUP($A140,FlexibleRepairCouplings!$A$9:$M$11,11,FALSE),
IF($A140&lt;DuraFix!$A$15,VLOOKUP($A140,DuraFix!$A$9:$M$14,11,FALSE),                                                                                                                                                                                                                                                            IF($A140&lt;'Compression Fittings'!$A$16,VLOOKUP($A140,'Compression Fittings'!$A$8:$M$15,11,FALSE),
IF($A140&lt;'Hose Fittings'!$A$30,VLOOKUP($A140,'Hose Fittings'!$A$8:$M$29,11,FALSE),
IF($A140&lt;'Swing Joints'!$A$495,VLOOKUP($A140,'Swing Joints'!$A$9:$M$494,11,FALSE),
IF($A140&lt;'Swing Joints Components'!$A$135,VLOOKUP($A140,'Swing Joints Components'!$A$9:$M$134,11,FALSE),
IF($A140&lt;Nonstandard!$A$42,VLOOKUP($A140,Nonstandard!$A$31:$J$41,10,FALSE),"")))))))))))))))))))))))))))),"")</f>
        <v/>
      </c>
      <c r="H140" s="620" t="str">
        <f>IFERROR(IF($A140&lt;'DWV PVC'!$A$317,VLOOKUP($A140,'DWV PVC'!$A$9:$M$316,7,FALSE),
IF($A140&lt;'DWV ABS'!$A$117,VLOOKUP($A140,'DWV ABS'!$A$8:$M$116,11,FALSE),                                                                                                                                                                                                                                                     IF($A140&lt;'PVC SCH40'!$A$425,VLOOKUP($A140,'PVC SCH40'!$A$8:$M$424,7,FALSE),
IF($A140&lt;'PVC SCH40 LD'!$A$22,VLOOKUP($A140,'PVC SCH40 LD'!$A$8:$M$21,7,FALSE),
IF($A140&lt;'Pool &amp; SPA Sweep Elbows'!$A$12,VLOOKUP($A140,'Pool &amp; SPA Sweep Elbows'!$A$8:$M$11,7,FALSE),
IF($A140&lt;'Pool &amp; SPA Pipe Extender'!$A$11,VLOOKUP($A140,'Pool &amp; SPA Pipe Extender'!$A$8:$M$10,7,FALSE),
IF($A140&lt;'PVC SCH80'!$A$250,VLOOKUP($A140,'PVC SCH80'!$A$8:$M$249,7,FALSE),
IF($A140&lt;'PVC SCH80 Flange'!$A$49,VLOOKUP($A140,'PVC SCH80 Flange'!$A$8:$M$48,7,FALSE),
IF($A140&lt;'PVC SCH80 LD Flange'!$A$17,VLOOKUP($A140,'PVC SCH80 LD Flange'!$A$8:$M$16,7,FALSE),
IF($A140&lt;CPVC!$A$105,VLOOKUP($A140,CPVC!$A$9:$M$104,7,FALSE),
IF($A140&lt;InsertFittings!$A$185,VLOOKUP($A140,InsertFittings!$A$9:$M$184,7,FALSE),
IF($A140&lt;Valves!$A$92,VLOOKUP($A140,Valves!$A$9:$Q$91,11,FALSE),
IF($A140&lt;SDR35SW!$A$133,VLOOKUP($A140,SDR35SW!$A$9:$M$132,7,FALSE),
IF($A140&lt;SDR35G!$A$151,VLOOKUP($A140,SDR35G!$A$9:$M$150,7,FALSE),                                                                                                                                                                                                                                                       IF($A140&lt;SDR26G!$A$67,VLOOKUP($A140,SDR26G!$A$9:$N$66,8,FALSE),                                                                                                                                                                                                                                                     IF($A140&lt;Cements!$A$95,VLOOKUP($A140,Cements!$A$8:$Q$94,11,FALSE),
IF($A140&lt;ValveBox!$A$124,VLOOKUP($A140,ValveBox!$A$9:$O$123,10,FALSE),
IF($A140&lt;'ValveBox Components'!$A$142,VLOOKUP($A140,'ValveBox Components'!$A$9:$N$141,9,FALSE),
IF($A140&lt;Drainage!$A$69,VLOOKUP($A140,Drainage!$A$8:$M$68,7,FALSE),                                                                                                                                                                                                                                                          IF($A140&lt;Nipples!$A$82,VLOOKUP($A140,Nipples!$A$9:$Q$81,11,FALSE),
IF($A140&lt;Manifold!$A$33,VLOOKUP($A140,Manifold!$A$9:$M$32,7,FALSE),
IF($A140&lt;FlexibleRepairCouplings!$A$12,VLOOKUP($A140,FlexibleRepairCouplings!$A$9:$M$11,7,FALSE),
IF($A140&lt;DuraFix!$A$15,VLOOKUP($A140,DuraFix!$A$9:$M$14,7,FALSE),                                                                                                                                                                                                                                                           IF($A140&lt;'Compression Fittings'!$A$16,VLOOKUP($A140,'Compression Fittings'!$A$8:$M$15,7,FALSE),
IF($A140&lt;'Hose Fittings'!$A$30,VLOOKUP($A140,'Hose Fittings'!$A$8:$M$29,7,FALSE),
IF($A140&lt;'Swing Joints'!$A$495,VLOOKUP($A140,'Swing Joints'!$A$9:$M$494,7,FALSE),
IF($A140&lt;'Swing Joints Components'!$A$135,VLOOKUP($A140,'Swing Joints Components'!$A$9:$M$134,7,FALSE),
IF($A140&lt;Nonstandard!$A$42,VLOOKUP($A140,Nonstandard!$A$31:$J$41,10,FALSE),"")))))))))))))))))))))))))))),"")</f>
        <v/>
      </c>
      <c r="I140" s="621"/>
      <c r="J140" s="541" t="str">
        <f t="shared" si="3"/>
        <v/>
      </c>
      <c r="K140" s="599" t="str">
        <f>IFERROR(IF($A140&lt;'DWV PVC'!$A$317,VLOOKUP($A140,'DWV PVC'!$A$9:$M$316,10,FALSE),
IF($A140&lt;'DWV ABS'!$A$117,VLOOKUP($A140,'DWV ABS'!$A$8:$M$116,10,FALSE),
IF($A140&lt;'PVC SCH40'!$A$425,VLOOKUP($A140,'PVC SCH40'!$A$8:$M$424,10,FALSE),
IF($A140&lt;'PVC SCH40 LD'!$A$22,VLOOKUP($A140,'PVC SCH40 LD'!$A$8:$M$21,10,FALSE),
IF($A140&lt;'Pool &amp; SPA Sweep Elbows'!$A$12,VLOOKUP($A140,'Pool &amp; SPA Sweep Elbows'!$A$8:$M$11,10,FALSE),
IF($A140&lt;'Pool &amp; SPA Pipe Extender'!$A$11,VLOOKUP($A140,'Pool &amp; SPA Pipe Extender'!$A$8:$M$10,10,FALSE),
IF($A140&lt;'PVC SCH80'!$A$250,VLOOKUP($A140,'PVC SCH80'!$A$8:$M$249,10,FALSE),
IF($A140&lt;'PVC SCH80 Flange'!$A$49,VLOOKUP($A140,'PVC SCH80 Flange'!$A$8:$M$48,10,FALSE),
IF($A140&lt;'PVC SCH80 LD Flange'!$A$17,VLOOKUP($A140,'PVC SCH80 LD Flange'!$A$8:$M$16,10,FALSE),
IF($A140&lt;CPVC!$A$105,VLOOKUP($A140,CPVC!$A$9:$M$104,10,FALSE),
IF($A140&lt;InsertFittings!$A$185,VLOOKUP($A140,InsertFittings!$A$9:$M$184,10,FALSE),
IF($A140&lt;Valves!$A$92,VLOOKUP($A140,Valves!$A$9:$Q$91,14,FALSE),
IF($A140&lt;SDR35SW!$A$133,VLOOKUP($A140,SDR35SW!$A$9:$M$132,10,FALSE),
IF($A140&lt;SDR35G!$A$151,VLOOKUP($A140,SDR35G!$A$9:$M$150,10,FALSE),
IF($A140&lt;SDR26G!$A$67,VLOOKUP($A140,SDR26G!$A$9:$N$66,11,FALSE),
IF($A140&lt;Cements!$A$95,VLOOKUP($A140,Cements!$A$8:$Q$94,14,FALSE),
IF($A140&lt;ValveBox!$A$124,VLOOKUP($A140,ValveBox!$A$9:$O$123,12,FALSE),
IF($A140&lt;'ValveBox Components'!$A$142,VLOOKUP($A140,'ValveBox Components'!$A$9:$N$141,11,FALSE),
IF($A140&lt;Drainage!$A$69,VLOOKUP($A140,Drainage!$A$8:$M$68,10,FALSE),
IF($A140&lt;Nipples!$A$82,VLOOKUP($A140,Nipples!$A$9:$Q$81,14,FALSE),
IF($A140&lt;Manifold!$A$33,VLOOKUP($A140,Manifold!$A$9:$M$32,10,FALSE),
IF($A140&lt;FlexibleRepairCouplings!$A$12,VLOOKUP($A140,FlexibleRepairCouplings!$A$9:$M$11,10,FALSE),
IF($A140&lt;DuraFix!$A$15,VLOOKUP($A140,DuraFix!$A$9:$M$14,10,FALSE),
IF($A140&lt;'Compression Fittings'!$A$16,VLOOKUP($A140,'Compression Fittings'!$A$8:$M$15,10,FALSE),
IF($A140&lt;'Hose Fittings'!$A$30,VLOOKUP($A140,'Hose Fittings'!$A$8:$M$29,10,FALSE),
IF($A140&lt;'Swing Joints'!$A$495,VLOOKUP($A140,'Swing Joints'!$A$9:$M$494,10,FALSE),
IF($A140&lt;'Swing Joints Components'!$A$135,VLOOKUP($A140,'Swing Joints Components'!$A$9:$M$134,10,FALSE),
IF($A140&lt;Nonstandard!$A$42,VLOOKUP($A140,Nonstandard!$A$31:$J$41,10,FALSE),"")))))))))))))))))))))))))))),"")</f>
        <v/>
      </c>
      <c r="L140" s="539" t="str">
        <f t="shared" si="2"/>
        <v>-</v>
      </c>
      <c r="M140" s="542"/>
    </row>
    <row r="141" spans="1:13" ht="15.6">
      <c r="A141" s="312">
        <v>109</v>
      </c>
      <c r="B141" s="312" t="str">
        <f>IFERROR(IF($A141&lt;'DWV PVC'!$A$317,VLOOKUP($A141,'DWV PVC'!$A$9:$M$316,4,FALSE),
IF($A141&lt;'DWV ABS'!$A$117,VLOOKUP($A141,'DWV ABS'!$A$8:$M$116,4,FALSE),
IF($A141&lt;'PVC SCH40'!$A$425,VLOOKUP($A141,'PVC SCH40'!$A$8:$M$424,4,FALSE),
IF($A141&lt;'PVC SCH40 LD'!$A$22,VLOOKUP($A141,'PVC SCH40 LD'!$A$8:$M$21,4,FALSE),
IF($A141&lt;'Pool &amp; SPA Sweep Elbows'!$A$12,VLOOKUP($A141,'Pool &amp; SPA Sweep Elbows'!$A$8:$M$11,4,FALSE),
IF($A141&lt;'Pool &amp; SPA Pipe Extender'!$A$11,VLOOKUP($A141,'Pool &amp; SPA Pipe Extender'!$A$8:$M$10,4,FALSE),
IF($A141&lt;'PVC SCH80'!$A$250,VLOOKUP($A141,'PVC SCH80'!$A$8:$M$249,4,FALSE),
IF($A141&lt;'PVC SCH80 Flange'!$A$49,VLOOKUP($A141,'PVC SCH80 Flange'!$A$8:$M$48,4,FALSE),
IF($A141&lt;'PVC SCH80 LD Flange'!$A$17,VLOOKUP($A141,'PVC SCH80 LD Flange'!$A$8:$M$16,4,FALSE),
IF($A141&lt;CPVC!$A$105,VLOOKUP($A141,CPVC!$A$9:$M$104,4,FALSE),
IF($A141&lt;InsertFittings!$A$185,VLOOKUP($A141,InsertFittings!$A$9:$M$184,4,FALSE),
IF($A141&lt;Valves!$A$92,VLOOKUP($A141,Valves!$A$9:$Q$91,4,FALSE),
IF($A141&lt;SDR35SW!$A$133,VLOOKUP($A141,SDR35SW!$A$9:$M$132,4,FALSE),
IF($A141&lt;SDR35G!$A$151,VLOOKUP($A141,SDR35G!$A$9:$M$150,4,FALSE),
IF($A141&lt;SDR26G!$A$67,VLOOKUP($A141,SDR26G!$A$9:$N$66,5,FALSE),
IF($A141&lt;Cements!$A$95,VLOOKUP($A141,Cements!$A$8:$Q$94,4,FALSE),
IF($A141&lt;ValveBox!$A$124,VLOOKUP($A141,ValveBox!$A$9:$O$123,4,FALSE),
IF($A141&lt;'ValveBox Components'!$A$142,VLOOKUP($A141,'ValveBox Components'!$A$9:$N$141,4,FALSE),
IF($A141&lt;Drainage!$A$69,VLOOKUP($A141,Drainage!$A$8:$M$68,4,FALSE),
IF($A141&lt;Nipples!$A$82,VLOOKUP($A141,Nipples!$A$9:$Q$81,4,FALSE),
IF($A141&lt;Manifold!$A$33,VLOOKUP($A141,Manifold!$A$9:$M$32,4,FALSE),
IF($A141&lt;FlexibleRepairCouplings!$A$12,VLOOKUP($A141,FlexibleRepairCouplings!$A$9:$M$11,4,FALSE),
IF($A141&lt;DuraFix!$A$15,VLOOKUP($A141,DuraFix!$A$9:$M$14,4,FALSE),
IF($A141&lt;'Compression Fittings'!$A$16,VLOOKUP($A141,'Compression Fittings'!$A$8:$M$15,4,FALSE),
IF($A141&lt;'Hose Fittings'!$A$30,VLOOKUP($A141,'Hose Fittings'!$A$8:$M$29,4,FALSE),
IF($A141&lt;'Swing Joints'!$A$495,VLOOKUP($A141,'Swing Joints'!$A$9:$M$494,4,FALSE),
IF($A141&lt;'Swing Joints Components'!$A$135,VLOOKUP($A141,'Swing Joints Components'!$A$9:$M$134,4,FALSE),
IF($A141&lt;Nonstandard!$A$42,VLOOKUP($A141,Nonstandard!$A$31:$J$41,5,FALSE),"")))))))))))))))))))))))))))),"")</f>
        <v/>
      </c>
      <c r="C141" s="312" t="str">
        <f>IFERROR(IF($A141&lt;'DWV PVC'!$A$317,VLOOKUP($A141,'DWV PVC'!$A$9:$M$316,5,FALSE),
IF($A141&lt;'DWV ABS'!$A$117,VLOOKUP($A141,'DWV ABS'!$A$8:$M$116,5,FALSE),
IF($A141&lt;'PVC SCH40'!$A$425,VLOOKUP($A141,'PVC SCH40'!$A$8:$M$424,5,FALSE),
IF($A141&lt;'PVC SCH40 LD'!$A$22,VLOOKUP($A141,'PVC SCH40 LD'!$A$8:$M$21,5,FALSE),
IF($A141&lt;'Pool &amp; SPA Sweep Elbows'!$A$12,VLOOKUP($A141,'Pool &amp; SPA Sweep Elbows'!$A$8:$M$11,5,FALSE),
IF($A141&lt;'Pool &amp; SPA Pipe Extender'!$A$11,VLOOKUP($A141,'Pool &amp; SPA Pipe Extender'!$A$8:$M$10,5,FALSE),
IF($A141&lt;'PVC SCH80'!$A$250,VLOOKUP($A141,'PVC SCH80'!$A$8:$M$249,5,FALSE),
IF($A141&lt;'PVC SCH80 Flange'!$A$49,VLOOKUP($A141,'PVC SCH80 Flange'!$A$8:$M$48,5,FALSE),
IF($A141&lt;'PVC SCH80 LD Flange'!$A$17,VLOOKUP($A141,'PVC SCH80 LD Flange'!$A$8:$M$16,5,FALSE),
IF($A141&lt;CPVC!$A$105,VLOOKUP($A141,CPVC!$A$9:$M$104,5,FALSE),
IF($A141&lt;InsertFittings!$A$185,VLOOKUP($A141,InsertFittings!$A$9:$M$184,5,FALSE),
IF($A141&lt;Valves!$A$92,VLOOKUP($A141,Valves!$A$9:$Q$91,5,FALSE),
IF($A141&lt;SDR35SW!$A$133,VLOOKUP($A141,SDR35SW!$A$9:$M$132,5,FALSE),
IF($A141&lt;SDR35G!$A$151,VLOOKUP($A141,SDR35G!$A$9:$M$150,5,FALSE),
IF($A141&lt;SDR26G!$A$67,VLOOKUP($A141,SDR26G!$A$9:$N$66,6,FALSE),
IF($A141&lt;Cements!$A$95,VLOOKUP($A141,Cements!$A$8:$Q$94,5,FALSE),
IF($A141&lt;ValveBox!$A$124,VLOOKUP($A141,ValveBox!$A$9:$O$123,5,FALSE),
IF($A141&lt;'ValveBox Components'!$A$142,VLOOKUP($A141,'ValveBox Components'!$A$9:$N$141,5,FALSE),
IF($A141&lt;Drainage!$A$69,VLOOKUP($A141,Drainage!$A$8:$M$68,5,FALSE),
IF($A141&lt;Nipples!$A$82,VLOOKUP($A141,Nipples!$A$9:$Q$81,5,FALSE),
IF($A141&lt;Manifold!$A$33,VLOOKUP($A141,Manifold!$A$9:$M$32,5,FALSE),
IF($A141&lt;FlexibleRepairCouplings!$A$12,VLOOKUP($A141,FlexibleRepairCouplings!$A$9:$M$11,5,FALSE),
IF($A141&lt;DuraFix!$A$15,VLOOKUP($A141,DuraFix!$A$9:$M$14,5,FALSE),
IF($A141&lt;'Compression Fittings'!$A$16,VLOOKUP($A141,'Compression Fittings'!$A$8:$M$15,5,FALSE),
IF($A141&lt;'Hose Fittings'!$A$30,VLOOKUP($A141,'Hose Fittings'!$A$8:$M$29,5,FALSE),
IF($A141&lt;'Swing Joints'!$A$495,VLOOKUP($A141,'Swing Joints'!$A$9:$M$494,5,FALSE),
IF($A141&lt;'Swing Joints Components'!$A$135,VLOOKUP($A141,'Swing Joints Components'!$A$9:$M$134,5,FALSE),
IF($A141&lt;Nonstandard!$A$42,VLOOKUP($A141,Nonstandard!$A$31:$J$41,6,FALSE),"")))))))))))))))))))))))))))),"")</f>
        <v/>
      </c>
      <c r="D141" s="534" t="str">
        <f>IFERROR(IF($A141&lt;'DWV PVC'!$A$317,VLOOKUP($A141,'DWV PVC'!$A$9:$M$316,6,FALSE),
IF($A141&lt;'DWV ABS'!$A$117,VLOOKUP($A141,'DWV ABS'!$A$8:$M$116,6,FALSE),
IF($A141&lt;'PVC SCH40'!$A$425,VLOOKUP($A141,'PVC SCH40'!$A$8:$M$424,6,FALSE),
IF($A141&lt;'PVC SCH40 LD'!$A$22,VLOOKUP($A141,'PVC SCH40 LD'!$A$8:$M$21,6,FALSE),
IF($A141&lt;'Pool &amp; SPA Sweep Elbows'!$A$12,VLOOKUP($A141,'Pool &amp; SPA Sweep Elbows'!$A$8:$M$11,6,FALSE),
IF($A141&lt;'Pool &amp; SPA Pipe Extender'!$A$11,VLOOKUP($A141,'Pool &amp; SPA Pipe Extender'!$A$8:$M$10,6,FALSE),
IF($A141&lt;'PVC SCH80'!$A$250,VLOOKUP($A141,'PVC SCH80'!$A$8:$M$249,6,FALSE),
IF($A141&lt;'PVC SCH80 Flange'!$A$49,VLOOKUP($A141,'PVC SCH80 Flange'!$A$8:$M$48,6,FALSE),
IF($A141&lt;'PVC SCH80 LD Flange'!$A$17,VLOOKUP($A141,'PVC SCH80 LD Flange'!$A$8:$M$16,6,FALSE),
IF($A141&lt;CPVC!$A$105,VLOOKUP($A141,CPVC!$A$9:$M$104,6,FALSE),
IF($A141&lt;InsertFittings!$A$185,VLOOKUP($A141,InsertFittings!$A$9:$M$184,6,FALSE),
IF($A141&lt;Valves!$A$92,VLOOKUP($A141,Valves!$A$9:$Q$91,6,FALSE),
IF($A141&lt;SDR35SW!$A$133,VLOOKUP($A141,SDR35SW!$A$9:$M$132,6,FALSE),
IF($A141&lt;SDR35G!$A$151,VLOOKUP($A141,SDR35G!$A$9:$M$150,6,FALSE),
IF($A141&lt;SDR26G!$A$67,VLOOKUP($A141,SDR26G!$A$9:$N$66,7,FALSE),
IF($A141&lt;Cements!$A$95,VLOOKUP($A141,Cements!$A$8:$Q$94,6,FALSE),
IF($A141&lt;ValveBox!$A$124,VLOOKUP($A141,ValveBox!$A$9:$O$123,6,FALSE),
IF($A141&lt;'ValveBox Components'!$A$142,VLOOKUP($A141,'ValveBox Components'!$A$9:$N$141,6,FALSE),
IF($A141&lt;Drainage!$A$69,VLOOKUP($A141,Drainage!$A$8:$M$68,6,FALSE),
IF($A141&lt;Nipples!$A$82,VLOOKUP($A141,Nipples!$A$9:$Q$81,6,FALSE),
IF($A141&lt;Manifold!$A$33,VLOOKUP($A141,Manifold!$A$9:$M$32,6,FALSE),
IF($A141&lt;FlexibleRepairCouplings!$A$12,VLOOKUP($A141,FlexibleRepairCouplings!$A$9:$M$11,6,FALSE),
IF($A141&lt;DuraFix!$A$15,VLOOKUP($A141,DuraFix!$A$9:$M$14,6,FALSE),
IF($A141&lt;'Compression Fittings'!$A$16,VLOOKUP($A141,'Compression Fittings'!$A$8:$M$15,6,FALSE),
IF($A141&lt;'Hose Fittings'!$A$30,VLOOKUP($A141,'Hose Fittings'!$A$8:$M$29,6,FALSE),
IF($A141&lt;'Swing Joints'!$A$495,VLOOKUP($A141,'Swing Joints'!$A$9:$M$494,6,FALSE),
IF($A141&lt;'Swing Joints Components'!$A$135,VLOOKUP($A141,'Swing Joints Components'!$A$9:$M$134,6,FALSE),
IF($A141&lt;Nonstandard!$A$42,VLOOKUP($A141,Nonstandard!$A$31:$J$41,7,FALSE),"")))))))))))))))))))))))))))),"")</f>
        <v/>
      </c>
      <c r="E141" s="316"/>
      <c r="F141" s="314" t="str">
        <f>IFERROR(IF($A141&lt;'DWV PVC'!$A$317,VLOOKUP($A141,'DWV PVC'!$A$9:$M$316,9,FALSE),
IF($A141&lt;'DWV ABS'!$A$117,VLOOKUP($A141,'DWV ABS'!$A$8:$M$116,9,FALSE),                                                                                                                                                                                                                                                     IF($A141&lt;'PVC SCH40'!$A$425,VLOOKUP($A141,'PVC SCH40'!$A$8:$M$424,9,FALSE),
IF($A141&lt;'PVC SCH40 LD'!$A$22,VLOOKUP($A141,'PVC SCH40 LD'!$A$8:$M$21,9,FALSE),
IF($A141&lt;'Pool &amp; SPA Sweep Elbows'!$A$12,VLOOKUP($A141,'Pool &amp; SPA Sweep Elbows'!$A$8:$M$11,9,FALSE),
IF($A141&lt;'Pool &amp; SPA Pipe Extender'!$A$11,VLOOKUP($A141,'Pool &amp; SPA Pipe Extender'!$A$8:$M$10,9,FALSE),
IF($A141&lt;'PVC SCH80'!$A$250,VLOOKUP($A141,'PVC SCH80'!$A$8:$M$249,9,FALSE),
IF($A141&lt;'PVC SCH80 Flange'!$A$49,VLOOKUP($A141,'PVC SCH80 Flange'!$A$8:$M$48,9,FALSE),
IF($A141&lt;'PVC SCH80 LD Flange'!$A$17,VLOOKUP($A141,'PVC SCH80 LD Flange'!$A$8:$M$16,9,FALSE),
IF($A141&lt;CPVC!$A$105,VLOOKUP($A141,CPVC!$A$9:$M$104,9,FALSE),
IF($A141&lt;InsertFittings!$A$185,VLOOKUP($A141,InsertFittings!$A$9:$M$184,9,FALSE),
IF($A141&lt;Valves!$A$92,VLOOKUP($A141,Valves!$A$9:$Q$91,13,FALSE),
IF($A141&lt;SDR35SW!$A$133,VLOOKUP($A141,SDR35SW!$A$9:$M$132,9,FALSE),
IF($A141&lt;SDR35G!$A$151,VLOOKUP($A141,SDR35G!$A$9:$M$150,9,FALSE),                                                                                                                                                                                                                                                          IF($A141&lt;SDR26G!$A$67,VLOOKUP($A141,SDR26G!$A$9:$N$66,10,FALSE),                                                                                                                                                                                                                                                       IF($A141&lt;Cements!$A$95,VLOOKUP($A141,Cements!$A$8:$Q$94,13,FALSE),
IF($A141&lt;ValveBox!$A$124,VLOOKUP($A141,ValveBox!$A$9:$O$123,11,FALSE),
IF($A141&lt;'ValveBox Components'!$A$142,VLOOKUP($A141,'ValveBox Components'!$A$9:$N$141,10,FALSE),
IF($A141&lt;Drainage!$A$69,VLOOKUP($A141,Drainage!$A$8:$M$68,9,FALSE),                                                                                                                                                                                                                                                              IF($A141&lt;Nipples!$A$82,VLOOKUP($A141,Nipples!$A$9:$Q$81,13,FALSE),
IF($A141&lt;Manifold!$A$33,VLOOKUP($A141,Manifold!$A$9:$M$32,9,FALSE),
IF($A141&lt;FlexibleRepairCouplings!$A$12,VLOOKUP($A141,FlexibleRepairCouplings!$A$9:$M$11,9,FALSE),
IF($A141&lt;DuraFix!$A$15,VLOOKUP($A141,DuraFix!$A$9:$M$14,9,FALSE),                                                                                                                                                                                                                                                          IF($A141&lt;'Compression Fittings'!$A$16,VLOOKUP($A141,'Compression Fittings'!$A$8:$M$15,9,FALSE),
IF($A141&lt;'Hose Fittings'!$A$30,VLOOKUP($A141,'Hose Fittings'!$A$8:$M$29,9,FALSE),
IF($A141&lt;'Swing Joints'!$A$495,VLOOKUP($A141,'Swing Joints'!$A$9:$M$494,9,FALSE),
IF($A141&lt;'Swing Joints Components'!$A$135,VLOOKUP($A141,'Swing Joints Components'!$A$9:$M$134,9,FALSE),
IF($A141&lt;Nonstandard!$A$42,VLOOKUP($A141,Nonstandard!$A$31:$J$41,8,FALSE),"")))))))))))))))))))))))))))),"")</f>
        <v/>
      </c>
      <c r="G141" s="533" t="str">
        <f>IFERROR(IF($A141&lt;'DWV PVC'!$A$317,VLOOKUP($A141,'DWV PVC'!$A$9:$M$316,11,FALSE),
IF($A141&lt;'DWV ABS'!$A$117,VLOOKUP($A141,'DWV ABS'!$A$8:$M$116,11,FALSE),                                                                                                                                                                                                                                                     IF($A141&lt;'PVC SCH40'!$A$425,VLOOKUP($A141,'PVC SCH40'!$A$8:$M$424,11,FALSE),
IF($A141&lt;'PVC SCH40 LD'!$A$22,VLOOKUP($A141,'PVC SCH40 LD'!$A$8:$M$21,11,FALSE),
IF($A141&lt;'Pool &amp; SPA Sweep Elbows'!$A$12,VLOOKUP($A141,'Pool &amp; SPA Sweep Elbows'!$A$8:$M$11,11,FALSE),
IF($A141&lt;'Pool &amp; SPA Pipe Extender'!$A$11,VLOOKUP($A141,'Pool &amp; SPA Pipe Extender'!$A$8:$M$10,11,FALSE),
IF($A141&lt;'PVC SCH80'!$A$250,VLOOKUP($A141,'PVC SCH80'!$A$8:$M$249,11,FALSE),
IF($A141&lt;'PVC SCH80 Flange'!$A$49,VLOOKUP($A141,'PVC SCH80 Flange'!$A$8:$M$48,11,FALSE),
IF($A141&lt;'PVC SCH80 LD Flange'!$A$17,VLOOKUP($A141,'PVC SCH80 LD Flange'!$A$8:$M$16,11,FALSE),
IF($A141&lt;CPVC!$A$105,VLOOKUP($A141,CPVC!$A$9:$M$104,11,FALSE),
IF($A141&lt;InsertFittings!$A$185,VLOOKUP($A141,InsertFittings!$A$9:$M$184,11,FALSE),
IF($A141&lt;Valves!$A$92,VLOOKUP($A141,Valves!$A$9:$Q$91,15,FALSE),
IF($A141&lt;SDR35SW!$A$133,VLOOKUP($A141,SDR35SW!$A$9:$M$132,11,FALSE),
IF($A141&lt;SDR35G!$A$151,VLOOKUP($A141,SDR35G!$A$9:$M$150,11,FALSE),                                                                                                                                                                                                                                                          IF($A141&lt;SDR26G!$A$67,VLOOKUP($A141,SDR26G!$A$9:$N$66,12,FALSE),                                                                                                                                                                                                                                                       IF($A141&lt;Cements!$A$95,VLOOKUP($A141,Cements!$A$8:$Q$94,15,FALSE),
IF($A141&lt;ValveBox!$A$124,VLOOKUP($A141,ValveBox!$A$9:$O$123,13,FALSE),
IF($A141&lt;'ValveBox Components'!$A$142,VLOOKUP($A141,'ValveBox Components'!$A$9:$N$141,12,FALSE),
IF($A141&lt;Drainage!$A$69,VLOOKUP($A141,Drainage!$A$8:$M$68,11,FALSE),                                                                                                                                                                                                                                                           IF($A141&lt;Nipples!$A$82,VLOOKUP($A141,Nipples!$A$9:$Q$81,15,FALSE),
IF($A141&lt;Manifold!$A$33,VLOOKUP($A141,Manifold!$A$9:$M$32,11,FALSE),
IF($A141&lt;FlexibleRepairCouplings!$A$12,VLOOKUP($A141,FlexibleRepairCouplings!$A$9:$M$11,11,FALSE),
IF($A141&lt;DuraFix!$A$15,VLOOKUP($A141,DuraFix!$A$9:$M$14,11,FALSE),                                                                                                                                                                                                                                                            IF($A141&lt;'Compression Fittings'!$A$16,VLOOKUP($A141,'Compression Fittings'!$A$8:$M$15,11,FALSE),
IF($A141&lt;'Hose Fittings'!$A$30,VLOOKUP($A141,'Hose Fittings'!$A$8:$M$29,11,FALSE),
IF($A141&lt;'Swing Joints'!$A$495,VLOOKUP($A141,'Swing Joints'!$A$9:$M$494,11,FALSE),
IF($A141&lt;'Swing Joints Components'!$A$135,VLOOKUP($A141,'Swing Joints Components'!$A$9:$M$134,11,FALSE),
IF($A141&lt;Nonstandard!$A$42,VLOOKUP($A141,Nonstandard!$A$31:$J$41,10,FALSE),"")))))))))))))))))))))))))))),"")</f>
        <v/>
      </c>
      <c r="H141" s="618" t="str">
        <f>IFERROR(IF($A141&lt;'DWV PVC'!$A$317,VLOOKUP($A141,'DWV PVC'!$A$9:$M$316,7,FALSE),
IF($A141&lt;'DWV ABS'!$A$117,VLOOKUP($A141,'DWV ABS'!$A$8:$M$116,11,FALSE),                                                                                                                                                                                                                                                     IF($A141&lt;'PVC SCH40'!$A$425,VLOOKUP($A141,'PVC SCH40'!$A$8:$M$424,7,FALSE),
IF($A141&lt;'PVC SCH40 LD'!$A$22,VLOOKUP($A141,'PVC SCH40 LD'!$A$8:$M$21,7,FALSE),
IF($A141&lt;'Pool &amp; SPA Sweep Elbows'!$A$12,VLOOKUP($A141,'Pool &amp; SPA Sweep Elbows'!$A$8:$M$11,7,FALSE),
IF($A141&lt;'Pool &amp; SPA Pipe Extender'!$A$11,VLOOKUP($A141,'Pool &amp; SPA Pipe Extender'!$A$8:$M$10,7,FALSE),
IF($A141&lt;'PVC SCH80'!$A$250,VLOOKUP($A141,'PVC SCH80'!$A$8:$M$249,7,FALSE),
IF($A141&lt;'PVC SCH80 Flange'!$A$49,VLOOKUP($A141,'PVC SCH80 Flange'!$A$8:$M$48,7,FALSE),
IF($A141&lt;'PVC SCH80 LD Flange'!$A$17,VLOOKUP($A141,'PVC SCH80 LD Flange'!$A$8:$M$16,7,FALSE),
IF($A141&lt;CPVC!$A$105,VLOOKUP($A141,CPVC!$A$9:$M$104,7,FALSE),
IF($A141&lt;InsertFittings!$A$185,VLOOKUP($A141,InsertFittings!$A$9:$M$184,7,FALSE),
IF($A141&lt;Valves!$A$92,VLOOKUP($A141,Valves!$A$9:$Q$91,11,FALSE),
IF($A141&lt;SDR35SW!$A$133,VLOOKUP($A141,SDR35SW!$A$9:$M$132,7,FALSE),
IF($A141&lt;SDR35G!$A$151,VLOOKUP($A141,SDR35G!$A$9:$M$150,7,FALSE),                                                                                                                                                                                                                                                       IF($A141&lt;SDR26G!$A$67,VLOOKUP($A141,SDR26G!$A$9:$N$66,8,FALSE),                                                                                                                                                                                                                                                     IF($A141&lt;Cements!$A$95,VLOOKUP($A141,Cements!$A$8:$Q$94,11,FALSE),
IF($A141&lt;ValveBox!$A$124,VLOOKUP($A141,ValveBox!$A$9:$O$123,10,FALSE),
IF($A141&lt;'ValveBox Components'!$A$142,VLOOKUP($A141,'ValveBox Components'!$A$9:$N$141,9,FALSE),
IF($A141&lt;Drainage!$A$69,VLOOKUP($A141,Drainage!$A$8:$M$68,7,FALSE),                                                                                                                                                                                                                                                          IF($A141&lt;Nipples!$A$82,VLOOKUP($A141,Nipples!$A$9:$Q$81,11,FALSE),
IF($A141&lt;Manifold!$A$33,VLOOKUP($A141,Manifold!$A$9:$M$32,7,FALSE),
IF($A141&lt;FlexibleRepairCouplings!$A$12,VLOOKUP($A141,FlexibleRepairCouplings!$A$9:$M$11,7,FALSE),
IF($A141&lt;DuraFix!$A$15,VLOOKUP($A141,DuraFix!$A$9:$M$14,7,FALSE),                                                                                                                                                                                                                                                           IF($A141&lt;'Compression Fittings'!$A$16,VLOOKUP($A141,'Compression Fittings'!$A$8:$M$15,7,FALSE),
IF($A141&lt;'Hose Fittings'!$A$30,VLOOKUP($A141,'Hose Fittings'!$A$8:$M$29,7,FALSE),
IF($A141&lt;'Swing Joints'!$A$495,VLOOKUP($A141,'Swing Joints'!$A$9:$M$494,7,FALSE),
IF($A141&lt;'Swing Joints Components'!$A$135,VLOOKUP($A141,'Swing Joints Components'!$A$9:$M$134,7,FALSE),
IF($A141&lt;Nonstandard!$A$42,VLOOKUP($A141,Nonstandard!$A$31:$J$41,10,FALSE),"")))))))))))))))))))))))))))),"")</f>
        <v/>
      </c>
      <c r="I141" s="619"/>
      <c r="J141" s="281" t="str">
        <f t="shared" si="3"/>
        <v/>
      </c>
      <c r="K141" s="313" t="str">
        <f>IFERROR(IF($A141&lt;'DWV PVC'!$A$317,VLOOKUP($A141,'DWV PVC'!$A$9:$M$316,10,FALSE),
IF($A141&lt;'DWV ABS'!$A$117,VLOOKUP($A141,'DWV ABS'!$A$8:$M$116,10,FALSE),
IF($A141&lt;'PVC SCH40'!$A$425,VLOOKUP($A141,'PVC SCH40'!$A$8:$M$424,10,FALSE),
IF($A141&lt;'PVC SCH40 LD'!$A$22,VLOOKUP($A141,'PVC SCH40 LD'!$A$8:$M$21,10,FALSE),
IF($A141&lt;'Pool &amp; SPA Sweep Elbows'!$A$12,VLOOKUP($A141,'Pool &amp; SPA Sweep Elbows'!$A$8:$M$11,10,FALSE),
IF($A141&lt;'Pool &amp; SPA Pipe Extender'!$A$11,VLOOKUP($A141,'Pool &amp; SPA Pipe Extender'!$A$8:$M$10,10,FALSE),
IF($A141&lt;'PVC SCH80'!$A$250,VLOOKUP($A141,'PVC SCH80'!$A$8:$M$249,10,FALSE),
IF($A141&lt;'PVC SCH80 Flange'!$A$49,VLOOKUP($A141,'PVC SCH80 Flange'!$A$8:$M$48,10,FALSE),
IF($A141&lt;'PVC SCH80 LD Flange'!$A$17,VLOOKUP($A141,'PVC SCH80 LD Flange'!$A$8:$M$16,10,FALSE),
IF($A141&lt;CPVC!$A$105,VLOOKUP($A141,CPVC!$A$9:$M$104,10,FALSE),
IF($A141&lt;InsertFittings!$A$185,VLOOKUP($A141,InsertFittings!$A$9:$M$184,10,FALSE),
IF($A141&lt;Valves!$A$92,VLOOKUP($A141,Valves!$A$9:$Q$91,14,FALSE),
IF($A141&lt;SDR35SW!$A$133,VLOOKUP($A141,SDR35SW!$A$9:$M$132,10,FALSE),
IF($A141&lt;SDR35G!$A$151,VLOOKUP($A141,SDR35G!$A$9:$M$150,10,FALSE),
IF($A141&lt;SDR26G!$A$67,VLOOKUP($A141,SDR26G!$A$9:$N$66,11,FALSE),
IF($A141&lt;Cements!$A$95,VLOOKUP($A141,Cements!$A$8:$Q$94,14,FALSE),
IF($A141&lt;ValveBox!$A$124,VLOOKUP($A141,ValveBox!$A$9:$O$123,12,FALSE),
IF($A141&lt;'ValveBox Components'!$A$142,VLOOKUP($A141,'ValveBox Components'!$A$9:$N$141,11,FALSE),
IF($A141&lt;Drainage!$A$69,VLOOKUP($A141,Drainage!$A$8:$M$68,10,FALSE),
IF($A141&lt;Nipples!$A$82,VLOOKUP($A141,Nipples!$A$9:$Q$81,14,FALSE),
IF($A141&lt;Manifold!$A$33,VLOOKUP($A141,Manifold!$A$9:$M$32,10,FALSE),
IF($A141&lt;FlexibleRepairCouplings!$A$12,VLOOKUP($A141,FlexibleRepairCouplings!$A$9:$M$11,10,FALSE),
IF($A141&lt;DuraFix!$A$15,VLOOKUP($A141,DuraFix!$A$9:$M$14,10,FALSE),
IF($A141&lt;'Compression Fittings'!$A$16,VLOOKUP($A141,'Compression Fittings'!$A$8:$M$15,10,FALSE),
IF($A141&lt;'Hose Fittings'!$A$30,VLOOKUP($A141,'Hose Fittings'!$A$8:$M$29,10,FALSE),
IF($A141&lt;'Swing Joints'!$A$495,VLOOKUP($A141,'Swing Joints'!$A$9:$M$494,10,FALSE),
IF($A141&lt;'Swing Joints Components'!$A$135,VLOOKUP($A141,'Swing Joints Components'!$A$9:$M$134,10,FALSE),
IF($A141&lt;Nonstandard!$A$42,VLOOKUP($A141,Nonstandard!$A$31:$J$41,10,FALSE),"")))))))))))))))))))))))))))),"")</f>
        <v/>
      </c>
      <c r="L141" s="314" t="str">
        <f t="shared" si="2"/>
        <v>-</v>
      </c>
      <c r="M141" s="315"/>
    </row>
    <row r="142" spans="1:13" ht="15.6">
      <c r="A142" s="536">
        <v>110</v>
      </c>
      <c r="B142" s="536" t="str">
        <f>IFERROR(IF($A142&lt;'DWV PVC'!$A$317,VLOOKUP($A142,'DWV PVC'!$A$9:$M$316,4,FALSE),
IF($A142&lt;'DWV ABS'!$A$117,VLOOKUP($A142,'DWV ABS'!$A$8:$M$116,4,FALSE),
IF($A142&lt;'PVC SCH40'!$A$425,VLOOKUP($A142,'PVC SCH40'!$A$8:$M$424,4,FALSE),
IF($A142&lt;'PVC SCH40 LD'!$A$22,VLOOKUP($A142,'PVC SCH40 LD'!$A$8:$M$21,4,FALSE),
IF($A142&lt;'Pool &amp; SPA Sweep Elbows'!$A$12,VLOOKUP($A142,'Pool &amp; SPA Sweep Elbows'!$A$8:$M$11,4,FALSE),
IF($A142&lt;'Pool &amp; SPA Pipe Extender'!$A$11,VLOOKUP($A142,'Pool &amp; SPA Pipe Extender'!$A$8:$M$10,4,FALSE),
IF($A142&lt;'PVC SCH80'!$A$250,VLOOKUP($A142,'PVC SCH80'!$A$8:$M$249,4,FALSE),
IF($A142&lt;'PVC SCH80 Flange'!$A$49,VLOOKUP($A142,'PVC SCH80 Flange'!$A$8:$M$48,4,FALSE),
IF($A142&lt;'PVC SCH80 LD Flange'!$A$17,VLOOKUP($A142,'PVC SCH80 LD Flange'!$A$8:$M$16,4,FALSE),
IF($A142&lt;CPVC!$A$105,VLOOKUP($A142,CPVC!$A$9:$M$104,4,FALSE),
IF($A142&lt;InsertFittings!$A$185,VLOOKUP($A142,InsertFittings!$A$9:$M$184,4,FALSE),
IF($A142&lt;Valves!$A$92,VLOOKUP($A142,Valves!$A$9:$Q$91,4,FALSE),
IF($A142&lt;SDR35SW!$A$133,VLOOKUP($A142,SDR35SW!$A$9:$M$132,4,FALSE),
IF($A142&lt;SDR35G!$A$151,VLOOKUP($A142,SDR35G!$A$9:$M$150,4,FALSE),
IF($A142&lt;SDR26G!$A$67,VLOOKUP($A142,SDR26G!$A$9:$N$66,5,FALSE),
IF($A142&lt;Cements!$A$95,VLOOKUP($A142,Cements!$A$8:$Q$94,4,FALSE),
IF($A142&lt;ValveBox!$A$124,VLOOKUP($A142,ValveBox!$A$9:$O$123,4,FALSE),
IF($A142&lt;'ValveBox Components'!$A$142,VLOOKUP($A142,'ValveBox Components'!$A$9:$N$141,4,FALSE),
IF($A142&lt;Drainage!$A$69,VLOOKUP($A142,Drainage!$A$8:$M$68,4,FALSE),
IF($A142&lt;Nipples!$A$82,VLOOKUP($A142,Nipples!$A$9:$Q$81,4,FALSE),
IF($A142&lt;Manifold!$A$33,VLOOKUP($A142,Manifold!$A$9:$M$32,4,FALSE),
IF($A142&lt;FlexibleRepairCouplings!$A$12,VLOOKUP($A142,FlexibleRepairCouplings!$A$9:$M$11,4,FALSE),
IF($A142&lt;DuraFix!$A$15,VLOOKUP($A142,DuraFix!$A$9:$M$14,4,FALSE),
IF($A142&lt;'Compression Fittings'!$A$16,VLOOKUP($A142,'Compression Fittings'!$A$8:$M$15,4,FALSE),
IF($A142&lt;'Hose Fittings'!$A$30,VLOOKUP($A142,'Hose Fittings'!$A$8:$M$29,4,FALSE),
IF($A142&lt;'Swing Joints'!$A$495,VLOOKUP($A142,'Swing Joints'!$A$9:$M$494,4,FALSE),
IF($A142&lt;'Swing Joints Components'!$A$135,VLOOKUP($A142,'Swing Joints Components'!$A$9:$M$134,4,FALSE),
IF($A142&lt;Nonstandard!$A$42,VLOOKUP($A142,Nonstandard!$A$31:$J$41,5,FALSE),"")))))))))))))))))))))))))))),"")</f>
        <v/>
      </c>
      <c r="C142" s="536" t="str">
        <f>IFERROR(IF($A142&lt;'DWV PVC'!$A$317,VLOOKUP($A142,'DWV PVC'!$A$9:$M$316,5,FALSE),
IF($A142&lt;'DWV ABS'!$A$117,VLOOKUP($A142,'DWV ABS'!$A$8:$M$116,5,FALSE),
IF($A142&lt;'PVC SCH40'!$A$425,VLOOKUP($A142,'PVC SCH40'!$A$8:$M$424,5,FALSE),
IF($A142&lt;'PVC SCH40 LD'!$A$22,VLOOKUP($A142,'PVC SCH40 LD'!$A$8:$M$21,5,FALSE),
IF($A142&lt;'Pool &amp; SPA Sweep Elbows'!$A$12,VLOOKUP($A142,'Pool &amp; SPA Sweep Elbows'!$A$8:$M$11,5,FALSE),
IF($A142&lt;'Pool &amp; SPA Pipe Extender'!$A$11,VLOOKUP($A142,'Pool &amp; SPA Pipe Extender'!$A$8:$M$10,5,FALSE),
IF($A142&lt;'PVC SCH80'!$A$250,VLOOKUP($A142,'PVC SCH80'!$A$8:$M$249,5,FALSE),
IF($A142&lt;'PVC SCH80 Flange'!$A$49,VLOOKUP($A142,'PVC SCH80 Flange'!$A$8:$M$48,5,FALSE),
IF($A142&lt;'PVC SCH80 LD Flange'!$A$17,VLOOKUP($A142,'PVC SCH80 LD Flange'!$A$8:$M$16,5,FALSE),
IF($A142&lt;CPVC!$A$105,VLOOKUP($A142,CPVC!$A$9:$M$104,5,FALSE),
IF($A142&lt;InsertFittings!$A$185,VLOOKUP($A142,InsertFittings!$A$9:$M$184,5,FALSE),
IF($A142&lt;Valves!$A$92,VLOOKUP($A142,Valves!$A$9:$Q$91,5,FALSE),
IF($A142&lt;SDR35SW!$A$133,VLOOKUP($A142,SDR35SW!$A$9:$M$132,5,FALSE),
IF($A142&lt;SDR35G!$A$151,VLOOKUP($A142,SDR35G!$A$9:$M$150,5,FALSE),
IF($A142&lt;SDR26G!$A$67,VLOOKUP($A142,SDR26G!$A$9:$N$66,6,FALSE),
IF($A142&lt;Cements!$A$95,VLOOKUP($A142,Cements!$A$8:$Q$94,5,FALSE),
IF($A142&lt;ValveBox!$A$124,VLOOKUP($A142,ValveBox!$A$9:$O$123,5,FALSE),
IF($A142&lt;'ValveBox Components'!$A$142,VLOOKUP($A142,'ValveBox Components'!$A$9:$N$141,5,FALSE),
IF($A142&lt;Drainage!$A$69,VLOOKUP($A142,Drainage!$A$8:$M$68,5,FALSE),
IF($A142&lt;Nipples!$A$82,VLOOKUP($A142,Nipples!$A$9:$Q$81,5,FALSE),
IF($A142&lt;Manifold!$A$33,VLOOKUP($A142,Manifold!$A$9:$M$32,5,FALSE),
IF($A142&lt;FlexibleRepairCouplings!$A$12,VLOOKUP($A142,FlexibleRepairCouplings!$A$9:$M$11,5,FALSE),
IF($A142&lt;DuraFix!$A$15,VLOOKUP($A142,DuraFix!$A$9:$M$14,5,FALSE),
IF($A142&lt;'Compression Fittings'!$A$16,VLOOKUP($A142,'Compression Fittings'!$A$8:$M$15,5,FALSE),
IF($A142&lt;'Hose Fittings'!$A$30,VLOOKUP($A142,'Hose Fittings'!$A$8:$M$29,5,FALSE),
IF($A142&lt;'Swing Joints'!$A$495,VLOOKUP($A142,'Swing Joints'!$A$9:$M$494,5,FALSE),
IF($A142&lt;'Swing Joints Components'!$A$135,VLOOKUP($A142,'Swing Joints Components'!$A$9:$M$134,5,FALSE),
IF($A142&lt;Nonstandard!$A$42,VLOOKUP($A142,Nonstandard!$A$31:$J$41,6,FALSE),"")))))))))))))))))))))))))))),"")</f>
        <v/>
      </c>
      <c r="D142" s="537" t="str">
        <f>IFERROR(IF($A142&lt;'DWV PVC'!$A$317,VLOOKUP($A142,'DWV PVC'!$A$9:$M$316,6,FALSE),
IF($A142&lt;'DWV ABS'!$A$117,VLOOKUP($A142,'DWV ABS'!$A$8:$M$116,6,FALSE),
IF($A142&lt;'PVC SCH40'!$A$425,VLOOKUP($A142,'PVC SCH40'!$A$8:$M$424,6,FALSE),
IF($A142&lt;'PVC SCH40 LD'!$A$22,VLOOKUP($A142,'PVC SCH40 LD'!$A$8:$M$21,6,FALSE),
IF($A142&lt;'Pool &amp; SPA Sweep Elbows'!$A$12,VLOOKUP($A142,'Pool &amp; SPA Sweep Elbows'!$A$8:$M$11,6,FALSE),
IF($A142&lt;'Pool &amp; SPA Pipe Extender'!$A$11,VLOOKUP($A142,'Pool &amp; SPA Pipe Extender'!$A$8:$M$10,6,FALSE),
IF($A142&lt;'PVC SCH80'!$A$250,VLOOKUP($A142,'PVC SCH80'!$A$8:$M$249,6,FALSE),
IF($A142&lt;'PVC SCH80 Flange'!$A$49,VLOOKUP($A142,'PVC SCH80 Flange'!$A$8:$M$48,6,FALSE),
IF($A142&lt;'PVC SCH80 LD Flange'!$A$17,VLOOKUP($A142,'PVC SCH80 LD Flange'!$A$8:$M$16,6,FALSE),
IF($A142&lt;CPVC!$A$105,VLOOKUP($A142,CPVC!$A$9:$M$104,6,FALSE),
IF($A142&lt;InsertFittings!$A$185,VLOOKUP($A142,InsertFittings!$A$9:$M$184,6,FALSE),
IF($A142&lt;Valves!$A$92,VLOOKUP($A142,Valves!$A$9:$Q$91,6,FALSE),
IF($A142&lt;SDR35SW!$A$133,VLOOKUP($A142,SDR35SW!$A$9:$M$132,6,FALSE),
IF($A142&lt;SDR35G!$A$151,VLOOKUP($A142,SDR35G!$A$9:$M$150,6,FALSE),
IF($A142&lt;SDR26G!$A$67,VLOOKUP($A142,SDR26G!$A$9:$N$66,7,FALSE),
IF($A142&lt;Cements!$A$95,VLOOKUP($A142,Cements!$A$8:$Q$94,6,FALSE),
IF($A142&lt;ValveBox!$A$124,VLOOKUP($A142,ValveBox!$A$9:$O$123,6,FALSE),
IF($A142&lt;'ValveBox Components'!$A$142,VLOOKUP($A142,'ValveBox Components'!$A$9:$N$141,6,FALSE),
IF($A142&lt;Drainage!$A$69,VLOOKUP($A142,Drainage!$A$8:$M$68,6,FALSE),
IF($A142&lt;Nipples!$A$82,VLOOKUP($A142,Nipples!$A$9:$Q$81,6,FALSE),
IF($A142&lt;Manifold!$A$33,VLOOKUP($A142,Manifold!$A$9:$M$32,6,FALSE),
IF($A142&lt;FlexibleRepairCouplings!$A$12,VLOOKUP($A142,FlexibleRepairCouplings!$A$9:$M$11,6,FALSE),
IF($A142&lt;DuraFix!$A$15,VLOOKUP($A142,DuraFix!$A$9:$M$14,6,FALSE),
IF($A142&lt;'Compression Fittings'!$A$16,VLOOKUP($A142,'Compression Fittings'!$A$8:$M$15,6,FALSE),
IF($A142&lt;'Hose Fittings'!$A$30,VLOOKUP($A142,'Hose Fittings'!$A$8:$M$29,6,FALSE),
IF($A142&lt;'Swing Joints'!$A$495,VLOOKUP($A142,'Swing Joints'!$A$9:$M$494,6,FALSE),
IF($A142&lt;'Swing Joints Components'!$A$135,VLOOKUP($A142,'Swing Joints Components'!$A$9:$M$134,6,FALSE),
IF($A142&lt;Nonstandard!$A$42,VLOOKUP($A142,Nonstandard!$A$31:$J$41,7,FALSE),"")))))))))))))))))))))))))))),"")</f>
        <v/>
      </c>
      <c r="E142" s="538"/>
      <c r="F142" s="539" t="str">
        <f>IFERROR(IF($A142&lt;'DWV PVC'!$A$317,VLOOKUP($A142,'DWV PVC'!$A$9:$M$316,9,FALSE),
IF($A142&lt;'DWV ABS'!$A$117,VLOOKUP($A142,'DWV ABS'!$A$8:$M$116,9,FALSE),                                                                                                                                                                                                                                                     IF($A142&lt;'PVC SCH40'!$A$425,VLOOKUP($A142,'PVC SCH40'!$A$8:$M$424,9,FALSE),
IF($A142&lt;'PVC SCH40 LD'!$A$22,VLOOKUP($A142,'PVC SCH40 LD'!$A$8:$M$21,9,FALSE),
IF($A142&lt;'Pool &amp; SPA Sweep Elbows'!$A$12,VLOOKUP($A142,'Pool &amp; SPA Sweep Elbows'!$A$8:$M$11,9,FALSE),
IF($A142&lt;'Pool &amp; SPA Pipe Extender'!$A$11,VLOOKUP($A142,'Pool &amp; SPA Pipe Extender'!$A$8:$M$10,9,FALSE),
IF($A142&lt;'PVC SCH80'!$A$250,VLOOKUP($A142,'PVC SCH80'!$A$8:$M$249,9,FALSE),
IF($A142&lt;'PVC SCH80 Flange'!$A$49,VLOOKUP($A142,'PVC SCH80 Flange'!$A$8:$M$48,9,FALSE),
IF($A142&lt;'PVC SCH80 LD Flange'!$A$17,VLOOKUP($A142,'PVC SCH80 LD Flange'!$A$8:$M$16,9,FALSE),
IF($A142&lt;CPVC!$A$105,VLOOKUP($A142,CPVC!$A$9:$M$104,9,FALSE),
IF($A142&lt;InsertFittings!$A$185,VLOOKUP($A142,InsertFittings!$A$9:$M$184,9,FALSE),
IF($A142&lt;Valves!$A$92,VLOOKUP($A142,Valves!$A$9:$Q$91,13,FALSE),
IF($A142&lt;SDR35SW!$A$133,VLOOKUP($A142,SDR35SW!$A$9:$M$132,9,FALSE),
IF($A142&lt;SDR35G!$A$151,VLOOKUP($A142,SDR35G!$A$9:$M$150,9,FALSE),                                                                                                                                                                                                                                                          IF($A142&lt;SDR26G!$A$67,VLOOKUP($A142,SDR26G!$A$9:$N$66,10,FALSE),                                                                                                                                                                                                                                                       IF($A142&lt;Cements!$A$95,VLOOKUP($A142,Cements!$A$8:$Q$94,13,FALSE),
IF($A142&lt;ValveBox!$A$124,VLOOKUP($A142,ValveBox!$A$9:$O$123,11,FALSE),
IF($A142&lt;'ValveBox Components'!$A$142,VLOOKUP($A142,'ValveBox Components'!$A$9:$N$141,10,FALSE),
IF($A142&lt;Drainage!$A$69,VLOOKUP($A142,Drainage!$A$8:$M$68,9,FALSE),                                                                                                                                                                                                                                                              IF($A142&lt;Nipples!$A$82,VLOOKUP($A142,Nipples!$A$9:$Q$81,13,FALSE),
IF($A142&lt;Manifold!$A$33,VLOOKUP($A142,Manifold!$A$9:$M$32,9,FALSE),
IF($A142&lt;FlexibleRepairCouplings!$A$12,VLOOKUP($A142,FlexibleRepairCouplings!$A$9:$M$11,9,FALSE),
IF($A142&lt;DuraFix!$A$15,VLOOKUP($A142,DuraFix!$A$9:$M$14,9,FALSE),                                                                                                                                                                                                                                                          IF($A142&lt;'Compression Fittings'!$A$16,VLOOKUP($A142,'Compression Fittings'!$A$8:$M$15,9,FALSE),
IF($A142&lt;'Hose Fittings'!$A$30,VLOOKUP($A142,'Hose Fittings'!$A$8:$M$29,9,FALSE),
IF($A142&lt;'Swing Joints'!$A$495,VLOOKUP($A142,'Swing Joints'!$A$9:$M$494,9,FALSE),
IF($A142&lt;'Swing Joints Components'!$A$135,VLOOKUP($A142,'Swing Joints Components'!$A$9:$M$134,9,FALSE),
IF($A142&lt;Nonstandard!$A$42,VLOOKUP($A142,Nonstandard!$A$31:$J$41,8,FALSE),"")))))))))))))))))))))))))))),"")</f>
        <v/>
      </c>
      <c r="G142" s="540" t="str">
        <f>IFERROR(IF($A142&lt;'DWV PVC'!$A$317,VLOOKUP($A142,'DWV PVC'!$A$9:$M$316,11,FALSE),
IF($A142&lt;'DWV ABS'!$A$117,VLOOKUP($A142,'DWV ABS'!$A$8:$M$116,11,FALSE),                                                                                                                                                                                                                                                     IF($A142&lt;'PVC SCH40'!$A$425,VLOOKUP($A142,'PVC SCH40'!$A$8:$M$424,11,FALSE),
IF($A142&lt;'PVC SCH40 LD'!$A$22,VLOOKUP($A142,'PVC SCH40 LD'!$A$8:$M$21,11,FALSE),
IF($A142&lt;'Pool &amp; SPA Sweep Elbows'!$A$12,VLOOKUP($A142,'Pool &amp; SPA Sweep Elbows'!$A$8:$M$11,11,FALSE),
IF($A142&lt;'Pool &amp; SPA Pipe Extender'!$A$11,VLOOKUP($A142,'Pool &amp; SPA Pipe Extender'!$A$8:$M$10,11,FALSE),
IF($A142&lt;'PVC SCH80'!$A$250,VLOOKUP($A142,'PVC SCH80'!$A$8:$M$249,11,FALSE),
IF($A142&lt;'PVC SCH80 Flange'!$A$49,VLOOKUP($A142,'PVC SCH80 Flange'!$A$8:$M$48,11,FALSE),
IF($A142&lt;'PVC SCH80 LD Flange'!$A$17,VLOOKUP($A142,'PVC SCH80 LD Flange'!$A$8:$M$16,11,FALSE),
IF($A142&lt;CPVC!$A$105,VLOOKUP($A142,CPVC!$A$9:$M$104,11,FALSE),
IF($A142&lt;InsertFittings!$A$185,VLOOKUP($A142,InsertFittings!$A$9:$M$184,11,FALSE),
IF($A142&lt;Valves!$A$92,VLOOKUP($A142,Valves!$A$9:$Q$91,15,FALSE),
IF($A142&lt;SDR35SW!$A$133,VLOOKUP($A142,SDR35SW!$A$9:$M$132,11,FALSE),
IF($A142&lt;SDR35G!$A$151,VLOOKUP($A142,SDR35G!$A$9:$M$150,11,FALSE),                                                                                                                                                                                                                                                          IF($A142&lt;SDR26G!$A$67,VLOOKUP($A142,SDR26G!$A$9:$N$66,12,FALSE),                                                                                                                                                                                                                                                       IF($A142&lt;Cements!$A$95,VLOOKUP($A142,Cements!$A$8:$Q$94,15,FALSE),
IF($A142&lt;ValveBox!$A$124,VLOOKUP($A142,ValveBox!$A$9:$O$123,13,FALSE),
IF($A142&lt;'ValveBox Components'!$A$142,VLOOKUP($A142,'ValveBox Components'!$A$9:$N$141,12,FALSE),
IF($A142&lt;Drainage!$A$69,VLOOKUP($A142,Drainage!$A$8:$M$68,11,FALSE),                                                                                                                                                                                                                                                           IF($A142&lt;Nipples!$A$82,VLOOKUP($A142,Nipples!$A$9:$Q$81,15,FALSE),
IF($A142&lt;Manifold!$A$33,VLOOKUP($A142,Manifold!$A$9:$M$32,11,FALSE),
IF($A142&lt;FlexibleRepairCouplings!$A$12,VLOOKUP($A142,FlexibleRepairCouplings!$A$9:$M$11,11,FALSE),
IF($A142&lt;DuraFix!$A$15,VLOOKUP($A142,DuraFix!$A$9:$M$14,11,FALSE),                                                                                                                                                                                                                                                            IF($A142&lt;'Compression Fittings'!$A$16,VLOOKUP($A142,'Compression Fittings'!$A$8:$M$15,11,FALSE),
IF($A142&lt;'Hose Fittings'!$A$30,VLOOKUP($A142,'Hose Fittings'!$A$8:$M$29,11,FALSE),
IF($A142&lt;'Swing Joints'!$A$495,VLOOKUP($A142,'Swing Joints'!$A$9:$M$494,11,FALSE),
IF($A142&lt;'Swing Joints Components'!$A$135,VLOOKUP($A142,'Swing Joints Components'!$A$9:$M$134,11,FALSE),
IF($A142&lt;Nonstandard!$A$42,VLOOKUP($A142,Nonstandard!$A$31:$J$41,10,FALSE),"")))))))))))))))))))))))))))),"")</f>
        <v/>
      </c>
      <c r="H142" s="620" t="str">
        <f>IFERROR(IF($A142&lt;'DWV PVC'!$A$317,VLOOKUP($A142,'DWV PVC'!$A$9:$M$316,7,FALSE),
IF($A142&lt;'DWV ABS'!$A$117,VLOOKUP($A142,'DWV ABS'!$A$8:$M$116,11,FALSE),                                                                                                                                                                                                                                                     IF($A142&lt;'PVC SCH40'!$A$425,VLOOKUP($A142,'PVC SCH40'!$A$8:$M$424,7,FALSE),
IF($A142&lt;'PVC SCH40 LD'!$A$22,VLOOKUP($A142,'PVC SCH40 LD'!$A$8:$M$21,7,FALSE),
IF($A142&lt;'Pool &amp; SPA Sweep Elbows'!$A$12,VLOOKUP($A142,'Pool &amp; SPA Sweep Elbows'!$A$8:$M$11,7,FALSE),
IF($A142&lt;'Pool &amp; SPA Pipe Extender'!$A$11,VLOOKUP($A142,'Pool &amp; SPA Pipe Extender'!$A$8:$M$10,7,FALSE),
IF($A142&lt;'PVC SCH80'!$A$250,VLOOKUP($A142,'PVC SCH80'!$A$8:$M$249,7,FALSE),
IF($A142&lt;'PVC SCH80 Flange'!$A$49,VLOOKUP($A142,'PVC SCH80 Flange'!$A$8:$M$48,7,FALSE),
IF($A142&lt;'PVC SCH80 LD Flange'!$A$17,VLOOKUP($A142,'PVC SCH80 LD Flange'!$A$8:$M$16,7,FALSE),
IF($A142&lt;CPVC!$A$105,VLOOKUP($A142,CPVC!$A$9:$M$104,7,FALSE),
IF($A142&lt;InsertFittings!$A$185,VLOOKUP($A142,InsertFittings!$A$9:$M$184,7,FALSE),
IF($A142&lt;Valves!$A$92,VLOOKUP($A142,Valves!$A$9:$Q$91,11,FALSE),
IF($A142&lt;SDR35SW!$A$133,VLOOKUP($A142,SDR35SW!$A$9:$M$132,7,FALSE),
IF($A142&lt;SDR35G!$A$151,VLOOKUP($A142,SDR35G!$A$9:$M$150,7,FALSE),                                                                                                                                                                                                                                                       IF($A142&lt;SDR26G!$A$67,VLOOKUP($A142,SDR26G!$A$9:$N$66,8,FALSE),                                                                                                                                                                                                                                                     IF($A142&lt;Cements!$A$95,VLOOKUP($A142,Cements!$A$8:$Q$94,11,FALSE),
IF($A142&lt;ValveBox!$A$124,VLOOKUP($A142,ValveBox!$A$9:$O$123,10,FALSE),
IF($A142&lt;'ValveBox Components'!$A$142,VLOOKUP($A142,'ValveBox Components'!$A$9:$N$141,9,FALSE),
IF($A142&lt;Drainage!$A$69,VLOOKUP($A142,Drainage!$A$8:$M$68,7,FALSE),                                                                                                                                                                                                                                                          IF($A142&lt;Nipples!$A$82,VLOOKUP($A142,Nipples!$A$9:$Q$81,11,FALSE),
IF($A142&lt;Manifold!$A$33,VLOOKUP($A142,Manifold!$A$9:$M$32,7,FALSE),
IF($A142&lt;FlexibleRepairCouplings!$A$12,VLOOKUP($A142,FlexibleRepairCouplings!$A$9:$M$11,7,FALSE),
IF($A142&lt;DuraFix!$A$15,VLOOKUP($A142,DuraFix!$A$9:$M$14,7,FALSE),                                                                                                                                                                                                                                                           IF($A142&lt;'Compression Fittings'!$A$16,VLOOKUP($A142,'Compression Fittings'!$A$8:$M$15,7,FALSE),
IF($A142&lt;'Hose Fittings'!$A$30,VLOOKUP($A142,'Hose Fittings'!$A$8:$M$29,7,FALSE),
IF($A142&lt;'Swing Joints'!$A$495,VLOOKUP($A142,'Swing Joints'!$A$9:$M$494,7,FALSE),
IF($A142&lt;'Swing Joints Components'!$A$135,VLOOKUP($A142,'Swing Joints Components'!$A$9:$M$134,7,FALSE),
IF($A142&lt;Nonstandard!$A$42,VLOOKUP($A142,Nonstandard!$A$31:$J$41,10,FALSE),"")))))))))))))))))))))))))))),"")</f>
        <v/>
      </c>
      <c r="I142" s="621"/>
      <c r="J142" s="541" t="str">
        <f t="shared" si="3"/>
        <v/>
      </c>
      <c r="K142" s="599" t="str">
        <f>IFERROR(IF($A142&lt;'DWV PVC'!$A$317,VLOOKUP($A142,'DWV PVC'!$A$9:$M$316,10,FALSE),
IF($A142&lt;'DWV ABS'!$A$117,VLOOKUP($A142,'DWV ABS'!$A$8:$M$116,10,FALSE),
IF($A142&lt;'PVC SCH40'!$A$425,VLOOKUP($A142,'PVC SCH40'!$A$8:$M$424,10,FALSE),
IF($A142&lt;'PVC SCH40 LD'!$A$22,VLOOKUP($A142,'PVC SCH40 LD'!$A$8:$M$21,10,FALSE),
IF($A142&lt;'Pool &amp; SPA Sweep Elbows'!$A$12,VLOOKUP($A142,'Pool &amp; SPA Sweep Elbows'!$A$8:$M$11,10,FALSE),
IF($A142&lt;'Pool &amp; SPA Pipe Extender'!$A$11,VLOOKUP($A142,'Pool &amp; SPA Pipe Extender'!$A$8:$M$10,10,FALSE),
IF($A142&lt;'PVC SCH80'!$A$250,VLOOKUP($A142,'PVC SCH80'!$A$8:$M$249,10,FALSE),
IF($A142&lt;'PVC SCH80 Flange'!$A$49,VLOOKUP($A142,'PVC SCH80 Flange'!$A$8:$M$48,10,FALSE),
IF($A142&lt;'PVC SCH80 LD Flange'!$A$17,VLOOKUP($A142,'PVC SCH80 LD Flange'!$A$8:$M$16,10,FALSE),
IF($A142&lt;CPVC!$A$105,VLOOKUP($A142,CPVC!$A$9:$M$104,10,FALSE),
IF($A142&lt;InsertFittings!$A$185,VLOOKUP($A142,InsertFittings!$A$9:$M$184,10,FALSE),
IF($A142&lt;Valves!$A$92,VLOOKUP($A142,Valves!$A$9:$Q$91,14,FALSE),
IF($A142&lt;SDR35SW!$A$133,VLOOKUP($A142,SDR35SW!$A$9:$M$132,10,FALSE),
IF($A142&lt;SDR35G!$A$151,VLOOKUP($A142,SDR35G!$A$9:$M$150,10,FALSE),
IF($A142&lt;SDR26G!$A$67,VLOOKUP($A142,SDR26G!$A$9:$N$66,11,FALSE),
IF($A142&lt;Cements!$A$95,VLOOKUP($A142,Cements!$A$8:$Q$94,14,FALSE),
IF($A142&lt;ValveBox!$A$124,VLOOKUP($A142,ValveBox!$A$9:$O$123,12,FALSE),
IF($A142&lt;'ValveBox Components'!$A$142,VLOOKUP($A142,'ValveBox Components'!$A$9:$N$141,11,FALSE),
IF($A142&lt;Drainage!$A$69,VLOOKUP($A142,Drainage!$A$8:$M$68,10,FALSE),
IF($A142&lt;Nipples!$A$82,VLOOKUP($A142,Nipples!$A$9:$Q$81,14,FALSE),
IF($A142&lt;Manifold!$A$33,VLOOKUP($A142,Manifold!$A$9:$M$32,10,FALSE),
IF($A142&lt;FlexibleRepairCouplings!$A$12,VLOOKUP($A142,FlexibleRepairCouplings!$A$9:$M$11,10,FALSE),
IF($A142&lt;DuraFix!$A$15,VLOOKUP($A142,DuraFix!$A$9:$M$14,10,FALSE),
IF($A142&lt;'Compression Fittings'!$A$16,VLOOKUP($A142,'Compression Fittings'!$A$8:$M$15,10,FALSE),
IF($A142&lt;'Hose Fittings'!$A$30,VLOOKUP($A142,'Hose Fittings'!$A$8:$M$29,10,FALSE),
IF($A142&lt;'Swing Joints'!$A$495,VLOOKUP($A142,'Swing Joints'!$A$9:$M$494,10,FALSE),
IF($A142&lt;'Swing Joints Components'!$A$135,VLOOKUP($A142,'Swing Joints Components'!$A$9:$M$134,10,FALSE),
IF($A142&lt;Nonstandard!$A$42,VLOOKUP($A142,Nonstandard!$A$31:$J$41,10,FALSE),"")))))))))))))))))))))))))))),"")</f>
        <v/>
      </c>
      <c r="L142" s="539" t="str">
        <f t="shared" si="2"/>
        <v>-</v>
      </c>
      <c r="M142" s="542"/>
    </row>
    <row r="143" spans="1:13" ht="15.6">
      <c r="A143" s="312">
        <v>111</v>
      </c>
      <c r="B143" s="312" t="str">
        <f>IFERROR(IF($A143&lt;'DWV PVC'!$A$317,VLOOKUP($A143,'DWV PVC'!$A$9:$M$316,4,FALSE),
IF($A143&lt;'DWV ABS'!$A$117,VLOOKUP($A143,'DWV ABS'!$A$8:$M$116,4,FALSE),
IF($A143&lt;'PVC SCH40'!$A$425,VLOOKUP($A143,'PVC SCH40'!$A$8:$M$424,4,FALSE),
IF($A143&lt;'PVC SCH40 LD'!$A$22,VLOOKUP($A143,'PVC SCH40 LD'!$A$8:$M$21,4,FALSE),
IF($A143&lt;'Pool &amp; SPA Sweep Elbows'!$A$12,VLOOKUP($A143,'Pool &amp; SPA Sweep Elbows'!$A$8:$M$11,4,FALSE),
IF($A143&lt;'Pool &amp; SPA Pipe Extender'!$A$11,VLOOKUP($A143,'Pool &amp; SPA Pipe Extender'!$A$8:$M$10,4,FALSE),
IF($A143&lt;'PVC SCH80'!$A$250,VLOOKUP($A143,'PVC SCH80'!$A$8:$M$249,4,FALSE),
IF($A143&lt;'PVC SCH80 Flange'!$A$49,VLOOKUP($A143,'PVC SCH80 Flange'!$A$8:$M$48,4,FALSE),
IF($A143&lt;'PVC SCH80 LD Flange'!$A$17,VLOOKUP($A143,'PVC SCH80 LD Flange'!$A$8:$M$16,4,FALSE),
IF($A143&lt;CPVC!$A$105,VLOOKUP($A143,CPVC!$A$9:$M$104,4,FALSE),
IF($A143&lt;InsertFittings!$A$185,VLOOKUP($A143,InsertFittings!$A$9:$M$184,4,FALSE),
IF($A143&lt;Valves!$A$92,VLOOKUP($A143,Valves!$A$9:$Q$91,4,FALSE),
IF($A143&lt;SDR35SW!$A$133,VLOOKUP($A143,SDR35SW!$A$9:$M$132,4,FALSE),
IF($A143&lt;SDR35G!$A$151,VLOOKUP($A143,SDR35G!$A$9:$M$150,4,FALSE),
IF($A143&lt;SDR26G!$A$67,VLOOKUP($A143,SDR26G!$A$9:$N$66,5,FALSE),
IF($A143&lt;Cements!$A$95,VLOOKUP($A143,Cements!$A$8:$Q$94,4,FALSE),
IF($A143&lt;ValveBox!$A$124,VLOOKUP($A143,ValveBox!$A$9:$O$123,4,FALSE),
IF($A143&lt;'ValveBox Components'!$A$142,VLOOKUP($A143,'ValveBox Components'!$A$9:$N$141,4,FALSE),
IF($A143&lt;Drainage!$A$69,VLOOKUP($A143,Drainage!$A$8:$M$68,4,FALSE),
IF($A143&lt;Nipples!$A$82,VLOOKUP($A143,Nipples!$A$9:$Q$81,4,FALSE),
IF($A143&lt;Manifold!$A$33,VLOOKUP($A143,Manifold!$A$9:$M$32,4,FALSE),
IF($A143&lt;FlexibleRepairCouplings!$A$12,VLOOKUP($A143,FlexibleRepairCouplings!$A$9:$M$11,4,FALSE),
IF($A143&lt;DuraFix!$A$15,VLOOKUP($A143,DuraFix!$A$9:$M$14,4,FALSE),
IF($A143&lt;'Compression Fittings'!$A$16,VLOOKUP($A143,'Compression Fittings'!$A$8:$M$15,4,FALSE),
IF($A143&lt;'Hose Fittings'!$A$30,VLOOKUP($A143,'Hose Fittings'!$A$8:$M$29,4,FALSE),
IF($A143&lt;'Swing Joints'!$A$495,VLOOKUP($A143,'Swing Joints'!$A$9:$M$494,4,FALSE),
IF($A143&lt;'Swing Joints Components'!$A$135,VLOOKUP($A143,'Swing Joints Components'!$A$9:$M$134,4,FALSE),
IF($A143&lt;Nonstandard!$A$42,VLOOKUP($A143,Nonstandard!$A$31:$J$41,5,FALSE),"")))))))))))))))))))))))))))),"")</f>
        <v/>
      </c>
      <c r="C143" s="312" t="str">
        <f>IFERROR(IF($A143&lt;'DWV PVC'!$A$317,VLOOKUP($A143,'DWV PVC'!$A$9:$M$316,5,FALSE),
IF($A143&lt;'DWV ABS'!$A$117,VLOOKUP($A143,'DWV ABS'!$A$8:$M$116,5,FALSE),
IF($A143&lt;'PVC SCH40'!$A$425,VLOOKUP($A143,'PVC SCH40'!$A$8:$M$424,5,FALSE),
IF($A143&lt;'PVC SCH40 LD'!$A$22,VLOOKUP($A143,'PVC SCH40 LD'!$A$8:$M$21,5,FALSE),
IF($A143&lt;'Pool &amp; SPA Sweep Elbows'!$A$12,VLOOKUP($A143,'Pool &amp; SPA Sweep Elbows'!$A$8:$M$11,5,FALSE),
IF($A143&lt;'Pool &amp; SPA Pipe Extender'!$A$11,VLOOKUP($A143,'Pool &amp; SPA Pipe Extender'!$A$8:$M$10,5,FALSE),
IF($A143&lt;'PVC SCH80'!$A$250,VLOOKUP($A143,'PVC SCH80'!$A$8:$M$249,5,FALSE),
IF($A143&lt;'PVC SCH80 Flange'!$A$49,VLOOKUP($A143,'PVC SCH80 Flange'!$A$8:$M$48,5,FALSE),
IF($A143&lt;'PVC SCH80 LD Flange'!$A$17,VLOOKUP($A143,'PVC SCH80 LD Flange'!$A$8:$M$16,5,FALSE),
IF($A143&lt;CPVC!$A$105,VLOOKUP($A143,CPVC!$A$9:$M$104,5,FALSE),
IF($A143&lt;InsertFittings!$A$185,VLOOKUP($A143,InsertFittings!$A$9:$M$184,5,FALSE),
IF($A143&lt;Valves!$A$92,VLOOKUP($A143,Valves!$A$9:$Q$91,5,FALSE),
IF($A143&lt;SDR35SW!$A$133,VLOOKUP($A143,SDR35SW!$A$9:$M$132,5,FALSE),
IF($A143&lt;SDR35G!$A$151,VLOOKUP($A143,SDR35G!$A$9:$M$150,5,FALSE),
IF($A143&lt;SDR26G!$A$67,VLOOKUP($A143,SDR26G!$A$9:$N$66,6,FALSE),
IF($A143&lt;Cements!$A$95,VLOOKUP($A143,Cements!$A$8:$Q$94,5,FALSE),
IF($A143&lt;ValveBox!$A$124,VLOOKUP($A143,ValveBox!$A$9:$O$123,5,FALSE),
IF($A143&lt;'ValveBox Components'!$A$142,VLOOKUP($A143,'ValveBox Components'!$A$9:$N$141,5,FALSE),
IF($A143&lt;Drainage!$A$69,VLOOKUP($A143,Drainage!$A$8:$M$68,5,FALSE),
IF($A143&lt;Nipples!$A$82,VLOOKUP($A143,Nipples!$A$9:$Q$81,5,FALSE),
IF($A143&lt;Manifold!$A$33,VLOOKUP($A143,Manifold!$A$9:$M$32,5,FALSE),
IF($A143&lt;FlexibleRepairCouplings!$A$12,VLOOKUP($A143,FlexibleRepairCouplings!$A$9:$M$11,5,FALSE),
IF($A143&lt;DuraFix!$A$15,VLOOKUP($A143,DuraFix!$A$9:$M$14,5,FALSE),
IF($A143&lt;'Compression Fittings'!$A$16,VLOOKUP($A143,'Compression Fittings'!$A$8:$M$15,5,FALSE),
IF($A143&lt;'Hose Fittings'!$A$30,VLOOKUP($A143,'Hose Fittings'!$A$8:$M$29,5,FALSE),
IF($A143&lt;'Swing Joints'!$A$495,VLOOKUP($A143,'Swing Joints'!$A$9:$M$494,5,FALSE),
IF($A143&lt;'Swing Joints Components'!$A$135,VLOOKUP($A143,'Swing Joints Components'!$A$9:$M$134,5,FALSE),
IF($A143&lt;Nonstandard!$A$42,VLOOKUP($A143,Nonstandard!$A$31:$J$41,6,FALSE),"")))))))))))))))))))))))))))),"")</f>
        <v/>
      </c>
      <c r="D143" s="534" t="str">
        <f>IFERROR(IF($A143&lt;'DWV PVC'!$A$317,VLOOKUP($A143,'DWV PVC'!$A$9:$M$316,6,FALSE),
IF($A143&lt;'DWV ABS'!$A$117,VLOOKUP($A143,'DWV ABS'!$A$8:$M$116,6,FALSE),
IF($A143&lt;'PVC SCH40'!$A$425,VLOOKUP($A143,'PVC SCH40'!$A$8:$M$424,6,FALSE),
IF($A143&lt;'PVC SCH40 LD'!$A$22,VLOOKUP($A143,'PVC SCH40 LD'!$A$8:$M$21,6,FALSE),
IF($A143&lt;'Pool &amp; SPA Sweep Elbows'!$A$12,VLOOKUP($A143,'Pool &amp; SPA Sweep Elbows'!$A$8:$M$11,6,FALSE),
IF($A143&lt;'Pool &amp; SPA Pipe Extender'!$A$11,VLOOKUP($A143,'Pool &amp; SPA Pipe Extender'!$A$8:$M$10,6,FALSE),
IF($A143&lt;'PVC SCH80'!$A$250,VLOOKUP($A143,'PVC SCH80'!$A$8:$M$249,6,FALSE),
IF($A143&lt;'PVC SCH80 Flange'!$A$49,VLOOKUP($A143,'PVC SCH80 Flange'!$A$8:$M$48,6,FALSE),
IF($A143&lt;'PVC SCH80 LD Flange'!$A$17,VLOOKUP($A143,'PVC SCH80 LD Flange'!$A$8:$M$16,6,FALSE),
IF($A143&lt;CPVC!$A$105,VLOOKUP($A143,CPVC!$A$9:$M$104,6,FALSE),
IF($A143&lt;InsertFittings!$A$185,VLOOKUP($A143,InsertFittings!$A$9:$M$184,6,FALSE),
IF($A143&lt;Valves!$A$92,VLOOKUP($A143,Valves!$A$9:$Q$91,6,FALSE),
IF($A143&lt;SDR35SW!$A$133,VLOOKUP($A143,SDR35SW!$A$9:$M$132,6,FALSE),
IF($A143&lt;SDR35G!$A$151,VLOOKUP($A143,SDR35G!$A$9:$M$150,6,FALSE),
IF($A143&lt;SDR26G!$A$67,VLOOKUP($A143,SDR26G!$A$9:$N$66,7,FALSE),
IF($A143&lt;Cements!$A$95,VLOOKUP($A143,Cements!$A$8:$Q$94,6,FALSE),
IF($A143&lt;ValveBox!$A$124,VLOOKUP($A143,ValveBox!$A$9:$O$123,6,FALSE),
IF($A143&lt;'ValveBox Components'!$A$142,VLOOKUP($A143,'ValveBox Components'!$A$9:$N$141,6,FALSE),
IF($A143&lt;Drainage!$A$69,VLOOKUP($A143,Drainage!$A$8:$M$68,6,FALSE),
IF($A143&lt;Nipples!$A$82,VLOOKUP($A143,Nipples!$A$9:$Q$81,6,FALSE),
IF($A143&lt;Manifold!$A$33,VLOOKUP($A143,Manifold!$A$9:$M$32,6,FALSE),
IF($A143&lt;FlexibleRepairCouplings!$A$12,VLOOKUP($A143,FlexibleRepairCouplings!$A$9:$M$11,6,FALSE),
IF($A143&lt;DuraFix!$A$15,VLOOKUP($A143,DuraFix!$A$9:$M$14,6,FALSE),
IF($A143&lt;'Compression Fittings'!$A$16,VLOOKUP($A143,'Compression Fittings'!$A$8:$M$15,6,FALSE),
IF($A143&lt;'Hose Fittings'!$A$30,VLOOKUP($A143,'Hose Fittings'!$A$8:$M$29,6,FALSE),
IF($A143&lt;'Swing Joints'!$A$495,VLOOKUP($A143,'Swing Joints'!$A$9:$M$494,6,FALSE),
IF($A143&lt;'Swing Joints Components'!$A$135,VLOOKUP($A143,'Swing Joints Components'!$A$9:$M$134,6,FALSE),
IF($A143&lt;Nonstandard!$A$42,VLOOKUP($A143,Nonstandard!$A$31:$J$41,7,FALSE),"")))))))))))))))))))))))))))),"")</f>
        <v/>
      </c>
      <c r="E143" s="316"/>
      <c r="F143" s="314" t="str">
        <f>IFERROR(IF($A143&lt;'DWV PVC'!$A$317,VLOOKUP($A143,'DWV PVC'!$A$9:$M$316,9,FALSE),
IF($A143&lt;'DWV ABS'!$A$117,VLOOKUP($A143,'DWV ABS'!$A$8:$M$116,9,FALSE),                                                                                                                                                                                                                                                     IF($A143&lt;'PVC SCH40'!$A$425,VLOOKUP($A143,'PVC SCH40'!$A$8:$M$424,9,FALSE),
IF($A143&lt;'PVC SCH40 LD'!$A$22,VLOOKUP($A143,'PVC SCH40 LD'!$A$8:$M$21,9,FALSE),
IF($A143&lt;'Pool &amp; SPA Sweep Elbows'!$A$12,VLOOKUP($A143,'Pool &amp; SPA Sweep Elbows'!$A$8:$M$11,9,FALSE),
IF($A143&lt;'Pool &amp; SPA Pipe Extender'!$A$11,VLOOKUP($A143,'Pool &amp; SPA Pipe Extender'!$A$8:$M$10,9,FALSE),
IF($A143&lt;'PVC SCH80'!$A$250,VLOOKUP($A143,'PVC SCH80'!$A$8:$M$249,9,FALSE),
IF($A143&lt;'PVC SCH80 Flange'!$A$49,VLOOKUP($A143,'PVC SCH80 Flange'!$A$8:$M$48,9,FALSE),
IF($A143&lt;'PVC SCH80 LD Flange'!$A$17,VLOOKUP($A143,'PVC SCH80 LD Flange'!$A$8:$M$16,9,FALSE),
IF($A143&lt;CPVC!$A$105,VLOOKUP($A143,CPVC!$A$9:$M$104,9,FALSE),
IF($A143&lt;InsertFittings!$A$185,VLOOKUP($A143,InsertFittings!$A$9:$M$184,9,FALSE),
IF($A143&lt;Valves!$A$92,VLOOKUP($A143,Valves!$A$9:$Q$91,13,FALSE),
IF($A143&lt;SDR35SW!$A$133,VLOOKUP($A143,SDR35SW!$A$9:$M$132,9,FALSE),
IF($A143&lt;SDR35G!$A$151,VLOOKUP($A143,SDR35G!$A$9:$M$150,9,FALSE),                                                                                                                                                                                                                                                          IF($A143&lt;SDR26G!$A$67,VLOOKUP($A143,SDR26G!$A$9:$N$66,10,FALSE),                                                                                                                                                                                                                                                       IF($A143&lt;Cements!$A$95,VLOOKUP($A143,Cements!$A$8:$Q$94,13,FALSE),
IF($A143&lt;ValveBox!$A$124,VLOOKUP($A143,ValveBox!$A$9:$O$123,11,FALSE),
IF($A143&lt;'ValveBox Components'!$A$142,VLOOKUP($A143,'ValveBox Components'!$A$9:$N$141,10,FALSE),
IF($A143&lt;Drainage!$A$69,VLOOKUP($A143,Drainage!$A$8:$M$68,9,FALSE),                                                                                                                                                                                                                                                              IF($A143&lt;Nipples!$A$82,VLOOKUP($A143,Nipples!$A$9:$Q$81,13,FALSE),
IF($A143&lt;Manifold!$A$33,VLOOKUP($A143,Manifold!$A$9:$M$32,9,FALSE),
IF($A143&lt;FlexibleRepairCouplings!$A$12,VLOOKUP($A143,FlexibleRepairCouplings!$A$9:$M$11,9,FALSE),
IF($A143&lt;DuraFix!$A$15,VLOOKUP($A143,DuraFix!$A$9:$M$14,9,FALSE),                                                                                                                                                                                                                                                          IF($A143&lt;'Compression Fittings'!$A$16,VLOOKUP($A143,'Compression Fittings'!$A$8:$M$15,9,FALSE),
IF($A143&lt;'Hose Fittings'!$A$30,VLOOKUP($A143,'Hose Fittings'!$A$8:$M$29,9,FALSE),
IF($A143&lt;'Swing Joints'!$A$495,VLOOKUP($A143,'Swing Joints'!$A$9:$M$494,9,FALSE),
IF($A143&lt;'Swing Joints Components'!$A$135,VLOOKUP($A143,'Swing Joints Components'!$A$9:$M$134,9,FALSE),
IF($A143&lt;Nonstandard!$A$42,VLOOKUP($A143,Nonstandard!$A$31:$J$41,8,FALSE),"")))))))))))))))))))))))))))),"")</f>
        <v/>
      </c>
      <c r="G143" s="533" t="str">
        <f>IFERROR(IF($A143&lt;'DWV PVC'!$A$317,VLOOKUP($A143,'DWV PVC'!$A$9:$M$316,11,FALSE),
IF($A143&lt;'DWV ABS'!$A$117,VLOOKUP($A143,'DWV ABS'!$A$8:$M$116,11,FALSE),                                                                                                                                                                                                                                                     IF($A143&lt;'PVC SCH40'!$A$425,VLOOKUP($A143,'PVC SCH40'!$A$8:$M$424,11,FALSE),
IF($A143&lt;'PVC SCH40 LD'!$A$22,VLOOKUP($A143,'PVC SCH40 LD'!$A$8:$M$21,11,FALSE),
IF($A143&lt;'Pool &amp; SPA Sweep Elbows'!$A$12,VLOOKUP($A143,'Pool &amp; SPA Sweep Elbows'!$A$8:$M$11,11,FALSE),
IF($A143&lt;'Pool &amp; SPA Pipe Extender'!$A$11,VLOOKUP($A143,'Pool &amp; SPA Pipe Extender'!$A$8:$M$10,11,FALSE),
IF($A143&lt;'PVC SCH80'!$A$250,VLOOKUP($A143,'PVC SCH80'!$A$8:$M$249,11,FALSE),
IF($A143&lt;'PVC SCH80 Flange'!$A$49,VLOOKUP($A143,'PVC SCH80 Flange'!$A$8:$M$48,11,FALSE),
IF($A143&lt;'PVC SCH80 LD Flange'!$A$17,VLOOKUP($A143,'PVC SCH80 LD Flange'!$A$8:$M$16,11,FALSE),
IF($A143&lt;CPVC!$A$105,VLOOKUP($A143,CPVC!$A$9:$M$104,11,FALSE),
IF($A143&lt;InsertFittings!$A$185,VLOOKUP($A143,InsertFittings!$A$9:$M$184,11,FALSE),
IF($A143&lt;Valves!$A$92,VLOOKUP($A143,Valves!$A$9:$Q$91,15,FALSE),
IF($A143&lt;SDR35SW!$A$133,VLOOKUP($A143,SDR35SW!$A$9:$M$132,11,FALSE),
IF($A143&lt;SDR35G!$A$151,VLOOKUP($A143,SDR35G!$A$9:$M$150,11,FALSE),                                                                                                                                                                                                                                                          IF($A143&lt;SDR26G!$A$67,VLOOKUP($A143,SDR26G!$A$9:$N$66,12,FALSE),                                                                                                                                                                                                                                                       IF($A143&lt;Cements!$A$95,VLOOKUP($A143,Cements!$A$8:$Q$94,15,FALSE),
IF($A143&lt;ValveBox!$A$124,VLOOKUP($A143,ValveBox!$A$9:$O$123,13,FALSE),
IF($A143&lt;'ValveBox Components'!$A$142,VLOOKUP($A143,'ValveBox Components'!$A$9:$N$141,12,FALSE),
IF($A143&lt;Drainage!$A$69,VLOOKUP($A143,Drainage!$A$8:$M$68,11,FALSE),                                                                                                                                                                                                                                                           IF($A143&lt;Nipples!$A$82,VLOOKUP($A143,Nipples!$A$9:$Q$81,15,FALSE),
IF($A143&lt;Manifold!$A$33,VLOOKUP($A143,Manifold!$A$9:$M$32,11,FALSE),
IF($A143&lt;FlexibleRepairCouplings!$A$12,VLOOKUP($A143,FlexibleRepairCouplings!$A$9:$M$11,11,FALSE),
IF($A143&lt;DuraFix!$A$15,VLOOKUP($A143,DuraFix!$A$9:$M$14,11,FALSE),                                                                                                                                                                                                                                                            IF($A143&lt;'Compression Fittings'!$A$16,VLOOKUP($A143,'Compression Fittings'!$A$8:$M$15,11,FALSE),
IF($A143&lt;'Hose Fittings'!$A$30,VLOOKUP($A143,'Hose Fittings'!$A$8:$M$29,11,FALSE),
IF($A143&lt;'Swing Joints'!$A$495,VLOOKUP($A143,'Swing Joints'!$A$9:$M$494,11,FALSE),
IF($A143&lt;'Swing Joints Components'!$A$135,VLOOKUP($A143,'Swing Joints Components'!$A$9:$M$134,11,FALSE),
IF($A143&lt;Nonstandard!$A$42,VLOOKUP($A143,Nonstandard!$A$31:$J$41,10,FALSE),"")))))))))))))))))))))))))))),"")</f>
        <v/>
      </c>
      <c r="H143" s="618" t="str">
        <f>IFERROR(IF($A143&lt;'DWV PVC'!$A$317,VLOOKUP($A143,'DWV PVC'!$A$9:$M$316,7,FALSE),
IF($A143&lt;'DWV ABS'!$A$117,VLOOKUP($A143,'DWV ABS'!$A$8:$M$116,11,FALSE),                                                                                                                                                                                                                                                     IF($A143&lt;'PVC SCH40'!$A$425,VLOOKUP($A143,'PVC SCH40'!$A$8:$M$424,7,FALSE),
IF($A143&lt;'PVC SCH40 LD'!$A$22,VLOOKUP($A143,'PVC SCH40 LD'!$A$8:$M$21,7,FALSE),
IF($A143&lt;'Pool &amp; SPA Sweep Elbows'!$A$12,VLOOKUP($A143,'Pool &amp; SPA Sweep Elbows'!$A$8:$M$11,7,FALSE),
IF($A143&lt;'Pool &amp; SPA Pipe Extender'!$A$11,VLOOKUP($A143,'Pool &amp; SPA Pipe Extender'!$A$8:$M$10,7,FALSE),
IF($A143&lt;'PVC SCH80'!$A$250,VLOOKUP($A143,'PVC SCH80'!$A$8:$M$249,7,FALSE),
IF($A143&lt;'PVC SCH80 Flange'!$A$49,VLOOKUP($A143,'PVC SCH80 Flange'!$A$8:$M$48,7,FALSE),
IF($A143&lt;'PVC SCH80 LD Flange'!$A$17,VLOOKUP($A143,'PVC SCH80 LD Flange'!$A$8:$M$16,7,FALSE),
IF($A143&lt;CPVC!$A$105,VLOOKUP($A143,CPVC!$A$9:$M$104,7,FALSE),
IF($A143&lt;InsertFittings!$A$185,VLOOKUP($A143,InsertFittings!$A$9:$M$184,7,FALSE),
IF($A143&lt;Valves!$A$92,VLOOKUP($A143,Valves!$A$9:$Q$91,11,FALSE),
IF($A143&lt;SDR35SW!$A$133,VLOOKUP($A143,SDR35SW!$A$9:$M$132,7,FALSE),
IF($A143&lt;SDR35G!$A$151,VLOOKUP($A143,SDR35G!$A$9:$M$150,7,FALSE),                                                                                                                                                                                                                                                       IF($A143&lt;SDR26G!$A$67,VLOOKUP($A143,SDR26G!$A$9:$N$66,8,FALSE),                                                                                                                                                                                                                                                     IF($A143&lt;Cements!$A$95,VLOOKUP($A143,Cements!$A$8:$Q$94,11,FALSE),
IF($A143&lt;ValveBox!$A$124,VLOOKUP($A143,ValveBox!$A$9:$O$123,10,FALSE),
IF($A143&lt;'ValveBox Components'!$A$142,VLOOKUP($A143,'ValveBox Components'!$A$9:$N$141,9,FALSE),
IF($A143&lt;Drainage!$A$69,VLOOKUP($A143,Drainage!$A$8:$M$68,7,FALSE),                                                                                                                                                                                                                                                          IF($A143&lt;Nipples!$A$82,VLOOKUP($A143,Nipples!$A$9:$Q$81,11,FALSE),
IF($A143&lt;Manifold!$A$33,VLOOKUP($A143,Manifold!$A$9:$M$32,7,FALSE),
IF($A143&lt;FlexibleRepairCouplings!$A$12,VLOOKUP($A143,FlexibleRepairCouplings!$A$9:$M$11,7,FALSE),
IF($A143&lt;DuraFix!$A$15,VLOOKUP($A143,DuraFix!$A$9:$M$14,7,FALSE),                                                                                                                                                                                                                                                           IF($A143&lt;'Compression Fittings'!$A$16,VLOOKUP($A143,'Compression Fittings'!$A$8:$M$15,7,FALSE),
IF($A143&lt;'Hose Fittings'!$A$30,VLOOKUP($A143,'Hose Fittings'!$A$8:$M$29,7,FALSE),
IF($A143&lt;'Swing Joints'!$A$495,VLOOKUP($A143,'Swing Joints'!$A$9:$M$494,7,FALSE),
IF($A143&lt;'Swing Joints Components'!$A$135,VLOOKUP($A143,'Swing Joints Components'!$A$9:$M$134,7,FALSE),
IF($A143&lt;Nonstandard!$A$42,VLOOKUP($A143,Nonstandard!$A$31:$J$41,10,FALSE),"")))))))))))))))))))))))))))),"")</f>
        <v/>
      </c>
      <c r="I143" s="619"/>
      <c r="J143" s="281" t="str">
        <f t="shared" si="3"/>
        <v/>
      </c>
      <c r="K143" s="313" t="str">
        <f>IFERROR(IF($A143&lt;'DWV PVC'!$A$317,VLOOKUP($A143,'DWV PVC'!$A$9:$M$316,10,FALSE),
IF($A143&lt;'DWV ABS'!$A$117,VLOOKUP($A143,'DWV ABS'!$A$8:$M$116,10,FALSE),
IF($A143&lt;'PVC SCH40'!$A$425,VLOOKUP($A143,'PVC SCH40'!$A$8:$M$424,10,FALSE),
IF($A143&lt;'PVC SCH40 LD'!$A$22,VLOOKUP($A143,'PVC SCH40 LD'!$A$8:$M$21,10,FALSE),
IF($A143&lt;'Pool &amp; SPA Sweep Elbows'!$A$12,VLOOKUP($A143,'Pool &amp; SPA Sweep Elbows'!$A$8:$M$11,10,FALSE),
IF($A143&lt;'Pool &amp; SPA Pipe Extender'!$A$11,VLOOKUP($A143,'Pool &amp; SPA Pipe Extender'!$A$8:$M$10,10,FALSE),
IF($A143&lt;'PVC SCH80'!$A$250,VLOOKUP($A143,'PVC SCH80'!$A$8:$M$249,10,FALSE),
IF($A143&lt;'PVC SCH80 Flange'!$A$49,VLOOKUP($A143,'PVC SCH80 Flange'!$A$8:$M$48,10,FALSE),
IF($A143&lt;'PVC SCH80 LD Flange'!$A$17,VLOOKUP($A143,'PVC SCH80 LD Flange'!$A$8:$M$16,10,FALSE),
IF($A143&lt;CPVC!$A$105,VLOOKUP($A143,CPVC!$A$9:$M$104,10,FALSE),
IF($A143&lt;InsertFittings!$A$185,VLOOKUP($A143,InsertFittings!$A$9:$M$184,10,FALSE),
IF($A143&lt;Valves!$A$92,VLOOKUP($A143,Valves!$A$9:$Q$91,14,FALSE),
IF($A143&lt;SDR35SW!$A$133,VLOOKUP($A143,SDR35SW!$A$9:$M$132,10,FALSE),
IF($A143&lt;SDR35G!$A$151,VLOOKUP($A143,SDR35G!$A$9:$M$150,10,FALSE),
IF($A143&lt;SDR26G!$A$67,VLOOKUP($A143,SDR26G!$A$9:$N$66,11,FALSE),
IF($A143&lt;Cements!$A$95,VLOOKUP($A143,Cements!$A$8:$Q$94,14,FALSE),
IF($A143&lt;ValveBox!$A$124,VLOOKUP($A143,ValveBox!$A$9:$O$123,12,FALSE),
IF($A143&lt;'ValveBox Components'!$A$142,VLOOKUP($A143,'ValveBox Components'!$A$9:$N$141,11,FALSE),
IF($A143&lt;Drainage!$A$69,VLOOKUP($A143,Drainage!$A$8:$M$68,10,FALSE),
IF($A143&lt;Nipples!$A$82,VLOOKUP($A143,Nipples!$A$9:$Q$81,14,FALSE),
IF($A143&lt;Manifold!$A$33,VLOOKUP($A143,Manifold!$A$9:$M$32,10,FALSE),
IF($A143&lt;FlexibleRepairCouplings!$A$12,VLOOKUP($A143,FlexibleRepairCouplings!$A$9:$M$11,10,FALSE),
IF($A143&lt;DuraFix!$A$15,VLOOKUP($A143,DuraFix!$A$9:$M$14,10,FALSE),
IF($A143&lt;'Compression Fittings'!$A$16,VLOOKUP($A143,'Compression Fittings'!$A$8:$M$15,10,FALSE),
IF($A143&lt;'Hose Fittings'!$A$30,VLOOKUP($A143,'Hose Fittings'!$A$8:$M$29,10,FALSE),
IF($A143&lt;'Swing Joints'!$A$495,VLOOKUP($A143,'Swing Joints'!$A$9:$M$494,10,FALSE),
IF($A143&lt;'Swing Joints Components'!$A$135,VLOOKUP($A143,'Swing Joints Components'!$A$9:$M$134,10,FALSE),
IF($A143&lt;Nonstandard!$A$42,VLOOKUP($A143,Nonstandard!$A$31:$J$41,10,FALSE),"")))))))))))))))))))))))))))),"")</f>
        <v/>
      </c>
      <c r="L143" s="314" t="str">
        <f t="shared" si="2"/>
        <v>-</v>
      </c>
      <c r="M143" s="315"/>
    </row>
    <row r="144" spans="1:13" ht="15.6">
      <c r="A144" s="536">
        <v>112</v>
      </c>
      <c r="B144" s="536" t="str">
        <f>IFERROR(IF($A144&lt;'DWV PVC'!$A$317,VLOOKUP($A144,'DWV PVC'!$A$9:$M$316,4,FALSE),
IF($A144&lt;'DWV ABS'!$A$117,VLOOKUP($A144,'DWV ABS'!$A$8:$M$116,4,FALSE),
IF($A144&lt;'PVC SCH40'!$A$425,VLOOKUP($A144,'PVC SCH40'!$A$8:$M$424,4,FALSE),
IF($A144&lt;'PVC SCH40 LD'!$A$22,VLOOKUP($A144,'PVC SCH40 LD'!$A$8:$M$21,4,FALSE),
IF($A144&lt;'Pool &amp; SPA Sweep Elbows'!$A$12,VLOOKUP($A144,'Pool &amp; SPA Sweep Elbows'!$A$8:$M$11,4,FALSE),
IF($A144&lt;'Pool &amp; SPA Pipe Extender'!$A$11,VLOOKUP($A144,'Pool &amp; SPA Pipe Extender'!$A$8:$M$10,4,FALSE),
IF($A144&lt;'PVC SCH80'!$A$250,VLOOKUP($A144,'PVC SCH80'!$A$8:$M$249,4,FALSE),
IF($A144&lt;'PVC SCH80 Flange'!$A$49,VLOOKUP($A144,'PVC SCH80 Flange'!$A$8:$M$48,4,FALSE),
IF($A144&lt;'PVC SCH80 LD Flange'!$A$17,VLOOKUP($A144,'PVC SCH80 LD Flange'!$A$8:$M$16,4,FALSE),
IF($A144&lt;CPVC!$A$105,VLOOKUP($A144,CPVC!$A$9:$M$104,4,FALSE),
IF($A144&lt;InsertFittings!$A$185,VLOOKUP($A144,InsertFittings!$A$9:$M$184,4,FALSE),
IF($A144&lt;Valves!$A$92,VLOOKUP($A144,Valves!$A$9:$Q$91,4,FALSE),
IF($A144&lt;SDR35SW!$A$133,VLOOKUP($A144,SDR35SW!$A$9:$M$132,4,FALSE),
IF($A144&lt;SDR35G!$A$151,VLOOKUP($A144,SDR35G!$A$9:$M$150,4,FALSE),
IF($A144&lt;SDR26G!$A$67,VLOOKUP($A144,SDR26G!$A$9:$N$66,5,FALSE),
IF($A144&lt;Cements!$A$95,VLOOKUP($A144,Cements!$A$8:$Q$94,4,FALSE),
IF($A144&lt;ValveBox!$A$124,VLOOKUP($A144,ValveBox!$A$9:$O$123,4,FALSE),
IF($A144&lt;'ValveBox Components'!$A$142,VLOOKUP($A144,'ValveBox Components'!$A$9:$N$141,4,FALSE),
IF($A144&lt;Drainage!$A$69,VLOOKUP($A144,Drainage!$A$8:$M$68,4,FALSE),
IF($A144&lt;Nipples!$A$82,VLOOKUP($A144,Nipples!$A$9:$Q$81,4,FALSE),
IF($A144&lt;Manifold!$A$33,VLOOKUP($A144,Manifold!$A$9:$M$32,4,FALSE),
IF($A144&lt;FlexibleRepairCouplings!$A$12,VLOOKUP($A144,FlexibleRepairCouplings!$A$9:$M$11,4,FALSE),
IF($A144&lt;DuraFix!$A$15,VLOOKUP($A144,DuraFix!$A$9:$M$14,4,FALSE),
IF($A144&lt;'Compression Fittings'!$A$16,VLOOKUP($A144,'Compression Fittings'!$A$8:$M$15,4,FALSE),
IF($A144&lt;'Hose Fittings'!$A$30,VLOOKUP($A144,'Hose Fittings'!$A$8:$M$29,4,FALSE),
IF($A144&lt;'Swing Joints'!$A$495,VLOOKUP($A144,'Swing Joints'!$A$9:$M$494,4,FALSE),
IF($A144&lt;'Swing Joints Components'!$A$135,VLOOKUP($A144,'Swing Joints Components'!$A$9:$M$134,4,FALSE),
IF($A144&lt;Nonstandard!$A$42,VLOOKUP($A144,Nonstandard!$A$31:$J$41,5,FALSE),"")))))))))))))))))))))))))))),"")</f>
        <v/>
      </c>
      <c r="C144" s="536" t="str">
        <f>IFERROR(IF($A144&lt;'DWV PVC'!$A$317,VLOOKUP($A144,'DWV PVC'!$A$9:$M$316,5,FALSE),
IF($A144&lt;'DWV ABS'!$A$117,VLOOKUP($A144,'DWV ABS'!$A$8:$M$116,5,FALSE),
IF($A144&lt;'PVC SCH40'!$A$425,VLOOKUP($A144,'PVC SCH40'!$A$8:$M$424,5,FALSE),
IF($A144&lt;'PVC SCH40 LD'!$A$22,VLOOKUP($A144,'PVC SCH40 LD'!$A$8:$M$21,5,FALSE),
IF($A144&lt;'Pool &amp; SPA Sweep Elbows'!$A$12,VLOOKUP($A144,'Pool &amp; SPA Sweep Elbows'!$A$8:$M$11,5,FALSE),
IF($A144&lt;'Pool &amp; SPA Pipe Extender'!$A$11,VLOOKUP($A144,'Pool &amp; SPA Pipe Extender'!$A$8:$M$10,5,FALSE),
IF($A144&lt;'PVC SCH80'!$A$250,VLOOKUP($A144,'PVC SCH80'!$A$8:$M$249,5,FALSE),
IF($A144&lt;'PVC SCH80 Flange'!$A$49,VLOOKUP($A144,'PVC SCH80 Flange'!$A$8:$M$48,5,FALSE),
IF($A144&lt;'PVC SCH80 LD Flange'!$A$17,VLOOKUP($A144,'PVC SCH80 LD Flange'!$A$8:$M$16,5,FALSE),
IF($A144&lt;CPVC!$A$105,VLOOKUP($A144,CPVC!$A$9:$M$104,5,FALSE),
IF($A144&lt;InsertFittings!$A$185,VLOOKUP($A144,InsertFittings!$A$9:$M$184,5,FALSE),
IF($A144&lt;Valves!$A$92,VLOOKUP($A144,Valves!$A$9:$Q$91,5,FALSE),
IF($A144&lt;SDR35SW!$A$133,VLOOKUP($A144,SDR35SW!$A$9:$M$132,5,FALSE),
IF($A144&lt;SDR35G!$A$151,VLOOKUP($A144,SDR35G!$A$9:$M$150,5,FALSE),
IF($A144&lt;SDR26G!$A$67,VLOOKUP($A144,SDR26G!$A$9:$N$66,6,FALSE),
IF($A144&lt;Cements!$A$95,VLOOKUP($A144,Cements!$A$8:$Q$94,5,FALSE),
IF($A144&lt;ValveBox!$A$124,VLOOKUP($A144,ValveBox!$A$9:$O$123,5,FALSE),
IF($A144&lt;'ValveBox Components'!$A$142,VLOOKUP($A144,'ValveBox Components'!$A$9:$N$141,5,FALSE),
IF($A144&lt;Drainage!$A$69,VLOOKUP($A144,Drainage!$A$8:$M$68,5,FALSE),
IF($A144&lt;Nipples!$A$82,VLOOKUP($A144,Nipples!$A$9:$Q$81,5,FALSE),
IF($A144&lt;Manifold!$A$33,VLOOKUP($A144,Manifold!$A$9:$M$32,5,FALSE),
IF($A144&lt;FlexibleRepairCouplings!$A$12,VLOOKUP($A144,FlexibleRepairCouplings!$A$9:$M$11,5,FALSE),
IF($A144&lt;DuraFix!$A$15,VLOOKUP($A144,DuraFix!$A$9:$M$14,5,FALSE),
IF($A144&lt;'Compression Fittings'!$A$16,VLOOKUP($A144,'Compression Fittings'!$A$8:$M$15,5,FALSE),
IF($A144&lt;'Hose Fittings'!$A$30,VLOOKUP($A144,'Hose Fittings'!$A$8:$M$29,5,FALSE),
IF($A144&lt;'Swing Joints'!$A$495,VLOOKUP($A144,'Swing Joints'!$A$9:$M$494,5,FALSE),
IF($A144&lt;'Swing Joints Components'!$A$135,VLOOKUP($A144,'Swing Joints Components'!$A$9:$M$134,5,FALSE),
IF($A144&lt;Nonstandard!$A$42,VLOOKUP($A144,Nonstandard!$A$31:$J$41,6,FALSE),"")))))))))))))))))))))))))))),"")</f>
        <v/>
      </c>
      <c r="D144" s="537" t="str">
        <f>IFERROR(IF($A144&lt;'DWV PVC'!$A$317,VLOOKUP($A144,'DWV PVC'!$A$9:$M$316,6,FALSE),
IF($A144&lt;'DWV ABS'!$A$117,VLOOKUP($A144,'DWV ABS'!$A$8:$M$116,6,FALSE),
IF($A144&lt;'PVC SCH40'!$A$425,VLOOKUP($A144,'PVC SCH40'!$A$8:$M$424,6,FALSE),
IF($A144&lt;'PVC SCH40 LD'!$A$22,VLOOKUP($A144,'PVC SCH40 LD'!$A$8:$M$21,6,FALSE),
IF($A144&lt;'Pool &amp; SPA Sweep Elbows'!$A$12,VLOOKUP($A144,'Pool &amp; SPA Sweep Elbows'!$A$8:$M$11,6,FALSE),
IF($A144&lt;'Pool &amp; SPA Pipe Extender'!$A$11,VLOOKUP($A144,'Pool &amp; SPA Pipe Extender'!$A$8:$M$10,6,FALSE),
IF($A144&lt;'PVC SCH80'!$A$250,VLOOKUP($A144,'PVC SCH80'!$A$8:$M$249,6,FALSE),
IF($A144&lt;'PVC SCH80 Flange'!$A$49,VLOOKUP($A144,'PVC SCH80 Flange'!$A$8:$M$48,6,FALSE),
IF($A144&lt;'PVC SCH80 LD Flange'!$A$17,VLOOKUP($A144,'PVC SCH80 LD Flange'!$A$8:$M$16,6,FALSE),
IF($A144&lt;CPVC!$A$105,VLOOKUP($A144,CPVC!$A$9:$M$104,6,FALSE),
IF($A144&lt;InsertFittings!$A$185,VLOOKUP($A144,InsertFittings!$A$9:$M$184,6,FALSE),
IF($A144&lt;Valves!$A$92,VLOOKUP($A144,Valves!$A$9:$Q$91,6,FALSE),
IF($A144&lt;SDR35SW!$A$133,VLOOKUP($A144,SDR35SW!$A$9:$M$132,6,FALSE),
IF($A144&lt;SDR35G!$A$151,VLOOKUP($A144,SDR35G!$A$9:$M$150,6,FALSE),
IF($A144&lt;SDR26G!$A$67,VLOOKUP($A144,SDR26G!$A$9:$N$66,7,FALSE),
IF($A144&lt;Cements!$A$95,VLOOKUP($A144,Cements!$A$8:$Q$94,6,FALSE),
IF($A144&lt;ValveBox!$A$124,VLOOKUP($A144,ValveBox!$A$9:$O$123,6,FALSE),
IF($A144&lt;'ValveBox Components'!$A$142,VLOOKUP($A144,'ValveBox Components'!$A$9:$N$141,6,FALSE),
IF($A144&lt;Drainage!$A$69,VLOOKUP($A144,Drainage!$A$8:$M$68,6,FALSE),
IF($A144&lt;Nipples!$A$82,VLOOKUP($A144,Nipples!$A$9:$Q$81,6,FALSE),
IF($A144&lt;Manifold!$A$33,VLOOKUP($A144,Manifold!$A$9:$M$32,6,FALSE),
IF($A144&lt;FlexibleRepairCouplings!$A$12,VLOOKUP($A144,FlexibleRepairCouplings!$A$9:$M$11,6,FALSE),
IF($A144&lt;DuraFix!$A$15,VLOOKUP($A144,DuraFix!$A$9:$M$14,6,FALSE),
IF($A144&lt;'Compression Fittings'!$A$16,VLOOKUP($A144,'Compression Fittings'!$A$8:$M$15,6,FALSE),
IF($A144&lt;'Hose Fittings'!$A$30,VLOOKUP($A144,'Hose Fittings'!$A$8:$M$29,6,FALSE),
IF($A144&lt;'Swing Joints'!$A$495,VLOOKUP($A144,'Swing Joints'!$A$9:$M$494,6,FALSE),
IF($A144&lt;'Swing Joints Components'!$A$135,VLOOKUP($A144,'Swing Joints Components'!$A$9:$M$134,6,FALSE),
IF($A144&lt;Nonstandard!$A$42,VLOOKUP($A144,Nonstandard!$A$31:$J$41,7,FALSE),"")))))))))))))))))))))))))))),"")</f>
        <v/>
      </c>
      <c r="E144" s="538"/>
      <c r="F144" s="539" t="str">
        <f>IFERROR(IF($A144&lt;'DWV PVC'!$A$317,VLOOKUP($A144,'DWV PVC'!$A$9:$M$316,9,FALSE),
IF($A144&lt;'DWV ABS'!$A$117,VLOOKUP($A144,'DWV ABS'!$A$8:$M$116,9,FALSE),                                                                                                                                                                                                                                                     IF($A144&lt;'PVC SCH40'!$A$425,VLOOKUP($A144,'PVC SCH40'!$A$8:$M$424,9,FALSE),
IF($A144&lt;'PVC SCH40 LD'!$A$22,VLOOKUP($A144,'PVC SCH40 LD'!$A$8:$M$21,9,FALSE),
IF($A144&lt;'Pool &amp; SPA Sweep Elbows'!$A$12,VLOOKUP($A144,'Pool &amp; SPA Sweep Elbows'!$A$8:$M$11,9,FALSE),
IF($A144&lt;'Pool &amp; SPA Pipe Extender'!$A$11,VLOOKUP($A144,'Pool &amp; SPA Pipe Extender'!$A$8:$M$10,9,FALSE),
IF($A144&lt;'PVC SCH80'!$A$250,VLOOKUP($A144,'PVC SCH80'!$A$8:$M$249,9,FALSE),
IF($A144&lt;'PVC SCH80 Flange'!$A$49,VLOOKUP($A144,'PVC SCH80 Flange'!$A$8:$M$48,9,FALSE),
IF($A144&lt;'PVC SCH80 LD Flange'!$A$17,VLOOKUP($A144,'PVC SCH80 LD Flange'!$A$8:$M$16,9,FALSE),
IF($A144&lt;CPVC!$A$105,VLOOKUP($A144,CPVC!$A$9:$M$104,9,FALSE),
IF($A144&lt;InsertFittings!$A$185,VLOOKUP($A144,InsertFittings!$A$9:$M$184,9,FALSE),
IF($A144&lt;Valves!$A$92,VLOOKUP($A144,Valves!$A$9:$Q$91,13,FALSE),
IF($A144&lt;SDR35SW!$A$133,VLOOKUP($A144,SDR35SW!$A$9:$M$132,9,FALSE),
IF($A144&lt;SDR35G!$A$151,VLOOKUP($A144,SDR35G!$A$9:$M$150,9,FALSE),                                                                                                                                                                                                                                                          IF($A144&lt;SDR26G!$A$67,VLOOKUP($A144,SDR26G!$A$9:$N$66,10,FALSE),                                                                                                                                                                                                                                                       IF($A144&lt;Cements!$A$95,VLOOKUP($A144,Cements!$A$8:$Q$94,13,FALSE),
IF($A144&lt;ValveBox!$A$124,VLOOKUP($A144,ValveBox!$A$9:$O$123,11,FALSE),
IF($A144&lt;'ValveBox Components'!$A$142,VLOOKUP($A144,'ValveBox Components'!$A$9:$N$141,10,FALSE),
IF($A144&lt;Drainage!$A$69,VLOOKUP($A144,Drainage!$A$8:$M$68,9,FALSE),                                                                                                                                                                                                                                                              IF($A144&lt;Nipples!$A$82,VLOOKUP($A144,Nipples!$A$9:$Q$81,13,FALSE),
IF($A144&lt;Manifold!$A$33,VLOOKUP($A144,Manifold!$A$9:$M$32,9,FALSE),
IF($A144&lt;FlexibleRepairCouplings!$A$12,VLOOKUP($A144,FlexibleRepairCouplings!$A$9:$M$11,9,FALSE),
IF($A144&lt;DuraFix!$A$15,VLOOKUP($A144,DuraFix!$A$9:$M$14,9,FALSE),                                                                                                                                                                                                                                                          IF($A144&lt;'Compression Fittings'!$A$16,VLOOKUP($A144,'Compression Fittings'!$A$8:$M$15,9,FALSE),
IF($A144&lt;'Hose Fittings'!$A$30,VLOOKUP($A144,'Hose Fittings'!$A$8:$M$29,9,FALSE),
IF($A144&lt;'Swing Joints'!$A$495,VLOOKUP($A144,'Swing Joints'!$A$9:$M$494,9,FALSE),
IF($A144&lt;'Swing Joints Components'!$A$135,VLOOKUP($A144,'Swing Joints Components'!$A$9:$M$134,9,FALSE),
IF($A144&lt;Nonstandard!$A$42,VLOOKUP($A144,Nonstandard!$A$31:$J$41,8,FALSE),"")))))))))))))))))))))))))))),"")</f>
        <v/>
      </c>
      <c r="G144" s="540" t="str">
        <f>IFERROR(IF($A144&lt;'DWV PVC'!$A$317,VLOOKUP($A144,'DWV PVC'!$A$9:$M$316,11,FALSE),
IF($A144&lt;'DWV ABS'!$A$117,VLOOKUP($A144,'DWV ABS'!$A$8:$M$116,11,FALSE),                                                                                                                                                                                                                                                     IF($A144&lt;'PVC SCH40'!$A$425,VLOOKUP($A144,'PVC SCH40'!$A$8:$M$424,11,FALSE),
IF($A144&lt;'PVC SCH40 LD'!$A$22,VLOOKUP($A144,'PVC SCH40 LD'!$A$8:$M$21,11,FALSE),
IF($A144&lt;'Pool &amp; SPA Sweep Elbows'!$A$12,VLOOKUP($A144,'Pool &amp; SPA Sweep Elbows'!$A$8:$M$11,11,FALSE),
IF($A144&lt;'Pool &amp; SPA Pipe Extender'!$A$11,VLOOKUP($A144,'Pool &amp; SPA Pipe Extender'!$A$8:$M$10,11,FALSE),
IF($A144&lt;'PVC SCH80'!$A$250,VLOOKUP($A144,'PVC SCH80'!$A$8:$M$249,11,FALSE),
IF($A144&lt;'PVC SCH80 Flange'!$A$49,VLOOKUP($A144,'PVC SCH80 Flange'!$A$8:$M$48,11,FALSE),
IF($A144&lt;'PVC SCH80 LD Flange'!$A$17,VLOOKUP($A144,'PVC SCH80 LD Flange'!$A$8:$M$16,11,FALSE),
IF($A144&lt;CPVC!$A$105,VLOOKUP($A144,CPVC!$A$9:$M$104,11,FALSE),
IF($A144&lt;InsertFittings!$A$185,VLOOKUP($A144,InsertFittings!$A$9:$M$184,11,FALSE),
IF($A144&lt;Valves!$A$92,VLOOKUP($A144,Valves!$A$9:$Q$91,15,FALSE),
IF($A144&lt;SDR35SW!$A$133,VLOOKUP($A144,SDR35SW!$A$9:$M$132,11,FALSE),
IF($A144&lt;SDR35G!$A$151,VLOOKUP($A144,SDR35G!$A$9:$M$150,11,FALSE),                                                                                                                                                                                                                                                          IF($A144&lt;SDR26G!$A$67,VLOOKUP($A144,SDR26G!$A$9:$N$66,12,FALSE),                                                                                                                                                                                                                                                       IF($A144&lt;Cements!$A$95,VLOOKUP($A144,Cements!$A$8:$Q$94,15,FALSE),
IF($A144&lt;ValveBox!$A$124,VLOOKUP($A144,ValveBox!$A$9:$O$123,13,FALSE),
IF($A144&lt;'ValveBox Components'!$A$142,VLOOKUP($A144,'ValveBox Components'!$A$9:$N$141,12,FALSE),
IF($A144&lt;Drainage!$A$69,VLOOKUP($A144,Drainage!$A$8:$M$68,11,FALSE),                                                                                                                                                                                                                                                           IF($A144&lt;Nipples!$A$82,VLOOKUP($A144,Nipples!$A$9:$Q$81,15,FALSE),
IF($A144&lt;Manifold!$A$33,VLOOKUP($A144,Manifold!$A$9:$M$32,11,FALSE),
IF($A144&lt;FlexibleRepairCouplings!$A$12,VLOOKUP($A144,FlexibleRepairCouplings!$A$9:$M$11,11,FALSE),
IF($A144&lt;DuraFix!$A$15,VLOOKUP($A144,DuraFix!$A$9:$M$14,11,FALSE),                                                                                                                                                                                                                                                            IF($A144&lt;'Compression Fittings'!$A$16,VLOOKUP($A144,'Compression Fittings'!$A$8:$M$15,11,FALSE),
IF($A144&lt;'Hose Fittings'!$A$30,VLOOKUP($A144,'Hose Fittings'!$A$8:$M$29,11,FALSE),
IF($A144&lt;'Swing Joints'!$A$495,VLOOKUP($A144,'Swing Joints'!$A$9:$M$494,11,FALSE),
IF($A144&lt;'Swing Joints Components'!$A$135,VLOOKUP($A144,'Swing Joints Components'!$A$9:$M$134,11,FALSE),
IF($A144&lt;Nonstandard!$A$42,VLOOKUP($A144,Nonstandard!$A$31:$J$41,10,FALSE),"")))))))))))))))))))))))))))),"")</f>
        <v/>
      </c>
      <c r="H144" s="620" t="str">
        <f>IFERROR(IF($A144&lt;'DWV PVC'!$A$317,VLOOKUP($A144,'DWV PVC'!$A$9:$M$316,7,FALSE),
IF($A144&lt;'DWV ABS'!$A$117,VLOOKUP($A144,'DWV ABS'!$A$8:$M$116,11,FALSE),                                                                                                                                                                                                                                                     IF($A144&lt;'PVC SCH40'!$A$425,VLOOKUP($A144,'PVC SCH40'!$A$8:$M$424,7,FALSE),
IF($A144&lt;'PVC SCH40 LD'!$A$22,VLOOKUP($A144,'PVC SCH40 LD'!$A$8:$M$21,7,FALSE),
IF($A144&lt;'Pool &amp; SPA Sweep Elbows'!$A$12,VLOOKUP($A144,'Pool &amp; SPA Sweep Elbows'!$A$8:$M$11,7,FALSE),
IF($A144&lt;'Pool &amp; SPA Pipe Extender'!$A$11,VLOOKUP($A144,'Pool &amp; SPA Pipe Extender'!$A$8:$M$10,7,FALSE),
IF($A144&lt;'PVC SCH80'!$A$250,VLOOKUP($A144,'PVC SCH80'!$A$8:$M$249,7,FALSE),
IF($A144&lt;'PVC SCH80 Flange'!$A$49,VLOOKUP($A144,'PVC SCH80 Flange'!$A$8:$M$48,7,FALSE),
IF($A144&lt;'PVC SCH80 LD Flange'!$A$17,VLOOKUP($A144,'PVC SCH80 LD Flange'!$A$8:$M$16,7,FALSE),
IF($A144&lt;CPVC!$A$105,VLOOKUP($A144,CPVC!$A$9:$M$104,7,FALSE),
IF($A144&lt;InsertFittings!$A$185,VLOOKUP($A144,InsertFittings!$A$9:$M$184,7,FALSE),
IF($A144&lt;Valves!$A$92,VLOOKUP($A144,Valves!$A$9:$Q$91,11,FALSE),
IF($A144&lt;SDR35SW!$A$133,VLOOKUP($A144,SDR35SW!$A$9:$M$132,7,FALSE),
IF($A144&lt;SDR35G!$A$151,VLOOKUP($A144,SDR35G!$A$9:$M$150,7,FALSE),                                                                                                                                                                                                                                                       IF($A144&lt;SDR26G!$A$67,VLOOKUP($A144,SDR26G!$A$9:$N$66,8,FALSE),                                                                                                                                                                                                                                                     IF($A144&lt;Cements!$A$95,VLOOKUP($A144,Cements!$A$8:$Q$94,11,FALSE),
IF($A144&lt;ValveBox!$A$124,VLOOKUP($A144,ValveBox!$A$9:$O$123,10,FALSE),
IF($A144&lt;'ValveBox Components'!$A$142,VLOOKUP($A144,'ValveBox Components'!$A$9:$N$141,9,FALSE),
IF($A144&lt;Drainage!$A$69,VLOOKUP($A144,Drainage!$A$8:$M$68,7,FALSE),                                                                                                                                                                                                                                                          IF($A144&lt;Nipples!$A$82,VLOOKUP($A144,Nipples!$A$9:$Q$81,11,FALSE),
IF($A144&lt;Manifold!$A$33,VLOOKUP($A144,Manifold!$A$9:$M$32,7,FALSE),
IF($A144&lt;FlexibleRepairCouplings!$A$12,VLOOKUP($A144,FlexibleRepairCouplings!$A$9:$M$11,7,FALSE),
IF($A144&lt;DuraFix!$A$15,VLOOKUP($A144,DuraFix!$A$9:$M$14,7,FALSE),                                                                                                                                                                                                                                                           IF($A144&lt;'Compression Fittings'!$A$16,VLOOKUP($A144,'Compression Fittings'!$A$8:$M$15,7,FALSE),
IF($A144&lt;'Hose Fittings'!$A$30,VLOOKUP($A144,'Hose Fittings'!$A$8:$M$29,7,FALSE),
IF($A144&lt;'Swing Joints'!$A$495,VLOOKUP($A144,'Swing Joints'!$A$9:$M$494,7,FALSE),
IF($A144&lt;'Swing Joints Components'!$A$135,VLOOKUP($A144,'Swing Joints Components'!$A$9:$M$134,7,FALSE),
IF($A144&lt;Nonstandard!$A$42,VLOOKUP($A144,Nonstandard!$A$31:$J$41,10,FALSE),"")))))))))))))))))))))))))))),"")</f>
        <v/>
      </c>
      <c r="I144" s="621"/>
      <c r="J144" s="541" t="str">
        <f t="shared" si="3"/>
        <v/>
      </c>
      <c r="K144" s="599" t="str">
        <f>IFERROR(IF($A144&lt;'DWV PVC'!$A$317,VLOOKUP($A144,'DWV PVC'!$A$9:$M$316,10,FALSE),
IF($A144&lt;'DWV ABS'!$A$117,VLOOKUP($A144,'DWV ABS'!$A$8:$M$116,10,FALSE),
IF($A144&lt;'PVC SCH40'!$A$425,VLOOKUP($A144,'PVC SCH40'!$A$8:$M$424,10,FALSE),
IF($A144&lt;'PVC SCH40 LD'!$A$22,VLOOKUP($A144,'PVC SCH40 LD'!$A$8:$M$21,10,FALSE),
IF($A144&lt;'Pool &amp; SPA Sweep Elbows'!$A$12,VLOOKUP($A144,'Pool &amp; SPA Sweep Elbows'!$A$8:$M$11,10,FALSE),
IF($A144&lt;'Pool &amp; SPA Pipe Extender'!$A$11,VLOOKUP($A144,'Pool &amp; SPA Pipe Extender'!$A$8:$M$10,10,FALSE),
IF($A144&lt;'PVC SCH80'!$A$250,VLOOKUP($A144,'PVC SCH80'!$A$8:$M$249,10,FALSE),
IF($A144&lt;'PVC SCH80 Flange'!$A$49,VLOOKUP($A144,'PVC SCH80 Flange'!$A$8:$M$48,10,FALSE),
IF($A144&lt;'PVC SCH80 LD Flange'!$A$17,VLOOKUP($A144,'PVC SCH80 LD Flange'!$A$8:$M$16,10,FALSE),
IF($A144&lt;CPVC!$A$105,VLOOKUP($A144,CPVC!$A$9:$M$104,10,FALSE),
IF($A144&lt;InsertFittings!$A$185,VLOOKUP($A144,InsertFittings!$A$9:$M$184,10,FALSE),
IF($A144&lt;Valves!$A$92,VLOOKUP($A144,Valves!$A$9:$Q$91,14,FALSE),
IF($A144&lt;SDR35SW!$A$133,VLOOKUP($A144,SDR35SW!$A$9:$M$132,10,FALSE),
IF($A144&lt;SDR35G!$A$151,VLOOKUP($A144,SDR35G!$A$9:$M$150,10,FALSE),
IF($A144&lt;SDR26G!$A$67,VLOOKUP($A144,SDR26G!$A$9:$N$66,11,FALSE),
IF($A144&lt;Cements!$A$95,VLOOKUP($A144,Cements!$A$8:$Q$94,14,FALSE),
IF($A144&lt;ValveBox!$A$124,VLOOKUP($A144,ValveBox!$A$9:$O$123,12,FALSE),
IF($A144&lt;'ValveBox Components'!$A$142,VLOOKUP($A144,'ValveBox Components'!$A$9:$N$141,11,FALSE),
IF($A144&lt;Drainage!$A$69,VLOOKUP($A144,Drainage!$A$8:$M$68,10,FALSE),
IF($A144&lt;Nipples!$A$82,VLOOKUP($A144,Nipples!$A$9:$Q$81,14,FALSE),
IF($A144&lt;Manifold!$A$33,VLOOKUP($A144,Manifold!$A$9:$M$32,10,FALSE),
IF($A144&lt;FlexibleRepairCouplings!$A$12,VLOOKUP($A144,FlexibleRepairCouplings!$A$9:$M$11,10,FALSE),
IF($A144&lt;DuraFix!$A$15,VLOOKUP($A144,DuraFix!$A$9:$M$14,10,FALSE),
IF($A144&lt;'Compression Fittings'!$A$16,VLOOKUP($A144,'Compression Fittings'!$A$8:$M$15,10,FALSE),
IF($A144&lt;'Hose Fittings'!$A$30,VLOOKUP($A144,'Hose Fittings'!$A$8:$M$29,10,FALSE),
IF($A144&lt;'Swing Joints'!$A$495,VLOOKUP($A144,'Swing Joints'!$A$9:$M$494,10,FALSE),
IF($A144&lt;'Swing Joints Components'!$A$135,VLOOKUP($A144,'Swing Joints Components'!$A$9:$M$134,10,FALSE),
IF($A144&lt;Nonstandard!$A$42,VLOOKUP($A144,Nonstandard!$A$31:$J$41,10,FALSE),"")))))))))))))))))))))))))))),"")</f>
        <v/>
      </c>
      <c r="L144" s="539" t="str">
        <f t="shared" si="2"/>
        <v>-</v>
      </c>
      <c r="M144" s="542"/>
    </row>
    <row r="145" spans="1:13" ht="15.6">
      <c r="A145" s="312">
        <v>113</v>
      </c>
      <c r="B145" s="312" t="str">
        <f>IFERROR(IF($A145&lt;'DWV PVC'!$A$317,VLOOKUP($A145,'DWV PVC'!$A$9:$M$316,4,FALSE),
IF($A145&lt;'DWV ABS'!$A$117,VLOOKUP($A145,'DWV ABS'!$A$8:$M$116,4,FALSE),
IF($A145&lt;'PVC SCH40'!$A$425,VLOOKUP($A145,'PVC SCH40'!$A$8:$M$424,4,FALSE),
IF($A145&lt;'PVC SCH40 LD'!$A$22,VLOOKUP($A145,'PVC SCH40 LD'!$A$8:$M$21,4,FALSE),
IF($A145&lt;'Pool &amp; SPA Sweep Elbows'!$A$12,VLOOKUP($A145,'Pool &amp; SPA Sweep Elbows'!$A$8:$M$11,4,FALSE),
IF($A145&lt;'Pool &amp; SPA Pipe Extender'!$A$11,VLOOKUP($A145,'Pool &amp; SPA Pipe Extender'!$A$8:$M$10,4,FALSE),
IF($A145&lt;'PVC SCH80'!$A$250,VLOOKUP($A145,'PVC SCH80'!$A$8:$M$249,4,FALSE),
IF($A145&lt;'PVC SCH80 Flange'!$A$49,VLOOKUP($A145,'PVC SCH80 Flange'!$A$8:$M$48,4,FALSE),
IF($A145&lt;'PVC SCH80 LD Flange'!$A$17,VLOOKUP($A145,'PVC SCH80 LD Flange'!$A$8:$M$16,4,FALSE),
IF($A145&lt;CPVC!$A$105,VLOOKUP($A145,CPVC!$A$9:$M$104,4,FALSE),
IF($A145&lt;InsertFittings!$A$185,VLOOKUP($A145,InsertFittings!$A$9:$M$184,4,FALSE),
IF($A145&lt;Valves!$A$92,VLOOKUP($A145,Valves!$A$9:$Q$91,4,FALSE),
IF($A145&lt;SDR35SW!$A$133,VLOOKUP($A145,SDR35SW!$A$9:$M$132,4,FALSE),
IF($A145&lt;SDR35G!$A$151,VLOOKUP($A145,SDR35G!$A$9:$M$150,4,FALSE),
IF($A145&lt;SDR26G!$A$67,VLOOKUP($A145,SDR26G!$A$9:$N$66,5,FALSE),
IF($A145&lt;Cements!$A$95,VLOOKUP($A145,Cements!$A$8:$Q$94,4,FALSE),
IF($A145&lt;ValveBox!$A$124,VLOOKUP($A145,ValveBox!$A$9:$O$123,4,FALSE),
IF($A145&lt;'ValveBox Components'!$A$142,VLOOKUP($A145,'ValveBox Components'!$A$9:$N$141,4,FALSE),
IF($A145&lt;Drainage!$A$69,VLOOKUP($A145,Drainage!$A$8:$M$68,4,FALSE),
IF($A145&lt;Nipples!$A$82,VLOOKUP($A145,Nipples!$A$9:$Q$81,4,FALSE),
IF($A145&lt;Manifold!$A$33,VLOOKUP($A145,Manifold!$A$9:$M$32,4,FALSE),
IF($A145&lt;FlexibleRepairCouplings!$A$12,VLOOKUP($A145,FlexibleRepairCouplings!$A$9:$M$11,4,FALSE),
IF($A145&lt;DuraFix!$A$15,VLOOKUP($A145,DuraFix!$A$9:$M$14,4,FALSE),
IF($A145&lt;'Compression Fittings'!$A$16,VLOOKUP($A145,'Compression Fittings'!$A$8:$M$15,4,FALSE),
IF($A145&lt;'Hose Fittings'!$A$30,VLOOKUP($A145,'Hose Fittings'!$A$8:$M$29,4,FALSE),
IF($A145&lt;'Swing Joints'!$A$495,VLOOKUP($A145,'Swing Joints'!$A$9:$M$494,4,FALSE),
IF($A145&lt;'Swing Joints Components'!$A$135,VLOOKUP($A145,'Swing Joints Components'!$A$9:$M$134,4,FALSE),
IF($A145&lt;Nonstandard!$A$42,VLOOKUP($A145,Nonstandard!$A$31:$J$41,5,FALSE),"")))))))))))))))))))))))))))),"")</f>
        <v/>
      </c>
      <c r="C145" s="312" t="str">
        <f>IFERROR(IF($A145&lt;'DWV PVC'!$A$317,VLOOKUP($A145,'DWV PVC'!$A$9:$M$316,5,FALSE),
IF($A145&lt;'DWV ABS'!$A$117,VLOOKUP($A145,'DWV ABS'!$A$8:$M$116,5,FALSE),
IF($A145&lt;'PVC SCH40'!$A$425,VLOOKUP($A145,'PVC SCH40'!$A$8:$M$424,5,FALSE),
IF($A145&lt;'PVC SCH40 LD'!$A$22,VLOOKUP($A145,'PVC SCH40 LD'!$A$8:$M$21,5,FALSE),
IF($A145&lt;'Pool &amp; SPA Sweep Elbows'!$A$12,VLOOKUP($A145,'Pool &amp; SPA Sweep Elbows'!$A$8:$M$11,5,FALSE),
IF($A145&lt;'Pool &amp; SPA Pipe Extender'!$A$11,VLOOKUP($A145,'Pool &amp; SPA Pipe Extender'!$A$8:$M$10,5,FALSE),
IF($A145&lt;'PVC SCH80'!$A$250,VLOOKUP($A145,'PVC SCH80'!$A$8:$M$249,5,FALSE),
IF($A145&lt;'PVC SCH80 Flange'!$A$49,VLOOKUP($A145,'PVC SCH80 Flange'!$A$8:$M$48,5,FALSE),
IF($A145&lt;'PVC SCH80 LD Flange'!$A$17,VLOOKUP($A145,'PVC SCH80 LD Flange'!$A$8:$M$16,5,FALSE),
IF($A145&lt;CPVC!$A$105,VLOOKUP($A145,CPVC!$A$9:$M$104,5,FALSE),
IF($A145&lt;InsertFittings!$A$185,VLOOKUP($A145,InsertFittings!$A$9:$M$184,5,FALSE),
IF($A145&lt;Valves!$A$92,VLOOKUP($A145,Valves!$A$9:$Q$91,5,FALSE),
IF($A145&lt;SDR35SW!$A$133,VLOOKUP($A145,SDR35SW!$A$9:$M$132,5,FALSE),
IF($A145&lt;SDR35G!$A$151,VLOOKUP($A145,SDR35G!$A$9:$M$150,5,FALSE),
IF($A145&lt;SDR26G!$A$67,VLOOKUP($A145,SDR26G!$A$9:$N$66,6,FALSE),
IF($A145&lt;Cements!$A$95,VLOOKUP($A145,Cements!$A$8:$Q$94,5,FALSE),
IF($A145&lt;ValveBox!$A$124,VLOOKUP($A145,ValveBox!$A$9:$O$123,5,FALSE),
IF($A145&lt;'ValveBox Components'!$A$142,VLOOKUP($A145,'ValveBox Components'!$A$9:$N$141,5,FALSE),
IF($A145&lt;Drainage!$A$69,VLOOKUP($A145,Drainage!$A$8:$M$68,5,FALSE),
IF($A145&lt;Nipples!$A$82,VLOOKUP($A145,Nipples!$A$9:$Q$81,5,FALSE),
IF($A145&lt;Manifold!$A$33,VLOOKUP($A145,Manifold!$A$9:$M$32,5,FALSE),
IF($A145&lt;FlexibleRepairCouplings!$A$12,VLOOKUP($A145,FlexibleRepairCouplings!$A$9:$M$11,5,FALSE),
IF($A145&lt;DuraFix!$A$15,VLOOKUP($A145,DuraFix!$A$9:$M$14,5,FALSE),
IF($A145&lt;'Compression Fittings'!$A$16,VLOOKUP($A145,'Compression Fittings'!$A$8:$M$15,5,FALSE),
IF($A145&lt;'Hose Fittings'!$A$30,VLOOKUP($A145,'Hose Fittings'!$A$8:$M$29,5,FALSE),
IF($A145&lt;'Swing Joints'!$A$495,VLOOKUP($A145,'Swing Joints'!$A$9:$M$494,5,FALSE),
IF($A145&lt;'Swing Joints Components'!$A$135,VLOOKUP($A145,'Swing Joints Components'!$A$9:$M$134,5,FALSE),
IF($A145&lt;Nonstandard!$A$42,VLOOKUP($A145,Nonstandard!$A$31:$J$41,6,FALSE),"")))))))))))))))))))))))))))),"")</f>
        <v/>
      </c>
      <c r="D145" s="534" t="str">
        <f>IFERROR(IF($A145&lt;'DWV PVC'!$A$317,VLOOKUP($A145,'DWV PVC'!$A$9:$M$316,6,FALSE),
IF($A145&lt;'DWV ABS'!$A$117,VLOOKUP($A145,'DWV ABS'!$A$8:$M$116,6,FALSE),
IF($A145&lt;'PVC SCH40'!$A$425,VLOOKUP($A145,'PVC SCH40'!$A$8:$M$424,6,FALSE),
IF($A145&lt;'PVC SCH40 LD'!$A$22,VLOOKUP($A145,'PVC SCH40 LD'!$A$8:$M$21,6,FALSE),
IF($A145&lt;'Pool &amp; SPA Sweep Elbows'!$A$12,VLOOKUP($A145,'Pool &amp; SPA Sweep Elbows'!$A$8:$M$11,6,FALSE),
IF($A145&lt;'Pool &amp; SPA Pipe Extender'!$A$11,VLOOKUP($A145,'Pool &amp; SPA Pipe Extender'!$A$8:$M$10,6,FALSE),
IF($A145&lt;'PVC SCH80'!$A$250,VLOOKUP($A145,'PVC SCH80'!$A$8:$M$249,6,FALSE),
IF($A145&lt;'PVC SCH80 Flange'!$A$49,VLOOKUP($A145,'PVC SCH80 Flange'!$A$8:$M$48,6,FALSE),
IF($A145&lt;'PVC SCH80 LD Flange'!$A$17,VLOOKUP($A145,'PVC SCH80 LD Flange'!$A$8:$M$16,6,FALSE),
IF($A145&lt;CPVC!$A$105,VLOOKUP($A145,CPVC!$A$9:$M$104,6,FALSE),
IF($A145&lt;InsertFittings!$A$185,VLOOKUP($A145,InsertFittings!$A$9:$M$184,6,FALSE),
IF($A145&lt;Valves!$A$92,VLOOKUP($A145,Valves!$A$9:$Q$91,6,FALSE),
IF($A145&lt;SDR35SW!$A$133,VLOOKUP($A145,SDR35SW!$A$9:$M$132,6,FALSE),
IF($A145&lt;SDR35G!$A$151,VLOOKUP($A145,SDR35G!$A$9:$M$150,6,FALSE),
IF($A145&lt;SDR26G!$A$67,VLOOKUP($A145,SDR26G!$A$9:$N$66,7,FALSE),
IF($A145&lt;Cements!$A$95,VLOOKUP($A145,Cements!$A$8:$Q$94,6,FALSE),
IF($A145&lt;ValveBox!$A$124,VLOOKUP($A145,ValveBox!$A$9:$O$123,6,FALSE),
IF($A145&lt;'ValveBox Components'!$A$142,VLOOKUP($A145,'ValveBox Components'!$A$9:$N$141,6,FALSE),
IF($A145&lt;Drainage!$A$69,VLOOKUP($A145,Drainage!$A$8:$M$68,6,FALSE),
IF($A145&lt;Nipples!$A$82,VLOOKUP($A145,Nipples!$A$9:$Q$81,6,FALSE),
IF($A145&lt;Manifold!$A$33,VLOOKUP($A145,Manifold!$A$9:$M$32,6,FALSE),
IF($A145&lt;FlexibleRepairCouplings!$A$12,VLOOKUP($A145,FlexibleRepairCouplings!$A$9:$M$11,6,FALSE),
IF($A145&lt;DuraFix!$A$15,VLOOKUP($A145,DuraFix!$A$9:$M$14,6,FALSE),
IF($A145&lt;'Compression Fittings'!$A$16,VLOOKUP($A145,'Compression Fittings'!$A$8:$M$15,6,FALSE),
IF($A145&lt;'Hose Fittings'!$A$30,VLOOKUP($A145,'Hose Fittings'!$A$8:$M$29,6,FALSE),
IF($A145&lt;'Swing Joints'!$A$495,VLOOKUP($A145,'Swing Joints'!$A$9:$M$494,6,FALSE),
IF($A145&lt;'Swing Joints Components'!$A$135,VLOOKUP($A145,'Swing Joints Components'!$A$9:$M$134,6,FALSE),
IF($A145&lt;Nonstandard!$A$42,VLOOKUP($A145,Nonstandard!$A$31:$J$41,7,FALSE),"")))))))))))))))))))))))))))),"")</f>
        <v/>
      </c>
      <c r="E145" s="316"/>
      <c r="F145" s="314" t="str">
        <f>IFERROR(IF($A145&lt;'DWV PVC'!$A$317,VLOOKUP($A145,'DWV PVC'!$A$9:$M$316,9,FALSE),
IF($A145&lt;'DWV ABS'!$A$117,VLOOKUP($A145,'DWV ABS'!$A$8:$M$116,9,FALSE),                                                                                                                                                                                                                                                     IF($A145&lt;'PVC SCH40'!$A$425,VLOOKUP($A145,'PVC SCH40'!$A$8:$M$424,9,FALSE),
IF($A145&lt;'PVC SCH40 LD'!$A$22,VLOOKUP($A145,'PVC SCH40 LD'!$A$8:$M$21,9,FALSE),
IF($A145&lt;'Pool &amp; SPA Sweep Elbows'!$A$12,VLOOKUP($A145,'Pool &amp; SPA Sweep Elbows'!$A$8:$M$11,9,FALSE),
IF($A145&lt;'Pool &amp; SPA Pipe Extender'!$A$11,VLOOKUP($A145,'Pool &amp; SPA Pipe Extender'!$A$8:$M$10,9,FALSE),
IF($A145&lt;'PVC SCH80'!$A$250,VLOOKUP($A145,'PVC SCH80'!$A$8:$M$249,9,FALSE),
IF($A145&lt;'PVC SCH80 Flange'!$A$49,VLOOKUP($A145,'PVC SCH80 Flange'!$A$8:$M$48,9,FALSE),
IF($A145&lt;'PVC SCH80 LD Flange'!$A$17,VLOOKUP($A145,'PVC SCH80 LD Flange'!$A$8:$M$16,9,FALSE),
IF($A145&lt;CPVC!$A$105,VLOOKUP($A145,CPVC!$A$9:$M$104,9,FALSE),
IF($A145&lt;InsertFittings!$A$185,VLOOKUP($A145,InsertFittings!$A$9:$M$184,9,FALSE),
IF($A145&lt;Valves!$A$92,VLOOKUP($A145,Valves!$A$9:$Q$91,13,FALSE),
IF($A145&lt;SDR35SW!$A$133,VLOOKUP($A145,SDR35SW!$A$9:$M$132,9,FALSE),
IF($A145&lt;SDR35G!$A$151,VLOOKUP($A145,SDR35G!$A$9:$M$150,9,FALSE),                                                                                                                                                                                                                                                          IF($A145&lt;SDR26G!$A$67,VLOOKUP($A145,SDR26G!$A$9:$N$66,10,FALSE),                                                                                                                                                                                                                                                       IF($A145&lt;Cements!$A$95,VLOOKUP($A145,Cements!$A$8:$Q$94,13,FALSE),
IF($A145&lt;ValveBox!$A$124,VLOOKUP($A145,ValveBox!$A$9:$O$123,11,FALSE),
IF($A145&lt;'ValveBox Components'!$A$142,VLOOKUP($A145,'ValveBox Components'!$A$9:$N$141,10,FALSE),
IF($A145&lt;Drainage!$A$69,VLOOKUP($A145,Drainage!$A$8:$M$68,9,FALSE),                                                                                                                                                                                                                                                              IF($A145&lt;Nipples!$A$82,VLOOKUP($A145,Nipples!$A$9:$Q$81,13,FALSE),
IF($A145&lt;Manifold!$A$33,VLOOKUP($A145,Manifold!$A$9:$M$32,9,FALSE),
IF($A145&lt;FlexibleRepairCouplings!$A$12,VLOOKUP($A145,FlexibleRepairCouplings!$A$9:$M$11,9,FALSE),
IF($A145&lt;DuraFix!$A$15,VLOOKUP($A145,DuraFix!$A$9:$M$14,9,FALSE),                                                                                                                                                                                                                                                          IF($A145&lt;'Compression Fittings'!$A$16,VLOOKUP($A145,'Compression Fittings'!$A$8:$M$15,9,FALSE),
IF($A145&lt;'Hose Fittings'!$A$30,VLOOKUP($A145,'Hose Fittings'!$A$8:$M$29,9,FALSE),
IF($A145&lt;'Swing Joints'!$A$495,VLOOKUP($A145,'Swing Joints'!$A$9:$M$494,9,FALSE),
IF($A145&lt;'Swing Joints Components'!$A$135,VLOOKUP($A145,'Swing Joints Components'!$A$9:$M$134,9,FALSE),
IF($A145&lt;Nonstandard!$A$42,VLOOKUP($A145,Nonstandard!$A$31:$J$41,8,FALSE),"")))))))))))))))))))))))))))),"")</f>
        <v/>
      </c>
      <c r="G145" s="533" t="str">
        <f>IFERROR(IF($A145&lt;'DWV PVC'!$A$317,VLOOKUP($A145,'DWV PVC'!$A$9:$M$316,11,FALSE),
IF($A145&lt;'DWV ABS'!$A$117,VLOOKUP($A145,'DWV ABS'!$A$8:$M$116,11,FALSE),                                                                                                                                                                                                                                                     IF($A145&lt;'PVC SCH40'!$A$425,VLOOKUP($A145,'PVC SCH40'!$A$8:$M$424,11,FALSE),
IF($A145&lt;'PVC SCH40 LD'!$A$22,VLOOKUP($A145,'PVC SCH40 LD'!$A$8:$M$21,11,FALSE),
IF($A145&lt;'Pool &amp; SPA Sweep Elbows'!$A$12,VLOOKUP($A145,'Pool &amp; SPA Sweep Elbows'!$A$8:$M$11,11,FALSE),
IF($A145&lt;'Pool &amp; SPA Pipe Extender'!$A$11,VLOOKUP($A145,'Pool &amp; SPA Pipe Extender'!$A$8:$M$10,11,FALSE),
IF($A145&lt;'PVC SCH80'!$A$250,VLOOKUP($A145,'PVC SCH80'!$A$8:$M$249,11,FALSE),
IF($A145&lt;'PVC SCH80 Flange'!$A$49,VLOOKUP($A145,'PVC SCH80 Flange'!$A$8:$M$48,11,FALSE),
IF($A145&lt;'PVC SCH80 LD Flange'!$A$17,VLOOKUP($A145,'PVC SCH80 LD Flange'!$A$8:$M$16,11,FALSE),
IF($A145&lt;CPVC!$A$105,VLOOKUP($A145,CPVC!$A$9:$M$104,11,FALSE),
IF($A145&lt;InsertFittings!$A$185,VLOOKUP($A145,InsertFittings!$A$9:$M$184,11,FALSE),
IF($A145&lt;Valves!$A$92,VLOOKUP($A145,Valves!$A$9:$Q$91,15,FALSE),
IF($A145&lt;SDR35SW!$A$133,VLOOKUP($A145,SDR35SW!$A$9:$M$132,11,FALSE),
IF($A145&lt;SDR35G!$A$151,VLOOKUP($A145,SDR35G!$A$9:$M$150,11,FALSE),                                                                                                                                                                                                                                                          IF($A145&lt;SDR26G!$A$67,VLOOKUP($A145,SDR26G!$A$9:$N$66,12,FALSE),                                                                                                                                                                                                                                                       IF($A145&lt;Cements!$A$95,VLOOKUP($A145,Cements!$A$8:$Q$94,15,FALSE),
IF($A145&lt;ValveBox!$A$124,VLOOKUP($A145,ValveBox!$A$9:$O$123,13,FALSE),
IF($A145&lt;'ValveBox Components'!$A$142,VLOOKUP($A145,'ValveBox Components'!$A$9:$N$141,12,FALSE),
IF($A145&lt;Drainage!$A$69,VLOOKUP($A145,Drainage!$A$8:$M$68,11,FALSE),                                                                                                                                                                                                                                                           IF($A145&lt;Nipples!$A$82,VLOOKUP($A145,Nipples!$A$9:$Q$81,15,FALSE),
IF($A145&lt;Manifold!$A$33,VLOOKUP($A145,Manifold!$A$9:$M$32,11,FALSE),
IF($A145&lt;FlexibleRepairCouplings!$A$12,VLOOKUP($A145,FlexibleRepairCouplings!$A$9:$M$11,11,FALSE),
IF($A145&lt;DuraFix!$A$15,VLOOKUP($A145,DuraFix!$A$9:$M$14,11,FALSE),                                                                                                                                                                                                                                                            IF($A145&lt;'Compression Fittings'!$A$16,VLOOKUP($A145,'Compression Fittings'!$A$8:$M$15,11,FALSE),
IF($A145&lt;'Hose Fittings'!$A$30,VLOOKUP($A145,'Hose Fittings'!$A$8:$M$29,11,FALSE),
IF($A145&lt;'Swing Joints'!$A$495,VLOOKUP($A145,'Swing Joints'!$A$9:$M$494,11,FALSE),
IF($A145&lt;'Swing Joints Components'!$A$135,VLOOKUP($A145,'Swing Joints Components'!$A$9:$M$134,11,FALSE),
IF($A145&lt;Nonstandard!$A$42,VLOOKUP($A145,Nonstandard!$A$31:$J$41,10,FALSE),"")))))))))))))))))))))))))))),"")</f>
        <v/>
      </c>
      <c r="H145" s="618" t="str">
        <f>IFERROR(IF($A145&lt;'DWV PVC'!$A$317,VLOOKUP($A145,'DWV PVC'!$A$9:$M$316,7,FALSE),
IF($A145&lt;'DWV ABS'!$A$117,VLOOKUP($A145,'DWV ABS'!$A$8:$M$116,11,FALSE),                                                                                                                                                                                                                                                     IF($A145&lt;'PVC SCH40'!$A$425,VLOOKUP($A145,'PVC SCH40'!$A$8:$M$424,7,FALSE),
IF($A145&lt;'PVC SCH40 LD'!$A$22,VLOOKUP($A145,'PVC SCH40 LD'!$A$8:$M$21,7,FALSE),
IF($A145&lt;'Pool &amp; SPA Sweep Elbows'!$A$12,VLOOKUP($A145,'Pool &amp; SPA Sweep Elbows'!$A$8:$M$11,7,FALSE),
IF($A145&lt;'Pool &amp; SPA Pipe Extender'!$A$11,VLOOKUP($A145,'Pool &amp; SPA Pipe Extender'!$A$8:$M$10,7,FALSE),
IF($A145&lt;'PVC SCH80'!$A$250,VLOOKUP($A145,'PVC SCH80'!$A$8:$M$249,7,FALSE),
IF($A145&lt;'PVC SCH80 Flange'!$A$49,VLOOKUP($A145,'PVC SCH80 Flange'!$A$8:$M$48,7,FALSE),
IF($A145&lt;'PVC SCH80 LD Flange'!$A$17,VLOOKUP($A145,'PVC SCH80 LD Flange'!$A$8:$M$16,7,FALSE),
IF($A145&lt;CPVC!$A$105,VLOOKUP($A145,CPVC!$A$9:$M$104,7,FALSE),
IF($A145&lt;InsertFittings!$A$185,VLOOKUP($A145,InsertFittings!$A$9:$M$184,7,FALSE),
IF($A145&lt;Valves!$A$92,VLOOKUP($A145,Valves!$A$9:$Q$91,11,FALSE),
IF($A145&lt;SDR35SW!$A$133,VLOOKUP($A145,SDR35SW!$A$9:$M$132,7,FALSE),
IF($A145&lt;SDR35G!$A$151,VLOOKUP($A145,SDR35G!$A$9:$M$150,7,FALSE),                                                                                                                                                                                                                                                       IF($A145&lt;SDR26G!$A$67,VLOOKUP($A145,SDR26G!$A$9:$N$66,8,FALSE),                                                                                                                                                                                                                                                     IF($A145&lt;Cements!$A$95,VLOOKUP($A145,Cements!$A$8:$Q$94,11,FALSE),
IF($A145&lt;ValveBox!$A$124,VLOOKUP($A145,ValveBox!$A$9:$O$123,10,FALSE),
IF($A145&lt;'ValveBox Components'!$A$142,VLOOKUP($A145,'ValveBox Components'!$A$9:$N$141,9,FALSE),
IF($A145&lt;Drainage!$A$69,VLOOKUP($A145,Drainage!$A$8:$M$68,7,FALSE),                                                                                                                                                                                                                                                          IF($A145&lt;Nipples!$A$82,VLOOKUP($A145,Nipples!$A$9:$Q$81,11,FALSE),
IF($A145&lt;Manifold!$A$33,VLOOKUP($A145,Manifold!$A$9:$M$32,7,FALSE),
IF($A145&lt;FlexibleRepairCouplings!$A$12,VLOOKUP($A145,FlexibleRepairCouplings!$A$9:$M$11,7,FALSE),
IF($A145&lt;DuraFix!$A$15,VLOOKUP($A145,DuraFix!$A$9:$M$14,7,FALSE),                                                                                                                                                                                                                                                           IF($A145&lt;'Compression Fittings'!$A$16,VLOOKUP($A145,'Compression Fittings'!$A$8:$M$15,7,FALSE),
IF($A145&lt;'Hose Fittings'!$A$30,VLOOKUP($A145,'Hose Fittings'!$A$8:$M$29,7,FALSE),
IF($A145&lt;'Swing Joints'!$A$495,VLOOKUP($A145,'Swing Joints'!$A$9:$M$494,7,FALSE),
IF($A145&lt;'Swing Joints Components'!$A$135,VLOOKUP($A145,'Swing Joints Components'!$A$9:$M$134,7,FALSE),
IF($A145&lt;Nonstandard!$A$42,VLOOKUP($A145,Nonstandard!$A$31:$J$41,10,FALSE),"")))))))))))))))))))))))))))),"")</f>
        <v/>
      </c>
      <c r="I145" s="619"/>
      <c r="J145" s="281" t="str">
        <f t="shared" si="3"/>
        <v/>
      </c>
      <c r="K145" s="313" t="str">
        <f>IFERROR(IF($A145&lt;'DWV PVC'!$A$317,VLOOKUP($A145,'DWV PVC'!$A$9:$M$316,10,FALSE),
IF($A145&lt;'DWV ABS'!$A$117,VLOOKUP($A145,'DWV ABS'!$A$8:$M$116,10,FALSE),
IF($A145&lt;'PVC SCH40'!$A$425,VLOOKUP($A145,'PVC SCH40'!$A$8:$M$424,10,FALSE),
IF($A145&lt;'PVC SCH40 LD'!$A$22,VLOOKUP($A145,'PVC SCH40 LD'!$A$8:$M$21,10,FALSE),
IF($A145&lt;'Pool &amp; SPA Sweep Elbows'!$A$12,VLOOKUP($A145,'Pool &amp; SPA Sweep Elbows'!$A$8:$M$11,10,FALSE),
IF($A145&lt;'Pool &amp; SPA Pipe Extender'!$A$11,VLOOKUP($A145,'Pool &amp; SPA Pipe Extender'!$A$8:$M$10,10,FALSE),
IF($A145&lt;'PVC SCH80'!$A$250,VLOOKUP($A145,'PVC SCH80'!$A$8:$M$249,10,FALSE),
IF($A145&lt;'PVC SCH80 Flange'!$A$49,VLOOKUP($A145,'PVC SCH80 Flange'!$A$8:$M$48,10,FALSE),
IF($A145&lt;'PVC SCH80 LD Flange'!$A$17,VLOOKUP($A145,'PVC SCH80 LD Flange'!$A$8:$M$16,10,FALSE),
IF($A145&lt;CPVC!$A$105,VLOOKUP($A145,CPVC!$A$9:$M$104,10,FALSE),
IF($A145&lt;InsertFittings!$A$185,VLOOKUP($A145,InsertFittings!$A$9:$M$184,10,FALSE),
IF($A145&lt;Valves!$A$92,VLOOKUP($A145,Valves!$A$9:$Q$91,14,FALSE),
IF($A145&lt;SDR35SW!$A$133,VLOOKUP($A145,SDR35SW!$A$9:$M$132,10,FALSE),
IF($A145&lt;SDR35G!$A$151,VLOOKUP($A145,SDR35G!$A$9:$M$150,10,FALSE),
IF($A145&lt;SDR26G!$A$67,VLOOKUP($A145,SDR26G!$A$9:$N$66,11,FALSE),
IF($A145&lt;Cements!$A$95,VLOOKUP($A145,Cements!$A$8:$Q$94,14,FALSE),
IF($A145&lt;ValveBox!$A$124,VLOOKUP($A145,ValveBox!$A$9:$O$123,12,FALSE),
IF($A145&lt;'ValveBox Components'!$A$142,VLOOKUP($A145,'ValveBox Components'!$A$9:$N$141,11,FALSE),
IF($A145&lt;Drainage!$A$69,VLOOKUP($A145,Drainage!$A$8:$M$68,10,FALSE),
IF($A145&lt;Nipples!$A$82,VLOOKUP($A145,Nipples!$A$9:$Q$81,14,FALSE),
IF($A145&lt;Manifold!$A$33,VLOOKUP($A145,Manifold!$A$9:$M$32,10,FALSE),
IF($A145&lt;FlexibleRepairCouplings!$A$12,VLOOKUP($A145,FlexibleRepairCouplings!$A$9:$M$11,10,FALSE),
IF($A145&lt;DuraFix!$A$15,VLOOKUP($A145,DuraFix!$A$9:$M$14,10,FALSE),
IF($A145&lt;'Compression Fittings'!$A$16,VLOOKUP($A145,'Compression Fittings'!$A$8:$M$15,10,FALSE),
IF($A145&lt;'Hose Fittings'!$A$30,VLOOKUP($A145,'Hose Fittings'!$A$8:$M$29,10,FALSE),
IF($A145&lt;'Swing Joints'!$A$495,VLOOKUP($A145,'Swing Joints'!$A$9:$M$494,10,FALSE),
IF($A145&lt;'Swing Joints Components'!$A$135,VLOOKUP($A145,'Swing Joints Components'!$A$9:$M$134,10,FALSE),
IF($A145&lt;Nonstandard!$A$42,VLOOKUP($A145,Nonstandard!$A$31:$J$41,10,FALSE),"")))))))))))))))))))))))))))),"")</f>
        <v/>
      </c>
      <c r="L145" s="314" t="str">
        <f t="shared" si="2"/>
        <v>-</v>
      </c>
      <c r="M145" s="315"/>
    </row>
    <row r="146" spans="1:13" ht="15.6">
      <c r="A146" s="536">
        <v>114</v>
      </c>
      <c r="B146" s="536" t="str">
        <f>IFERROR(IF($A146&lt;'DWV PVC'!$A$317,VLOOKUP($A146,'DWV PVC'!$A$9:$M$316,4,FALSE),
IF($A146&lt;'DWV ABS'!$A$117,VLOOKUP($A146,'DWV ABS'!$A$8:$M$116,4,FALSE),
IF($A146&lt;'PVC SCH40'!$A$425,VLOOKUP($A146,'PVC SCH40'!$A$8:$M$424,4,FALSE),
IF($A146&lt;'PVC SCH40 LD'!$A$22,VLOOKUP($A146,'PVC SCH40 LD'!$A$8:$M$21,4,FALSE),
IF($A146&lt;'Pool &amp; SPA Sweep Elbows'!$A$12,VLOOKUP($A146,'Pool &amp; SPA Sweep Elbows'!$A$8:$M$11,4,FALSE),
IF($A146&lt;'Pool &amp; SPA Pipe Extender'!$A$11,VLOOKUP($A146,'Pool &amp; SPA Pipe Extender'!$A$8:$M$10,4,FALSE),
IF($A146&lt;'PVC SCH80'!$A$250,VLOOKUP($A146,'PVC SCH80'!$A$8:$M$249,4,FALSE),
IF($A146&lt;'PVC SCH80 Flange'!$A$49,VLOOKUP($A146,'PVC SCH80 Flange'!$A$8:$M$48,4,FALSE),
IF($A146&lt;'PVC SCH80 LD Flange'!$A$17,VLOOKUP($A146,'PVC SCH80 LD Flange'!$A$8:$M$16,4,FALSE),
IF($A146&lt;CPVC!$A$105,VLOOKUP($A146,CPVC!$A$9:$M$104,4,FALSE),
IF($A146&lt;InsertFittings!$A$185,VLOOKUP($A146,InsertFittings!$A$9:$M$184,4,FALSE),
IF($A146&lt;Valves!$A$92,VLOOKUP($A146,Valves!$A$9:$Q$91,4,FALSE),
IF($A146&lt;SDR35SW!$A$133,VLOOKUP($A146,SDR35SW!$A$9:$M$132,4,FALSE),
IF($A146&lt;SDR35G!$A$151,VLOOKUP($A146,SDR35G!$A$9:$M$150,4,FALSE),
IF($A146&lt;SDR26G!$A$67,VLOOKUP($A146,SDR26G!$A$9:$N$66,5,FALSE),
IF($A146&lt;Cements!$A$95,VLOOKUP($A146,Cements!$A$8:$Q$94,4,FALSE),
IF($A146&lt;ValveBox!$A$124,VLOOKUP($A146,ValveBox!$A$9:$O$123,4,FALSE),
IF($A146&lt;'ValveBox Components'!$A$142,VLOOKUP($A146,'ValveBox Components'!$A$9:$N$141,4,FALSE),
IF($A146&lt;Drainage!$A$69,VLOOKUP($A146,Drainage!$A$8:$M$68,4,FALSE),
IF($A146&lt;Nipples!$A$82,VLOOKUP($A146,Nipples!$A$9:$Q$81,4,FALSE),
IF($A146&lt;Manifold!$A$33,VLOOKUP($A146,Manifold!$A$9:$M$32,4,FALSE),
IF($A146&lt;FlexibleRepairCouplings!$A$12,VLOOKUP($A146,FlexibleRepairCouplings!$A$9:$M$11,4,FALSE),
IF($A146&lt;DuraFix!$A$15,VLOOKUP($A146,DuraFix!$A$9:$M$14,4,FALSE),
IF($A146&lt;'Compression Fittings'!$A$16,VLOOKUP($A146,'Compression Fittings'!$A$8:$M$15,4,FALSE),
IF($A146&lt;'Hose Fittings'!$A$30,VLOOKUP($A146,'Hose Fittings'!$A$8:$M$29,4,FALSE),
IF($A146&lt;'Swing Joints'!$A$495,VLOOKUP($A146,'Swing Joints'!$A$9:$M$494,4,FALSE),
IF($A146&lt;'Swing Joints Components'!$A$135,VLOOKUP($A146,'Swing Joints Components'!$A$9:$M$134,4,FALSE),
IF($A146&lt;Nonstandard!$A$42,VLOOKUP($A146,Nonstandard!$A$31:$J$41,5,FALSE),"")))))))))))))))))))))))))))),"")</f>
        <v/>
      </c>
      <c r="C146" s="536" t="str">
        <f>IFERROR(IF($A146&lt;'DWV PVC'!$A$317,VLOOKUP($A146,'DWV PVC'!$A$9:$M$316,5,FALSE),
IF($A146&lt;'DWV ABS'!$A$117,VLOOKUP($A146,'DWV ABS'!$A$8:$M$116,5,FALSE),
IF($A146&lt;'PVC SCH40'!$A$425,VLOOKUP($A146,'PVC SCH40'!$A$8:$M$424,5,FALSE),
IF($A146&lt;'PVC SCH40 LD'!$A$22,VLOOKUP($A146,'PVC SCH40 LD'!$A$8:$M$21,5,FALSE),
IF($A146&lt;'Pool &amp; SPA Sweep Elbows'!$A$12,VLOOKUP($A146,'Pool &amp; SPA Sweep Elbows'!$A$8:$M$11,5,FALSE),
IF($A146&lt;'Pool &amp; SPA Pipe Extender'!$A$11,VLOOKUP($A146,'Pool &amp; SPA Pipe Extender'!$A$8:$M$10,5,FALSE),
IF($A146&lt;'PVC SCH80'!$A$250,VLOOKUP($A146,'PVC SCH80'!$A$8:$M$249,5,FALSE),
IF($A146&lt;'PVC SCH80 Flange'!$A$49,VLOOKUP($A146,'PVC SCH80 Flange'!$A$8:$M$48,5,FALSE),
IF($A146&lt;'PVC SCH80 LD Flange'!$A$17,VLOOKUP($A146,'PVC SCH80 LD Flange'!$A$8:$M$16,5,FALSE),
IF($A146&lt;CPVC!$A$105,VLOOKUP($A146,CPVC!$A$9:$M$104,5,FALSE),
IF($A146&lt;InsertFittings!$A$185,VLOOKUP($A146,InsertFittings!$A$9:$M$184,5,FALSE),
IF($A146&lt;Valves!$A$92,VLOOKUP($A146,Valves!$A$9:$Q$91,5,FALSE),
IF($A146&lt;SDR35SW!$A$133,VLOOKUP($A146,SDR35SW!$A$9:$M$132,5,FALSE),
IF($A146&lt;SDR35G!$A$151,VLOOKUP($A146,SDR35G!$A$9:$M$150,5,FALSE),
IF($A146&lt;SDR26G!$A$67,VLOOKUP($A146,SDR26G!$A$9:$N$66,6,FALSE),
IF($A146&lt;Cements!$A$95,VLOOKUP($A146,Cements!$A$8:$Q$94,5,FALSE),
IF($A146&lt;ValveBox!$A$124,VLOOKUP($A146,ValveBox!$A$9:$O$123,5,FALSE),
IF($A146&lt;'ValveBox Components'!$A$142,VLOOKUP($A146,'ValveBox Components'!$A$9:$N$141,5,FALSE),
IF($A146&lt;Drainage!$A$69,VLOOKUP($A146,Drainage!$A$8:$M$68,5,FALSE),
IF($A146&lt;Nipples!$A$82,VLOOKUP($A146,Nipples!$A$9:$Q$81,5,FALSE),
IF($A146&lt;Manifold!$A$33,VLOOKUP($A146,Manifold!$A$9:$M$32,5,FALSE),
IF($A146&lt;FlexibleRepairCouplings!$A$12,VLOOKUP($A146,FlexibleRepairCouplings!$A$9:$M$11,5,FALSE),
IF($A146&lt;DuraFix!$A$15,VLOOKUP($A146,DuraFix!$A$9:$M$14,5,FALSE),
IF($A146&lt;'Compression Fittings'!$A$16,VLOOKUP($A146,'Compression Fittings'!$A$8:$M$15,5,FALSE),
IF($A146&lt;'Hose Fittings'!$A$30,VLOOKUP($A146,'Hose Fittings'!$A$8:$M$29,5,FALSE),
IF($A146&lt;'Swing Joints'!$A$495,VLOOKUP($A146,'Swing Joints'!$A$9:$M$494,5,FALSE),
IF($A146&lt;'Swing Joints Components'!$A$135,VLOOKUP($A146,'Swing Joints Components'!$A$9:$M$134,5,FALSE),
IF($A146&lt;Nonstandard!$A$42,VLOOKUP($A146,Nonstandard!$A$31:$J$41,6,FALSE),"")))))))))))))))))))))))))))),"")</f>
        <v/>
      </c>
      <c r="D146" s="537" t="str">
        <f>IFERROR(IF($A146&lt;'DWV PVC'!$A$317,VLOOKUP($A146,'DWV PVC'!$A$9:$M$316,6,FALSE),
IF($A146&lt;'DWV ABS'!$A$117,VLOOKUP($A146,'DWV ABS'!$A$8:$M$116,6,FALSE),
IF($A146&lt;'PVC SCH40'!$A$425,VLOOKUP($A146,'PVC SCH40'!$A$8:$M$424,6,FALSE),
IF($A146&lt;'PVC SCH40 LD'!$A$22,VLOOKUP($A146,'PVC SCH40 LD'!$A$8:$M$21,6,FALSE),
IF($A146&lt;'Pool &amp; SPA Sweep Elbows'!$A$12,VLOOKUP($A146,'Pool &amp; SPA Sweep Elbows'!$A$8:$M$11,6,FALSE),
IF($A146&lt;'Pool &amp; SPA Pipe Extender'!$A$11,VLOOKUP($A146,'Pool &amp; SPA Pipe Extender'!$A$8:$M$10,6,FALSE),
IF($A146&lt;'PVC SCH80'!$A$250,VLOOKUP($A146,'PVC SCH80'!$A$8:$M$249,6,FALSE),
IF($A146&lt;'PVC SCH80 Flange'!$A$49,VLOOKUP($A146,'PVC SCH80 Flange'!$A$8:$M$48,6,FALSE),
IF($A146&lt;'PVC SCH80 LD Flange'!$A$17,VLOOKUP($A146,'PVC SCH80 LD Flange'!$A$8:$M$16,6,FALSE),
IF($A146&lt;CPVC!$A$105,VLOOKUP($A146,CPVC!$A$9:$M$104,6,FALSE),
IF($A146&lt;InsertFittings!$A$185,VLOOKUP($A146,InsertFittings!$A$9:$M$184,6,FALSE),
IF($A146&lt;Valves!$A$92,VLOOKUP($A146,Valves!$A$9:$Q$91,6,FALSE),
IF($A146&lt;SDR35SW!$A$133,VLOOKUP($A146,SDR35SW!$A$9:$M$132,6,FALSE),
IF($A146&lt;SDR35G!$A$151,VLOOKUP($A146,SDR35G!$A$9:$M$150,6,FALSE),
IF($A146&lt;SDR26G!$A$67,VLOOKUP($A146,SDR26G!$A$9:$N$66,7,FALSE),
IF($A146&lt;Cements!$A$95,VLOOKUP($A146,Cements!$A$8:$Q$94,6,FALSE),
IF($A146&lt;ValveBox!$A$124,VLOOKUP($A146,ValveBox!$A$9:$O$123,6,FALSE),
IF($A146&lt;'ValveBox Components'!$A$142,VLOOKUP($A146,'ValveBox Components'!$A$9:$N$141,6,FALSE),
IF($A146&lt;Drainage!$A$69,VLOOKUP($A146,Drainage!$A$8:$M$68,6,FALSE),
IF($A146&lt;Nipples!$A$82,VLOOKUP($A146,Nipples!$A$9:$Q$81,6,FALSE),
IF($A146&lt;Manifold!$A$33,VLOOKUP($A146,Manifold!$A$9:$M$32,6,FALSE),
IF($A146&lt;FlexibleRepairCouplings!$A$12,VLOOKUP($A146,FlexibleRepairCouplings!$A$9:$M$11,6,FALSE),
IF($A146&lt;DuraFix!$A$15,VLOOKUP($A146,DuraFix!$A$9:$M$14,6,FALSE),
IF($A146&lt;'Compression Fittings'!$A$16,VLOOKUP($A146,'Compression Fittings'!$A$8:$M$15,6,FALSE),
IF($A146&lt;'Hose Fittings'!$A$30,VLOOKUP($A146,'Hose Fittings'!$A$8:$M$29,6,FALSE),
IF($A146&lt;'Swing Joints'!$A$495,VLOOKUP($A146,'Swing Joints'!$A$9:$M$494,6,FALSE),
IF($A146&lt;'Swing Joints Components'!$A$135,VLOOKUP($A146,'Swing Joints Components'!$A$9:$M$134,6,FALSE),
IF($A146&lt;Nonstandard!$A$42,VLOOKUP($A146,Nonstandard!$A$31:$J$41,7,FALSE),"")))))))))))))))))))))))))))),"")</f>
        <v/>
      </c>
      <c r="E146" s="538"/>
      <c r="F146" s="539" t="str">
        <f>IFERROR(IF($A146&lt;'DWV PVC'!$A$317,VLOOKUP($A146,'DWV PVC'!$A$9:$M$316,9,FALSE),
IF($A146&lt;'DWV ABS'!$A$117,VLOOKUP($A146,'DWV ABS'!$A$8:$M$116,9,FALSE),                                                                                                                                                                                                                                                     IF($A146&lt;'PVC SCH40'!$A$425,VLOOKUP($A146,'PVC SCH40'!$A$8:$M$424,9,FALSE),
IF($A146&lt;'PVC SCH40 LD'!$A$22,VLOOKUP($A146,'PVC SCH40 LD'!$A$8:$M$21,9,FALSE),
IF($A146&lt;'Pool &amp; SPA Sweep Elbows'!$A$12,VLOOKUP($A146,'Pool &amp; SPA Sweep Elbows'!$A$8:$M$11,9,FALSE),
IF($A146&lt;'Pool &amp; SPA Pipe Extender'!$A$11,VLOOKUP($A146,'Pool &amp; SPA Pipe Extender'!$A$8:$M$10,9,FALSE),
IF($A146&lt;'PVC SCH80'!$A$250,VLOOKUP($A146,'PVC SCH80'!$A$8:$M$249,9,FALSE),
IF($A146&lt;'PVC SCH80 Flange'!$A$49,VLOOKUP($A146,'PVC SCH80 Flange'!$A$8:$M$48,9,FALSE),
IF($A146&lt;'PVC SCH80 LD Flange'!$A$17,VLOOKUP($A146,'PVC SCH80 LD Flange'!$A$8:$M$16,9,FALSE),
IF($A146&lt;CPVC!$A$105,VLOOKUP($A146,CPVC!$A$9:$M$104,9,FALSE),
IF($A146&lt;InsertFittings!$A$185,VLOOKUP($A146,InsertFittings!$A$9:$M$184,9,FALSE),
IF($A146&lt;Valves!$A$92,VLOOKUP($A146,Valves!$A$9:$Q$91,13,FALSE),
IF($A146&lt;SDR35SW!$A$133,VLOOKUP($A146,SDR35SW!$A$9:$M$132,9,FALSE),
IF($A146&lt;SDR35G!$A$151,VLOOKUP($A146,SDR35G!$A$9:$M$150,9,FALSE),                                                                                                                                                                                                                                                          IF($A146&lt;SDR26G!$A$67,VLOOKUP($A146,SDR26G!$A$9:$N$66,10,FALSE),                                                                                                                                                                                                                                                       IF($A146&lt;Cements!$A$95,VLOOKUP($A146,Cements!$A$8:$Q$94,13,FALSE),
IF($A146&lt;ValveBox!$A$124,VLOOKUP($A146,ValveBox!$A$9:$O$123,11,FALSE),
IF($A146&lt;'ValveBox Components'!$A$142,VLOOKUP($A146,'ValveBox Components'!$A$9:$N$141,10,FALSE),
IF($A146&lt;Drainage!$A$69,VLOOKUP($A146,Drainage!$A$8:$M$68,9,FALSE),                                                                                                                                                                                                                                                              IF($A146&lt;Nipples!$A$82,VLOOKUP($A146,Nipples!$A$9:$Q$81,13,FALSE),
IF($A146&lt;Manifold!$A$33,VLOOKUP($A146,Manifold!$A$9:$M$32,9,FALSE),
IF($A146&lt;FlexibleRepairCouplings!$A$12,VLOOKUP($A146,FlexibleRepairCouplings!$A$9:$M$11,9,FALSE),
IF($A146&lt;DuraFix!$A$15,VLOOKUP($A146,DuraFix!$A$9:$M$14,9,FALSE),                                                                                                                                                                                                                                                          IF($A146&lt;'Compression Fittings'!$A$16,VLOOKUP($A146,'Compression Fittings'!$A$8:$M$15,9,FALSE),
IF($A146&lt;'Hose Fittings'!$A$30,VLOOKUP($A146,'Hose Fittings'!$A$8:$M$29,9,FALSE),
IF($A146&lt;'Swing Joints'!$A$495,VLOOKUP($A146,'Swing Joints'!$A$9:$M$494,9,FALSE),
IF($A146&lt;'Swing Joints Components'!$A$135,VLOOKUP($A146,'Swing Joints Components'!$A$9:$M$134,9,FALSE),
IF($A146&lt;Nonstandard!$A$42,VLOOKUP($A146,Nonstandard!$A$31:$J$41,8,FALSE),"")))))))))))))))))))))))))))),"")</f>
        <v/>
      </c>
      <c r="G146" s="540" t="str">
        <f>IFERROR(IF($A146&lt;'DWV PVC'!$A$317,VLOOKUP($A146,'DWV PVC'!$A$9:$M$316,11,FALSE),
IF($A146&lt;'DWV ABS'!$A$117,VLOOKUP($A146,'DWV ABS'!$A$8:$M$116,11,FALSE),                                                                                                                                                                                                                                                     IF($A146&lt;'PVC SCH40'!$A$425,VLOOKUP($A146,'PVC SCH40'!$A$8:$M$424,11,FALSE),
IF($A146&lt;'PVC SCH40 LD'!$A$22,VLOOKUP($A146,'PVC SCH40 LD'!$A$8:$M$21,11,FALSE),
IF($A146&lt;'Pool &amp; SPA Sweep Elbows'!$A$12,VLOOKUP($A146,'Pool &amp; SPA Sweep Elbows'!$A$8:$M$11,11,FALSE),
IF($A146&lt;'Pool &amp; SPA Pipe Extender'!$A$11,VLOOKUP($A146,'Pool &amp; SPA Pipe Extender'!$A$8:$M$10,11,FALSE),
IF($A146&lt;'PVC SCH80'!$A$250,VLOOKUP($A146,'PVC SCH80'!$A$8:$M$249,11,FALSE),
IF($A146&lt;'PVC SCH80 Flange'!$A$49,VLOOKUP($A146,'PVC SCH80 Flange'!$A$8:$M$48,11,FALSE),
IF($A146&lt;'PVC SCH80 LD Flange'!$A$17,VLOOKUP($A146,'PVC SCH80 LD Flange'!$A$8:$M$16,11,FALSE),
IF($A146&lt;CPVC!$A$105,VLOOKUP($A146,CPVC!$A$9:$M$104,11,FALSE),
IF($A146&lt;InsertFittings!$A$185,VLOOKUP($A146,InsertFittings!$A$9:$M$184,11,FALSE),
IF($A146&lt;Valves!$A$92,VLOOKUP($A146,Valves!$A$9:$Q$91,15,FALSE),
IF($A146&lt;SDR35SW!$A$133,VLOOKUP($A146,SDR35SW!$A$9:$M$132,11,FALSE),
IF($A146&lt;SDR35G!$A$151,VLOOKUP($A146,SDR35G!$A$9:$M$150,11,FALSE),                                                                                                                                                                                                                                                          IF($A146&lt;SDR26G!$A$67,VLOOKUP($A146,SDR26G!$A$9:$N$66,12,FALSE),                                                                                                                                                                                                                                                       IF($A146&lt;Cements!$A$95,VLOOKUP($A146,Cements!$A$8:$Q$94,15,FALSE),
IF($A146&lt;ValveBox!$A$124,VLOOKUP($A146,ValveBox!$A$9:$O$123,13,FALSE),
IF($A146&lt;'ValveBox Components'!$A$142,VLOOKUP($A146,'ValveBox Components'!$A$9:$N$141,12,FALSE),
IF($A146&lt;Drainage!$A$69,VLOOKUP($A146,Drainage!$A$8:$M$68,11,FALSE),                                                                                                                                                                                                                                                           IF($A146&lt;Nipples!$A$82,VLOOKUP($A146,Nipples!$A$9:$Q$81,15,FALSE),
IF($A146&lt;Manifold!$A$33,VLOOKUP($A146,Manifold!$A$9:$M$32,11,FALSE),
IF($A146&lt;FlexibleRepairCouplings!$A$12,VLOOKUP($A146,FlexibleRepairCouplings!$A$9:$M$11,11,FALSE),
IF($A146&lt;DuraFix!$A$15,VLOOKUP($A146,DuraFix!$A$9:$M$14,11,FALSE),                                                                                                                                                                                                                                                            IF($A146&lt;'Compression Fittings'!$A$16,VLOOKUP($A146,'Compression Fittings'!$A$8:$M$15,11,FALSE),
IF($A146&lt;'Hose Fittings'!$A$30,VLOOKUP($A146,'Hose Fittings'!$A$8:$M$29,11,FALSE),
IF($A146&lt;'Swing Joints'!$A$495,VLOOKUP($A146,'Swing Joints'!$A$9:$M$494,11,FALSE),
IF($A146&lt;'Swing Joints Components'!$A$135,VLOOKUP($A146,'Swing Joints Components'!$A$9:$M$134,11,FALSE),
IF($A146&lt;Nonstandard!$A$42,VLOOKUP($A146,Nonstandard!$A$31:$J$41,10,FALSE),"")))))))))))))))))))))))))))),"")</f>
        <v/>
      </c>
      <c r="H146" s="620" t="str">
        <f>IFERROR(IF($A146&lt;'DWV PVC'!$A$317,VLOOKUP($A146,'DWV PVC'!$A$9:$M$316,7,FALSE),
IF($A146&lt;'DWV ABS'!$A$117,VLOOKUP($A146,'DWV ABS'!$A$8:$M$116,11,FALSE),                                                                                                                                                                                                                                                     IF($A146&lt;'PVC SCH40'!$A$425,VLOOKUP($A146,'PVC SCH40'!$A$8:$M$424,7,FALSE),
IF($A146&lt;'PVC SCH40 LD'!$A$22,VLOOKUP($A146,'PVC SCH40 LD'!$A$8:$M$21,7,FALSE),
IF($A146&lt;'Pool &amp; SPA Sweep Elbows'!$A$12,VLOOKUP($A146,'Pool &amp; SPA Sweep Elbows'!$A$8:$M$11,7,FALSE),
IF($A146&lt;'Pool &amp; SPA Pipe Extender'!$A$11,VLOOKUP($A146,'Pool &amp; SPA Pipe Extender'!$A$8:$M$10,7,FALSE),
IF($A146&lt;'PVC SCH80'!$A$250,VLOOKUP($A146,'PVC SCH80'!$A$8:$M$249,7,FALSE),
IF($A146&lt;'PVC SCH80 Flange'!$A$49,VLOOKUP($A146,'PVC SCH80 Flange'!$A$8:$M$48,7,FALSE),
IF($A146&lt;'PVC SCH80 LD Flange'!$A$17,VLOOKUP($A146,'PVC SCH80 LD Flange'!$A$8:$M$16,7,FALSE),
IF($A146&lt;CPVC!$A$105,VLOOKUP($A146,CPVC!$A$9:$M$104,7,FALSE),
IF($A146&lt;InsertFittings!$A$185,VLOOKUP($A146,InsertFittings!$A$9:$M$184,7,FALSE),
IF($A146&lt;Valves!$A$92,VLOOKUP($A146,Valves!$A$9:$Q$91,11,FALSE),
IF($A146&lt;SDR35SW!$A$133,VLOOKUP($A146,SDR35SW!$A$9:$M$132,7,FALSE),
IF($A146&lt;SDR35G!$A$151,VLOOKUP($A146,SDR35G!$A$9:$M$150,7,FALSE),                                                                                                                                                                                                                                                       IF($A146&lt;SDR26G!$A$67,VLOOKUP($A146,SDR26G!$A$9:$N$66,8,FALSE),                                                                                                                                                                                                                                                     IF($A146&lt;Cements!$A$95,VLOOKUP($A146,Cements!$A$8:$Q$94,11,FALSE),
IF($A146&lt;ValveBox!$A$124,VLOOKUP($A146,ValveBox!$A$9:$O$123,10,FALSE),
IF($A146&lt;'ValveBox Components'!$A$142,VLOOKUP($A146,'ValveBox Components'!$A$9:$N$141,9,FALSE),
IF($A146&lt;Drainage!$A$69,VLOOKUP($A146,Drainage!$A$8:$M$68,7,FALSE),                                                                                                                                                                                                                                                          IF($A146&lt;Nipples!$A$82,VLOOKUP($A146,Nipples!$A$9:$Q$81,11,FALSE),
IF($A146&lt;Manifold!$A$33,VLOOKUP($A146,Manifold!$A$9:$M$32,7,FALSE),
IF($A146&lt;FlexibleRepairCouplings!$A$12,VLOOKUP($A146,FlexibleRepairCouplings!$A$9:$M$11,7,FALSE),
IF($A146&lt;DuraFix!$A$15,VLOOKUP($A146,DuraFix!$A$9:$M$14,7,FALSE),                                                                                                                                                                                                                                                           IF($A146&lt;'Compression Fittings'!$A$16,VLOOKUP($A146,'Compression Fittings'!$A$8:$M$15,7,FALSE),
IF($A146&lt;'Hose Fittings'!$A$30,VLOOKUP($A146,'Hose Fittings'!$A$8:$M$29,7,FALSE),
IF($A146&lt;'Swing Joints'!$A$495,VLOOKUP($A146,'Swing Joints'!$A$9:$M$494,7,FALSE),
IF($A146&lt;'Swing Joints Components'!$A$135,VLOOKUP($A146,'Swing Joints Components'!$A$9:$M$134,7,FALSE),
IF($A146&lt;Nonstandard!$A$42,VLOOKUP($A146,Nonstandard!$A$31:$J$41,10,FALSE),"")))))))))))))))))))))))))))),"")</f>
        <v/>
      </c>
      <c r="I146" s="621"/>
      <c r="J146" s="541" t="str">
        <f t="shared" si="3"/>
        <v/>
      </c>
      <c r="K146" s="599" t="str">
        <f>IFERROR(IF($A146&lt;'DWV PVC'!$A$317,VLOOKUP($A146,'DWV PVC'!$A$9:$M$316,10,FALSE),
IF($A146&lt;'DWV ABS'!$A$117,VLOOKUP($A146,'DWV ABS'!$A$8:$M$116,10,FALSE),
IF($A146&lt;'PVC SCH40'!$A$425,VLOOKUP($A146,'PVC SCH40'!$A$8:$M$424,10,FALSE),
IF($A146&lt;'PVC SCH40 LD'!$A$22,VLOOKUP($A146,'PVC SCH40 LD'!$A$8:$M$21,10,FALSE),
IF($A146&lt;'Pool &amp; SPA Sweep Elbows'!$A$12,VLOOKUP($A146,'Pool &amp; SPA Sweep Elbows'!$A$8:$M$11,10,FALSE),
IF($A146&lt;'Pool &amp; SPA Pipe Extender'!$A$11,VLOOKUP($A146,'Pool &amp; SPA Pipe Extender'!$A$8:$M$10,10,FALSE),
IF($A146&lt;'PVC SCH80'!$A$250,VLOOKUP($A146,'PVC SCH80'!$A$8:$M$249,10,FALSE),
IF($A146&lt;'PVC SCH80 Flange'!$A$49,VLOOKUP($A146,'PVC SCH80 Flange'!$A$8:$M$48,10,FALSE),
IF($A146&lt;'PVC SCH80 LD Flange'!$A$17,VLOOKUP($A146,'PVC SCH80 LD Flange'!$A$8:$M$16,10,FALSE),
IF($A146&lt;CPVC!$A$105,VLOOKUP($A146,CPVC!$A$9:$M$104,10,FALSE),
IF($A146&lt;InsertFittings!$A$185,VLOOKUP($A146,InsertFittings!$A$9:$M$184,10,FALSE),
IF($A146&lt;Valves!$A$92,VLOOKUP($A146,Valves!$A$9:$Q$91,14,FALSE),
IF($A146&lt;SDR35SW!$A$133,VLOOKUP($A146,SDR35SW!$A$9:$M$132,10,FALSE),
IF($A146&lt;SDR35G!$A$151,VLOOKUP($A146,SDR35G!$A$9:$M$150,10,FALSE),
IF($A146&lt;SDR26G!$A$67,VLOOKUP($A146,SDR26G!$A$9:$N$66,11,FALSE),
IF($A146&lt;Cements!$A$95,VLOOKUP($A146,Cements!$A$8:$Q$94,14,FALSE),
IF($A146&lt;ValveBox!$A$124,VLOOKUP($A146,ValveBox!$A$9:$O$123,12,FALSE),
IF($A146&lt;'ValveBox Components'!$A$142,VLOOKUP($A146,'ValveBox Components'!$A$9:$N$141,11,FALSE),
IF($A146&lt;Drainage!$A$69,VLOOKUP($A146,Drainage!$A$8:$M$68,10,FALSE),
IF($A146&lt;Nipples!$A$82,VLOOKUP($A146,Nipples!$A$9:$Q$81,14,FALSE),
IF($A146&lt;Manifold!$A$33,VLOOKUP($A146,Manifold!$A$9:$M$32,10,FALSE),
IF($A146&lt;FlexibleRepairCouplings!$A$12,VLOOKUP($A146,FlexibleRepairCouplings!$A$9:$M$11,10,FALSE),
IF($A146&lt;DuraFix!$A$15,VLOOKUP($A146,DuraFix!$A$9:$M$14,10,FALSE),
IF($A146&lt;'Compression Fittings'!$A$16,VLOOKUP($A146,'Compression Fittings'!$A$8:$M$15,10,FALSE),
IF($A146&lt;'Hose Fittings'!$A$30,VLOOKUP($A146,'Hose Fittings'!$A$8:$M$29,10,FALSE),
IF($A146&lt;'Swing Joints'!$A$495,VLOOKUP($A146,'Swing Joints'!$A$9:$M$494,10,FALSE),
IF($A146&lt;'Swing Joints Components'!$A$135,VLOOKUP($A146,'Swing Joints Components'!$A$9:$M$134,10,FALSE),
IF($A146&lt;Nonstandard!$A$42,VLOOKUP($A146,Nonstandard!$A$31:$J$41,10,FALSE),"")))))))))))))))))))))))))))),"")</f>
        <v/>
      </c>
      <c r="L146" s="539" t="str">
        <f t="shared" si="2"/>
        <v>-</v>
      </c>
      <c r="M146" s="542"/>
    </row>
    <row r="147" spans="1:13" ht="15.6">
      <c r="A147" s="312">
        <v>115</v>
      </c>
      <c r="B147" s="312" t="str">
        <f>IFERROR(IF($A147&lt;'DWV PVC'!$A$317,VLOOKUP($A147,'DWV PVC'!$A$9:$M$316,4,FALSE),
IF($A147&lt;'DWV ABS'!$A$117,VLOOKUP($A147,'DWV ABS'!$A$8:$M$116,4,FALSE),
IF($A147&lt;'PVC SCH40'!$A$425,VLOOKUP($A147,'PVC SCH40'!$A$8:$M$424,4,FALSE),
IF($A147&lt;'PVC SCH40 LD'!$A$22,VLOOKUP($A147,'PVC SCH40 LD'!$A$8:$M$21,4,FALSE),
IF($A147&lt;'Pool &amp; SPA Sweep Elbows'!$A$12,VLOOKUP($A147,'Pool &amp; SPA Sweep Elbows'!$A$8:$M$11,4,FALSE),
IF($A147&lt;'Pool &amp; SPA Pipe Extender'!$A$11,VLOOKUP($A147,'Pool &amp; SPA Pipe Extender'!$A$8:$M$10,4,FALSE),
IF($A147&lt;'PVC SCH80'!$A$250,VLOOKUP($A147,'PVC SCH80'!$A$8:$M$249,4,FALSE),
IF($A147&lt;'PVC SCH80 Flange'!$A$49,VLOOKUP($A147,'PVC SCH80 Flange'!$A$8:$M$48,4,FALSE),
IF($A147&lt;'PVC SCH80 LD Flange'!$A$17,VLOOKUP($A147,'PVC SCH80 LD Flange'!$A$8:$M$16,4,FALSE),
IF($A147&lt;CPVC!$A$105,VLOOKUP($A147,CPVC!$A$9:$M$104,4,FALSE),
IF($A147&lt;InsertFittings!$A$185,VLOOKUP($A147,InsertFittings!$A$9:$M$184,4,FALSE),
IF($A147&lt;Valves!$A$92,VLOOKUP($A147,Valves!$A$9:$Q$91,4,FALSE),
IF($A147&lt;SDR35SW!$A$133,VLOOKUP($A147,SDR35SW!$A$9:$M$132,4,FALSE),
IF($A147&lt;SDR35G!$A$151,VLOOKUP($A147,SDR35G!$A$9:$M$150,4,FALSE),
IF($A147&lt;SDR26G!$A$67,VLOOKUP($A147,SDR26G!$A$9:$N$66,5,FALSE),
IF($A147&lt;Cements!$A$95,VLOOKUP($A147,Cements!$A$8:$Q$94,4,FALSE),
IF($A147&lt;ValveBox!$A$124,VLOOKUP($A147,ValveBox!$A$9:$O$123,4,FALSE),
IF($A147&lt;'ValveBox Components'!$A$142,VLOOKUP($A147,'ValveBox Components'!$A$9:$N$141,4,FALSE),
IF($A147&lt;Drainage!$A$69,VLOOKUP($A147,Drainage!$A$8:$M$68,4,FALSE),
IF($A147&lt;Nipples!$A$82,VLOOKUP($A147,Nipples!$A$9:$Q$81,4,FALSE),
IF($A147&lt;Manifold!$A$33,VLOOKUP($A147,Manifold!$A$9:$M$32,4,FALSE),
IF($A147&lt;FlexibleRepairCouplings!$A$12,VLOOKUP($A147,FlexibleRepairCouplings!$A$9:$M$11,4,FALSE),
IF($A147&lt;DuraFix!$A$15,VLOOKUP($A147,DuraFix!$A$9:$M$14,4,FALSE),
IF($A147&lt;'Compression Fittings'!$A$16,VLOOKUP($A147,'Compression Fittings'!$A$8:$M$15,4,FALSE),
IF($A147&lt;'Hose Fittings'!$A$30,VLOOKUP($A147,'Hose Fittings'!$A$8:$M$29,4,FALSE),
IF($A147&lt;'Swing Joints'!$A$495,VLOOKUP($A147,'Swing Joints'!$A$9:$M$494,4,FALSE),
IF($A147&lt;'Swing Joints Components'!$A$135,VLOOKUP($A147,'Swing Joints Components'!$A$9:$M$134,4,FALSE),
IF($A147&lt;Nonstandard!$A$42,VLOOKUP($A147,Nonstandard!$A$31:$J$41,5,FALSE),"")))))))))))))))))))))))))))),"")</f>
        <v/>
      </c>
      <c r="C147" s="312" t="str">
        <f>IFERROR(IF($A147&lt;'DWV PVC'!$A$317,VLOOKUP($A147,'DWV PVC'!$A$9:$M$316,5,FALSE),
IF($A147&lt;'DWV ABS'!$A$117,VLOOKUP($A147,'DWV ABS'!$A$8:$M$116,5,FALSE),
IF($A147&lt;'PVC SCH40'!$A$425,VLOOKUP($A147,'PVC SCH40'!$A$8:$M$424,5,FALSE),
IF($A147&lt;'PVC SCH40 LD'!$A$22,VLOOKUP($A147,'PVC SCH40 LD'!$A$8:$M$21,5,FALSE),
IF($A147&lt;'Pool &amp; SPA Sweep Elbows'!$A$12,VLOOKUP($A147,'Pool &amp; SPA Sweep Elbows'!$A$8:$M$11,5,FALSE),
IF($A147&lt;'Pool &amp; SPA Pipe Extender'!$A$11,VLOOKUP($A147,'Pool &amp; SPA Pipe Extender'!$A$8:$M$10,5,FALSE),
IF($A147&lt;'PVC SCH80'!$A$250,VLOOKUP($A147,'PVC SCH80'!$A$8:$M$249,5,FALSE),
IF($A147&lt;'PVC SCH80 Flange'!$A$49,VLOOKUP($A147,'PVC SCH80 Flange'!$A$8:$M$48,5,FALSE),
IF($A147&lt;'PVC SCH80 LD Flange'!$A$17,VLOOKUP($A147,'PVC SCH80 LD Flange'!$A$8:$M$16,5,FALSE),
IF($A147&lt;CPVC!$A$105,VLOOKUP($A147,CPVC!$A$9:$M$104,5,FALSE),
IF($A147&lt;InsertFittings!$A$185,VLOOKUP($A147,InsertFittings!$A$9:$M$184,5,FALSE),
IF($A147&lt;Valves!$A$92,VLOOKUP($A147,Valves!$A$9:$Q$91,5,FALSE),
IF($A147&lt;SDR35SW!$A$133,VLOOKUP($A147,SDR35SW!$A$9:$M$132,5,FALSE),
IF($A147&lt;SDR35G!$A$151,VLOOKUP($A147,SDR35G!$A$9:$M$150,5,FALSE),
IF($A147&lt;SDR26G!$A$67,VLOOKUP($A147,SDR26G!$A$9:$N$66,6,FALSE),
IF($A147&lt;Cements!$A$95,VLOOKUP($A147,Cements!$A$8:$Q$94,5,FALSE),
IF($A147&lt;ValveBox!$A$124,VLOOKUP($A147,ValveBox!$A$9:$O$123,5,FALSE),
IF($A147&lt;'ValveBox Components'!$A$142,VLOOKUP($A147,'ValveBox Components'!$A$9:$N$141,5,FALSE),
IF($A147&lt;Drainage!$A$69,VLOOKUP($A147,Drainage!$A$8:$M$68,5,FALSE),
IF($A147&lt;Nipples!$A$82,VLOOKUP($A147,Nipples!$A$9:$Q$81,5,FALSE),
IF($A147&lt;Manifold!$A$33,VLOOKUP($A147,Manifold!$A$9:$M$32,5,FALSE),
IF($A147&lt;FlexibleRepairCouplings!$A$12,VLOOKUP($A147,FlexibleRepairCouplings!$A$9:$M$11,5,FALSE),
IF($A147&lt;DuraFix!$A$15,VLOOKUP($A147,DuraFix!$A$9:$M$14,5,FALSE),
IF($A147&lt;'Compression Fittings'!$A$16,VLOOKUP($A147,'Compression Fittings'!$A$8:$M$15,5,FALSE),
IF($A147&lt;'Hose Fittings'!$A$30,VLOOKUP($A147,'Hose Fittings'!$A$8:$M$29,5,FALSE),
IF($A147&lt;'Swing Joints'!$A$495,VLOOKUP($A147,'Swing Joints'!$A$9:$M$494,5,FALSE),
IF($A147&lt;'Swing Joints Components'!$A$135,VLOOKUP($A147,'Swing Joints Components'!$A$9:$M$134,5,FALSE),
IF($A147&lt;Nonstandard!$A$42,VLOOKUP($A147,Nonstandard!$A$31:$J$41,6,FALSE),"")))))))))))))))))))))))))))),"")</f>
        <v/>
      </c>
      <c r="D147" s="534" t="str">
        <f>IFERROR(IF($A147&lt;'DWV PVC'!$A$317,VLOOKUP($A147,'DWV PVC'!$A$9:$M$316,6,FALSE),
IF($A147&lt;'DWV ABS'!$A$117,VLOOKUP($A147,'DWV ABS'!$A$8:$M$116,6,FALSE),
IF($A147&lt;'PVC SCH40'!$A$425,VLOOKUP($A147,'PVC SCH40'!$A$8:$M$424,6,FALSE),
IF($A147&lt;'PVC SCH40 LD'!$A$22,VLOOKUP($A147,'PVC SCH40 LD'!$A$8:$M$21,6,FALSE),
IF($A147&lt;'Pool &amp; SPA Sweep Elbows'!$A$12,VLOOKUP($A147,'Pool &amp; SPA Sweep Elbows'!$A$8:$M$11,6,FALSE),
IF($A147&lt;'Pool &amp; SPA Pipe Extender'!$A$11,VLOOKUP($A147,'Pool &amp; SPA Pipe Extender'!$A$8:$M$10,6,FALSE),
IF($A147&lt;'PVC SCH80'!$A$250,VLOOKUP($A147,'PVC SCH80'!$A$8:$M$249,6,FALSE),
IF($A147&lt;'PVC SCH80 Flange'!$A$49,VLOOKUP($A147,'PVC SCH80 Flange'!$A$8:$M$48,6,FALSE),
IF($A147&lt;'PVC SCH80 LD Flange'!$A$17,VLOOKUP($A147,'PVC SCH80 LD Flange'!$A$8:$M$16,6,FALSE),
IF($A147&lt;CPVC!$A$105,VLOOKUP($A147,CPVC!$A$9:$M$104,6,FALSE),
IF($A147&lt;InsertFittings!$A$185,VLOOKUP($A147,InsertFittings!$A$9:$M$184,6,FALSE),
IF($A147&lt;Valves!$A$92,VLOOKUP($A147,Valves!$A$9:$Q$91,6,FALSE),
IF($A147&lt;SDR35SW!$A$133,VLOOKUP($A147,SDR35SW!$A$9:$M$132,6,FALSE),
IF($A147&lt;SDR35G!$A$151,VLOOKUP($A147,SDR35G!$A$9:$M$150,6,FALSE),
IF($A147&lt;SDR26G!$A$67,VLOOKUP($A147,SDR26G!$A$9:$N$66,7,FALSE),
IF($A147&lt;Cements!$A$95,VLOOKUP($A147,Cements!$A$8:$Q$94,6,FALSE),
IF($A147&lt;ValveBox!$A$124,VLOOKUP($A147,ValveBox!$A$9:$O$123,6,FALSE),
IF($A147&lt;'ValveBox Components'!$A$142,VLOOKUP($A147,'ValveBox Components'!$A$9:$N$141,6,FALSE),
IF($A147&lt;Drainage!$A$69,VLOOKUP($A147,Drainage!$A$8:$M$68,6,FALSE),
IF($A147&lt;Nipples!$A$82,VLOOKUP($A147,Nipples!$A$9:$Q$81,6,FALSE),
IF($A147&lt;Manifold!$A$33,VLOOKUP($A147,Manifold!$A$9:$M$32,6,FALSE),
IF($A147&lt;FlexibleRepairCouplings!$A$12,VLOOKUP($A147,FlexibleRepairCouplings!$A$9:$M$11,6,FALSE),
IF($A147&lt;DuraFix!$A$15,VLOOKUP($A147,DuraFix!$A$9:$M$14,6,FALSE),
IF($A147&lt;'Compression Fittings'!$A$16,VLOOKUP($A147,'Compression Fittings'!$A$8:$M$15,6,FALSE),
IF($A147&lt;'Hose Fittings'!$A$30,VLOOKUP($A147,'Hose Fittings'!$A$8:$M$29,6,FALSE),
IF($A147&lt;'Swing Joints'!$A$495,VLOOKUP($A147,'Swing Joints'!$A$9:$M$494,6,FALSE),
IF($A147&lt;'Swing Joints Components'!$A$135,VLOOKUP($A147,'Swing Joints Components'!$A$9:$M$134,6,FALSE),
IF($A147&lt;Nonstandard!$A$42,VLOOKUP($A147,Nonstandard!$A$31:$J$41,7,FALSE),"")))))))))))))))))))))))))))),"")</f>
        <v/>
      </c>
      <c r="E147" s="316"/>
      <c r="F147" s="314" t="str">
        <f>IFERROR(IF($A147&lt;'DWV PVC'!$A$317,VLOOKUP($A147,'DWV PVC'!$A$9:$M$316,9,FALSE),
IF($A147&lt;'DWV ABS'!$A$117,VLOOKUP($A147,'DWV ABS'!$A$8:$M$116,9,FALSE),                                                                                                                                                                                                                                                     IF($A147&lt;'PVC SCH40'!$A$425,VLOOKUP($A147,'PVC SCH40'!$A$8:$M$424,9,FALSE),
IF($A147&lt;'PVC SCH40 LD'!$A$22,VLOOKUP($A147,'PVC SCH40 LD'!$A$8:$M$21,9,FALSE),
IF($A147&lt;'Pool &amp; SPA Sweep Elbows'!$A$12,VLOOKUP($A147,'Pool &amp; SPA Sweep Elbows'!$A$8:$M$11,9,FALSE),
IF($A147&lt;'Pool &amp; SPA Pipe Extender'!$A$11,VLOOKUP($A147,'Pool &amp; SPA Pipe Extender'!$A$8:$M$10,9,FALSE),
IF($A147&lt;'PVC SCH80'!$A$250,VLOOKUP($A147,'PVC SCH80'!$A$8:$M$249,9,FALSE),
IF($A147&lt;'PVC SCH80 Flange'!$A$49,VLOOKUP($A147,'PVC SCH80 Flange'!$A$8:$M$48,9,FALSE),
IF($A147&lt;'PVC SCH80 LD Flange'!$A$17,VLOOKUP($A147,'PVC SCH80 LD Flange'!$A$8:$M$16,9,FALSE),
IF($A147&lt;CPVC!$A$105,VLOOKUP($A147,CPVC!$A$9:$M$104,9,FALSE),
IF($A147&lt;InsertFittings!$A$185,VLOOKUP($A147,InsertFittings!$A$9:$M$184,9,FALSE),
IF($A147&lt;Valves!$A$92,VLOOKUP($A147,Valves!$A$9:$Q$91,13,FALSE),
IF($A147&lt;SDR35SW!$A$133,VLOOKUP($A147,SDR35SW!$A$9:$M$132,9,FALSE),
IF($A147&lt;SDR35G!$A$151,VLOOKUP($A147,SDR35G!$A$9:$M$150,9,FALSE),                                                                                                                                                                                                                                                          IF($A147&lt;SDR26G!$A$67,VLOOKUP($A147,SDR26G!$A$9:$N$66,10,FALSE),                                                                                                                                                                                                                                                       IF($A147&lt;Cements!$A$95,VLOOKUP($A147,Cements!$A$8:$Q$94,13,FALSE),
IF($A147&lt;ValveBox!$A$124,VLOOKUP($A147,ValveBox!$A$9:$O$123,11,FALSE),
IF($A147&lt;'ValveBox Components'!$A$142,VLOOKUP($A147,'ValveBox Components'!$A$9:$N$141,10,FALSE),
IF($A147&lt;Drainage!$A$69,VLOOKUP($A147,Drainage!$A$8:$M$68,9,FALSE),                                                                                                                                                                                                                                                              IF($A147&lt;Nipples!$A$82,VLOOKUP($A147,Nipples!$A$9:$Q$81,13,FALSE),
IF($A147&lt;Manifold!$A$33,VLOOKUP($A147,Manifold!$A$9:$M$32,9,FALSE),
IF($A147&lt;FlexibleRepairCouplings!$A$12,VLOOKUP($A147,FlexibleRepairCouplings!$A$9:$M$11,9,FALSE),
IF($A147&lt;DuraFix!$A$15,VLOOKUP($A147,DuraFix!$A$9:$M$14,9,FALSE),                                                                                                                                                                                                                                                          IF($A147&lt;'Compression Fittings'!$A$16,VLOOKUP($A147,'Compression Fittings'!$A$8:$M$15,9,FALSE),
IF($A147&lt;'Hose Fittings'!$A$30,VLOOKUP($A147,'Hose Fittings'!$A$8:$M$29,9,FALSE),
IF($A147&lt;'Swing Joints'!$A$495,VLOOKUP($A147,'Swing Joints'!$A$9:$M$494,9,FALSE),
IF($A147&lt;'Swing Joints Components'!$A$135,VLOOKUP($A147,'Swing Joints Components'!$A$9:$M$134,9,FALSE),
IF($A147&lt;Nonstandard!$A$42,VLOOKUP($A147,Nonstandard!$A$31:$J$41,8,FALSE),"")))))))))))))))))))))))))))),"")</f>
        <v/>
      </c>
      <c r="G147" s="533" t="str">
        <f>IFERROR(IF($A147&lt;'DWV PVC'!$A$317,VLOOKUP($A147,'DWV PVC'!$A$9:$M$316,11,FALSE),
IF($A147&lt;'DWV ABS'!$A$117,VLOOKUP($A147,'DWV ABS'!$A$8:$M$116,11,FALSE),                                                                                                                                                                                                                                                     IF($A147&lt;'PVC SCH40'!$A$425,VLOOKUP($A147,'PVC SCH40'!$A$8:$M$424,11,FALSE),
IF($A147&lt;'PVC SCH40 LD'!$A$22,VLOOKUP($A147,'PVC SCH40 LD'!$A$8:$M$21,11,FALSE),
IF($A147&lt;'Pool &amp; SPA Sweep Elbows'!$A$12,VLOOKUP($A147,'Pool &amp; SPA Sweep Elbows'!$A$8:$M$11,11,FALSE),
IF($A147&lt;'Pool &amp; SPA Pipe Extender'!$A$11,VLOOKUP($A147,'Pool &amp; SPA Pipe Extender'!$A$8:$M$10,11,FALSE),
IF($A147&lt;'PVC SCH80'!$A$250,VLOOKUP($A147,'PVC SCH80'!$A$8:$M$249,11,FALSE),
IF($A147&lt;'PVC SCH80 Flange'!$A$49,VLOOKUP($A147,'PVC SCH80 Flange'!$A$8:$M$48,11,FALSE),
IF($A147&lt;'PVC SCH80 LD Flange'!$A$17,VLOOKUP($A147,'PVC SCH80 LD Flange'!$A$8:$M$16,11,FALSE),
IF($A147&lt;CPVC!$A$105,VLOOKUP($A147,CPVC!$A$9:$M$104,11,FALSE),
IF($A147&lt;InsertFittings!$A$185,VLOOKUP($A147,InsertFittings!$A$9:$M$184,11,FALSE),
IF($A147&lt;Valves!$A$92,VLOOKUP($A147,Valves!$A$9:$Q$91,15,FALSE),
IF($A147&lt;SDR35SW!$A$133,VLOOKUP($A147,SDR35SW!$A$9:$M$132,11,FALSE),
IF($A147&lt;SDR35G!$A$151,VLOOKUP($A147,SDR35G!$A$9:$M$150,11,FALSE),                                                                                                                                                                                                                                                          IF($A147&lt;SDR26G!$A$67,VLOOKUP($A147,SDR26G!$A$9:$N$66,12,FALSE),                                                                                                                                                                                                                                                       IF($A147&lt;Cements!$A$95,VLOOKUP($A147,Cements!$A$8:$Q$94,15,FALSE),
IF($A147&lt;ValveBox!$A$124,VLOOKUP($A147,ValveBox!$A$9:$O$123,13,FALSE),
IF($A147&lt;'ValveBox Components'!$A$142,VLOOKUP($A147,'ValveBox Components'!$A$9:$N$141,12,FALSE),
IF($A147&lt;Drainage!$A$69,VLOOKUP($A147,Drainage!$A$8:$M$68,11,FALSE),                                                                                                                                                                                                                                                           IF($A147&lt;Nipples!$A$82,VLOOKUP($A147,Nipples!$A$9:$Q$81,15,FALSE),
IF($A147&lt;Manifold!$A$33,VLOOKUP($A147,Manifold!$A$9:$M$32,11,FALSE),
IF($A147&lt;FlexibleRepairCouplings!$A$12,VLOOKUP($A147,FlexibleRepairCouplings!$A$9:$M$11,11,FALSE),
IF($A147&lt;DuraFix!$A$15,VLOOKUP($A147,DuraFix!$A$9:$M$14,11,FALSE),                                                                                                                                                                                                                                                            IF($A147&lt;'Compression Fittings'!$A$16,VLOOKUP($A147,'Compression Fittings'!$A$8:$M$15,11,FALSE),
IF($A147&lt;'Hose Fittings'!$A$30,VLOOKUP($A147,'Hose Fittings'!$A$8:$M$29,11,FALSE),
IF($A147&lt;'Swing Joints'!$A$495,VLOOKUP($A147,'Swing Joints'!$A$9:$M$494,11,FALSE),
IF($A147&lt;'Swing Joints Components'!$A$135,VLOOKUP($A147,'Swing Joints Components'!$A$9:$M$134,11,FALSE),
IF($A147&lt;Nonstandard!$A$42,VLOOKUP($A147,Nonstandard!$A$31:$J$41,10,FALSE),"")))))))))))))))))))))))))))),"")</f>
        <v/>
      </c>
      <c r="H147" s="618" t="str">
        <f>IFERROR(IF($A147&lt;'DWV PVC'!$A$317,VLOOKUP($A147,'DWV PVC'!$A$9:$M$316,7,FALSE),
IF($A147&lt;'DWV ABS'!$A$117,VLOOKUP($A147,'DWV ABS'!$A$8:$M$116,11,FALSE),                                                                                                                                                                                                                                                     IF($A147&lt;'PVC SCH40'!$A$425,VLOOKUP($A147,'PVC SCH40'!$A$8:$M$424,7,FALSE),
IF($A147&lt;'PVC SCH40 LD'!$A$22,VLOOKUP($A147,'PVC SCH40 LD'!$A$8:$M$21,7,FALSE),
IF($A147&lt;'Pool &amp; SPA Sweep Elbows'!$A$12,VLOOKUP($A147,'Pool &amp; SPA Sweep Elbows'!$A$8:$M$11,7,FALSE),
IF($A147&lt;'Pool &amp; SPA Pipe Extender'!$A$11,VLOOKUP($A147,'Pool &amp; SPA Pipe Extender'!$A$8:$M$10,7,FALSE),
IF($A147&lt;'PVC SCH80'!$A$250,VLOOKUP($A147,'PVC SCH80'!$A$8:$M$249,7,FALSE),
IF($A147&lt;'PVC SCH80 Flange'!$A$49,VLOOKUP($A147,'PVC SCH80 Flange'!$A$8:$M$48,7,FALSE),
IF($A147&lt;'PVC SCH80 LD Flange'!$A$17,VLOOKUP($A147,'PVC SCH80 LD Flange'!$A$8:$M$16,7,FALSE),
IF($A147&lt;CPVC!$A$105,VLOOKUP($A147,CPVC!$A$9:$M$104,7,FALSE),
IF($A147&lt;InsertFittings!$A$185,VLOOKUP($A147,InsertFittings!$A$9:$M$184,7,FALSE),
IF($A147&lt;Valves!$A$92,VLOOKUP($A147,Valves!$A$9:$Q$91,11,FALSE),
IF($A147&lt;SDR35SW!$A$133,VLOOKUP($A147,SDR35SW!$A$9:$M$132,7,FALSE),
IF($A147&lt;SDR35G!$A$151,VLOOKUP($A147,SDR35G!$A$9:$M$150,7,FALSE),                                                                                                                                                                                                                                                       IF($A147&lt;SDR26G!$A$67,VLOOKUP($A147,SDR26G!$A$9:$N$66,8,FALSE),                                                                                                                                                                                                                                                     IF($A147&lt;Cements!$A$95,VLOOKUP($A147,Cements!$A$8:$Q$94,11,FALSE),
IF($A147&lt;ValveBox!$A$124,VLOOKUP($A147,ValveBox!$A$9:$O$123,10,FALSE),
IF($A147&lt;'ValveBox Components'!$A$142,VLOOKUP($A147,'ValveBox Components'!$A$9:$N$141,9,FALSE),
IF($A147&lt;Drainage!$A$69,VLOOKUP($A147,Drainage!$A$8:$M$68,7,FALSE),                                                                                                                                                                                                                                                          IF($A147&lt;Nipples!$A$82,VLOOKUP($A147,Nipples!$A$9:$Q$81,11,FALSE),
IF($A147&lt;Manifold!$A$33,VLOOKUP($A147,Manifold!$A$9:$M$32,7,FALSE),
IF($A147&lt;FlexibleRepairCouplings!$A$12,VLOOKUP($A147,FlexibleRepairCouplings!$A$9:$M$11,7,FALSE),
IF($A147&lt;DuraFix!$A$15,VLOOKUP($A147,DuraFix!$A$9:$M$14,7,FALSE),                                                                                                                                                                                                                                                           IF($A147&lt;'Compression Fittings'!$A$16,VLOOKUP($A147,'Compression Fittings'!$A$8:$M$15,7,FALSE),
IF($A147&lt;'Hose Fittings'!$A$30,VLOOKUP($A147,'Hose Fittings'!$A$8:$M$29,7,FALSE),
IF($A147&lt;'Swing Joints'!$A$495,VLOOKUP($A147,'Swing Joints'!$A$9:$M$494,7,FALSE),
IF($A147&lt;'Swing Joints Components'!$A$135,VLOOKUP($A147,'Swing Joints Components'!$A$9:$M$134,7,FALSE),
IF($A147&lt;Nonstandard!$A$42,VLOOKUP($A147,Nonstandard!$A$31:$J$41,10,FALSE),"")))))))))))))))))))))))))))),"")</f>
        <v/>
      </c>
      <c r="I147" s="619"/>
      <c r="J147" s="281" t="str">
        <f t="shared" si="3"/>
        <v/>
      </c>
      <c r="K147" s="313" t="str">
        <f>IFERROR(IF($A147&lt;'DWV PVC'!$A$317,VLOOKUP($A147,'DWV PVC'!$A$9:$M$316,10,FALSE),
IF($A147&lt;'DWV ABS'!$A$117,VLOOKUP($A147,'DWV ABS'!$A$8:$M$116,10,FALSE),
IF($A147&lt;'PVC SCH40'!$A$425,VLOOKUP($A147,'PVC SCH40'!$A$8:$M$424,10,FALSE),
IF($A147&lt;'PVC SCH40 LD'!$A$22,VLOOKUP($A147,'PVC SCH40 LD'!$A$8:$M$21,10,FALSE),
IF($A147&lt;'Pool &amp; SPA Sweep Elbows'!$A$12,VLOOKUP($A147,'Pool &amp; SPA Sweep Elbows'!$A$8:$M$11,10,FALSE),
IF($A147&lt;'Pool &amp; SPA Pipe Extender'!$A$11,VLOOKUP($A147,'Pool &amp; SPA Pipe Extender'!$A$8:$M$10,10,FALSE),
IF($A147&lt;'PVC SCH80'!$A$250,VLOOKUP($A147,'PVC SCH80'!$A$8:$M$249,10,FALSE),
IF($A147&lt;'PVC SCH80 Flange'!$A$49,VLOOKUP($A147,'PVC SCH80 Flange'!$A$8:$M$48,10,FALSE),
IF($A147&lt;'PVC SCH80 LD Flange'!$A$17,VLOOKUP($A147,'PVC SCH80 LD Flange'!$A$8:$M$16,10,FALSE),
IF($A147&lt;CPVC!$A$105,VLOOKUP($A147,CPVC!$A$9:$M$104,10,FALSE),
IF($A147&lt;InsertFittings!$A$185,VLOOKUP($A147,InsertFittings!$A$9:$M$184,10,FALSE),
IF($A147&lt;Valves!$A$92,VLOOKUP($A147,Valves!$A$9:$Q$91,14,FALSE),
IF($A147&lt;SDR35SW!$A$133,VLOOKUP($A147,SDR35SW!$A$9:$M$132,10,FALSE),
IF($A147&lt;SDR35G!$A$151,VLOOKUP($A147,SDR35G!$A$9:$M$150,10,FALSE),
IF($A147&lt;SDR26G!$A$67,VLOOKUP($A147,SDR26G!$A$9:$N$66,11,FALSE),
IF($A147&lt;Cements!$A$95,VLOOKUP($A147,Cements!$A$8:$Q$94,14,FALSE),
IF($A147&lt;ValveBox!$A$124,VLOOKUP($A147,ValveBox!$A$9:$O$123,12,FALSE),
IF($A147&lt;'ValveBox Components'!$A$142,VLOOKUP($A147,'ValveBox Components'!$A$9:$N$141,11,FALSE),
IF($A147&lt;Drainage!$A$69,VLOOKUP($A147,Drainage!$A$8:$M$68,10,FALSE),
IF($A147&lt;Nipples!$A$82,VLOOKUP($A147,Nipples!$A$9:$Q$81,14,FALSE),
IF($A147&lt;Manifold!$A$33,VLOOKUP($A147,Manifold!$A$9:$M$32,10,FALSE),
IF($A147&lt;FlexibleRepairCouplings!$A$12,VLOOKUP($A147,FlexibleRepairCouplings!$A$9:$M$11,10,FALSE),
IF($A147&lt;DuraFix!$A$15,VLOOKUP($A147,DuraFix!$A$9:$M$14,10,FALSE),
IF($A147&lt;'Compression Fittings'!$A$16,VLOOKUP($A147,'Compression Fittings'!$A$8:$M$15,10,FALSE),
IF($A147&lt;'Hose Fittings'!$A$30,VLOOKUP($A147,'Hose Fittings'!$A$8:$M$29,10,FALSE),
IF($A147&lt;'Swing Joints'!$A$495,VLOOKUP($A147,'Swing Joints'!$A$9:$M$494,10,FALSE),
IF($A147&lt;'Swing Joints Components'!$A$135,VLOOKUP($A147,'Swing Joints Components'!$A$9:$M$134,10,FALSE),
IF($A147&lt;Nonstandard!$A$42,VLOOKUP($A147,Nonstandard!$A$31:$J$41,10,FALSE),"")))))))))))))))))))))))))))),"")</f>
        <v/>
      </c>
      <c r="L147" s="314" t="str">
        <f t="shared" si="2"/>
        <v>-</v>
      </c>
      <c r="M147" s="315"/>
    </row>
    <row r="148" spans="1:13" ht="15.6">
      <c r="A148" s="536">
        <v>116</v>
      </c>
      <c r="B148" s="536" t="str">
        <f>IFERROR(IF($A148&lt;'DWV PVC'!$A$317,VLOOKUP($A148,'DWV PVC'!$A$9:$M$316,4,FALSE),
IF($A148&lt;'DWV ABS'!$A$117,VLOOKUP($A148,'DWV ABS'!$A$8:$M$116,4,FALSE),
IF($A148&lt;'PVC SCH40'!$A$425,VLOOKUP($A148,'PVC SCH40'!$A$8:$M$424,4,FALSE),
IF($A148&lt;'PVC SCH40 LD'!$A$22,VLOOKUP($A148,'PVC SCH40 LD'!$A$8:$M$21,4,FALSE),
IF($A148&lt;'Pool &amp; SPA Sweep Elbows'!$A$12,VLOOKUP($A148,'Pool &amp; SPA Sweep Elbows'!$A$8:$M$11,4,FALSE),
IF($A148&lt;'Pool &amp; SPA Pipe Extender'!$A$11,VLOOKUP($A148,'Pool &amp; SPA Pipe Extender'!$A$8:$M$10,4,FALSE),
IF($A148&lt;'PVC SCH80'!$A$250,VLOOKUP($A148,'PVC SCH80'!$A$8:$M$249,4,FALSE),
IF($A148&lt;'PVC SCH80 Flange'!$A$49,VLOOKUP($A148,'PVC SCH80 Flange'!$A$8:$M$48,4,FALSE),
IF($A148&lt;'PVC SCH80 LD Flange'!$A$17,VLOOKUP($A148,'PVC SCH80 LD Flange'!$A$8:$M$16,4,FALSE),
IF($A148&lt;CPVC!$A$105,VLOOKUP($A148,CPVC!$A$9:$M$104,4,FALSE),
IF($A148&lt;InsertFittings!$A$185,VLOOKUP($A148,InsertFittings!$A$9:$M$184,4,FALSE),
IF($A148&lt;Valves!$A$92,VLOOKUP($A148,Valves!$A$9:$Q$91,4,FALSE),
IF($A148&lt;SDR35SW!$A$133,VLOOKUP($A148,SDR35SW!$A$9:$M$132,4,FALSE),
IF($A148&lt;SDR35G!$A$151,VLOOKUP($A148,SDR35G!$A$9:$M$150,4,FALSE),
IF($A148&lt;SDR26G!$A$67,VLOOKUP($A148,SDR26G!$A$9:$N$66,5,FALSE),
IF($A148&lt;Cements!$A$95,VLOOKUP($A148,Cements!$A$8:$Q$94,4,FALSE),
IF($A148&lt;ValveBox!$A$124,VLOOKUP($A148,ValveBox!$A$9:$O$123,4,FALSE),
IF($A148&lt;'ValveBox Components'!$A$142,VLOOKUP($A148,'ValveBox Components'!$A$9:$N$141,4,FALSE),
IF($A148&lt;Drainage!$A$69,VLOOKUP($A148,Drainage!$A$8:$M$68,4,FALSE),
IF($A148&lt;Nipples!$A$82,VLOOKUP($A148,Nipples!$A$9:$Q$81,4,FALSE),
IF($A148&lt;Manifold!$A$33,VLOOKUP($A148,Manifold!$A$9:$M$32,4,FALSE),
IF($A148&lt;FlexibleRepairCouplings!$A$12,VLOOKUP($A148,FlexibleRepairCouplings!$A$9:$M$11,4,FALSE),
IF($A148&lt;DuraFix!$A$15,VLOOKUP($A148,DuraFix!$A$9:$M$14,4,FALSE),
IF($A148&lt;'Compression Fittings'!$A$16,VLOOKUP($A148,'Compression Fittings'!$A$8:$M$15,4,FALSE),
IF($A148&lt;'Hose Fittings'!$A$30,VLOOKUP($A148,'Hose Fittings'!$A$8:$M$29,4,FALSE),
IF($A148&lt;'Swing Joints'!$A$495,VLOOKUP($A148,'Swing Joints'!$A$9:$M$494,4,FALSE),
IF($A148&lt;'Swing Joints Components'!$A$135,VLOOKUP($A148,'Swing Joints Components'!$A$9:$M$134,4,FALSE),
IF($A148&lt;Nonstandard!$A$42,VLOOKUP($A148,Nonstandard!$A$31:$J$41,5,FALSE),"")))))))))))))))))))))))))))),"")</f>
        <v/>
      </c>
      <c r="C148" s="536" t="str">
        <f>IFERROR(IF($A148&lt;'DWV PVC'!$A$317,VLOOKUP($A148,'DWV PVC'!$A$9:$M$316,5,FALSE),
IF($A148&lt;'DWV ABS'!$A$117,VLOOKUP($A148,'DWV ABS'!$A$8:$M$116,5,FALSE),
IF($A148&lt;'PVC SCH40'!$A$425,VLOOKUP($A148,'PVC SCH40'!$A$8:$M$424,5,FALSE),
IF($A148&lt;'PVC SCH40 LD'!$A$22,VLOOKUP($A148,'PVC SCH40 LD'!$A$8:$M$21,5,FALSE),
IF($A148&lt;'Pool &amp; SPA Sweep Elbows'!$A$12,VLOOKUP($A148,'Pool &amp; SPA Sweep Elbows'!$A$8:$M$11,5,FALSE),
IF($A148&lt;'Pool &amp; SPA Pipe Extender'!$A$11,VLOOKUP($A148,'Pool &amp; SPA Pipe Extender'!$A$8:$M$10,5,FALSE),
IF($A148&lt;'PVC SCH80'!$A$250,VLOOKUP($A148,'PVC SCH80'!$A$8:$M$249,5,FALSE),
IF($A148&lt;'PVC SCH80 Flange'!$A$49,VLOOKUP($A148,'PVC SCH80 Flange'!$A$8:$M$48,5,FALSE),
IF($A148&lt;'PVC SCH80 LD Flange'!$A$17,VLOOKUP($A148,'PVC SCH80 LD Flange'!$A$8:$M$16,5,FALSE),
IF($A148&lt;CPVC!$A$105,VLOOKUP($A148,CPVC!$A$9:$M$104,5,FALSE),
IF($A148&lt;InsertFittings!$A$185,VLOOKUP($A148,InsertFittings!$A$9:$M$184,5,FALSE),
IF($A148&lt;Valves!$A$92,VLOOKUP($A148,Valves!$A$9:$Q$91,5,FALSE),
IF($A148&lt;SDR35SW!$A$133,VLOOKUP($A148,SDR35SW!$A$9:$M$132,5,FALSE),
IF($A148&lt;SDR35G!$A$151,VLOOKUP($A148,SDR35G!$A$9:$M$150,5,FALSE),
IF($A148&lt;SDR26G!$A$67,VLOOKUP($A148,SDR26G!$A$9:$N$66,6,FALSE),
IF($A148&lt;Cements!$A$95,VLOOKUP($A148,Cements!$A$8:$Q$94,5,FALSE),
IF($A148&lt;ValveBox!$A$124,VLOOKUP($A148,ValveBox!$A$9:$O$123,5,FALSE),
IF($A148&lt;'ValveBox Components'!$A$142,VLOOKUP($A148,'ValveBox Components'!$A$9:$N$141,5,FALSE),
IF($A148&lt;Drainage!$A$69,VLOOKUP($A148,Drainage!$A$8:$M$68,5,FALSE),
IF($A148&lt;Nipples!$A$82,VLOOKUP($A148,Nipples!$A$9:$Q$81,5,FALSE),
IF($A148&lt;Manifold!$A$33,VLOOKUP($A148,Manifold!$A$9:$M$32,5,FALSE),
IF($A148&lt;FlexibleRepairCouplings!$A$12,VLOOKUP($A148,FlexibleRepairCouplings!$A$9:$M$11,5,FALSE),
IF($A148&lt;DuraFix!$A$15,VLOOKUP($A148,DuraFix!$A$9:$M$14,5,FALSE),
IF($A148&lt;'Compression Fittings'!$A$16,VLOOKUP($A148,'Compression Fittings'!$A$8:$M$15,5,FALSE),
IF($A148&lt;'Hose Fittings'!$A$30,VLOOKUP($A148,'Hose Fittings'!$A$8:$M$29,5,FALSE),
IF($A148&lt;'Swing Joints'!$A$495,VLOOKUP($A148,'Swing Joints'!$A$9:$M$494,5,FALSE),
IF($A148&lt;'Swing Joints Components'!$A$135,VLOOKUP($A148,'Swing Joints Components'!$A$9:$M$134,5,FALSE),
IF($A148&lt;Nonstandard!$A$42,VLOOKUP($A148,Nonstandard!$A$31:$J$41,6,FALSE),"")))))))))))))))))))))))))))),"")</f>
        <v/>
      </c>
      <c r="D148" s="537" t="str">
        <f>IFERROR(IF($A148&lt;'DWV PVC'!$A$317,VLOOKUP($A148,'DWV PVC'!$A$9:$M$316,6,FALSE),
IF($A148&lt;'DWV ABS'!$A$117,VLOOKUP($A148,'DWV ABS'!$A$8:$M$116,6,FALSE),
IF($A148&lt;'PVC SCH40'!$A$425,VLOOKUP($A148,'PVC SCH40'!$A$8:$M$424,6,FALSE),
IF($A148&lt;'PVC SCH40 LD'!$A$22,VLOOKUP($A148,'PVC SCH40 LD'!$A$8:$M$21,6,FALSE),
IF($A148&lt;'Pool &amp; SPA Sweep Elbows'!$A$12,VLOOKUP($A148,'Pool &amp; SPA Sweep Elbows'!$A$8:$M$11,6,FALSE),
IF($A148&lt;'Pool &amp; SPA Pipe Extender'!$A$11,VLOOKUP($A148,'Pool &amp; SPA Pipe Extender'!$A$8:$M$10,6,FALSE),
IF($A148&lt;'PVC SCH80'!$A$250,VLOOKUP($A148,'PVC SCH80'!$A$8:$M$249,6,FALSE),
IF($A148&lt;'PVC SCH80 Flange'!$A$49,VLOOKUP($A148,'PVC SCH80 Flange'!$A$8:$M$48,6,FALSE),
IF($A148&lt;'PVC SCH80 LD Flange'!$A$17,VLOOKUP($A148,'PVC SCH80 LD Flange'!$A$8:$M$16,6,FALSE),
IF($A148&lt;CPVC!$A$105,VLOOKUP($A148,CPVC!$A$9:$M$104,6,FALSE),
IF($A148&lt;InsertFittings!$A$185,VLOOKUP($A148,InsertFittings!$A$9:$M$184,6,FALSE),
IF($A148&lt;Valves!$A$92,VLOOKUP($A148,Valves!$A$9:$Q$91,6,FALSE),
IF($A148&lt;SDR35SW!$A$133,VLOOKUP($A148,SDR35SW!$A$9:$M$132,6,FALSE),
IF($A148&lt;SDR35G!$A$151,VLOOKUP($A148,SDR35G!$A$9:$M$150,6,FALSE),
IF($A148&lt;SDR26G!$A$67,VLOOKUP($A148,SDR26G!$A$9:$N$66,7,FALSE),
IF($A148&lt;Cements!$A$95,VLOOKUP($A148,Cements!$A$8:$Q$94,6,FALSE),
IF($A148&lt;ValveBox!$A$124,VLOOKUP($A148,ValveBox!$A$9:$O$123,6,FALSE),
IF($A148&lt;'ValveBox Components'!$A$142,VLOOKUP($A148,'ValveBox Components'!$A$9:$N$141,6,FALSE),
IF($A148&lt;Drainage!$A$69,VLOOKUP($A148,Drainage!$A$8:$M$68,6,FALSE),
IF($A148&lt;Nipples!$A$82,VLOOKUP($A148,Nipples!$A$9:$Q$81,6,FALSE),
IF($A148&lt;Manifold!$A$33,VLOOKUP($A148,Manifold!$A$9:$M$32,6,FALSE),
IF($A148&lt;FlexibleRepairCouplings!$A$12,VLOOKUP($A148,FlexibleRepairCouplings!$A$9:$M$11,6,FALSE),
IF($A148&lt;DuraFix!$A$15,VLOOKUP($A148,DuraFix!$A$9:$M$14,6,FALSE),
IF($A148&lt;'Compression Fittings'!$A$16,VLOOKUP($A148,'Compression Fittings'!$A$8:$M$15,6,FALSE),
IF($A148&lt;'Hose Fittings'!$A$30,VLOOKUP($A148,'Hose Fittings'!$A$8:$M$29,6,FALSE),
IF($A148&lt;'Swing Joints'!$A$495,VLOOKUP($A148,'Swing Joints'!$A$9:$M$494,6,FALSE),
IF($A148&lt;'Swing Joints Components'!$A$135,VLOOKUP($A148,'Swing Joints Components'!$A$9:$M$134,6,FALSE),
IF($A148&lt;Nonstandard!$A$42,VLOOKUP($A148,Nonstandard!$A$31:$J$41,7,FALSE),"")))))))))))))))))))))))))))),"")</f>
        <v/>
      </c>
      <c r="E148" s="538"/>
      <c r="F148" s="539" t="str">
        <f>IFERROR(IF($A148&lt;'DWV PVC'!$A$317,VLOOKUP($A148,'DWV PVC'!$A$9:$M$316,9,FALSE),
IF($A148&lt;'DWV ABS'!$A$117,VLOOKUP($A148,'DWV ABS'!$A$8:$M$116,9,FALSE),                                                                                                                                                                                                                                                     IF($A148&lt;'PVC SCH40'!$A$425,VLOOKUP($A148,'PVC SCH40'!$A$8:$M$424,9,FALSE),
IF($A148&lt;'PVC SCH40 LD'!$A$22,VLOOKUP($A148,'PVC SCH40 LD'!$A$8:$M$21,9,FALSE),
IF($A148&lt;'Pool &amp; SPA Sweep Elbows'!$A$12,VLOOKUP($A148,'Pool &amp; SPA Sweep Elbows'!$A$8:$M$11,9,FALSE),
IF($A148&lt;'Pool &amp; SPA Pipe Extender'!$A$11,VLOOKUP($A148,'Pool &amp; SPA Pipe Extender'!$A$8:$M$10,9,FALSE),
IF($A148&lt;'PVC SCH80'!$A$250,VLOOKUP($A148,'PVC SCH80'!$A$8:$M$249,9,FALSE),
IF($A148&lt;'PVC SCH80 Flange'!$A$49,VLOOKUP($A148,'PVC SCH80 Flange'!$A$8:$M$48,9,FALSE),
IF($A148&lt;'PVC SCH80 LD Flange'!$A$17,VLOOKUP($A148,'PVC SCH80 LD Flange'!$A$8:$M$16,9,FALSE),
IF($A148&lt;CPVC!$A$105,VLOOKUP($A148,CPVC!$A$9:$M$104,9,FALSE),
IF($A148&lt;InsertFittings!$A$185,VLOOKUP($A148,InsertFittings!$A$9:$M$184,9,FALSE),
IF($A148&lt;Valves!$A$92,VLOOKUP($A148,Valves!$A$9:$Q$91,13,FALSE),
IF($A148&lt;SDR35SW!$A$133,VLOOKUP($A148,SDR35SW!$A$9:$M$132,9,FALSE),
IF($A148&lt;SDR35G!$A$151,VLOOKUP($A148,SDR35G!$A$9:$M$150,9,FALSE),                                                                                                                                                                                                                                                          IF($A148&lt;SDR26G!$A$67,VLOOKUP($A148,SDR26G!$A$9:$N$66,10,FALSE),                                                                                                                                                                                                                                                       IF($A148&lt;Cements!$A$95,VLOOKUP($A148,Cements!$A$8:$Q$94,13,FALSE),
IF($A148&lt;ValveBox!$A$124,VLOOKUP($A148,ValveBox!$A$9:$O$123,11,FALSE),
IF($A148&lt;'ValveBox Components'!$A$142,VLOOKUP($A148,'ValveBox Components'!$A$9:$N$141,10,FALSE),
IF($A148&lt;Drainage!$A$69,VLOOKUP($A148,Drainage!$A$8:$M$68,9,FALSE),                                                                                                                                                                                                                                                              IF($A148&lt;Nipples!$A$82,VLOOKUP($A148,Nipples!$A$9:$Q$81,13,FALSE),
IF($A148&lt;Manifold!$A$33,VLOOKUP($A148,Manifold!$A$9:$M$32,9,FALSE),
IF($A148&lt;FlexibleRepairCouplings!$A$12,VLOOKUP($A148,FlexibleRepairCouplings!$A$9:$M$11,9,FALSE),
IF($A148&lt;DuraFix!$A$15,VLOOKUP($A148,DuraFix!$A$9:$M$14,9,FALSE),                                                                                                                                                                                                                                                          IF($A148&lt;'Compression Fittings'!$A$16,VLOOKUP($A148,'Compression Fittings'!$A$8:$M$15,9,FALSE),
IF($A148&lt;'Hose Fittings'!$A$30,VLOOKUP($A148,'Hose Fittings'!$A$8:$M$29,9,FALSE),
IF($A148&lt;'Swing Joints'!$A$495,VLOOKUP($A148,'Swing Joints'!$A$9:$M$494,9,FALSE),
IF($A148&lt;'Swing Joints Components'!$A$135,VLOOKUP($A148,'Swing Joints Components'!$A$9:$M$134,9,FALSE),
IF($A148&lt;Nonstandard!$A$42,VLOOKUP($A148,Nonstandard!$A$31:$J$41,8,FALSE),"")))))))))))))))))))))))))))),"")</f>
        <v/>
      </c>
      <c r="G148" s="540" t="str">
        <f>IFERROR(IF($A148&lt;'DWV PVC'!$A$317,VLOOKUP($A148,'DWV PVC'!$A$9:$M$316,11,FALSE),
IF($A148&lt;'DWV ABS'!$A$117,VLOOKUP($A148,'DWV ABS'!$A$8:$M$116,11,FALSE),                                                                                                                                                                                                                                                     IF($A148&lt;'PVC SCH40'!$A$425,VLOOKUP($A148,'PVC SCH40'!$A$8:$M$424,11,FALSE),
IF($A148&lt;'PVC SCH40 LD'!$A$22,VLOOKUP($A148,'PVC SCH40 LD'!$A$8:$M$21,11,FALSE),
IF($A148&lt;'Pool &amp; SPA Sweep Elbows'!$A$12,VLOOKUP($A148,'Pool &amp; SPA Sweep Elbows'!$A$8:$M$11,11,FALSE),
IF($A148&lt;'Pool &amp; SPA Pipe Extender'!$A$11,VLOOKUP($A148,'Pool &amp; SPA Pipe Extender'!$A$8:$M$10,11,FALSE),
IF($A148&lt;'PVC SCH80'!$A$250,VLOOKUP($A148,'PVC SCH80'!$A$8:$M$249,11,FALSE),
IF($A148&lt;'PVC SCH80 Flange'!$A$49,VLOOKUP($A148,'PVC SCH80 Flange'!$A$8:$M$48,11,FALSE),
IF($A148&lt;'PVC SCH80 LD Flange'!$A$17,VLOOKUP($A148,'PVC SCH80 LD Flange'!$A$8:$M$16,11,FALSE),
IF($A148&lt;CPVC!$A$105,VLOOKUP($A148,CPVC!$A$9:$M$104,11,FALSE),
IF($A148&lt;InsertFittings!$A$185,VLOOKUP($A148,InsertFittings!$A$9:$M$184,11,FALSE),
IF($A148&lt;Valves!$A$92,VLOOKUP($A148,Valves!$A$9:$Q$91,15,FALSE),
IF($A148&lt;SDR35SW!$A$133,VLOOKUP($A148,SDR35SW!$A$9:$M$132,11,FALSE),
IF($A148&lt;SDR35G!$A$151,VLOOKUP($A148,SDR35G!$A$9:$M$150,11,FALSE),                                                                                                                                                                                                                                                          IF($A148&lt;SDR26G!$A$67,VLOOKUP($A148,SDR26G!$A$9:$N$66,12,FALSE),                                                                                                                                                                                                                                                       IF($A148&lt;Cements!$A$95,VLOOKUP($A148,Cements!$A$8:$Q$94,15,FALSE),
IF($A148&lt;ValveBox!$A$124,VLOOKUP($A148,ValveBox!$A$9:$O$123,13,FALSE),
IF($A148&lt;'ValveBox Components'!$A$142,VLOOKUP($A148,'ValveBox Components'!$A$9:$N$141,12,FALSE),
IF($A148&lt;Drainage!$A$69,VLOOKUP($A148,Drainage!$A$8:$M$68,11,FALSE),                                                                                                                                                                                                                                                           IF($A148&lt;Nipples!$A$82,VLOOKUP($A148,Nipples!$A$9:$Q$81,15,FALSE),
IF($A148&lt;Manifold!$A$33,VLOOKUP($A148,Manifold!$A$9:$M$32,11,FALSE),
IF($A148&lt;FlexibleRepairCouplings!$A$12,VLOOKUP($A148,FlexibleRepairCouplings!$A$9:$M$11,11,FALSE),
IF($A148&lt;DuraFix!$A$15,VLOOKUP($A148,DuraFix!$A$9:$M$14,11,FALSE),                                                                                                                                                                                                                                                            IF($A148&lt;'Compression Fittings'!$A$16,VLOOKUP($A148,'Compression Fittings'!$A$8:$M$15,11,FALSE),
IF($A148&lt;'Hose Fittings'!$A$30,VLOOKUP($A148,'Hose Fittings'!$A$8:$M$29,11,FALSE),
IF($A148&lt;'Swing Joints'!$A$495,VLOOKUP($A148,'Swing Joints'!$A$9:$M$494,11,FALSE),
IF($A148&lt;'Swing Joints Components'!$A$135,VLOOKUP($A148,'Swing Joints Components'!$A$9:$M$134,11,FALSE),
IF($A148&lt;Nonstandard!$A$42,VLOOKUP($A148,Nonstandard!$A$31:$J$41,10,FALSE),"")))))))))))))))))))))))))))),"")</f>
        <v/>
      </c>
      <c r="H148" s="620" t="str">
        <f>IFERROR(IF($A148&lt;'DWV PVC'!$A$317,VLOOKUP($A148,'DWV PVC'!$A$9:$M$316,7,FALSE),
IF($A148&lt;'DWV ABS'!$A$117,VLOOKUP($A148,'DWV ABS'!$A$8:$M$116,11,FALSE),                                                                                                                                                                                                                                                     IF($A148&lt;'PVC SCH40'!$A$425,VLOOKUP($A148,'PVC SCH40'!$A$8:$M$424,7,FALSE),
IF($A148&lt;'PVC SCH40 LD'!$A$22,VLOOKUP($A148,'PVC SCH40 LD'!$A$8:$M$21,7,FALSE),
IF($A148&lt;'Pool &amp; SPA Sweep Elbows'!$A$12,VLOOKUP($A148,'Pool &amp; SPA Sweep Elbows'!$A$8:$M$11,7,FALSE),
IF($A148&lt;'Pool &amp; SPA Pipe Extender'!$A$11,VLOOKUP($A148,'Pool &amp; SPA Pipe Extender'!$A$8:$M$10,7,FALSE),
IF($A148&lt;'PVC SCH80'!$A$250,VLOOKUP($A148,'PVC SCH80'!$A$8:$M$249,7,FALSE),
IF($A148&lt;'PVC SCH80 Flange'!$A$49,VLOOKUP($A148,'PVC SCH80 Flange'!$A$8:$M$48,7,FALSE),
IF($A148&lt;'PVC SCH80 LD Flange'!$A$17,VLOOKUP($A148,'PVC SCH80 LD Flange'!$A$8:$M$16,7,FALSE),
IF($A148&lt;CPVC!$A$105,VLOOKUP($A148,CPVC!$A$9:$M$104,7,FALSE),
IF($A148&lt;InsertFittings!$A$185,VLOOKUP($A148,InsertFittings!$A$9:$M$184,7,FALSE),
IF($A148&lt;Valves!$A$92,VLOOKUP($A148,Valves!$A$9:$Q$91,11,FALSE),
IF($A148&lt;SDR35SW!$A$133,VLOOKUP($A148,SDR35SW!$A$9:$M$132,7,FALSE),
IF($A148&lt;SDR35G!$A$151,VLOOKUP($A148,SDR35G!$A$9:$M$150,7,FALSE),                                                                                                                                                                                                                                                       IF($A148&lt;SDR26G!$A$67,VLOOKUP($A148,SDR26G!$A$9:$N$66,8,FALSE),                                                                                                                                                                                                                                                     IF($A148&lt;Cements!$A$95,VLOOKUP($A148,Cements!$A$8:$Q$94,11,FALSE),
IF($A148&lt;ValveBox!$A$124,VLOOKUP($A148,ValveBox!$A$9:$O$123,10,FALSE),
IF($A148&lt;'ValveBox Components'!$A$142,VLOOKUP($A148,'ValveBox Components'!$A$9:$N$141,9,FALSE),
IF($A148&lt;Drainage!$A$69,VLOOKUP($A148,Drainage!$A$8:$M$68,7,FALSE),                                                                                                                                                                                                                                                          IF($A148&lt;Nipples!$A$82,VLOOKUP($A148,Nipples!$A$9:$Q$81,11,FALSE),
IF($A148&lt;Manifold!$A$33,VLOOKUP($A148,Manifold!$A$9:$M$32,7,FALSE),
IF($A148&lt;FlexibleRepairCouplings!$A$12,VLOOKUP($A148,FlexibleRepairCouplings!$A$9:$M$11,7,FALSE),
IF($A148&lt;DuraFix!$A$15,VLOOKUP($A148,DuraFix!$A$9:$M$14,7,FALSE),                                                                                                                                                                                                                                                           IF($A148&lt;'Compression Fittings'!$A$16,VLOOKUP($A148,'Compression Fittings'!$A$8:$M$15,7,FALSE),
IF($A148&lt;'Hose Fittings'!$A$30,VLOOKUP($A148,'Hose Fittings'!$A$8:$M$29,7,FALSE),
IF($A148&lt;'Swing Joints'!$A$495,VLOOKUP($A148,'Swing Joints'!$A$9:$M$494,7,FALSE),
IF($A148&lt;'Swing Joints Components'!$A$135,VLOOKUP($A148,'Swing Joints Components'!$A$9:$M$134,7,FALSE),
IF($A148&lt;Nonstandard!$A$42,VLOOKUP($A148,Nonstandard!$A$31:$J$41,10,FALSE),"")))))))))))))))))))))))))))),"")</f>
        <v/>
      </c>
      <c r="I148" s="621"/>
      <c r="J148" s="541" t="str">
        <f t="shared" si="3"/>
        <v/>
      </c>
      <c r="K148" s="599" t="str">
        <f>IFERROR(IF($A148&lt;'DWV PVC'!$A$317,VLOOKUP($A148,'DWV PVC'!$A$9:$M$316,10,FALSE),
IF($A148&lt;'DWV ABS'!$A$117,VLOOKUP($A148,'DWV ABS'!$A$8:$M$116,10,FALSE),
IF($A148&lt;'PVC SCH40'!$A$425,VLOOKUP($A148,'PVC SCH40'!$A$8:$M$424,10,FALSE),
IF($A148&lt;'PVC SCH40 LD'!$A$22,VLOOKUP($A148,'PVC SCH40 LD'!$A$8:$M$21,10,FALSE),
IF($A148&lt;'Pool &amp; SPA Sweep Elbows'!$A$12,VLOOKUP($A148,'Pool &amp; SPA Sweep Elbows'!$A$8:$M$11,10,FALSE),
IF($A148&lt;'Pool &amp; SPA Pipe Extender'!$A$11,VLOOKUP($A148,'Pool &amp; SPA Pipe Extender'!$A$8:$M$10,10,FALSE),
IF($A148&lt;'PVC SCH80'!$A$250,VLOOKUP($A148,'PVC SCH80'!$A$8:$M$249,10,FALSE),
IF($A148&lt;'PVC SCH80 Flange'!$A$49,VLOOKUP($A148,'PVC SCH80 Flange'!$A$8:$M$48,10,FALSE),
IF($A148&lt;'PVC SCH80 LD Flange'!$A$17,VLOOKUP($A148,'PVC SCH80 LD Flange'!$A$8:$M$16,10,FALSE),
IF($A148&lt;CPVC!$A$105,VLOOKUP($A148,CPVC!$A$9:$M$104,10,FALSE),
IF($A148&lt;InsertFittings!$A$185,VLOOKUP($A148,InsertFittings!$A$9:$M$184,10,FALSE),
IF($A148&lt;Valves!$A$92,VLOOKUP($A148,Valves!$A$9:$Q$91,14,FALSE),
IF($A148&lt;SDR35SW!$A$133,VLOOKUP($A148,SDR35SW!$A$9:$M$132,10,FALSE),
IF($A148&lt;SDR35G!$A$151,VLOOKUP($A148,SDR35G!$A$9:$M$150,10,FALSE),
IF($A148&lt;SDR26G!$A$67,VLOOKUP($A148,SDR26G!$A$9:$N$66,11,FALSE),
IF($A148&lt;Cements!$A$95,VLOOKUP($A148,Cements!$A$8:$Q$94,14,FALSE),
IF($A148&lt;ValveBox!$A$124,VLOOKUP($A148,ValveBox!$A$9:$O$123,12,FALSE),
IF($A148&lt;'ValveBox Components'!$A$142,VLOOKUP($A148,'ValveBox Components'!$A$9:$N$141,11,FALSE),
IF($A148&lt;Drainage!$A$69,VLOOKUP($A148,Drainage!$A$8:$M$68,10,FALSE),
IF($A148&lt;Nipples!$A$82,VLOOKUP($A148,Nipples!$A$9:$Q$81,14,FALSE),
IF($A148&lt;Manifold!$A$33,VLOOKUP($A148,Manifold!$A$9:$M$32,10,FALSE),
IF($A148&lt;FlexibleRepairCouplings!$A$12,VLOOKUP($A148,FlexibleRepairCouplings!$A$9:$M$11,10,FALSE),
IF($A148&lt;DuraFix!$A$15,VLOOKUP($A148,DuraFix!$A$9:$M$14,10,FALSE),
IF($A148&lt;'Compression Fittings'!$A$16,VLOOKUP($A148,'Compression Fittings'!$A$8:$M$15,10,FALSE),
IF($A148&lt;'Hose Fittings'!$A$30,VLOOKUP($A148,'Hose Fittings'!$A$8:$M$29,10,FALSE),
IF($A148&lt;'Swing Joints'!$A$495,VLOOKUP($A148,'Swing Joints'!$A$9:$M$494,10,FALSE),
IF($A148&lt;'Swing Joints Components'!$A$135,VLOOKUP($A148,'Swing Joints Components'!$A$9:$M$134,10,FALSE),
IF($A148&lt;Nonstandard!$A$42,VLOOKUP($A148,Nonstandard!$A$31:$J$41,10,FALSE),"")))))))))))))))))))))))))))),"")</f>
        <v/>
      </c>
      <c r="L148" s="539" t="str">
        <f t="shared" si="2"/>
        <v>-</v>
      </c>
      <c r="M148" s="542"/>
    </row>
    <row r="149" spans="1:13" ht="15.6">
      <c r="A149" s="312">
        <v>117</v>
      </c>
      <c r="B149" s="312" t="str">
        <f>IFERROR(IF($A149&lt;'DWV PVC'!$A$317,VLOOKUP($A149,'DWV PVC'!$A$9:$M$316,4,FALSE),
IF($A149&lt;'DWV ABS'!$A$117,VLOOKUP($A149,'DWV ABS'!$A$8:$M$116,4,FALSE),
IF($A149&lt;'PVC SCH40'!$A$425,VLOOKUP($A149,'PVC SCH40'!$A$8:$M$424,4,FALSE),
IF($A149&lt;'PVC SCH40 LD'!$A$22,VLOOKUP($A149,'PVC SCH40 LD'!$A$8:$M$21,4,FALSE),
IF($A149&lt;'Pool &amp; SPA Sweep Elbows'!$A$12,VLOOKUP($A149,'Pool &amp; SPA Sweep Elbows'!$A$8:$M$11,4,FALSE),
IF($A149&lt;'Pool &amp; SPA Pipe Extender'!$A$11,VLOOKUP($A149,'Pool &amp; SPA Pipe Extender'!$A$8:$M$10,4,FALSE),
IF($A149&lt;'PVC SCH80'!$A$250,VLOOKUP($A149,'PVC SCH80'!$A$8:$M$249,4,FALSE),
IF($A149&lt;'PVC SCH80 Flange'!$A$49,VLOOKUP($A149,'PVC SCH80 Flange'!$A$8:$M$48,4,FALSE),
IF($A149&lt;'PVC SCH80 LD Flange'!$A$17,VLOOKUP($A149,'PVC SCH80 LD Flange'!$A$8:$M$16,4,FALSE),
IF($A149&lt;CPVC!$A$105,VLOOKUP($A149,CPVC!$A$9:$M$104,4,FALSE),
IF($A149&lt;InsertFittings!$A$185,VLOOKUP($A149,InsertFittings!$A$9:$M$184,4,FALSE),
IF($A149&lt;Valves!$A$92,VLOOKUP($A149,Valves!$A$9:$Q$91,4,FALSE),
IF($A149&lt;SDR35SW!$A$133,VLOOKUP($A149,SDR35SW!$A$9:$M$132,4,FALSE),
IF($A149&lt;SDR35G!$A$151,VLOOKUP($A149,SDR35G!$A$9:$M$150,4,FALSE),
IF($A149&lt;SDR26G!$A$67,VLOOKUP($A149,SDR26G!$A$9:$N$66,5,FALSE),
IF($A149&lt;Cements!$A$95,VLOOKUP($A149,Cements!$A$8:$Q$94,4,FALSE),
IF($A149&lt;ValveBox!$A$124,VLOOKUP($A149,ValveBox!$A$9:$O$123,4,FALSE),
IF($A149&lt;'ValveBox Components'!$A$142,VLOOKUP($A149,'ValveBox Components'!$A$9:$N$141,4,FALSE),
IF($A149&lt;Drainage!$A$69,VLOOKUP($A149,Drainage!$A$8:$M$68,4,FALSE),
IF($A149&lt;Nipples!$A$82,VLOOKUP($A149,Nipples!$A$9:$Q$81,4,FALSE),
IF($A149&lt;Manifold!$A$33,VLOOKUP($A149,Manifold!$A$9:$M$32,4,FALSE),
IF($A149&lt;FlexibleRepairCouplings!$A$12,VLOOKUP($A149,FlexibleRepairCouplings!$A$9:$M$11,4,FALSE),
IF($A149&lt;DuraFix!$A$15,VLOOKUP($A149,DuraFix!$A$9:$M$14,4,FALSE),
IF($A149&lt;'Compression Fittings'!$A$16,VLOOKUP($A149,'Compression Fittings'!$A$8:$M$15,4,FALSE),
IF($A149&lt;'Hose Fittings'!$A$30,VLOOKUP($A149,'Hose Fittings'!$A$8:$M$29,4,FALSE),
IF($A149&lt;'Swing Joints'!$A$495,VLOOKUP($A149,'Swing Joints'!$A$9:$M$494,4,FALSE),
IF($A149&lt;'Swing Joints Components'!$A$135,VLOOKUP($A149,'Swing Joints Components'!$A$9:$M$134,4,FALSE),
IF($A149&lt;Nonstandard!$A$42,VLOOKUP($A149,Nonstandard!$A$31:$J$41,5,FALSE),"")))))))))))))))))))))))))))),"")</f>
        <v/>
      </c>
      <c r="C149" s="312" t="str">
        <f>IFERROR(IF($A149&lt;'DWV PVC'!$A$317,VLOOKUP($A149,'DWV PVC'!$A$9:$M$316,5,FALSE),
IF($A149&lt;'DWV ABS'!$A$117,VLOOKUP($A149,'DWV ABS'!$A$8:$M$116,5,FALSE),
IF($A149&lt;'PVC SCH40'!$A$425,VLOOKUP($A149,'PVC SCH40'!$A$8:$M$424,5,FALSE),
IF($A149&lt;'PVC SCH40 LD'!$A$22,VLOOKUP($A149,'PVC SCH40 LD'!$A$8:$M$21,5,FALSE),
IF($A149&lt;'Pool &amp; SPA Sweep Elbows'!$A$12,VLOOKUP($A149,'Pool &amp; SPA Sweep Elbows'!$A$8:$M$11,5,FALSE),
IF($A149&lt;'Pool &amp; SPA Pipe Extender'!$A$11,VLOOKUP($A149,'Pool &amp; SPA Pipe Extender'!$A$8:$M$10,5,FALSE),
IF($A149&lt;'PVC SCH80'!$A$250,VLOOKUP($A149,'PVC SCH80'!$A$8:$M$249,5,FALSE),
IF($A149&lt;'PVC SCH80 Flange'!$A$49,VLOOKUP($A149,'PVC SCH80 Flange'!$A$8:$M$48,5,FALSE),
IF($A149&lt;'PVC SCH80 LD Flange'!$A$17,VLOOKUP($A149,'PVC SCH80 LD Flange'!$A$8:$M$16,5,FALSE),
IF($A149&lt;CPVC!$A$105,VLOOKUP($A149,CPVC!$A$9:$M$104,5,FALSE),
IF($A149&lt;InsertFittings!$A$185,VLOOKUP($A149,InsertFittings!$A$9:$M$184,5,FALSE),
IF($A149&lt;Valves!$A$92,VLOOKUP($A149,Valves!$A$9:$Q$91,5,FALSE),
IF($A149&lt;SDR35SW!$A$133,VLOOKUP($A149,SDR35SW!$A$9:$M$132,5,FALSE),
IF($A149&lt;SDR35G!$A$151,VLOOKUP($A149,SDR35G!$A$9:$M$150,5,FALSE),
IF($A149&lt;SDR26G!$A$67,VLOOKUP($A149,SDR26G!$A$9:$N$66,6,FALSE),
IF($A149&lt;Cements!$A$95,VLOOKUP($A149,Cements!$A$8:$Q$94,5,FALSE),
IF($A149&lt;ValveBox!$A$124,VLOOKUP($A149,ValveBox!$A$9:$O$123,5,FALSE),
IF($A149&lt;'ValveBox Components'!$A$142,VLOOKUP($A149,'ValveBox Components'!$A$9:$N$141,5,FALSE),
IF($A149&lt;Drainage!$A$69,VLOOKUP($A149,Drainage!$A$8:$M$68,5,FALSE),
IF($A149&lt;Nipples!$A$82,VLOOKUP($A149,Nipples!$A$9:$Q$81,5,FALSE),
IF($A149&lt;Manifold!$A$33,VLOOKUP($A149,Manifold!$A$9:$M$32,5,FALSE),
IF($A149&lt;FlexibleRepairCouplings!$A$12,VLOOKUP($A149,FlexibleRepairCouplings!$A$9:$M$11,5,FALSE),
IF($A149&lt;DuraFix!$A$15,VLOOKUP($A149,DuraFix!$A$9:$M$14,5,FALSE),
IF($A149&lt;'Compression Fittings'!$A$16,VLOOKUP($A149,'Compression Fittings'!$A$8:$M$15,5,FALSE),
IF($A149&lt;'Hose Fittings'!$A$30,VLOOKUP($A149,'Hose Fittings'!$A$8:$M$29,5,FALSE),
IF($A149&lt;'Swing Joints'!$A$495,VLOOKUP($A149,'Swing Joints'!$A$9:$M$494,5,FALSE),
IF($A149&lt;'Swing Joints Components'!$A$135,VLOOKUP($A149,'Swing Joints Components'!$A$9:$M$134,5,FALSE),
IF($A149&lt;Nonstandard!$A$42,VLOOKUP($A149,Nonstandard!$A$31:$J$41,6,FALSE),"")))))))))))))))))))))))))))),"")</f>
        <v/>
      </c>
      <c r="D149" s="534" t="str">
        <f>IFERROR(IF($A149&lt;'DWV PVC'!$A$317,VLOOKUP($A149,'DWV PVC'!$A$9:$M$316,6,FALSE),
IF($A149&lt;'DWV ABS'!$A$117,VLOOKUP($A149,'DWV ABS'!$A$8:$M$116,6,FALSE),
IF($A149&lt;'PVC SCH40'!$A$425,VLOOKUP($A149,'PVC SCH40'!$A$8:$M$424,6,FALSE),
IF($A149&lt;'PVC SCH40 LD'!$A$22,VLOOKUP($A149,'PVC SCH40 LD'!$A$8:$M$21,6,FALSE),
IF($A149&lt;'Pool &amp; SPA Sweep Elbows'!$A$12,VLOOKUP($A149,'Pool &amp; SPA Sweep Elbows'!$A$8:$M$11,6,FALSE),
IF($A149&lt;'Pool &amp; SPA Pipe Extender'!$A$11,VLOOKUP($A149,'Pool &amp; SPA Pipe Extender'!$A$8:$M$10,6,FALSE),
IF($A149&lt;'PVC SCH80'!$A$250,VLOOKUP($A149,'PVC SCH80'!$A$8:$M$249,6,FALSE),
IF($A149&lt;'PVC SCH80 Flange'!$A$49,VLOOKUP($A149,'PVC SCH80 Flange'!$A$8:$M$48,6,FALSE),
IF($A149&lt;'PVC SCH80 LD Flange'!$A$17,VLOOKUP($A149,'PVC SCH80 LD Flange'!$A$8:$M$16,6,FALSE),
IF($A149&lt;CPVC!$A$105,VLOOKUP($A149,CPVC!$A$9:$M$104,6,FALSE),
IF($A149&lt;InsertFittings!$A$185,VLOOKUP($A149,InsertFittings!$A$9:$M$184,6,FALSE),
IF($A149&lt;Valves!$A$92,VLOOKUP($A149,Valves!$A$9:$Q$91,6,FALSE),
IF($A149&lt;SDR35SW!$A$133,VLOOKUP($A149,SDR35SW!$A$9:$M$132,6,FALSE),
IF($A149&lt;SDR35G!$A$151,VLOOKUP($A149,SDR35G!$A$9:$M$150,6,FALSE),
IF($A149&lt;SDR26G!$A$67,VLOOKUP($A149,SDR26G!$A$9:$N$66,7,FALSE),
IF($A149&lt;Cements!$A$95,VLOOKUP($A149,Cements!$A$8:$Q$94,6,FALSE),
IF($A149&lt;ValveBox!$A$124,VLOOKUP($A149,ValveBox!$A$9:$O$123,6,FALSE),
IF($A149&lt;'ValveBox Components'!$A$142,VLOOKUP($A149,'ValveBox Components'!$A$9:$N$141,6,FALSE),
IF($A149&lt;Drainage!$A$69,VLOOKUP($A149,Drainage!$A$8:$M$68,6,FALSE),
IF($A149&lt;Nipples!$A$82,VLOOKUP($A149,Nipples!$A$9:$Q$81,6,FALSE),
IF($A149&lt;Manifold!$A$33,VLOOKUP($A149,Manifold!$A$9:$M$32,6,FALSE),
IF($A149&lt;FlexibleRepairCouplings!$A$12,VLOOKUP($A149,FlexibleRepairCouplings!$A$9:$M$11,6,FALSE),
IF($A149&lt;DuraFix!$A$15,VLOOKUP($A149,DuraFix!$A$9:$M$14,6,FALSE),
IF($A149&lt;'Compression Fittings'!$A$16,VLOOKUP($A149,'Compression Fittings'!$A$8:$M$15,6,FALSE),
IF($A149&lt;'Hose Fittings'!$A$30,VLOOKUP($A149,'Hose Fittings'!$A$8:$M$29,6,FALSE),
IF($A149&lt;'Swing Joints'!$A$495,VLOOKUP($A149,'Swing Joints'!$A$9:$M$494,6,FALSE),
IF($A149&lt;'Swing Joints Components'!$A$135,VLOOKUP($A149,'Swing Joints Components'!$A$9:$M$134,6,FALSE),
IF($A149&lt;Nonstandard!$A$42,VLOOKUP($A149,Nonstandard!$A$31:$J$41,7,FALSE),"")))))))))))))))))))))))))))),"")</f>
        <v/>
      </c>
      <c r="E149" s="316"/>
      <c r="F149" s="314" t="str">
        <f>IFERROR(IF($A149&lt;'DWV PVC'!$A$317,VLOOKUP($A149,'DWV PVC'!$A$9:$M$316,9,FALSE),
IF($A149&lt;'DWV ABS'!$A$117,VLOOKUP($A149,'DWV ABS'!$A$8:$M$116,9,FALSE),                                                                                                                                                                                                                                                     IF($A149&lt;'PVC SCH40'!$A$425,VLOOKUP($A149,'PVC SCH40'!$A$8:$M$424,9,FALSE),
IF($A149&lt;'PVC SCH40 LD'!$A$22,VLOOKUP($A149,'PVC SCH40 LD'!$A$8:$M$21,9,FALSE),
IF($A149&lt;'Pool &amp; SPA Sweep Elbows'!$A$12,VLOOKUP($A149,'Pool &amp; SPA Sweep Elbows'!$A$8:$M$11,9,FALSE),
IF($A149&lt;'Pool &amp; SPA Pipe Extender'!$A$11,VLOOKUP($A149,'Pool &amp; SPA Pipe Extender'!$A$8:$M$10,9,FALSE),
IF($A149&lt;'PVC SCH80'!$A$250,VLOOKUP($A149,'PVC SCH80'!$A$8:$M$249,9,FALSE),
IF($A149&lt;'PVC SCH80 Flange'!$A$49,VLOOKUP($A149,'PVC SCH80 Flange'!$A$8:$M$48,9,FALSE),
IF($A149&lt;'PVC SCH80 LD Flange'!$A$17,VLOOKUP($A149,'PVC SCH80 LD Flange'!$A$8:$M$16,9,FALSE),
IF($A149&lt;CPVC!$A$105,VLOOKUP($A149,CPVC!$A$9:$M$104,9,FALSE),
IF($A149&lt;InsertFittings!$A$185,VLOOKUP($A149,InsertFittings!$A$9:$M$184,9,FALSE),
IF($A149&lt;Valves!$A$92,VLOOKUP($A149,Valves!$A$9:$Q$91,13,FALSE),
IF($A149&lt;SDR35SW!$A$133,VLOOKUP($A149,SDR35SW!$A$9:$M$132,9,FALSE),
IF($A149&lt;SDR35G!$A$151,VLOOKUP($A149,SDR35G!$A$9:$M$150,9,FALSE),                                                                                                                                                                                                                                                          IF($A149&lt;SDR26G!$A$67,VLOOKUP($A149,SDR26G!$A$9:$N$66,10,FALSE),                                                                                                                                                                                                                                                       IF($A149&lt;Cements!$A$95,VLOOKUP($A149,Cements!$A$8:$Q$94,13,FALSE),
IF($A149&lt;ValveBox!$A$124,VLOOKUP($A149,ValveBox!$A$9:$O$123,11,FALSE),
IF($A149&lt;'ValveBox Components'!$A$142,VLOOKUP($A149,'ValveBox Components'!$A$9:$N$141,10,FALSE),
IF($A149&lt;Drainage!$A$69,VLOOKUP($A149,Drainage!$A$8:$M$68,9,FALSE),                                                                                                                                                                                                                                                              IF($A149&lt;Nipples!$A$82,VLOOKUP($A149,Nipples!$A$9:$Q$81,13,FALSE),
IF($A149&lt;Manifold!$A$33,VLOOKUP($A149,Manifold!$A$9:$M$32,9,FALSE),
IF($A149&lt;FlexibleRepairCouplings!$A$12,VLOOKUP($A149,FlexibleRepairCouplings!$A$9:$M$11,9,FALSE),
IF($A149&lt;DuraFix!$A$15,VLOOKUP($A149,DuraFix!$A$9:$M$14,9,FALSE),                                                                                                                                                                                                                                                          IF($A149&lt;'Compression Fittings'!$A$16,VLOOKUP($A149,'Compression Fittings'!$A$8:$M$15,9,FALSE),
IF($A149&lt;'Hose Fittings'!$A$30,VLOOKUP($A149,'Hose Fittings'!$A$8:$M$29,9,FALSE),
IF($A149&lt;'Swing Joints'!$A$495,VLOOKUP($A149,'Swing Joints'!$A$9:$M$494,9,FALSE),
IF($A149&lt;'Swing Joints Components'!$A$135,VLOOKUP($A149,'Swing Joints Components'!$A$9:$M$134,9,FALSE),
IF($A149&lt;Nonstandard!$A$42,VLOOKUP($A149,Nonstandard!$A$31:$J$41,8,FALSE),"")))))))))))))))))))))))))))),"")</f>
        <v/>
      </c>
      <c r="G149" s="533" t="str">
        <f>IFERROR(IF($A149&lt;'DWV PVC'!$A$317,VLOOKUP($A149,'DWV PVC'!$A$9:$M$316,11,FALSE),
IF($A149&lt;'DWV ABS'!$A$117,VLOOKUP($A149,'DWV ABS'!$A$8:$M$116,11,FALSE),                                                                                                                                                                                                                                                     IF($A149&lt;'PVC SCH40'!$A$425,VLOOKUP($A149,'PVC SCH40'!$A$8:$M$424,11,FALSE),
IF($A149&lt;'PVC SCH40 LD'!$A$22,VLOOKUP($A149,'PVC SCH40 LD'!$A$8:$M$21,11,FALSE),
IF($A149&lt;'Pool &amp; SPA Sweep Elbows'!$A$12,VLOOKUP($A149,'Pool &amp; SPA Sweep Elbows'!$A$8:$M$11,11,FALSE),
IF($A149&lt;'Pool &amp; SPA Pipe Extender'!$A$11,VLOOKUP($A149,'Pool &amp; SPA Pipe Extender'!$A$8:$M$10,11,FALSE),
IF($A149&lt;'PVC SCH80'!$A$250,VLOOKUP($A149,'PVC SCH80'!$A$8:$M$249,11,FALSE),
IF($A149&lt;'PVC SCH80 Flange'!$A$49,VLOOKUP($A149,'PVC SCH80 Flange'!$A$8:$M$48,11,FALSE),
IF($A149&lt;'PVC SCH80 LD Flange'!$A$17,VLOOKUP($A149,'PVC SCH80 LD Flange'!$A$8:$M$16,11,FALSE),
IF($A149&lt;CPVC!$A$105,VLOOKUP($A149,CPVC!$A$9:$M$104,11,FALSE),
IF($A149&lt;InsertFittings!$A$185,VLOOKUP($A149,InsertFittings!$A$9:$M$184,11,FALSE),
IF($A149&lt;Valves!$A$92,VLOOKUP($A149,Valves!$A$9:$Q$91,15,FALSE),
IF($A149&lt;SDR35SW!$A$133,VLOOKUP($A149,SDR35SW!$A$9:$M$132,11,FALSE),
IF($A149&lt;SDR35G!$A$151,VLOOKUP($A149,SDR35G!$A$9:$M$150,11,FALSE),                                                                                                                                                                                                                                                          IF($A149&lt;SDR26G!$A$67,VLOOKUP($A149,SDR26G!$A$9:$N$66,12,FALSE),                                                                                                                                                                                                                                                       IF($A149&lt;Cements!$A$95,VLOOKUP($A149,Cements!$A$8:$Q$94,15,FALSE),
IF($A149&lt;ValveBox!$A$124,VLOOKUP($A149,ValveBox!$A$9:$O$123,13,FALSE),
IF($A149&lt;'ValveBox Components'!$A$142,VLOOKUP($A149,'ValveBox Components'!$A$9:$N$141,12,FALSE),
IF($A149&lt;Drainage!$A$69,VLOOKUP($A149,Drainage!$A$8:$M$68,11,FALSE),                                                                                                                                                                                                                                                           IF($A149&lt;Nipples!$A$82,VLOOKUP($A149,Nipples!$A$9:$Q$81,15,FALSE),
IF($A149&lt;Manifold!$A$33,VLOOKUP($A149,Manifold!$A$9:$M$32,11,FALSE),
IF($A149&lt;FlexibleRepairCouplings!$A$12,VLOOKUP($A149,FlexibleRepairCouplings!$A$9:$M$11,11,FALSE),
IF($A149&lt;DuraFix!$A$15,VLOOKUP($A149,DuraFix!$A$9:$M$14,11,FALSE),                                                                                                                                                                                                                                                            IF($A149&lt;'Compression Fittings'!$A$16,VLOOKUP($A149,'Compression Fittings'!$A$8:$M$15,11,FALSE),
IF($A149&lt;'Hose Fittings'!$A$30,VLOOKUP($A149,'Hose Fittings'!$A$8:$M$29,11,FALSE),
IF($A149&lt;'Swing Joints'!$A$495,VLOOKUP($A149,'Swing Joints'!$A$9:$M$494,11,FALSE),
IF($A149&lt;'Swing Joints Components'!$A$135,VLOOKUP($A149,'Swing Joints Components'!$A$9:$M$134,11,FALSE),
IF($A149&lt;Nonstandard!$A$42,VLOOKUP($A149,Nonstandard!$A$31:$J$41,10,FALSE),"")))))))))))))))))))))))))))),"")</f>
        <v/>
      </c>
      <c r="H149" s="618" t="str">
        <f>IFERROR(IF($A149&lt;'DWV PVC'!$A$317,VLOOKUP($A149,'DWV PVC'!$A$9:$M$316,7,FALSE),
IF($A149&lt;'DWV ABS'!$A$117,VLOOKUP($A149,'DWV ABS'!$A$8:$M$116,11,FALSE),                                                                                                                                                                                                                                                     IF($A149&lt;'PVC SCH40'!$A$425,VLOOKUP($A149,'PVC SCH40'!$A$8:$M$424,7,FALSE),
IF($A149&lt;'PVC SCH40 LD'!$A$22,VLOOKUP($A149,'PVC SCH40 LD'!$A$8:$M$21,7,FALSE),
IF($A149&lt;'Pool &amp; SPA Sweep Elbows'!$A$12,VLOOKUP($A149,'Pool &amp; SPA Sweep Elbows'!$A$8:$M$11,7,FALSE),
IF($A149&lt;'Pool &amp; SPA Pipe Extender'!$A$11,VLOOKUP($A149,'Pool &amp; SPA Pipe Extender'!$A$8:$M$10,7,FALSE),
IF($A149&lt;'PVC SCH80'!$A$250,VLOOKUP($A149,'PVC SCH80'!$A$8:$M$249,7,FALSE),
IF($A149&lt;'PVC SCH80 Flange'!$A$49,VLOOKUP($A149,'PVC SCH80 Flange'!$A$8:$M$48,7,FALSE),
IF($A149&lt;'PVC SCH80 LD Flange'!$A$17,VLOOKUP($A149,'PVC SCH80 LD Flange'!$A$8:$M$16,7,FALSE),
IF($A149&lt;CPVC!$A$105,VLOOKUP($A149,CPVC!$A$9:$M$104,7,FALSE),
IF($A149&lt;InsertFittings!$A$185,VLOOKUP($A149,InsertFittings!$A$9:$M$184,7,FALSE),
IF($A149&lt;Valves!$A$92,VLOOKUP($A149,Valves!$A$9:$Q$91,11,FALSE),
IF($A149&lt;SDR35SW!$A$133,VLOOKUP($A149,SDR35SW!$A$9:$M$132,7,FALSE),
IF($A149&lt;SDR35G!$A$151,VLOOKUP($A149,SDR35G!$A$9:$M$150,7,FALSE),                                                                                                                                                                                                                                                       IF($A149&lt;SDR26G!$A$67,VLOOKUP($A149,SDR26G!$A$9:$N$66,8,FALSE),                                                                                                                                                                                                                                                     IF($A149&lt;Cements!$A$95,VLOOKUP($A149,Cements!$A$8:$Q$94,11,FALSE),
IF($A149&lt;ValveBox!$A$124,VLOOKUP($A149,ValveBox!$A$9:$O$123,10,FALSE),
IF($A149&lt;'ValveBox Components'!$A$142,VLOOKUP($A149,'ValveBox Components'!$A$9:$N$141,9,FALSE),
IF($A149&lt;Drainage!$A$69,VLOOKUP($A149,Drainage!$A$8:$M$68,7,FALSE),                                                                                                                                                                                                                                                          IF($A149&lt;Nipples!$A$82,VLOOKUP($A149,Nipples!$A$9:$Q$81,11,FALSE),
IF($A149&lt;Manifold!$A$33,VLOOKUP($A149,Manifold!$A$9:$M$32,7,FALSE),
IF($A149&lt;FlexibleRepairCouplings!$A$12,VLOOKUP($A149,FlexibleRepairCouplings!$A$9:$M$11,7,FALSE),
IF($A149&lt;DuraFix!$A$15,VLOOKUP($A149,DuraFix!$A$9:$M$14,7,FALSE),                                                                                                                                                                                                                                                           IF($A149&lt;'Compression Fittings'!$A$16,VLOOKUP($A149,'Compression Fittings'!$A$8:$M$15,7,FALSE),
IF($A149&lt;'Hose Fittings'!$A$30,VLOOKUP($A149,'Hose Fittings'!$A$8:$M$29,7,FALSE),
IF($A149&lt;'Swing Joints'!$A$495,VLOOKUP($A149,'Swing Joints'!$A$9:$M$494,7,FALSE),
IF($A149&lt;'Swing Joints Components'!$A$135,VLOOKUP($A149,'Swing Joints Components'!$A$9:$M$134,7,FALSE),
IF($A149&lt;Nonstandard!$A$42,VLOOKUP($A149,Nonstandard!$A$31:$J$41,10,FALSE),"")))))))))))))))))))))))))))),"")</f>
        <v/>
      </c>
      <c r="I149" s="619"/>
      <c r="J149" s="281" t="str">
        <f t="shared" si="3"/>
        <v/>
      </c>
      <c r="K149" s="313" t="str">
        <f>IFERROR(IF($A149&lt;'DWV PVC'!$A$317,VLOOKUP($A149,'DWV PVC'!$A$9:$M$316,10,FALSE),
IF($A149&lt;'DWV ABS'!$A$117,VLOOKUP($A149,'DWV ABS'!$A$8:$M$116,10,FALSE),
IF($A149&lt;'PVC SCH40'!$A$425,VLOOKUP($A149,'PVC SCH40'!$A$8:$M$424,10,FALSE),
IF($A149&lt;'PVC SCH40 LD'!$A$22,VLOOKUP($A149,'PVC SCH40 LD'!$A$8:$M$21,10,FALSE),
IF($A149&lt;'Pool &amp; SPA Sweep Elbows'!$A$12,VLOOKUP($A149,'Pool &amp; SPA Sweep Elbows'!$A$8:$M$11,10,FALSE),
IF($A149&lt;'Pool &amp; SPA Pipe Extender'!$A$11,VLOOKUP($A149,'Pool &amp; SPA Pipe Extender'!$A$8:$M$10,10,FALSE),
IF($A149&lt;'PVC SCH80'!$A$250,VLOOKUP($A149,'PVC SCH80'!$A$8:$M$249,10,FALSE),
IF($A149&lt;'PVC SCH80 Flange'!$A$49,VLOOKUP($A149,'PVC SCH80 Flange'!$A$8:$M$48,10,FALSE),
IF($A149&lt;'PVC SCH80 LD Flange'!$A$17,VLOOKUP($A149,'PVC SCH80 LD Flange'!$A$8:$M$16,10,FALSE),
IF($A149&lt;CPVC!$A$105,VLOOKUP($A149,CPVC!$A$9:$M$104,10,FALSE),
IF($A149&lt;InsertFittings!$A$185,VLOOKUP($A149,InsertFittings!$A$9:$M$184,10,FALSE),
IF($A149&lt;Valves!$A$92,VLOOKUP($A149,Valves!$A$9:$Q$91,14,FALSE),
IF($A149&lt;SDR35SW!$A$133,VLOOKUP($A149,SDR35SW!$A$9:$M$132,10,FALSE),
IF($A149&lt;SDR35G!$A$151,VLOOKUP($A149,SDR35G!$A$9:$M$150,10,FALSE),
IF($A149&lt;SDR26G!$A$67,VLOOKUP($A149,SDR26G!$A$9:$N$66,11,FALSE),
IF($A149&lt;Cements!$A$95,VLOOKUP($A149,Cements!$A$8:$Q$94,14,FALSE),
IF($A149&lt;ValveBox!$A$124,VLOOKUP($A149,ValveBox!$A$9:$O$123,12,FALSE),
IF($A149&lt;'ValveBox Components'!$A$142,VLOOKUP($A149,'ValveBox Components'!$A$9:$N$141,11,FALSE),
IF($A149&lt;Drainage!$A$69,VLOOKUP($A149,Drainage!$A$8:$M$68,10,FALSE),
IF($A149&lt;Nipples!$A$82,VLOOKUP($A149,Nipples!$A$9:$Q$81,14,FALSE),
IF($A149&lt;Manifold!$A$33,VLOOKUP($A149,Manifold!$A$9:$M$32,10,FALSE),
IF($A149&lt;FlexibleRepairCouplings!$A$12,VLOOKUP($A149,FlexibleRepairCouplings!$A$9:$M$11,10,FALSE),
IF($A149&lt;DuraFix!$A$15,VLOOKUP($A149,DuraFix!$A$9:$M$14,10,FALSE),
IF($A149&lt;'Compression Fittings'!$A$16,VLOOKUP($A149,'Compression Fittings'!$A$8:$M$15,10,FALSE),
IF($A149&lt;'Hose Fittings'!$A$30,VLOOKUP($A149,'Hose Fittings'!$A$8:$M$29,10,FALSE),
IF($A149&lt;'Swing Joints'!$A$495,VLOOKUP($A149,'Swing Joints'!$A$9:$M$494,10,FALSE),
IF($A149&lt;'Swing Joints Components'!$A$135,VLOOKUP($A149,'Swing Joints Components'!$A$9:$M$134,10,FALSE),
IF($A149&lt;Nonstandard!$A$42,VLOOKUP($A149,Nonstandard!$A$31:$J$41,10,FALSE),"")))))))))))))))))))))))))))),"")</f>
        <v/>
      </c>
      <c r="L149" s="314" t="str">
        <f t="shared" si="2"/>
        <v>-</v>
      </c>
      <c r="M149" s="315"/>
    </row>
    <row r="150" spans="1:13" ht="15.6">
      <c r="A150" s="536">
        <v>118</v>
      </c>
      <c r="B150" s="536" t="str">
        <f>IFERROR(IF($A150&lt;'DWV PVC'!$A$317,VLOOKUP($A150,'DWV PVC'!$A$9:$M$316,4,FALSE),
IF($A150&lt;'DWV ABS'!$A$117,VLOOKUP($A150,'DWV ABS'!$A$8:$M$116,4,FALSE),
IF($A150&lt;'PVC SCH40'!$A$425,VLOOKUP($A150,'PVC SCH40'!$A$8:$M$424,4,FALSE),
IF($A150&lt;'PVC SCH40 LD'!$A$22,VLOOKUP($A150,'PVC SCH40 LD'!$A$8:$M$21,4,FALSE),
IF($A150&lt;'Pool &amp; SPA Sweep Elbows'!$A$12,VLOOKUP($A150,'Pool &amp; SPA Sweep Elbows'!$A$8:$M$11,4,FALSE),
IF($A150&lt;'Pool &amp; SPA Pipe Extender'!$A$11,VLOOKUP($A150,'Pool &amp; SPA Pipe Extender'!$A$8:$M$10,4,FALSE),
IF($A150&lt;'PVC SCH80'!$A$250,VLOOKUP($A150,'PVC SCH80'!$A$8:$M$249,4,FALSE),
IF($A150&lt;'PVC SCH80 Flange'!$A$49,VLOOKUP($A150,'PVC SCH80 Flange'!$A$8:$M$48,4,FALSE),
IF($A150&lt;'PVC SCH80 LD Flange'!$A$17,VLOOKUP($A150,'PVC SCH80 LD Flange'!$A$8:$M$16,4,FALSE),
IF($A150&lt;CPVC!$A$105,VLOOKUP($A150,CPVC!$A$9:$M$104,4,FALSE),
IF($A150&lt;InsertFittings!$A$185,VLOOKUP($A150,InsertFittings!$A$9:$M$184,4,FALSE),
IF($A150&lt;Valves!$A$92,VLOOKUP($A150,Valves!$A$9:$Q$91,4,FALSE),
IF($A150&lt;SDR35SW!$A$133,VLOOKUP($A150,SDR35SW!$A$9:$M$132,4,FALSE),
IF($A150&lt;SDR35G!$A$151,VLOOKUP($A150,SDR35G!$A$9:$M$150,4,FALSE),
IF($A150&lt;SDR26G!$A$67,VLOOKUP($A150,SDR26G!$A$9:$N$66,5,FALSE),
IF($A150&lt;Cements!$A$95,VLOOKUP($A150,Cements!$A$8:$Q$94,4,FALSE),
IF($A150&lt;ValveBox!$A$124,VLOOKUP($A150,ValveBox!$A$9:$O$123,4,FALSE),
IF($A150&lt;'ValveBox Components'!$A$142,VLOOKUP($A150,'ValveBox Components'!$A$9:$N$141,4,FALSE),
IF($A150&lt;Drainage!$A$69,VLOOKUP($A150,Drainage!$A$8:$M$68,4,FALSE),
IF($A150&lt;Nipples!$A$82,VLOOKUP($A150,Nipples!$A$9:$Q$81,4,FALSE),
IF($A150&lt;Manifold!$A$33,VLOOKUP($A150,Manifold!$A$9:$M$32,4,FALSE),
IF($A150&lt;FlexibleRepairCouplings!$A$12,VLOOKUP($A150,FlexibleRepairCouplings!$A$9:$M$11,4,FALSE),
IF($A150&lt;DuraFix!$A$15,VLOOKUP($A150,DuraFix!$A$9:$M$14,4,FALSE),
IF($A150&lt;'Compression Fittings'!$A$16,VLOOKUP($A150,'Compression Fittings'!$A$8:$M$15,4,FALSE),
IF($A150&lt;'Hose Fittings'!$A$30,VLOOKUP($A150,'Hose Fittings'!$A$8:$M$29,4,FALSE),
IF($A150&lt;'Swing Joints'!$A$495,VLOOKUP($A150,'Swing Joints'!$A$9:$M$494,4,FALSE),
IF($A150&lt;'Swing Joints Components'!$A$135,VLOOKUP($A150,'Swing Joints Components'!$A$9:$M$134,4,FALSE),
IF($A150&lt;Nonstandard!$A$42,VLOOKUP($A150,Nonstandard!$A$31:$J$41,5,FALSE),"")))))))))))))))))))))))))))),"")</f>
        <v/>
      </c>
      <c r="C150" s="536" t="str">
        <f>IFERROR(IF($A150&lt;'DWV PVC'!$A$317,VLOOKUP($A150,'DWV PVC'!$A$9:$M$316,5,FALSE),
IF($A150&lt;'DWV ABS'!$A$117,VLOOKUP($A150,'DWV ABS'!$A$8:$M$116,5,FALSE),
IF($A150&lt;'PVC SCH40'!$A$425,VLOOKUP($A150,'PVC SCH40'!$A$8:$M$424,5,FALSE),
IF($A150&lt;'PVC SCH40 LD'!$A$22,VLOOKUP($A150,'PVC SCH40 LD'!$A$8:$M$21,5,FALSE),
IF($A150&lt;'Pool &amp; SPA Sweep Elbows'!$A$12,VLOOKUP($A150,'Pool &amp; SPA Sweep Elbows'!$A$8:$M$11,5,FALSE),
IF($A150&lt;'Pool &amp; SPA Pipe Extender'!$A$11,VLOOKUP($A150,'Pool &amp; SPA Pipe Extender'!$A$8:$M$10,5,FALSE),
IF($A150&lt;'PVC SCH80'!$A$250,VLOOKUP($A150,'PVC SCH80'!$A$8:$M$249,5,FALSE),
IF($A150&lt;'PVC SCH80 Flange'!$A$49,VLOOKUP($A150,'PVC SCH80 Flange'!$A$8:$M$48,5,FALSE),
IF($A150&lt;'PVC SCH80 LD Flange'!$A$17,VLOOKUP($A150,'PVC SCH80 LD Flange'!$A$8:$M$16,5,FALSE),
IF($A150&lt;CPVC!$A$105,VLOOKUP($A150,CPVC!$A$9:$M$104,5,FALSE),
IF($A150&lt;InsertFittings!$A$185,VLOOKUP($A150,InsertFittings!$A$9:$M$184,5,FALSE),
IF($A150&lt;Valves!$A$92,VLOOKUP($A150,Valves!$A$9:$Q$91,5,FALSE),
IF($A150&lt;SDR35SW!$A$133,VLOOKUP($A150,SDR35SW!$A$9:$M$132,5,FALSE),
IF($A150&lt;SDR35G!$A$151,VLOOKUP($A150,SDR35G!$A$9:$M$150,5,FALSE),
IF($A150&lt;SDR26G!$A$67,VLOOKUP($A150,SDR26G!$A$9:$N$66,6,FALSE),
IF($A150&lt;Cements!$A$95,VLOOKUP($A150,Cements!$A$8:$Q$94,5,FALSE),
IF($A150&lt;ValveBox!$A$124,VLOOKUP($A150,ValveBox!$A$9:$O$123,5,FALSE),
IF($A150&lt;'ValveBox Components'!$A$142,VLOOKUP($A150,'ValveBox Components'!$A$9:$N$141,5,FALSE),
IF($A150&lt;Drainage!$A$69,VLOOKUP($A150,Drainage!$A$8:$M$68,5,FALSE),
IF($A150&lt;Nipples!$A$82,VLOOKUP($A150,Nipples!$A$9:$Q$81,5,FALSE),
IF($A150&lt;Manifold!$A$33,VLOOKUP($A150,Manifold!$A$9:$M$32,5,FALSE),
IF($A150&lt;FlexibleRepairCouplings!$A$12,VLOOKUP($A150,FlexibleRepairCouplings!$A$9:$M$11,5,FALSE),
IF($A150&lt;DuraFix!$A$15,VLOOKUP($A150,DuraFix!$A$9:$M$14,5,FALSE),
IF($A150&lt;'Compression Fittings'!$A$16,VLOOKUP($A150,'Compression Fittings'!$A$8:$M$15,5,FALSE),
IF($A150&lt;'Hose Fittings'!$A$30,VLOOKUP($A150,'Hose Fittings'!$A$8:$M$29,5,FALSE),
IF($A150&lt;'Swing Joints'!$A$495,VLOOKUP($A150,'Swing Joints'!$A$9:$M$494,5,FALSE),
IF($A150&lt;'Swing Joints Components'!$A$135,VLOOKUP($A150,'Swing Joints Components'!$A$9:$M$134,5,FALSE),
IF($A150&lt;Nonstandard!$A$42,VLOOKUP($A150,Nonstandard!$A$31:$J$41,6,FALSE),"")))))))))))))))))))))))))))),"")</f>
        <v/>
      </c>
      <c r="D150" s="537" t="str">
        <f>IFERROR(IF($A150&lt;'DWV PVC'!$A$317,VLOOKUP($A150,'DWV PVC'!$A$9:$M$316,6,FALSE),
IF($A150&lt;'DWV ABS'!$A$117,VLOOKUP($A150,'DWV ABS'!$A$8:$M$116,6,FALSE),
IF($A150&lt;'PVC SCH40'!$A$425,VLOOKUP($A150,'PVC SCH40'!$A$8:$M$424,6,FALSE),
IF($A150&lt;'PVC SCH40 LD'!$A$22,VLOOKUP($A150,'PVC SCH40 LD'!$A$8:$M$21,6,FALSE),
IF($A150&lt;'Pool &amp; SPA Sweep Elbows'!$A$12,VLOOKUP($A150,'Pool &amp; SPA Sweep Elbows'!$A$8:$M$11,6,FALSE),
IF($A150&lt;'Pool &amp; SPA Pipe Extender'!$A$11,VLOOKUP($A150,'Pool &amp; SPA Pipe Extender'!$A$8:$M$10,6,FALSE),
IF($A150&lt;'PVC SCH80'!$A$250,VLOOKUP($A150,'PVC SCH80'!$A$8:$M$249,6,FALSE),
IF($A150&lt;'PVC SCH80 Flange'!$A$49,VLOOKUP($A150,'PVC SCH80 Flange'!$A$8:$M$48,6,FALSE),
IF($A150&lt;'PVC SCH80 LD Flange'!$A$17,VLOOKUP($A150,'PVC SCH80 LD Flange'!$A$8:$M$16,6,FALSE),
IF($A150&lt;CPVC!$A$105,VLOOKUP($A150,CPVC!$A$9:$M$104,6,FALSE),
IF($A150&lt;InsertFittings!$A$185,VLOOKUP($A150,InsertFittings!$A$9:$M$184,6,FALSE),
IF($A150&lt;Valves!$A$92,VLOOKUP($A150,Valves!$A$9:$Q$91,6,FALSE),
IF($A150&lt;SDR35SW!$A$133,VLOOKUP($A150,SDR35SW!$A$9:$M$132,6,FALSE),
IF($A150&lt;SDR35G!$A$151,VLOOKUP($A150,SDR35G!$A$9:$M$150,6,FALSE),
IF($A150&lt;SDR26G!$A$67,VLOOKUP($A150,SDR26G!$A$9:$N$66,7,FALSE),
IF($A150&lt;Cements!$A$95,VLOOKUP($A150,Cements!$A$8:$Q$94,6,FALSE),
IF($A150&lt;ValveBox!$A$124,VLOOKUP($A150,ValveBox!$A$9:$O$123,6,FALSE),
IF($A150&lt;'ValveBox Components'!$A$142,VLOOKUP($A150,'ValveBox Components'!$A$9:$N$141,6,FALSE),
IF($A150&lt;Drainage!$A$69,VLOOKUP($A150,Drainage!$A$8:$M$68,6,FALSE),
IF($A150&lt;Nipples!$A$82,VLOOKUP($A150,Nipples!$A$9:$Q$81,6,FALSE),
IF($A150&lt;Manifold!$A$33,VLOOKUP($A150,Manifold!$A$9:$M$32,6,FALSE),
IF($A150&lt;FlexibleRepairCouplings!$A$12,VLOOKUP($A150,FlexibleRepairCouplings!$A$9:$M$11,6,FALSE),
IF($A150&lt;DuraFix!$A$15,VLOOKUP($A150,DuraFix!$A$9:$M$14,6,FALSE),
IF($A150&lt;'Compression Fittings'!$A$16,VLOOKUP($A150,'Compression Fittings'!$A$8:$M$15,6,FALSE),
IF($A150&lt;'Hose Fittings'!$A$30,VLOOKUP($A150,'Hose Fittings'!$A$8:$M$29,6,FALSE),
IF($A150&lt;'Swing Joints'!$A$495,VLOOKUP($A150,'Swing Joints'!$A$9:$M$494,6,FALSE),
IF($A150&lt;'Swing Joints Components'!$A$135,VLOOKUP($A150,'Swing Joints Components'!$A$9:$M$134,6,FALSE),
IF($A150&lt;Nonstandard!$A$42,VLOOKUP($A150,Nonstandard!$A$31:$J$41,7,FALSE),"")))))))))))))))))))))))))))),"")</f>
        <v/>
      </c>
      <c r="E150" s="538"/>
      <c r="F150" s="539" t="str">
        <f>IFERROR(IF($A150&lt;'DWV PVC'!$A$317,VLOOKUP($A150,'DWV PVC'!$A$9:$M$316,9,FALSE),
IF($A150&lt;'DWV ABS'!$A$117,VLOOKUP($A150,'DWV ABS'!$A$8:$M$116,9,FALSE),                                                                                                                                                                                                                                                     IF($A150&lt;'PVC SCH40'!$A$425,VLOOKUP($A150,'PVC SCH40'!$A$8:$M$424,9,FALSE),
IF($A150&lt;'PVC SCH40 LD'!$A$22,VLOOKUP($A150,'PVC SCH40 LD'!$A$8:$M$21,9,FALSE),
IF($A150&lt;'Pool &amp; SPA Sweep Elbows'!$A$12,VLOOKUP($A150,'Pool &amp; SPA Sweep Elbows'!$A$8:$M$11,9,FALSE),
IF($A150&lt;'Pool &amp; SPA Pipe Extender'!$A$11,VLOOKUP($A150,'Pool &amp; SPA Pipe Extender'!$A$8:$M$10,9,FALSE),
IF($A150&lt;'PVC SCH80'!$A$250,VLOOKUP($A150,'PVC SCH80'!$A$8:$M$249,9,FALSE),
IF($A150&lt;'PVC SCH80 Flange'!$A$49,VLOOKUP($A150,'PVC SCH80 Flange'!$A$8:$M$48,9,FALSE),
IF($A150&lt;'PVC SCH80 LD Flange'!$A$17,VLOOKUP($A150,'PVC SCH80 LD Flange'!$A$8:$M$16,9,FALSE),
IF($A150&lt;CPVC!$A$105,VLOOKUP($A150,CPVC!$A$9:$M$104,9,FALSE),
IF($A150&lt;InsertFittings!$A$185,VLOOKUP($A150,InsertFittings!$A$9:$M$184,9,FALSE),
IF($A150&lt;Valves!$A$92,VLOOKUP($A150,Valves!$A$9:$Q$91,13,FALSE),
IF($A150&lt;SDR35SW!$A$133,VLOOKUP($A150,SDR35SW!$A$9:$M$132,9,FALSE),
IF($A150&lt;SDR35G!$A$151,VLOOKUP($A150,SDR35G!$A$9:$M$150,9,FALSE),                                                                                                                                                                                                                                                          IF($A150&lt;SDR26G!$A$67,VLOOKUP($A150,SDR26G!$A$9:$N$66,10,FALSE),                                                                                                                                                                                                                                                       IF($A150&lt;Cements!$A$95,VLOOKUP($A150,Cements!$A$8:$Q$94,13,FALSE),
IF($A150&lt;ValveBox!$A$124,VLOOKUP($A150,ValveBox!$A$9:$O$123,11,FALSE),
IF($A150&lt;'ValveBox Components'!$A$142,VLOOKUP($A150,'ValveBox Components'!$A$9:$N$141,10,FALSE),
IF($A150&lt;Drainage!$A$69,VLOOKUP($A150,Drainage!$A$8:$M$68,9,FALSE),                                                                                                                                                                                                                                                              IF($A150&lt;Nipples!$A$82,VLOOKUP($A150,Nipples!$A$9:$Q$81,13,FALSE),
IF($A150&lt;Manifold!$A$33,VLOOKUP($A150,Manifold!$A$9:$M$32,9,FALSE),
IF($A150&lt;FlexibleRepairCouplings!$A$12,VLOOKUP($A150,FlexibleRepairCouplings!$A$9:$M$11,9,FALSE),
IF($A150&lt;DuraFix!$A$15,VLOOKUP($A150,DuraFix!$A$9:$M$14,9,FALSE),                                                                                                                                                                                                                                                          IF($A150&lt;'Compression Fittings'!$A$16,VLOOKUP($A150,'Compression Fittings'!$A$8:$M$15,9,FALSE),
IF($A150&lt;'Hose Fittings'!$A$30,VLOOKUP($A150,'Hose Fittings'!$A$8:$M$29,9,FALSE),
IF($A150&lt;'Swing Joints'!$A$495,VLOOKUP($A150,'Swing Joints'!$A$9:$M$494,9,FALSE),
IF($A150&lt;'Swing Joints Components'!$A$135,VLOOKUP($A150,'Swing Joints Components'!$A$9:$M$134,9,FALSE),
IF($A150&lt;Nonstandard!$A$42,VLOOKUP($A150,Nonstandard!$A$31:$J$41,8,FALSE),"")))))))))))))))))))))))))))),"")</f>
        <v/>
      </c>
      <c r="G150" s="540" t="str">
        <f>IFERROR(IF($A150&lt;'DWV PVC'!$A$317,VLOOKUP($A150,'DWV PVC'!$A$9:$M$316,11,FALSE),
IF($A150&lt;'DWV ABS'!$A$117,VLOOKUP($A150,'DWV ABS'!$A$8:$M$116,11,FALSE),                                                                                                                                                                                                                                                     IF($A150&lt;'PVC SCH40'!$A$425,VLOOKUP($A150,'PVC SCH40'!$A$8:$M$424,11,FALSE),
IF($A150&lt;'PVC SCH40 LD'!$A$22,VLOOKUP($A150,'PVC SCH40 LD'!$A$8:$M$21,11,FALSE),
IF($A150&lt;'Pool &amp; SPA Sweep Elbows'!$A$12,VLOOKUP($A150,'Pool &amp; SPA Sweep Elbows'!$A$8:$M$11,11,FALSE),
IF($A150&lt;'Pool &amp; SPA Pipe Extender'!$A$11,VLOOKUP($A150,'Pool &amp; SPA Pipe Extender'!$A$8:$M$10,11,FALSE),
IF($A150&lt;'PVC SCH80'!$A$250,VLOOKUP($A150,'PVC SCH80'!$A$8:$M$249,11,FALSE),
IF($A150&lt;'PVC SCH80 Flange'!$A$49,VLOOKUP($A150,'PVC SCH80 Flange'!$A$8:$M$48,11,FALSE),
IF($A150&lt;'PVC SCH80 LD Flange'!$A$17,VLOOKUP($A150,'PVC SCH80 LD Flange'!$A$8:$M$16,11,FALSE),
IF($A150&lt;CPVC!$A$105,VLOOKUP($A150,CPVC!$A$9:$M$104,11,FALSE),
IF($A150&lt;InsertFittings!$A$185,VLOOKUP($A150,InsertFittings!$A$9:$M$184,11,FALSE),
IF($A150&lt;Valves!$A$92,VLOOKUP($A150,Valves!$A$9:$Q$91,15,FALSE),
IF($A150&lt;SDR35SW!$A$133,VLOOKUP($A150,SDR35SW!$A$9:$M$132,11,FALSE),
IF($A150&lt;SDR35G!$A$151,VLOOKUP($A150,SDR35G!$A$9:$M$150,11,FALSE),                                                                                                                                                                                                                                                          IF($A150&lt;SDR26G!$A$67,VLOOKUP($A150,SDR26G!$A$9:$N$66,12,FALSE),                                                                                                                                                                                                                                                       IF($A150&lt;Cements!$A$95,VLOOKUP($A150,Cements!$A$8:$Q$94,15,FALSE),
IF($A150&lt;ValveBox!$A$124,VLOOKUP($A150,ValveBox!$A$9:$O$123,13,FALSE),
IF($A150&lt;'ValveBox Components'!$A$142,VLOOKUP($A150,'ValveBox Components'!$A$9:$N$141,12,FALSE),
IF($A150&lt;Drainage!$A$69,VLOOKUP($A150,Drainage!$A$8:$M$68,11,FALSE),                                                                                                                                                                                                                                                           IF($A150&lt;Nipples!$A$82,VLOOKUP($A150,Nipples!$A$9:$Q$81,15,FALSE),
IF($A150&lt;Manifold!$A$33,VLOOKUP($A150,Manifold!$A$9:$M$32,11,FALSE),
IF($A150&lt;FlexibleRepairCouplings!$A$12,VLOOKUP($A150,FlexibleRepairCouplings!$A$9:$M$11,11,FALSE),
IF($A150&lt;DuraFix!$A$15,VLOOKUP($A150,DuraFix!$A$9:$M$14,11,FALSE),                                                                                                                                                                                                                                                            IF($A150&lt;'Compression Fittings'!$A$16,VLOOKUP($A150,'Compression Fittings'!$A$8:$M$15,11,FALSE),
IF($A150&lt;'Hose Fittings'!$A$30,VLOOKUP($A150,'Hose Fittings'!$A$8:$M$29,11,FALSE),
IF($A150&lt;'Swing Joints'!$A$495,VLOOKUP($A150,'Swing Joints'!$A$9:$M$494,11,FALSE),
IF($A150&lt;'Swing Joints Components'!$A$135,VLOOKUP($A150,'Swing Joints Components'!$A$9:$M$134,11,FALSE),
IF($A150&lt;Nonstandard!$A$42,VLOOKUP($A150,Nonstandard!$A$31:$J$41,10,FALSE),"")))))))))))))))))))))))))))),"")</f>
        <v/>
      </c>
      <c r="H150" s="620" t="str">
        <f>IFERROR(IF($A150&lt;'DWV PVC'!$A$317,VLOOKUP($A150,'DWV PVC'!$A$9:$M$316,7,FALSE),
IF($A150&lt;'DWV ABS'!$A$117,VLOOKUP($A150,'DWV ABS'!$A$8:$M$116,11,FALSE),                                                                                                                                                                                                                                                     IF($A150&lt;'PVC SCH40'!$A$425,VLOOKUP($A150,'PVC SCH40'!$A$8:$M$424,7,FALSE),
IF($A150&lt;'PVC SCH40 LD'!$A$22,VLOOKUP($A150,'PVC SCH40 LD'!$A$8:$M$21,7,FALSE),
IF($A150&lt;'Pool &amp; SPA Sweep Elbows'!$A$12,VLOOKUP($A150,'Pool &amp; SPA Sweep Elbows'!$A$8:$M$11,7,FALSE),
IF($A150&lt;'Pool &amp; SPA Pipe Extender'!$A$11,VLOOKUP($A150,'Pool &amp; SPA Pipe Extender'!$A$8:$M$10,7,FALSE),
IF($A150&lt;'PVC SCH80'!$A$250,VLOOKUP($A150,'PVC SCH80'!$A$8:$M$249,7,FALSE),
IF($A150&lt;'PVC SCH80 Flange'!$A$49,VLOOKUP($A150,'PVC SCH80 Flange'!$A$8:$M$48,7,FALSE),
IF($A150&lt;'PVC SCH80 LD Flange'!$A$17,VLOOKUP($A150,'PVC SCH80 LD Flange'!$A$8:$M$16,7,FALSE),
IF($A150&lt;CPVC!$A$105,VLOOKUP($A150,CPVC!$A$9:$M$104,7,FALSE),
IF($A150&lt;InsertFittings!$A$185,VLOOKUP($A150,InsertFittings!$A$9:$M$184,7,FALSE),
IF($A150&lt;Valves!$A$92,VLOOKUP($A150,Valves!$A$9:$Q$91,11,FALSE),
IF($A150&lt;SDR35SW!$A$133,VLOOKUP($A150,SDR35SW!$A$9:$M$132,7,FALSE),
IF($A150&lt;SDR35G!$A$151,VLOOKUP($A150,SDR35G!$A$9:$M$150,7,FALSE),                                                                                                                                                                                                                                                       IF($A150&lt;SDR26G!$A$67,VLOOKUP($A150,SDR26G!$A$9:$N$66,8,FALSE),                                                                                                                                                                                                                                                     IF($A150&lt;Cements!$A$95,VLOOKUP($A150,Cements!$A$8:$Q$94,11,FALSE),
IF($A150&lt;ValveBox!$A$124,VLOOKUP($A150,ValveBox!$A$9:$O$123,10,FALSE),
IF($A150&lt;'ValveBox Components'!$A$142,VLOOKUP($A150,'ValveBox Components'!$A$9:$N$141,9,FALSE),
IF($A150&lt;Drainage!$A$69,VLOOKUP($A150,Drainage!$A$8:$M$68,7,FALSE),                                                                                                                                                                                                                                                          IF($A150&lt;Nipples!$A$82,VLOOKUP($A150,Nipples!$A$9:$Q$81,11,FALSE),
IF($A150&lt;Manifold!$A$33,VLOOKUP($A150,Manifold!$A$9:$M$32,7,FALSE),
IF($A150&lt;FlexibleRepairCouplings!$A$12,VLOOKUP($A150,FlexibleRepairCouplings!$A$9:$M$11,7,FALSE),
IF($A150&lt;DuraFix!$A$15,VLOOKUP($A150,DuraFix!$A$9:$M$14,7,FALSE),                                                                                                                                                                                                                                                           IF($A150&lt;'Compression Fittings'!$A$16,VLOOKUP($A150,'Compression Fittings'!$A$8:$M$15,7,FALSE),
IF($A150&lt;'Hose Fittings'!$A$30,VLOOKUP($A150,'Hose Fittings'!$A$8:$M$29,7,FALSE),
IF($A150&lt;'Swing Joints'!$A$495,VLOOKUP($A150,'Swing Joints'!$A$9:$M$494,7,FALSE),
IF($A150&lt;'Swing Joints Components'!$A$135,VLOOKUP($A150,'Swing Joints Components'!$A$9:$M$134,7,FALSE),
IF($A150&lt;Nonstandard!$A$42,VLOOKUP($A150,Nonstandard!$A$31:$J$41,10,FALSE),"")))))))))))))))))))))))))))),"")</f>
        <v/>
      </c>
      <c r="I150" s="621"/>
      <c r="J150" s="541" t="str">
        <f t="shared" si="3"/>
        <v/>
      </c>
      <c r="K150" s="599" t="str">
        <f>IFERROR(IF($A150&lt;'DWV PVC'!$A$317,VLOOKUP($A150,'DWV PVC'!$A$9:$M$316,10,FALSE),
IF($A150&lt;'DWV ABS'!$A$117,VLOOKUP($A150,'DWV ABS'!$A$8:$M$116,10,FALSE),
IF($A150&lt;'PVC SCH40'!$A$425,VLOOKUP($A150,'PVC SCH40'!$A$8:$M$424,10,FALSE),
IF($A150&lt;'PVC SCH40 LD'!$A$22,VLOOKUP($A150,'PVC SCH40 LD'!$A$8:$M$21,10,FALSE),
IF($A150&lt;'Pool &amp; SPA Sweep Elbows'!$A$12,VLOOKUP($A150,'Pool &amp; SPA Sweep Elbows'!$A$8:$M$11,10,FALSE),
IF($A150&lt;'Pool &amp; SPA Pipe Extender'!$A$11,VLOOKUP($A150,'Pool &amp; SPA Pipe Extender'!$A$8:$M$10,10,FALSE),
IF($A150&lt;'PVC SCH80'!$A$250,VLOOKUP($A150,'PVC SCH80'!$A$8:$M$249,10,FALSE),
IF($A150&lt;'PVC SCH80 Flange'!$A$49,VLOOKUP($A150,'PVC SCH80 Flange'!$A$8:$M$48,10,FALSE),
IF($A150&lt;'PVC SCH80 LD Flange'!$A$17,VLOOKUP($A150,'PVC SCH80 LD Flange'!$A$8:$M$16,10,FALSE),
IF($A150&lt;CPVC!$A$105,VLOOKUP($A150,CPVC!$A$9:$M$104,10,FALSE),
IF($A150&lt;InsertFittings!$A$185,VLOOKUP($A150,InsertFittings!$A$9:$M$184,10,FALSE),
IF($A150&lt;Valves!$A$92,VLOOKUP($A150,Valves!$A$9:$Q$91,14,FALSE),
IF($A150&lt;SDR35SW!$A$133,VLOOKUP($A150,SDR35SW!$A$9:$M$132,10,FALSE),
IF($A150&lt;SDR35G!$A$151,VLOOKUP($A150,SDR35G!$A$9:$M$150,10,FALSE),
IF($A150&lt;SDR26G!$A$67,VLOOKUP($A150,SDR26G!$A$9:$N$66,11,FALSE),
IF($A150&lt;Cements!$A$95,VLOOKUP($A150,Cements!$A$8:$Q$94,14,FALSE),
IF($A150&lt;ValveBox!$A$124,VLOOKUP($A150,ValveBox!$A$9:$O$123,12,FALSE),
IF($A150&lt;'ValveBox Components'!$A$142,VLOOKUP($A150,'ValveBox Components'!$A$9:$N$141,11,FALSE),
IF($A150&lt;Drainage!$A$69,VLOOKUP($A150,Drainage!$A$8:$M$68,10,FALSE),
IF($A150&lt;Nipples!$A$82,VLOOKUP($A150,Nipples!$A$9:$Q$81,14,FALSE),
IF($A150&lt;Manifold!$A$33,VLOOKUP($A150,Manifold!$A$9:$M$32,10,FALSE),
IF($A150&lt;FlexibleRepairCouplings!$A$12,VLOOKUP($A150,FlexibleRepairCouplings!$A$9:$M$11,10,FALSE),
IF($A150&lt;DuraFix!$A$15,VLOOKUP($A150,DuraFix!$A$9:$M$14,10,FALSE),
IF($A150&lt;'Compression Fittings'!$A$16,VLOOKUP($A150,'Compression Fittings'!$A$8:$M$15,10,FALSE),
IF($A150&lt;'Hose Fittings'!$A$30,VLOOKUP($A150,'Hose Fittings'!$A$8:$M$29,10,FALSE),
IF($A150&lt;'Swing Joints'!$A$495,VLOOKUP($A150,'Swing Joints'!$A$9:$M$494,10,FALSE),
IF($A150&lt;'Swing Joints Components'!$A$135,VLOOKUP($A150,'Swing Joints Components'!$A$9:$M$134,10,FALSE),
IF($A150&lt;Nonstandard!$A$42,VLOOKUP($A150,Nonstandard!$A$31:$J$41,10,FALSE),"")))))))))))))))))))))))))))),"")</f>
        <v/>
      </c>
      <c r="L150" s="539" t="str">
        <f t="shared" si="2"/>
        <v>-</v>
      </c>
      <c r="M150" s="542"/>
    </row>
    <row r="151" spans="1:13" ht="15.6">
      <c r="A151" s="312">
        <v>119</v>
      </c>
      <c r="B151" s="312" t="str">
        <f>IFERROR(IF($A151&lt;'DWV PVC'!$A$317,VLOOKUP($A151,'DWV PVC'!$A$9:$M$316,4,FALSE),
IF($A151&lt;'DWV ABS'!$A$117,VLOOKUP($A151,'DWV ABS'!$A$8:$M$116,4,FALSE),
IF($A151&lt;'PVC SCH40'!$A$425,VLOOKUP($A151,'PVC SCH40'!$A$8:$M$424,4,FALSE),
IF($A151&lt;'PVC SCH40 LD'!$A$22,VLOOKUP($A151,'PVC SCH40 LD'!$A$8:$M$21,4,FALSE),
IF($A151&lt;'Pool &amp; SPA Sweep Elbows'!$A$12,VLOOKUP($A151,'Pool &amp; SPA Sweep Elbows'!$A$8:$M$11,4,FALSE),
IF($A151&lt;'Pool &amp; SPA Pipe Extender'!$A$11,VLOOKUP($A151,'Pool &amp; SPA Pipe Extender'!$A$8:$M$10,4,FALSE),
IF($A151&lt;'PVC SCH80'!$A$250,VLOOKUP($A151,'PVC SCH80'!$A$8:$M$249,4,FALSE),
IF($A151&lt;'PVC SCH80 Flange'!$A$49,VLOOKUP($A151,'PVC SCH80 Flange'!$A$8:$M$48,4,FALSE),
IF($A151&lt;'PVC SCH80 LD Flange'!$A$17,VLOOKUP($A151,'PVC SCH80 LD Flange'!$A$8:$M$16,4,FALSE),
IF($A151&lt;CPVC!$A$105,VLOOKUP($A151,CPVC!$A$9:$M$104,4,FALSE),
IF($A151&lt;InsertFittings!$A$185,VLOOKUP($A151,InsertFittings!$A$9:$M$184,4,FALSE),
IF($A151&lt;Valves!$A$92,VLOOKUP($A151,Valves!$A$9:$Q$91,4,FALSE),
IF($A151&lt;SDR35SW!$A$133,VLOOKUP($A151,SDR35SW!$A$9:$M$132,4,FALSE),
IF($A151&lt;SDR35G!$A$151,VLOOKUP($A151,SDR35G!$A$9:$M$150,4,FALSE),
IF($A151&lt;SDR26G!$A$67,VLOOKUP($A151,SDR26G!$A$9:$N$66,5,FALSE),
IF($A151&lt;Cements!$A$95,VLOOKUP($A151,Cements!$A$8:$Q$94,4,FALSE),
IF($A151&lt;ValveBox!$A$124,VLOOKUP($A151,ValveBox!$A$9:$O$123,4,FALSE),
IF($A151&lt;'ValveBox Components'!$A$142,VLOOKUP($A151,'ValveBox Components'!$A$9:$N$141,4,FALSE),
IF($A151&lt;Drainage!$A$69,VLOOKUP($A151,Drainage!$A$8:$M$68,4,FALSE),
IF($A151&lt;Nipples!$A$82,VLOOKUP($A151,Nipples!$A$9:$Q$81,4,FALSE),
IF($A151&lt;Manifold!$A$33,VLOOKUP($A151,Manifold!$A$9:$M$32,4,FALSE),
IF($A151&lt;FlexibleRepairCouplings!$A$12,VLOOKUP($A151,FlexibleRepairCouplings!$A$9:$M$11,4,FALSE),
IF($A151&lt;DuraFix!$A$15,VLOOKUP($A151,DuraFix!$A$9:$M$14,4,FALSE),
IF($A151&lt;'Compression Fittings'!$A$16,VLOOKUP($A151,'Compression Fittings'!$A$8:$M$15,4,FALSE),
IF($A151&lt;'Hose Fittings'!$A$30,VLOOKUP($A151,'Hose Fittings'!$A$8:$M$29,4,FALSE),
IF($A151&lt;'Swing Joints'!$A$495,VLOOKUP($A151,'Swing Joints'!$A$9:$M$494,4,FALSE),
IF($A151&lt;'Swing Joints Components'!$A$135,VLOOKUP($A151,'Swing Joints Components'!$A$9:$M$134,4,FALSE),
IF($A151&lt;Nonstandard!$A$42,VLOOKUP($A151,Nonstandard!$A$31:$J$41,5,FALSE),"")))))))))))))))))))))))))))),"")</f>
        <v/>
      </c>
      <c r="C151" s="312" t="str">
        <f>IFERROR(IF($A151&lt;'DWV PVC'!$A$317,VLOOKUP($A151,'DWV PVC'!$A$9:$M$316,5,FALSE),
IF($A151&lt;'DWV ABS'!$A$117,VLOOKUP($A151,'DWV ABS'!$A$8:$M$116,5,FALSE),
IF($A151&lt;'PVC SCH40'!$A$425,VLOOKUP($A151,'PVC SCH40'!$A$8:$M$424,5,FALSE),
IF($A151&lt;'PVC SCH40 LD'!$A$22,VLOOKUP($A151,'PVC SCH40 LD'!$A$8:$M$21,5,FALSE),
IF($A151&lt;'Pool &amp; SPA Sweep Elbows'!$A$12,VLOOKUP($A151,'Pool &amp; SPA Sweep Elbows'!$A$8:$M$11,5,FALSE),
IF($A151&lt;'Pool &amp; SPA Pipe Extender'!$A$11,VLOOKUP($A151,'Pool &amp; SPA Pipe Extender'!$A$8:$M$10,5,FALSE),
IF($A151&lt;'PVC SCH80'!$A$250,VLOOKUP($A151,'PVC SCH80'!$A$8:$M$249,5,FALSE),
IF($A151&lt;'PVC SCH80 Flange'!$A$49,VLOOKUP($A151,'PVC SCH80 Flange'!$A$8:$M$48,5,FALSE),
IF($A151&lt;'PVC SCH80 LD Flange'!$A$17,VLOOKUP($A151,'PVC SCH80 LD Flange'!$A$8:$M$16,5,FALSE),
IF($A151&lt;CPVC!$A$105,VLOOKUP($A151,CPVC!$A$9:$M$104,5,FALSE),
IF($A151&lt;InsertFittings!$A$185,VLOOKUP($A151,InsertFittings!$A$9:$M$184,5,FALSE),
IF($A151&lt;Valves!$A$92,VLOOKUP($A151,Valves!$A$9:$Q$91,5,FALSE),
IF($A151&lt;SDR35SW!$A$133,VLOOKUP($A151,SDR35SW!$A$9:$M$132,5,FALSE),
IF($A151&lt;SDR35G!$A$151,VLOOKUP($A151,SDR35G!$A$9:$M$150,5,FALSE),
IF($A151&lt;SDR26G!$A$67,VLOOKUP($A151,SDR26G!$A$9:$N$66,6,FALSE),
IF($A151&lt;Cements!$A$95,VLOOKUP($A151,Cements!$A$8:$Q$94,5,FALSE),
IF($A151&lt;ValveBox!$A$124,VLOOKUP($A151,ValveBox!$A$9:$O$123,5,FALSE),
IF($A151&lt;'ValveBox Components'!$A$142,VLOOKUP($A151,'ValveBox Components'!$A$9:$N$141,5,FALSE),
IF($A151&lt;Drainage!$A$69,VLOOKUP($A151,Drainage!$A$8:$M$68,5,FALSE),
IF($A151&lt;Nipples!$A$82,VLOOKUP($A151,Nipples!$A$9:$Q$81,5,FALSE),
IF($A151&lt;Manifold!$A$33,VLOOKUP($A151,Manifold!$A$9:$M$32,5,FALSE),
IF($A151&lt;FlexibleRepairCouplings!$A$12,VLOOKUP($A151,FlexibleRepairCouplings!$A$9:$M$11,5,FALSE),
IF($A151&lt;DuraFix!$A$15,VLOOKUP($A151,DuraFix!$A$9:$M$14,5,FALSE),
IF($A151&lt;'Compression Fittings'!$A$16,VLOOKUP($A151,'Compression Fittings'!$A$8:$M$15,5,FALSE),
IF($A151&lt;'Hose Fittings'!$A$30,VLOOKUP($A151,'Hose Fittings'!$A$8:$M$29,5,FALSE),
IF($A151&lt;'Swing Joints'!$A$495,VLOOKUP($A151,'Swing Joints'!$A$9:$M$494,5,FALSE),
IF($A151&lt;'Swing Joints Components'!$A$135,VLOOKUP($A151,'Swing Joints Components'!$A$9:$M$134,5,FALSE),
IF($A151&lt;Nonstandard!$A$42,VLOOKUP($A151,Nonstandard!$A$31:$J$41,6,FALSE),"")))))))))))))))))))))))))))),"")</f>
        <v/>
      </c>
      <c r="D151" s="534" t="str">
        <f>IFERROR(IF($A151&lt;'DWV PVC'!$A$317,VLOOKUP($A151,'DWV PVC'!$A$9:$M$316,6,FALSE),
IF($A151&lt;'DWV ABS'!$A$117,VLOOKUP($A151,'DWV ABS'!$A$8:$M$116,6,FALSE),
IF($A151&lt;'PVC SCH40'!$A$425,VLOOKUP($A151,'PVC SCH40'!$A$8:$M$424,6,FALSE),
IF($A151&lt;'PVC SCH40 LD'!$A$22,VLOOKUP($A151,'PVC SCH40 LD'!$A$8:$M$21,6,FALSE),
IF($A151&lt;'Pool &amp; SPA Sweep Elbows'!$A$12,VLOOKUP($A151,'Pool &amp; SPA Sweep Elbows'!$A$8:$M$11,6,FALSE),
IF($A151&lt;'Pool &amp; SPA Pipe Extender'!$A$11,VLOOKUP($A151,'Pool &amp; SPA Pipe Extender'!$A$8:$M$10,6,FALSE),
IF($A151&lt;'PVC SCH80'!$A$250,VLOOKUP($A151,'PVC SCH80'!$A$8:$M$249,6,FALSE),
IF($A151&lt;'PVC SCH80 Flange'!$A$49,VLOOKUP($A151,'PVC SCH80 Flange'!$A$8:$M$48,6,FALSE),
IF($A151&lt;'PVC SCH80 LD Flange'!$A$17,VLOOKUP($A151,'PVC SCH80 LD Flange'!$A$8:$M$16,6,FALSE),
IF($A151&lt;CPVC!$A$105,VLOOKUP($A151,CPVC!$A$9:$M$104,6,FALSE),
IF($A151&lt;InsertFittings!$A$185,VLOOKUP($A151,InsertFittings!$A$9:$M$184,6,FALSE),
IF($A151&lt;Valves!$A$92,VLOOKUP($A151,Valves!$A$9:$Q$91,6,FALSE),
IF($A151&lt;SDR35SW!$A$133,VLOOKUP($A151,SDR35SW!$A$9:$M$132,6,FALSE),
IF($A151&lt;SDR35G!$A$151,VLOOKUP($A151,SDR35G!$A$9:$M$150,6,FALSE),
IF($A151&lt;SDR26G!$A$67,VLOOKUP($A151,SDR26G!$A$9:$N$66,7,FALSE),
IF($A151&lt;Cements!$A$95,VLOOKUP($A151,Cements!$A$8:$Q$94,6,FALSE),
IF($A151&lt;ValveBox!$A$124,VLOOKUP($A151,ValveBox!$A$9:$O$123,6,FALSE),
IF($A151&lt;'ValveBox Components'!$A$142,VLOOKUP($A151,'ValveBox Components'!$A$9:$N$141,6,FALSE),
IF($A151&lt;Drainage!$A$69,VLOOKUP($A151,Drainage!$A$8:$M$68,6,FALSE),
IF($A151&lt;Nipples!$A$82,VLOOKUP($A151,Nipples!$A$9:$Q$81,6,FALSE),
IF($A151&lt;Manifold!$A$33,VLOOKUP($A151,Manifold!$A$9:$M$32,6,FALSE),
IF($A151&lt;FlexibleRepairCouplings!$A$12,VLOOKUP($A151,FlexibleRepairCouplings!$A$9:$M$11,6,FALSE),
IF($A151&lt;DuraFix!$A$15,VLOOKUP($A151,DuraFix!$A$9:$M$14,6,FALSE),
IF($A151&lt;'Compression Fittings'!$A$16,VLOOKUP($A151,'Compression Fittings'!$A$8:$M$15,6,FALSE),
IF($A151&lt;'Hose Fittings'!$A$30,VLOOKUP($A151,'Hose Fittings'!$A$8:$M$29,6,FALSE),
IF($A151&lt;'Swing Joints'!$A$495,VLOOKUP($A151,'Swing Joints'!$A$9:$M$494,6,FALSE),
IF($A151&lt;'Swing Joints Components'!$A$135,VLOOKUP($A151,'Swing Joints Components'!$A$9:$M$134,6,FALSE),
IF($A151&lt;Nonstandard!$A$42,VLOOKUP($A151,Nonstandard!$A$31:$J$41,7,FALSE),"")))))))))))))))))))))))))))),"")</f>
        <v/>
      </c>
      <c r="E151" s="316"/>
      <c r="F151" s="314" t="str">
        <f>IFERROR(IF($A151&lt;'DWV PVC'!$A$317,VLOOKUP($A151,'DWV PVC'!$A$9:$M$316,9,FALSE),
IF($A151&lt;'DWV ABS'!$A$117,VLOOKUP($A151,'DWV ABS'!$A$8:$M$116,9,FALSE),                                                                                                                                                                                                                                                     IF($A151&lt;'PVC SCH40'!$A$425,VLOOKUP($A151,'PVC SCH40'!$A$8:$M$424,9,FALSE),
IF($A151&lt;'PVC SCH40 LD'!$A$22,VLOOKUP($A151,'PVC SCH40 LD'!$A$8:$M$21,9,FALSE),
IF($A151&lt;'Pool &amp; SPA Sweep Elbows'!$A$12,VLOOKUP($A151,'Pool &amp; SPA Sweep Elbows'!$A$8:$M$11,9,FALSE),
IF($A151&lt;'Pool &amp; SPA Pipe Extender'!$A$11,VLOOKUP($A151,'Pool &amp; SPA Pipe Extender'!$A$8:$M$10,9,FALSE),
IF($A151&lt;'PVC SCH80'!$A$250,VLOOKUP($A151,'PVC SCH80'!$A$8:$M$249,9,FALSE),
IF($A151&lt;'PVC SCH80 Flange'!$A$49,VLOOKUP($A151,'PVC SCH80 Flange'!$A$8:$M$48,9,FALSE),
IF($A151&lt;'PVC SCH80 LD Flange'!$A$17,VLOOKUP($A151,'PVC SCH80 LD Flange'!$A$8:$M$16,9,FALSE),
IF($A151&lt;CPVC!$A$105,VLOOKUP($A151,CPVC!$A$9:$M$104,9,FALSE),
IF($A151&lt;InsertFittings!$A$185,VLOOKUP($A151,InsertFittings!$A$9:$M$184,9,FALSE),
IF($A151&lt;Valves!$A$92,VLOOKUP($A151,Valves!$A$9:$Q$91,13,FALSE),
IF($A151&lt;SDR35SW!$A$133,VLOOKUP($A151,SDR35SW!$A$9:$M$132,9,FALSE),
IF($A151&lt;SDR35G!$A$151,VLOOKUP($A151,SDR35G!$A$9:$M$150,9,FALSE),                                                                                                                                                                                                                                                          IF($A151&lt;SDR26G!$A$67,VLOOKUP($A151,SDR26G!$A$9:$N$66,10,FALSE),                                                                                                                                                                                                                                                       IF($A151&lt;Cements!$A$95,VLOOKUP($A151,Cements!$A$8:$Q$94,13,FALSE),
IF($A151&lt;ValveBox!$A$124,VLOOKUP($A151,ValveBox!$A$9:$O$123,11,FALSE),
IF($A151&lt;'ValveBox Components'!$A$142,VLOOKUP($A151,'ValveBox Components'!$A$9:$N$141,10,FALSE),
IF($A151&lt;Drainage!$A$69,VLOOKUP($A151,Drainage!$A$8:$M$68,9,FALSE),                                                                                                                                                                                                                                                              IF($A151&lt;Nipples!$A$82,VLOOKUP($A151,Nipples!$A$9:$Q$81,13,FALSE),
IF($A151&lt;Manifold!$A$33,VLOOKUP($A151,Manifold!$A$9:$M$32,9,FALSE),
IF($A151&lt;FlexibleRepairCouplings!$A$12,VLOOKUP($A151,FlexibleRepairCouplings!$A$9:$M$11,9,FALSE),
IF($A151&lt;DuraFix!$A$15,VLOOKUP($A151,DuraFix!$A$9:$M$14,9,FALSE),                                                                                                                                                                                                                                                          IF($A151&lt;'Compression Fittings'!$A$16,VLOOKUP($A151,'Compression Fittings'!$A$8:$M$15,9,FALSE),
IF($A151&lt;'Hose Fittings'!$A$30,VLOOKUP($A151,'Hose Fittings'!$A$8:$M$29,9,FALSE),
IF($A151&lt;'Swing Joints'!$A$495,VLOOKUP($A151,'Swing Joints'!$A$9:$M$494,9,FALSE),
IF($A151&lt;'Swing Joints Components'!$A$135,VLOOKUP($A151,'Swing Joints Components'!$A$9:$M$134,9,FALSE),
IF($A151&lt;Nonstandard!$A$42,VLOOKUP($A151,Nonstandard!$A$31:$J$41,8,FALSE),"")))))))))))))))))))))))))))),"")</f>
        <v/>
      </c>
      <c r="G151" s="533" t="str">
        <f>IFERROR(IF($A151&lt;'DWV PVC'!$A$317,VLOOKUP($A151,'DWV PVC'!$A$9:$M$316,11,FALSE),
IF($A151&lt;'DWV ABS'!$A$117,VLOOKUP($A151,'DWV ABS'!$A$8:$M$116,11,FALSE),                                                                                                                                                                                                                                                     IF($A151&lt;'PVC SCH40'!$A$425,VLOOKUP($A151,'PVC SCH40'!$A$8:$M$424,11,FALSE),
IF($A151&lt;'PVC SCH40 LD'!$A$22,VLOOKUP($A151,'PVC SCH40 LD'!$A$8:$M$21,11,FALSE),
IF($A151&lt;'Pool &amp; SPA Sweep Elbows'!$A$12,VLOOKUP($A151,'Pool &amp; SPA Sweep Elbows'!$A$8:$M$11,11,FALSE),
IF($A151&lt;'Pool &amp; SPA Pipe Extender'!$A$11,VLOOKUP($A151,'Pool &amp; SPA Pipe Extender'!$A$8:$M$10,11,FALSE),
IF($A151&lt;'PVC SCH80'!$A$250,VLOOKUP($A151,'PVC SCH80'!$A$8:$M$249,11,FALSE),
IF($A151&lt;'PVC SCH80 Flange'!$A$49,VLOOKUP($A151,'PVC SCH80 Flange'!$A$8:$M$48,11,FALSE),
IF($A151&lt;'PVC SCH80 LD Flange'!$A$17,VLOOKUP($A151,'PVC SCH80 LD Flange'!$A$8:$M$16,11,FALSE),
IF($A151&lt;CPVC!$A$105,VLOOKUP($A151,CPVC!$A$9:$M$104,11,FALSE),
IF($A151&lt;InsertFittings!$A$185,VLOOKUP($A151,InsertFittings!$A$9:$M$184,11,FALSE),
IF($A151&lt;Valves!$A$92,VLOOKUP($A151,Valves!$A$9:$Q$91,15,FALSE),
IF($A151&lt;SDR35SW!$A$133,VLOOKUP($A151,SDR35SW!$A$9:$M$132,11,FALSE),
IF($A151&lt;SDR35G!$A$151,VLOOKUP($A151,SDR35G!$A$9:$M$150,11,FALSE),                                                                                                                                                                                                                                                          IF($A151&lt;SDR26G!$A$67,VLOOKUP($A151,SDR26G!$A$9:$N$66,12,FALSE),                                                                                                                                                                                                                                                       IF($A151&lt;Cements!$A$95,VLOOKUP($A151,Cements!$A$8:$Q$94,15,FALSE),
IF($A151&lt;ValveBox!$A$124,VLOOKUP($A151,ValveBox!$A$9:$O$123,13,FALSE),
IF($A151&lt;'ValveBox Components'!$A$142,VLOOKUP($A151,'ValveBox Components'!$A$9:$N$141,12,FALSE),
IF($A151&lt;Drainage!$A$69,VLOOKUP($A151,Drainage!$A$8:$M$68,11,FALSE),                                                                                                                                                                                                                                                           IF($A151&lt;Nipples!$A$82,VLOOKUP($A151,Nipples!$A$9:$Q$81,15,FALSE),
IF($A151&lt;Manifold!$A$33,VLOOKUP($A151,Manifold!$A$9:$M$32,11,FALSE),
IF($A151&lt;FlexibleRepairCouplings!$A$12,VLOOKUP($A151,FlexibleRepairCouplings!$A$9:$M$11,11,FALSE),
IF($A151&lt;DuraFix!$A$15,VLOOKUP($A151,DuraFix!$A$9:$M$14,11,FALSE),                                                                                                                                                                                                                                                            IF($A151&lt;'Compression Fittings'!$A$16,VLOOKUP($A151,'Compression Fittings'!$A$8:$M$15,11,FALSE),
IF($A151&lt;'Hose Fittings'!$A$30,VLOOKUP($A151,'Hose Fittings'!$A$8:$M$29,11,FALSE),
IF($A151&lt;'Swing Joints'!$A$495,VLOOKUP($A151,'Swing Joints'!$A$9:$M$494,11,FALSE),
IF($A151&lt;'Swing Joints Components'!$A$135,VLOOKUP($A151,'Swing Joints Components'!$A$9:$M$134,11,FALSE),
IF($A151&lt;Nonstandard!$A$42,VLOOKUP($A151,Nonstandard!$A$31:$J$41,10,FALSE),"")))))))))))))))))))))))))))),"")</f>
        <v/>
      </c>
      <c r="H151" s="618" t="str">
        <f>IFERROR(IF($A151&lt;'DWV PVC'!$A$317,VLOOKUP($A151,'DWV PVC'!$A$9:$M$316,7,FALSE),
IF($A151&lt;'DWV ABS'!$A$117,VLOOKUP($A151,'DWV ABS'!$A$8:$M$116,11,FALSE),                                                                                                                                                                                                                                                     IF($A151&lt;'PVC SCH40'!$A$425,VLOOKUP($A151,'PVC SCH40'!$A$8:$M$424,7,FALSE),
IF($A151&lt;'PVC SCH40 LD'!$A$22,VLOOKUP($A151,'PVC SCH40 LD'!$A$8:$M$21,7,FALSE),
IF($A151&lt;'Pool &amp; SPA Sweep Elbows'!$A$12,VLOOKUP($A151,'Pool &amp; SPA Sweep Elbows'!$A$8:$M$11,7,FALSE),
IF($A151&lt;'Pool &amp; SPA Pipe Extender'!$A$11,VLOOKUP($A151,'Pool &amp; SPA Pipe Extender'!$A$8:$M$10,7,FALSE),
IF($A151&lt;'PVC SCH80'!$A$250,VLOOKUP($A151,'PVC SCH80'!$A$8:$M$249,7,FALSE),
IF($A151&lt;'PVC SCH80 Flange'!$A$49,VLOOKUP($A151,'PVC SCH80 Flange'!$A$8:$M$48,7,FALSE),
IF($A151&lt;'PVC SCH80 LD Flange'!$A$17,VLOOKUP($A151,'PVC SCH80 LD Flange'!$A$8:$M$16,7,FALSE),
IF($A151&lt;CPVC!$A$105,VLOOKUP($A151,CPVC!$A$9:$M$104,7,FALSE),
IF($A151&lt;InsertFittings!$A$185,VLOOKUP($A151,InsertFittings!$A$9:$M$184,7,FALSE),
IF($A151&lt;Valves!$A$92,VLOOKUP($A151,Valves!$A$9:$Q$91,11,FALSE),
IF($A151&lt;SDR35SW!$A$133,VLOOKUP($A151,SDR35SW!$A$9:$M$132,7,FALSE),
IF($A151&lt;SDR35G!$A$151,VLOOKUP($A151,SDR35G!$A$9:$M$150,7,FALSE),                                                                                                                                                                                                                                                       IF($A151&lt;SDR26G!$A$67,VLOOKUP($A151,SDR26G!$A$9:$N$66,8,FALSE),                                                                                                                                                                                                                                                     IF($A151&lt;Cements!$A$95,VLOOKUP($A151,Cements!$A$8:$Q$94,11,FALSE),
IF($A151&lt;ValveBox!$A$124,VLOOKUP($A151,ValveBox!$A$9:$O$123,10,FALSE),
IF($A151&lt;'ValveBox Components'!$A$142,VLOOKUP($A151,'ValveBox Components'!$A$9:$N$141,9,FALSE),
IF($A151&lt;Drainage!$A$69,VLOOKUP($A151,Drainage!$A$8:$M$68,7,FALSE),                                                                                                                                                                                                                                                          IF($A151&lt;Nipples!$A$82,VLOOKUP($A151,Nipples!$A$9:$Q$81,11,FALSE),
IF($A151&lt;Manifold!$A$33,VLOOKUP($A151,Manifold!$A$9:$M$32,7,FALSE),
IF($A151&lt;FlexibleRepairCouplings!$A$12,VLOOKUP($A151,FlexibleRepairCouplings!$A$9:$M$11,7,FALSE),
IF($A151&lt;DuraFix!$A$15,VLOOKUP($A151,DuraFix!$A$9:$M$14,7,FALSE),                                                                                                                                                                                                                                                           IF($A151&lt;'Compression Fittings'!$A$16,VLOOKUP($A151,'Compression Fittings'!$A$8:$M$15,7,FALSE),
IF($A151&lt;'Hose Fittings'!$A$30,VLOOKUP($A151,'Hose Fittings'!$A$8:$M$29,7,FALSE),
IF($A151&lt;'Swing Joints'!$A$495,VLOOKUP($A151,'Swing Joints'!$A$9:$M$494,7,FALSE),
IF($A151&lt;'Swing Joints Components'!$A$135,VLOOKUP($A151,'Swing Joints Components'!$A$9:$M$134,7,FALSE),
IF($A151&lt;Nonstandard!$A$42,VLOOKUP($A151,Nonstandard!$A$31:$J$41,10,FALSE),"")))))))))))))))))))))))))))),"")</f>
        <v/>
      </c>
      <c r="I151" s="619"/>
      <c r="J151" s="281" t="str">
        <f t="shared" si="3"/>
        <v/>
      </c>
      <c r="K151" s="313" t="str">
        <f>IFERROR(IF($A151&lt;'DWV PVC'!$A$317,VLOOKUP($A151,'DWV PVC'!$A$9:$M$316,10,FALSE),
IF($A151&lt;'DWV ABS'!$A$117,VLOOKUP($A151,'DWV ABS'!$A$8:$M$116,10,FALSE),
IF($A151&lt;'PVC SCH40'!$A$425,VLOOKUP($A151,'PVC SCH40'!$A$8:$M$424,10,FALSE),
IF($A151&lt;'PVC SCH40 LD'!$A$22,VLOOKUP($A151,'PVC SCH40 LD'!$A$8:$M$21,10,FALSE),
IF($A151&lt;'Pool &amp; SPA Sweep Elbows'!$A$12,VLOOKUP($A151,'Pool &amp; SPA Sweep Elbows'!$A$8:$M$11,10,FALSE),
IF($A151&lt;'Pool &amp; SPA Pipe Extender'!$A$11,VLOOKUP($A151,'Pool &amp; SPA Pipe Extender'!$A$8:$M$10,10,FALSE),
IF($A151&lt;'PVC SCH80'!$A$250,VLOOKUP($A151,'PVC SCH80'!$A$8:$M$249,10,FALSE),
IF($A151&lt;'PVC SCH80 Flange'!$A$49,VLOOKUP($A151,'PVC SCH80 Flange'!$A$8:$M$48,10,FALSE),
IF($A151&lt;'PVC SCH80 LD Flange'!$A$17,VLOOKUP($A151,'PVC SCH80 LD Flange'!$A$8:$M$16,10,FALSE),
IF($A151&lt;CPVC!$A$105,VLOOKUP($A151,CPVC!$A$9:$M$104,10,FALSE),
IF($A151&lt;InsertFittings!$A$185,VLOOKUP($A151,InsertFittings!$A$9:$M$184,10,FALSE),
IF($A151&lt;Valves!$A$92,VLOOKUP($A151,Valves!$A$9:$Q$91,14,FALSE),
IF($A151&lt;SDR35SW!$A$133,VLOOKUP($A151,SDR35SW!$A$9:$M$132,10,FALSE),
IF($A151&lt;SDR35G!$A$151,VLOOKUP($A151,SDR35G!$A$9:$M$150,10,FALSE),
IF($A151&lt;SDR26G!$A$67,VLOOKUP($A151,SDR26G!$A$9:$N$66,11,FALSE),
IF($A151&lt;Cements!$A$95,VLOOKUP($A151,Cements!$A$8:$Q$94,14,FALSE),
IF($A151&lt;ValveBox!$A$124,VLOOKUP($A151,ValveBox!$A$9:$O$123,12,FALSE),
IF($A151&lt;'ValveBox Components'!$A$142,VLOOKUP($A151,'ValveBox Components'!$A$9:$N$141,11,FALSE),
IF($A151&lt;Drainage!$A$69,VLOOKUP($A151,Drainage!$A$8:$M$68,10,FALSE),
IF($A151&lt;Nipples!$A$82,VLOOKUP($A151,Nipples!$A$9:$Q$81,14,FALSE),
IF($A151&lt;Manifold!$A$33,VLOOKUP($A151,Manifold!$A$9:$M$32,10,FALSE),
IF($A151&lt;FlexibleRepairCouplings!$A$12,VLOOKUP($A151,FlexibleRepairCouplings!$A$9:$M$11,10,FALSE),
IF($A151&lt;DuraFix!$A$15,VLOOKUP($A151,DuraFix!$A$9:$M$14,10,FALSE),
IF($A151&lt;'Compression Fittings'!$A$16,VLOOKUP($A151,'Compression Fittings'!$A$8:$M$15,10,FALSE),
IF($A151&lt;'Hose Fittings'!$A$30,VLOOKUP($A151,'Hose Fittings'!$A$8:$M$29,10,FALSE),
IF($A151&lt;'Swing Joints'!$A$495,VLOOKUP($A151,'Swing Joints'!$A$9:$M$494,10,FALSE),
IF($A151&lt;'Swing Joints Components'!$A$135,VLOOKUP($A151,'Swing Joints Components'!$A$9:$M$134,10,FALSE),
IF($A151&lt;Nonstandard!$A$42,VLOOKUP($A151,Nonstandard!$A$31:$J$41,10,FALSE),"")))))))))))))))))))))))))))),"")</f>
        <v/>
      </c>
      <c r="L151" s="314" t="str">
        <f t="shared" si="2"/>
        <v>-</v>
      </c>
      <c r="M151" s="315"/>
    </row>
    <row r="152" spans="1:13" ht="15.6">
      <c r="A152" s="536">
        <v>120</v>
      </c>
      <c r="B152" s="536" t="str">
        <f>IFERROR(IF($A152&lt;'DWV PVC'!$A$317,VLOOKUP($A152,'DWV PVC'!$A$9:$M$316,4,FALSE),
IF($A152&lt;'DWV ABS'!$A$117,VLOOKUP($A152,'DWV ABS'!$A$8:$M$116,4,FALSE),
IF($A152&lt;'PVC SCH40'!$A$425,VLOOKUP($A152,'PVC SCH40'!$A$8:$M$424,4,FALSE),
IF($A152&lt;'PVC SCH40 LD'!$A$22,VLOOKUP($A152,'PVC SCH40 LD'!$A$8:$M$21,4,FALSE),
IF($A152&lt;'Pool &amp; SPA Sweep Elbows'!$A$12,VLOOKUP($A152,'Pool &amp; SPA Sweep Elbows'!$A$8:$M$11,4,FALSE),
IF($A152&lt;'Pool &amp; SPA Pipe Extender'!$A$11,VLOOKUP($A152,'Pool &amp; SPA Pipe Extender'!$A$8:$M$10,4,FALSE),
IF($A152&lt;'PVC SCH80'!$A$250,VLOOKUP($A152,'PVC SCH80'!$A$8:$M$249,4,FALSE),
IF($A152&lt;'PVC SCH80 Flange'!$A$49,VLOOKUP($A152,'PVC SCH80 Flange'!$A$8:$M$48,4,FALSE),
IF($A152&lt;'PVC SCH80 LD Flange'!$A$17,VLOOKUP($A152,'PVC SCH80 LD Flange'!$A$8:$M$16,4,FALSE),
IF($A152&lt;CPVC!$A$105,VLOOKUP($A152,CPVC!$A$9:$M$104,4,FALSE),
IF($A152&lt;InsertFittings!$A$185,VLOOKUP($A152,InsertFittings!$A$9:$M$184,4,FALSE),
IF($A152&lt;Valves!$A$92,VLOOKUP($A152,Valves!$A$9:$Q$91,4,FALSE),
IF($A152&lt;SDR35SW!$A$133,VLOOKUP($A152,SDR35SW!$A$9:$M$132,4,FALSE),
IF($A152&lt;SDR35G!$A$151,VLOOKUP($A152,SDR35G!$A$9:$M$150,4,FALSE),
IF($A152&lt;SDR26G!$A$67,VLOOKUP($A152,SDR26G!$A$9:$N$66,5,FALSE),
IF($A152&lt;Cements!$A$95,VLOOKUP($A152,Cements!$A$8:$Q$94,4,FALSE),
IF($A152&lt;ValveBox!$A$124,VLOOKUP($A152,ValveBox!$A$9:$O$123,4,FALSE),
IF($A152&lt;'ValveBox Components'!$A$142,VLOOKUP($A152,'ValveBox Components'!$A$9:$N$141,4,FALSE),
IF($A152&lt;Drainage!$A$69,VLOOKUP($A152,Drainage!$A$8:$M$68,4,FALSE),
IF($A152&lt;Nipples!$A$82,VLOOKUP($A152,Nipples!$A$9:$Q$81,4,FALSE),
IF($A152&lt;Manifold!$A$33,VLOOKUP($A152,Manifold!$A$9:$M$32,4,FALSE),
IF($A152&lt;FlexibleRepairCouplings!$A$12,VLOOKUP($A152,FlexibleRepairCouplings!$A$9:$M$11,4,FALSE),
IF($A152&lt;DuraFix!$A$15,VLOOKUP($A152,DuraFix!$A$9:$M$14,4,FALSE),
IF($A152&lt;'Compression Fittings'!$A$16,VLOOKUP($A152,'Compression Fittings'!$A$8:$M$15,4,FALSE),
IF($A152&lt;'Hose Fittings'!$A$30,VLOOKUP($A152,'Hose Fittings'!$A$8:$M$29,4,FALSE),
IF($A152&lt;'Swing Joints'!$A$495,VLOOKUP($A152,'Swing Joints'!$A$9:$M$494,4,FALSE),
IF($A152&lt;'Swing Joints Components'!$A$135,VLOOKUP($A152,'Swing Joints Components'!$A$9:$M$134,4,FALSE),
IF($A152&lt;Nonstandard!$A$42,VLOOKUP($A152,Nonstandard!$A$31:$J$41,5,FALSE),"")))))))))))))))))))))))))))),"")</f>
        <v/>
      </c>
      <c r="C152" s="536" t="str">
        <f>IFERROR(IF($A152&lt;'DWV PVC'!$A$317,VLOOKUP($A152,'DWV PVC'!$A$9:$M$316,5,FALSE),
IF($A152&lt;'DWV ABS'!$A$117,VLOOKUP($A152,'DWV ABS'!$A$8:$M$116,5,FALSE),
IF($A152&lt;'PVC SCH40'!$A$425,VLOOKUP($A152,'PVC SCH40'!$A$8:$M$424,5,FALSE),
IF($A152&lt;'PVC SCH40 LD'!$A$22,VLOOKUP($A152,'PVC SCH40 LD'!$A$8:$M$21,5,FALSE),
IF($A152&lt;'Pool &amp; SPA Sweep Elbows'!$A$12,VLOOKUP($A152,'Pool &amp; SPA Sweep Elbows'!$A$8:$M$11,5,FALSE),
IF($A152&lt;'Pool &amp; SPA Pipe Extender'!$A$11,VLOOKUP($A152,'Pool &amp; SPA Pipe Extender'!$A$8:$M$10,5,FALSE),
IF($A152&lt;'PVC SCH80'!$A$250,VLOOKUP($A152,'PVC SCH80'!$A$8:$M$249,5,FALSE),
IF($A152&lt;'PVC SCH80 Flange'!$A$49,VLOOKUP($A152,'PVC SCH80 Flange'!$A$8:$M$48,5,FALSE),
IF($A152&lt;'PVC SCH80 LD Flange'!$A$17,VLOOKUP($A152,'PVC SCH80 LD Flange'!$A$8:$M$16,5,FALSE),
IF($A152&lt;CPVC!$A$105,VLOOKUP($A152,CPVC!$A$9:$M$104,5,FALSE),
IF($A152&lt;InsertFittings!$A$185,VLOOKUP($A152,InsertFittings!$A$9:$M$184,5,FALSE),
IF($A152&lt;Valves!$A$92,VLOOKUP($A152,Valves!$A$9:$Q$91,5,FALSE),
IF($A152&lt;SDR35SW!$A$133,VLOOKUP($A152,SDR35SW!$A$9:$M$132,5,FALSE),
IF($A152&lt;SDR35G!$A$151,VLOOKUP($A152,SDR35G!$A$9:$M$150,5,FALSE),
IF($A152&lt;SDR26G!$A$67,VLOOKUP($A152,SDR26G!$A$9:$N$66,6,FALSE),
IF($A152&lt;Cements!$A$95,VLOOKUP($A152,Cements!$A$8:$Q$94,5,FALSE),
IF($A152&lt;ValveBox!$A$124,VLOOKUP($A152,ValveBox!$A$9:$O$123,5,FALSE),
IF($A152&lt;'ValveBox Components'!$A$142,VLOOKUP($A152,'ValveBox Components'!$A$9:$N$141,5,FALSE),
IF($A152&lt;Drainage!$A$69,VLOOKUP($A152,Drainage!$A$8:$M$68,5,FALSE),
IF($A152&lt;Nipples!$A$82,VLOOKUP($A152,Nipples!$A$9:$Q$81,5,FALSE),
IF($A152&lt;Manifold!$A$33,VLOOKUP($A152,Manifold!$A$9:$M$32,5,FALSE),
IF($A152&lt;FlexibleRepairCouplings!$A$12,VLOOKUP($A152,FlexibleRepairCouplings!$A$9:$M$11,5,FALSE),
IF($A152&lt;DuraFix!$A$15,VLOOKUP($A152,DuraFix!$A$9:$M$14,5,FALSE),
IF($A152&lt;'Compression Fittings'!$A$16,VLOOKUP($A152,'Compression Fittings'!$A$8:$M$15,5,FALSE),
IF($A152&lt;'Hose Fittings'!$A$30,VLOOKUP($A152,'Hose Fittings'!$A$8:$M$29,5,FALSE),
IF($A152&lt;'Swing Joints'!$A$495,VLOOKUP($A152,'Swing Joints'!$A$9:$M$494,5,FALSE),
IF($A152&lt;'Swing Joints Components'!$A$135,VLOOKUP($A152,'Swing Joints Components'!$A$9:$M$134,5,FALSE),
IF($A152&lt;Nonstandard!$A$42,VLOOKUP($A152,Nonstandard!$A$31:$J$41,6,FALSE),"")))))))))))))))))))))))))))),"")</f>
        <v/>
      </c>
      <c r="D152" s="537" t="str">
        <f>IFERROR(IF($A152&lt;'DWV PVC'!$A$317,VLOOKUP($A152,'DWV PVC'!$A$9:$M$316,6,FALSE),
IF($A152&lt;'DWV ABS'!$A$117,VLOOKUP($A152,'DWV ABS'!$A$8:$M$116,6,FALSE),
IF($A152&lt;'PVC SCH40'!$A$425,VLOOKUP($A152,'PVC SCH40'!$A$8:$M$424,6,FALSE),
IF($A152&lt;'PVC SCH40 LD'!$A$22,VLOOKUP($A152,'PVC SCH40 LD'!$A$8:$M$21,6,FALSE),
IF($A152&lt;'Pool &amp; SPA Sweep Elbows'!$A$12,VLOOKUP($A152,'Pool &amp; SPA Sweep Elbows'!$A$8:$M$11,6,FALSE),
IF($A152&lt;'Pool &amp; SPA Pipe Extender'!$A$11,VLOOKUP($A152,'Pool &amp; SPA Pipe Extender'!$A$8:$M$10,6,FALSE),
IF($A152&lt;'PVC SCH80'!$A$250,VLOOKUP($A152,'PVC SCH80'!$A$8:$M$249,6,FALSE),
IF($A152&lt;'PVC SCH80 Flange'!$A$49,VLOOKUP($A152,'PVC SCH80 Flange'!$A$8:$M$48,6,FALSE),
IF($A152&lt;'PVC SCH80 LD Flange'!$A$17,VLOOKUP($A152,'PVC SCH80 LD Flange'!$A$8:$M$16,6,FALSE),
IF($A152&lt;CPVC!$A$105,VLOOKUP($A152,CPVC!$A$9:$M$104,6,FALSE),
IF($A152&lt;InsertFittings!$A$185,VLOOKUP($A152,InsertFittings!$A$9:$M$184,6,FALSE),
IF($A152&lt;Valves!$A$92,VLOOKUP($A152,Valves!$A$9:$Q$91,6,FALSE),
IF($A152&lt;SDR35SW!$A$133,VLOOKUP($A152,SDR35SW!$A$9:$M$132,6,FALSE),
IF($A152&lt;SDR35G!$A$151,VLOOKUP($A152,SDR35G!$A$9:$M$150,6,FALSE),
IF($A152&lt;SDR26G!$A$67,VLOOKUP($A152,SDR26G!$A$9:$N$66,7,FALSE),
IF($A152&lt;Cements!$A$95,VLOOKUP($A152,Cements!$A$8:$Q$94,6,FALSE),
IF($A152&lt;ValveBox!$A$124,VLOOKUP($A152,ValveBox!$A$9:$O$123,6,FALSE),
IF($A152&lt;'ValveBox Components'!$A$142,VLOOKUP($A152,'ValveBox Components'!$A$9:$N$141,6,FALSE),
IF($A152&lt;Drainage!$A$69,VLOOKUP($A152,Drainage!$A$8:$M$68,6,FALSE),
IF($A152&lt;Nipples!$A$82,VLOOKUP($A152,Nipples!$A$9:$Q$81,6,FALSE),
IF($A152&lt;Manifold!$A$33,VLOOKUP($A152,Manifold!$A$9:$M$32,6,FALSE),
IF($A152&lt;FlexibleRepairCouplings!$A$12,VLOOKUP($A152,FlexibleRepairCouplings!$A$9:$M$11,6,FALSE),
IF($A152&lt;DuraFix!$A$15,VLOOKUP($A152,DuraFix!$A$9:$M$14,6,FALSE),
IF($A152&lt;'Compression Fittings'!$A$16,VLOOKUP($A152,'Compression Fittings'!$A$8:$M$15,6,FALSE),
IF($A152&lt;'Hose Fittings'!$A$30,VLOOKUP($A152,'Hose Fittings'!$A$8:$M$29,6,FALSE),
IF($A152&lt;'Swing Joints'!$A$495,VLOOKUP($A152,'Swing Joints'!$A$9:$M$494,6,FALSE),
IF($A152&lt;'Swing Joints Components'!$A$135,VLOOKUP($A152,'Swing Joints Components'!$A$9:$M$134,6,FALSE),
IF($A152&lt;Nonstandard!$A$42,VLOOKUP($A152,Nonstandard!$A$31:$J$41,7,FALSE),"")))))))))))))))))))))))))))),"")</f>
        <v/>
      </c>
      <c r="E152" s="538"/>
      <c r="F152" s="539" t="str">
        <f>IFERROR(IF($A152&lt;'DWV PVC'!$A$317,VLOOKUP($A152,'DWV PVC'!$A$9:$M$316,9,FALSE),
IF($A152&lt;'DWV ABS'!$A$117,VLOOKUP($A152,'DWV ABS'!$A$8:$M$116,9,FALSE),                                                                                                                                                                                                                                                     IF($A152&lt;'PVC SCH40'!$A$425,VLOOKUP($A152,'PVC SCH40'!$A$8:$M$424,9,FALSE),
IF($A152&lt;'PVC SCH40 LD'!$A$22,VLOOKUP($A152,'PVC SCH40 LD'!$A$8:$M$21,9,FALSE),
IF($A152&lt;'Pool &amp; SPA Sweep Elbows'!$A$12,VLOOKUP($A152,'Pool &amp; SPA Sweep Elbows'!$A$8:$M$11,9,FALSE),
IF($A152&lt;'Pool &amp; SPA Pipe Extender'!$A$11,VLOOKUP($A152,'Pool &amp; SPA Pipe Extender'!$A$8:$M$10,9,FALSE),
IF($A152&lt;'PVC SCH80'!$A$250,VLOOKUP($A152,'PVC SCH80'!$A$8:$M$249,9,FALSE),
IF($A152&lt;'PVC SCH80 Flange'!$A$49,VLOOKUP($A152,'PVC SCH80 Flange'!$A$8:$M$48,9,FALSE),
IF($A152&lt;'PVC SCH80 LD Flange'!$A$17,VLOOKUP($A152,'PVC SCH80 LD Flange'!$A$8:$M$16,9,FALSE),
IF($A152&lt;CPVC!$A$105,VLOOKUP($A152,CPVC!$A$9:$M$104,9,FALSE),
IF($A152&lt;InsertFittings!$A$185,VLOOKUP($A152,InsertFittings!$A$9:$M$184,9,FALSE),
IF($A152&lt;Valves!$A$92,VLOOKUP($A152,Valves!$A$9:$Q$91,13,FALSE),
IF($A152&lt;SDR35SW!$A$133,VLOOKUP($A152,SDR35SW!$A$9:$M$132,9,FALSE),
IF($A152&lt;SDR35G!$A$151,VLOOKUP($A152,SDR35G!$A$9:$M$150,9,FALSE),                                                                                                                                                                                                                                                          IF($A152&lt;SDR26G!$A$67,VLOOKUP($A152,SDR26G!$A$9:$N$66,10,FALSE),                                                                                                                                                                                                                                                       IF($A152&lt;Cements!$A$95,VLOOKUP($A152,Cements!$A$8:$Q$94,13,FALSE),
IF($A152&lt;ValveBox!$A$124,VLOOKUP($A152,ValveBox!$A$9:$O$123,11,FALSE),
IF($A152&lt;'ValveBox Components'!$A$142,VLOOKUP($A152,'ValveBox Components'!$A$9:$N$141,10,FALSE),
IF($A152&lt;Drainage!$A$69,VLOOKUP($A152,Drainage!$A$8:$M$68,9,FALSE),                                                                                                                                                                                                                                                              IF($A152&lt;Nipples!$A$82,VLOOKUP($A152,Nipples!$A$9:$Q$81,13,FALSE),
IF($A152&lt;Manifold!$A$33,VLOOKUP($A152,Manifold!$A$9:$M$32,9,FALSE),
IF($A152&lt;FlexibleRepairCouplings!$A$12,VLOOKUP($A152,FlexibleRepairCouplings!$A$9:$M$11,9,FALSE),
IF($A152&lt;DuraFix!$A$15,VLOOKUP($A152,DuraFix!$A$9:$M$14,9,FALSE),                                                                                                                                                                                                                                                          IF($A152&lt;'Compression Fittings'!$A$16,VLOOKUP($A152,'Compression Fittings'!$A$8:$M$15,9,FALSE),
IF($A152&lt;'Hose Fittings'!$A$30,VLOOKUP($A152,'Hose Fittings'!$A$8:$M$29,9,FALSE),
IF($A152&lt;'Swing Joints'!$A$495,VLOOKUP($A152,'Swing Joints'!$A$9:$M$494,9,FALSE),
IF($A152&lt;'Swing Joints Components'!$A$135,VLOOKUP($A152,'Swing Joints Components'!$A$9:$M$134,9,FALSE),
IF($A152&lt;Nonstandard!$A$42,VLOOKUP($A152,Nonstandard!$A$31:$J$41,8,FALSE),"")))))))))))))))))))))))))))),"")</f>
        <v/>
      </c>
      <c r="G152" s="540" t="str">
        <f>IFERROR(IF($A152&lt;'DWV PVC'!$A$317,VLOOKUP($A152,'DWV PVC'!$A$9:$M$316,11,FALSE),
IF($A152&lt;'DWV ABS'!$A$117,VLOOKUP($A152,'DWV ABS'!$A$8:$M$116,11,FALSE),                                                                                                                                                                                                                                                     IF($A152&lt;'PVC SCH40'!$A$425,VLOOKUP($A152,'PVC SCH40'!$A$8:$M$424,11,FALSE),
IF($A152&lt;'PVC SCH40 LD'!$A$22,VLOOKUP($A152,'PVC SCH40 LD'!$A$8:$M$21,11,FALSE),
IF($A152&lt;'Pool &amp; SPA Sweep Elbows'!$A$12,VLOOKUP($A152,'Pool &amp; SPA Sweep Elbows'!$A$8:$M$11,11,FALSE),
IF($A152&lt;'Pool &amp; SPA Pipe Extender'!$A$11,VLOOKUP($A152,'Pool &amp; SPA Pipe Extender'!$A$8:$M$10,11,FALSE),
IF($A152&lt;'PVC SCH80'!$A$250,VLOOKUP($A152,'PVC SCH80'!$A$8:$M$249,11,FALSE),
IF($A152&lt;'PVC SCH80 Flange'!$A$49,VLOOKUP($A152,'PVC SCH80 Flange'!$A$8:$M$48,11,FALSE),
IF($A152&lt;'PVC SCH80 LD Flange'!$A$17,VLOOKUP($A152,'PVC SCH80 LD Flange'!$A$8:$M$16,11,FALSE),
IF($A152&lt;CPVC!$A$105,VLOOKUP($A152,CPVC!$A$9:$M$104,11,FALSE),
IF($A152&lt;InsertFittings!$A$185,VLOOKUP($A152,InsertFittings!$A$9:$M$184,11,FALSE),
IF($A152&lt;Valves!$A$92,VLOOKUP($A152,Valves!$A$9:$Q$91,15,FALSE),
IF($A152&lt;SDR35SW!$A$133,VLOOKUP($A152,SDR35SW!$A$9:$M$132,11,FALSE),
IF($A152&lt;SDR35G!$A$151,VLOOKUP($A152,SDR35G!$A$9:$M$150,11,FALSE),                                                                                                                                                                                                                                                          IF($A152&lt;SDR26G!$A$67,VLOOKUP($A152,SDR26G!$A$9:$N$66,12,FALSE),                                                                                                                                                                                                                                                       IF($A152&lt;Cements!$A$95,VLOOKUP($A152,Cements!$A$8:$Q$94,15,FALSE),
IF($A152&lt;ValveBox!$A$124,VLOOKUP($A152,ValveBox!$A$9:$O$123,13,FALSE),
IF($A152&lt;'ValveBox Components'!$A$142,VLOOKUP($A152,'ValveBox Components'!$A$9:$N$141,12,FALSE),
IF($A152&lt;Drainage!$A$69,VLOOKUP($A152,Drainage!$A$8:$M$68,11,FALSE),                                                                                                                                                                                                                                                           IF($A152&lt;Nipples!$A$82,VLOOKUP($A152,Nipples!$A$9:$Q$81,15,FALSE),
IF($A152&lt;Manifold!$A$33,VLOOKUP($A152,Manifold!$A$9:$M$32,11,FALSE),
IF($A152&lt;FlexibleRepairCouplings!$A$12,VLOOKUP($A152,FlexibleRepairCouplings!$A$9:$M$11,11,FALSE),
IF($A152&lt;DuraFix!$A$15,VLOOKUP($A152,DuraFix!$A$9:$M$14,11,FALSE),                                                                                                                                                                                                                                                            IF($A152&lt;'Compression Fittings'!$A$16,VLOOKUP($A152,'Compression Fittings'!$A$8:$M$15,11,FALSE),
IF($A152&lt;'Hose Fittings'!$A$30,VLOOKUP($A152,'Hose Fittings'!$A$8:$M$29,11,FALSE),
IF($A152&lt;'Swing Joints'!$A$495,VLOOKUP($A152,'Swing Joints'!$A$9:$M$494,11,FALSE),
IF($A152&lt;'Swing Joints Components'!$A$135,VLOOKUP($A152,'Swing Joints Components'!$A$9:$M$134,11,FALSE),
IF($A152&lt;Nonstandard!$A$42,VLOOKUP($A152,Nonstandard!$A$31:$J$41,10,FALSE),"")))))))))))))))))))))))))))),"")</f>
        <v/>
      </c>
      <c r="H152" s="620" t="str">
        <f>IFERROR(IF($A152&lt;'DWV PVC'!$A$317,VLOOKUP($A152,'DWV PVC'!$A$9:$M$316,7,FALSE),
IF($A152&lt;'DWV ABS'!$A$117,VLOOKUP($A152,'DWV ABS'!$A$8:$M$116,11,FALSE),                                                                                                                                                                                                                                                     IF($A152&lt;'PVC SCH40'!$A$425,VLOOKUP($A152,'PVC SCH40'!$A$8:$M$424,7,FALSE),
IF($A152&lt;'PVC SCH40 LD'!$A$22,VLOOKUP($A152,'PVC SCH40 LD'!$A$8:$M$21,7,FALSE),
IF($A152&lt;'Pool &amp; SPA Sweep Elbows'!$A$12,VLOOKUP($A152,'Pool &amp; SPA Sweep Elbows'!$A$8:$M$11,7,FALSE),
IF($A152&lt;'Pool &amp; SPA Pipe Extender'!$A$11,VLOOKUP($A152,'Pool &amp; SPA Pipe Extender'!$A$8:$M$10,7,FALSE),
IF($A152&lt;'PVC SCH80'!$A$250,VLOOKUP($A152,'PVC SCH80'!$A$8:$M$249,7,FALSE),
IF($A152&lt;'PVC SCH80 Flange'!$A$49,VLOOKUP($A152,'PVC SCH80 Flange'!$A$8:$M$48,7,FALSE),
IF($A152&lt;'PVC SCH80 LD Flange'!$A$17,VLOOKUP($A152,'PVC SCH80 LD Flange'!$A$8:$M$16,7,FALSE),
IF($A152&lt;CPVC!$A$105,VLOOKUP($A152,CPVC!$A$9:$M$104,7,FALSE),
IF($A152&lt;InsertFittings!$A$185,VLOOKUP($A152,InsertFittings!$A$9:$M$184,7,FALSE),
IF($A152&lt;Valves!$A$92,VLOOKUP($A152,Valves!$A$9:$Q$91,11,FALSE),
IF($A152&lt;SDR35SW!$A$133,VLOOKUP($A152,SDR35SW!$A$9:$M$132,7,FALSE),
IF($A152&lt;SDR35G!$A$151,VLOOKUP($A152,SDR35G!$A$9:$M$150,7,FALSE),                                                                                                                                                                                                                                                       IF($A152&lt;SDR26G!$A$67,VLOOKUP($A152,SDR26G!$A$9:$N$66,8,FALSE),                                                                                                                                                                                                                                                     IF($A152&lt;Cements!$A$95,VLOOKUP($A152,Cements!$A$8:$Q$94,11,FALSE),
IF($A152&lt;ValveBox!$A$124,VLOOKUP($A152,ValveBox!$A$9:$O$123,10,FALSE),
IF($A152&lt;'ValveBox Components'!$A$142,VLOOKUP($A152,'ValveBox Components'!$A$9:$N$141,9,FALSE),
IF($A152&lt;Drainage!$A$69,VLOOKUP($A152,Drainage!$A$8:$M$68,7,FALSE),                                                                                                                                                                                                                                                          IF($A152&lt;Nipples!$A$82,VLOOKUP($A152,Nipples!$A$9:$Q$81,11,FALSE),
IF($A152&lt;Manifold!$A$33,VLOOKUP($A152,Manifold!$A$9:$M$32,7,FALSE),
IF($A152&lt;FlexibleRepairCouplings!$A$12,VLOOKUP($A152,FlexibleRepairCouplings!$A$9:$M$11,7,FALSE),
IF($A152&lt;DuraFix!$A$15,VLOOKUP($A152,DuraFix!$A$9:$M$14,7,FALSE),                                                                                                                                                                                                                                                           IF($A152&lt;'Compression Fittings'!$A$16,VLOOKUP($A152,'Compression Fittings'!$A$8:$M$15,7,FALSE),
IF($A152&lt;'Hose Fittings'!$A$30,VLOOKUP($A152,'Hose Fittings'!$A$8:$M$29,7,FALSE),
IF($A152&lt;'Swing Joints'!$A$495,VLOOKUP($A152,'Swing Joints'!$A$9:$M$494,7,FALSE),
IF($A152&lt;'Swing Joints Components'!$A$135,VLOOKUP($A152,'Swing Joints Components'!$A$9:$M$134,7,FALSE),
IF($A152&lt;Nonstandard!$A$42,VLOOKUP($A152,Nonstandard!$A$31:$J$41,10,FALSE),"")))))))))))))))))))))))))))),"")</f>
        <v/>
      </c>
      <c r="I152" s="621"/>
      <c r="J152" s="541" t="str">
        <f t="shared" si="3"/>
        <v/>
      </c>
      <c r="K152" s="599" t="str">
        <f>IFERROR(IF($A152&lt;'DWV PVC'!$A$317,VLOOKUP($A152,'DWV PVC'!$A$9:$M$316,10,FALSE),
IF($A152&lt;'DWV ABS'!$A$117,VLOOKUP($A152,'DWV ABS'!$A$8:$M$116,10,FALSE),
IF($A152&lt;'PVC SCH40'!$A$425,VLOOKUP($A152,'PVC SCH40'!$A$8:$M$424,10,FALSE),
IF($A152&lt;'PVC SCH40 LD'!$A$22,VLOOKUP($A152,'PVC SCH40 LD'!$A$8:$M$21,10,FALSE),
IF($A152&lt;'Pool &amp; SPA Sweep Elbows'!$A$12,VLOOKUP($A152,'Pool &amp; SPA Sweep Elbows'!$A$8:$M$11,10,FALSE),
IF($A152&lt;'Pool &amp; SPA Pipe Extender'!$A$11,VLOOKUP($A152,'Pool &amp; SPA Pipe Extender'!$A$8:$M$10,10,FALSE),
IF($A152&lt;'PVC SCH80'!$A$250,VLOOKUP($A152,'PVC SCH80'!$A$8:$M$249,10,FALSE),
IF($A152&lt;'PVC SCH80 Flange'!$A$49,VLOOKUP($A152,'PVC SCH80 Flange'!$A$8:$M$48,10,FALSE),
IF($A152&lt;'PVC SCH80 LD Flange'!$A$17,VLOOKUP($A152,'PVC SCH80 LD Flange'!$A$8:$M$16,10,FALSE),
IF($A152&lt;CPVC!$A$105,VLOOKUP($A152,CPVC!$A$9:$M$104,10,FALSE),
IF($A152&lt;InsertFittings!$A$185,VLOOKUP($A152,InsertFittings!$A$9:$M$184,10,FALSE),
IF($A152&lt;Valves!$A$92,VLOOKUP($A152,Valves!$A$9:$Q$91,14,FALSE),
IF($A152&lt;SDR35SW!$A$133,VLOOKUP($A152,SDR35SW!$A$9:$M$132,10,FALSE),
IF($A152&lt;SDR35G!$A$151,VLOOKUP($A152,SDR35G!$A$9:$M$150,10,FALSE),
IF($A152&lt;SDR26G!$A$67,VLOOKUP($A152,SDR26G!$A$9:$N$66,11,FALSE),
IF($A152&lt;Cements!$A$95,VLOOKUP($A152,Cements!$A$8:$Q$94,14,FALSE),
IF($A152&lt;ValveBox!$A$124,VLOOKUP($A152,ValveBox!$A$9:$O$123,12,FALSE),
IF($A152&lt;'ValveBox Components'!$A$142,VLOOKUP($A152,'ValveBox Components'!$A$9:$N$141,11,FALSE),
IF($A152&lt;Drainage!$A$69,VLOOKUP($A152,Drainage!$A$8:$M$68,10,FALSE),
IF($A152&lt;Nipples!$A$82,VLOOKUP($A152,Nipples!$A$9:$Q$81,14,FALSE),
IF($A152&lt;Manifold!$A$33,VLOOKUP($A152,Manifold!$A$9:$M$32,10,FALSE),
IF($A152&lt;FlexibleRepairCouplings!$A$12,VLOOKUP($A152,FlexibleRepairCouplings!$A$9:$M$11,10,FALSE),
IF($A152&lt;DuraFix!$A$15,VLOOKUP($A152,DuraFix!$A$9:$M$14,10,FALSE),
IF($A152&lt;'Compression Fittings'!$A$16,VLOOKUP($A152,'Compression Fittings'!$A$8:$M$15,10,FALSE),
IF($A152&lt;'Hose Fittings'!$A$30,VLOOKUP($A152,'Hose Fittings'!$A$8:$M$29,10,FALSE),
IF($A152&lt;'Swing Joints'!$A$495,VLOOKUP($A152,'Swing Joints'!$A$9:$M$494,10,FALSE),
IF($A152&lt;'Swing Joints Components'!$A$135,VLOOKUP($A152,'Swing Joints Components'!$A$9:$M$134,10,FALSE),
IF($A152&lt;Nonstandard!$A$42,VLOOKUP($A152,Nonstandard!$A$31:$J$41,10,FALSE),"")))))))))))))))))))))))))))),"")</f>
        <v/>
      </c>
      <c r="L152" s="539" t="str">
        <f t="shared" si="2"/>
        <v>-</v>
      </c>
      <c r="M152" s="542"/>
    </row>
    <row r="153" spans="1:13" ht="15.6">
      <c r="A153" s="312">
        <v>121</v>
      </c>
      <c r="B153" s="312" t="str">
        <f>IFERROR(IF($A153&lt;'DWV PVC'!$A$317,VLOOKUP($A153,'DWV PVC'!$A$9:$M$316,4,FALSE),
IF($A153&lt;'DWV ABS'!$A$117,VLOOKUP($A153,'DWV ABS'!$A$8:$M$116,4,FALSE),
IF($A153&lt;'PVC SCH40'!$A$425,VLOOKUP($A153,'PVC SCH40'!$A$8:$M$424,4,FALSE),
IF($A153&lt;'PVC SCH40 LD'!$A$22,VLOOKUP($A153,'PVC SCH40 LD'!$A$8:$M$21,4,FALSE),
IF($A153&lt;'Pool &amp; SPA Sweep Elbows'!$A$12,VLOOKUP($A153,'Pool &amp; SPA Sweep Elbows'!$A$8:$M$11,4,FALSE),
IF($A153&lt;'Pool &amp; SPA Pipe Extender'!$A$11,VLOOKUP($A153,'Pool &amp; SPA Pipe Extender'!$A$8:$M$10,4,FALSE),
IF($A153&lt;'PVC SCH80'!$A$250,VLOOKUP($A153,'PVC SCH80'!$A$8:$M$249,4,FALSE),
IF($A153&lt;'PVC SCH80 Flange'!$A$49,VLOOKUP($A153,'PVC SCH80 Flange'!$A$8:$M$48,4,FALSE),
IF($A153&lt;'PVC SCH80 LD Flange'!$A$17,VLOOKUP($A153,'PVC SCH80 LD Flange'!$A$8:$M$16,4,FALSE),
IF($A153&lt;CPVC!$A$105,VLOOKUP($A153,CPVC!$A$9:$M$104,4,FALSE),
IF($A153&lt;InsertFittings!$A$185,VLOOKUP($A153,InsertFittings!$A$9:$M$184,4,FALSE),
IF($A153&lt;Valves!$A$92,VLOOKUP($A153,Valves!$A$9:$Q$91,4,FALSE),
IF($A153&lt;SDR35SW!$A$133,VLOOKUP($A153,SDR35SW!$A$9:$M$132,4,FALSE),
IF($A153&lt;SDR35G!$A$151,VLOOKUP($A153,SDR35G!$A$9:$M$150,4,FALSE),
IF($A153&lt;SDR26G!$A$67,VLOOKUP($A153,SDR26G!$A$9:$N$66,5,FALSE),
IF($A153&lt;Cements!$A$95,VLOOKUP($A153,Cements!$A$8:$Q$94,4,FALSE),
IF($A153&lt;ValveBox!$A$124,VLOOKUP($A153,ValveBox!$A$9:$O$123,4,FALSE),
IF($A153&lt;'ValveBox Components'!$A$142,VLOOKUP($A153,'ValveBox Components'!$A$9:$N$141,4,FALSE),
IF($A153&lt;Drainage!$A$69,VLOOKUP($A153,Drainage!$A$8:$M$68,4,FALSE),
IF($A153&lt;Nipples!$A$82,VLOOKUP($A153,Nipples!$A$9:$Q$81,4,FALSE),
IF($A153&lt;Manifold!$A$33,VLOOKUP($A153,Manifold!$A$9:$M$32,4,FALSE),
IF($A153&lt;FlexibleRepairCouplings!$A$12,VLOOKUP($A153,FlexibleRepairCouplings!$A$9:$M$11,4,FALSE),
IF($A153&lt;DuraFix!$A$15,VLOOKUP($A153,DuraFix!$A$9:$M$14,4,FALSE),
IF($A153&lt;'Compression Fittings'!$A$16,VLOOKUP($A153,'Compression Fittings'!$A$8:$M$15,4,FALSE),
IF($A153&lt;'Hose Fittings'!$A$30,VLOOKUP($A153,'Hose Fittings'!$A$8:$M$29,4,FALSE),
IF($A153&lt;'Swing Joints'!$A$495,VLOOKUP($A153,'Swing Joints'!$A$9:$M$494,4,FALSE),
IF($A153&lt;'Swing Joints Components'!$A$135,VLOOKUP($A153,'Swing Joints Components'!$A$9:$M$134,4,FALSE),
IF($A153&lt;Nonstandard!$A$42,VLOOKUP($A153,Nonstandard!$A$31:$J$41,5,FALSE),"")))))))))))))))))))))))))))),"")</f>
        <v/>
      </c>
      <c r="C153" s="312" t="str">
        <f>IFERROR(IF($A153&lt;'DWV PVC'!$A$317,VLOOKUP($A153,'DWV PVC'!$A$9:$M$316,5,FALSE),
IF($A153&lt;'DWV ABS'!$A$117,VLOOKUP($A153,'DWV ABS'!$A$8:$M$116,5,FALSE),
IF($A153&lt;'PVC SCH40'!$A$425,VLOOKUP($A153,'PVC SCH40'!$A$8:$M$424,5,FALSE),
IF($A153&lt;'PVC SCH40 LD'!$A$22,VLOOKUP($A153,'PVC SCH40 LD'!$A$8:$M$21,5,FALSE),
IF($A153&lt;'Pool &amp; SPA Sweep Elbows'!$A$12,VLOOKUP($A153,'Pool &amp; SPA Sweep Elbows'!$A$8:$M$11,5,FALSE),
IF($A153&lt;'Pool &amp; SPA Pipe Extender'!$A$11,VLOOKUP($A153,'Pool &amp; SPA Pipe Extender'!$A$8:$M$10,5,FALSE),
IF($A153&lt;'PVC SCH80'!$A$250,VLOOKUP($A153,'PVC SCH80'!$A$8:$M$249,5,FALSE),
IF($A153&lt;'PVC SCH80 Flange'!$A$49,VLOOKUP($A153,'PVC SCH80 Flange'!$A$8:$M$48,5,FALSE),
IF($A153&lt;'PVC SCH80 LD Flange'!$A$17,VLOOKUP($A153,'PVC SCH80 LD Flange'!$A$8:$M$16,5,FALSE),
IF($A153&lt;CPVC!$A$105,VLOOKUP($A153,CPVC!$A$9:$M$104,5,FALSE),
IF($A153&lt;InsertFittings!$A$185,VLOOKUP($A153,InsertFittings!$A$9:$M$184,5,FALSE),
IF($A153&lt;Valves!$A$92,VLOOKUP($A153,Valves!$A$9:$Q$91,5,FALSE),
IF($A153&lt;SDR35SW!$A$133,VLOOKUP($A153,SDR35SW!$A$9:$M$132,5,FALSE),
IF($A153&lt;SDR35G!$A$151,VLOOKUP($A153,SDR35G!$A$9:$M$150,5,FALSE),
IF($A153&lt;SDR26G!$A$67,VLOOKUP($A153,SDR26G!$A$9:$N$66,6,FALSE),
IF($A153&lt;Cements!$A$95,VLOOKUP($A153,Cements!$A$8:$Q$94,5,FALSE),
IF($A153&lt;ValveBox!$A$124,VLOOKUP($A153,ValveBox!$A$9:$O$123,5,FALSE),
IF($A153&lt;'ValveBox Components'!$A$142,VLOOKUP($A153,'ValveBox Components'!$A$9:$N$141,5,FALSE),
IF($A153&lt;Drainage!$A$69,VLOOKUP($A153,Drainage!$A$8:$M$68,5,FALSE),
IF($A153&lt;Nipples!$A$82,VLOOKUP($A153,Nipples!$A$9:$Q$81,5,FALSE),
IF($A153&lt;Manifold!$A$33,VLOOKUP($A153,Manifold!$A$9:$M$32,5,FALSE),
IF($A153&lt;FlexibleRepairCouplings!$A$12,VLOOKUP($A153,FlexibleRepairCouplings!$A$9:$M$11,5,FALSE),
IF($A153&lt;DuraFix!$A$15,VLOOKUP($A153,DuraFix!$A$9:$M$14,5,FALSE),
IF($A153&lt;'Compression Fittings'!$A$16,VLOOKUP($A153,'Compression Fittings'!$A$8:$M$15,5,FALSE),
IF($A153&lt;'Hose Fittings'!$A$30,VLOOKUP($A153,'Hose Fittings'!$A$8:$M$29,5,FALSE),
IF($A153&lt;'Swing Joints'!$A$495,VLOOKUP($A153,'Swing Joints'!$A$9:$M$494,5,FALSE),
IF($A153&lt;'Swing Joints Components'!$A$135,VLOOKUP($A153,'Swing Joints Components'!$A$9:$M$134,5,FALSE),
IF($A153&lt;Nonstandard!$A$42,VLOOKUP($A153,Nonstandard!$A$31:$J$41,6,FALSE),"")))))))))))))))))))))))))))),"")</f>
        <v/>
      </c>
      <c r="D153" s="534" t="str">
        <f>IFERROR(IF($A153&lt;'DWV PVC'!$A$317,VLOOKUP($A153,'DWV PVC'!$A$9:$M$316,6,FALSE),
IF($A153&lt;'DWV ABS'!$A$117,VLOOKUP($A153,'DWV ABS'!$A$8:$M$116,6,FALSE),
IF($A153&lt;'PVC SCH40'!$A$425,VLOOKUP($A153,'PVC SCH40'!$A$8:$M$424,6,FALSE),
IF($A153&lt;'PVC SCH40 LD'!$A$22,VLOOKUP($A153,'PVC SCH40 LD'!$A$8:$M$21,6,FALSE),
IF($A153&lt;'Pool &amp; SPA Sweep Elbows'!$A$12,VLOOKUP($A153,'Pool &amp; SPA Sweep Elbows'!$A$8:$M$11,6,FALSE),
IF($A153&lt;'Pool &amp; SPA Pipe Extender'!$A$11,VLOOKUP($A153,'Pool &amp; SPA Pipe Extender'!$A$8:$M$10,6,FALSE),
IF($A153&lt;'PVC SCH80'!$A$250,VLOOKUP($A153,'PVC SCH80'!$A$8:$M$249,6,FALSE),
IF($A153&lt;'PVC SCH80 Flange'!$A$49,VLOOKUP($A153,'PVC SCH80 Flange'!$A$8:$M$48,6,FALSE),
IF($A153&lt;'PVC SCH80 LD Flange'!$A$17,VLOOKUP($A153,'PVC SCH80 LD Flange'!$A$8:$M$16,6,FALSE),
IF($A153&lt;CPVC!$A$105,VLOOKUP($A153,CPVC!$A$9:$M$104,6,FALSE),
IF($A153&lt;InsertFittings!$A$185,VLOOKUP($A153,InsertFittings!$A$9:$M$184,6,FALSE),
IF($A153&lt;Valves!$A$92,VLOOKUP($A153,Valves!$A$9:$Q$91,6,FALSE),
IF($A153&lt;SDR35SW!$A$133,VLOOKUP($A153,SDR35SW!$A$9:$M$132,6,FALSE),
IF($A153&lt;SDR35G!$A$151,VLOOKUP($A153,SDR35G!$A$9:$M$150,6,FALSE),
IF($A153&lt;SDR26G!$A$67,VLOOKUP($A153,SDR26G!$A$9:$N$66,7,FALSE),
IF($A153&lt;Cements!$A$95,VLOOKUP($A153,Cements!$A$8:$Q$94,6,FALSE),
IF($A153&lt;ValveBox!$A$124,VLOOKUP($A153,ValveBox!$A$9:$O$123,6,FALSE),
IF($A153&lt;'ValveBox Components'!$A$142,VLOOKUP($A153,'ValveBox Components'!$A$9:$N$141,6,FALSE),
IF($A153&lt;Drainage!$A$69,VLOOKUP($A153,Drainage!$A$8:$M$68,6,FALSE),
IF($A153&lt;Nipples!$A$82,VLOOKUP($A153,Nipples!$A$9:$Q$81,6,FALSE),
IF($A153&lt;Manifold!$A$33,VLOOKUP($A153,Manifold!$A$9:$M$32,6,FALSE),
IF($A153&lt;FlexibleRepairCouplings!$A$12,VLOOKUP($A153,FlexibleRepairCouplings!$A$9:$M$11,6,FALSE),
IF($A153&lt;DuraFix!$A$15,VLOOKUP($A153,DuraFix!$A$9:$M$14,6,FALSE),
IF($A153&lt;'Compression Fittings'!$A$16,VLOOKUP($A153,'Compression Fittings'!$A$8:$M$15,6,FALSE),
IF($A153&lt;'Hose Fittings'!$A$30,VLOOKUP($A153,'Hose Fittings'!$A$8:$M$29,6,FALSE),
IF($A153&lt;'Swing Joints'!$A$495,VLOOKUP($A153,'Swing Joints'!$A$9:$M$494,6,FALSE),
IF($A153&lt;'Swing Joints Components'!$A$135,VLOOKUP($A153,'Swing Joints Components'!$A$9:$M$134,6,FALSE),
IF($A153&lt;Nonstandard!$A$42,VLOOKUP($A153,Nonstandard!$A$31:$J$41,7,FALSE),"")))))))))))))))))))))))))))),"")</f>
        <v/>
      </c>
      <c r="E153" s="316"/>
      <c r="F153" s="314" t="str">
        <f>IFERROR(IF($A153&lt;'DWV PVC'!$A$317,VLOOKUP($A153,'DWV PVC'!$A$9:$M$316,9,FALSE),
IF($A153&lt;'DWV ABS'!$A$117,VLOOKUP($A153,'DWV ABS'!$A$8:$M$116,9,FALSE),                                                                                                                                                                                                                                                     IF($A153&lt;'PVC SCH40'!$A$425,VLOOKUP($A153,'PVC SCH40'!$A$8:$M$424,9,FALSE),
IF($A153&lt;'PVC SCH40 LD'!$A$22,VLOOKUP($A153,'PVC SCH40 LD'!$A$8:$M$21,9,FALSE),
IF($A153&lt;'Pool &amp; SPA Sweep Elbows'!$A$12,VLOOKUP($A153,'Pool &amp; SPA Sweep Elbows'!$A$8:$M$11,9,FALSE),
IF($A153&lt;'Pool &amp; SPA Pipe Extender'!$A$11,VLOOKUP($A153,'Pool &amp; SPA Pipe Extender'!$A$8:$M$10,9,FALSE),
IF($A153&lt;'PVC SCH80'!$A$250,VLOOKUP($A153,'PVC SCH80'!$A$8:$M$249,9,FALSE),
IF($A153&lt;'PVC SCH80 Flange'!$A$49,VLOOKUP($A153,'PVC SCH80 Flange'!$A$8:$M$48,9,FALSE),
IF($A153&lt;'PVC SCH80 LD Flange'!$A$17,VLOOKUP($A153,'PVC SCH80 LD Flange'!$A$8:$M$16,9,FALSE),
IF($A153&lt;CPVC!$A$105,VLOOKUP($A153,CPVC!$A$9:$M$104,9,FALSE),
IF($A153&lt;InsertFittings!$A$185,VLOOKUP($A153,InsertFittings!$A$9:$M$184,9,FALSE),
IF($A153&lt;Valves!$A$92,VLOOKUP($A153,Valves!$A$9:$Q$91,13,FALSE),
IF($A153&lt;SDR35SW!$A$133,VLOOKUP($A153,SDR35SW!$A$9:$M$132,9,FALSE),
IF($A153&lt;SDR35G!$A$151,VLOOKUP($A153,SDR35G!$A$9:$M$150,9,FALSE),                                                                                                                                                                                                                                                          IF($A153&lt;SDR26G!$A$67,VLOOKUP($A153,SDR26G!$A$9:$N$66,10,FALSE),                                                                                                                                                                                                                                                       IF($A153&lt;Cements!$A$95,VLOOKUP($A153,Cements!$A$8:$Q$94,13,FALSE),
IF($A153&lt;ValveBox!$A$124,VLOOKUP($A153,ValveBox!$A$9:$O$123,11,FALSE),
IF($A153&lt;'ValveBox Components'!$A$142,VLOOKUP($A153,'ValveBox Components'!$A$9:$N$141,10,FALSE),
IF($A153&lt;Drainage!$A$69,VLOOKUP($A153,Drainage!$A$8:$M$68,9,FALSE),                                                                                                                                                                                                                                                              IF($A153&lt;Nipples!$A$82,VLOOKUP($A153,Nipples!$A$9:$Q$81,13,FALSE),
IF($A153&lt;Manifold!$A$33,VLOOKUP($A153,Manifold!$A$9:$M$32,9,FALSE),
IF($A153&lt;FlexibleRepairCouplings!$A$12,VLOOKUP($A153,FlexibleRepairCouplings!$A$9:$M$11,9,FALSE),
IF($A153&lt;DuraFix!$A$15,VLOOKUP($A153,DuraFix!$A$9:$M$14,9,FALSE),                                                                                                                                                                                                                                                          IF($A153&lt;'Compression Fittings'!$A$16,VLOOKUP($A153,'Compression Fittings'!$A$8:$M$15,9,FALSE),
IF($A153&lt;'Hose Fittings'!$A$30,VLOOKUP($A153,'Hose Fittings'!$A$8:$M$29,9,FALSE),
IF($A153&lt;'Swing Joints'!$A$495,VLOOKUP($A153,'Swing Joints'!$A$9:$M$494,9,FALSE),
IF($A153&lt;'Swing Joints Components'!$A$135,VLOOKUP($A153,'Swing Joints Components'!$A$9:$M$134,9,FALSE),
IF($A153&lt;Nonstandard!$A$42,VLOOKUP($A153,Nonstandard!$A$31:$J$41,8,FALSE),"")))))))))))))))))))))))))))),"")</f>
        <v/>
      </c>
      <c r="G153" s="533" t="str">
        <f>IFERROR(IF($A153&lt;'DWV PVC'!$A$317,VLOOKUP($A153,'DWV PVC'!$A$9:$M$316,11,FALSE),
IF($A153&lt;'DWV ABS'!$A$117,VLOOKUP($A153,'DWV ABS'!$A$8:$M$116,11,FALSE),                                                                                                                                                                                                                                                     IF($A153&lt;'PVC SCH40'!$A$425,VLOOKUP($A153,'PVC SCH40'!$A$8:$M$424,11,FALSE),
IF($A153&lt;'PVC SCH40 LD'!$A$22,VLOOKUP($A153,'PVC SCH40 LD'!$A$8:$M$21,11,FALSE),
IF($A153&lt;'Pool &amp; SPA Sweep Elbows'!$A$12,VLOOKUP($A153,'Pool &amp; SPA Sweep Elbows'!$A$8:$M$11,11,FALSE),
IF($A153&lt;'Pool &amp; SPA Pipe Extender'!$A$11,VLOOKUP($A153,'Pool &amp; SPA Pipe Extender'!$A$8:$M$10,11,FALSE),
IF($A153&lt;'PVC SCH80'!$A$250,VLOOKUP($A153,'PVC SCH80'!$A$8:$M$249,11,FALSE),
IF($A153&lt;'PVC SCH80 Flange'!$A$49,VLOOKUP($A153,'PVC SCH80 Flange'!$A$8:$M$48,11,FALSE),
IF($A153&lt;'PVC SCH80 LD Flange'!$A$17,VLOOKUP($A153,'PVC SCH80 LD Flange'!$A$8:$M$16,11,FALSE),
IF($A153&lt;CPVC!$A$105,VLOOKUP($A153,CPVC!$A$9:$M$104,11,FALSE),
IF($A153&lt;InsertFittings!$A$185,VLOOKUP($A153,InsertFittings!$A$9:$M$184,11,FALSE),
IF($A153&lt;Valves!$A$92,VLOOKUP($A153,Valves!$A$9:$Q$91,15,FALSE),
IF($A153&lt;SDR35SW!$A$133,VLOOKUP($A153,SDR35SW!$A$9:$M$132,11,FALSE),
IF($A153&lt;SDR35G!$A$151,VLOOKUP($A153,SDR35G!$A$9:$M$150,11,FALSE),                                                                                                                                                                                                                                                          IF($A153&lt;SDR26G!$A$67,VLOOKUP($A153,SDR26G!$A$9:$N$66,12,FALSE),                                                                                                                                                                                                                                                       IF($A153&lt;Cements!$A$95,VLOOKUP($A153,Cements!$A$8:$Q$94,15,FALSE),
IF($A153&lt;ValveBox!$A$124,VLOOKUP($A153,ValveBox!$A$9:$O$123,13,FALSE),
IF($A153&lt;'ValveBox Components'!$A$142,VLOOKUP($A153,'ValveBox Components'!$A$9:$N$141,12,FALSE),
IF($A153&lt;Drainage!$A$69,VLOOKUP($A153,Drainage!$A$8:$M$68,11,FALSE),                                                                                                                                                                                                                                                           IF($A153&lt;Nipples!$A$82,VLOOKUP($A153,Nipples!$A$9:$Q$81,15,FALSE),
IF($A153&lt;Manifold!$A$33,VLOOKUP($A153,Manifold!$A$9:$M$32,11,FALSE),
IF($A153&lt;FlexibleRepairCouplings!$A$12,VLOOKUP($A153,FlexibleRepairCouplings!$A$9:$M$11,11,FALSE),
IF($A153&lt;DuraFix!$A$15,VLOOKUP($A153,DuraFix!$A$9:$M$14,11,FALSE),                                                                                                                                                                                                                                                            IF($A153&lt;'Compression Fittings'!$A$16,VLOOKUP($A153,'Compression Fittings'!$A$8:$M$15,11,FALSE),
IF($A153&lt;'Hose Fittings'!$A$30,VLOOKUP($A153,'Hose Fittings'!$A$8:$M$29,11,FALSE),
IF($A153&lt;'Swing Joints'!$A$495,VLOOKUP($A153,'Swing Joints'!$A$9:$M$494,11,FALSE),
IF($A153&lt;'Swing Joints Components'!$A$135,VLOOKUP($A153,'Swing Joints Components'!$A$9:$M$134,11,FALSE),
IF($A153&lt;Nonstandard!$A$42,VLOOKUP($A153,Nonstandard!$A$31:$J$41,10,FALSE),"")))))))))))))))))))))))))))),"")</f>
        <v/>
      </c>
      <c r="H153" s="618" t="str">
        <f>IFERROR(IF($A153&lt;'DWV PVC'!$A$317,VLOOKUP($A153,'DWV PVC'!$A$9:$M$316,7,FALSE),
IF($A153&lt;'DWV ABS'!$A$117,VLOOKUP($A153,'DWV ABS'!$A$8:$M$116,11,FALSE),                                                                                                                                                                                                                                                     IF($A153&lt;'PVC SCH40'!$A$425,VLOOKUP($A153,'PVC SCH40'!$A$8:$M$424,7,FALSE),
IF($A153&lt;'PVC SCH40 LD'!$A$22,VLOOKUP($A153,'PVC SCH40 LD'!$A$8:$M$21,7,FALSE),
IF($A153&lt;'Pool &amp; SPA Sweep Elbows'!$A$12,VLOOKUP($A153,'Pool &amp; SPA Sweep Elbows'!$A$8:$M$11,7,FALSE),
IF($A153&lt;'Pool &amp; SPA Pipe Extender'!$A$11,VLOOKUP($A153,'Pool &amp; SPA Pipe Extender'!$A$8:$M$10,7,FALSE),
IF($A153&lt;'PVC SCH80'!$A$250,VLOOKUP($A153,'PVC SCH80'!$A$8:$M$249,7,FALSE),
IF($A153&lt;'PVC SCH80 Flange'!$A$49,VLOOKUP($A153,'PVC SCH80 Flange'!$A$8:$M$48,7,FALSE),
IF($A153&lt;'PVC SCH80 LD Flange'!$A$17,VLOOKUP($A153,'PVC SCH80 LD Flange'!$A$8:$M$16,7,FALSE),
IF($A153&lt;CPVC!$A$105,VLOOKUP($A153,CPVC!$A$9:$M$104,7,FALSE),
IF($A153&lt;InsertFittings!$A$185,VLOOKUP($A153,InsertFittings!$A$9:$M$184,7,FALSE),
IF($A153&lt;Valves!$A$92,VLOOKUP($A153,Valves!$A$9:$Q$91,11,FALSE),
IF($A153&lt;SDR35SW!$A$133,VLOOKUP($A153,SDR35SW!$A$9:$M$132,7,FALSE),
IF($A153&lt;SDR35G!$A$151,VLOOKUP($A153,SDR35G!$A$9:$M$150,7,FALSE),                                                                                                                                                                                                                                                       IF($A153&lt;SDR26G!$A$67,VLOOKUP($A153,SDR26G!$A$9:$N$66,8,FALSE),                                                                                                                                                                                                                                                     IF($A153&lt;Cements!$A$95,VLOOKUP($A153,Cements!$A$8:$Q$94,11,FALSE),
IF($A153&lt;ValveBox!$A$124,VLOOKUP($A153,ValveBox!$A$9:$O$123,10,FALSE),
IF($A153&lt;'ValveBox Components'!$A$142,VLOOKUP($A153,'ValveBox Components'!$A$9:$N$141,9,FALSE),
IF($A153&lt;Drainage!$A$69,VLOOKUP($A153,Drainage!$A$8:$M$68,7,FALSE),                                                                                                                                                                                                                                                          IF($A153&lt;Nipples!$A$82,VLOOKUP($A153,Nipples!$A$9:$Q$81,11,FALSE),
IF($A153&lt;Manifold!$A$33,VLOOKUP($A153,Manifold!$A$9:$M$32,7,FALSE),
IF($A153&lt;FlexibleRepairCouplings!$A$12,VLOOKUP($A153,FlexibleRepairCouplings!$A$9:$M$11,7,FALSE),
IF($A153&lt;DuraFix!$A$15,VLOOKUP($A153,DuraFix!$A$9:$M$14,7,FALSE),                                                                                                                                                                                                                                                           IF($A153&lt;'Compression Fittings'!$A$16,VLOOKUP($A153,'Compression Fittings'!$A$8:$M$15,7,FALSE),
IF($A153&lt;'Hose Fittings'!$A$30,VLOOKUP($A153,'Hose Fittings'!$A$8:$M$29,7,FALSE),
IF($A153&lt;'Swing Joints'!$A$495,VLOOKUP($A153,'Swing Joints'!$A$9:$M$494,7,FALSE),
IF($A153&lt;'Swing Joints Components'!$A$135,VLOOKUP($A153,'Swing Joints Components'!$A$9:$M$134,7,FALSE),
IF($A153&lt;Nonstandard!$A$42,VLOOKUP($A153,Nonstandard!$A$31:$J$41,10,FALSE),"")))))))))))))))))))))))))))),"")</f>
        <v/>
      </c>
      <c r="I153" s="619"/>
      <c r="J153" s="281" t="str">
        <f t="shared" si="3"/>
        <v/>
      </c>
      <c r="K153" s="313" t="str">
        <f>IFERROR(IF($A153&lt;'DWV PVC'!$A$317,VLOOKUP($A153,'DWV PVC'!$A$9:$M$316,10,FALSE),
IF($A153&lt;'DWV ABS'!$A$117,VLOOKUP($A153,'DWV ABS'!$A$8:$M$116,10,FALSE),
IF($A153&lt;'PVC SCH40'!$A$425,VLOOKUP($A153,'PVC SCH40'!$A$8:$M$424,10,FALSE),
IF($A153&lt;'PVC SCH40 LD'!$A$22,VLOOKUP($A153,'PVC SCH40 LD'!$A$8:$M$21,10,FALSE),
IF($A153&lt;'Pool &amp; SPA Sweep Elbows'!$A$12,VLOOKUP($A153,'Pool &amp; SPA Sweep Elbows'!$A$8:$M$11,10,FALSE),
IF($A153&lt;'Pool &amp; SPA Pipe Extender'!$A$11,VLOOKUP($A153,'Pool &amp; SPA Pipe Extender'!$A$8:$M$10,10,FALSE),
IF($A153&lt;'PVC SCH80'!$A$250,VLOOKUP($A153,'PVC SCH80'!$A$8:$M$249,10,FALSE),
IF($A153&lt;'PVC SCH80 Flange'!$A$49,VLOOKUP($A153,'PVC SCH80 Flange'!$A$8:$M$48,10,FALSE),
IF($A153&lt;'PVC SCH80 LD Flange'!$A$17,VLOOKUP($A153,'PVC SCH80 LD Flange'!$A$8:$M$16,10,FALSE),
IF($A153&lt;CPVC!$A$105,VLOOKUP($A153,CPVC!$A$9:$M$104,10,FALSE),
IF($A153&lt;InsertFittings!$A$185,VLOOKUP($A153,InsertFittings!$A$9:$M$184,10,FALSE),
IF($A153&lt;Valves!$A$92,VLOOKUP($A153,Valves!$A$9:$Q$91,14,FALSE),
IF($A153&lt;SDR35SW!$A$133,VLOOKUP($A153,SDR35SW!$A$9:$M$132,10,FALSE),
IF($A153&lt;SDR35G!$A$151,VLOOKUP($A153,SDR35G!$A$9:$M$150,10,FALSE),
IF($A153&lt;SDR26G!$A$67,VLOOKUP($A153,SDR26G!$A$9:$N$66,11,FALSE),
IF($A153&lt;Cements!$A$95,VLOOKUP($A153,Cements!$A$8:$Q$94,14,FALSE),
IF($A153&lt;ValveBox!$A$124,VLOOKUP($A153,ValveBox!$A$9:$O$123,12,FALSE),
IF($A153&lt;'ValveBox Components'!$A$142,VLOOKUP($A153,'ValveBox Components'!$A$9:$N$141,11,FALSE),
IF($A153&lt;Drainage!$A$69,VLOOKUP($A153,Drainage!$A$8:$M$68,10,FALSE),
IF($A153&lt;Nipples!$A$82,VLOOKUP($A153,Nipples!$A$9:$Q$81,14,FALSE),
IF($A153&lt;Manifold!$A$33,VLOOKUP($A153,Manifold!$A$9:$M$32,10,FALSE),
IF($A153&lt;FlexibleRepairCouplings!$A$12,VLOOKUP($A153,FlexibleRepairCouplings!$A$9:$M$11,10,FALSE),
IF($A153&lt;DuraFix!$A$15,VLOOKUP($A153,DuraFix!$A$9:$M$14,10,FALSE),
IF($A153&lt;'Compression Fittings'!$A$16,VLOOKUP($A153,'Compression Fittings'!$A$8:$M$15,10,FALSE),
IF($A153&lt;'Hose Fittings'!$A$30,VLOOKUP($A153,'Hose Fittings'!$A$8:$M$29,10,FALSE),
IF($A153&lt;'Swing Joints'!$A$495,VLOOKUP($A153,'Swing Joints'!$A$9:$M$494,10,FALSE),
IF($A153&lt;'Swing Joints Components'!$A$135,VLOOKUP($A153,'Swing Joints Components'!$A$9:$M$134,10,FALSE),
IF($A153&lt;Nonstandard!$A$42,VLOOKUP($A153,Nonstandard!$A$31:$J$41,10,FALSE),"")))))))))))))))))))))))))))),"")</f>
        <v/>
      </c>
      <c r="L153" s="314" t="str">
        <f t="shared" si="2"/>
        <v>-</v>
      </c>
      <c r="M153" s="315"/>
    </row>
    <row r="154" spans="1:13" ht="15.6">
      <c r="A154" s="536">
        <v>122</v>
      </c>
      <c r="B154" s="536" t="str">
        <f>IFERROR(IF($A154&lt;'DWV PVC'!$A$317,VLOOKUP($A154,'DWV PVC'!$A$9:$M$316,4,FALSE),
IF($A154&lt;'DWV ABS'!$A$117,VLOOKUP($A154,'DWV ABS'!$A$8:$M$116,4,FALSE),
IF($A154&lt;'PVC SCH40'!$A$425,VLOOKUP($A154,'PVC SCH40'!$A$8:$M$424,4,FALSE),
IF($A154&lt;'PVC SCH40 LD'!$A$22,VLOOKUP($A154,'PVC SCH40 LD'!$A$8:$M$21,4,FALSE),
IF($A154&lt;'Pool &amp; SPA Sweep Elbows'!$A$12,VLOOKUP($A154,'Pool &amp; SPA Sweep Elbows'!$A$8:$M$11,4,FALSE),
IF($A154&lt;'Pool &amp; SPA Pipe Extender'!$A$11,VLOOKUP($A154,'Pool &amp; SPA Pipe Extender'!$A$8:$M$10,4,FALSE),
IF($A154&lt;'PVC SCH80'!$A$250,VLOOKUP($A154,'PVC SCH80'!$A$8:$M$249,4,FALSE),
IF($A154&lt;'PVC SCH80 Flange'!$A$49,VLOOKUP($A154,'PVC SCH80 Flange'!$A$8:$M$48,4,FALSE),
IF($A154&lt;'PVC SCH80 LD Flange'!$A$17,VLOOKUP($A154,'PVC SCH80 LD Flange'!$A$8:$M$16,4,FALSE),
IF($A154&lt;CPVC!$A$105,VLOOKUP($A154,CPVC!$A$9:$M$104,4,FALSE),
IF($A154&lt;InsertFittings!$A$185,VLOOKUP($A154,InsertFittings!$A$9:$M$184,4,FALSE),
IF($A154&lt;Valves!$A$92,VLOOKUP($A154,Valves!$A$9:$Q$91,4,FALSE),
IF($A154&lt;SDR35SW!$A$133,VLOOKUP($A154,SDR35SW!$A$9:$M$132,4,FALSE),
IF($A154&lt;SDR35G!$A$151,VLOOKUP($A154,SDR35G!$A$9:$M$150,4,FALSE),
IF($A154&lt;SDR26G!$A$67,VLOOKUP($A154,SDR26G!$A$9:$N$66,5,FALSE),
IF($A154&lt;Cements!$A$95,VLOOKUP($A154,Cements!$A$8:$Q$94,4,FALSE),
IF($A154&lt;ValveBox!$A$124,VLOOKUP($A154,ValveBox!$A$9:$O$123,4,FALSE),
IF($A154&lt;'ValveBox Components'!$A$142,VLOOKUP($A154,'ValveBox Components'!$A$9:$N$141,4,FALSE),
IF($A154&lt;Drainage!$A$69,VLOOKUP($A154,Drainage!$A$8:$M$68,4,FALSE),
IF($A154&lt;Nipples!$A$82,VLOOKUP($A154,Nipples!$A$9:$Q$81,4,FALSE),
IF($A154&lt;Manifold!$A$33,VLOOKUP($A154,Manifold!$A$9:$M$32,4,FALSE),
IF($A154&lt;FlexibleRepairCouplings!$A$12,VLOOKUP($A154,FlexibleRepairCouplings!$A$9:$M$11,4,FALSE),
IF($A154&lt;DuraFix!$A$15,VLOOKUP($A154,DuraFix!$A$9:$M$14,4,FALSE),
IF($A154&lt;'Compression Fittings'!$A$16,VLOOKUP($A154,'Compression Fittings'!$A$8:$M$15,4,FALSE),
IF($A154&lt;'Hose Fittings'!$A$30,VLOOKUP($A154,'Hose Fittings'!$A$8:$M$29,4,FALSE),
IF($A154&lt;'Swing Joints'!$A$495,VLOOKUP($A154,'Swing Joints'!$A$9:$M$494,4,FALSE),
IF($A154&lt;'Swing Joints Components'!$A$135,VLOOKUP($A154,'Swing Joints Components'!$A$9:$M$134,4,FALSE),
IF($A154&lt;Nonstandard!$A$42,VLOOKUP($A154,Nonstandard!$A$31:$J$41,5,FALSE),"")))))))))))))))))))))))))))),"")</f>
        <v/>
      </c>
      <c r="C154" s="536" t="str">
        <f>IFERROR(IF($A154&lt;'DWV PVC'!$A$317,VLOOKUP($A154,'DWV PVC'!$A$9:$M$316,5,FALSE),
IF($A154&lt;'DWV ABS'!$A$117,VLOOKUP($A154,'DWV ABS'!$A$8:$M$116,5,FALSE),
IF($A154&lt;'PVC SCH40'!$A$425,VLOOKUP($A154,'PVC SCH40'!$A$8:$M$424,5,FALSE),
IF($A154&lt;'PVC SCH40 LD'!$A$22,VLOOKUP($A154,'PVC SCH40 LD'!$A$8:$M$21,5,FALSE),
IF($A154&lt;'Pool &amp; SPA Sweep Elbows'!$A$12,VLOOKUP($A154,'Pool &amp; SPA Sweep Elbows'!$A$8:$M$11,5,FALSE),
IF($A154&lt;'Pool &amp; SPA Pipe Extender'!$A$11,VLOOKUP($A154,'Pool &amp; SPA Pipe Extender'!$A$8:$M$10,5,FALSE),
IF($A154&lt;'PVC SCH80'!$A$250,VLOOKUP($A154,'PVC SCH80'!$A$8:$M$249,5,FALSE),
IF($A154&lt;'PVC SCH80 Flange'!$A$49,VLOOKUP($A154,'PVC SCH80 Flange'!$A$8:$M$48,5,FALSE),
IF($A154&lt;'PVC SCH80 LD Flange'!$A$17,VLOOKUP($A154,'PVC SCH80 LD Flange'!$A$8:$M$16,5,FALSE),
IF($A154&lt;CPVC!$A$105,VLOOKUP($A154,CPVC!$A$9:$M$104,5,FALSE),
IF($A154&lt;InsertFittings!$A$185,VLOOKUP($A154,InsertFittings!$A$9:$M$184,5,FALSE),
IF($A154&lt;Valves!$A$92,VLOOKUP($A154,Valves!$A$9:$Q$91,5,FALSE),
IF($A154&lt;SDR35SW!$A$133,VLOOKUP($A154,SDR35SW!$A$9:$M$132,5,FALSE),
IF($A154&lt;SDR35G!$A$151,VLOOKUP($A154,SDR35G!$A$9:$M$150,5,FALSE),
IF($A154&lt;SDR26G!$A$67,VLOOKUP($A154,SDR26G!$A$9:$N$66,6,FALSE),
IF($A154&lt;Cements!$A$95,VLOOKUP($A154,Cements!$A$8:$Q$94,5,FALSE),
IF($A154&lt;ValveBox!$A$124,VLOOKUP($A154,ValveBox!$A$9:$O$123,5,FALSE),
IF($A154&lt;'ValveBox Components'!$A$142,VLOOKUP($A154,'ValveBox Components'!$A$9:$N$141,5,FALSE),
IF($A154&lt;Drainage!$A$69,VLOOKUP($A154,Drainage!$A$8:$M$68,5,FALSE),
IF($A154&lt;Nipples!$A$82,VLOOKUP($A154,Nipples!$A$9:$Q$81,5,FALSE),
IF($A154&lt;Manifold!$A$33,VLOOKUP($A154,Manifold!$A$9:$M$32,5,FALSE),
IF($A154&lt;FlexibleRepairCouplings!$A$12,VLOOKUP($A154,FlexibleRepairCouplings!$A$9:$M$11,5,FALSE),
IF($A154&lt;DuraFix!$A$15,VLOOKUP($A154,DuraFix!$A$9:$M$14,5,FALSE),
IF($A154&lt;'Compression Fittings'!$A$16,VLOOKUP($A154,'Compression Fittings'!$A$8:$M$15,5,FALSE),
IF($A154&lt;'Hose Fittings'!$A$30,VLOOKUP($A154,'Hose Fittings'!$A$8:$M$29,5,FALSE),
IF($A154&lt;'Swing Joints'!$A$495,VLOOKUP($A154,'Swing Joints'!$A$9:$M$494,5,FALSE),
IF($A154&lt;'Swing Joints Components'!$A$135,VLOOKUP($A154,'Swing Joints Components'!$A$9:$M$134,5,FALSE),
IF($A154&lt;Nonstandard!$A$42,VLOOKUP($A154,Nonstandard!$A$31:$J$41,6,FALSE),"")))))))))))))))))))))))))))),"")</f>
        <v/>
      </c>
      <c r="D154" s="537" t="str">
        <f>IFERROR(IF($A154&lt;'DWV PVC'!$A$317,VLOOKUP($A154,'DWV PVC'!$A$9:$M$316,6,FALSE),
IF($A154&lt;'DWV ABS'!$A$117,VLOOKUP($A154,'DWV ABS'!$A$8:$M$116,6,FALSE),
IF($A154&lt;'PVC SCH40'!$A$425,VLOOKUP($A154,'PVC SCH40'!$A$8:$M$424,6,FALSE),
IF($A154&lt;'PVC SCH40 LD'!$A$22,VLOOKUP($A154,'PVC SCH40 LD'!$A$8:$M$21,6,FALSE),
IF($A154&lt;'Pool &amp; SPA Sweep Elbows'!$A$12,VLOOKUP($A154,'Pool &amp; SPA Sweep Elbows'!$A$8:$M$11,6,FALSE),
IF($A154&lt;'Pool &amp; SPA Pipe Extender'!$A$11,VLOOKUP($A154,'Pool &amp; SPA Pipe Extender'!$A$8:$M$10,6,FALSE),
IF($A154&lt;'PVC SCH80'!$A$250,VLOOKUP($A154,'PVC SCH80'!$A$8:$M$249,6,FALSE),
IF($A154&lt;'PVC SCH80 Flange'!$A$49,VLOOKUP($A154,'PVC SCH80 Flange'!$A$8:$M$48,6,FALSE),
IF($A154&lt;'PVC SCH80 LD Flange'!$A$17,VLOOKUP($A154,'PVC SCH80 LD Flange'!$A$8:$M$16,6,FALSE),
IF($A154&lt;CPVC!$A$105,VLOOKUP($A154,CPVC!$A$9:$M$104,6,FALSE),
IF($A154&lt;InsertFittings!$A$185,VLOOKUP($A154,InsertFittings!$A$9:$M$184,6,FALSE),
IF($A154&lt;Valves!$A$92,VLOOKUP($A154,Valves!$A$9:$Q$91,6,FALSE),
IF($A154&lt;SDR35SW!$A$133,VLOOKUP($A154,SDR35SW!$A$9:$M$132,6,FALSE),
IF($A154&lt;SDR35G!$A$151,VLOOKUP($A154,SDR35G!$A$9:$M$150,6,FALSE),
IF($A154&lt;SDR26G!$A$67,VLOOKUP($A154,SDR26G!$A$9:$N$66,7,FALSE),
IF($A154&lt;Cements!$A$95,VLOOKUP($A154,Cements!$A$8:$Q$94,6,FALSE),
IF($A154&lt;ValveBox!$A$124,VLOOKUP($A154,ValveBox!$A$9:$O$123,6,FALSE),
IF($A154&lt;'ValveBox Components'!$A$142,VLOOKUP($A154,'ValveBox Components'!$A$9:$N$141,6,FALSE),
IF($A154&lt;Drainage!$A$69,VLOOKUP($A154,Drainage!$A$8:$M$68,6,FALSE),
IF($A154&lt;Nipples!$A$82,VLOOKUP($A154,Nipples!$A$9:$Q$81,6,FALSE),
IF($A154&lt;Manifold!$A$33,VLOOKUP($A154,Manifold!$A$9:$M$32,6,FALSE),
IF($A154&lt;FlexibleRepairCouplings!$A$12,VLOOKUP($A154,FlexibleRepairCouplings!$A$9:$M$11,6,FALSE),
IF($A154&lt;DuraFix!$A$15,VLOOKUP($A154,DuraFix!$A$9:$M$14,6,FALSE),
IF($A154&lt;'Compression Fittings'!$A$16,VLOOKUP($A154,'Compression Fittings'!$A$8:$M$15,6,FALSE),
IF($A154&lt;'Hose Fittings'!$A$30,VLOOKUP($A154,'Hose Fittings'!$A$8:$M$29,6,FALSE),
IF($A154&lt;'Swing Joints'!$A$495,VLOOKUP($A154,'Swing Joints'!$A$9:$M$494,6,FALSE),
IF($A154&lt;'Swing Joints Components'!$A$135,VLOOKUP($A154,'Swing Joints Components'!$A$9:$M$134,6,FALSE),
IF($A154&lt;Nonstandard!$A$42,VLOOKUP($A154,Nonstandard!$A$31:$J$41,7,FALSE),"")))))))))))))))))))))))))))),"")</f>
        <v/>
      </c>
      <c r="E154" s="538"/>
      <c r="F154" s="539" t="str">
        <f>IFERROR(IF($A154&lt;'DWV PVC'!$A$317,VLOOKUP($A154,'DWV PVC'!$A$9:$M$316,9,FALSE),
IF($A154&lt;'DWV ABS'!$A$117,VLOOKUP($A154,'DWV ABS'!$A$8:$M$116,9,FALSE),                                                                                                                                                                                                                                                     IF($A154&lt;'PVC SCH40'!$A$425,VLOOKUP($A154,'PVC SCH40'!$A$8:$M$424,9,FALSE),
IF($A154&lt;'PVC SCH40 LD'!$A$22,VLOOKUP($A154,'PVC SCH40 LD'!$A$8:$M$21,9,FALSE),
IF($A154&lt;'Pool &amp; SPA Sweep Elbows'!$A$12,VLOOKUP($A154,'Pool &amp; SPA Sweep Elbows'!$A$8:$M$11,9,FALSE),
IF($A154&lt;'Pool &amp; SPA Pipe Extender'!$A$11,VLOOKUP($A154,'Pool &amp; SPA Pipe Extender'!$A$8:$M$10,9,FALSE),
IF($A154&lt;'PVC SCH80'!$A$250,VLOOKUP($A154,'PVC SCH80'!$A$8:$M$249,9,FALSE),
IF($A154&lt;'PVC SCH80 Flange'!$A$49,VLOOKUP($A154,'PVC SCH80 Flange'!$A$8:$M$48,9,FALSE),
IF($A154&lt;'PVC SCH80 LD Flange'!$A$17,VLOOKUP($A154,'PVC SCH80 LD Flange'!$A$8:$M$16,9,FALSE),
IF($A154&lt;CPVC!$A$105,VLOOKUP($A154,CPVC!$A$9:$M$104,9,FALSE),
IF($A154&lt;InsertFittings!$A$185,VLOOKUP($A154,InsertFittings!$A$9:$M$184,9,FALSE),
IF($A154&lt;Valves!$A$92,VLOOKUP($A154,Valves!$A$9:$Q$91,13,FALSE),
IF($A154&lt;SDR35SW!$A$133,VLOOKUP($A154,SDR35SW!$A$9:$M$132,9,FALSE),
IF($A154&lt;SDR35G!$A$151,VLOOKUP($A154,SDR35G!$A$9:$M$150,9,FALSE),                                                                                                                                                                                                                                                          IF($A154&lt;SDR26G!$A$67,VLOOKUP($A154,SDR26G!$A$9:$N$66,10,FALSE),                                                                                                                                                                                                                                                       IF($A154&lt;Cements!$A$95,VLOOKUP($A154,Cements!$A$8:$Q$94,13,FALSE),
IF($A154&lt;ValveBox!$A$124,VLOOKUP($A154,ValveBox!$A$9:$O$123,11,FALSE),
IF($A154&lt;'ValveBox Components'!$A$142,VLOOKUP($A154,'ValveBox Components'!$A$9:$N$141,10,FALSE),
IF($A154&lt;Drainage!$A$69,VLOOKUP($A154,Drainage!$A$8:$M$68,9,FALSE),                                                                                                                                                                                                                                                              IF($A154&lt;Nipples!$A$82,VLOOKUP($A154,Nipples!$A$9:$Q$81,13,FALSE),
IF($A154&lt;Manifold!$A$33,VLOOKUP($A154,Manifold!$A$9:$M$32,9,FALSE),
IF($A154&lt;FlexibleRepairCouplings!$A$12,VLOOKUP($A154,FlexibleRepairCouplings!$A$9:$M$11,9,FALSE),
IF($A154&lt;DuraFix!$A$15,VLOOKUP($A154,DuraFix!$A$9:$M$14,9,FALSE),                                                                                                                                                                                                                                                          IF($A154&lt;'Compression Fittings'!$A$16,VLOOKUP($A154,'Compression Fittings'!$A$8:$M$15,9,FALSE),
IF($A154&lt;'Hose Fittings'!$A$30,VLOOKUP($A154,'Hose Fittings'!$A$8:$M$29,9,FALSE),
IF($A154&lt;'Swing Joints'!$A$495,VLOOKUP($A154,'Swing Joints'!$A$9:$M$494,9,FALSE),
IF($A154&lt;'Swing Joints Components'!$A$135,VLOOKUP($A154,'Swing Joints Components'!$A$9:$M$134,9,FALSE),
IF($A154&lt;Nonstandard!$A$42,VLOOKUP($A154,Nonstandard!$A$31:$J$41,8,FALSE),"")))))))))))))))))))))))))))),"")</f>
        <v/>
      </c>
      <c r="G154" s="540" t="str">
        <f>IFERROR(IF($A154&lt;'DWV PVC'!$A$317,VLOOKUP($A154,'DWV PVC'!$A$9:$M$316,11,FALSE),
IF($A154&lt;'DWV ABS'!$A$117,VLOOKUP($A154,'DWV ABS'!$A$8:$M$116,11,FALSE),                                                                                                                                                                                                                                                     IF($A154&lt;'PVC SCH40'!$A$425,VLOOKUP($A154,'PVC SCH40'!$A$8:$M$424,11,FALSE),
IF($A154&lt;'PVC SCH40 LD'!$A$22,VLOOKUP($A154,'PVC SCH40 LD'!$A$8:$M$21,11,FALSE),
IF($A154&lt;'Pool &amp; SPA Sweep Elbows'!$A$12,VLOOKUP($A154,'Pool &amp; SPA Sweep Elbows'!$A$8:$M$11,11,FALSE),
IF($A154&lt;'Pool &amp; SPA Pipe Extender'!$A$11,VLOOKUP($A154,'Pool &amp; SPA Pipe Extender'!$A$8:$M$10,11,FALSE),
IF($A154&lt;'PVC SCH80'!$A$250,VLOOKUP($A154,'PVC SCH80'!$A$8:$M$249,11,FALSE),
IF($A154&lt;'PVC SCH80 Flange'!$A$49,VLOOKUP($A154,'PVC SCH80 Flange'!$A$8:$M$48,11,FALSE),
IF($A154&lt;'PVC SCH80 LD Flange'!$A$17,VLOOKUP($A154,'PVC SCH80 LD Flange'!$A$8:$M$16,11,FALSE),
IF($A154&lt;CPVC!$A$105,VLOOKUP($A154,CPVC!$A$9:$M$104,11,FALSE),
IF($A154&lt;InsertFittings!$A$185,VLOOKUP($A154,InsertFittings!$A$9:$M$184,11,FALSE),
IF($A154&lt;Valves!$A$92,VLOOKUP($A154,Valves!$A$9:$Q$91,15,FALSE),
IF($A154&lt;SDR35SW!$A$133,VLOOKUP($A154,SDR35SW!$A$9:$M$132,11,FALSE),
IF($A154&lt;SDR35G!$A$151,VLOOKUP($A154,SDR35G!$A$9:$M$150,11,FALSE),                                                                                                                                                                                                                                                          IF($A154&lt;SDR26G!$A$67,VLOOKUP($A154,SDR26G!$A$9:$N$66,12,FALSE),                                                                                                                                                                                                                                                       IF($A154&lt;Cements!$A$95,VLOOKUP($A154,Cements!$A$8:$Q$94,15,FALSE),
IF($A154&lt;ValveBox!$A$124,VLOOKUP($A154,ValveBox!$A$9:$O$123,13,FALSE),
IF($A154&lt;'ValveBox Components'!$A$142,VLOOKUP($A154,'ValveBox Components'!$A$9:$N$141,12,FALSE),
IF($A154&lt;Drainage!$A$69,VLOOKUP($A154,Drainage!$A$8:$M$68,11,FALSE),                                                                                                                                                                                                                                                           IF($A154&lt;Nipples!$A$82,VLOOKUP($A154,Nipples!$A$9:$Q$81,15,FALSE),
IF($A154&lt;Manifold!$A$33,VLOOKUP($A154,Manifold!$A$9:$M$32,11,FALSE),
IF($A154&lt;FlexibleRepairCouplings!$A$12,VLOOKUP($A154,FlexibleRepairCouplings!$A$9:$M$11,11,FALSE),
IF($A154&lt;DuraFix!$A$15,VLOOKUP($A154,DuraFix!$A$9:$M$14,11,FALSE),                                                                                                                                                                                                                                                            IF($A154&lt;'Compression Fittings'!$A$16,VLOOKUP($A154,'Compression Fittings'!$A$8:$M$15,11,FALSE),
IF($A154&lt;'Hose Fittings'!$A$30,VLOOKUP($A154,'Hose Fittings'!$A$8:$M$29,11,FALSE),
IF($A154&lt;'Swing Joints'!$A$495,VLOOKUP($A154,'Swing Joints'!$A$9:$M$494,11,FALSE),
IF($A154&lt;'Swing Joints Components'!$A$135,VLOOKUP($A154,'Swing Joints Components'!$A$9:$M$134,11,FALSE),
IF($A154&lt;Nonstandard!$A$42,VLOOKUP($A154,Nonstandard!$A$31:$J$41,10,FALSE),"")))))))))))))))))))))))))))),"")</f>
        <v/>
      </c>
      <c r="H154" s="620" t="str">
        <f>IFERROR(IF($A154&lt;'DWV PVC'!$A$317,VLOOKUP($A154,'DWV PVC'!$A$9:$M$316,7,FALSE),
IF($A154&lt;'DWV ABS'!$A$117,VLOOKUP($A154,'DWV ABS'!$A$8:$M$116,11,FALSE),                                                                                                                                                                                                                                                     IF($A154&lt;'PVC SCH40'!$A$425,VLOOKUP($A154,'PVC SCH40'!$A$8:$M$424,7,FALSE),
IF($A154&lt;'PVC SCH40 LD'!$A$22,VLOOKUP($A154,'PVC SCH40 LD'!$A$8:$M$21,7,FALSE),
IF($A154&lt;'Pool &amp; SPA Sweep Elbows'!$A$12,VLOOKUP($A154,'Pool &amp; SPA Sweep Elbows'!$A$8:$M$11,7,FALSE),
IF($A154&lt;'Pool &amp; SPA Pipe Extender'!$A$11,VLOOKUP($A154,'Pool &amp; SPA Pipe Extender'!$A$8:$M$10,7,FALSE),
IF($A154&lt;'PVC SCH80'!$A$250,VLOOKUP($A154,'PVC SCH80'!$A$8:$M$249,7,FALSE),
IF($A154&lt;'PVC SCH80 Flange'!$A$49,VLOOKUP($A154,'PVC SCH80 Flange'!$A$8:$M$48,7,FALSE),
IF($A154&lt;'PVC SCH80 LD Flange'!$A$17,VLOOKUP($A154,'PVC SCH80 LD Flange'!$A$8:$M$16,7,FALSE),
IF($A154&lt;CPVC!$A$105,VLOOKUP($A154,CPVC!$A$9:$M$104,7,FALSE),
IF($A154&lt;InsertFittings!$A$185,VLOOKUP($A154,InsertFittings!$A$9:$M$184,7,FALSE),
IF($A154&lt;Valves!$A$92,VLOOKUP($A154,Valves!$A$9:$Q$91,11,FALSE),
IF($A154&lt;SDR35SW!$A$133,VLOOKUP($A154,SDR35SW!$A$9:$M$132,7,FALSE),
IF($A154&lt;SDR35G!$A$151,VLOOKUP($A154,SDR35G!$A$9:$M$150,7,FALSE),                                                                                                                                                                                                                                                       IF($A154&lt;SDR26G!$A$67,VLOOKUP($A154,SDR26G!$A$9:$N$66,8,FALSE),                                                                                                                                                                                                                                                     IF($A154&lt;Cements!$A$95,VLOOKUP($A154,Cements!$A$8:$Q$94,11,FALSE),
IF($A154&lt;ValveBox!$A$124,VLOOKUP($A154,ValveBox!$A$9:$O$123,10,FALSE),
IF($A154&lt;'ValveBox Components'!$A$142,VLOOKUP($A154,'ValveBox Components'!$A$9:$N$141,9,FALSE),
IF($A154&lt;Drainage!$A$69,VLOOKUP($A154,Drainage!$A$8:$M$68,7,FALSE),                                                                                                                                                                                                                                                          IF($A154&lt;Nipples!$A$82,VLOOKUP($A154,Nipples!$A$9:$Q$81,11,FALSE),
IF($A154&lt;Manifold!$A$33,VLOOKUP($A154,Manifold!$A$9:$M$32,7,FALSE),
IF($A154&lt;FlexibleRepairCouplings!$A$12,VLOOKUP($A154,FlexibleRepairCouplings!$A$9:$M$11,7,FALSE),
IF($A154&lt;DuraFix!$A$15,VLOOKUP($A154,DuraFix!$A$9:$M$14,7,FALSE),                                                                                                                                                                                                                                                           IF($A154&lt;'Compression Fittings'!$A$16,VLOOKUP($A154,'Compression Fittings'!$A$8:$M$15,7,FALSE),
IF($A154&lt;'Hose Fittings'!$A$30,VLOOKUP($A154,'Hose Fittings'!$A$8:$M$29,7,FALSE),
IF($A154&lt;'Swing Joints'!$A$495,VLOOKUP($A154,'Swing Joints'!$A$9:$M$494,7,FALSE),
IF($A154&lt;'Swing Joints Components'!$A$135,VLOOKUP($A154,'Swing Joints Components'!$A$9:$M$134,7,FALSE),
IF($A154&lt;Nonstandard!$A$42,VLOOKUP($A154,Nonstandard!$A$31:$J$41,10,FALSE),"")))))))))))))))))))))))))))),"")</f>
        <v/>
      </c>
      <c r="I154" s="621"/>
      <c r="J154" s="541" t="str">
        <f t="shared" si="3"/>
        <v/>
      </c>
      <c r="K154" s="599" t="str">
        <f>IFERROR(IF($A154&lt;'DWV PVC'!$A$317,VLOOKUP($A154,'DWV PVC'!$A$9:$M$316,10,FALSE),
IF($A154&lt;'DWV ABS'!$A$117,VLOOKUP($A154,'DWV ABS'!$A$8:$M$116,10,FALSE),
IF($A154&lt;'PVC SCH40'!$A$425,VLOOKUP($A154,'PVC SCH40'!$A$8:$M$424,10,FALSE),
IF($A154&lt;'PVC SCH40 LD'!$A$22,VLOOKUP($A154,'PVC SCH40 LD'!$A$8:$M$21,10,FALSE),
IF($A154&lt;'Pool &amp; SPA Sweep Elbows'!$A$12,VLOOKUP($A154,'Pool &amp; SPA Sweep Elbows'!$A$8:$M$11,10,FALSE),
IF($A154&lt;'Pool &amp; SPA Pipe Extender'!$A$11,VLOOKUP($A154,'Pool &amp; SPA Pipe Extender'!$A$8:$M$10,10,FALSE),
IF($A154&lt;'PVC SCH80'!$A$250,VLOOKUP($A154,'PVC SCH80'!$A$8:$M$249,10,FALSE),
IF($A154&lt;'PVC SCH80 Flange'!$A$49,VLOOKUP($A154,'PVC SCH80 Flange'!$A$8:$M$48,10,FALSE),
IF($A154&lt;'PVC SCH80 LD Flange'!$A$17,VLOOKUP($A154,'PVC SCH80 LD Flange'!$A$8:$M$16,10,FALSE),
IF($A154&lt;CPVC!$A$105,VLOOKUP($A154,CPVC!$A$9:$M$104,10,FALSE),
IF($A154&lt;InsertFittings!$A$185,VLOOKUP($A154,InsertFittings!$A$9:$M$184,10,FALSE),
IF($A154&lt;Valves!$A$92,VLOOKUP($A154,Valves!$A$9:$Q$91,14,FALSE),
IF($A154&lt;SDR35SW!$A$133,VLOOKUP($A154,SDR35SW!$A$9:$M$132,10,FALSE),
IF($A154&lt;SDR35G!$A$151,VLOOKUP($A154,SDR35G!$A$9:$M$150,10,FALSE),
IF($A154&lt;SDR26G!$A$67,VLOOKUP($A154,SDR26G!$A$9:$N$66,11,FALSE),
IF($A154&lt;Cements!$A$95,VLOOKUP($A154,Cements!$A$8:$Q$94,14,FALSE),
IF($A154&lt;ValveBox!$A$124,VLOOKUP($A154,ValveBox!$A$9:$O$123,12,FALSE),
IF($A154&lt;'ValveBox Components'!$A$142,VLOOKUP($A154,'ValveBox Components'!$A$9:$N$141,11,FALSE),
IF($A154&lt;Drainage!$A$69,VLOOKUP($A154,Drainage!$A$8:$M$68,10,FALSE),
IF($A154&lt;Nipples!$A$82,VLOOKUP($A154,Nipples!$A$9:$Q$81,14,FALSE),
IF($A154&lt;Manifold!$A$33,VLOOKUP($A154,Manifold!$A$9:$M$32,10,FALSE),
IF($A154&lt;FlexibleRepairCouplings!$A$12,VLOOKUP($A154,FlexibleRepairCouplings!$A$9:$M$11,10,FALSE),
IF($A154&lt;DuraFix!$A$15,VLOOKUP($A154,DuraFix!$A$9:$M$14,10,FALSE),
IF($A154&lt;'Compression Fittings'!$A$16,VLOOKUP($A154,'Compression Fittings'!$A$8:$M$15,10,FALSE),
IF($A154&lt;'Hose Fittings'!$A$30,VLOOKUP($A154,'Hose Fittings'!$A$8:$M$29,10,FALSE),
IF($A154&lt;'Swing Joints'!$A$495,VLOOKUP($A154,'Swing Joints'!$A$9:$M$494,10,FALSE),
IF($A154&lt;'Swing Joints Components'!$A$135,VLOOKUP($A154,'Swing Joints Components'!$A$9:$M$134,10,FALSE),
IF($A154&lt;Nonstandard!$A$42,VLOOKUP($A154,Nonstandard!$A$31:$J$41,10,FALSE),"")))))))))))))))))))))))))))),"")</f>
        <v/>
      </c>
      <c r="L154" s="539" t="str">
        <f t="shared" si="2"/>
        <v>-</v>
      </c>
      <c r="M154" s="542"/>
    </row>
    <row r="155" spans="1:13" ht="15.6">
      <c r="A155" s="312">
        <v>123</v>
      </c>
      <c r="B155" s="312" t="str">
        <f>IFERROR(IF($A155&lt;'DWV PVC'!$A$317,VLOOKUP($A155,'DWV PVC'!$A$9:$M$316,4,FALSE),
IF($A155&lt;'DWV ABS'!$A$117,VLOOKUP($A155,'DWV ABS'!$A$8:$M$116,4,FALSE),
IF($A155&lt;'PVC SCH40'!$A$425,VLOOKUP($A155,'PVC SCH40'!$A$8:$M$424,4,FALSE),
IF($A155&lt;'PVC SCH40 LD'!$A$22,VLOOKUP($A155,'PVC SCH40 LD'!$A$8:$M$21,4,FALSE),
IF($A155&lt;'Pool &amp; SPA Sweep Elbows'!$A$12,VLOOKUP($A155,'Pool &amp; SPA Sweep Elbows'!$A$8:$M$11,4,FALSE),
IF($A155&lt;'Pool &amp; SPA Pipe Extender'!$A$11,VLOOKUP($A155,'Pool &amp; SPA Pipe Extender'!$A$8:$M$10,4,FALSE),
IF($A155&lt;'PVC SCH80'!$A$250,VLOOKUP($A155,'PVC SCH80'!$A$8:$M$249,4,FALSE),
IF($A155&lt;'PVC SCH80 Flange'!$A$49,VLOOKUP($A155,'PVC SCH80 Flange'!$A$8:$M$48,4,FALSE),
IF($A155&lt;'PVC SCH80 LD Flange'!$A$17,VLOOKUP($A155,'PVC SCH80 LD Flange'!$A$8:$M$16,4,FALSE),
IF($A155&lt;CPVC!$A$105,VLOOKUP($A155,CPVC!$A$9:$M$104,4,FALSE),
IF($A155&lt;InsertFittings!$A$185,VLOOKUP($A155,InsertFittings!$A$9:$M$184,4,FALSE),
IF($A155&lt;Valves!$A$92,VLOOKUP($A155,Valves!$A$9:$Q$91,4,FALSE),
IF($A155&lt;SDR35SW!$A$133,VLOOKUP($A155,SDR35SW!$A$9:$M$132,4,FALSE),
IF($A155&lt;SDR35G!$A$151,VLOOKUP($A155,SDR35G!$A$9:$M$150,4,FALSE),
IF($A155&lt;SDR26G!$A$67,VLOOKUP($A155,SDR26G!$A$9:$N$66,5,FALSE),
IF($A155&lt;Cements!$A$95,VLOOKUP($A155,Cements!$A$8:$Q$94,4,FALSE),
IF($A155&lt;ValveBox!$A$124,VLOOKUP($A155,ValveBox!$A$9:$O$123,4,FALSE),
IF($A155&lt;'ValveBox Components'!$A$142,VLOOKUP($A155,'ValveBox Components'!$A$9:$N$141,4,FALSE),
IF($A155&lt;Drainage!$A$69,VLOOKUP($A155,Drainage!$A$8:$M$68,4,FALSE),
IF($A155&lt;Nipples!$A$82,VLOOKUP($A155,Nipples!$A$9:$Q$81,4,FALSE),
IF($A155&lt;Manifold!$A$33,VLOOKUP($A155,Manifold!$A$9:$M$32,4,FALSE),
IF($A155&lt;FlexibleRepairCouplings!$A$12,VLOOKUP($A155,FlexibleRepairCouplings!$A$9:$M$11,4,FALSE),
IF($A155&lt;DuraFix!$A$15,VLOOKUP($A155,DuraFix!$A$9:$M$14,4,FALSE),
IF($A155&lt;'Compression Fittings'!$A$16,VLOOKUP($A155,'Compression Fittings'!$A$8:$M$15,4,FALSE),
IF($A155&lt;'Hose Fittings'!$A$30,VLOOKUP($A155,'Hose Fittings'!$A$8:$M$29,4,FALSE),
IF($A155&lt;'Swing Joints'!$A$495,VLOOKUP($A155,'Swing Joints'!$A$9:$M$494,4,FALSE),
IF($A155&lt;'Swing Joints Components'!$A$135,VLOOKUP($A155,'Swing Joints Components'!$A$9:$M$134,4,FALSE),
IF($A155&lt;Nonstandard!$A$42,VLOOKUP($A155,Nonstandard!$A$31:$J$41,5,FALSE),"")))))))))))))))))))))))))))),"")</f>
        <v/>
      </c>
      <c r="C155" s="312" t="str">
        <f>IFERROR(IF($A155&lt;'DWV PVC'!$A$317,VLOOKUP($A155,'DWV PVC'!$A$9:$M$316,5,FALSE),
IF($A155&lt;'DWV ABS'!$A$117,VLOOKUP($A155,'DWV ABS'!$A$8:$M$116,5,FALSE),
IF($A155&lt;'PVC SCH40'!$A$425,VLOOKUP($A155,'PVC SCH40'!$A$8:$M$424,5,FALSE),
IF($A155&lt;'PVC SCH40 LD'!$A$22,VLOOKUP($A155,'PVC SCH40 LD'!$A$8:$M$21,5,FALSE),
IF($A155&lt;'Pool &amp; SPA Sweep Elbows'!$A$12,VLOOKUP($A155,'Pool &amp; SPA Sweep Elbows'!$A$8:$M$11,5,FALSE),
IF($A155&lt;'Pool &amp; SPA Pipe Extender'!$A$11,VLOOKUP($A155,'Pool &amp; SPA Pipe Extender'!$A$8:$M$10,5,FALSE),
IF($A155&lt;'PVC SCH80'!$A$250,VLOOKUP($A155,'PVC SCH80'!$A$8:$M$249,5,FALSE),
IF($A155&lt;'PVC SCH80 Flange'!$A$49,VLOOKUP($A155,'PVC SCH80 Flange'!$A$8:$M$48,5,FALSE),
IF($A155&lt;'PVC SCH80 LD Flange'!$A$17,VLOOKUP($A155,'PVC SCH80 LD Flange'!$A$8:$M$16,5,FALSE),
IF($A155&lt;CPVC!$A$105,VLOOKUP($A155,CPVC!$A$9:$M$104,5,FALSE),
IF($A155&lt;InsertFittings!$A$185,VLOOKUP($A155,InsertFittings!$A$9:$M$184,5,FALSE),
IF($A155&lt;Valves!$A$92,VLOOKUP($A155,Valves!$A$9:$Q$91,5,FALSE),
IF($A155&lt;SDR35SW!$A$133,VLOOKUP($A155,SDR35SW!$A$9:$M$132,5,FALSE),
IF($A155&lt;SDR35G!$A$151,VLOOKUP($A155,SDR35G!$A$9:$M$150,5,FALSE),
IF($A155&lt;SDR26G!$A$67,VLOOKUP($A155,SDR26G!$A$9:$N$66,6,FALSE),
IF($A155&lt;Cements!$A$95,VLOOKUP($A155,Cements!$A$8:$Q$94,5,FALSE),
IF($A155&lt;ValveBox!$A$124,VLOOKUP($A155,ValveBox!$A$9:$O$123,5,FALSE),
IF($A155&lt;'ValveBox Components'!$A$142,VLOOKUP($A155,'ValveBox Components'!$A$9:$N$141,5,FALSE),
IF($A155&lt;Drainage!$A$69,VLOOKUP($A155,Drainage!$A$8:$M$68,5,FALSE),
IF($A155&lt;Nipples!$A$82,VLOOKUP($A155,Nipples!$A$9:$Q$81,5,FALSE),
IF($A155&lt;Manifold!$A$33,VLOOKUP($A155,Manifold!$A$9:$M$32,5,FALSE),
IF($A155&lt;FlexibleRepairCouplings!$A$12,VLOOKUP($A155,FlexibleRepairCouplings!$A$9:$M$11,5,FALSE),
IF($A155&lt;DuraFix!$A$15,VLOOKUP($A155,DuraFix!$A$9:$M$14,5,FALSE),
IF($A155&lt;'Compression Fittings'!$A$16,VLOOKUP($A155,'Compression Fittings'!$A$8:$M$15,5,FALSE),
IF($A155&lt;'Hose Fittings'!$A$30,VLOOKUP($A155,'Hose Fittings'!$A$8:$M$29,5,FALSE),
IF($A155&lt;'Swing Joints'!$A$495,VLOOKUP($A155,'Swing Joints'!$A$9:$M$494,5,FALSE),
IF($A155&lt;'Swing Joints Components'!$A$135,VLOOKUP($A155,'Swing Joints Components'!$A$9:$M$134,5,FALSE),
IF($A155&lt;Nonstandard!$A$42,VLOOKUP($A155,Nonstandard!$A$31:$J$41,6,FALSE),"")))))))))))))))))))))))))))),"")</f>
        <v/>
      </c>
      <c r="D155" s="534" t="str">
        <f>IFERROR(IF($A155&lt;'DWV PVC'!$A$317,VLOOKUP($A155,'DWV PVC'!$A$9:$M$316,6,FALSE),
IF($A155&lt;'DWV ABS'!$A$117,VLOOKUP($A155,'DWV ABS'!$A$8:$M$116,6,FALSE),
IF($A155&lt;'PVC SCH40'!$A$425,VLOOKUP($A155,'PVC SCH40'!$A$8:$M$424,6,FALSE),
IF($A155&lt;'PVC SCH40 LD'!$A$22,VLOOKUP($A155,'PVC SCH40 LD'!$A$8:$M$21,6,FALSE),
IF($A155&lt;'Pool &amp; SPA Sweep Elbows'!$A$12,VLOOKUP($A155,'Pool &amp; SPA Sweep Elbows'!$A$8:$M$11,6,FALSE),
IF($A155&lt;'Pool &amp; SPA Pipe Extender'!$A$11,VLOOKUP($A155,'Pool &amp; SPA Pipe Extender'!$A$8:$M$10,6,FALSE),
IF($A155&lt;'PVC SCH80'!$A$250,VLOOKUP($A155,'PVC SCH80'!$A$8:$M$249,6,FALSE),
IF($A155&lt;'PVC SCH80 Flange'!$A$49,VLOOKUP($A155,'PVC SCH80 Flange'!$A$8:$M$48,6,FALSE),
IF($A155&lt;'PVC SCH80 LD Flange'!$A$17,VLOOKUP($A155,'PVC SCH80 LD Flange'!$A$8:$M$16,6,FALSE),
IF($A155&lt;CPVC!$A$105,VLOOKUP($A155,CPVC!$A$9:$M$104,6,FALSE),
IF($A155&lt;InsertFittings!$A$185,VLOOKUP($A155,InsertFittings!$A$9:$M$184,6,FALSE),
IF($A155&lt;Valves!$A$92,VLOOKUP($A155,Valves!$A$9:$Q$91,6,FALSE),
IF($A155&lt;SDR35SW!$A$133,VLOOKUP($A155,SDR35SW!$A$9:$M$132,6,FALSE),
IF($A155&lt;SDR35G!$A$151,VLOOKUP($A155,SDR35G!$A$9:$M$150,6,FALSE),
IF($A155&lt;SDR26G!$A$67,VLOOKUP($A155,SDR26G!$A$9:$N$66,7,FALSE),
IF($A155&lt;Cements!$A$95,VLOOKUP($A155,Cements!$A$8:$Q$94,6,FALSE),
IF($A155&lt;ValveBox!$A$124,VLOOKUP($A155,ValveBox!$A$9:$O$123,6,FALSE),
IF($A155&lt;'ValveBox Components'!$A$142,VLOOKUP($A155,'ValveBox Components'!$A$9:$N$141,6,FALSE),
IF($A155&lt;Drainage!$A$69,VLOOKUP($A155,Drainage!$A$8:$M$68,6,FALSE),
IF($A155&lt;Nipples!$A$82,VLOOKUP($A155,Nipples!$A$9:$Q$81,6,FALSE),
IF($A155&lt;Manifold!$A$33,VLOOKUP($A155,Manifold!$A$9:$M$32,6,FALSE),
IF($A155&lt;FlexibleRepairCouplings!$A$12,VLOOKUP($A155,FlexibleRepairCouplings!$A$9:$M$11,6,FALSE),
IF($A155&lt;DuraFix!$A$15,VLOOKUP($A155,DuraFix!$A$9:$M$14,6,FALSE),
IF($A155&lt;'Compression Fittings'!$A$16,VLOOKUP($A155,'Compression Fittings'!$A$8:$M$15,6,FALSE),
IF($A155&lt;'Hose Fittings'!$A$30,VLOOKUP($A155,'Hose Fittings'!$A$8:$M$29,6,FALSE),
IF($A155&lt;'Swing Joints'!$A$495,VLOOKUP($A155,'Swing Joints'!$A$9:$M$494,6,FALSE),
IF($A155&lt;'Swing Joints Components'!$A$135,VLOOKUP($A155,'Swing Joints Components'!$A$9:$M$134,6,FALSE),
IF($A155&lt;Nonstandard!$A$42,VLOOKUP($A155,Nonstandard!$A$31:$J$41,7,FALSE),"")))))))))))))))))))))))))))),"")</f>
        <v/>
      </c>
      <c r="E155" s="316"/>
      <c r="F155" s="314" t="str">
        <f>IFERROR(IF($A155&lt;'DWV PVC'!$A$317,VLOOKUP($A155,'DWV PVC'!$A$9:$M$316,9,FALSE),
IF($A155&lt;'DWV ABS'!$A$117,VLOOKUP($A155,'DWV ABS'!$A$8:$M$116,9,FALSE),                                                                                                                                                                                                                                                     IF($A155&lt;'PVC SCH40'!$A$425,VLOOKUP($A155,'PVC SCH40'!$A$8:$M$424,9,FALSE),
IF($A155&lt;'PVC SCH40 LD'!$A$22,VLOOKUP($A155,'PVC SCH40 LD'!$A$8:$M$21,9,FALSE),
IF($A155&lt;'Pool &amp; SPA Sweep Elbows'!$A$12,VLOOKUP($A155,'Pool &amp; SPA Sweep Elbows'!$A$8:$M$11,9,FALSE),
IF($A155&lt;'Pool &amp; SPA Pipe Extender'!$A$11,VLOOKUP($A155,'Pool &amp; SPA Pipe Extender'!$A$8:$M$10,9,FALSE),
IF($A155&lt;'PVC SCH80'!$A$250,VLOOKUP($A155,'PVC SCH80'!$A$8:$M$249,9,FALSE),
IF($A155&lt;'PVC SCH80 Flange'!$A$49,VLOOKUP($A155,'PVC SCH80 Flange'!$A$8:$M$48,9,FALSE),
IF($A155&lt;'PVC SCH80 LD Flange'!$A$17,VLOOKUP($A155,'PVC SCH80 LD Flange'!$A$8:$M$16,9,FALSE),
IF($A155&lt;CPVC!$A$105,VLOOKUP($A155,CPVC!$A$9:$M$104,9,FALSE),
IF($A155&lt;InsertFittings!$A$185,VLOOKUP($A155,InsertFittings!$A$9:$M$184,9,FALSE),
IF($A155&lt;Valves!$A$92,VLOOKUP($A155,Valves!$A$9:$Q$91,13,FALSE),
IF($A155&lt;SDR35SW!$A$133,VLOOKUP($A155,SDR35SW!$A$9:$M$132,9,FALSE),
IF($A155&lt;SDR35G!$A$151,VLOOKUP($A155,SDR35G!$A$9:$M$150,9,FALSE),                                                                                                                                                                                                                                                          IF($A155&lt;SDR26G!$A$67,VLOOKUP($A155,SDR26G!$A$9:$N$66,10,FALSE),                                                                                                                                                                                                                                                       IF($A155&lt;Cements!$A$95,VLOOKUP($A155,Cements!$A$8:$Q$94,13,FALSE),
IF($A155&lt;ValveBox!$A$124,VLOOKUP($A155,ValveBox!$A$9:$O$123,11,FALSE),
IF($A155&lt;'ValveBox Components'!$A$142,VLOOKUP($A155,'ValveBox Components'!$A$9:$N$141,10,FALSE),
IF($A155&lt;Drainage!$A$69,VLOOKUP($A155,Drainage!$A$8:$M$68,9,FALSE),                                                                                                                                                                                                                                                              IF($A155&lt;Nipples!$A$82,VLOOKUP($A155,Nipples!$A$9:$Q$81,13,FALSE),
IF($A155&lt;Manifold!$A$33,VLOOKUP($A155,Manifold!$A$9:$M$32,9,FALSE),
IF($A155&lt;FlexibleRepairCouplings!$A$12,VLOOKUP($A155,FlexibleRepairCouplings!$A$9:$M$11,9,FALSE),
IF($A155&lt;DuraFix!$A$15,VLOOKUP($A155,DuraFix!$A$9:$M$14,9,FALSE),                                                                                                                                                                                                                                                          IF($A155&lt;'Compression Fittings'!$A$16,VLOOKUP($A155,'Compression Fittings'!$A$8:$M$15,9,FALSE),
IF($A155&lt;'Hose Fittings'!$A$30,VLOOKUP($A155,'Hose Fittings'!$A$8:$M$29,9,FALSE),
IF($A155&lt;'Swing Joints'!$A$495,VLOOKUP($A155,'Swing Joints'!$A$9:$M$494,9,FALSE),
IF($A155&lt;'Swing Joints Components'!$A$135,VLOOKUP($A155,'Swing Joints Components'!$A$9:$M$134,9,FALSE),
IF($A155&lt;Nonstandard!$A$42,VLOOKUP($A155,Nonstandard!$A$31:$J$41,8,FALSE),"")))))))))))))))))))))))))))),"")</f>
        <v/>
      </c>
      <c r="G155" s="533" t="str">
        <f>IFERROR(IF($A155&lt;'DWV PVC'!$A$317,VLOOKUP($A155,'DWV PVC'!$A$9:$M$316,11,FALSE),
IF($A155&lt;'DWV ABS'!$A$117,VLOOKUP($A155,'DWV ABS'!$A$8:$M$116,11,FALSE),                                                                                                                                                                                                                                                     IF($A155&lt;'PVC SCH40'!$A$425,VLOOKUP($A155,'PVC SCH40'!$A$8:$M$424,11,FALSE),
IF($A155&lt;'PVC SCH40 LD'!$A$22,VLOOKUP($A155,'PVC SCH40 LD'!$A$8:$M$21,11,FALSE),
IF($A155&lt;'Pool &amp; SPA Sweep Elbows'!$A$12,VLOOKUP($A155,'Pool &amp; SPA Sweep Elbows'!$A$8:$M$11,11,FALSE),
IF($A155&lt;'Pool &amp; SPA Pipe Extender'!$A$11,VLOOKUP($A155,'Pool &amp; SPA Pipe Extender'!$A$8:$M$10,11,FALSE),
IF($A155&lt;'PVC SCH80'!$A$250,VLOOKUP($A155,'PVC SCH80'!$A$8:$M$249,11,FALSE),
IF($A155&lt;'PVC SCH80 Flange'!$A$49,VLOOKUP($A155,'PVC SCH80 Flange'!$A$8:$M$48,11,FALSE),
IF($A155&lt;'PVC SCH80 LD Flange'!$A$17,VLOOKUP($A155,'PVC SCH80 LD Flange'!$A$8:$M$16,11,FALSE),
IF($A155&lt;CPVC!$A$105,VLOOKUP($A155,CPVC!$A$9:$M$104,11,FALSE),
IF($A155&lt;InsertFittings!$A$185,VLOOKUP($A155,InsertFittings!$A$9:$M$184,11,FALSE),
IF($A155&lt;Valves!$A$92,VLOOKUP($A155,Valves!$A$9:$Q$91,15,FALSE),
IF($A155&lt;SDR35SW!$A$133,VLOOKUP($A155,SDR35SW!$A$9:$M$132,11,FALSE),
IF($A155&lt;SDR35G!$A$151,VLOOKUP($A155,SDR35G!$A$9:$M$150,11,FALSE),                                                                                                                                                                                                                                                          IF($A155&lt;SDR26G!$A$67,VLOOKUP($A155,SDR26G!$A$9:$N$66,12,FALSE),                                                                                                                                                                                                                                                       IF($A155&lt;Cements!$A$95,VLOOKUP($A155,Cements!$A$8:$Q$94,15,FALSE),
IF($A155&lt;ValveBox!$A$124,VLOOKUP($A155,ValveBox!$A$9:$O$123,13,FALSE),
IF($A155&lt;'ValveBox Components'!$A$142,VLOOKUP($A155,'ValveBox Components'!$A$9:$N$141,12,FALSE),
IF($A155&lt;Drainage!$A$69,VLOOKUP($A155,Drainage!$A$8:$M$68,11,FALSE),                                                                                                                                                                                                                                                           IF($A155&lt;Nipples!$A$82,VLOOKUP($A155,Nipples!$A$9:$Q$81,15,FALSE),
IF($A155&lt;Manifold!$A$33,VLOOKUP($A155,Manifold!$A$9:$M$32,11,FALSE),
IF($A155&lt;FlexibleRepairCouplings!$A$12,VLOOKUP($A155,FlexibleRepairCouplings!$A$9:$M$11,11,FALSE),
IF($A155&lt;DuraFix!$A$15,VLOOKUP($A155,DuraFix!$A$9:$M$14,11,FALSE),                                                                                                                                                                                                                                                            IF($A155&lt;'Compression Fittings'!$A$16,VLOOKUP($A155,'Compression Fittings'!$A$8:$M$15,11,FALSE),
IF($A155&lt;'Hose Fittings'!$A$30,VLOOKUP($A155,'Hose Fittings'!$A$8:$M$29,11,FALSE),
IF($A155&lt;'Swing Joints'!$A$495,VLOOKUP($A155,'Swing Joints'!$A$9:$M$494,11,FALSE),
IF($A155&lt;'Swing Joints Components'!$A$135,VLOOKUP($A155,'Swing Joints Components'!$A$9:$M$134,11,FALSE),
IF($A155&lt;Nonstandard!$A$42,VLOOKUP($A155,Nonstandard!$A$31:$J$41,10,FALSE),"")))))))))))))))))))))))))))),"")</f>
        <v/>
      </c>
      <c r="H155" s="618" t="str">
        <f>IFERROR(IF($A155&lt;'DWV PVC'!$A$317,VLOOKUP($A155,'DWV PVC'!$A$9:$M$316,7,FALSE),
IF($A155&lt;'DWV ABS'!$A$117,VLOOKUP($A155,'DWV ABS'!$A$8:$M$116,11,FALSE),                                                                                                                                                                                                                                                     IF($A155&lt;'PVC SCH40'!$A$425,VLOOKUP($A155,'PVC SCH40'!$A$8:$M$424,7,FALSE),
IF($A155&lt;'PVC SCH40 LD'!$A$22,VLOOKUP($A155,'PVC SCH40 LD'!$A$8:$M$21,7,FALSE),
IF($A155&lt;'Pool &amp; SPA Sweep Elbows'!$A$12,VLOOKUP($A155,'Pool &amp; SPA Sweep Elbows'!$A$8:$M$11,7,FALSE),
IF($A155&lt;'Pool &amp; SPA Pipe Extender'!$A$11,VLOOKUP($A155,'Pool &amp; SPA Pipe Extender'!$A$8:$M$10,7,FALSE),
IF($A155&lt;'PVC SCH80'!$A$250,VLOOKUP($A155,'PVC SCH80'!$A$8:$M$249,7,FALSE),
IF($A155&lt;'PVC SCH80 Flange'!$A$49,VLOOKUP($A155,'PVC SCH80 Flange'!$A$8:$M$48,7,FALSE),
IF($A155&lt;'PVC SCH80 LD Flange'!$A$17,VLOOKUP($A155,'PVC SCH80 LD Flange'!$A$8:$M$16,7,FALSE),
IF($A155&lt;CPVC!$A$105,VLOOKUP($A155,CPVC!$A$9:$M$104,7,FALSE),
IF($A155&lt;InsertFittings!$A$185,VLOOKUP($A155,InsertFittings!$A$9:$M$184,7,FALSE),
IF($A155&lt;Valves!$A$92,VLOOKUP($A155,Valves!$A$9:$Q$91,11,FALSE),
IF($A155&lt;SDR35SW!$A$133,VLOOKUP($A155,SDR35SW!$A$9:$M$132,7,FALSE),
IF($A155&lt;SDR35G!$A$151,VLOOKUP($A155,SDR35G!$A$9:$M$150,7,FALSE),                                                                                                                                                                                                                                                       IF($A155&lt;SDR26G!$A$67,VLOOKUP($A155,SDR26G!$A$9:$N$66,8,FALSE),                                                                                                                                                                                                                                                     IF($A155&lt;Cements!$A$95,VLOOKUP($A155,Cements!$A$8:$Q$94,11,FALSE),
IF($A155&lt;ValveBox!$A$124,VLOOKUP($A155,ValveBox!$A$9:$O$123,10,FALSE),
IF($A155&lt;'ValveBox Components'!$A$142,VLOOKUP($A155,'ValveBox Components'!$A$9:$N$141,9,FALSE),
IF($A155&lt;Drainage!$A$69,VLOOKUP($A155,Drainage!$A$8:$M$68,7,FALSE),                                                                                                                                                                                                                                                          IF($A155&lt;Nipples!$A$82,VLOOKUP($A155,Nipples!$A$9:$Q$81,11,FALSE),
IF($A155&lt;Manifold!$A$33,VLOOKUP($A155,Manifold!$A$9:$M$32,7,FALSE),
IF($A155&lt;FlexibleRepairCouplings!$A$12,VLOOKUP($A155,FlexibleRepairCouplings!$A$9:$M$11,7,FALSE),
IF($A155&lt;DuraFix!$A$15,VLOOKUP($A155,DuraFix!$A$9:$M$14,7,FALSE),                                                                                                                                                                                                                                                           IF($A155&lt;'Compression Fittings'!$A$16,VLOOKUP($A155,'Compression Fittings'!$A$8:$M$15,7,FALSE),
IF($A155&lt;'Hose Fittings'!$A$30,VLOOKUP($A155,'Hose Fittings'!$A$8:$M$29,7,FALSE),
IF($A155&lt;'Swing Joints'!$A$495,VLOOKUP($A155,'Swing Joints'!$A$9:$M$494,7,FALSE),
IF($A155&lt;'Swing Joints Components'!$A$135,VLOOKUP($A155,'Swing Joints Components'!$A$9:$M$134,7,FALSE),
IF($A155&lt;Nonstandard!$A$42,VLOOKUP($A155,Nonstandard!$A$31:$J$41,10,FALSE),"")))))))))))))))))))))))))))),"")</f>
        <v/>
      </c>
      <c r="I155" s="619"/>
      <c r="J155" s="281" t="str">
        <f t="shared" si="3"/>
        <v/>
      </c>
      <c r="K155" s="313" t="str">
        <f>IFERROR(IF($A155&lt;'DWV PVC'!$A$317,VLOOKUP($A155,'DWV PVC'!$A$9:$M$316,10,FALSE),
IF($A155&lt;'DWV ABS'!$A$117,VLOOKUP($A155,'DWV ABS'!$A$8:$M$116,10,FALSE),
IF($A155&lt;'PVC SCH40'!$A$425,VLOOKUP($A155,'PVC SCH40'!$A$8:$M$424,10,FALSE),
IF($A155&lt;'PVC SCH40 LD'!$A$22,VLOOKUP($A155,'PVC SCH40 LD'!$A$8:$M$21,10,FALSE),
IF($A155&lt;'Pool &amp; SPA Sweep Elbows'!$A$12,VLOOKUP($A155,'Pool &amp; SPA Sweep Elbows'!$A$8:$M$11,10,FALSE),
IF($A155&lt;'Pool &amp; SPA Pipe Extender'!$A$11,VLOOKUP($A155,'Pool &amp; SPA Pipe Extender'!$A$8:$M$10,10,FALSE),
IF($A155&lt;'PVC SCH80'!$A$250,VLOOKUP($A155,'PVC SCH80'!$A$8:$M$249,10,FALSE),
IF($A155&lt;'PVC SCH80 Flange'!$A$49,VLOOKUP($A155,'PVC SCH80 Flange'!$A$8:$M$48,10,FALSE),
IF($A155&lt;'PVC SCH80 LD Flange'!$A$17,VLOOKUP($A155,'PVC SCH80 LD Flange'!$A$8:$M$16,10,FALSE),
IF($A155&lt;CPVC!$A$105,VLOOKUP($A155,CPVC!$A$9:$M$104,10,FALSE),
IF($A155&lt;InsertFittings!$A$185,VLOOKUP($A155,InsertFittings!$A$9:$M$184,10,FALSE),
IF($A155&lt;Valves!$A$92,VLOOKUP($A155,Valves!$A$9:$Q$91,14,FALSE),
IF($A155&lt;SDR35SW!$A$133,VLOOKUP($A155,SDR35SW!$A$9:$M$132,10,FALSE),
IF($A155&lt;SDR35G!$A$151,VLOOKUP($A155,SDR35G!$A$9:$M$150,10,FALSE),
IF($A155&lt;SDR26G!$A$67,VLOOKUP($A155,SDR26G!$A$9:$N$66,11,FALSE),
IF($A155&lt;Cements!$A$95,VLOOKUP($A155,Cements!$A$8:$Q$94,14,FALSE),
IF($A155&lt;ValveBox!$A$124,VLOOKUP($A155,ValveBox!$A$9:$O$123,12,FALSE),
IF($A155&lt;'ValveBox Components'!$A$142,VLOOKUP($A155,'ValveBox Components'!$A$9:$N$141,11,FALSE),
IF($A155&lt;Drainage!$A$69,VLOOKUP($A155,Drainage!$A$8:$M$68,10,FALSE),
IF($A155&lt;Nipples!$A$82,VLOOKUP($A155,Nipples!$A$9:$Q$81,14,FALSE),
IF($A155&lt;Manifold!$A$33,VLOOKUP($A155,Manifold!$A$9:$M$32,10,FALSE),
IF($A155&lt;FlexibleRepairCouplings!$A$12,VLOOKUP($A155,FlexibleRepairCouplings!$A$9:$M$11,10,FALSE),
IF($A155&lt;DuraFix!$A$15,VLOOKUP($A155,DuraFix!$A$9:$M$14,10,FALSE),
IF($A155&lt;'Compression Fittings'!$A$16,VLOOKUP($A155,'Compression Fittings'!$A$8:$M$15,10,FALSE),
IF($A155&lt;'Hose Fittings'!$A$30,VLOOKUP($A155,'Hose Fittings'!$A$8:$M$29,10,FALSE),
IF($A155&lt;'Swing Joints'!$A$495,VLOOKUP($A155,'Swing Joints'!$A$9:$M$494,10,FALSE),
IF($A155&lt;'Swing Joints Components'!$A$135,VLOOKUP($A155,'Swing Joints Components'!$A$9:$M$134,10,FALSE),
IF($A155&lt;Nonstandard!$A$42,VLOOKUP($A155,Nonstandard!$A$31:$J$41,10,FALSE),"")))))))))))))))))))))))))))),"")</f>
        <v/>
      </c>
      <c r="L155" s="314" t="str">
        <f t="shared" si="2"/>
        <v>-</v>
      </c>
      <c r="M155" s="315"/>
    </row>
    <row r="156" spans="1:13" ht="15.6">
      <c r="A156" s="536">
        <v>124</v>
      </c>
      <c r="B156" s="536" t="str">
        <f>IFERROR(IF($A156&lt;'DWV PVC'!$A$317,VLOOKUP($A156,'DWV PVC'!$A$9:$M$316,4,FALSE),
IF($A156&lt;'DWV ABS'!$A$117,VLOOKUP($A156,'DWV ABS'!$A$8:$M$116,4,FALSE),
IF($A156&lt;'PVC SCH40'!$A$425,VLOOKUP($A156,'PVC SCH40'!$A$8:$M$424,4,FALSE),
IF($A156&lt;'PVC SCH40 LD'!$A$22,VLOOKUP($A156,'PVC SCH40 LD'!$A$8:$M$21,4,FALSE),
IF($A156&lt;'Pool &amp; SPA Sweep Elbows'!$A$12,VLOOKUP($A156,'Pool &amp; SPA Sweep Elbows'!$A$8:$M$11,4,FALSE),
IF($A156&lt;'Pool &amp; SPA Pipe Extender'!$A$11,VLOOKUP($A156,'Pool &amp; SPA Pipe Extender'!$A$8:$M$10,4,FALSE),
IF($A156&lt;'PVC SCH80'!$A$250,VLOOKUP($A156,'PVC SCH80'!$A$8:$M$249,4,FALSE),
IF($A156&lt;'PVC SCH80 Flange'!$A$49,VLOOKUP($A156,'PVC SCH80 Flange'!$A$8:$M$48,4,FALSE),
IF($A156&lt;'PVC SCH80 LD Flange'!$A$17,VLOOKUP($A156,'PVC SCH80 LD Flange'!$A$8:$M$16,4,FALSE),
IF($A156&lt;CPVC!$A$105,VLOOKUP($A156,CPVC!$A$9:$M$104,4,FALSE),
IF($A156&lt;InsertFittings!$A$185,VLOOKUP($A156,InsertFittings!$A$9:$M$184,4,FALSE),
IF($A156&lt;Valves!$A$92,VLOOKUP($A156,Valves!$A$9:$Q$91,4,FALSE),
IF($A156&lt;SDR35SW!$A$133,VLOOKUP($A156,SDR35SW!$A$9:$M$132,4,FALSE),
IF($A156&lt;SDR35G!$A$151,VLOOKUP($A156,SDR35G!$A$9:$M$150,4,FALSE),
IF($A156&lt;SDR26G!$A$67,VLOOKUP($A156,SDR26G!$A$9:$N$66,5,FALSE),
IF($A156&lt;Cements!$A$95,VLOOKUP($A156,Cements!$A$8:$Q$94,4,FALSE),
IF($A156&lt;ValveBox!$A$124,VLOOKUP($A156,ValveBox!$A$9:$O$123,4,FALSE),
IF($A156&lt;'ValveBox Components'!$A$142,VLOOKUP($A156,'ValveBox Components'!$A$9:$N$141,4,FALSE),
IF($A156&lt;Drainage!$A$69,VLOOKUP($A156,Drainage!$A$8:$M$68,4,FALSE),
IF($A156&lt;Nipples!$A$82,VLOOKUP($A156,Nipples!$A$9:$Q$81,4,FALSE),
IF($A156&lt;Manifold!$A$33,VLOOKUP($A156,Manifold!$A$9:$M$32,4,FALSE),
IF($A156&lt;FlexibleRepairCouplings!$A$12,VLOOKUP($A156,FlexibleRepairCouplings!$A$9:$M$11,4,FALSE),
IF($A156&lt;DuraFix!$A$15,VLOOKUP($A156,DuraFix!$A$9:$M$14,4,FALSE),
IF($A156&lt;'Compression Fittings'!$A$16,VLOOKUP($A156,'Compression Fittings'!$A$8:$M$15,4,FALSE),
IF($A156&lt;'Hose Fittings'!$A$30,VLOOKUP($A156,'Hose Fittings'!$A$8:$M$29,4,FALSE),
IF($A156&lt;'Swing Joints'!$A$495,VLOOKUP($A156,'Swing Joints'!$A$9:$M$494,4,FALSE),
IF($A156&lt;'Swing Joints Components'!$A$135,VLOOKUP($A156,'Swing Joints Components'!$A$9:$M$134,4,FALSE),
IF($A156&lt;Nonstandard!$A$42,VLOOKUP($A156,Nonstandard!$A$31:$J$41,5,FALSE),"")))))))))))))))))))))))))))),"")</f>
        <v/>
      </c>
      <c r="C156" s="536" t="str">
        <f>IFERROR(IF($A156&lt;'DWV PVC'!$A$317,VLOOKUP($A156,'DWV PVC'!$A$9:$M$316,5,FALSE),
IF($A156&lt;'DWV ABS'!$A$117,VLOOKUP($A156,'DWV ABS'!$A$8:$M$116,5,FALSE),
IF($A156&lt;'PVC SCH40'!$A$425,VLOOKUP($A156,'PVC SCH40'!$A$8:$M$424,5,FALSE),
IF($A156&lt;'PVC SCH40 LD'!$A$22,VLOOKUP($A156,'PVC SCH40 LD'!$A$8:$M$21,5,FALSE),
IF($A156&lt;'Pool &amp; SPA Sweep Elbows'!$A$12,VLOOKUP($A156,'Pool &amp; SPA Sweep Elbows'!$A$8:$M$11,5,FALSE),
IF($A156&lt;'Pool &amp; SPA Pipe Extender'!$A$11,VLOOKUP($A156,'Pool &amp; SPA Pipe Extender'!$A$8:$M$10,5,FALSE),
IF($A156&lt;'PVC SCH80'!$A$250,VLOOKUP($A156,'PVC SCH80'!$A$8:$M$249,5,FALSE),
IF($A156&lt;'PVC SCH80 Flange'!$A$49,VLOOKUP($A156,'PVC SCH80 Flange'!$A$8:$M$48,5,FALSE),
IF($A156&lt;'PVC SCH80 LD Flange'!$A$17,VLOOKUP($A156,'PVC SCH80 LD Flange'!$A$8:$M$16,5,FALSE),
IF($A156&lt;CPVC!$A$105,VLOOKUP($A156,CPVC!$A$9:$M$104,5,FALSE),
IF($A156&lt;InsertFittings!$A$185,VLOOKUP($A156,InsertFittings!$A$9:$M$184,5,FALSE),
IF($A156&lt;Valves!$A$92,VLOOKUP($A156,Valves!$A$9:$Q$91,5,FALSE),
IF($A156&lt;SDR35SW!$A$133,VLOOKUP($A156,SDR35SW!$A$9:$M$132,5,FALSE),
IF($A156&lt;SDR35G!$A$151,VLOOKUP($A156,SDR35G!$A$9:$M$150,5,FALSE),
IF($A156&lt;SDR26G!$A$67,VLOOKUP($A156,SDR26G!$A$9:$N$66,6,FALSE),
IF($A156&lt;Cements!$A$95,VLOOKUP($A156,Cements!$A$8:$Q$94,5,FALSE),
IF($A156&lt;ValveBox!$A$124,VLOOKUP($A156,ValveBox!$A$9:$O$123,5,FALSE),
IF($A156&lt;'ValveBox Components'!$A$142,VLOOKUP($A156,'ValveBox Components'!$A$9:$N$141,5,FALSE),
IF($A156&lt;Drainage!$A$69,VLOOKUP($A156,Drainage!$A$8:$M$68,5,FALSE),
IF($A156&lt;Nipples!$A$82,VLOOKUP($A156,Nipples!$A$9:$Q$81,5,FALSE),
IF($A156&lt;Manifold!$A$33,VLOOKUP($A156,Manifold!$A$9:$M$32,5,FALSE),
IF($A156&lt;FlexibleRepairCouplings!$A$12,VLOOKUP($A156,FlexibleRepairCouplings!$A$9:$M$11,5,FALSE),
IF($A156&lt;DuraFix!$A$15,VLOOKUP($A156,DuraFix!$A$9:$M$14,5,FALSE),
IF($A156&lt;'Compression Fittings'!$A$16,VLOOKUP($A156,'Compression Fittings'!$A$8:$M$15,5,FALSE),
IF($A156&lt;'Hose Fittings'!$A$30,VLOOKUP($A156,'Hose Fittings'!$A$8:$M$29,5,FALSE),
IF($A156&lt;'Swing Joints'!$A$495,VLOOKUP($A156,'Swing Joints'!$A$9:$M$494,5,FALSE),
IF($A156&lt;'Swing Joints Components'!$A$135,VLOOKUP($A156,'Swing Joints Components'!$A$9:$M$134,5,FALSE),
IF($A156&lt;Nonstandard!$A$42,VLOOKUP($A156,Nonstandard!$A$31:$J$41,6,FALSE),"")))))))))))))))))))))))))))),"")</f>
        <v/>
      </c>
      <c r="D156" s="537" t="str">
        <f>IFERROR(IF($A156&lt;'DWV PVC'!$A$317,VLOOKUP($A156,'DWV PVC'!$A$9:$M$316,6,FALSE),
IF($A156&lt;'DWV ABS'!$A$117,VLOOKUP($A156,'DWV ABS'!$A$8:$M$116,6,FALSE),
IF($A156&lt;'PVC SCH40'!$A$425,VLOOKUP($A156,'PVC SCH40'!$A$8:$M$424,6,FALSE),
IF($A156&lt;'PVC SCH40 LD'!$A$22,VLOOKUP($A156,'PVC SCH40 LD'!$A$8:$M$21,6,FALSE),
IF($A156&lt;'Pool &amp; SPA Sweep Elbows'!$A$12,VLOOKUP($A156,'Pool &amp; SPA Sweep Elbows'!$A$8:$M$11,6,FALSE),
IF($A156&lt;'Pool &amp; SPA Pipe Extender'!$A$11,VLOOKUP($A156,'Pool &amp; SPA Pipe Extender'!$A$8:$M$10,6,FALSE),
IF($A156&lt;'PVC SCH80'!$A$250,VLOOKUP($A156,'PVC SCH80'!$A$8:$M$249,6,FALSE),
IF($A156&lt;'PVC SCH80 Flange'!$A$49,VLOOKUP($A156,'PVC SCH80 Flange'!$A$8:$M$48,6,FALSE),
IF($A156&lt;'PVC SCH80 LD Flange'!$A$17,VLOOKUP($A156,'PVC SCH80 LD Flange'!$A$8:$M$16,6,FALSE),
IF($A156&lt;CPVC!$A$105,VLOOKUP($A156,CPVC!$A$9:$M$104,6,FALSE),
IF($A156&lt;InsertFittings!$A$185,VLOOKUP($A156,InsertFittings!$A$9:$M$184,6,FALSE),
IF($A156&lt;Valves!$A$92,VLOOKUP($A156,Valves!$A$9:$Q$91,6,FALSE),
IF($A156&lt;SDR35SW!$A$133,VLOOKUP($A156,SDR35SW!$A$9:$M$132,6,FALSE),
IF($A156&lt;SDR35G!$A$151,VLOOKUP($A156,SDR35G!$A$9:$M$150,6,FALSE),
IF($A156&lt;SDR26G!$A$67,VLOOKUP($A156,SDR26G!$A$9:$N$66,7,FALSE),
IF($A156&lt;Cements!$A$95,VLOOKUP($A156,Cements!$A$8:$Q$94,6,FALSE),
IF($A156&lt;ValveBox!$A$124,VLOOKUP($A156,ValveBox!$A$9:$O$123,6,FALSE),
IF($A156&lt;'ValveBox Components'!$A$142,VLOOKUP($A156,'ValveBox Components'!$A$9:$N$141,6,FALSE),
IF($A156&lt;Drainage!$A$69,VLOOKUP($A156,Drainage!$A$8:$M$68,6,FALSE),
IF($A156&lt;Nipples!$A$82,VLOOKUP($A156,Nipples!$A$9:$Q$81,6,FALSE),
IF($A156&lt;Manifold!$A$33,VLOOKUP($A156,Manifold!$A$9:$M$32,6,FALSE),
IF($A156&lt;FlexibleRepairCouplings!$A$12,VLOOKUP($A156,FlexibleRepairCouplings!$A$9:$M$11,6,FALSE),
IF($A156&lt;DuraFix!$A$15,VLOOKUP($A156,DuraFix!$A$9:$M$14,6,FALSE),
IF($A156&lt;'Compression Fittings'!$A$16,VLOOKUP($A156,'Compression Fittings'!$A$8:$M$15,6,FALSE),
IF($A156&lt;'Hose Fittings'!$A$30,VLOOKUP($A156,'Hose Fittings'!$A$8:$M$29,6,FALSE),
IF($A156&lt;'Swing Joints'!$A$495,VLOOKUP($A156,'Swing Joints'!$A$9:$M$494,6,FALSE),
IF($A156&lt;'Swing Joints Components'!$A$135,VLOOKUP($A156,'Swing Joints Components'!$A$9:$M$134,6,FALSE),
IF($A156&lt;Nonstandard!$A$42,VLOOKUP($A156,Nonstandard!$A$31:$J$41,7,FALSE),"")))))))))))))))))))))))))))),"")</f>
        <v/>
      </c>
      <c r="E156" s="538"/>
      <c r="F156" s="539" t="str">
        <f>IFERROR(IF($A156&lt;'DWV PVC'!$A$317,VLOOKUP($A156,'DWV PVC'!$A$9:$M$316,9,FALSE),
IF($A156&lt;'DWV ABS'!$A$117,VLOOKUP($A156,'DWV ABS'!$A$8:$M$116,9,FALSE),                                                                                                                                                                                                                                                     IF($A156&lt;'PVC SCH40'!$A$425,VLOOKUP($A156,'PVC SCH40'!$A$8:$M$424,9,FALSE),
IF($A156&lt;'PVC SCH40 LD'!$A$22,VLOOKUP($A156,'PVC SCH40 LD'!$A$8:$M$21,9,FALSE),
IF($A156&lt;'Pool &amp; SPA Sweep Elbows'!$A$12,VLOOKUP($A156,'Pool &amp; SPA Sweep Elbows'!$A$8:$M$11,9,FALSE),
IF($A156&lt;'Pool &amp; SPA Pipe Extender'!$A$11,VLOOKUP($A156,'Pool &amp; SPA Pipe Extender'!$A$8:$M$10,9,FALSE),
IF($A156&lt;'PVC SCH80'!$A$250,VLOOKUP($A156,'PVC SCH80'!$A$8:$M$249,9,FALSE),
IF($A156&lt;'PVC SCH80 Flange'!$A$49,VLOOKUP($A156,'PVC SCH80 Flange'!$A$8:$M$48,9,FALSE),
IF($A156&lt;'PVC SCH80 LD Flange'!$A$17,VLOOKUP($A156,'PVC SCH80 LD Flange'!$A$8:$M$16,9,FALSE),
IF($A156&lt;CPVC!$A$105,VLOOKUP($A156,CPVC!$A$9:$M$104,9,FALSE),
IF($A156&lt;InsertFittings!$A$185,VLOOKUP($A156,InsertFittings!$A$9:$M$184,9,FALSE),
IF($A156&lt;Valves!$A$92,VLOOKUP($A156,Valves!$A$9:$Q$91,13,FALSE),
IF($A156&lt;SDR35SW!$A$133,VLOOKUP($A156,SDR35SW!$A$9:$M$132,9,FALSE),
IF($A156&lt;SDR35G!$A$151,VLOOKUP($A156,SDR35G!$A$9:$M$150,9,FALSE),                                                                                                                                                                                                                                                          IF($A156&lt;SDR26G!$A$67,VLOOKUP($A156,SDR26G!$A$9:$N$66,10,FALSE),                                                                                                                                                                                                                                                       IF($A156&lt;Cements!$A$95,VLOOKUP($A156,Cements!$A$8:$Q$94,13,FALSE),
IF($A156&lt;ValveBox!$A$124,VLOOKUP($A156,ValveBox!$A$9:$O$123,11,FALSE),
IF($A156&lt;'ValveBox Components'!$A$142,VLOOKUP($A156,'ValveBox Components'!$A$9:$N$141,10,FALSE),
IF($A156&lt;Drainage!$A$69,VLOOKUP($A156,Drainage!$A$8:$M$68,9,FALSE),                                                                                                                                                                                                                                                              IF($A156&lt;Nipples!$A$82,VLOOKUP($A156,Nipples!$A$9:$Q$81,13,FALSE),
IF($A156&lt;Manifold!$A$33,VLOOKUP($A156,Manifold!$A$9:$M$32,9,FALSE),
IF($A156&lt;FlexibleRepairCouplings!$A$12,VLOOKUP($A156,FlexibleRepairCouplings!$A$9:$M$11,9,FALSE),
IF($A156&lt;DuraFix!$A$15,VLOOKUP($A156,DuraFix!$A$9:$M$14,9,FALSE),                                                                                                                                                                                                                                                          IF($A156&lt;'Compression Fittings'!$A$16,VLOOKUP($A156,'Compression Fittings'!$A$8:$M$15,9,FALSE),
IF($A156&lt;'Hose Fittings'!$A$30,VLOOKUP($A156,'Hose Fittings'!$A$8:$M$29,9,FALSE),
IF($A156&lt;'Swing Joints'!$A$495,VLOOKUP($A156,'Swing Joints'!$A$9:$M$494,9,FALSE),
IF($A156&lt;'Swing Joints Components'!$A$135,VLOOKUP($A156,'Swing Joints Components'!$A$9:$M$134,9,FALSE),
IF($A156&lt;Nonstandard!$A$42,VLOOKUP($A156,Nonstandard!$A$31:$J$41,8,FALSE),"")))))))))))))))))))))))))))),"")</f>
        <v/>
      </c>
      <c r="G156" s="540" t="str">
        <f>IFERROR(IF($A156&lt;'DWV PVC'!$A$317,VLOOKUP($A156,'DWV PVC'!$A$9:$M$316,11,FALSE),
IF($A156&lt;'DWV ABS'!$A$117,VLOOKUP($A156,'DWV ABS'!$A$8:$M$116,11,FALSE),                                                                                                                                                                                                                                                     IF($A156&lt;'PVC SCH40'!$A$425,VLOOKUP($A156,'PVC SCH40'!$A$8:$M$424,11,FALSE),
IF($A156&lt;'PVC SCH40 LD'!$A$22,VLOOKUP($A156,'PVC SCH40 LD'!$A$8:$M$21,11,FALSE),
IF($A156&lt;'Pool &amp; SPA Sweep Elbows'!$A$12,VLOOKUP($A156,'Pool &amp; SPA Sweep Elbows'!$A$8:$M$11,11,FALSE),
IF($A156&lt;'Pool &amp; SPA Pipe Extender'!$A$11,VLOOKUP($A156,'Pool &amp; SPA Pipe Extender'!$A$8:$M$10,11,FALSE),
IF($A156&lt;'PVC SCH80'!$A$250,VLOOKUP($A156,'PVC SCH80'!$A$8:$M$249,11,FALSE),
IF($A156&lt;'PVC SCH80 Flange'!$A$49,VLOOKUP($A156,'PVC SCH80 Flange'!$A$8:$M$48,11,FALSE),
IF($A156&lt;'PVC SCH80 LD Flange'!$A$17,VLOOKUP($A156,'PVC SCH80 LD Flange'!$A$8:$M$16,11,FALSE),
IF($A156&lt;CPVC!$A$105,VLOOKUP($A156,CPVC!$A$9:$M$104,11,FALSE),
IF($A156&lt;InsertFittings!$A$185,VLOOKUP($A156,InsertFittings!$A$9:$M$184,11,FALSE),
IF($A156&lt;Valves!$A$92,VLOOKUP($A156,Valves!$A$9:$Q$91,15,FALSE),
IF($A156&lt;SDR35SW!$A$133,VLOOKUP($A156,SDR35SW!$A$9:$M$132,11,FALSE),
IF($A156&lt;SDR35G!$A$151,VLOOKUP($A156,SDR35G!$A$9:$M$150,11,FALSE),                                                                                                                                                                                                                                                          IF($A156&lt;SDR26G!$A$67,VLOOKUP($A156,SDR26G!$A$9:$N$66,12,FALSE),                                                                                                                                                                                                                                                       IF($A156&lt;Cements!$A$95,VLOOKUP($A156,Cements!$A$8:$Q$94,15,FALSE),
IF($A156&lt;ValveBox!$A$124,VLOOKUP($A156,ValveBox!$A$9:$O$123,13,FALSE),
IF($A156&lt;'ValveBox Components'!$A$142,VLOOKUP($A156,'ValveBox Components'!$A$9:$N$141,12,FALSE),
IF($A156&lt;Drainage!$A$69,VLOOKUP($A156,Drainage!$A$8:$M$68,11,FALSE),                                                                                                                                                                                                                                                           IF($A156&lt;Nipples!$A$82,VLOOKUP($A156,Nipples!$A$9:$Q$81,15,FALSE),
IF($A156&lt;Manifold!$A$33,VLOOKUP($A156,Manifold!$A$9:$M$32,11,FALSE),
IF($A156&lt;FlexibleRepairCouplings!$A$12,VLOOKUP($A156,FlexibleRepairCouplings!$A$9:$M$11,11,FALSE),
IF($A156&lt;DuraFix!$A$15,VLOOKUP($A156,DuraFix!$A$9:$M$14,11,FALSE),                                                                                                                                                                                                                                                            IF($A156&lt;'Compression Fittings'!$A$16,VLOOKUP($A156,'Compression Fittings'!$A$8:$M$15,11,FALSE),
IF($A156&lt;'Hose Fittings'!$A$30,VLOOKUP($A156,'Hose Fittings'!$A$8:$M$29,11,FALSE),
IF($A156&lt;'Swing Joints'!$A$495,VLOOKUP($A156,'Swing Joints'!$A$9:$M$494,11,FALSE),
IF($A156&lt;'Swing Joints Components'!$A$135,VLOOKUP($A156,'Swing Joints Components'!$A$9:$M$134,11,FALSE),
IF($A156&lt;Nonstandard!$A$42,VLOOKUP($A156,Nonstandard!$A$31:$J$41,10,FALSE),"")))))))))))))))))))))))))))),"")</f>
        <v/>
      </c>
      <c r="H156" s="620" t="str">
        <f>IFERROR(IF($A156&lt;'DWV PVC'!$A$317,VLOOKUP($A156,'DWV PVC'!$A$9:$M$316,7,FALSE),
IF($A156&lt;'DWV ABS'!$A$117,VLOOKUP($A156,'DWV ABS'!$A$8:$M$116,11,FALSE),                                                                                                                                                                                                                                                     IF($A156&lt;'PVC SCH40'!$A$425,VLOOKUP($A156,'PVC SCH40'!$A$8:$M$424,7,FALSE),
IF($A156&lt;'PVC SCH40 LD'!$A$22,VLOOKUP($A156,'PVC SCH40 LD'!$A$8:$M$21,7,FALSE),
IF($A156&lt;'Pool &amp; SPA Sweep Elbows'!$A$12,VLOOKUP($A156,'Pool &amp; SPA Sweep Elbows'!$A$8:$M$11,7,FALSE),
IF($A156&lt;'Pool &amp; SPA Pipe Extender'!$A$11,VLOOKUP($A156,'Pool &amp; SPA Pipe Extender'!$A$8:$M$10,7,FALSE),
IF($A156&lt;'PVC SCH80'!$A$250,VLOOKUP($A156,'PVC SCH80'!$A$8:$M$249,7,FALSE),
IF($A156&lt;'PVC SCH80 Flange'!$A$49,VLOOKUP($A156,'PVC SCH80 Flange'!$A$8:$M$48,7,FALSE),
IF($A156&lt;'PVC SCH80 LD Flange'!$A$17,VLOOKUP($A156,'PVC SCH80 LD Flange'!$A$8:$M$16,7,FALSE),
IF($A156&lt;CPVC!$A$105,VLOOKUP($A156,CPVC!$A$9:$M$104,7,FALSE),
IF($A156&lt;InsertFittings!$A$185,VLOOKUP($A156,InsertFittings!$A$9:$M$184,7,FALSE),
IF($A156&lt;Valves!$A$92,VLOOKUP($A156,Valves!$A$9:$Q$91,11,FALSE),
IF($A156&lt;SDR35SW!$A$133,VLOOKUP($A156,SDR35SW!$A$9:$M$132,7,FALSE),
IF($A156&lt;SDR35G!$A$151,VLOOKUP($A156,SDR35G!$A$9:$M$150,7,FALSE),                                                                                                                                                                                                                                                       IF($A156&lt;SDR26G!$A$67,VLOOKUP($A156,SDR26G!$A$9:$N$66,8,FALSE),                                                                                                                                                                                                                                                     IF($A156&lt;Cements!$A$95,VLOOKUP($A156,Cements!$A$8:$Q$94,11,FALSE),
IF($A156&lt;ValveBox!$A$124,VLOOKUP($A156,ValveBox!$A$9:$O$123,10,FALSE),
IF($A156&lt;'ValveBox Components'!$A$142,VLOOKUP($A156,'ValveBox Components'!$A$9:$N$141,9,FALSE),
IF($A156&lt;Drainage!$A$69,VLOOKUP($A156,Drainage!$A$8:$M$68,7,FALSE),                                                                                                                                                                                                                                                          IF($A156&lt;Nipples!$A$82,VLOOKUP($A156,Nipples!$A$9:$Q$81,11,FALSE),
IF($A156&lt;Manifold!$A$33,VLOOKUP($A156,Manifold!$A$9:$M$32,7,FALSE),
IF($A156&lt;FlexibleRepairCouplings!$A$12,VLOOKUP($A156,FlexibleRepairCouplings!$A$9:$M$11,7,FALSE),
IF($A156&lt;DuraFix!$A$15,VLOOKUP($A156,DuraFix!$A$9:$M$14,7,FALSE),                                                                                                                                                                                                                                                           IF($A156&lt;'Compression Fittings'!$A$16,VLOOKUP($A156,'Compression Fittings'!$A$8:$M$15,7,FALSE),
IF($A156&lt;'Hose Fittings'!$A$30,VLOOKUP($A156,'Hose Fittings'!$A$8:$M$29,7,FALSE),
IF($A156&lt;'Swing Joints'!$A$495,VLOOKUP($A156,'Swing Joints'!$A$9:$M$494,7,FALSE),
IF($A156&lt;'Swing Joints Components'!$A$135,VLOOKUP($A156,'Swing Joints Components'!$A$9:$M$134,7,FALSE),
IF($A156&lt;Nonstandard!$A$42,VLOOKUP($A156,Nonstandard!$A$31:$J$41,10,FALSE),"")))))))))))))))))))))))))))),"")</f>
        <v/>
      </c>
      <c r="I156" s="621"/>
      <c r="J156" s="541" t="str">
        <f t="shared" si="3"/>
        <v/>
      </c>
      <c r="K156" s="599" t="str">
        <f>IFERROR(IF($A156&lt;'DWV PVC'!$A$317,VLOOKUP($A156,'DWV PVC'!$A$9:$M$316,10,FALSE),
IF($A156&lt;'DWV ABS'!$A$117,VLOOKUP($A156,'DWV ABS'!$A$8:$M$116,10,FALSE),
IF($A156&lt;'PVC SCH40'!$A$425,VLOOKUP($A156,'PVC SCH40'!$A$8:$M$424,10,FALSE),
IF($A156&lt;'PVC SCH40 LD'!$A$22,VLOOKUP($A156,'PVC SCH40 LD'!$A$8:$M$21,10,FALSE),
IF($A156&lt;'Pool &amp; SPA Sweep Elbows'!$A$12,VLOOKUP($A156,'Pool &amp; SPA Sweep Elbows'!$A$8:$M$11,10,FALSE),
IF($A156&lt;'Pool &amp; SPA Pipe Extender'!$A$11,VLOOKUP($A156,'Pool &amp; SPA Pipe Extender'!$A$8:$M$10,10,FALSE),
IF($A156&lt;'PVC SCH80'!$A$250,VLOOKUP($A156,'PVC SCH80'!$A$8:$M$249,10,FALSE),
IF($A156&lt;'PVC SCH80 Flange'!$A$49,VLOOKUP($A156,'PVC SCH80 Flange'!$A$8:$M$48,10,FALSE),
IF($A156&lt;'PVC SCH80 LD Flange'!$A$17,VLOOKUP($A156,'PVC SCH80 LD Flange'!$A$8:$M$16,10,FALSE),
IF($A156&lt;CPVC!$A$105,VLOOKUP($A156,CPVC!$A$9:$M$104,10,FALSE),
IF($A156&lt;InsertFittings!$A$185,VLOOKUP($A156,InsertFittings!$A$9:$M$184,10,FALSE),
IF($A156&lt;Valves!$A$92,VLOOKUP($A156,Valves!$A$9:$Q$91,14,FALSE),
IF($A156&lt;SDR35SW!$A$133,VLOOKUP($A156,SDR35SW!$A$9:$M$132,10,FALSE),
IF($A156&lt;SDR35G!$A$151,VLOOKUP($A156,SDR35G!$A$9:$M$150,10,FALSE),
IF($A156&lt;SDR26G!$A$67,VLOOKUP($A156,SDR26G!$A$9:$N$66,11,FALSE),
IF($A156&lt;Cements!$A$95,VLOOKUP($A156,Cements!$A$8:$Q$94,14,FALSE),
IF($A156&lt;ValveBox!$A$124,VLOOKUP($A156,ValveBox!$A$9:$O$123,12,FALSE),
IF($A156&lt;'ValveBox Components'!$A$142,VLOOKUP($A156,'ValveBox Components'!$A$9:$N$141,11,FALSE),
IF($A156&lt;Drainage!$A$69,VLOOKUP($A156,Drainage!$A$8:$M$68,10,FALSE),
IF($A156&lt;Nipples!$A$82,VLOOKUP($A156,Nipples!$A$9:$Q$81,14,FALSE),
IF($A156&lt;Manifold!$A$33,VLOOKUP($A156,Manifold!$A$9:$M$32,10,FALSE),
IF($A156&lt;FlexibleRepairCouplings!$A$12,VLOOKUP($A156,FlexibleRepairCouplings!$A$9:$M$11,10,FALSE),
IF($A156&lt;DuraFix!$A$15,VLOOKUP($A156,DuraFix!$A$9:$M$14,10,FALSE),
IF($A156&lt;'Compression Fittings'!$A$16,VLOOKUP($A156,'Compression Fittings'!$A$8:$M$15,10,FALSE),
IF($A156&lt;'Hose Fittings'!$A$30,VLOOKUP($A156,'Hose Fittings'!$A$8:$M$29,10,FALSE),
IF($A156&lt;'Swing Joints'!$A$495,VLOOKUP($A156,'Swing Joints'!$A$9:$M$494,10,FALSE),
IF($A156&lt;'Swing Joints Components'!$A$135,VLOOKUP($A156,'Swing Joints Components'!$A$9:$M$134,10,FALSE),
IF($A156&lt;Nonstandard!$A$42,VLOOKUP($A156,Nonstandard!$A$31:$J$41,10,FALSE),"")))))))))))))))))))))))))))),"")</f>
        <v/>
      </c>
      <c r="L156" s="539" t="str">
        <f t="shared" si="2"/>
        <v>-</v>
      </c>
      <c r="M156" s="542"/>
    </row>
    <row r="157" spans="1:13" ht="15.6">
      <c r="A157" s="312">
        <v>125</v>
      </c>
      <c r="B157" s="312" t="str">
        <f>IFERROR(IF($A157&lt;'DWV PVC'!$A$317,VLOOKUP($A157,'DWV PVC'!$A$9:$M$316,4,FALSE),
IF($A157&lt;'DWV ABS'!$A$117,VLOOKUP($A157,'DWV ABS'!$A$8:$M$116,4,FALSE),
IF($A157&lt;'PVC SCH40'!$A$425,VLOOKUP($A157,'PVC SCH40'!$A$8:$M$424,4,FALSE),
IF($A157&lt;'PVC SCH40 LD'!$A$22,VLOOKUP($A157,'PVC SCH40 LD'!$A$8:$M$21,4,FALSE),
IF($A157&lt;'Pool &amp; SPA Sweep Elbows'!$A$12,VLOOKUP($A157,'Pool &amp; SPA Sweep Elbows'!$A$8:$M$11,4,FALSE),
IF($A157&lt;'Pool &amp; SPA Pipe Extender'!$A$11,VLOOKUP($A157,'Pool &amp; SPA Pipe Extender'!$A$8:$M$10,4,FALSE),
IF($A157&lt;'PVC SCH80'!$A$250,VLOOKUP($A157,'PVC SCH80'!$A$8:$M$249,4,FALSE),
IF($A157&lt;'PVC SCH80 Flange'!$A$49,VLOOKUP($A157,'PVC SCH80 Flange'!$A$8:$M$48,4,FALSE),
IF($A157&lt;'PVC SCH80 LD Flange'!$A$17,VLOOKUP($A157,'PVC SCH80 LD Flange'!$A$8:$M$16,4,FALSE),
IF($A157&lt;CPVC!$A$105,VLOOKUP($A157,CPVC!$A$9:$M$104,4,FALSE),
IF($A157&lt;InsertFittings!$A$185,VLOOKUP($A157,InsertFittings!$A$9:$M$184,4,FALSE),
IF($A157&lt;Valves!$A$92,VLOOKUP($A157,Valves!$A$9:$Q$91,4,FALSE),
IF($A157&lt;SDR35SW!$A$133,VLOOKUP($A157,SDR35SW!$A$9:$M$132,4,FALSE),
IF($A157&lt;SDR35G!$A$151,VLOOKUP($A157,SDR35G!$A$9:$M$150,4,FALSE),
IF($A157&lt;SDR26G!$A$67,VLOOKUP($A157,SDR26G!$A$9:$N$66,5,FALSE),
IF($A157&lt;Cements!$A$95,VLOOKUP($A157,Cements!$A$8:$Q$94,4,FALSE),
IF($A157&lt;ValveBox!$A$124,VLOOKUP($A157,ValveBox!$A$9:$O$123,4,FALSE),
IF($A157&lt;'ValveBox Components'!$A$142,VLOOKUP($A157,'ValveBox Components'!$A$9:$N$141,4,FALSE),
IF($A157&lt;Drainage!$A$69,VLOOKUP($A157,Drainage!$A$8:$M$68,4,FALSE),
IF($A157&lt;Nipples!$A$82,VLOOKUP($A157,Nipples!$A$9:$Q$81,4,FALSE),
IF($A157&lt;Manifold!$A$33,VLOOKUP($A157,Manifold!$A$9:$M$32,4,FALSE),
IF($A157&lt;FlexibleRepairCouplings!$A$12,VLOOKUP($A157,FlexibleRepairCouplings!$A$9:$M$11,4,FALSE),
IF($A157&lt;DuraFix!$A$15,VLOOKUP($A157,DuraFix!$A$9:$M$14,4,FALSE),
IF($A157&lt;'Compression Fittings'!$A$16,VLOOKUP($A157,'Compression Fittings'!$A$8:$M$15,4,FALSE),
IF($A157&lt;'Hose Fittings'!$A$30,VLOOKUP($A157,'Hose Fittings'!$A$8:$M$29,4,FALSE),
IF($A157&lt;'Swing Joints'!$A$495,VLOOKUP($A157,'Swing Joints'!$A$9:$M$494,4,FALSE),
IF($A157&lt;'Swing Joints Components'!$A$135,VLOOKUP($A157,'Swing Joints Components'!$A$9:$M$134,4,FALSE),
IF($A157&lt;Nonstandard!$A$42,VLOOKUP($A157,Nonstandard!$A$31:$J$41,5,FALSE),"")))))))))))))))))))))))))))),"")</f>
        <v/>
      </c>
      <c r="C157" s="312" t="str">
        <f>IFERROR(IF($A157&lt;'DWV PVC'!$A$317,VLOOKUP($A157,'DWV PVC'!$A$9:$M$316,5,FALSE),
IF($A157&lt;'DWV ABS'!$A$117,VLOOKUP($A157,'DWV ABS'!$A$8:$M$116,5,FALSE),
IF($A157&lt;'PVC SCH40'!$A$425,VLOOKUP($A157,'PVC SCH40'!$A$8:$M$424,5,FALSE),
IF($A157&lt;'PVC SCH40 LD'!$A$22,VLOOKUP($A157,'PVC SCH40 LD'!$A$8:$M$21,5,FALSE),
IF($A157&lt;'Pool &amp; SPA Sweep Elbows'!$A$12,VLOOKUP($A157,'Pool &amp; SPA Sweep Elbows'!$A$8:$M$11,5,FALSE),
IF($A157&lt;'Pool &amp; SPA Pipe Extender'!$A$11,VLOOKUP($A157,'Pool &amp; SPA Pipe Extender'!$A$8:$M$10,5,FALSE),
IF($A157&lt;'PVC SCH80'!$A$250,VLOOKUP($A157,'PVC SCH80'!$A$8:$M$249,5,FALSE),
IF($A157&lt;'PVC SCH80 Flange'!$A$49,VLOOKUP($A157,'PVC SCH80 Flange'!$A$8:$M$48,5,FALSE),
IF($A157&lt;'PVC SCH80 LD Flange'!$A$17,VLOOKUP($A157,'PVC SCH80 LD Flange'!$A$8:$M$16,5,FALSE),
IF($A157&lt;CPVC!$A$105,VLOOKUP($A157,CPVC!$A$9:$M$104,5,FALSE),
IF($A157&lt;InsertFittings!$A$185,VLOOKUP($A157,InsertFittings!$A$9:$M$184,5,FALSE),
IF($A157&lt;Valves!$A$92,VLOOKUP($A157,Valves!$A$9:$Q$91,5,FALSE),
IF($A157&lt;SDR35SW!$A$133,VLOOKUP($A157,SDR35SW!$A$9:$M$132,5,FALSE),
IF($A157&lt;SDR35G!$A$151,VLOOKUP($A157,SDR35G!$A$9:$M$150,5,FALSE),
IF($A157&lt;SDR26G!$A$67,VLOOKUP($A157,SDR26G!$A$9:$N$66,6,FALSE),
IF($A157&lt;Cements!$A$95,VLOOKUP($A157,Cements!$A$8:$Q$94,5,FALSE),
IF($A157&lt;ValveBox!$A$124,VLOOKUP($A157,ValveBox!$A$9:$O$123,5,FALSE),
IF($A157&lt;'ValveBox Components'!$A$142,VLOOKUP($A157,'ValveBox Components'!$A$9:$N$141,5,FALSE),
IF($A157&lt;Drainage!$A$69,VLOOKUP($A157,Drainage!$A$8:$M$68,5,FALSE),
IF($A157&lt;Nipples!$A$82,VLOOKUP($A157,Nipples!$A$9:$Q$81,5,FALSE),
IF($A157&lt;Manifold!$A$33,VLOOKUP($A157,Manifold!$A$9:$M$32,5,FALSE),
IF($A157&lt;FlexibleRepairCouplings!$A$12,VLOOKUP($A157,FlexibleRepairCouplings!$A$9:$M$11,5,FALSE),
IF($A157&lt;DuraFix!$A$15,VLOOKUP($A157,DuraFix!$A$9:$M$14,5,FALSE),
IF($A157&lt;'Compression Fittings'!$A$16,VLOOKUP($A157,'Compression Fittings'!$A$8:$M$15,5,FALSE),
IF($A157&lt;'Hose Fittings'!$A$30,VLOOKUP($A157,'Hose Fittings'!$A$8:$M$29,5,FALSE),
IF($A157&lt;'Swing Joints'!$A$495,VLOOKUP($A157,'Swing Joints'!$A$9:$M$494,5,FALSE),
IF($A157&lt;'Swing Joints Components'!$A$135,VLOOKUP($A157,'Swing Joints Components'!$A$9:$M$134,5,FALSE),
IF($A157&lt;Nonstandard!$A$42,VLOOKUP($A157,Nonstandard!$A$31:$J$41,6,FALSE),"")))))))))))))))))))))))))))),"")</f>
        <v/>
      </c>
      <c r="D157" s="534" t="str">
        <f>IFERROR(IF($A157&lt;'DWV PVC'!$A$317,VLOOKUP($A157,'DWV PVC'!$A$9:$M$316,6,FALSE),
IF($A157&lt;'DWV ABS'!$A$117,VLOOKUP($A157,'DWV ABS'!$A$8:$M$116,6,FALSE),
IF($A157&lt;'PVC SCH40'!$A$425,VLOOKUP($A157,'PVC SCH40'!$A$8:$M$424,6,FALSE),
IF($A157&lt;'PVC SCH40 LD'!$A$22,VLOOKUP($A157,'PVC SCH40 LD'!$A$8:$M$21,6,FALSE),
IF($A157&lt;'Pool &amp; SPA Sweep Elbows'!$A$12,VLOOKUP($A157,'Pool &amp; SPA Sweep Elbows'!$A$8:$M$11,6,FALSE),
IF($A157&lt;'Pool &amp; SPA Pipe Extender'!$A$11,VLOOKUP($A157,'Pool &amp; SPA Pipe Extender'!$A$8:$M$10,6,FALSE),
IF($A157&lt;'PVC SCH80'!$A$250,VLOOKUP($A157,'PVC SCH80'!$A$8:$M$249,6,FALSE),
IF($A157&lt;'PVC SCH80 Flange'!$A$49,VLOOKUP($A157,'PVC SCH80 Flange'!$A$8:$M$48,6,FALSE),
IF($A157&lt;'PVC SCH80 LD Flange'!$A$17,VLOOKUP($A157,'PVC SCH80 LD Flange'!$A$8:$M$16,6,FALSE),
IF($A157&lt;CPVC!$A$105,VLOOKUP($A157,CPVC!$A$9:$M$104,6,FALSE),
IF($A157&lt;InsertFittings!$A$185,VLOOKUP($A157,InsertFittings!$A$9:$M$184,6,FALSE),
IF($A157&lt;Valves!$A$92,VLOOKUP($A157,Valves!$A$9:$Q$91,6,FALSE),
IF($A157&lt;SDR35SW!$A$133,VLOOKUP($A157,SDR35SW!$A$9:$M$132,6,FALSE),
IF($A157&lt;SDR35G!$A$151,VLOOKUP($A157,SDR35G!$A$9:$M$150,6,FALSE),
IF($A157&lt;SDR26G!$A$67,VLOOKUP($A157,SDR26G!$A$9:$N$66,7,FALSE),
IF($A157&lt;Cements!$A$95,VLOOKUP($A157,Cements!$A$8:$Q$94,6,FALSE),
IF($A157&lt;ValveBox!$A$124,VLOOKUP($A157,ValveBox!$A$9:$O$123,6,FALSE),
IF($A157&lt;'ValveBox Components'!$A$142,VLOOKUP($A157,'ValveBox Components'!$A$9:$N$141,6,FALSE),
IF($A157&lt;Drainage!$A$69,VLOOKUP($A157,Drainage!$A$8:$M$68,6,FALSE),
IF($A157&lt;Nipples!$A$82,VLOOKUP($A157,Nipples!$A$9:$Q$81,6,FALSE),
IF($A157&lt;Manifold!$A$33,VLOOKUP($A157,Manifold!$A$9:$M$32,6,FALSE),
IF($A157&lt;FlexibleRepairCouplings!$A$12,VLOOKUP($A157,FlexibleRepairCouplings!$A$9:$M$11,6,FALSE),
IF($A157&lt;DuraFix!$A$15,VLOOKUP($A157,DuraFix!$A$9:$M$14,6,FALSE),
IF($A157&lt;'Compression Fittings'!$A$16,VLOOKUP($A157,'Compression Fittings'!$A$8:$M$15,6,FALSE),
IF($A157&lt;'Hose Fittings'!$A$30,VLOOKUP($A157,'Hose Fittings'!$A$8:$M$29,6,FALSE),
IF($A157&lt;'Swing Joints'!$A$495,VLOOKUP($A157,'Swing Joints'!$A$9:$M$494,6,FALSE),
IF($A157&lt;'Swing Joints Components'!$A$135,VLOOKUP($A157,'Swing Joints Components'!$A$9:$M$134,6,FALSE),
IF($A157&lt;Nonstandard!$A$42,VLOOKUP($A157,Nonstandard!$A$31:$J$41,7,FALSE),"")))))))))))))))))))))))))))),"")</f>
        <v/>
      </c>
      <c r="E157" s="316"/>
      <c r="F157" s="314" t="str">
        <f>IFERROR(IF($A157&lt;'DWV PVC'!$A$317,VLOOKUP($A157,'DWV PVC'!$A$9:$M$316,9,FALSE),
IF($A157&lt;'DWV ABS'!$A$117,VLOOKUP($A157,'DWV ABS'!$A$8:$M$116,9,FALSE),                                                                                                                                                                                                                                                     IF($A157&lt;'PVC SCH40'!$A$425,VLOOKUP($A157,'PVC SCH40'!$A$8:$M$424,9,FALSE),
IF($A157&lt;'PVC SCH40 LD'!$A$22,VLOOKUP($A157,'PVC SCH40 LD'!$A$8:$M$21,9,FALSE),
IF($A157&lt;'Pool &amp; SPA Sweep Elbows'!$A$12,VLOOKUP($A157,'Pool &amp; SPA Sweep Elbows'!$A$8:$M$11,9,FALSE),
IF($A157&lt;'Pool &amp; SPA Pipe Extender'!$A$11,VLOOKUP($A157,'Pool &amp; SPA Pipe Extender'!$A$8:$M$10,9,FALSE),
IF($A157&lt;'PVC SCH80'!$A$250,VLOOKUP($A157,'PVC SCH80'!$A$8:$M$249,9,FALSE),
IF($A157&lt;'PVC SCH80 Flange'!$A$49,VLOOKUP($A157,'PVC SCH80 Flange'!$A$8:$M$48,9,FALSE),
IF($A157&lt;'PVC SCH80 LD Flange'!$A$17,VLOOKUP($A157,'PVC SCH80 LD Flange'!$A$8:$M$16,9,FALSE),
IF($A157&lt;CPVC!$A$105,VLOOKUP($A157,CPVC!$A$9:$M$104,9,FALSE),
IF($A157&lt;InsertFittings!$A$185,VLOOKUP($A157,InsertFittings!$A$9:$M$184,9,FALSE),
IF($A157&lt;Valves!$A$92,VLOOKUP($A157,Valves!$A$9:$Q$91,13,FALSE),
IF($A157&lt;SDR35SW!$A$133,VLOOKUP($A157,SDR35SW!$A$9:$M$132,9,FALSE),
IF($A157&lt;SDR35G!$A$151,VLOOKUP($A157,SDR35G!$A$9:$M$150,9,FALSE),                                                                                                                                                                                                                                                          IF($A157&lt;SDR26G!$A$67,VLOOKUP($A157,SDR26G!$A$9:$N$66,10,FALSE),                                                                                                                                                                                                                                                       IF($A157&lt;Cements!$A$95,VLOOKUP($A157,Cements!$A$8:$Q$94,13,FALSE),
IF($A157&lt;ValveBox!$A$124,VLOOKUP($A157,ValveBox!$A$9:$O$123,11,FALSE),
IF($A157&lt;'ValveBox Components'!$A$142,VLOOKUP($A157,'ValveBox Components'!$A$9:$N$141,10,FALSE),
IF($A157&lt;Drainage!$A$69,VLOOKUP($A157,Drainage!$A$8:$M$68,9,FALSE),                                                                                                                                                                                                                                                              IF($A157&lt;Nipples!$A$82,VLOOKUP($A157,Nipples!$A$9:$Q$81,13,FALSE),
IF($A157&lt;Manifold!$A$33,VLOOKUP($A157,Manifold!$A$9:$M$32,9,FALSE),
IF($A157&lt;FlexibleRepairCouplings!$A$12,VLOOKUP($A157,FlexibleRepairCouplings!$A$9:$M$11,9,FALSE),
IF($A157&lt;DuraFix!$A$15,VLOOKUP($A157,DuraFix!$A$9:$M$14,9,FALSE),                                                                                                                                                                                                                                                          IF($A157&lt;'Compression Fittings'!$A$16,VLOOKUP($A157,'Compression Fittings'!$A$8:$M$15,9,FALSE),
IF($A157&lt;'Hose Fittings'!$A$30,VLOOKUP($A157,'Hose Fittings'!$A$8:$M$29,9,FALSE),
IF($A157&lt;'Swing Joints'!$A$495,VLOOKUP($A157,'Swing Joints'!$A$9:$M$494,9,FALSE),
IF($A157&lt;'Swing Joints Components'!$A$135,VLOOKUP($A157,'Swing Joints Components'!$A$9:$M$134,9,FALSE),
IF($A157&lt;Nonstandard!$A$42,VLOOKUP($A157,Nonstandard!$A$31:$J$41,8,FALSE),"")))))))))))))))))))))))))))),"")</f>
        <v/>
      </c>
      <c r="G157" s="533" t="str">
        <f>IFERROR(IF($A157&lt;'DWV PVC'!$A$317,VLOOKUP($A157,'DWV PVC'!$A$9:$M$316,11,FALSE),
IF($A157&lt;'DWV ABS'!$A$117,VLOOKUP($A157,'DWV ABS'!$A$8:$M$116,11,FALSE),                                                                                                                                                                                                                                                     IF($A157&lt;'PVC SCH40'!$A$425,VLOOKUP($A157,'PVC SCH40'!$A$8:$M$424,11,FALSE),
IF($A157&lt;'PVC SCH40 LD'!$A$22,VLOOKUP($A157,'PVC SCH40 LD'!$A$8:$M$21,11,FALSE),
IF($A157&lt;'Pool &amp; SPA Sweep Elbows'!$A$12,VLOOKUP($A157,'Pool &amp; SPA Sweep Elbows'!$A$8:$M$11,11,FALSE),
IF($A157&lt;'Pool &amp; SPA Pipe Extender'!$A$11,VLOOKUP($A157,'Pool &amp; SPA Pipe Extender'!$A$8:$M$10,11,FALSE),
IF($A157&lt;'PVC SCH80'!$A$250,VLOOKUP($A157,'PVC SCH80'!$A$8:$M$249,11,FALSE),
IF($A157&lt;'PVC SCH80 Flange'!$A$49,VLOOKUP($A157,'PVC SCH80 Flange'!$A$8:$M$48,11,FALSE),
IF($A157&lt;'PVC SCH80 LD Flange'!$A$17,VLOOKUP($A157,'PVC SCH80 LD Flange'!$A$8:$M$16,11,FALSE),
IF($A157&lt;CPVC!$A$105,VLOOKUP($A157,CPVC!$A$9:$M$104,11,FALSE),
IF($A157&lt;InsertFittings!$A$185,VLOOKUP($A157,InsertFittings!$A$9:$M$184,11,FALSE),
IF($A157&lt;Valves!$A$92,VLOOKUP($A157,Valves!$A$9:$Q$91,15,FALSE),
IF($A157&lt;SDR35SW!$A$133,VLOOKUP($A157,SDR35SW!$A$9:$M$132,11,FALSE),
IF($A157&lt;SDR35G!$A$151,VLOOKUP($A157,SDR35G!$A$9:$M$150,11,FALSE),                                                                                                                                                                                                                                                          IF($A157&lt;SDR26G!$A$67,VLOOKUP($A157,SDR26G!$A$9:$N$66,12,FALSE),                                                                                                                                                                                                                                                       IF($A157&lt;Cements!$A$95,VLOOKUP($A157,Cements!$A$8:$Q$94,15,FALSE),
IF($A157&lt;ValveBox!$A$124,VLOOKUP($A157,ValveBox!$A$9:$O$123,13,FALSE),
IF($A157&lt;'ValveBox Components'!$A$142,VLOOKUP($A157,'ValveBox Components'!$A$9:$N$141,12,FALSE),
IF($A157&lt;Drainage!$A$69,VLOOKUP($A157,Drainage!$A$8:$M$68,11,FALSE),                                                                                                                                                                                                                                                           IF($A157&lt;Nipples!$A$82,VLOOKUP($A157,Nipples!$A$9:$Q$81,15,FALSE),
IF($A157&lt;Manifold!$A$33,VLOOKUP($A157,Manifold!$A$9:$M$32,11,FALSE),
IF($A157&lt;FlexibleRepairCouplings!$A$12,VLOOKUP($A157,FlexibleRepairCouplings!$A$9:$M$11,11,FALSE),
IF($A157&lt;DuraFix!$A$15,VLOOKUP($A157,DuraFix!$A$9:$M$14,11,FALSE),                                                                                                                                                                                                                                                            IF($A157&lt;'Compression Fittings'!$A$16,VLOOKUP($A157,'Compression Fittings'!$A$8:$M$15,11,FALSE),
IF($A157&lt;'Hose Fittings'!$A$30,VLOOKUP($A157,'Hose Fittings'!$A$8:$M$29,11,FALSE),
IF($A157&lt;'Swing Joints'!$A$495,VLOOKUP($A157,'Swing Joints'!$A$9:$M$494,11,FALSE),
IF($A157&lt;'Swing Joints Components'!$A$135,VLOOKUP($A157,'Swing Joints Components'!$A$9:$M$134,11,FALSE),
IF($A157&lt;Nonstandard!$A$42,VLOOKUP($A157,Nonstandard!$A$31:$J$41,10,FALSE),"")))))))))))))))))))))))))))),"")</f>
        <v/>
      </c>
      <c r="H157" s="618" t="str">
        <f>IFERROR(IF($A157&lt;'DWV PVC'!$A$317,VLOOKUP($A157,'DWV PVC'!$A$9:$M$316,7,FALSE),
IF($A157&lt;'DWV ABS'!$A$117,VLOOKUP($A157,'DWV ABS'!$A$8:$M$116,11,FALSE),                                                                                                                                                                                                                                                     IF($A157&lt;'PVC SCH40'!$A$425,VLOOKUP($A157,'PVC SCH40'!$A$8:$M$424,7,FALSE),
IF($A157&lt;'PVC SCH40 LD'!$A$22,VLOOKUP($A157,'PVC SCH40 LD'!$A$8:$M$21,7,FALSE),
IF($A157&lt;'Pool &amp; SPA Sweep Elbows'!$A$12,VLOOKUP($A157,'Pool &amp; SPA Sweep Elbows'!$A$8:$M$11,7,FALSE),
IF($A157&lt;'Pool &amp; SPA Pipe Extender'!$A$11,VLOOKUP($A157,'Pool &amp; SPA Pipe Extender'!$A$8:$M$10,7,FALSE),
IF($A157&lt;'PVC SCH80'!$A$250,VLOOKUP($A157,'PVC SCH80'!$A$8:$M$249,7,FALSE),
IF($A157&lt;'PVC SCH80 Flange'!$A$49,VLOOKUP($A157,'PVC SCH80 Flange'!$A$8:$M$48,7,FALSE),
IF($A157&lt;'PVC SCH80 LD Flange'!$A$17,VLOOKUP($A157,'PVC SCH80 LD Flange'!$A$8:$M$16,7,FALSE),
IF($A157&lt;CPVC!$A$105,VLOOKUP($A157,CPVC!$A$9:$M$104,7,FALSE),
IF($A157&lt;InsertFittings!$A$185,VLOOKUP($A157,InsertFittings!$A$9:$M$184,7,FALSE),
IF($A157&lt;Valves!$A$92,VLOOKUP($A157,Valves!$A$9:$Q$91,11,FALSE),
IF($A157&lt;SDR35SW!$A$133,VLOOKUP($A157,SDR35SW!$A$9:$M$132,7,FALSE),
IF($A157&lt;SDR35G!$A$151,VLOOKUP($A157,SDR35G!$A$9:$M$150,7,FALSE),                                                                                                                                                                                                                                                       IF($A157&lt;SDR26G!$A$67,VLOOKUP($A157,SDR26G!$A$9:$N$66,8,FALSE),                                                                                                                                                                                                                                                     IF($A157&lt;Cements!$A$95,VLOOKUP($A157,Cements!$A$8:$Q$94,11,FALSE),
IF($A157&lt;ValveBox!$A$124,VLOOKUP($A157,ValveBox!$A$9:$O$123,10,FALSE),
IF($A157&lt;'ValveBox Components'!$A$142,VLOOKUP($A157,'ValveBox Components'!$A$9:$N$141,9,FALSE),
IF($A157&lt;Drainage!$A$69,VLOOKUP($A157,Drainage!$A$8:$M$68,7,FALSE),                                                                                                                                                                                                                                                          IF($A157&lt;Nipples!$A$82,VLOOKUP($A157,Nipples!$A$9:$Q$81,11,FALSE),
IF($A157&lt;Manifold!$A$33,VLOOKUP($A157,Manifold!$A$9:$M$32,7,FALSE),
IF($A157&lt;FlexibleRepairCouplings!$A$12,VLOOKUP($A157,FlexibleRepairCouplings!$A$9:$M$11,7,FALSE),
IF($A157&lt;DuraFix!$A$15,VLOOKUP($A157,DuraFix!$A$9:$M$14,7,FALSE),                                                                                                                                                                                                                                                           IF($A157&lt;'Compression Fittings'!$A$16,VLOOKUP($A157,'Compression Fittings'!$A$8:$M$15,7,FALSE),
IF($A157&lt;'Hose Fittings'!$A$30,VLOOKUP($A157,'Hose Fittings'!$A$8:$M$29,7,FALSE),
IF($A157&lt;'Swing Joints'!$A$495,VLOOKUP($A157,'Swing Joints'!$A$9:$M$494,7,FALSE),
IF($A157&lt;'Swing Joints Components'!$A$135,VLOOKUP($A157,'Swing Joints Components'!$A$9:$M$134,7,FALSE),
IF($A157&lt;Nonstandard!$A$42,VLOOKUP($A157,Nonstandard!$A$31:$J$41,10,FALSE),"")))))))))))))))))))))))))))),"")</f>
        <v/>
      </c>
      <c r="I157" s="619"/>
      <c r="J157" s="281" t="str">
        <f t="shared" si="3"/>
        <v/>
      </c>
      <c r="K157" s="313" t="str">
        <f>IFERROR(IF($A157&lt;'DWV PVC'!$A$317,VLOOKUP($A157,'DWV PVC'!$A$9:$M$316,10,FALSE),
IF($A157&lt;'DWV ABS'!$A$117,VLOOKUP($A157,'DWV ABS'!$A$8:$M$116,10,FALSE),
IF($A157&lt;'PVC SCH40'!$A$425,VLOOKUP($A157,'PVC SCH40'!$A$8:$M$424,10,FALSE),
IF($A157&lt;'PVC SCH40 LD'!$A$22,VLOOKUP($A157,'PVC SCH40 LD'!$A$8:$M$21,10,FALSE),
IF($A157&lt;'Pool &amp; SPA Sweep Elbows'!$A$12,VLOOKUP($A157,'Pool &amp; SPA Sweep Elbows'!$A$8:$M$11,10,FALSE),
IF($A157&lt;'Pool &amp; SPA Pipe Extender'!$A$11,VLOOKUP($A157,'Pool &amp; SPA Pipe Extender'!$A$8:$M$10,10,FALSE),
IF($A157&lt;'PVC SCH80'!$A$250,VLOOKUP($A157,'PVC SCH80'!$A$8:$M$249,10,FALSE),
IF($A157&lt;'PVC SCH80 Flange'!$A$49,VLOOKUP($A157,'PVC SCH80 Flange'!$A$8:$M$48,10,FALSE),
IF($A157&lt;'PVC SCH80 LD Flange'!$A$17,VLOOKUP($A157,'PVC SCH80 LD Flange'!$A$8:$M$16,10,FALSE),
IF($A157&lt;CPVC!$A$105,VLOOKUP($A157,CPVC!$A$9:$M$104,10,FALSE),
IF($A157&lt;InsertFittings!$A$185,VLOOKUP($A157,InsertFittings!$A$9:$M$184,10,FALSE),
IF($A157&lt;Valves!$A$92,VLOOKUP($A157,Valves!$A$9:$Q$91,14,FALSE),
IF($A157&lt;SDR35SW!$A$133,VLOOKUP($A157,SDR35SW!$A$9:$M$132,10,FALSE),
IF($A157&lt;SDR35G!$A$151,VLOOKUP($A157,SDR35G!$A$9:$M$150,10,FALSE),
IF($A157&lt;SDR26G!$A$67,VLOOKUP($A157,SDR26G!$A$9:$N$66,11,FALSE),
IF($A157&lt;Cements!$A$95,VLOOKUP($A157,Cements!$A$8:$Q$94,14,FALSE),
IF($A157&lt;ValveBox!$A$124,VLOOKUP($A157,ValveBox!$A$9:$O$123,12,FALSE),
IF($A157&lt;'ValveBox Components'!$A$142,VLOOKUP($A157,'ValveBox Components'!$A$9:$N$141,11,FALSE),
IF($A157&lt;Drainage!$A$69,VLOOKUP($A157,Drainage!$A$8:$M$68,10,FALSE),
IF($A157&lt;Nipples!$A$82,VLOOKUP($A157,Nipples!$A$9:$Q$81,14,FALSE),
IF($A157&lt;Manifold!$A$33,VLOOKUP($A157,Manifold!$A$9:$M$32,10,FALSE),
IF($A157&lt;FlexibleRepairCouplings!$A$12,VLOOKUP($A157,FlexibleRepairCouplings!$A$9:$M$11,10,FALSE),
IF($A157&lt;DuraFix!$A$15,VLOOKUP($A157,DuraFix!$A$9:$M$14,10,FALSE),
IF($A157&lt;'Compression Fittings'!$A$16,VLOOKUP($A157,'Compression Fittings'!$A$8:$M$15,10,FALSE),
IF($A157&lt;'Hose Fittings'!$A$30,VLOOKUP($A157,'Hose Fittings'!$A$8:$M$29,10,FALSE),
IF($A157&lt;'Swing Joints'!$A$495,VLOOKUP($A157,'Swing Joints'!$A$9:$M$494,10,FALSE),
IF($A157&lt;'Swing Joints Components'!$A$135,VLOOKUP($A157,'Swing Joints Components'!$A$9:$M$134,10,FALSE),
IF($A157&lt;Nonstandard!$A$42,VLOOKUP($A157,Nonstandard!$A$31:$J$41,10,FALSE),"")))))))))))))))))))))))))))),"")</f>
        <v/>
      </c>
      <c r="L157" s="314" t="str">
        <f t="shared" si="2"/>
        <v>-</v>
      </c>
      <c r="M157" s="315"/>
    </row>
    <row r="158" spans="1:13" ht="15.6">
      <c r="A158" s="536">
        <v>126</v>
      </c>
      <c r="B158" s="536" t="str">
        <f>IFERROR(IF($A158&lt;'DWV PVC'!$A$317,VLOOKUP($A158,'DWV PVC'!$A$9:$M$316,4,FALSE),
IF($A158&lt;'DWV ABS'!$A$117,VLOOKUP($A158,'DWV ABS'!$A$8:$M$116,4,FALSE),
IF($A158&lt;'PVC SCH40'!$A$425,VLOOKUP($A158,'PVC SCH40'!$A$8:$M$424,4,FALSE),
IF($A158&lt;'PVC SCH40 LD'!$A$22,VLOOKUP($A158,'PVC SCH40 LD'!$A$8:$M$21,4,FALSE),
IF($A158&lt;'Pool &amp; SPA Sweep Elbows'!$A$12,VLOOKUP($A158,'Pool &amp; SPA Sweep Elbows'!$A$8:$M$11,4,FALSE),
IF($A158&lt;'Pool &amp; SPA Pipe Extender'!$A$11,VLOOKUP($A158,'Pool &amp; SPA Pipe Extender'!$A$8:$M$10,4,FALSE),
IF($A158&lt;'PVC SCH80'!$A$250,VLOOKUP($A158,'PVC SCH80'!$A$8:$M$249,4,FALSE),
IF($A158&lt;'PVC SCH80 Flange'!$A$49,VLOOKUP($A158,'PVC SCH80 Flange'!$A$8:$M$48,4,FALSE),
IF($A158&lt;'PVC SCH80 LD Flange'!$A$17,VLOOKUP($A158,'PVC SCH80 LD Flange'!$A$8:$M$16,4,FALSE),
IF($A158&lt;CPVC!$A$105,VLOOKUP($A158,CPVC!$A$9:$M$104,4,FALSE),
IF($A158&lt;InsertFittings!$A$185,VLOOKUP($A158,InsertFittings!$A$9:$M$184,4,FALSE),
IF($A158&lt;Valves!$A$92,VLOOKUP($A158,Valves!$A$9:$Q$91,4,FALSE),
IF($A158&lt;SDR35SW!$A$133,VLOOKUP($A158,SDR35SW!$A$9:$M$132,4,FALSE),
IF($A158&lt;SDR35G!$A$151,VLOOKUP($A158,SDR35G!$A$9:$M$150,4,FALSE),
IF($A158&lt;SDR26G!$A$67,VLOOKUP($A158,SDR26G!$A$9:$N$66,5,FALSE),
IF($A158&lt;Cements!$A$95,VLOOKUP($A158,Cements!$A$8:$Q$94,4,FALSE),
IF($A158&lt;ValveBox!$A$124,VLOOKUP($A158,ValveBox!$A$9:$O$123,4,FALSE),
IF($A158&lt;'ValveBox Components'!$A$142,VLOOKUP($A158,'ValveBox Components'!$A$9:$N$141,4,FALSE),
IF($A158&lt;Drainage!$A$69,VLOOKUP($A158,Drainage!$A$8:$M$68,4,FALSE),
IF($A158&lt;Nipples!$A$82,VLOOKUP($A158,Nipples!$A$9:$Q$81,4,FALSE),
IF($A158&lt;Manifold!$A$33,VLOOKUP($A158,Manifold!$A$9:$M$32,4,FALSE),
IF($A158&lt;FlexibleRepairCouplings!$A$12,VLOOKUP($A158,FlexibleRepairCouplings!$A$9:$M$11,4,FALSE),
IF($A158&lt;DuraFix!$A$15,VLOOKUP($A158,DuraFix!$A$9:$M$14,4,FALSE),
IF($A158&lt;'Compression Fittings'!$A$16,VLOOKUP($A158,'Compression Fittings'!$A$8:$M$15,4,FALSE),
IF($A158&lt;'Hose Fittings'!$A$30,VLOOKUP($A158,'Hose Fittings'!$A$8:$M$29,4,FALSE),
IF($A158&lt;'Swing Joints'!$A$495,VLOOKUP($A158,'Swing Joints'!$A$9:$M$494,4,FALSE),
IF($A158&lt;'Swing Joints Components'!$A$135,VLOOKUP($A158,'Swing Joints Components'!$A$9:$M$134,4,FALSE),
IF($A158&lt;Nonstandard!$A$42,VLOOKUP($A158,Nonstandard!$A$31:$J$41,5,FALSE),"")))))))))))))))))))))))))))),"")</f>
        <v/>
      </c>
      <c r="C158" s="536" t="str">
        <f>IFERROR(IF($A158&lt;'DWV PVC'!$A$317,VLOOKUP($A158,'DWV PVC'!$A$9:$M$316,5,FALSE),
IF($A158&lt;'DWV ABS'!$A$117,VLOOKUP($A158,'DWV ABS'!$A$8:$M$116,5,FALSE),
IF($A158&lt;'PVC SCH40'!$A$425,VLOOKUP($A158,'PVC SCH40'!$A$8:$M$424,5,FALSE),
IF($A158&lt;'PVC SCH40 LD'!$A$22,VLOOKUP($A158,'PVC SCH40 LD'!$A$8:$M$21,5,FALSE),
IF($A158&lt;'Pool &amp; SPA Sweep Elbows'!$A$12,VLOOKUP($A158,'Pool &amp; SPA Sweep Elbows'!$A$8:$M$11,5,FALSE),
IF($A158&lt;'Pool &amp; SPA Pipe Extender'!$A$11,VLOOKUP($A158,'Pool &amp; SPA Pipe Extender'!$A$8:$M$10,5,FALSE),
IF($A158&lt;'PVC SCH80'!$A$250,VLOOKUP($A158,'PVC SCH80'!$A$8:$M$249,5,FALSE),
IF($A158&lt;'PVC SCH80 Flange'!$A$49,VLOOKUP($A158,'PVC SCH80 Flange'!$A$8:$M$48,5,FALSE),
IF($A158&lt;'PVC SCH80 LD Flange'!$A$17,VLOOKUP($A158,'PVC SCH80 LD Flange'!$A$8:$M$16,5,FALSE),
IF($A158&lt;CPVC!$A$105,VLOOKUP($A158,CPVC!$A$9:$M$104,5,FALSE),
IF($A158&lt;InsertFittings!$A$185,VLOOKUP($A158,InsertFittings!$A$9:$M$184,5,FALSE),
IF($A158&lt;Valves!$A$92,VLOOKUP($A158,Valves!$A$9:$Q$91,5,FALSE),
IF($A158&lt;SDR35SW!$A$133,VLOOKUP($A158,SDR35SW!$A$9:$M$132,5,FALSE),
IF($A158&lt;SDR35G!$A$151,VLOOKUP($A158,SDR35G!$A$9:$M$150,5,FALSE),
IF($A158&lt;SDR26G!$A$67,VLOOKUP($A158,SDR26G!$A$9:$N$66,6,FALSE),
IF($A158&lt;Cements!$A$95,VLOOKUP($A158,Cements!$A$8:$Q$94,5,FALSE),
IF($A158&lt;ValveBox!$A$124,VLOOKUP($A158,ValveBox!$A$9:$O$123,5,FALSE),
IF($A158&lt;'ValveBox Components'!$A$142,VLOOKUP($A158,'ValveBox Components'!$A$9:$N$141,5,FALSE),
IF($A158&lt;Drainage!$A$69,VLOOKUP($A158,Drainage!$A$8:$M$68,5,FALSE),
IF($A158&lt;Nipples!$A$82,VLOOKUP($A158,Nipples!$A$9:$Q$81,5,FALSE),
IF($A158&lt;Manifold!$A$33,VLOOKUP($A158,Manifold!$A$9:$M$32,5,FALSE),
IF($A158&lt;FlexibleRepairCouplings!$A$12,VLOOKUP($A158,FlexibleRepairCouplings!$A$9:$M$11,5,FALSE),
IF($A158&lt;DuraFix!$A$15,VLOOKUP($A158,DuraFix!$A$9:$M$14,5,FALSE),
IF($A158&lt;'Compression Fittings'!$A$16,VLOOKUP($A158,'Compression Fittings'!$A$8:$M$15,5,FALSE),
IF($A158&lt;'Hose Fittings'!$A$30,VLOOKUP($A158,'Hose Fittings'!$A$8:$M$29,5,FALSE),
IF($A158&lt;'Swing Joints'!$A$495,VLOOKUP($A158,'Swing Joints'!$A$9:$M$494,5,FALSE),
IF($A158&lt;'Swing Joints Components'!$A$135,VLOOKUP($A158,'Swing Joints Components'!$A$9:$M$134,5,FALSE),
IF($A158&lt;Nonstandard!$A$42,VLOOKUP($A158,Nonstandard!$A$31:$J$41,6,FALSE),"")))))))))))))))))))))))))))),"")</f>
        <v/>
      </c>
      <c r="D158" s="537" t="str">
        <f>IFERROR(IF($A158&lt;'DWV PVC'!$A$317,VLOOKUP($A158,'DWV PVC'!$A$9:$M$316,6,FALSE),
IF($A158&lt;'DWV ABS'!$A$117,VLOOKUP($A158,'DWV ABS'!$A$8:$M$116,6,FALSE),
IF($A158&lt;'PVC SCH40'!$A$425,VLOOKUP($A158,'PVC SCH40'!$A$8:$M$424,6,FALSE),
IF($A158&lt;'PVC SCH40 LD'!$A$22,VLOOKUP($A158,'PVC SCH40 LD'!$A$8:$M$21,6,FALSE),
IF($A158&lt;'Pool &amp; SPA Sweep Elbows'!$A$12,VLOOKUP($A158,'Pool &amp; SPA Sweep Elbows'!$A$8:$M$11,6,FALSE),
IF($A158&lt;'Pool &amp; SPA Pipe Extender'!$A$11,VLOOKUP($A158,'Pool &amp; SPA Pipe Extender'!$A$8:$M$10,6,FALSE),
IF($A158&lt;'PVC SCH80'!$A$250,VLOOKUP($A158,'PVC SCH80'!$A$8:$M$249,6,FALSE),
IF($A158&lt;'PVC SCH80 Flange'!$A$49,VLOOKUP($A158,'PVC SCH80 Flange'!$A$8:$M$48,6,FALSE),
IF($A158&lt;'PVC SCH80 LD Flange'!$A$17,VLOOKUP($A158,'PVC SCH80 LD Flange'!$A$8:$M$16,6,FALSE),
IF($A158&lt;CPVC!$A$105,VLOOKUP($A158,CPVC!$A$9:$M$104,6,FALSE),
IF($A158&lt;InsertFittings!$A$185,VLOOKUP($A158,InsertFittings!$A$9:$M$184,6,FALSE),
IF($A158&lt;Valves!$A$92,VLOOKUP($A158,Valves!$A$9:$Q$91,6,FALSE),
IF($A158&lt;SDR35SW!$A$133,VLOOKUP($A158,SDR35SW!$A$9:$M$132,6,FALSE),
IF($A158&lt;SDR35G!$A$151,VLOOKUP($A158,SDR35G!$A$9:$M$150,6,FALSE),
IF($A158&lt;SDR26G!$A$67,VLOOKUP($A158,SDR26G!$A$9:$N$66,7,FALSE),
IF($A158&lt;Cements!$A$95,VLOOKUP($A158,Cements!$A$8:$Q$94,6,FALSE),
IF($A158&lt;ValveBox!$A$124,VLOOKUP($A158,ValveBox!$A$9:$O$123,6,FALSE),
IF($A158&lt;'ValveBox Components'!$A$142,VLOOKUP($A158,'ValveBox Components'!$A$9:$N$141,6,FALSE),
IF($A158&lt;Drainage!$A$69,VLOOKUP($A158,Drainage!$A$8:$M$68,6,FALSE),
IF($A158&lt;Nipples!$A$82,VLOOKUP($A158,Nipples!$A$9:$Q$81,6,FALSE),
IF($A158&lt;Manifold!$A$33,VLOOKUP($A158,Manifold!$A$9:$M$32,6,FALSE),
IF($A158&lt;FlexibleRepairCouplings!$A$12,VLOOKUP($A158,FlexibleRepairCouplings!$A$9:$M$11,6,FALSE),
IF($A158&lt;DuraFix!$A$15,VLOOKUP($A158,DuraFix!$A$9:$M$14,6,FALSE),
IF($A158&lt;'Compression Fittings'!$A$16,VLOOKUP($A158,'Compression Fittings'!$A$8:$M$15,6,FALSE),
IF($A158&lt;'Hose Fittings'!$A$30,VLOOKUP($A158,'Hose Fittings'!$A$8:$M$29,6,FALSE),
IF($A158&lt;'Swing Joints'!$A$495,VLOOKUP($A158,'Swing Joints'!$A$9:$M$494,6,FALSE),
IF($A158&lt;'Swing Joints Components'!$A$135,VLOOKUP($A158,'Swing Joints Components'!$A$9:$M$134,6,FALSE),
IF($A158&lt;Nonstandard!$A$42,VLOOKUP($A158,Nonstandard!$A$31:$J$41,7,FALSE),"")))))))))))))))))))))))))))),"")</f>
        <v/>
      </c>
      <c r="E158" s="538"/>
      <c r="F158" s="539" t="str">
        <f>IFERROR(IF($A158&lt;'DWV PVC'!$A$317,VLOOKUP($A158,'DWV PVC'!$A$9:$M$316,9,FALSE),
IF($A158&lt;'DWV ABS'!$A$117,VLOOKUP($A158,'DWV ABS'!$A$8:$M$116,9,FALSE),                                                                                                                                                                                                                                                     IF($A158&lt;'PVC SCH40'!$A$425,VLOOKUP($A158,'PVC SCH40'!$A$8:$M$424,9,FALSE),
IF($A158&lt;'PVC SCH40 LD'!$A$22,VLOOKUP($A158,'PVC SCH40 LD'!$A$8:$M$21,9,FALSE),
IF($A158&lt;'Pool &amp; SPA Sweep Elbows'!$A$12,VLOOKUP($A158,'Pool &amp; SPA Sweep Elbows'!$A$8:$M$11,9,FALSE),
IF($A158&lt;'Pool &amp; SPA Pipe Extender'!$A$11,VLOOKUP($A158,'Pool &amp; SPA Pipe Extender'!$A$8:$M$10,9,FALSE),
IF($A158&lt;'PVC SCH80'!$A$250,VLOOKUP($A158,'PVC SCH80'!$A$8:$M$249,9,FALSE),
IF($A158&lt;'PVC SCH80 Flange'!$A$49,VLOOKUP($A158,'PVC SCH80 Flange'!$A$8:$M$48,9,FALSE),
IF($A158&lt;'PVC SCH80 LD Flange'!$A$17,VLOOKUP($A158,'PVC SCH80 LD Flange'!$A$8:$M$16,9,FALSE),
IF($A158&lt;CPVC!$A$105,VLOOKUP($A158,CPVC!$A$9:$M$104,9,FALSE),
IF($A158&lt;InsertFittings!$A$185,VLOOKUP($A158,InsertFittings!$A$9:$M$184,9,FALSE),
IF($A158&lt;Valves!$A$92,VLOOKUP($A158,Valves!$A$9:$Q$91,13,FALSE),
IF($A158&lt;SDR35SW!$A$133,VLOOKUP($A158,SDR35SW!$A$9:$M$132,9,FALSE),
IF($A158&lt;SDR35G!$A$151,VLOOKUP($A158,SDR35G!$A$9:$M$150,9,FALSE),                                                                                                                                                                                                                                                          IF($A158&lt;SDR26G!$A$67,VLOOKUP($A158,SDR26G!$A$9:$N$66,10,FALSE),                                                                                                                                                                                                                                                       IF($A158&lt;Cements!$A$95,VLOOKUP($A158,Cements!$A$8:$Q$94,13,FALSE),
IF($A158&lt;ValveBox!$A$124,VLOOKUP($A158,ValveBox!$A$9:$O$123,11,FALSE),
IF($A158&lt;'ValveBox Components'!$A$142,VLOOKUP($A158,'ValveBox Components'!$A$9:$N$141,10,FALSE),
IF($A158&lt;Drainage!$A$69,VLOOKUP($A158,Drainage!$A$8:$M$68,9,FALSE),                                                                                                                                                                                                                                                              IF($A158&lt;Nipples!$A$82,VLOOKUP($A158,Nipples!$A$9:$Q$81,13,FALSE),
IF($A158&lt;Manifold!$A$33,VLOOKUP($A158,Manifold!$A$9:$M$32,9,FALSE),
IF($A158&lt;FlexibleRepairCouplings!$A$12,VLOOKUP($A158,FlexibleRepairCouplings!$A$9:$M$11,9,FALSE),
IF($A158&lt;DuraFix!$A$15,VLOOKUP($A158,DuraFix!$A$9:$M$14,9,FALSE),                                                                                                                                                                                                                                                          IF($A158&lt;'Compression Fittings'!$A$16,VLOOKUP($A158,'Compression Fittings'!$A$8:$M$15,9,FALSE),
IF($A158&lt;'Hose Fittings'!$A$30,VLOOKUP($A158,'Hose Fittings'!$A$8:$M$29,9,FALSE),
IF($A158&lt;'Swing Joints'!$A$495,VLOOKUP($A158,'Swing Joints'!$A$9:$M$494,9,FALSE),
IF($A158&lt;'Swing Joints Components'!$A$135,VLOOKUP($A158,'Swing Joints Components'!$A$9:$M$134,9,FALSE),
IF($A158&lt;Nonstandard!$A$42,VLOOKUP($A158,Nonstandard!$A$31:$J$41,8,FALSE),"")))))))))))))))))))))))))))),"")</f>
        <v/>
      </c>
      <c r="G158" s="540" t="str">
        <f>IFERROR(IF($A158&lt;'DWV PVC'!$A$317,VLOOKUP($A158,'DWV PVC'!$A$9:$M$316,11,FALSE),
IF($A158&lt;'DWV ABS'!$A$117,VLOOKUP($A158,'DWV ABS'!$A$8:$M$116,11,FALSE),                                                                                                                                                                                                                                                     IF($A158&lt;'PVC SCH40'!$A$425,VLOOKUP($A158,'PVC SCH40'!$A$8:$M$424,11,FALSE),
IF($A158&lt;'PVC SCH40 LD'!$A$22,VLOOKUP($A158,'PVC SCH40 LD'!$A$8:$M$21,11,FALSE),
IF($A158&lt;'Pool &amp; SPA Sweep Elbows'!$A$12,VLOOKUP($A158,'Pool &amp; SPA Sweep Elbows'!$A$8:$M$11,11,FALSE),
IF($A158&lt;'Pool &amp; SPA Pipe Extender'!$A$11,VLOOKUP($A158,'Pool &amp; SPA Pipe Extender'!$A$8:$M$10,11,FALSE),
IF($A158&lt;'PVC SCH80'!$A$250,VLOOKUP($A158,'PVC SCH80'!$A$8:$M$249,11,FALSE),
IF($A158&lt;'PVC SCH80 Flange'!$A$49,VLOOKUP($A158,'PVC SCH80 Flange'!$A$8:$M$48,11,FALSE),
IF($A158&lt;'PVC SCH80 LD Flange'!$A$17,VLOOKUP($A158,'PVC SCH80 LD Flange'!$A$8:$M$16,11,FALSE),
IF($A158&lt;CPVC!$A$105,VLOOKUP($A158,CPVC!$A$9:$M$104,11,FALSE),
IF($A158&lt;InsertFittings!$A$185,VLOOKUP($A158,InsertFittings!$A$9:$M$184,11,FALSE),
IF($A158&lt;Valves!$A$92,VLOOKUP($A158,Valves!$A$9:$Q$91,15,FALSE),
IF($A158&lt;SDR35SW!$A$133,VLOOKUP($A158,SDR35SW!$A$9:$M$132,11,FALSE),
IF($A158&lt;SDR35G!$A$151,VLOOKUP($A158,SDR35G!$A$9:$M$150,11,FALSE),                                                                                                                                                                                                                                                          IF($A158&lt;SDR26G!$A$67,VLOOKUP($A158,SDR26G!$A$9:$N$66,12,FALSE),                                                                                                                                                                                                                                                       IF($A158&lt;Cements!$A$95,VLOOKUP($A158,Cements!$A$8:$Q$94,15,FALSE),
IF($A158&lt;ValveBox!$A$124,VLOOKUP($A158,ValveBox!$A$9:$O$123,13,FALSE),
IF($A158&lt;'ValveBox Components'!$A$142,VLOOKUP($A158,'ValveBox Components'!$A$9:$N$141,12,FALSE),
IF($A158&lt;Drainage!$A$69,VLOOKUP($A158,Drainage!$A$8:$M$68,11,FALSE),                                                                                                                                                                                                                                                           IF($A158&lt;Nipples!$A$82,VLOOKUP($A158,Nipples!$A$9:$Q$81,15,FALSE),
IF($A158&lt;Manifold!$A$33,VLOOKUP($A158,Manifold!$A$9:$M$32,11,FALSE),
IF($A158&lt;FlexibleRepairCouplings!$A$12,VLOOKUP($A158,FlexibleRepairCouplings!$A$9:$M$11,11,FALSE),
IF($A158&lt;DuraFix!$A$15,VLOOKUP($A158,DuraFix!$A$9:$M$14,11,FALSE),                                                                                                                                                                                                                                                            IF($A158&lt;'Compression Fittings'!$A$16,VLOOKUP($A158,'Compression Fittings'!$A$8:$M$15,11,FALSE),
IF($A158&lt;'Hose Fittings'!$A$30,VLOOKUP($A158,'Hose Fittings'!$A$8:$M$29,11,FALSE),
IF($A158&lt;'Swing Joints'!$A$495,VLOOKUP($A158,'Swing Joints'!$A$9:$M$494,11,FALSE),
IF($A158&lt;'Swing Joints Components'!$A$135,VLOOKUP($A158,'Swing Joints Components'!$A$9:$M$134,11,FALSE),
IF($A158&lt;Nonstandard!$A$42,VLOOKUP($A158,Nonstandard!$A$31:$J$41,10,FALSE),"")))))))))))))))))))))))))))),"")</f>
        <v/>
      </c>
      <c r="H158" s="620" t="str">
        <f>IFERROR(IF($A158&lt;'DWV PVC'!$A$317,VLOOKUP($A158,'DWV PVC'!$A$9:$M$316,7,FALSE),
IF($A158&lt;'DWV ABS'!$A$117,VLOOKUP($A158,'DWV ABS'!$A$8:$M$116,11,FALSE),                                                                                                                                                                                                                                                     IF($A158&lt;'PVC SCH40'!$A$425,VLOOKUP($A158,'PVC SCH40'!$A$8:$M$424,7,FALSE),
IF($A158&lt;'PVC SCH40 LD'!$A$22,VLOOKUP($A158,'PVC SCH40 LD'!$A$8:$M$21,7,FALSE),
IF($A158&lt;'Pool &amp; SPA Sweep Elbows'!$A$12,VLOOKUP($A158,'Pool &amp; SPA Sweep Elbows'!$A$8:$M$11,7,FALSE),
IF($A158&lt;'Pool &amp; SPA Pipe Extender'!$A$11,VLOOKUP($A158,'Pool &amp; SPA Pipe Extender'!$A$8:$M$10,7,FALSE),
IF($A158&lt;'PVC SCH80'!$A$250,VLOOKUP($A158,'PVC SCH80'!$A$8:$M$249,7,FALSE),
IF($A158&lt;'PVC SCH80 Flange'!$A$49,VLOOKUP($A158,'PVC SCH80 Flange'!$A$8:$M$48,7,FALSE),
IF($A158&lt;'PVC SCH80 LD Flange'!$A$17,VLOOKUP($A158,'PVC SCH80 LD Flange'!$A$8:$M$16,7,FALSE),
IF($A158&lt;CPVC!$A$105,VLOOKUP($A158,CPVC!$A$9:$M$104,7,FALSE),
IF($A158&lt;InsertFittings!$A$185,VLOOKUP($A158,InsertFittings!$A$9:$M$184,7,FALSE),
IF($A158&lt;Valves!$A$92,VLOOKUP($A158,Valves!$A$9:$Q$91,11,FALSE),
IF($A158&lt;SDR35SW!$A$133,VLOOKUP($A158,SDR35SW!$A$9:$M$132,7,FALSE),
IF($A158&lt;SDR35G!$A$151,VLOOKUP($A158,SDR35G!$A$9:$M$150,7,FALSE),                                                                                                                                                                                                                                                       IF($A158&lt;SDR26G!$A$67,VLOOKUP($A158,SDR26G!$A$9:$N$66,8,FALSE),                                                                                                                                                                                                                                                     IF($A158&lt;Cements!$A$95,VLOOKUP($A158,Cements!$A$8:$Q$94,11,FALSE),
IF($A158&lt;ValveBox!$A$124,VLOOKUP($A158,ValveBox!$A$9:$O$123,10,FALSE),
IF($A158&lt;'ValveBox Components'!$A$142,VLOOKUP($A158,'ValveBox Components'!$A$9:$N$141,9,FALSE),
IF($A158&lt;Drainage!$A$69,VLOOKUP($A158,Drainage!$A$8:$M$68,7,FALSE),                                                                                                                                                                                                                                                          IF($A158&lt;Nipples!$A$82,VLOOKUP($A158,Nipples!$A$9:$Q$81,11,FALSE),
IF($A158&lt;Manifold!$A$33,VLOOKUP($A158,Manifold!$A$9:$M$32,7,FALSE),
IF($A158&lt;FlexibleRepairCouplings!$A$12,VLOOKUP($A158,FlexibleRepairCouplings!$A$9:$M$11,7,FALSE),
IF($A158&lt;DuraFix!$A$15,VLOOKUP($A158,DuraFix!$A$9:$M$14,7,FALSE),                                                                                                                                                                                                                                                           IF($A158&lt;'Compression Fittings'!$A$16,VLOOKUP($A158,'Compression Fittings'!$A$8:$M$15,7,FALSE),
IF($A158&lt;'Hose Fittings'!$A$30,VLOOKUP($A158,'Hose Fittings'!$A$8:$M$29,7,FALSE),
IF($A158&lt;'Swing Joints'!$A$495,VLOOKUP($A158,'Swing Joints'!$A$9:$M$494,7,FALSE),
IF($A158&lt;'Swing Joints Components'!$A$135,VLOOKUP($A158,'Swing Joints Components'!$A$9:$M$134,7,FALSE),
IF($A158&lt;Nonstandard!$A$42,VLOOKUP($A158,Nonstandard!$A$31:$J$41,10,FALSE),"")))))))))))))))))))))))))))),"")</f>
        <v/>
      </c>
      <c r="I158" s="621"/>
      <c r="J158" s="541" t="str">
        <f t="shared" si="3"/>
        <v/>
      </c>
      <c r="K158" s="599" t="str">
        <f>IFERROR(IF($A158&lt;'DWV PVC'!$A$317,VLOOKUP($A158,'DWV PVC'!$A$9:$M$316,10,FALSE),
IF($A158&lt;'DWV ABS'!$A$117,VLOOKUP($A158,'DWV ABS'!$A$8:$M$116,10,FALSE),
IF($A158&lt;'PVC SCH40'!$A$425,VLOOKUP($A158,'PVC SCH40'!$A$8:$M$424,10,FALSE),
IF($A158&lt;'PVC SCH40 LD'!$A$22,VLOOKUP($A158,'PVC SCH40 LD'!$A$8:$M$21,10,FALSE),
IF($A158&lt;'Pool &amp; SPA Sweep Elbows'!$A$12,VLOOKUP($A158,'Pool &amp; SPA Sweep Elbows'!$A$8:$M$11,10,FALSE),
IF($A158&lt;'Pool &amp; SPA Pipe Extender'!$A$11,VLOOKUP($A158,'Pool &amp; SPA Pipe Extender'!$A$8:$M$10,10,FALSE),
IF($A158&lt;'PVC SCH80'!$A$250,VLOOKUP($A158,'PVC SCH80'!$A$8:$M$249,10,FALSE),
IF($A158&lt;'PVC SCH80 Flange'!$A$49,VLOOKUP($A158,'PVC SCH80 Flange'!$A$8:$M$48,10,FALSE),
IF($A158&lt;'PVC SCH80 LD Flange'!$A$17,VLOOKUP($A158,'PVC SCH80 LD Flange'!$A$8:$M$16,10,FALSE),
IF($A158&lt;CPVC!$A$105,VLOOKUP($A158,CPVC!$A$9:$M$104,10,FALSE),
IF($A158&lt;InsertFittings!$A$185,VLOOKUP($A158,InsertFittings!$A$9:$M$184,10,FALSE),
IF($A158&lt;Valves!$A$92,VLOOKUP($A158,Valves!$A$9:$Q$91,14,FALSE),
IF($A158&lt;SDR35SW!$A$133,VLOOKUP($A158,SDR35SW!$A$9:$M$132,10,FALSE),
IF($A158&lt;SDR35G!$A$151,VLOOKUP($A158,SDR35G!$A$9:$M$150,10,FALSE),
IF($A158&lt;SDR26G!$A$67,VLOOKUP($A158,SDR26G!$A$9:$N$66,11,FALSE),
IF($A158&lt;Cements!$A$95,VLOOKUP($A158,Cements!$A$8:$Q$94,14,FALSE),
IF($A158&lt;ValveBox!$A$124,VLOOKUP($A158,ValveBox!$A$9:$O$123,12,FALSE),
IF($A158&lt;'ValveBox Components'!$A$142,VLOOKUP($A158,'ValveBox Components'!$A$9:$N$141,11,FALSE),
IF($A158&lt;Drainage!$A$69,VLOOKUP($A158,Drainage!$A$8:$M$68,10,FALSE),
IF($A158&lt;Nipples!$A$82,VLOOKUP($A158,Nipples!$A$9:$Q$81,14,FALSE),
IF($A158&lt;Manifold!$A$33,VLOOKUP($A158,Manifold!$A$9:$M$32,10,FALSE),
IF($A158&lt;FlexibleRepairCouplings!$A$12,VLOOKUP($A158,FlexibleRepairCouplings!$A$9:$M$11,10,FALSE),
IF($A158&lt;DuraFix!$A$15,VLOOKUP($A158,DuraFix!$A$9:$M$14,10,FALSE),
IF($A158&lt;'Compression Fittings'!$A$16,VLOOKUP($A158,'Compression Fittings'!$A$8:$M$15,10,FALSE),
IF($A158&lt;'Hose Fittings'!$A$30,VLOOKUP($A158,'Hose Fittings'!$A$8:$M$29,10,FALSE),
IF($A158&lt;'Swing Joints'!$A$495,VLOOKUP($A158,'Swing Joints'!$A$9:$M$494,10,FALSE),
IF($A158&lt;'Swing Joints Components'!$A$135,VLOOKUP($A158,'Swing Joints Components'!$A$9:$M$134,10,FALSE),
IF($A158&lt;Nonstandard!$A$42,VLOOKUP($A158,Nonstandard!$A$31:$J$41,10,FALSE),"")))))))))))))))))))))))))))),"")</f>
        <v/>
      </c>
      <c r="L158" s="539" t="str">
        <f t="shared" si="2"/>
        <v>-</v>
      </c>
      <c r="M158" s="542"/>
    </row>
    <row r="159" spans="1:13" ht="15.6">
      <c r="A159" s="312">
        <v>127</v>
      </c>
      <c r="B159" s="312" t="str">
        <f>IFERROR(IF($A159&lt;'DWV PVC'!$A$317,VLOOKUP($A159,'DWV PVC'!$A$9:$M$316,4,FALSE),
IF($A159&lt;'DWV ABS'!$A$117,VLOOKUP($A159,'DWV ABS'!$A$8:$M$116,4,FALSE),
IF($A159&lt;'PVC SCH40'!$A$425,VLOOKUP($A159,'PVC SCH40'!$A$8:$M$424,4,FALSE),
IF($A159&lt;'PVC SCH40 LD'!$A$22,VLOOKUP($A159,'PVC SCH40 LD'!$A$8:$M$21,4,FALSE),
IF($A159&lt;'Pool &amp; SPA Sweep Elbows'!$A$12,VLOOKUP($A159,'Pool &amp; SPA Sweep Elbows'!$A$8:$M$11,4,FALSE),
IF($A159&lt;'Pool &amp; SPA Pipe Extender'!$A$11,VLOOKUP($A159,'Pool &amp; SPA Pipe Extender'!$A$8:$M$10,4,FALSE),
IF($A159&lt;'PVC SCH80'!$A$250,VLOOKUP($A159,'PVC SCH80'!$A$8:$M$249,4,FALSE),
IF($A159&lt;'PVC SCH80 Flange'!$A$49,VLOOKUP($A159,'PVC SCH80 Flange'!$A$8:$M$48,4,FALSE),
IF($A159&lt;'PVC SCH80 LD Flange'!$A$17,VLOOKUP($A159,'PVC SCH80 LD Flange'!$A$8:$M$16,4,FALSE),
IF($A159&lt;CPVC!$A$105,VLOOKUP($A159,CPVC!$A$9:$M$104,4,FALSE),
IF($A159&lt;InsertFittings!$A$185,VLOOKUP($A159,InsertFittings!$A$9:$M$184,4,FALSE),
IF($A159&lt;Valves!$A$92,VLOOKUP($A159,Valves!$A$9:$Q$91,4,FALSE),
IF($A159&lt;SDR35SW!$A$133,VLOOKUP($A159,SDR35SW!$A$9:$M$132,4,FALSE),
IF($A159&lt;SDR35G!$A$151,VLOOKUP($A159,SDR35G!$A$9:$M$150,4,FALSE),
IF($A159&lt;SDR26G!$A$67,VLOOKUP($A159,SDR26G!$A$9:$N$66,5,FALSE),
IF($A159&lt;Cements!$A$95,VLOOKUP($A159,Cements!$A$8:$Q$94,4,FALSE),
IF($A159&lt;ValveBox!$A$124,VLOOKUP($A159,ValveBox!$A$9:$O$123,4,FALSE),
IF($A159&lt;'ValveBox Components'!$A$142,VLOOKUP($A159,'ValveBox Components'!$A$9:$N$141,4,FALSE),
IF($A159&lt;Drainage!$A$69,VLOOKUP($A159,Drainage!$A$8:$M$68,4,FALSE),
IF($A159&lt;Nipples!$A$82,VLOOKUP($A159,Nipples!$A$9:$Q$81,4,FALSE),
IF($A159&lt;Manifold!$A$33,VLOOKUP($A159,Manifold!$A$9:$M$32,4,FALSE),
IF($A159&lt;FlexibleRepairCouplings!$A$12,VLOOKUP($A159,FlexibleRepairCouplings!$A$9:$M$11,4,FALSE),
IF($A159&lt;DuraFix!$A$15,VLOOKUP($A159,DuraFix!$A$9:$M$14,4,FALSE),
IF($A159&lt;'Compression Fittings'!$A$16,VLOOKUP($A159,'Compression Fittings'!$A$8:$M$15,4,FALSE),
IF($A159&lt;'Hose Fittings'!$A$30,VLOOKUP($A159,'Hose Fittings'!$A$8:$M$29,4,FALSE),
IF($A159&lt;'Swing Joints'!$A$495,VLOOKUP($A159,'Swing Joints'!$A$9:$M$494,4,FALSE),
IF($A159&lt;'Swing Joints Components'!$A$135,VLOOKUP($A159,'Swing Joints Components'!$A$9:$M$134,4,FALSE),
IF($A159&lt;Nonstandard!$A$42,VLOOKUP($A159,Nonstandard!$A$31:$J$41,5,FALSE),"")))))))))))))))))))))))))))),"")</f>
        <v/>
      </c>
      <c r="C159" s="312" t="str">
        <f>IFERROR(IF($A159&lt;'DWV PVC'!$A$317,VLOOKUP($A159,'DWV PVC'!$A$9:$M$316,5,FALSE),
IF($A159&lt;'DWV ABS'!$A$117,VLOOKUP($A159,'DWV ABS'!$A$8:$M$116,5,FALSE),
IF($A159&lt;'PVC SCH40'!$A$425,VLOOKUP($A159,'PVC SCH40'!$A$8:$M$424,5,FALSE),
IF($A159&lt;'PVC SCH40 LD'!$A$22,VLOOKUP($A159,'PVC SCH40 LD'!$A$8:$M$21,5,FALSE),
IF($A159&lt;'Pool &amp; SPA Sweep Elbows'!$A$12,VLOOKUP($A159,'Pool &amp; SPA Sweep Elbows'!$A$8:$M$11,5,FALSE),
IF($A159&lt;'Pool &amp; SPA Pipe Extender'!$A$11,VLOOKUP($A159,'Pool &amp; SPA Pipe Extender'!$A$8:$M$10,5,FALSE),
IF($A159&lt;'PVC SCH80'!$A$250,VLOOKUP($A159,'PVC SCH80'!$A$8:$M$249,5,FALSE),
IF($A159&lt;'PVC SCH80 Flange'!$A$49,VLOOKUP($A159,'PVC SCH80 Flange'!$A$8:$M$48,5,FALSE),
IF($A159&lt;'PVC SCH80 LD Flange'!$A$17,VLOOKUP($A159,'PVC SCH80 LD Flange'!$A$8:$M$16,5,FALSE),
IF($A159&lt;CPVC!$A$105,VLOOKUP($A159,CPVC!$A$9:$M$104,5,FALSE),
IF($A159&lt;InsertFittings!$A$185,VLOOKUP($A159,InsertFittings!$A$9:$M$184,5,FALSE),
IF($A159&lt;Valves!$A$92,VLOOKUP($A159,Valves!$A$9:$Q$91,5,FALSE),
IF($A159&lt;SDR35SW!$A$133,VLOOKUP($A159,SDR35SW!$A$9:$M$132,5,FALSE),
IF($A159&lt;SDR35G!$A$151,VLOOKUP($A159,SDR35G!$A$9:$M$150,5,FALSE),
IF($A159&lt;SDR26G!$A$67,VLOOKUP($A159,SDR26G!$A$9:$N$66,6,FALSE),
IF($A159&lt;Cements!$A$95,VLOOKUP($A159,Cements!$A$8:$Q$94,5,FALSE),
IF($A159&lt;ValveBox!$A$124,VLOOKUP($A159,ValveBox!$A$9:$O$123,5,FALSE),
IF($A159&lt;'ValveBox Components'!$A$142,VLOOKUP($A159,'ValveBox Components'!$A$9:$N$141,5,FALSE),
IF($A159&lt;Drainage!$A$69,VLOOKUP($A159,Drainage!$A$8:$M$68,5,FALSE),
IF($A159&lt;Nipples!$A$82,VLOOKUP($A159,Nipples!$A$9:$Q$81,5,FALSE),
IF($A159&lt;Manifold!$A$33,VLOOKUP($A159,Manifold!$A$9:$M$32,5,FALSE),
IF($A159&lt;FlexibleRepairCouplings!$A$12,VLOOKUP($A159,FlexibleRepairCouplings!$A$9:$M$11,5,FALSE),
IF($A159&lt;DuraFix!$A$15,VLOOKUP($A159,DuraFix!$A$9:$M$14,5,FALSE),
IF($A159&lt;'Compression Fittings'!$A$16,VLOOKUP($A159,'Compression Fittings'!$A$8:$M$15,5,FALSE),
IF($A159&lt;'Hose Fittings'!$A$30,VLOOKUP($A159,'Hose Fittings'!$A$8:$M$29,5,FALSE),
IF($A159&lt;'Swing Joints'!$A$495,VLOOKUP($A159,'Swing Joints'!$A$9:$M$494,5,FALSE),
IF($A159&lt;'Swing Joints Components'!$A$135,VLOOKUP($A159,'Swing Joints Components'!$A$9:$M$134,5,FALSE),
IF($A159&lt;Nonstandard!$A$42,VLOOKUP($A159,Nonstandard!$A$31:$J$41,6,FALSE),"")))))))))))))))))))))))))))),"")</f>
        <v/>
      </c>
      <c r="D159" s="534" t="str">
        <f>IFERROR(IF($A159&lt;'DWV PVC'!$A$317,VLOOKUP($A159,'DWV PVC'!$A$9:$M$316,6,FALSE),
IF($A159&lt;'DWV ABS'!$A$117,VLOOKUP($A159,'DWV ABS'!$A$8:$M$116,6,FALSE),
IF($A159&lt;'PVC SCH40'!$A$425,VLOOKUP($A159,'PVC SCH40'!$A$8:$M$424,6,FALSE),
IF($A159&lt;'PVC SCH40 LD'!$A$22,VLOOKUP($A159,'PVC SCH40 LD'!$A$8:$M$21,6,FALSE),
IF($A159&lt;'Pool &amp; SPA Sweep Elbows'!$A$12,VLOOKUP($A159,'Pool &amp; SPA Sweep Elbows'!$A$8:$M$11,6,FALSE),
IF($A159&lt;'Pool &amp; SPA Pipe Extender'!$A$11,VLOOKUP($A159,'Pool &amp; SPA Pipe Extender'!$A$8:$M$10,6,FALSE),
IF($A159&lt;'PVC SCH80'!$A$250,VLOOKUP($A159,'PVC SCH80'!$A$8:$M$249,6,FALSE),
IF($A159&lt;'PVC SCH80 Flange'!$A$49,VLOOKUP($A159,'PVC SCH80 Flange'!$A$8:$M$48,6,FALSE),
IF($A159&lt;'PVC SCH80 LD Flange'!$A$17,VLOOKUP($A159,'PVC SCH80 LD Flange'!$A$8:$M$16,6,FALSE),
IF($A159&lt;CPVC!$A$105,VLOOKUP($A159,CPVC!$A$9:$M$104,6,FALSE),
IF($A159&lt;InsertFittings!$A$185,VLOOKUP($A159,InsertFittings!$A$9:$M$184,6,FALSE),
IF($A159&lt;Valves!$A$92,VLOOKUP($A159,Valves!$A$9:$Q$91,6,FALSE),
IF($A159&lt;SDR35SW!$A$133,VLOOKUP($A159,SDR35SW!$A$9:$M$132,6,FALSE),
IF($A159&lt;SDR35G!$A$151,VLOOKUP($A159,SDR35G!$A$9:$M$150,6,FALSE),
IF($A159&lt;SDR26G!$A$67,VLOOKUP($A159,SDR26G!$A$9:$N$66,7,FALSE),
IF($A159&lt;Cements!$A$95,VLOOKUP($A159,Cements!$A$8:$Q$94,6,FALSE),
IF($A159&lt;ValveBox!$A$124,VLOOKUP($A159,ValveBox!$A$9:$O$123,6,FALSE),
IF($A159&lt;'ValveBox Components'!$A$142,VLOOKUP($A159,'ValveBox Components'!$A$9:$N$141,6,FALSE),
IF($A159&lt;Drainage!$A$69,VLOOKUP($A159,Drainage!$A$8:$M$68,6,FALSE),
IF($A159&lt;Nipples!$A$82,VLOOKUP($A159,Nipples!$A$9:$Q$81,6,FALSE),
IF($A159&lt;Manifold!$A$33,VLOOKUP($A159,Manifold!$A$9:$M$32,6,FALSE),
IF($A159&lt;FlexibleRepairCouplings!$A$12,VLOOKUP($A159,FlexibleRepairCouplings!$A$9:$M$11,6,FALSE),
IF($A159&lt;DuraFix!$A$15,VLOOKUP($A159,DuraFix!$A$9:$M$14,6,FALSE),
IF($A159&lt;'Compression Fittings'!$A$16,VLOOKUP($A159,'Compression Fittings'!$A$8:$M$15,6,FALSE),
IF($A159&lt;'Hose Fittings'!$A$30,VLOOKUP($A159,'Hose Fittings'!$A$8:$M$29,6,FALSE),
IF($A159&lt;'Swing Joints'!$A$495,VLOOKUP($A159,'Swing Joints'!$A$9:$M$494,6,FALSE),
IF($A159&lt;'Swing Joints Components'!$A$135,VLOOKUP($A159,'Swing Joints Components'!$A$9:$M$134,6,FALSE),
IF($A159&lt;Nonstandard!$A$42,VLOOKUP($A159,Nonstandard!$A$31:$J$41,7,FALSE),"")))))))))))))))))))))))))))),"")</f>
        <v/>
      </c>
      <c r="E159" s="316"/>
      <c r="F159" s="314" t="str">
        <f>IFERROR(IF($A159&lt;'DWV PVC'!$A$317,VLOOKUP($A159,'DWV PVC'!$A$9:$M$316,9,FALSE),
IF($A159&lt;'DWV ABS'!$A$117,VLOOKUP($A159,'DWV ABS'!$A$8:$M$116,9,FALSE),                                                                                                                                                                                                                                                     IF($A159&lt;'PVC SCH40'!$A$425,VLOOKUP($A159,'PVC SCH40'!$A$8:$M$424,9,FALSE),
IF($A159&lt;'PVC SCH40 LD'!$A$22,VLOOKUP($A159,'PVC SCH40 LD'!$A$8:$M$21,9,FALSE),
IF($A159&lt;'Pool &amp; SPA Sweep Elbows'!$A$12,VLOOKUP($A159,'Pool &amp; SPA Sweep Elbows'!$A$8:$M$11,9,FALSE),
IF($A159&lt;'Pool &amp; SPA Pipe Extender'!$A$11,VLOOKUP($A159,'Pool &amp; SPA Pipe Extender'!$A$8:$M$10,9,FALSE),
IF($A159&lt;'PVC SCH80'!$A$250,VLOOKUP($A159,'PVC SCH80'!$A$8:$M$249,9,FALSE),
IF($A159&lt;'PVC SCH80 Flange'!$A$49,VLOOKUP($A159,'PVC SCH80 Flange'!$A$8:$M$48,9,FALSE),
IF($A159&lt;'PVC SCH80 LD Flange'!$A$17,VLOOKUP($A159,'PVC SCH80 LD Flange'!$A$8:$M$16,9,FALSE),
IF($A159&lt;CPVC!$A$105,VLOOKUP($A159,CPVC!$A$9:$M$104,9,FALSE),
IF($A159&lt;InsertFittings!$A$185,VLOOKUP($A159,InsertFittings!$A$9:$M$184,9,FALSE),
IF($A159&lt;Valves!$A$92,VLOOKUP($A159,Valves!$A$9:$Q$91,13,FALSE),
IF($A159&lt;SDR35SW!$A$133,VLOOKUP($A159,SDR35SW!$A$9:$M$132,9,FALSE),
IF($A159&lt;SDR35G!$A$151,VLOOKUP($A159,SDR35G!$A$9:$M$150,9,FALSE),                                                                                                                                                                                                                                                          IF($A159&lt;SDR26G!$A$67,VLOOKUP($A159,SDR26G!$A$9:$N$66,10,FALSE),                                                                                                                                                                                                                                                       IF($A159&lt;Cements!$A$95,VLOOKUP($A159,Cements!$A$8:$Q$94,13,FALSE),
IF($A159&lt;ValveBox!$A$124,VLOOKUP($A159,ValveBox!$A$9:$O$123,11,FALSE),
IF($A159&lt;'ValveBox Components'!$A$142,VLOOKUP($A159,'ValveBox Components'!$A$9:$N$141,10,FALSE),
IF($A159&lt;Drainage!$A$69,VLOOKUP($A159,Drainage!$A$8:$M$68,9,FALSE),                                                                                                                                                                                                                                                              IF($A159&lt;Nipples!$A$82,VLOOKUP($A159,Nipples!$A$9:$Q$81,13,FALSE),
IF($A159&lt;Manifold!$A$33,VLOOKUP($A159,Manifold!$A$9:$M$32,9,FALSE),
IF($A159&lt;FlexibleRepairCouplings!$A$12,VLOOKUP($A159,FlexibleRepairCouplings!$A$9:$M$11,9,FALSE),
IF($A159&lt;DuraFix!$A$15,VLOOKUP($A159,DuraFix!$A$9:$M$14,9,FALSE),                                                                                                                                                                                                                                                          IF($A159&lt;'Compression Fittings'!$A$16,VLOOKUP($A159,'Compression Fittings'!$A$8:$M$15,9,FALSE),
IF($A159&lt;'Hose Fittings'!$A$30,VLOOKUP($A159,'Hose Fittings'!$A$8:$M$29,9,FALSE),
IF($A159&lt;'Swing Joints'!$A$495,VLOOKUP($A159,'Swing Joints'!$A$9:$M$494,9,FALSE),
IF($A159&lt;'Swing Joints Components'!$A$135,VLOOKUP($A159,'Swing Joints Components'!$A$9:$M$134,9,FALSE),
IF($A159&lt;Nonstandard!$A$42,VLOOKUP($A159,Nonstandard!$A$31:$J$41,8,FALSE),"")))))))))))))))))))))))))))),"")</f>
        <v/>
      </c>
      <c r="G159" s="533" t="str">
        <f>IFERROR(IF($A159&lt;'DWV PVC'!$A$317,VLOOKUP($A159,'DWV PVC'!$A$9:$M$316,11,FALSE),
IF($A159&lt;'DWV ABS'!$A$117,VLOOKUP($A159,'DWV ABS'!$A$8:$M$116,11,FALSE),                                                                                                                                                                                                                                                     IF($A159&lt;'PVC SCH40'!$A$425,VLOOKUP($A159,'PVC SCH40'!$A$8:$M$424,11,FALSE),
IF($A159&lt;'PVC SCH40 LD'!$A$22,VLOOKUP($A159,'PVC SCH40 LD'!$A$8:$M$21,11,FALSE),
IF($A159&lt;'Pool &amp; SPA Sweep Elbows'!$A$12,VLOOKUP($A159,'Pool &amp; SPA Sweep Elbows'!$A$8:$M$11,11,FALSE),
IF($A159&lt;'Pool &amp; SPA Pipe Extender'!$A$11,VLOOKUP($A159,'Pool &amp; SPA Pipe Extender'!$A$8:$M$10,11,FALSE),
IF($A159&lt;'PVC SCH80'!$A$250,VLOOKUP($A159,'PVC SCH80'!$A$8:$M$249,11,FALSE),
IF($A159&lt;'PVC SCH80 Flange'!$A$49,VLOOKUP($A159,'PVC SCH80 Flange'!$A$8:$M$48,11,FALSE),
IF($A159&lt;'PVC SCH80 LD Flange'!$A$17,VLOOKUP($A159,'PVC SCH80 LD Flange'!$A$8:$M$16,11,FALSE),
IF($A159&lt;CPVC!$A$105,VLOOKUP($A159,CPVC!$A$9:$M$104,11,FALSE),
IF($A159&lt;InsertFittings!$A$185,VLOOKUP($A159,InsertFittings!$A$9:$M$184,11,FALSE),
IF($A159&lt;Valves!$A$92,VLOOKUP($A159,Valves!$A$9:$Q$91,15,FALSE),
IF($A159&lt;SDR35SW!$A$133,VLOOKUP($A159,SDR35SW!$A$9:$M$132,11,FALSE),
IF($A159&lt;SDR35G!$A$151,VLOOKUP($A159,SDR35G!$A$9:$M$150,11,FALSE),                                                                                                                                                                                                                                                          IF($A159&lt;SDR26G!$A$67,VLOOKUP($A159,SDR26G!$A$9:$N$66,12,FALSE),                                                                                                                                                                                                                                                       IF($A159&lt;Cements!$A$95,VLOOKUP($A159,Cements!$A$8:$Q$94,15,FALSE),
IF($A159&lt;ValveBox!$A$124,VLOOKUP($A159,ValveBox!$A$9:$O$123,13,FALSE),
IF($A159&lt;'ValveBox Components'!$A$142,VLOOKUP($A159,'ValveBox Components'!$A$9:$N$141,12,FALSE),
IF($A159&lt;Drainage!$A$69,VLOOKUP($A159,Drainage!$A$8:$M$68,11,FALSE),                                                                                                                                                                                                                                                           IF($A159&lt;Nipples!$A$82,VLOOKUP($A159,Nipples!$A$9:$Q$81,15,FALSE),
IF($A159&lt;Manifold!$A$33,VLOOKUP($A159,Manifold!$A$9:$M$32,11,FALSE),
IF($A159&lt;FlexibleRepairCouplings!$A$12,VLOOKUP($A159,FlexibleRepairCouplings!$A$9:$M$11,11,FALSE),
IF($A159&lt;DuraFix!$A$15,VLOOKUP($A159,DuraFix!$A$9:$M$14,11,FALSE),                                                                                                                                                                                                                                                            IF($A159&lt;'Compression Fittings'!$A$16,VLOOKUP($A159,'Compression Fittings'!$A$8:$M$15,11,FALSE),
IF($A159&lt;'Hose Fittings'!$A$30,VLOOKUP($A159,'Hose Fittings'!$A$8:$M$29,11,FALSE),
IF($A159&lt;'Swing Joints'!$A$495,VLOOKUP($A159,'Swing Joints'!$A$9:$M$494,11,FALSE),
IF($A159&lt;'Swing Joints Components'!$A$135,VLOOKUP($A159,'Swing Joints Components'!$A$9:$M$134,11,FALSE),
IF($A159&lt;Nonstandard!$A$42,VLOOKUP($A159,Nonstandard!$A$31:$J$41,10,FALSE),"")))))))))))))))))))))))))))),"")</f>
        <v/>
      </c>
      <c r="H159" s="618" t="str">
        <f>IFERROR(IF($A159&lt;'DWV PVC'!$A$317,VLOOKUP($A159,'DWV PVC'!$A$9:$M$316,7,FALSE),
IF($A159&lt;'DWV ABS'!$A$117,VLOOKUP($A159,'DWV ABS'!$A$8:$M$116,11,FALSE),                                                                                                                                                                                                                                                     IF($A159&lt;'PVC SCH40'!$A$425,VLOOKUP($A159,'PVC SCH40'!$A$8:$M$424,7,FALSE),
IF($A159&lt;'PVC SCH40 LD'!$A$22,VLOOKUP($A159,'PVC SCH40 LD'!$A$8:$M$21,7,FALSE),
IF($A159&lt;'Pool &amp; SPA Sweep Elbows'!$A$12,VLOOKUP($A159,'Pool &amp; SPA Sweep Elbows'!$A$8:$M$11,7,FALSE),
IF($A159&lt;'Pool &amp; SPA Pipe Extender'!$A$11,VLOOKUP($A159,'Pool &amp; SPA Pipe Extender'!$A$8:$M$10,7,FALSE),
IF($A159&lt;'PVC SCH80'!$A$250,VLOOKUP($A159,'PVC SCH80'!$A$8:$M$249,7,FALSE),
IF($A159&lt;'PVC SCH80 Flange'!$A$49,VLOOKUP($A159,'PVC SCH80 Flange'!$A$8:$M$48,7,FALSE),
IF($A159&lt;'PVC SCH80 LD Flange'!$A$17,VLOOKUP($A159,'PVC SCH80 LD Flange'!$A$8:$M$16,7,FALSE),
IF($A159&lt;CPVC!$A$105,VLOOKUP($A159,CPVC!$A$9:$M$104,7,FALSE),
IF($A159&lt;InsertFittings!$A$185,VLOOKUP($A159,InsertFittings!$A$9:$M$184,7,FALSE),
IF($A159&lt;Valves!$A$92,VLOOKUP($A159,Valves!$A$9:$Q$91,11,FALSE),
IF($A159&lt;SDR35SW!$A$133,VLOOKUP($A159,SDR35SW!$A$9:$M$132,7,FALSE),
IF($A159&lt;SDR35G!$A$151,VLOOKUP($A159,SDR35G!$A$9:$M$150,7,FALSE),                                                                                                                                                                                                                                                       IF($A159&lt;SDR26G!$A$67,VLOOKUP($A159,SDR26G!$A$9:$N$66,8,FALSE),                                                                                                                                                                                                                                                     IF($A159&lt;Cements!$A$95,VLOOKUP($A159,Cements!$A$8:$Q$94,11,FALSE),
IF($A159&lt;ValveBox!$A$124,VLOOKUP($A159,ValveBox!$A$9:$O$123,10,FALSE),
IF($A159&lt;'ValveBox Components'!$A$142,VLOOKUP($A159,'ValveBox Components'!$A$9:$N$141,9,FALSE),
IF($A159&lt;Drainage!$A$69,VLOOKUP($A159,Drainage!$A$8:$M$68,7,FALSE),                                                                                                                                                                                                                                                          IF($A159&lt;Nipples!$A$82,VLOOKUP($A159,Nipples!$A$9:$Q$81,11,FALSE),
IF($A159&lt;Manifold!$A$33,VLOOKUP($A159,Manifold!$A$9:$M$32,7,FALSE),
IF($A159&lt;FlexibleRepairCouplings!$A$12,VLOOKUP($A159,FlexibleRepairCouplings!$A$9:$M$11,7,FALSE),
IF($A159&lt;DuraFix!$A$15,VLOOKUP($A159,DuraFix!$A$9:$M$14,7,FALSE),                                                                                                                                                                                                                                                           IF($A159&lt;'Compression Fittings'!$A$16,VLOOKUP($A159,'Compression Fittings'!$A$8:$M$15,7,FALSE),
IF($A159&lt;'Hose Fittings'!$A$30,VLOOKUP($A159,'Hose Fittings'!$A$8:$M$29,7,FALSE),
IF($A159&lt;'Swing Joints'!$A$495,VLOOKUP($A159,'Swing Joints'!$A$9:$M$494,7,FALSE),
IF($A159&lt;'Swing Joints Components'!$A$135,VLOOKUP($A159,'Swing Joints Components'!$A$9:$M$134,7,FALSE),
IF($A159&lt;Nonstandard!$A$42,VLOOKUP($A159,Nonstandard!$A$31:$J$41,10,FALSE),"")))))))))))))))))))))))))))),"")</f>
        <v/>
      </c>
      <c r="I159" s="619"/>
      <c r="J159" s="281" t="str">
        <f t="shared" si="3"/>
        <v/>
      </c>
      <c r="K159" s="313" t="str">
        <f>IFERROR(IF($A159&lt;'DWV PVC'!$A$317,VLOOKUP($A159,'DWV PVC'!$A$9:$M$316,10,FALSE),
IF($A159&lt;'DWV ABS'!$A$117,VLOOKUP($A159,'DWV ABS'!$A$8:$M$116,10,FALSE),
IF($A159&lt;'PVC SCH40'!$A$425,VLOOKUP($A159,'PVC SCH40'!$A$8:$M$424,10,FALSE),
IF($A159&lt;'PVC SCH40 LD'!$A$22,VLOOKUP($A159,'PVC SCH40 LD'!$A$8:$M$21,10,FALSE),
IF($A159&lt;'Pool &amp; SPA Sweep Elbows'!$A$12,VLOOKUP($A159,'Pool &amp; SPA Sweep Elbows'!$A$8:$M$11,10,FALSE),
IF($A159&lt;'Pool &amp; SPA Pipe Extender'!$A$11,VLOOKUP($A159,'Pool &amp; SPA Pipe Extender'!$A$8:$M$10,10,FALSE),
IF($A159&lt;'PVC SCH80'!$A$250,VLOOKUP($A159,'PVC SCH80'!$A$8:$M$249,10,FALSE),
IF($A159&lt;'PVC SCH80 Flange'!$A$49,VLOOKUP($A159,'PVC SCH80 Flange'!$A$8:$M$48,10,FALSE),
IF($A159&lt;'PVC SCH80 LD Flange'!$A$17,VLOOKUP($A159,'PVC SCH80 LD Flange'!$A$8:$M$16,10,FALSE),
IF($A159&lt;CPVC!$A$105,VLOOKUP($A159,CPVC!$A$9:$M$104,10,FALSE),
IF($A159&lt;InsertFittings!$A$185,VLOOKUP($A159,InsertFittings!$A$9:$M$184,10,FALSE),
IF($A159&lt;Valves!$A$92,VLOOKUP($A159,Valves!$A$9:$Q$91,14,FALSE),
IF($A159&lt;SDR35SW!$A$133,VLOOKUP($A159,SDR35SW!$A$9:$M$132,10,FALSE),
IF($A159&lt;SDR35G!$A$151,VLOOKUP($A159,SDR35G!$A$9:$M$150,10,FALSE),
IF($A159&lt;SDR26G!$A$67,VLOOKUP($A159,SDR26G!$A$9:$N$66,11,FALSE),
IF($A159&lt;Cements!$A$95,VLOOKUP($A159,Cements!$A$8:$Q$94,14,FALSE),
IF($A159&lt;ValveBox!$A$124,VLOOKUP($A159,ValveBox!$A$9:$O$123,12,FALSE),
IF($A159&lt;'ValveBox Components'!$A$142,VLOOKUP($A159,'ValveBox Components'!$A$9:$N$141,11,FALSE),
IF($A159&lt;Drainage!$A$69,VLOOKUP($A159,Drainage!$A$8:$M$68,10,FALSE),
IF($A159&lt;Nipples!$A$82,VLOOKUP($A159,Nipples!$A$9:$Q$81,14,FALSE),
IF($A159&lt;Manifold!$A$33,VLOOKUP($A159,Manifold!$A$9:$M$32,10,FALSE),
IF($A159&lt;FlexibleRepairCouplings!$A$12,VLOOKUP($A159,FlexibleRepairCouplings!$A$9:$M$11,10,FALSE),
IF($A159&lt;DuraFix!$A$15,VLOOKUP($A159,DuraFix!$A$9:$M$14,10,FALSE),
IF($A159&lt;'Compression Fittings'!$A$16,VLOOKUP($A159,'Compression Fittings'!$A$8:$M$15,10,FALSE),
IF($A159&lt;'Hose Fittings'!$A$30,VLOOKUP($A159,'Hose Fittings'!$A$8:$M$29,10,FALSE),
IF($A159&lt;'Swing Joints'!$A$495,VLOOKUP($A159,'Swing Joints'!$A$9:$M$494,10,FALSE),
IF($A159&lt;'Swing Joints Components'!$A$135,VLOOKUP($A159,'Swing Joints Components'!$A$9:$M$134,10,FALSE),
IF($A159&lt;Nonstandard!$A$42,VLOOKUP($A159,Nonstandard!$A$31:$J$41,10,FALSE),"")))))))))))))))))))))))))))),"")</f>
        <v/>
      </c>
      <c r="L159" s="314" t="str">
        <f t="shared" si="2"/>
        <v>-</v>
      </c>
      <c r="M159" s="315"/>
    </row>
    <row r="160" spans="1:13" ht="15.6">
      <c r="A160" s="536">
        <v>128</v>
      </c>
      <c r="B160" s="536" t="str">
        <f>IFERROR(IF($A160&lt;'DWV PVC'!$A$317,VLOOKUP($A160,'DWV PVC'!$A$9:$M$316,4,FALSE),
IF($A160&lt;'DWV ABS'!$A$117,VLOOKUP($A160,'DWV ABS'!$A$8:$M$116,4,FALSE),
IF($A160&lt;'PVC SCH40'!$A$425,VLOOKUP($A160,'PVC SCH40'!$A$8:$M$424,4,FALSE),
IF($A160&lt;'PVC SCH40 LD'!$A$22,VLOOKUP($A160,'PVC SCH40 LD'!$A$8:$M$21,4,FALSE),
IF($A160&lt;'Pool &amp; SPA Sweep Elbows'!$A$12,VLOOKUP($A160,'Pool &amp; SPA Sweep Elbows'!$A$8:$M$11,4,FALSE),
IF($A160&lt;'Pool &amp; SPA Pipe Extender'!$A$11,VLOOKUP($A160,'Pool &amp; SPA Pipe Extender'!$A$8:$M$10,4,FALSE),
IF($A160&lt;'PVC SCH80'!$A$250,VLOOKUP($A160,'PVC SCH80'!$A$8:$M$249,4,FALSE),
IF($A160&lt;'PVC SCH80 Flange'!$A$49,VLOOKUP($A160,'PVC SCH80 Flange'!$A$8:$M$48,4,FALSE),
IF($A160&lt;'PVC SCH80 LD Flange'!$A$17,VLOOKUP($A160,'PVC SCH80 LD Flange'!$A$8:$M$16,4,FALSE),
IF($A160&lt;CPVC!$A$105,VLOOKUP($A160,CPVC!$A$9:$M$104,4,FALSE),
IF($A160&lt;InsertFittings!$A$185,VLOOKUP($A160,InsertFittings!$A$9:$M$184,4,FALSE),
IF($A160&lt;Valves!$A$92,VLOOKUP($A160,Valves!$A$9:$Q$91,4,FALSE),
IF($A160&lt;SDR35SW!$A$133,VLOOKUP($A160,SDR35SW!$A$9:$M$132,4,FALSE),
IF($A160&lt;SDR35G!$A$151,VLOOKUP($A160,SDR35G!$A$9:$M$150,4,FALSE),
IF($A160&lt;SDR26G!$A$67,VLOOKUP($A160,SDR26G!$A$9:$N$66,5,FALSE),
IF($A160&lt;Cements!$A$95,VLOOKUP($A160,Cements!$A$8:$Q$94,4,FALSE),
IF($A160&lt;ValveBox!$A$124,VLOOKUP($A160,ValveBox!$A$9:$O$123,4,FALSE),
IF($A160&lt;'ValveBox Components'!$A$142,VLOOKUP($A160,'ValveBox Components'!$A$9:$N$141,4,FALSE),
IF($A160&lt;Drainage!$A$69,VLOOKUP($A160,Drainage!$A$8:$M$68,4,FALSE),
IF($A160&lt;Nipples!$A$82,VLOOKUP($A160,Nipples!$A$9:$Q$81,4,FALSE),
IF($A160&lt;Manifold!$A$33,VLOOKUP($A160,Manifold!$A$9:$M$32,4,FALSE),
IF($A160&lt;FlexibleRepairCouplings!$A$12,VLOOKUP($A160,FlexibleRepairCouplings!$A$9:$M$11,4,FALSE),
IF($A160&lt;DuraFix!$A$15,VLOOKUP($A160,DuraFix!$A$9:$M$14,4,FALSE),
IF($A160&lt;'Compression Fittings'!$A$16,VLOOKUP($A160,'Compression Fittings'!$A$8:$M$15,4,FALSE),
IF($A160&lt;'Hose Fittings'!$A$30,VLOOKUP($A160,'Hose Fittings'!$A$8:$M$29,4,FALSE),
IF($A160&lt;'Swing Joints'!$A$495,VLOOKUP($A160,'Swing Joints'!$A$9:$M$494,4,FALSE),
IF($A160&lt;'Swing Joints Components'!$A$135,VLOOKUP($A160,'Swing Joints Components'!$A$9:$M$134,4,FALSE),
IF($A160&lt;Nonstandard!$A$42,VLOOKUP($A160,Nonstandard!$A$31:$J$41,5,FALSE),"")))))))))))))))))))))))))))),"")</f>
        <v/>
      </c>
      <c r="C160" s="536" t="str">
        <f>IFERROR(IF($A160&lt;'DWV PVC'!$A$317,VLOOKUP($A160,'DWV PVC'!$A$9:$M$316,5,FALSE),
IF($A160&lt;'DWV ABS'!$A$117,VLOOKUP($A160,'DWV ABS'!$A$8:$M$116,5,FALSE),
IF($A160&lt;'PVC SCH40'!$A$425,VLOOKUP($A160,'PVC SCH40'!$A$8:$M$424,5,FALSE),
IF($A160&lt;'PVC SCH40 LD'!$A$22,VLOOKUP($A160,'PVC SCH40 LD'!$A$8:$M$21,5,FALSE),
IF($A160&lt;'Pool &amp; SPA Sweep Elbows'!$A$12,VLOOKUP($A160,'Pool &amp; SPA Sweep Elbows'!$A$8:$M$11,5,FALSE),
IF($A160&lt;'Pool &amp; SPA Pipe Extender'!$A$11,VLOOKUP($A160,'Pool &amp; SPA Pipe Extender'!$A$8:$M$10,5,FALSE),
IF($A160&lt;'PVC SCH80'!$A$250,VLOOKUP($A160,'PVC SCH80'!$A$8:$M$249,5,FALSE),
IF($A160&lt;'PVC SCH80 Flange'!$A$49,VLOOKUP($A160,'PVC SCH80 Flange'!$A$8:$M$48,5,FALSE),
IF($A160&lt;'PVC SCH80 LD Flange'!$A$17,VLOOKUP($A160,'PVC SCH80 LD Flange'!$A$8:$M$16,5,FALSE),
IF($A160&lt;CPVC!$A$105,VLOOKUP($A160,CPVC!$A$9:$M$104,5,FALSE),
IF($A160&lt;InsertFittings!$A$185,VLOOKUP($A160,InsertFittings!$A$9:$M$184,5,FALSE),
IF($A160&lt;Valves!$A$92,VLOOKUP($A160,Valves!$A$9:$Q$91,5,FALSE),
IF($A160&lt;SDR35SW!$A$133,VLOOKUP($A160,SDR35SW!$A$9:$M$132,5,FALSE),
IF($A160&lt;SDR35G!$A$151,VLOOKUP($A160,SDR35G!$A$9:$M$150,5,FALSE),
IF($A160&lt;SDR26G!$A$67,VLOOKUP($A160,SDR26G!$A$9:$N$66,6,FALSE),
IF($A160&lt;Cements!$A$95,VLOOKUP($A160,Cements!$A$8:$Q$94,5,FALSE),
IF($A160&lt;ValveBox!$A$124,VLOOKUP($A160,ValveBox!$A$9:$O$123,5,FALSE),
IF($A160&lt;'ValveBox Components'!$A$142,VLOOKUP($A160,'ValveBox Components'!$A$9:$N$141,5,FALSE),
IF($A160&lt;Drainage!$A$69,VLOOKUP($A160,Drainage!$A$8:$M$68,5,FALSE),
IF($A160&lt;Nipples!$A$82,VLOOKUP($A160,Nipples!$A$9:$Q$81,5,FALSE),
IF($A160&lt;Manifold!$A$33,VLOOKUP($A160,Manifold!$A$9:$M$32,5,FALSE),
IF($A160&lt;FlexibleRepairCouplings!$A$12,VLOOKUP($A160,FlexibleRepairCouplings!$A$9:$M$11,5,FALSE),
IF($A160&lt;DuraFix!$A$15,VLOOKUP($A160,DuraFix!$A$9:$M$14,5,FALSE),
IF($A160&lt;'Compression Fittings'!$A$16,VLOOKUP($A160,'Compression Fittings'!$A$8:$M$15,5,FALSE),
IF($A160&lt;'Hose Fittings'!$A$30,VLOOKUP($A160,'Hose Fittings'!$A$8:$M$29,5,FALSE),
IF($A160&lt;'Swing Joints'!$A$495,VLOOKUP($A160,'Swing Joints'!$A$9:$M$494,5,FALSE),
IF($A160&lt;'Swing Joints Components'!$A$135,VLOOKUP($A160,'Swing Joints Components'!$A$9:$M$134,5,FALSE),
IF($A160&lt;Nonstandard!$A$42,VLOOKUP($A160,Nonstandard!$A$31:$J$41,6,FALSE),"")))))))))))))))))))))))))))),"")</f>
        <v/>
      </c>
      <c r="D160" s="537" t="str">
        <f>IFERROR(IF($A160&lt;'DWV PVC'!$A$317,VLOOKUP($A160,'DWV PVC'!$A$9:$M$316,6,FALSE),
IF($A160&lt;'DWV ABS'!$A$117,VLOOKUP($A160,'DWV ABS'!$A$8:$M$116,6,FALSE),
IF($A160&lt;'PVC SCH40'!$A$425,VLOOKUP($A160,'PVC SCH40'!$A$8:$M$424,6,FALSE),
IF($A160&lt;'PVC SCH40 LD'!$A$22,VLOOKUP($A160,'PVC SCH40 LD'!$A$8:$M$21,6,FALSE),
IF($A160&lt;'Pool &amp; SPA Sweep Elbows'!$A$12,VLOOKUP($A160,'Pool &amp; SPA Sweep Elbows'!$A$8:$M$11,6,FALSE),
IF($A160&lt;'Pool &amp; SPA Pipe Extender'!$A$11,VLOOKUP($A160,'Pool &amp; SPA Pipe Extender'!$A$8:$M$10,6,FALSE),
IF($A160&lt;'PVC SCH80'!$A$250,VLOOKUP($A160,'PVC SCH80'!$A$8:$M$249,6,FALSE),
IF($A160&lt;'PVC SCH80 Flange'!$A$49,VLOOKUP($A160,'PVC SCH80 Flange'!$A$8:$M$48,6,FALSE),
IF($A160&lt;'PVC SCH80 LD Flange'!$A$17,VLOOKUP($A160,'PVC SCH80 LD Flange'!$A$8:$M$16,6,FALSE),
IF($A160&lt;CPVC!$A$105,VLOOKUP($A160,CPVC!$A$9:$M$104,6,FALSE),
IF($A160&lt;InsertFittings!$A$185,VLOOKUP($A160,InsertFittings!$A$9:$M$184,6,FALSE),
IF($A160&lt;Valves!$A$92,VLOOKUP($A160,Valves!$A$9:$Q$91,6,FALSE),
IF($A160&lt;SDR35SW!$A$133,VLOOKUP($A160,SDR35SW!$A$9:$M$132,6,FALSE),
IF($A160&lt;SDR35G!$A$151,VLOOKUP($A160,SDR35G!$A$9:$M$150,6,FALSE),
IF($A160&lt;SDR26G!$A$67,VLOOKUP($A160,SDR26G!$A$9:$N$66,7,FALSE),
IF($A160&lt;Cements!$A$95,VLOOKUP($A160,Cements!$A$8:$Q$94,6,FALSE),
IF($A160&lt;ValveBox!$A$124,VLOOKUP($A160,ValveBox!$A$9:$O$123,6,FALSE),
IF($A160&lt;'ValveBox Components'!$A$142,VLOOKUP($A160,'ValveBox Components'!$A$9:$N$141,6,FALSE),
IF($A160&lt;Drainage!$A$69,VLOOKUP($A160,Drainage!$A$8:$M$68,6,FALSE),
IF($A160&lt;Nipples!$A$82,VLOOKUP($A160,Nipples!$A$9:$Q$81,6,FALSE),
IF($A160&lt;Manifold!$A$33,VLOOKUP($A160,Manifold!$A$9:$M$32,6,FALSE),
IF($A160&lt;FlexibleRepairCouplings!$A$12,VLOOKUP($A160,FlexibleRepairCouplings!$A$9:$M$11,6,FALSE),
IF($A160&lt;DuraFix!$A$15,VLOOKUP($A160,DuraFix!$A$9:$M$14,6,FALSE),
IF($A160&lt;'Compression Fittings'!$A$16,VLOOKUP($A160,'Compression Fittings'!$A$8:$M$15,6,FALSE),
IF($A160&lt;'Hose Fittings'!$A$30,VLOOKUP($A160,'Hose Fittings'!$A$8:$M$29,6,FALSE),
IF($A160&lt;'Swing Joints'!$A$495,VLOOKUP($A160,'Swing Joints'!$A$9:$M$494,6,FALSE),
IF($A160&lt;'Swing Joints Components'!$A$135,VLOOKUP($A160,'Swing Joints Components'!$A$9:$M$134,6,FALSE),
IF($A160&lt;Nonstandard!$A$42,VLOOKUP($A160,Nonstandard!$A$31:$J$41,7,FALSE),"")))))))))))))))))))))))))))),"")</f>
        <v/>
      </c>
      <c r="E160" s="538"/>
      <c r="F160" s="539" t="str">
        <f>IFERROR(IF($A160&lt;'DWV PVC'!$A$317,VLOOKUP($A160,'DWV PVC'!$A$9:$M$316,9,FALSE),
IF($A160&lt;'DWV ABS'!$A$117,VLOOKUP($A160,'DWV ABS'!$A$8:$M$116,9,FALSE),                                                                                                                                                                                                                                                     IF($A160&lt;'PVC SCH40'!$A$425,VLOOKUP($A160,'PVC SCH40'!$A$8:$M$424,9,FALSE),
IF($A160&lt;'PVC SCH40 LD'!$A$22,VLOOKUP($A160,'PVC SCH40 LD'!$A$8:$M$21,9,FALSE),
IF($A160&lt;'Pool &amp; SPA Sweep Elbows'!$A$12,VLOOKUP($A160,'Pool &amp; SPA Sweep Elbows'!$A$8:$M$11,9,FALSE),
IF($A160&lt;'Pool &amp; SPA Pipe Extender'!$A$11,VLOOKUP($A160,'Pool &amp; SPA Pipe Extender'!$A$8:$M$10,9,FALSE),
IF($A160&lt;'PVC SCH80'!$A$250,VLOOKUP($A160,'PVC SCH80'!$A$8:$M$249,9,FALSE),
IF($A160&lt;'PVC SCH80 Flange'!$A$49,VLOOKUP($A160,'PVC SCH80 Flange'!$A$8:$M$48,9,FALSE),
IF($A160&lt;'PVC SCH80 LD Flange'!$A$17,VLOOKUP($A160,'PVC SCH80 LD Flange'!$A$8:$M$16,9,FALSE),
IF($A160&lt;CPVC!$A$105,VLOOKUP($A160,CPVC!$A$9:$M$104,9,FALSE),
IF($A160&lt;InsertFittings!$A$185,VLOOKUP($A160,InsertFittings!$A$9:$M$184,9,FALSE),
IF($A160&lt;Valves!$A$92,VLOOKUP($A160,Valves!$A$9:$Q$91,13,FALSE),
IF($A160&lt;SDR35SW!$A$133,VLOOKUP($A160,SDR35SW!$A$9:$M$132,9,FALSE),
IF($A160&lt;SDR35G!$A$151,VLOOKUP($A160,SDR35G!$A$9:$M$150,9,FALSE),                                                                                                                                                                                                                                                          IF($A160&lt;SDR26G!$A$67,VLOOKUP($A160,SDR26G!$A$9:$N$66,10,FALSE),                                                                                                                                                                                                                                                       IF($A160&lt;Cements!$A$95,VLOOKUP($A160,Cements!$A$8:$Q$94,13,FALSE),
IF($A160&lt;ValveBox!$A$124,VLOOKUP($A160,ValveBox!$A$9:$O$123,11,FALSE),
IF($A160&lt;'ValveBox Components'!$A$142,VLOOKUP($A160,'ValveBox Components'!$A$9:$N$141,10,FALSE),
IF($A160&lt;Drainage!$A$69,VLOOKUP($A160,Drainage!$A$8:$M$68,9,FALSE),                                                                                                                                                                                                                                                              IF($A160&lt;Nipples!$A$82,VLOOKUP($A160,Nipples!$A$9:$Q$81,13,FALSE),
IF($A160&lt;Manifold!$A$33,VLOOKUP($A160,Manifold!$A$9:$M$32,9,FALSE),
IF($A160&lt;FlexibleRepairCouplings!$A$12,VLOOKUP($A160,FlexibleRepairCouplings!$A$9:$M$11,9,FALSE),
IF($A160&lt;DuraFix!$A$15,VLOOKUP($A160,DuraFix!$A$9:$M$14,9,FALSE),                                                                                                                                                                                                                                                          IF($A160&lt;'Compression Fittings'!$A$16,VLOOKUP($A160,'Compression Fittings'!$A$8:$M$15,9,FALSE),
IF($A160&lt;'Hose Fittings'!$A$30,VLOOKUP($A160,'Hose Fittings'!$A$8:$M$29,9,FALSE),
IF($A160&lt;'Swing Joints'!$A$495,VLOOKUP($A160,'Swing Joints'!$A$9:$M$494,9,FALSE),
IF($A160&lt;'Swing Joints Components'!$A$135,VLOOKUP($A160,'Swing Joints Components'!$A$9:$M$134,9,FALSE),
IF($A160&lt;Nonstandard!$A$42,VLOOKUP($A160,Nonstandard!$A$31:$J$41,8,FALSE),"")))))))))))))))))))))))))))),"")</f>
        <v/>
      </c>
      <c r="G160" s="540" t="str">
        <f>IFERROR(IF($A160&lt;'DWV PVC'!$A$317,VLOOKUP($A160,'DWV PVC'!$A$9:$M$316,11,FALSE),
IF($A160&lt;'DWV ABS'!$A$117,VLOOKUP($A160,'DWV ABS'!$A$8:$M$116,11,FALSE),                                                                                                                                                                                                                                                     IF($A160&lt;'PVC SCH40'!$A$425,VLOOKUP($A160,'PVC SCH40'!$A$8:$M$424,11,FALSE),
IF($A160&lt;'PVC SCH40 LD'!$A$22,VLOOKUP($A160,'PVC SCH40 LD'!$A$8:$M$21,11,FALSE),
IF($A160&lt;'Pool &amp; SPA Sweep Elbows'!$A$12,VLOOKUP($A160,'Pool &amp; SPA Sweep Elbows'!$A$8:$M$11,11,FALSE),
IF($A160&lt;'Pool &amp; SPA Pipe Extender'!$A$11,VLOOKUP($A160,'Pool &amp; SPA Pipe Extender'!$A$8:$M$10,11,FALSE),
IF($A160&lt;'PVC SCH80'!$A$250,VLOOKUP($A160,'PVC SCH80'!$A$8:$M$249,11,FALSE),
IF($A160&lt;'PVC SCH80 Flange'!$A$49,VLOOKUP($A160,'PVC SCH80 Flange'!$A$8:$M$48,11,FALSE),
IF($A160&lt;'PVC SCH80 LD Flange'!$A$17,VLOOKUP($A160,'PVC SCH80 LD Flange'!$A$8:$M$16,11,FALSE),
IF($A160&lt;CPVC!$A$105,VLOOKUP($A160,CPVC!$A$9:$M$104,11,FALSE),
IF($A160&lt;InsertFittings!$A$185,VLOOKUP($A160,InsertFittings!$A$9:$M$184,11,FALSE),
IF($A160&lt;Valves!$A$92,VLOOKUP($A160,Valves!$A$9:$Q$91,15,FALSE),
IF($A160&lt;SDR35SW!$A$133,VLOOKUP($A160,SDR35SW!$A$9:$M$132,11,FALSE),
IF($A160&lt;SDR35G!$A$151,VLOOKUP($A160,SDR35G!$A$9:$M$150,11,FALSE),                                                                                                                                                                                                                                                          IF($A160&lt;SDR26G!$A$67,VLOOKUP($A160,SDR26G!$A$9:$N$66,12,FALSE),                                                                                                                                                                                                                                                       IF($A160&lt;Cements!$A$95,VLOOKUP($A160,Cements!$A$8:$Q$94,15,FALSE),
IF($A160&lt;ValveBox!$A$124,VLOOKUP($A160,ValveBox!$A$9:$O$123,13,FALSE),
IF($A160&lt;'ValveBox Components'!$A$142,VLOOKUP($A160,'ValveBox Components'!$A$9:$N$141,12,FALSE),
IF($A160&lt;Drainage!$A$69,VLOOKUP($A160,Drainage!$A$8:$M$68,11,FALSE),                                                                                                                                                                                                                                                           IF($A160&lt;Nipples!$A$82,VLOOKUP($A160,Nipples!$A$9:$Q$81,15,FALSE),
IF($A160&lt;Manifold!$A$33,VLOOKUP($A160,Manifold!$A$9:$M$32,11,FALSE),
IF($A160&lt;FlexibleRepairCouplings!$A$12,VLOOKUP($A160,FlexibleRepairCouplings!$A$9:$M$11,11,FALSE),
IF($A160&lt;DuraFix!$A$15,VLOOKUP($A160,DuraFix!$A$9:$M$14,11,FALSE),                                                                                                                                                                                                                                                            IF($A160&lt;'Compression Fittings'!$A$16,VLOOKUP($A160,'Compression Fittings'!$A$8:$M$15,11,FALSE),
IF($A160&lt;'Hose Fittings'!$A$30,VLOOKUP($A160,'Hose Fittings'!$A$8:$M$29,11,FALSE),
IF($A160&lt;'Swing Joints'!$A$495,VLOOKUP($A160,'Swing Joints'!$A$9:$M$494,11,FALSE),
IF($A160&lt;'Swing Joints Components'!$A$135,VLOOKUP($A160,'Swing Joints Components'!$A$9:$M$134,11,FALSE),
IF($A160&lt;Nonstandard!$A$42,VLOOKUP($A160,Nonstandard!$A$31:$J$41,10,FALSE),"")))))))))))))))))))))))))))),"")</f>
        <v/>
      </c>
      <c r="H160" s="620" t="str">
        <f>IFERROR(IF($A160&lt;'DWV PVC'!$A$317,VLOOKUP($A160,'DWV PVC'!$A$9:$M$316,7,FALSE),
IF($A160&lt;'DWV ABS'!$A$117,VLOOKUP($A160,'DWV ABS'!$A$8:$M$116,11,FALSE),                                                                                                                                                                                                                                                     IF($A160&lt;'PVC SCH40'!$A$425,VLOOKUP($A160,'PVC SCH40'!$A$8:$M$424,7,FALSE),
IF($A160&lt;'PVC SCH40 LD'!$A$22,VLOOKUP($A160,'PVC SCH40 LD'!$A$8:$M$21,7,FALSE),
IF($A160&lt;'Pool &amp; SPA Sweep Elbows'!$A$12,VLOOKUP($A160,'Pool &amp; SPA Sweep Elbows'!$A$8:$M$11,7,FALSE),
IF($A160&lt;'Pool &amp; SPA Pipe Extender'!$A$11,VLOOKUP($A160,'Pool &amp; SPA Pipe Extender'!$A$8:$M$10,7,FALSE),
IF($A160&lt;'PVC SCH80'!$A$250,VLOOKUP($A160,'PVC SCH80'!$A$8:$M$249,7,FALSE),
IF($A160&lt;'PVC SCH80 Flange'!$A$49,VLOOKUP($A160,'PVC SCH80 Flange'!$A$8:$M$48,7,FALSE),
IF($A160&lt;'PVC SCH80 LD Flange'!$A$17,VLOOKUP($A160,'PVC SCH80 LD Flange'!$A$8:$M$16,7,FALSE),
IF($A160&lt;CPVC!$A$105,VLOOKUP($A160,CPVC!$A$9:$M$104,7,FALSE),
IF($A160&lt;InsertFittings!$A$185,VLOOKUP($A160,InsertFittings!$A$9:$M$184,7,FALSE),
IF($A160&lt;Valves!$A$92,VLOOKUP($A160,Valves!$A$9:$Q$91,11,FALSE),
IF($A160&lt;SDR35SW!$A$133,VLOOKUP($A160,SDR35SW!$A$9:$M$132,7,FALSE),
IF($A160&lt;SDR35G!$A$151,VLOOKUP($A160,SDR35G!$A$9:$M$150,7,FALSE),                                                                                                                                                                                                                                                       IF($A160&lt;SDR26G!$A$67,VLOOKUP($A160,SDR26G!$A$9:$N$66,8,FALSE),                                                                                                                                                                                                                                                     IF($A160&lt;Cements!$A$95,VLOOKUP($A160,Cements!$A$8:$Q$94,11,FALSE),
IF($A160&lt;ValveBox!$A$124,VLOOKUP($A160,ValveBox!$A$9:$O$123,10,FALSE),
IF($A160&lt;'ValveBox Components'!$A$142,VLOOKUP($A160,'ValveBox Components'!$A$9:$N$141,9,FALSE),
IF($A160&lt;Drainage!$A$69,VLOOKUP($A160,Drainage!$A$8:$M$68,7,FALSE),                                                                                                                                                                                                                                                          IF($A160&lt;Nipples!$A$82,VLOOKUP($A160,Nipples!$A$9:$Q$81,11,FALSE),
IF($A160&lt;Manifold!$A$33,VLOOKUP($A160,Manifold!$A$9:$M$32,7,FALSE),
IF($A160&lt;FlexibleRepairCouplings!$A$12,VLOOKUP($A160,FlexibleRepairCouplings!$A$9:$M$11,7,FALSE),
IF($A160&lt;DuraFix!$A$15,VLOOKUP($A160,DuraFix!$A$9:$M$14,7,FALSE),                                                                                                                                                                                                                                                           IF($A160&lt;'Compression Fittings'!$A$16,VLOOKUP($A160,'Compression Fittings'!$A$8:$M$15,7,FALSE),
IF($A160&lt;'Hose Fittings'!$A$30,VLOOKUP($A160,'Hose Fittings'!$A$8:$M$29,7,FALSE),
IF($A160&lt;'Swing Joints'!$A$495,VLOOKUP($A160,'Swing Joints'!$A$9:$M$494,7,FALSE),
IF($A160&lt;'Swing Joints Components'!$A$135,VLOOKUP($A160,'Swing Joints Components'!$A$9:$M$134,7,FALSE),
IF($A160&lt;Nonstandard!$A$42,VLOOKUP($A160,Nonstandard!$A$31:$J$41,10,FALSE),"")))))))))))))))))))))))))))),"")</f>
        <v/>
      </c>
      <c r="I160" s="621"/>
      <c r="J160" s="541" t="str">
        <f t="shared" si="3"/>
        <v/>
      </c>
      <c r="K160" s="599" t="str">
        <f>IFERROR(IF($A160&lt;'DWV PVC'!$A$317,VLOOKUP($A160,'DWV PVC'!$A$9:$M$316,10,FALSE),
IF($A160&lt;'DWV ABS'!$A$117,VLOOKUP($A160,'DWV ABS'!$A$8:$M$116,10,FALSE),
IF($A160&lt;'PVC SCH40'!$A$425,VLOOKUP($A160,'PVC SCH40'!$A$8:$M$424,10,FALSE),
IF($A160&lt;'PVC SCH40 LD'!$A$22,VLOOKUP($A160,'PVC SCH40 LD'!$A$8:$M$21,10,FALSE),
IF($A160&lt;'Pool &amp; SPA Sweep Elbows'!$A$12,VLOOKUP($A160,'Pool &amp; SPA Sweep Elbows'!$A$8:$M$11,10,FALSE),
IF($A160&lt;'Pool &amp; SPA Pipe Extender'!$A$11,VLOOKUP($A160,'Pool &amp; SPA Pipe Extender'!$A$8:$M$10,10,FALSE),
IF($A160&lt;'PVC SCH80'!$A$250,VLOOKUP($A160,'PVC SCH80'!$A$8:$M$249,10,FALSE),
IF($A160&lt;'PVC SCH80 Flange'!$A$49,VLOOKUP($A160,'PVC SCH80 Flange'!$A$8:$M$48,10,FALSE),
IF($A160&lt;'PVC SCH80 LD Flange'!$A$17,VLOOKUP($A160,'PVC SCH80 LD Flange'!$A$8:$M$16,10,FALSE),
IF($A160&lt;CPVC!$A$105,VLOOKUP($A160,CPVC!$A$9:$M$104,10,FALSE),
IF($A160&lt;InsertFittings!$A$185,VLOOKUP($A160,InsertFittings!$A$9:$M$184,10,FALSE),
IF($A160&lt;Valves!$A$92,VLOOKUP($A160,Valves!$A$9:$Q$91,14,FALSE),
IF($A160&lt;SDR35SW!$A$133,VLOOKUP($A160,SDR35SW!$A$9:$M$132,10,FALSE),
IF($A160&lt;SDR35G!$A$151,VLOOKUP($A160,SDR35G!$A$9:$M$150,10,FALSE),
IF($A160&lt;SDR26G!$A$67,VLOOKUP($A160,SDR26G!$A$9:$N$66,11,FALSE),
IF($A160&lt;Cements!$A$95,VLOOKUP($A160,Cements!$A$8:$Q$94,14,FALSE),
IF($A160&lt;ValveBox!$A$124,VLOOKUP($A160,ValveBox!$A$9:$O$123,12,FALSE),
IF($A160&lt;'ValveBox Components'!$A$142,VLOOKUP($A160,'ValveBox Components'!$A$9:$N$141,11,FALSE),
IF($A160&lt;Drainage!$A$69,VLOOKUP($A160,Drainage!$A$8:$M$68,10,FALSE),
IF($A160&lt;Nipples!$A$82,VLOOKUP($A160,Nipples!$A$9:$Q$81,14,FALSE),
IF($A160&lt;Manifold!$A$33,VLOOKUP($A160,Manifold!$A$9:$M$32,10,FALSE),
IF($A160&lt;FlexibleRepairCouplings!$A$12,VLOOKUP($A160,FlexibleRepairCouplings!$A$9:$M$11,10,FALSE),
IF($A160&lt;DuraFix!$A$15,VLOOKUP($A160,DuraFix!$A$9:$M$14,10,FALSE),
IF($A160&lt;'Compression Fittings'!$A$16,VLOOKUP($A160,'Compression Fittings'!$A$8:$M$15,10,FALSE),
IF($A160&lt;'Hose Fittings'!$A$30,VLOOKUP($A160,'Hose Fittings'!$A$8:$M$29,10,FALSE),
IF($A160&lt;'Swing Joints'!$A$495,VLOOKUP($A160,'Swing Joints'!$A$9:$M$494,10,FALSE),
IF($A160&lt;'Swing Joints Components'!$A$135,VLOOKUP($A160,'Swing Joints Components'!$A$9:$M$134,10,FALSE),
IF($A160&lt;Nonstandard!$A$42,VLOOKUP($A160,Nonstandard!$A$31:$J$41,10,FALSE),"")))))))))))))))))))))))))))),"")</f>
        <v/>
      </c>
      <c r="L160" s="539" t="str">
        <f t="shared" si="2"/>
        <v>-</v>
      </c>
      <c r="M160" s="542"/>
    </row>
    <row r="161" spans="1:13" ht="15.6">
      <c r="A161" s="312">
        <v>129</v>
      </c>
      <c r="B161" s="312" t="str">
        <f>IFERROR(IF($A161&lt;'DWV PVC'!$A$317,VLOOKUP($A161,'DWV PVC'!$A$9:$M$316,4,FALSE),
IF($A161&lt;'DWV ABS'!$A$117,VLOOKUP($A161,'DWV ABS'!$A$8:$M$116,4,FALSE),
IF($A161&lt;'PVC SCH40'!$A$425,VLOOKUP($A161,'PVC SCH40'!$A$8:$M$424,4,FALSE),
IF($A161&lt;'PVC SCH40 LD'!$A$22,VLOOKUP($A161,'PVC SCH40 LD'!$A$8:$M$21,4,FALSE),
IF($A161&lt;'Pool &amp; SPA Sweep Elbows'!$A$12,VLOOKUP($A161,'Pool &amp; SPA Sweep Elbows'!$A$8:$M$11,4,FALSE),
IF($A161&lt;'Pool &amp; SPA Pipe Extender'!$A$11,VLOOKUP($A161,'Pool &amp; SPA Pipe Extender'!$A$8:$M$10,4,FALSE),
IF($A161&lt;'PVC SCH80'!$A$250,VLOOKUP($A161,'PVC SCH80'!$A$8:$M$249,4,FALSE),
IF($A161&lt;'PVC SCH80 Flange'!$A$49,VLOOKUP($A161,'PVC SCH80 Flange'!$A$8:$M$48,4,FALSE),
IF($A161&lt;'PVC SCH80 LD Flange'!$A$17,VLOOKUP($A161,'PVC SCH80 LD Flange'!$A$8:$M$16,4,FALSE),
IF($A161&lt;CPVC!$A$105,VLOOKUP($A161,CPVC!$A$9:$M$104,4,FALSE),
IF($A161&lt;InsertFittings!$A$185,VLOOKUP($A161,InsertFittings!$A$9:$M$184,4,FALSE),
IF($A161&lt;Valves!$A$92,VLOOKUP($A161,Valves!$A$9:$Q$91,4,FALSE),
IF($A161&lt;SDR35SW!$A$133,VLOOKUP($A161,SDR35SW!$A$9:$M$132,4,FALSE),
IF($A161&lt;SDR35G!$A$151,VLOOKUP($A161,SDR35G!$A$9:$M$150,4,FALSE),
IF($A161&lt;SDR26G!$A$67,VLOOKUP($A161,SDR26G!$A$9:$N$66,5,FALSE),
IF($A161&lt;Cements!$A$95,VLOOKUP($A161,Cements!$A$8:$Q$94,4,FALSE),
IF($A161&lt;ValveBox!$A$124,VLOOKUP($A161,ValveBox!$A$9:$O$123,4,FALSE),
IF($A161&lt;'ValveBox Components'!$A$142,VLOOKUP($A161,'ValveBox Components'!$A$9:$N$141,4,FALSE),
IF($A161&lt;Drainage!$A$69,VLOOKUP($A161,Drainage!$A$8:$M$68,4,FALSE),
IF($A161&lt;Nipples!$A$82,VLOOKUP($A161,Nipples!$A$9:$Q$81,4,FALSE),
IF($A161&lt;Manifold!$A$33,VLOOKUP($A161,Manifold!$A$9:$M$32,4,FALSE),
IF($A161&lt;FlexibleRepairCouplings!$A$12,VLOOKUP($A161,FlexibleRepairCouplings!$A$9:$M$11,4,FALSE),
IF($A161&lt;DuraFix!$A$15,VLOOKUP($A161,DuraFix!$A$9:$M$14,4,FALSE),
IF($A161&lt;'Compression Fittings'!$A$16,VLOOKUP($A161,'Compression Fittings'!$A$8:$M$15,4,FALSE),
IF($A161&lt;'Hose Fittings'!$A$30,VLOOKUP($A161,'Hose Fittings'!$A$8:$M$29,4,FALSE),
IF($A161&lt;'Swing Joints'!$A$495,VLOOKUP($A161,'Swing Joints'!$A$9:$M$494,4,FALSE),
IF($A161&lt;'Swing Joints Components'!$A$135,VLOOKUP($A161,'Swing Joints Components'!$A$9:$M$134,4,FALSE),
IF($A161&lt;Nonstandard!$A$42,VLOOKUP($A161,Nonstandard!$A$31:$J$41,5,FALSE),"")))))))))))))))))))))))))))),"")</f>
        <v/>
      </c>
      <c r="C161" s="312" t="str">
        <f>IFERROR(IF($A161&lt;'DWV PVC'!$A$317,VLOOKUP($A161,'DWV PVC'!$A$9:$M$316,5,FALSE),
IF($A161&lt;'DWV ABS'!$A$117,VLOOKUP($A161,'DWV ABS'!$A$8:$M$116,5,FALSE),
IF($A161&lt;'PVC SCH40'!$A$425,VLOOKUP($A161,'PVC SCH40'!$A$8:$M$424,5,FALSE),
IF($A161&lt;'PVC SCH40 LD'!$A$22,VLOOKUP($A161,'PVC SCH40 LD'!$A$8:$M$21,5,FALSE),
IF($A161&lt;'Pool &amp; SPA Sweep Elbows'!$A$12,VLOOKUP($A161,'Pool &amp; SPA Sweep Elbows'!$A$8:$M$11,5,FALSE),
IF($A161&lt;'Pool &amp; SPA Pipe Extender'!$A$11,VLOOKUP($A161,'Pool &amp; SPA Pipe Extender'!$A$8:$M$10,5,FALSE),
IF($A161&lt;'PVC SCH80'!$A$250,VLOOKUP($A161,'PVC SCH80'!$A$8:$M$249,5,FALSE),
IF($A161&lt;'PVC SCH80 Flange'!$A$49,VLOOKUP($A161,'PVC SCH80 Flange'!$A$8:$M$48,5,FALSE),
IF($A161&lt;'PVC SCH80 LD Flange'!$A$17,VLOOKUP($A161,'PVC SCH80 LD Flange'!$A$8:$M$16,5,FALSE),
IF($A161&lt;CPVC!$A$105,VLOOKUP($A161,CPVC!$A$9:$M$104,5,FALSE),
IF($A161&lt;InsertFittings!$A$185,VLOOKUP($A161,InsertFittings!$A$9:$M$184,5,FALSE),
IF($A161&lt;Valves!$A$92,VLOOKUP($A161,Valves!$A$9:$Q$91,5,FALSE),
IF($A161&lt;SDR35SW!$A$133,VLOOKUP($A161,SDR35SW!$A$9:$M$132,5,FALSE),
IF($A161&lt;SDR35G!$A$151,VLOOKUP($A161,SDR35G!$A$9:$M$150,5,FALSE),
IF($A161&lt;SDR26G!$A$67,VLOOKUP($A161,SDR26G!$A$9:$N$66,6,FALSE),
IF($A161&lt;Cements!$A$95,VLOOKUP($A161,Cements!$A$8:$Q$94,5,FALSE),
IF($A161&lt;ValveBox!$A$124,VLOOKUP($A161,ValveBox!$A$9:$O$123,5,FALSE),
IF($A161&lt;'ValveBox Components'!$A$142,VLOOKUP($A161,'ValveBox Components'!$A$9:$N$141,5,FALSE),
IF($A161&lt;Drainage!$A$69,VLOOKUP($A161,Drainage!$A$8:$M$68,5,FALSE),
IF($A161&lt;Nipples!$A$82,VLOOKUP($A161,Nipples!$A$9:$Q$81,5,FALSE),
IF($A161&lt;Manifold!$A$33,VLOOKUP($A161,Manifold!$A$9:$M$32,5,FALSE),
IF($A161&lt;FlexibleRepairCouplings!$A$12,VLOOKUP($A161,FlexibleRepairCouplings!$A$9:$M$11,5,FALSE),
IF($A161&lt;DuraFix!$A$15,VLOOKUP($A161,DuraFix!$A$9:$M$14,5,FALSE),
IF($A161&lt;'Compression Fittings'!$A$16,VLOOKUP($A161,'Compression Fittings'!$A$8:$M$15,5,FALSE),
IF($A161&lt;'Hose Fittings'!$A$30,VLOOKUP($A161,'Hose Fittings'!$A$8:$M$29,5,FALSE),
IF($A161&lt;'Swing Joints'!$A$495,VLOOKUP($A161,'Swing Joints'!$A$9:$M$494,5,FALSE),
IF($A161&lt;'Swing Joints Components'!$A$135,VLOOKUP($A161,'Swing Joints Components'!$A$9:$M$134,5,FALSE),
IF($A161&lt;Nonstandard!$A$42,VLOOKUP($A161,Nonstandard!$A$31:$J$41,6,FALSE),"")))))))))))))))))))))))))))),"")</f>
        <v/>
      </c>
      <c r="D161" s="534" t="str">
        <f>IFERROR(IF($A161&lt;'DWV PVC'!$A$317,VLOOKUP($A161,'DWV PVC'!$A$9:$M$316,6,FALSE),
IF($A161&lt;'DWV ABS'!$A$117,VLOOKUP($A161,'DWV ABS'!$A$8:$M$116,6,FALSE),
IF($A161&lt;'PVC SCH40'!$A$425,VLOOKUP($A161,'PVC SCH40'!$A$8:$M$424,6,FALSE),
IF($A161&lt;'PVC SCH40 LD'!$A$22,VLOOKUP($A161,'PVC SCH40 LD'!$A$8:$M$21,6,FALSE),
IF($A161&lt;'Pool &amp; SPA Sweep Elbows'!$A$12,VLOOKUP($A161,'Pool &amp; SPA Sweep Elbows'!$A$8:$M$11,6,FALSE),
IF($A161&lt;'Pool &amp; SPA Pipe Extender'!$A$11,VLOOKUP($A161,'Pool &amp; SPA Pipe Extender'!$A$8:$M$10,6,FALSE),
IF($A161&lt;'PVC SCH80'!$A$250,VLOOKUP($A161,'PVC SCH80'!$A$8:$M$249,6,FALSE),
IF($A161&lt;'PVC SCH80 Flange'!$A$49,VLOOKUP($A161,'PVC SCH80 Flange'!$A$8:$M$48,6,FALSE),
IF($A161&lt;'PVC SCH80 LD Flange'!$A$17,VLOOKUP($A161,'PVC SCH80 LD Flange'!$A$8:$M$16,6,FALSE),
IF($A161&lt;CPVC!$A$105,VLOOKUP($A161,CPVC!$A$9:$M$104,6,FALSE),
IF($A161&lt;InsertFittings!$A$185,VLOOKUP($A161,InsertFittings!$A$9:$M$184,6,FALSE),
IF($A161&lt;Valves!$A$92,VLOOKUP($A161,Valves!$A$9:$Q$91,6,FALSE),
IF($A161&lt;SDR35SW!$A$133,VLOOKUP($A161,SDR35SW!$A$9:$M$132,6,FALSE),
IF($A161&lt;SDR35G!$A$151,VLOOKUP($A161,SDR35G!$A$9:$M$150,6,FALSE),
IF($A161&lt;SDR26G!$A$67,VLOOKUP($A161,SDR26G!$A$9:$N$66,7,FALSE),
IF($A161&lt;Cements!$A$95,VLOOKUP($A161,Cements!$A$8:$Q$94,6,FALSE),
IF($A161&lt;ValveBox!$A$124,VLOOKUP($A161,ValveBox!$A$9:$O$123,6,FALSE),
IF($A161&lt;'ValveBox Components'!$A$142,VLOOKUP($A161,'ValveBox Components'!$A$9:$N$141,6,FALSE),
IF($A161&lt;Drainage!$A$69,VLOOKUP($A161,Drainage!$A$8:$M$68,6,FALSE),
IF($A161&lt;Nipples!$A$82,VLOOKUP($A161,Nipples!$A$9:$Q$81,6,FALSE),
IF($A161&lt;Manifold!$A$33,VLOOKUP($A161,Manifold!$A$9:$M$32,6,FALSE),
IF($A161&lt;FlexibleRepairCouplings!$A$12,VLOOKUP($A161,FlexibleRepairCouplings!$A$9:$M$11,6,FALSE),
IF($A161&lt;DuraFix!$A$15,VLOOKUP($A161,DuraFix!$A$9:$M$14,6,FALSE),
IF($A161&lt;'Compression Fittings'!$A$16,VLOOKUP($A161,'Compression Fittings'!$A$8:$M$15,6,FALSE),
IF($A161&lt;'Hose Fittings'!$A$30,VLOOKUP($A161,'Hose Fittings'!$A$8:$M$29,6,FALSE),
IF($A161&lt;'Swing Joints'!$A$495,VLOOKUP($A161,'Swing Joints'!$A$9:$M$494,6,FALSE),
IF($A161&lt;'Swing Joints Components'!$A$135,VLOOKUP($A161,'Swing Joints Components'!$A$9:$M$134,6,FALSE),
IF($A161&lt;Nonstandard!$A$42,VLOOKUP($A161,Nonstandard!$A$31:$J$41,7,FALSE),"")))))))))))))))))))))))))))),"")</f>
        <v/>
      </c>
      <c r="E161" s="316"/>
      <c r="F161" s="314" t="str">
        <f>IFERROR(IF($A161&lt;'DWV PVC'!$A$317,VLOOKUP($A161,'DWV PVC'!$A$9:$M$316,9,FALSE),
IF($A161&lt;'DWV ABS'!$A$117,VLOOKUP($A161,'DWV ABS'!$A$8:$M$116,9,FALSE),                                                                                                                                                                                                                                                     IF($A161&lt;'PVC SCH40'!$A$425,VLOOKUP($A161,'PVC SCH40'!$A$8:$M$424,9,FALSE),
IF($A161&lt;'PVC SCH40 LD'!$A$22,VLOOKUP($A161,'PVC SCH40 LD'!$A$8:$M$21,9,FALSE),
IF($A161&lt;'Pool &amp; SPA Sweep Elbows'!$A$12,VLOOKUP($A161,'Pool &amp; SPA Sweep Elbows'!$A$8:$M$11,9,FALSE),
IF($A161&lt;'Pool &amp; SPA Pipe Extender'!$A$11,VLOOKUP($A161,'Pool &amp; SPA Pipe Extender'!$A$8:$M$10,9,FALSE),
IF($A161&lt;'PVC SCH80'!$A$250,VLOOKUP($A161,'PVC SCH80'!$A$8:$M$249,9,FALSE),
IF($A161&lt;'PVC SCH80 Flange'!$A$49,VLOOKUP($A161,'PVC SCH80 Flange'!$A$8:$M$48,9,FALSE),
IF($A161&lt;'PVC SCH80 LD Flange'!$A$17,VLOOKUP($A161,'PVC SCH80 LD Flange'!$A$8:$M$16,9,FALSE),
IF($A161&lt;CPVC!$A$105,VLOOKUP($A161,CPVC!$A$9:$M$104,9,FALSE),
IF($A161&lt;InsertFittings!$A$185,VLOOKUP($A161,InsertFittings!$A$9:$M$184,9,FALSE),
IF($A161&lt;Valves!$A$92,VLOOKUP($A161,Valves!$A$9:$Q$91,13,FALSE),
IF($A161&lt;SDR35SW!$A$133,VLOOKUP($A161,SDR35SW!$A$9:$M$132,9,FALSE),
IF($A161&lt;SDR35G!$A$151,VLOOKUP($A161,SDR35G!$A$9:$M$150,9,FALSE),                                                                                                                                                                                                                                                          IF($A161&lt;SDR26G!$A$67,VLOOKUP($A161,SDR26G!$A$9:$N$66,10,FALSE),                                                                                                                                                                                                                                                       IF($A161&lt;Cements!$A$95,VLOOKUP($A161,Cements!$A$8:$Q$94,13,FALSE),
IF($A161&lt;ValveBox!$A$124,VLOOKUP($A161,ValveBox!$A$9:$O$123,11,FALSE),
IF($A161&lt;'ValveBox Components'!$A$142,VLOOKUP($A161,'ValveBox Components'!$A$9:$N$141,10,FALSE),
IF($A161&lt;Drainage!$A$69,VLOOKUP($A161,Drainage!$A$8:$M$68,9,FALSE),                                                                                                                                                                                                                                                              IF($A161&lt;Nipples!$A$82,VLOOKUP($A161,Nipples!$A$9:$Q$81,13,FALSE),
IF($A161&lt;Manifold!$A$33,VLOOKUP($A161,Manifold!$A$9:$M$32,9,FALSE),
IF($A161&lt;FlexibleRepairCouplings!$A$12,VLOOKUP($A161,FlexibleRepairCouplings!$A$9:$M$11,9,FALSE),
IF($A161&lt;DuraFix!$A$15,VLOOKUP($A161,DuraFix!$A$9:$M$14,9,FALSE),                                                                                                                                                                                                                                                          IF($A161&lt;'Compression Fittings'!$A$16,VLOOKUP($A161,'Compression Fittings'!$A$8:$M$15,9,FALSE),
IF($A161&lt;'Hose Fittings'!$A$30,VLOOKUP($A161,'Hose Fittings'!$A$8:$M$29,9,FALSE),
IF($A161&lt;'Swing Joints'!$A$495,VLOOKUP($A161,'Swing Joints'!$A$9:$M$494,9,FALSE),
IF($A161&lt;'Swing Joints Components'!$A$135,VLOOKUP($A161,'Swing Joints Components'!$A$9:$M$134,9,FALSE),
IF($A161&lt;Nonstandard!$A$42,VLOOKUP($A161,Nonstandard!$A$31:$J$41,8,FALSE),"")))))))))))))))))))))))))))),"")</f>
        <v/>
      </c>
      <c r="G161" s="533" t="str">
        <f>IFERROR(IF($A161&lt;'DWV PVC'!$A$317,VLOOKUP($A161,'DWV PVC'!$A$9:$M$316,11,FALSE),
IF($A161&lt;'DWV ABS'!$A$117,VLOOKUP($A161,'DWV ABS'!$A$8:$M$116,11,FALSE),                                                                                                                                                                                                                                                     IF($A161&lt;'PVC SCH40'!$A$425,VLOOKUP($A161,'PVC SCH40'!$A$8:$M$424,11,FALSE),
IF($A161&lt;'PVC SCH40 LD'!$A$22,VLOOKUP($A161,'PVC SCH40 LD'!$A$8:$M$21,11,FALSE),
IF($A161&lt;'Pool &amp; SPA Sweep Elbows'!$A$12,VLOOKUP($A161,'Pool &amp; SPA Sweep Elbows'!$A$8:$M$11,11,FALSE),
IF($A161&lt;'Pool &amp; SPA Pipe Extender'!$A$11,VLOOKUP($A161,'Pool &amp; SPA Pipe Extender'!$A$8:$M$10,11,FALSE),
IF($A161&lt;'PVC SCH80'!$A$250,VLOOKUP($A161,'PVC SCH80'!$A$8:$M$249,11,FALSE),
IF($A161&lt;'PVC SCH80 Flange'!$A$49,VLOOKUP($A161,'PVC SCH80 Flange'!$A$8:$M$48,11,FALSE),
IF($A161&lt;'PVC SCH80 LD Flange'!$A$17,VLOOKUP($A161,'PVC SCH80 LD Flange'!$A$8:$M$16,11,FALSE),
IF($A161&lt;CPVC!$A$105,VLOOKUP($A161,CPVC!$A$9:$M$104,11,FALSE),
IF($A161&lt;InsertFittings!$A$185,VLOOKUP($A161,InsertFittings!$A$9:$M$184,11,FALSE),
IF($A161&lt;Valves!$A$92,VLOOKUP($A161,Valves!$A$9:$Q$91,15,FALSE),
IF($A161&lt;SDR35SW!$A$133,VLOOKUP($A161,SDR35SW!$A$9:$M$132,11,FALSE),
IF($A161&lt;SDR35G!$A$151,VLOOKUP($A161,SDR35G!$A$9:$M$150,11,FALSE),                                                                                                                                                                                                                                                          IF($A161&lt;SDR26G!$A$67,VLOOKUP($A161,SDR26G!$A$9:$N$66,12,FALSE),                                                                                                                                                                                                                                                       IF($A161&lt;Cements!$A$95,VLOOKUP($A161,Cements!$A$8:$Q$94,15,FALSE),
IF($A161&lt;ValveBox!$A$124,VLOOKUP($A161,ValveBox!$A$9:$O$123,13,FALSE),
IF($A161&lt;'ValveBox Components'!$A$142,VLOOKUP($A161,'ValveBox Components'!$A$9:$N$141,12,FALSE),
IF($A161&lt;Drainage!$A$69,VLOOKUP($A161,Drainage!$A$8:$M$68,11,FALSE),                                                                                                                                                                                                                                                           IF($A161&lt;Nipples!$A$82,VLOOKUP($A161,Nipples!$A$9:$Q$81,15,FALSE),
IF($A161&lt;Manifold!$A$33,VLOOKUP($A161,Manifold!$A$9:$M$32,11,FALSE),
IF($A161&lt;FlexibleRepairCouplings!$A$12,VLOOKUP($A161,FlexibleRepairCouplings!$A$9:$M$11,11,FALSE),
IF($A161&lt;DuraFix!$A$15,VLOOKUP($A161,DuraFix!$A$9:$M$14,11,FALSE),                                                                                                                                                                                                                                                            IF($A161&lt;'Compression Fittings'!$A$16,VLOOKUP($A161,'Compression Fittings'!$A$8:$M$15,11,FALSE),
IF($A161&lt;'Hose Fittings'!$A$30,VLOOKUP($A161,'Hose Fittings'!$A$8:$M$29,11,FALSE),
IF($A161&lt;'Swing Joints'!$A$495,VLOOKUP($A161,'Swing Joints'!$A$9:$M$494,11,FALSE),
IF($A161&lt;'Swing Joints Components'!$A$135,VLOOKUP($A161,'Swing Joints Components'!$A$9:$M$134,11,FALSE),
IF($A161&lt;Nonstandard!$A$42,VLOOKUP($A161,Nonstandard!$A$31:$J$41,10,FALSE),"")))))))))))))))))))))))))))),"")</f>
        <v/>
      </c>
      <c r="H161" s="618" t="str">
        <f>IFERROR(IF($A161&lt;'DWV PVC'!$A$317,VLOOKUP($A161,'DWV PVC'!$A$9:$M$316,7,FALSE),
IF($A161&lt;'DWV ABS'!$A$117,VLOOKUP($A161,'DWV ABS'!$A$8:$M$116,11,FALSE),                                                                                                                                                                                                                                                     IF($A161&lt;'PVC SCH40'!$A$425,VLOOKUP($A161,'PVC SCH40'!$A$8:$M$424,7,FALSE),
IF($A161&lt;'PVC SCH40 LD'!$A$22,VLOOKUP($A161,'PVC SCH40 LD'!$A$8:$M$21,7,FALSE),
IF($A161&lt;'Pool &amp; SPA Sweep Elbows'!$A$12,VLOOKUP($A161,'Pool &amp; SPA Sweep Elbows'!$A$8:$M$11,7,FALSE),
IF($A161&lt;'Pool &amp; SPA Pipe Extender'!$A$11,VLOOKUP($A161,'Pool &amp; SPA Pipe Extender'!$A$8:$M$10,7,FALSE),
IF($A161&lt;'PVC SCH80'!$A$250,VLOOKUP($A161,'PVC SCH80'!$A$8:$M$249,7,FALSE),
IF($A161&lt;'PVC SCH80 Flange'!$A$49,VLOOKUP($A161,'PVC SCH80 Flange'!$A$8:$M$48,7,FALSE),
IF($A161&lt;'PVC SCH80 LD Flange'!$A$17,VLOOKUP($A161,'PVC SCH80 LD Flange'!$A$8:$M$16,7,FALSE),
IF($A161&lt;CPVC!$A$105,VLOOKUP($A161,CPVC!$A$9:$M$104,7,FALSE),
IF($A161&lt;InsertFittings!$A$185,VLOOKUP($A161,InsertFittings!$A$9:$M$184,7,FALSE),
IF($A161&lt;Valves!$A$92,VLOOKUP($A161,Valves!$A$9:$Q$91,11,FALSE),
IF($A161&lt;SDR35SW!$A$133,VLOOKUP($A161,SDR35SW!$A$9:$M$132,7,FALSE),
IF($A161&lt;SDR35G!$A$151,VLOOKUP($A161,SDR35G!$A$9:$M$150,7,FALSE),                                                                                                                                                                                                                                                       IF($A161&lt;SDR26G!$A$67,VLOOKUP($A161,SDR26G!$A$9:$N$66,8,FALSE),                                                                                                                                                                                                                                                     IF($A161&lt;Cements!$A$95,VLOOKUP($A161,Cements!$A$8:$Q$94,11,FALSE),
IF($A161&lt;ValveBox!$A$124,VLOOKUP($A161,ValveBox!$A$9:$O$123,10,FALSE),
IF($A161&lt;'ValveBox Components'!$A$142,VLOOKUP($A161,'ValveBox Components'!$A$9:$N$141,9,FALSE),
IF($A161&lt;Drainage!$A$69,VLOOKUP($A161,Drainage!$A$8:$M$68,7,FALSE),                                                                                                                                                                                                                                                          IF($A161&lt;Nipples!$A$82,VLOOKUP($A161,Nipples!$A$9:$Q$81,11,FALSE),
IF($A161&lt;Manifold!$A$33,VLOOKUP($A161,Manifold!$A$9:$M$32,7,FALSE),
IF($A161&lt;FlexibleRepairCouplings!$A$12,VLOOKUP($A161,FlexibleRepairCouplings!$A$9:$M$11,7,FALSE),
IF($A161&lt;DuraFix!$A$15,VLOOKUP($A161,DuraFix!$A$9:$M$14,7,FALSE),                                                                                                                                                                                                                                                           IF($A161&lt;'Compression Fittings'!$A$16,VLOOKUP($A161,'Compression Fittings'!$A$8:$M$15,7,FALSE),
IF($A161&lt;'Hose Fittings'!$A$30,VLOOKUP($A161,'Hose Fittings'!$A$8:$M$29,7,FALSE),
IF($A161&lt;'Swing Joints'!$A$495,VLOOKUP($A161,'Swing Joints'!$A$9:$M$494,7,FALSE),
IF($A161&lt;'Swing Joints Components'!$A$135,VLOOKUP($A161,'Swing Joints Components'!$A$9:$M$134,7,FALSE),
IF($A161&lt;Nonstandard!$A$42,VLOOKUP($A161,Nonstandard!$A$31:$J$41,10,FALSE),"")))))))))))))))))))))))))))),"")</f>
        <v/>
      </c>
      <c r="I161" s="619"/>
      <c r="J161" s="281" t="str">
        <f t="shared" si="3"/>
        <v/>
      </c>
      <c r="K161" s="313" t="str">
        <f>IFERROR(IF($A161&lt;'DWV PVC'!$A$317,VLOOKUP($A161,'DWV PVC'!$A$9:$M$316,10,FALSE),
IF($A161&lt;'DWV ABS'!$A$117,VLOOKUP($A161,'DWV ABS'!$A$8:$M$116,10,FALSE),
IF($A161&lt;'PVC SCH40'!$A$425,VLOOKUP($A161,'PVC SCH40'!$A$8:$M$424,10,FALSE),
IF($A161&lt;'PVC SCH40 LD'!$A$22,VLOOKUP($A161,'PVC SCH40 LD'!$A$8:$M$21,10,FALSE),
IF($A161&lt;'Pool &amp; SPA Sweep Elbows'!$A$12,VLOOKUP($A161,'Pool &amp; SPA Sweep Elbows'!$A$8:$M$11,10,FALSE),
IF($A161&lt;'Pool &amp; SPA Pipe Extender'!$A$11,VLOOKUP($A161,'Pool &amp; SPA Pipe Extender'!$A$8:$M$10,10,FALSE),
IF($A161&lt;'PVC SCH80'!$A$250,VLOOKUP($A161,'PVC SCH80'!$A$8:$M$249,10,FALSE),
IF($A161&lt;'PVC SCH80 Flange'!$A$49,VLOOKUP($A161,'PVC SCH80 Flange'!$A$8:$M$48,10,FALSE),
IF($A161&lt;'PVC SCH80 LD Flange'!$A$17,VLOOKUP($A161,'PVC SCH80 LD Flange'!$A$8:$M$16,10,FALSE),
IF($A161&lt;CPVC!$A$105,VLOOKUP($A161,CPVC!$A$9:$M$104,10,FALSE),
IF($A161&lt;InsertFittings!$A$185,VLOOKUP($A161,InsertFittings!$A$9:$M$184,10,FALSE),
IF($A161&lt;Valves!$A$92,VLOOKUP($A161,Valves!$A$9:$Q$91,14,FALSE),
IF($A161&lt;SDR35SW!$A$133,VLOOKUP($A161,SDR35SW!$A$9:$M$132,10,FALSE),
IF($A161&lt;SDR35G!$A$151,VLOOKUP($A161,SDR35G!$A$9:$M$150,10,FALSE),
IF($A161&lt;SDR26G!$A$67,VLOOKUP($A161,SDR26G!$A$9:$N$66,11,FALSE),
IF($A161&lt;Cements!$A$95,VLOOKUP($A161,Cements!$A$8:$Q$94,14,FALSE),
IF($A161&lt;ValveBox!$A$124,VLOOKUP($A161,ValveBox!$A$9:$O$123,12,FALSE),
IF($A161&lt;'ValveBox Components'!$A$142,VLOOKUP($A161,'ValveBox Components'!$A$9:$N$141,11,FALSE),
IF($A161&lt;Drainage!$A$69,VLOOKUP($A161,Drainage!$A$8:$M$68,10,FALSE),
IF($A161&lt;Nipples!$A$82,VLOOKUP($A161,Nipples!$A$9:$Q$81,14,FALSE),
IF($A161&lt;Manifold!$A$33,VLOOKUP($A161,Manifold!$A$9:$M$32,10,FALSE),
IF($A161&lt;FlexibleRepairCouplings!$A$12,VLOOKUP($A161,FlexibleRepairCouplings!$A$9:$M$11,10,FALSE),
IF($A161&lt;DuraFix!$A$15,VLOOKUP($A161,DuraFix!$A$9:$M$14,10,FALSE),
IF($A161&lt;'Compression Fittings'!$A$16,VLOOKUP($A161,'Compression Fittings'!$A$8:$M$15,10,FALSE),
IF($A161&lt;'Hose Fittings'!$A$30,VLOOKUP($A161,'Hose Fittings'!$A$8:$M$29,10,FALSE),
IF($A161&lt;'Swing Joints'!$A$495,VLOOKUP($A161,'Swing Joints'!$A$9:$M$494,10,FALSE),
IF($A161&lt;'Swing Joints Components'!$A$135,VLOOKUP($A161,'Swing Joints Components'!$A$9:$M$134,10,FALSE),
IF($A161&lt;Nonstandard!$A$42,VLOOKUP($A161,Nonstandard!$A$31:$J$41,10,FALSE),"")))))))))))))))))))))))))))),"")</f>
        <v/>
      </c>
      <c r="L161" s="314" t="str">
        <f t="shared" ref="L161:L221" si="4">IF(G161="","-",K161*G161)</f>
        <v>-</v>
      </c>
      <c r="M161" s="315"/>
    </row>
    <row r="162" spans="1:13" ht="15.6">
      <c r="A162" s="536">
        <v>130</v>
      </c>
      <c r="B162" s="536" t="str">
        <f>IFERROR(IF($A162&lt;'DWV PVC'!$A$317,VLOOKUP($A162,'DWV PVC'!$A$9:$M$316,4,FALSE),
IF($A162&lt;'DWV ABS'!$A$117,VLOOKUP($A162,'DWV ABS'!$A$8:$M$116,4,FALSE),
IF($A162&lt;'PVC SCH40'!$A$425,VLOOKUP($A162,'PVC SCH40'!$A$8:$M$424,4,FALSE),
IF($A162&lt;'PVC SCH40 LD'!$A$22,VLOOKUP($A162,'PVC SCH40 LD'!$A$8:$M$21,4,FALSE),
IF($A162&lt;'Pool &amp; SPA Sweep Elbows'!$A$12,VLOOKUP($A162,'Pool &amp; SPA Sweep Elbows'!$A$8:$M$11,4,FALSE),
IF($A162&lt;'Pool &amp; SPA Pipe Extender'!$A$11,VLOOKUP($A162,'Pool &amp; SPA Pipe Extender'!$A$8:$M$10,4,FALSE),
IF($A162&lt;'PVC SCH80'!$A$250,VLOOKUP($A162,'PVC SCH80'!$A$8:$M$249,4,FALSE),
IF($A162&lt;'PVC SCH80 Flange'!$A$49,VLOOKUP($A162,'PVC SCH80 Flange'!$A$8:$M$48,4,FALSE),
IF($A162&lt;'PVC SCH80 LD Flange'!$A$17,VLOOKUP($A162,'PVC SCH80 LD Flange'!$A$8:$M$16,4,FALSE),
IF($A162&lt;CPVC!$A$105,VLOOKUP($A162,CPVC!$A$9:$M$104,4,FALSE),
IF($A162&lt;InsertFittings!$A$185,VLOOKUP($A162,InsertFittings!$A$9:$M$184,4,FALSE),
IF($A162&lt;Valves!$A$92,VLOOKUP($A162,Valves!$A$9:$Q$91,4,FALSE),
IF($A162&lt;SDR35SW!$A$133,VLOOKUP($A162,SDR35SW!$A$9:$M$132,4,FALSE),
IF($A162&lt;SDR35G!$A$151,VLOOKUP($A162,SDR35G!$A$9:$M$150,4,FALSE),
IF($A162&lt;SDR26G!$A$67,VLOOKUP($A162,SDR26G!$A$9:$N$66,5,FALSE),
IF($A162&lt;Cements!$A$95,VLOOKUP($A162,Cements!$A$8:$Q$94,4,FALSE),
IF($A162&lt;ValveBox!$A$124,VLOOKUP($A162,ValveBox!$A$9:$O$123,4,FALSE),
IF($A162&lt;'ValveBox Components'!$A$142,VLOOKUP($A162,'ValveBox Components'!$A$9:$N$141,4,FALSE),
IF($A162&lt;Drainage!$A$69,VLOOKUP($A162,Drainage!$A$8:$M$68,4,FALSE),
IF($A162&lt;Nipples!$A$82,VLOOKUP($A162,Nipples!$A$9:$Q$81,4,FALSE),
IF($A162&lt;Manifold!$A$33,VLOOKUP($A162,Manifold!$A$9:$M$32,4,FALSE),
IF($A162&lt;FlexibleRepairCouplings!$A$12,VLOOKUP($A162,FlexibleRepairCouplings!$A$9:$M$11,4,FALSE),
IF($A162&lt;DuraFix!$A$15,VLOOKUP($A162,DuraFix!$A$9:$M$14,4,FALSE),
IF($A162&lt;'Compression Fittings'!$A$16,VLOOKUP($A162,'Compression Fittings'!$A$8:$M$15,4,FALSE),
IF($A162&lt;'Hose Fittings'!$A$30,VLOOKUP($A162,'Hose Fittings'!$A$8:$M$29,4,FALSE),
IF($A162&lt;'Swing Joints'!$A$495,VLOOKUP($A162,'Swing Joints'!$A$9:$M$494,4,FALSE),
IF($A162&lt;'Swing Joints Components'!$A$135,VLOOKUP($A162,'Swing Joints Components'!$A$9:$M$134,4,FALSE),
IF($A162&lt;Nonstandard!$A$42,VLOOKUP($A162,Nonstandard!$A$31:$J$41,5,FALSE),"")))))))))))))))))))))))))))),"")</f>
        <v/>
      </c>
      <c r="C162" s="536" t="str">
        <f>IFERROR(IF($A162&lt;'DWV PVC'!$A$317,VLOOKUP($A162,'DWV PVC'!$A$9:$M$316,5,FALSE),
IF($A162&lt;'DWV ABS'!$A$117,VLOOKUP($A162,'DWV ABS'!$A$8:$M$116,5,FALSE),
IF($A162&lt;'PVC SCH40'!$A$425,VLOOKUP($A162,'PVC SCH40'!$A$8:$M$424,5,FALSE),
IF($A162&lt;'PVC SCH40 LD'!$A$22,VLOOKUP($A162,'PVC SCH40 LD'!$A$8:$M$21,5,FALSE),
IF($A162&lt;'Pool &amp; SPA Sweep Elbows'!$A$12,VLOOKUP($A162,'Pool &amp; SPA Sweep Elbows'!$A$8:$M$11,5,FALSE),
IF($A162&lt;'Pool &amp; SPA Pipe Extender'!$A$11,VLOOKUP($A162,'Pool &amp; SPA Pipe Extender'!$A$8:$M$10,5,FALSE),
IF($A162&lt;'PVC SCH80'!$A$250,VLOOKUP($A162,'PVC SCH80'!$A$8:$M$249,5,FALSE),
IF($A162&lt;'PVC SCH80 Flange'!$A$49,VLOOKUP($A162,'PVC SCH80 Flange'!$A$8:$M$48,5,FALSE),
IF($A162&lt;'PVC SCH80 LD Flange'!$A$17,VLOOKUP($A162,'PVC SCH80 LD Flange'!$A$8:$M$16,5,FALSE),
IF($A162&lt;CPVC!$A$105,VLOOKUP($A162,CPVC!$A$9:$M$104,5,FALSE),
IF($A162&lt;InsertFittings!$A$185,VLOOKUP($A162,InsertFittings!$A$9:$M$184,5,FALSE),
IF($A162&lt;Valves!$A$92,VLOOKUP($A162,Valves!$A$9:$Q$91,5,FALSE),
IF($A162&lt;SDR35SW!$A$133,VLOOKUP($A162,SDR35SW!$A$9:$M$132,5,FALSE),
IF($A162&lt;SDR35G!$A$151,VLOOKUP($A162,SDR35G!$A$9:$M$150,5,FALSE),
IF($A162&lt;SDR26G!$A$67,VLOOKUP($A162,SDR26G!$A$9:$N$66,6,FALSE),
IF($A162&lt;Cements!$A$95,VLOOKUP($A162,Cements!$A$8:$Q$94,5,FALSE),
IF($A162&lt;ValveBox!$A$124,VLOOKUP($A162,ValveBox!$A$9:$O$123,5,FALSE),
IF($A162&lt;'ValveBox Components'!$A$142,VLOOKUP($A162,'ValveBox Components'!$A$9:$N$141,5,FALSE),
IF($A162&lt;Drainage!$A$69,VLOOKUP($A162,Drainage!$A$8:$M$68,5,FALSE),
IF($A162&lt;Nipples!$A$82,VLOOKUP($A162,Nipples!$A$9:$Q$81,5,FALSE),
IF($A162&lt;Manifold!$A$33,VLOOKUP($A162,Manifold!$A$9:$M$32,5,FALSE),
IF($A162&lt;FlexibleRepairCouplings!$A$12,VLOOKUP($A162,FlexibleRepairCouplings!$A$9:$M$11,5,FALSE),
IF($A162&lt;DuraFix!$A$15,VLOOKUP($A162,DuraFix!$A$9:$M$14,5,FALSE),
IF($A162&lt;'Compression Fittings'!$A$16,VLOOKUP($A162,'Compression Fittings'!$A$8:$M$15,5,FALSE),
IF($A162&lt;'Hose Fittings'!$A$30,VLOOKUP($A162,'Hose Fittings'!$A$8:$M$29,5,FALSE),
IF($A162&lt;'Swing Joints'!$A$495,VLOOKUP($A162,'Swing Joints'!$A$9:$M$494,5,FALSE),
IF($A162&lt;'Swing Joints Components'!$A$135,VLOOKUP($A162,'Swing Joints Components'!$A$9:$M$134,5,FALSE),
IF($A162&lt;Nonstandard!$A$42,VLOOKUP($A162,Nonstandard!$A$31:$J$41,6,FALSE),"")))))))))))))))))))))))))))),"")</f>
        <v/>
      </c>
      <c r="D162" s="537" t="str">
        <f>IFERROR(IF($A162&lt;'DWV PVC'!$A$317,VLOOKUP($A162,'DWV PVC'!$A$9:$M$316,6,FALSE),
IF($A162&lt;'DWV ABS'!$A$117,VLOOKUP($A162,'DWV ABS'!$A$8:$M$116,6,FALSE),
IF($A162&lt;'PVC SCH40'!$A$425,VLOOKUP($A162,'PVC SCH40'!$A$8:$M$424,6,FALSE),
IF($A162&lt;'PVC SCH40 LD'!$A$22,VLOOKUP($A162,'PVC SCH40 LD'!$A$8:$M$21,6,FALSE),
IF($A162&lt;'Pool &amp; SPA Sweep Elbows'!$A$12,VLOOKUP($A162,'Pool &amp; SPA Sweep Elbows'!$A$8:$M$11,6,FALSE),
IF($A162&lt;'Pool &amp; SPA Pipe Extender'!$A$11,VLOOKUP($A162,'Pool &amp; SPA Pipe Extender'!$A$8:$M$10,6,FALSE),
IF($A162&lt;'PVC SCH80'!$A$250,VLOOKUP($A162,'PVC SCH80'!$A$8:$M$249,6,FALSE),
IF($A162&lt;'PVC SCH80 Flange'!$A$49,VLOOKUP($A162,'PVC SCH80 Flange'!$A$8:$M$48,6,FALSE),
IF($A162&lt;'PVC SCH80 LD Flange'!$A$17,VLOOKUP($A162,'PVC SCH80 LD Flange'!$A$8:$M$16,6,FALSE),
IF($A162&lt;CPVC!$A$105,VLOOKUP($A162,CPVC!$A$9:$M$104,6,FALSE),
IF($A162&lt;InsertFittings!$A$185,VLOOKUP($A162,InsertFittings!$A$9:$M$184,6,FALSE),
IF($A162&lt;Valves!$A$92,VLOOKUP($A162,Valves!$A$9:$Q$91,6,FALSE),
IF($A162&lt;SDR35SW!$A$133,VLOOKUP($A162,SDR35SW!$A$9:$M$132,6,FALSE),
IF($A162&lt;SDR35G!$A$151,VLOOKUP($A162,SDR35G!$A$9:$M$150,6,FALSE),
IF($A162&lt;SDR26G!$A$67,VLOOKUP($A162,SDR26G!$A$9:$N$66,7,FALSE),
IF($A162&lt;Cements!$A$95,VLOOKUP($A162,Cements!$A$8:$Q$94,6,FALSE),
IF($A162&lt;ValveBox!$A$124,VLOOKUP($A162,ValveBox!$A$9:$O$123,6,FALSE),
IF($A162&lt;'ValveBox Components'!$A$142,VLOOKUP($A162,'ValveBox Components'!$A$9:$N$141,6,FALSE),
IF($A162&lt;Drainage!$A$69,VLOOKUP($A162,Drainage!$A$8:$M$68,6,FALSE),
IF($A162&lt;Nipples!$A$82,VLOOKUP($A162,Nipples!$A$9:$Q$81,6,FALSE),
IF($A162&lt;Manifold!$A$33,VLOOKUP($A162,Manifold!$A$9:$M$32,6,FALSE),
IF($A162&lt;FlexibleRepairCouplings!$A$12,VLOOKUP($A162,FlexibleRepairCouplings!$A$9:$M$11,6,FALSE),
IF($A162&lt;DuraFix!$A$15,VLOOKUP($A162,DuraFix!$A$9:$M$14,6,FALSE),
IF($A162&lt;'Compression Fittings'!$A$16,VLOOKUP($A162,'Compression Fittings'!$A$8:$M$15,6,FALSE),
IF($A162&lt;'Hose Fittings'!$A$30,VLOOKUP($A162,'Hose Fittings'!$A$8:$M$29,6,FALSE),
IF($A162&lt;'Swing Joints'!$A$495,VLOOKUP($A162,'Swing Joints'!$A$9:$M$494,6,FALSE),
IF($A162&lt;'Swing Joints Components'!$A$135,VLOOKUP($A162,'Swing Joints Components'!$A$9:$M$134,6,FALSE),
IF($A162&lt;Nonstandard!$A$42,VLOOKUP($A162,Nonstandard!$A$31:$J$41,7,FALSE),"")))))))))))))))))))))))))))),"")</f>
        <v/>
      </c>
      <c r="E162" s="538"/>
      <c r="F162" s="539" t="str">
        <f>IFERROR(IF($A162&lt;'DWV PVC'!$A$317,VLOOKUP($A162,'DWV PVC'!$A$9:$M$316,9,FALSE),
IF($A162&lt;'DWV ABS'!$A$117,VLOOKUP($A162,'DWV ABS'!$A$8:$M$116,9,FALSE),                                                                                                                                                                                                                                                     IF($A162&lt;'PVC SCH40'!$A$425,VLOOKUP($A162,'PVC SCH40'!$A$8:$M$424,9,FALSE),
IF($A162&lt;'PVC SCH40 LD'!$A$22,VLOOKUP($A162,'PVC SCH40 LD'!$A$8:$M$21,9,FALSE),
IF($A162&lt;'Pool &amp; SPA Sweep Elbows'!$A$12,VLOOKUP($A162,'Pool &amp; SPA Sweep Elbows'!$A$8:$M$11,9,FALSE),
IF($A162&lt;'Pool &amp; SPA Pipe Extender'!$A$11,VLOOKUP($A162,'Pool &amp; SPA Pipe Extender'!$A$8:$M$10,9,FALSE),
IF($A162&lt;'PVC SCH80'!$A$250,VLOOKUP($A162,'PVC SCH80'!$A$8:$M$249,9,FALSE),
IF($A162&lt;'PVC SCH80 Flange'!$A$49,VLOOKUP($A162,'PVC SCH80 Flange'!$A$8:$M$48,9,FALSE),
IF($A162&lt;'PVC SCH80 LD Flange'!$A$17,VLOOKUP($A162,'PVC SCH80 LD Flange'!$A$8:$M$16,9,FALSE),
IF($A162&lt;CPVC!$A$105,VLOOKUP($A162,CPVC!$A$9:$M$104,9,FALSE),
IF($A162&lt;InsertFittings!$A$185,VLOOKUP($A162,InsertFittings!$A$9:$M$184,9,FALSE),
IF($A162&lt;Valves!$A$92,VLOOKUP($A162,Valves!$A$9:$Q$91,13,FALSE),
IF($A162&lt;SDR35SW!$A$133,VLOOKUP($A162,SDR35SW!$A$9:$M$132,9,FALSE),
IF($A162&lt;SDR35G!$A$151,VLOOKUP($A162,SDR35G!$A$9:$M$150,9,FALSE),                                                                                                                                                                                                                                                          IF($A162&lt;SDR26G!$A$67,VLOOKUP($A162,SDR26G!$A$9:$N$66,10,FALSE),                                                                                                                                                                                                                                                       IF($A162&lt;Cements!$A$95,VLOOKUP($A162,Cements!$A$8:$Q$94,13,FALSE),
IF($A162&lt;ValveBox!$A$124,VLOOKUP($A162,ValveBox!$A$9:$O$123,11,FALSE),
IF($A162&lt;'ValveBox Components'!$A$142,VLOOKUP($A162,'ValveBox Components'!$A$9:$N$141,10,FALSE),
IF($A162&lt;Drainage!$A$69,VLOOKUP($A162,Drainage!$A$8:$M$68,9,FALSE),                                                                                                                                                                                                                                                              IF($A162&lt;Nipples!$A$82,VLOOKUP($A162,Nipples!$A$9:$Q$81,13,FALSE),
IF($A162&lt;Manifold!$A$33,VLOOKUP($A162,Manifold!$A$9:$M$32,9,FALSE),
IF($A162&lt;FlexibleRepairCouplings!$A$12,VLOOKUP($A162,FlexibleRepairCouplings!$A$9:$M$11,9,FALSE),
IF($A162&lt;DuraFix!$A$15,VLOOKUP($A162,DuraFix!$A$9:$M$14,9,FALSE),                                                                                                                                                                                                                                                          IF($A162&lt;'Compression Fittings'!$A$16,VLOOKUP($A162,'Compression Fittings'!$A$8:$M$15,9,FALSE),
IF($A162&lt;'Hose Fittings'!$A$30,VLOOKUP($A162,'Hose Fittings'!$A$8:$M$29,9,FALSE),
IF($A162&lt;'Swing Joints'!$A$495,VLOOKUP($A162,'Swing Joints'!$A$9:$M$494,9,FALSE),
IF($A162&lt;'Swing Joints Components'!$A$135,VLOOKUP($A162,'Swing Joints Components'!$A$9:$M$134,9,FALSE),
IF($A162&lt;Nonstandard!$A$42,VLOOKUP($A162,Nonstandard!$A$31:$J$41,8,FALSE),"")))))))))))))))))))))))))))),"")</f>
        <v/>
      </c>
      <c r="G162" s="540" t="str">
        <f>IFERROR(IF($A162&lt;'DWV PVC'!$A$317,VLOOKUP($A162,'DWV PVC'!$A$9:$M$316,11,FALSE),
IF($A162&lt;'DWV ABS'!$A$117,VLOOKUP($A162,'DWV ABS'!$A$8:$M$116,11,FALSE),                                                                                                                                                                                                                                                     IF($A162&lt;'PVC SCH40'!$A$425,VLOOKUP($A162,'PVC SCH40'!$A$8:$M$424,11,FALSE),
IF($A162&lt;'PVC SCH40 LD'!$A$22,VLOOKUP($A162,'PVC SCH40 LD'!$A$8:$M$21,11,FALSE),
IF($A162&lt;'Pool &amp; SPA Sweep Elbows'!$A$12,VLOOKUP($A162,'Pool &amp; SPA Sweep Elbows'!$A$8:$M$11,11,FALSE),
IF($A162&lt;'Pool &amp; SPA Pipe Extender'!$A$11,VLOOKUP($A162,'Pool &amp; SPA Pipe Extender'!$A$8:$M$10,11,FALSE),
IF($A162&lt;'PVC SCH80'!$A$250,VLOOKUP($A162,'PVC SCH80'!$A$8:$M$249,11,FALSE),
IF($A162&lt;'PVC SCH80 Flange'!$A$49,VLOOKUP($A162,'PVC SCH80 Flange'!$A$8:$M$48,11,FALSE),
IF($A162&lt;'PVC SCH80 LD Flange'!$A$17,VLOOKUP($A162,'PVC SCH80 LD Flange'!$A$8:$M$16,11,FALSE),
IF($A162&lt;CPVC!$A$105,VLOOKUP($A162,CPVC!$A$9:$M$104,11,FALSE),
IF($A162&lt;InsertFittings!$A$185,VLOOKUP($A162,InsertFittings!$A$9:$M$184,11,FALSE),
IF($A162&lt;Valves!$A$92,VLOOKUP($A162,Valves!$A$9:$Q$91,15,FALSE),
IF($A162&lt;SDR35SW!$A$133,VLOOKUP($A162,SDR35SW!$A$9:$M$132,11,FALSE),
IF($A162&lt;SDR35G!$A$151,VLOOKUP($A162,SDR35G!$A$9:$M$150,11,FALSE),                                                                                                                                                                                                                                                          IF($A162&lt;SDR26G!$A$67,VLOOKUP($A162,SDR26G!$A$9:$N$66,12,FALSE),                                                                                                                                                                                                                                                       IF($A162&lt;Cements!$A$95,VLOOKUP($A162,Cements!$A$8:$Q$94,15,FALSE),
IF($A162&lt;ValveBox!$A$124,VLOOKUP($A162,ValveBox!$A$9:$O$123,13,FALSE),
IF($A162&lt;'ValveBox Components'!$A$142,VLOOKUP($A162,'ValveBox Components'!$A$9:$N$141,12,FALSE),
IF($A162&lt;Drainage!$A$69,VLOOKUP($A162,Drainage!$A$8:$M$68,11,FALSE),                                                                                                                                                                                                                                                           IF($A162&lt;Nipples!$A$82,VLOOKUP($A162,Nipples!$A$9:$Q$81,15,FALSE),
IF($A162&lt;Manifold!$A$33,VLOOKUP($A162,Manifold!$A$9:$M$32,11,FALSE),
IF($A162&lt;FlexibleRepairCouplings!$A$12,VLOOKUP($A162,FlexibleRepairCouplings!$A$9:$M$11,11,FALSE),
IF($A162&lt;DuraFix!$A$15,VLOOKUP($A162,DuraFix!$A$9:$M$14,11,FALSE),                                                                                                                                                                                                                                                            IF($A162&lt;'Compression Fittings'!$A$16,VLOOKUP($A162,'Compression Fittings'!$A$8:$M$15,11,FALSE),
IF($A162&lt;'Hose Fittings'!$A$30,VLOOKUP($A162,'Hose Fittings'!$A$8:$M$29,11,FALSE),
IF($A162&lt;'Swing Joints'!$A$495,VLOOKUP($A162,'Swing Joints'!$A$9:$M$494,11,FALSE),
IF($A162&lt;'Swing Joints Components'!$A$135,VLOOKUP($A162,'Swing Joints Components'!$A$9:$M$134,11,FALSE),
IF($A162&lt;Nonstandard!$A$42,VLOOKUP($A162,Nonstandard!$A$31:$J$41,10,FALSE),"")))))))))))))))))))))))))))),"")</f>
        <v/>
      </c>
      <c r="H162" s="620" t="str">
        <f>IFERROR(IF($A162&lt;'DWV PVC'!$A$317,VLOOKUP($A162,'DWV PVC'!$A$9:$M$316,7,FALSE),
IF($A162&lt;'DWV ABS'!$A$117,VLOOKUP($A162,'DWV ABS'!$A$8:$M$116,11,FALSE),                                                                                                                                                                                                                                                     IF($A162&lt;'PVC SCH40'!$A$425,VLOOKUP($A162,'PVC SCH40'!$A$8:$M$424,7,FALSE),
IF($A162&lt;'PVC SCH40 LD'!$A$22,VLOOKUP($A162,'PVC SCH40 LD'!$A$8:$M$21,7,FALSE),
IF($A162&lt;'Pool &amp; SPA Sweep Elbows'!$A$12,VLOOKUP($A162,'Pool &amp; SPA Sweep Elbows'!$A$8:$M$11,7,FALSE),
IF($A162&lt;'Pool &amp; SPA Pipe Extender'!$A$11,VLOOKUP($A162,'Pool &amp; SPA Pipe Extender'!$A$8:$M$10,7,FALSE),
IF($A162&lt;'PVC SCH80'!$A$250,VLOOKUP($A162,'PVC SCH80'!$A$8:$M$249,7,FALSE),
IF($A162&lt;'PVC SCH80 Flange'!$A$49,VLOOKUP($A162,'PVC SCH80 Flange'!$A$8:$M$48,7,FALSE),
IF($A162&lt;'PVC SCH80 LD Flange'!$A$17,VLOOKUP($A162,'PVC SCH80 LD Flange'!$A$8:$M$16,7,FALSE),
IF($A162&lt;CPVC!$A$105,VLOOKUP($A162,CPVC!$A$9:$M$104,7,FALSE),
IF($A162&lt;InsertFittings!$A$185,VLOOKUP($A162,InsertFittings!$A$9:$M$184,7,FALSE),
IF($A162&lt;Valves!$A$92,VLOOKUP($A162,Valves!$A$9:$Q$91,11,FALSE),
IF($A162&lt;SDR35SW!$A$133,VLOOKUP($A162,SDR35SW!$A$9:$M$132,7,FALSE),
IF($A162&lt;SDR35G!$A$151,VLOOKUP($A162,SDR35G!$A$9:$M$150,7,FALSE),                                                                                                                                                                                                                                                       IF($A162&lt;SDR26G!$A$67,VLOOKUP($A162,SDR26G!$A$9:$N$66,8,FALSE),                                                                                                                                                                                                                                                     IF($A162&lt;Cements!$A$95,VLOOKUP($A162,Cements!$A$8:$Q$94,11,FALSE),
IF($A162&lt;ValveBox!$A$124,VLOOKUP($A162,ValveBox!$A$9:$O$123,10,FALSE),
IF($A162&lt;'ValveBox Components'!$A$142,VLOOKUP($A162,'ValveBox Components'!$A$9:$N$141,9,FALSE),
IF($A162&lt;Drainage!$A$69,VLOOKUP($A162,Drainage!$A$8:$M$68,7,FALSE),                                                                                                                                                                                                                                                          IF($A162&lt;Nipples!$A$82,VLOOKUP($A162,Nipples!$A$9:$Q$81,11,FALSE),
IF($A162&lt;Manifold!$A$33,VLOOKUP($A162,Manifold!$A$9:$M$32,7,FALSE),
IF($A162&lt;FlexibleRepairCouplings!$A$12,VLOOKUP($A162,FlexibleRepairCouplings!$A$9:$M$11,7,FALSE),
IF($A162&lt;DuraFix!$A$15,VLOOKUP($A162,DuraFix!$A$9:$M$14,7,FALSE),                                                                                                                                                                                                                                                           IF($A162&lt;'Compression Fittings'!$A$16,VLOOKUP($A162,'Compression Fittings'!$A$8:$M$15,7,FALSE),
IF($A162&lt;'Hose Fittings'!$A$30,VLOOKUP($A162,'Hose Fittings'!$A$8:$M$29,7,FALSE),
IF($A162&lt;'Swing Joints'!$A$495,VLOOKUP($A162,'Swing Joints'!$A$9:$M$494,7,FALSE),
IF($A162&lt;'Swing Joints Components'!$A$135,VLOOKUP($A162,'Swing Joints Components'!$A$9:$M$134,7,FALSE),
IF($A162&lt;Nonstandard!$A$42,VLOOKUP($A162,Nonstandard!$A$31:$J$41,10,FALSE),"")))))))))))))))))))))))))))),"")</f>
        <v/>
      </c>
      <c r="I162" s="621"/>
      <c r="J162" s="541" t="str">
        <f t="shared" ref="J162:J221" si="5">IFERROR(G162/H162,"")</f>
        <v/>
      </c>
      <c r="K162" s="599" t="str">
        <f>IFERROR(IF($A162&lt;'DWV PVC'!$A$317,VLOOKUP($A162,'DWV PVC'!$A$9:$M$316,10,FALSE),
IF($A162&lt;'DWV ABS'!$A$117,VLOOKUP($A162,'DWV ABS'!$A$8:$M$116,10,FALSE),
IF($A162&lt;'PVC SCH40'!$A$425,VLOOKUP($A162,'PVC SCH40'!$A$8:$M$424,10,FALSE),
IF($A162&lt;'PVC SCH40 LD'!$A$22,VLOOKUP($A162,'PVC SCH40 LD'!$A$8:$M$21,10,FALSE),
IF($A162&lt;'Pool &amp; SPA Sweep Elbows'!$A$12,VLOOKUP($A162,'Pool &amp; SPA Sweep Elbows'!$A$8:$M$11,10,FALSE),
IF($A162&lt;'Pool &amp; SPA Pipe Extender'!$A$11,VLOOKUP($A162,'Pool &amp; SPA Pipe Extender'!$A$8:$M$10,10,FALSE),
IF($A162&lt;'PVC SCH80'!$A$250,VLOOKUP($A162,'PVC SCH80'!$A$8:$M$249,10,FALSE),
IF($A162&lt;'PVC SCH80 Flange'!$A$49,VLOOKUP($A162,'PVC SCH80 Flange'!$A$8:$M$48,10,FALSE),
IF($A162&lt;'PVC SCH80 LD Flange'!$A$17,VLOOKUP($A162,'PVC SCH80 LD Flange'!$A$8:$M$16,10,FALSE),
IF($A162&lt;CPVC!$A$105,VLOOKUP($A162,CPVC!$A$9:$M$104,10,FALSE),
IF($A162&lt;InsertFittings!$A$185,VLOOKUP($A162,InsertFittings!$A$9:$M$184,10,FALSE),
IF($A162&lt;Valves!$A$92,VLOOKUP($A162,Valves!$A$9:$Q$91,14,FALSE),
IF($A162&lt;SDR35SW!$A$133,VLOOKUP($A162,SDR35SW!$A$9:$M$132,10,FALSE),
IF($A162&lt;SDR35G!$A$151,VLOOKUP($A162,SDR35G!$A$9:$M$150,10,FALSE),
IF($A162&lt;SDR26G!$A$67,VLOOKUP($A162,SDR26G!$A$9:$N$66,11,FALSE),
IF($A162&lt;Cements!$A$95,VLOOKUP($A162,Cements!$A$8:$Q$94,14,FALSE),
IF($A162&lt;ValveBox!$A$124,VLOOKUP($A162,ValveBox!$A$9:$O$123,12,FALSE),
IF($A162&lt;'ValveBox Components'!$A$142,VLOOKUP($A162,'ValveBox Components'!$A$9:$N$141,11,FALSE),
IF($A162&lt;Drainage!$A$69,VLOOKUP($A162,Drainage!$A$8:$M$68,10,FALSE),
IF($A162&lt;Nipples!$A$82,VLOOKUP($A162,Nipples!$A$9:$Q$81,14,FALSE),
IF($A162&lt;Manifold!$A$33,VLOOKUP($A162,Manifold!$A$9:$M$32,10,FALSE),
IF($A162&lt;FlexibleRepairCouplings!$A$12,VLOOKUP($A162,FlexibleRepairCouplings!$A$9:$M$11,10,FALSE),
IF($A162&lt;DuraFix!$A$15,VLOOKUP($A162,DuraFix!$A$9:$M$14,10,FALSE),
IF($A162&lt;'Compression Fittings'!$A$16,VLOOKUP($A162,'Compression Fittings'!$A$8:$M$15,10,FALSE),
IF($A162&lt;'Hose Fittings'!$A$30,VLOOKUP($A162,'Hose Fittings'!$A$8:$M$29,10,FALSE),
IF($A162&lt;'Swing Joints'!$A$495,VLOOKUP($A162,'Swing Joints'!$A$9:$M$494,10,FALSE),
IF($A162&lt;'Swing Joints Components'!$A$135,VLOOKUP($A162,'Swing Joints Components'!$A$9:$M$134,10,FALSE),
IF($A162&lt;Nonstandard!$A$42,VLOOKUP($A162,Nonstandard!$A$31:$J$41,10,FALSE),"")))))))))))))))))))))))))))),"")</f>
        <v/>
      </c>
      <c r="L162" s="539" t="str">
        <f t="shared" si="4"/>
        <v>-</v>
      </c>
      <c r="M162" s="542"/>
    </row>
    <row r="163" spans="1:13" ht="15.6">
      <c r="A163" s="312">
        <v>131</v>
      </c>
      <c r="B163" s="312" t="str">
        <f>IFERROR(IF($A163&lt;'DWV PVC'!$A$317,VLOOKUP($A163,'DWV PVC'!$A$9:$M$316,4,FALSE),
IF($A163&lt;'DWV ABS'!$A$117,VLOOKUP($A163,'DWV ABS'!$A$8:$M$116,4,FALSE),
IF($A163&lt;'PVC SCH40'!$A$425,VLOOKUP($A163,'PVC SCH40'!$A$8:$M$424,4,FALSE),
IF($A163&lt;'PVC SCH40 LD'!$A$22,VLOOKUP($A163,'PVC SCH40 LD'!$A$8:$M$21,4,FALSE),
IF($A163&lt;'Pool &amp; SPA Sweep Elbows'!$A$12,VLOOKUP($A163,'Pool &amp; SPA Sweep Elbows'!$A$8:$M$11,4,FALSE),
IF($A163&lt;'Pool &amp; SPA Pipe Extender'!$A$11,VLOOKUP($A163,'Pool &amp; SPA Pipe Extender'!$A$8:$M$10,4,FALSE),
IF($A163&lt;'PVC SCH80'!$A$250,VLOOKUP($A163,'PVC SCH80'!$A$8:$M$249,4,FALSE),
IF($A163&lt;'PVC SCH80 Flange'!$A$49,VLOOKUP($A163,'PVC SCH80 Flange'!$A$8:$M$48,4,FALSE),
IF($A163&lt;'PVC SCH80 LD Flange'!$A$17,VLOOKUP($A163,'PVC SCH80 LD Flange'!$A$8:$M$16,4,FALSE),
IF($A163&lt;CPVC!$A$105,VLOOKUP($A163,CPVC!$A$9:$M$104,4,FALSE),
IF($A163&lt;InsertFittings!$A$185,VLOOKUP($A163,InsertFittings!$A$9:$M$184,4,FALSE),
IF($A163&lt;Valves!$A$92,VLOOKUP($A163,Valves!$A$9:$Q$91,4,FALSE),
IF($A163&lt;SDR35SW!$A$133,VLOOKUP($A163,SDR35SW!$A$9:$M$132,4,FALSE),
IF($A163&lt;SDR35G!$A$151,VLOOKUP($A163,SDR35G!$A$9:$M$150,4,FALSE),
IF($A163&lt;SDR26G!$A$67,VLOOKUP($A163,SDR26G!$A$9:$N$66,5,FALSE),
IF($A163&lt;Cements!$A$95,VLOOKUP($A163,Cements!$A$8:$Q$94,4,FALSE),
IF($A163&lt;ValveBox!$A$124,VLOOKUP($A163,ValveBox!$A$9:$O$123,4,FALSE),
IF($A163&lt;'ValveBox Components'!$A$142,VLOOKUP($A163,'ValveBox Components'!$A$9:$N$141,4,FALSE),
IF($A163&lt;Drainage!$A$69,VLOOKUP($A163,Drainage!$A$8:$M$68,4,FALSE),
IF($A163&lt;Nipples!$A$82,VLOOKUP($A163,Nipples!$A$9:$Q$81,4,FALSE),
IF($A163&lt;Manifold!$A$33,VLOOKUP($A163,Manifold!$A$9:$M$32,4,FALSE),
IF($A163&lt;FlexibleRepairCouplings!$A$12,VLOOKUP($A163,FlexibleRepairCouplings!$A$9:$M$11,4,FALSE),
IF($A163&lt;DuraFix!$A$15,VLOOKUP($A163,DuraFix!$A$9:$M$14,4,FALSE),
IF($A163&lt;'Compression Fittings'!$A$16,VLOOKUP($A163,'Compression Fittings'!$A$8:$M$15,4,FALSE),
IF($A163&lt;'Hose Fittings'!$A$30,VLOOKUP($A163,'Hose Fittings'!$A$8:$M$29,4,FALSE),
IF($A163&lt;'Swing Joints'!$A$495,VLOOKUP($A163,'Swing Joints'!$A$9:$M$494,4,FALSE),
IF($A163&lt;'Swing Joints Components'!$A$135,VLOOKUP($A163,'Swing Joints Components'!$A$9:$M$134,4,FALSE),
IF($A163&lt;Nonstandard!$A$42,VLOOKUP($A163,Nonstandard!$A$31:$J$41,5,FALSE),"")))))))))))))))))))))))))))),"")</f>
        <v/>
      </c>
      <c r="C163" s="312" t="str">
        <f>IFERROR(IF($A163&lt;'DWV PVC'!$A$317,VLOOKUP($A163,'DWV PVC'!$A$9:$M$316,5,FALSE),
IF($A163&lt;'DWV ABS'!$A$117,VLOOKUP($A163,'DWV ABS'!$A$8:$M$116,5,FALSE),
IF($A163&lt;'PVC SCH40'!$A$425,VLOOKUP($A163,'PVC SCH40'!$A$8:$M$424,5,FALSE),
IF($A163&lt;'PVC SCH40 LD'!$A$22,VLOOKUP($A163,'PVC SCH40 LD'!$A$8:$M$21,5,FALSE),
IF($A163&lt;'Pool &amp; SPA Sweep Elbows'!$A$12,VLOOKUP($A163,'Pool &amp; SPA Sweep Elbows'!$A$8:$M$11,5,FALSE),
IF($A163&lt;'Pool &amp; SPA Pipe Extender'!$A$11,VLOOKUP($A163,'Pool &amp; SPA Pipe Extender'!$A$8:$M$10,5,FALSE),
IF($A163&lt;'PVC SCH80'!$A$250,VLOOKUP($A163,'PVC SCH80'!$A$8:$M$249,5,FALSE),
IF($A163&lt;'PVC SCH80 Flange'!$A$49,VLOOKUP($A163,'PVC SCH80 Flange'!$A$8:$M$48,5,FALSE),
IF($A163&lt;'PVC SCH80 LD Flange'!$A$17,VLOOKUP($A163,'PVC SCH80 LD Flange'!$A$8:$M$16,5,FALSE),
IF($A163&lt;CPVC!$A$105,VLOOKUP($A163,CPVC!$A$9:$M$104,5,FALSE),
IF($A163&lt;InsertFittings!$A$185,VLOOKUP($A163,InsertFittings!$A$9:$M$184,5,FALSE),
IF($A163&lt;Valves!$A$92,VLOOKUP($A163,Valves!$A$9:$Q$91,5,FALSE),
IF($A163&lt;SDR35SW!$A$133,VLOOKUP($A163,SDR35SW!$A$9:$M$132,5,FALSE),
IF($A163&lt;SDR35G!$A$151,VLOOKUP($A163,SDR35G!$A$9:$M$150,5,FALSE),
IF($A163&lt;SDR26G!$A$67,VLOOKUP($A163,SDR26G!$A$9:$N$66,6,FALSE),
IF($A163&lt;Cements!$A$95,VLOOKUP($A163,Cements!$A$8:$Q$94,5,FALSE),
IF($A163&lt;ValveBox!$A$124,VLOOKUP($A163,ValveBox!$A$9:$O$123,5,FALSE),
IF($A163&lt;'ValveBox Components'!$A$142,VLOOKUP($A163,'ValveBox Components'!$A$9:$N$141,5,FALSE),
IF($A163&lt;Drainage!$A$69,VLOOKUP($A163,Drainage!$A$8:$M$68,5,FALSE),
IF($A163&lt;Nipples!$A$82,VLOOKUP($A163,Nipples!$A$9:$Q$81,5,FALSE),
IF($A163&lt;Manifold!$A$33,VLOOKUP($A163,Manifold!$A$9:$M$32,5,FALSE),
IF($A163&lt;FlexibleRepairCouplings!$A$12,VLOOKUP($A163,FlexibleRepairCouplings!$A$9:$M$11,5,FALSE),
IF($A163&lt;DuraFix!$A$15,VLOOKUP($A163,DuraFix!$A$9:$M$14,5,FALSE),
IF($A163&lt;'Compression Fittings'!$A$16,VLOOKUP($A163,'Compression Fittings'!$A$8:$M$15,5,FALSE),
IF($A163&lt;'Hose Fittings'!$A$30,VLOOKUP($A163,'Hose Fittings'!$A$8:$M$29,5,FALSE),
IF($A163&lt;'Swing Joints'!$A$495,VLOOKUP($A163,'Swing Joints'!$A$9:$M$494,5,FALSE),
IF($A163&lt;'Swing Joints Components'!$A$135,VLOOKUP($A163,'Swing Joints Components'!$A$9:$M$134,5,FALSE),
IF($A163&lt;Nonstandard!$A$42,VLOOKUP($A163,Nonstandard!$A$31:$J$41,6,FALSE),"")))))))))))))))))))))))))))),"")</f>
        <v/>
      </c>
      <c r="D163" s="534" t="str">
        <f>IFERROR(IF($A163&lt;'DWV PVC'!$A$317,VLOOKUP($A163,'DWV PVC'!$A$9:$M$316,6,FALSE),
IF($A163&lt;'DWV ABS'!$A$117,VLOOKUP($A163,'DWV ABS'!$A$8:$M$116,6,FALSE),
IF($A163&lt;'PVC SCH40'!$A$425,VLOOKUP($A163,'PVC SCH40'!$A$8:$M$424,6,FALSE),
IF($A163&lt;'PVC SCH40 LD'!$A$22,VLOOKUP($A163,'PVC SCH40 LD'!$A$8:$M$21,6,FALSE),
IF($A163&lt;'Pool &amp; SPA Sweep Elbows'!$A$12,VLOOKUP($A163,'Pool &amp; SPA Sweep Elbows'!$A$8:$M$11,6,FALSE),
IF($A163&lt;'Pool &amp; SPA Pipe Extender'!$A$11,VLOOKUP($A163,'Pool &amp; SPA Pipe Extender'!$A$8:$M$10,6,FALSE),
IF($A163&lt;'PVC SCH80'!$A$250,VLOOKUP($A163,'PVC SCH80'!$A$8:$M$249,6,FALSE),
IF($A163&lt;'PVC SCH80 Flange'!$A$49,VLOOKUP($A163,'PVC SCH80 Flange'!$A$8:$M$48,6,FALSE),
IF($A163&lt;'PVC SCH80 LD Flange'!$A$17,VLOOKUP($A163,'PVC SCH80 LD Flange'!$A$8:$M$16,6,FALSE),
IF($A163&lt;CPVC!$A$105,VLOOKUP($A163,CPVC!$A$9:$M$104,6,FALSE),
IF($A163&lt;InsertFittings!$A$185,VLOOKUP($A163,InsertFittings!$A$9:$M$184,6,FALSE),
IF($A163&lt;Valves!$A$92,VLOOKUP($A163,Valves!$A$9:$Q$91,6,FALSE),
IF($A163&lt;SDR35SW!$A$133,VLOOKUP($A163,SDR35SW!$A$9:$M$132,6,FALSE),
IF($A163&lt;SDR35G!$A$151,VLOOKUP($A163,SDR35G!$A$9:$M$150,6,FALSE),
IF($A163&lt;SDR26G!$A$67,VLOOKUP($A163,SDR26G!$A$9:$N$66,7,FALSE),
IF($A163&lt;Cements!$A$95,VLOOKUP($A163,Cements!$A$8:$Q$94,6,FALSE),
IF($A163&lt;ValveBox!$A$124,VLOOKUP($A163,ValveBox!$A$9:$O$123,6,FALSE),
IF($A163&lt;'ValveBox Components'!$A$142,VLOOKUP($A163,'ValveBox Components'!$A$9:$N$141,6,FALSE),
IF($A163&lt;Drainage!$A$69,VLOOKUP($A163,Drainage!$A$8:$M$68,6,FALSE),
IF($A163&lt;Nipples!$A$82,VLOOKUP($A163,Nipples!$A$9:$Q$81,6,FALSE),
IF($A163&lt;Manifold!$A$33,VLOOKUP($A163,Manifold!$A$9:$M$32,6,FALSE),
IF($A163&lt;FlexibleRepairCouplings!$A$12,VLOOKUP($A163,FlexibleRepairCouplings!$A$9:$M$11,6,FALSE),
IF($A163&lt;DuraFix!$A$15,VLOOKUP($A163,DuraFix!$A$9:$M$14,6,FALSE),
IF($A163&lt;'Compression Fittings'!$A$16,VLOOKUP($A163,'Compression Fittings'!$A$8:$M$15,6,FALSE),
IF($A163&lt;'Hose Fittings'!$A$30,VLOOKUP($A163,'Hose Fittings'!$A$8:$M$29,6,FALSE),
IF($A163&lt;'Swing Joints'!$A$495,VLOOKUP($A163,'Swing Joints'!$A$9:$M$494,6,FALSE),
IF($A163&lt;'Swing Joints Components'!$A$135,VLOOKUP($A163,'Swing Joints Components'!$A$9:$M$134,6,FALSE),
IF($A163&lt;Nonstandard!$A$42,VLOOKUP($A163,Nonstandard!$A$31:$J$41,7,FALSE),"")))))))))))))))))))))))))))),"")</f>
        <v/>
      </c>
      <c r="E163" s="316"/>
      <c r="F163" s="314" t="str">
        <f>IFERROR(IF($A163&lt;'DWV PVC'!$A$317,VLOOKUP($A163,'DWV PVC'!$A$9:$M$316,9,FALSE),
IF($A163&lt;'DWV ABS'!$A$117,VLOOKUP($A163,'DWV ABS'!$A$8:$M$116,9,FALSE),                                                                                                                                                                                                                                                     IF($A163&lt;'PVC SCH40'!$A$425,VLOOKUP($A163,'PVC SCH40'!$A$8:$M$424,9,FALSE),
IF($A163&lt;'PVC SCH40 LD'!$A$22,VLOOKUP($A163,'PVC SCH40 LD'!$A$8:$M$21,9,FALSE),
IF($A163&lt;'Pool &amp; SPA Sweep Elbows'!$A$12,VLOOKUP($A163,'Pool &amp; SPA Sweep Elbows'!$A$8:$M$11,9,FALSE),
IF($A163&lt;'Pool &amp; SPA Pipe Extender'!$A$11,VLOOKUP($A163,'Pool &amp; SPA Pipe Extender'!$A$8:$M$10,9,FALSE),
IF($A163&lt;'PVC SCH80'!$A$250,VLOOKUP($A163,'PVC SCH80'!$A$8:$M$249,9,FALSE),
IF($A163&lt;'PVC SCH80 Flange'!$A$49,VLOOKUP($A163,'PVC SCH80 Flange'!$A$8:$M$48,9,FALSE),
IF($A163&lt;'PVC SCH80 LD Flange'!$A$17,VLOOKUP($A163,'PVC SCH80 LD Flange'!$A$8:$M$16,9,FALSE),
IF($A163&lt;CPVC!$A$105,VLOOKUP($A163,CPVC!$A$9:$M$104,9,FALSE),
IF($A163&lt;InsertFittings!$A$185,VLOOKUP($A163,InsertFittings!$A$9:$M$184,9,FALSE),
IF($A163&lt;Valves!$A$92,VLOOKUP($A163,Valves!$A$9:$Q$91,13,FALSE),
IF($A163&lt;SDR35SW!$A$133,VLOOKUP($A163,SDR35SW!$A$9:$M$132,9,FALSE),
IF($A163&lt;SDR35G!$A$151,VLOOKUP($A163,SDR35G!$A$9:$M$150,9,FALSE),                                                                                                                                                                                                                                                          IF($A163&lt;SDR26G!$A$67,VLOOKUP($A163,SDR26G!$A$9:$N$66,10,FALSE),                                                                                                                                                                                                                                                       IF($A163&lt;Cements!$A$95,VLOOKUP($A163,Cements!$A$8:$Q$94,13,FALSE),
IF($A163&lt;ValveBox!$A$124,VLOOKUP($A163,ValveBox!$A$9:$O$123,11,FALSE),
IF($A163&lt;'ValveBox Components'!$A$142,VLOOKUP($A163,'ValveBox Components'!$A$9:$N$141,10,FALSE),
IF($A163&lt;Drainage!$A$69,VLOOKUP($A163,Drainage!$A$8:$M$68,9,FALSE),                                                                                                                                                                                                                                                              IF($A163&lt;Nipples!$A$82,VLOOKUP($A163,Nipples!$A$9:$Q$81,13,FALSE),
IF($A163&lt;Manifold!$A$33,VLOOKUP($A163,Manifold!$A$9:$M$32,9,FALSE),
IF($A163&lt;FlexibleRepairCouplings!$A$12,VLOOKUP($A163,FlexibleRepairCouplings!$A$9:$M$11,9,FALSE),
IF($A163&lt;DuraFix!$A$15,VLOOKUP($A163,DuraFix!$A$9:$M$14,9,FALSE),                                                                                                                                                                                                                                                          IF($A163&lt;'Compression Fittings'!$A$16,VLOOKUP($A163,'Compression Fittings'!$A$8:$M$15,9,FALSE),
IF($A163&lt;'Hose Fittings'!$A$30,VLOOKUP($A163,'Hose Fittings'!$A$8:$M$29,9,FALSE),
IF($A163&lt;'Swing Joints'!$A$495,VLOOKUP($A163,'Swing Joints'!$A$9:$M$494,9,FALSE),
IF($A163&lt;'Swing Joints Components'!$A$135,VLOOKUP($A163,'Swing Joints Components'!$A$9:$M$134,9,FALSE),
IF($A163&lt;Nonstandard!$A$42,VLOOKUP($A163,Nonstandard!$A$31:$J$41,8,FALSE),"")))))))))))))))))))))))))))),"")</f>
        <v/>
      </c>
      <c r="G163" s="533" t="str">
        <f>IFERROR(IF($A163&lt;'DWV PVC'!$A$317,VLOOKUP($A163,'DWV PVC'!$A$9:$M$316,11,FALSE),
IF($A163&lt;'DWV ABS'!$A$117,VLOOKUP($A163,'DWV ABS'!$A$8:$M$116,11,FALSE),                                                                                                                                                                                                                                                     IF($A163&lt;'PVC SCH40'!$A$425,VLOOKUP($A163,'PVC SCH40'!$A$8:$M$424,11,FALSE),
IF($A163&lt;'PVC SCH40 LD'!$A$22,VLOOKUP($A163,'PVC SCH40 LD'!$A$8:$M$21,11,FALSE),
IF($A163&lt;'Pool &amp; SPA Sweep Elbows'!$A$12,VLOOKUP($A163,'Pool &amp; SPA Sweep Elbows'!$A$8:$M$11,11,FALSE),
IF($A163&lt;'Pool &amp; SPA Pipe Extender'!$A$11,VLOOKUP($A163,'Pool &amp; SPA Pipe Extender'!$A$8:$M$10,11,FALSE),
IF($A163&lt;'PVC SCH80'!$A$250,VLOOKUP($A163,'PVC SCH80'!$A$8:$M$249,11,FALSE),
IF($A163&lt;'PVC SCH80 Flange'!$A$49,VLOOKUP($A163,'PVC SCH80 Flange'!$A$8:$M$48,11,FALSE),
IF($A163&lt;'PVC SCH80 LD Flange'!$A$17,VLOOKUP($A163,'PVC SCH80 LD Flange'!$A$8:$M$16,11,FALSE),
IF($A163&lt;CPVC!$A$105,VLOOKUP($A163,CPVC!$A$9:$M$104,11,FALSE),
IF($A163&lt;InsertFittings!$A$185,VLOOKUP($A163,InsertFittings!$A$9:$M$184,11,FALSE),
IF($A163&lt;Valves!$A$92,VLOOKUP($A163,Valves!$A$9:$Q$91,15,FALSE),
IF($A163&lt;SDR35SW!$A$133,VLOOKUP($A163,SDR35SW!$A$9:$M$132,11,FALSE),
IF($A163&lt;SDR35G!$A$151,VLOOKUP($A163,SDR35G!$A$9:$M$150,11,FALSE),                                                                                                                                                                                                                                                          IF($A163&lt;SDR26G!$A$67,VLOOKUP($A163,SDR26G!$A$9:$N$66,12,FALSE),                                                                                                                                                                                                                                                       IF($A163&lt;Cements!$A$95,VLOOKUP($A163,Cements!$A$8:$Q$94,15,FALSE),
IF($A163&lt;ValveBox!$A$124,VLOOKUP($A163,ValveBox!$A$9:$O$123,13,FALSE),
IF($A163&lt;'ValveBox Components'!$A$142,VLOOKUP($A163,'ValveBox Components'!$A$9:$N$141,12,FALSE),
IF($A163&lt;Drainage!$A$69,VLOOKUP($A163,Drainage!$A$8:$M$68,11,FALSE),                                                                                                                                                                                                                                                           IF($A163&lt;Nipples!$A$82,VLOOKUP($A163,Nipples!$A$9:$Q$81,15,FALSE),
IF($A163&lt;Manifold!$A$33,VLOOKUP($A163,Manifold!$A$9:$M$32,11,FALSE),
IF($A163&lt;FlexibleRepairCouplings!$A$12,VLOOKUP($A163,FlexibleRepairCouplings!$A$9:$M$11,11,FALSE),
IF($A163&lt;DuraFix!$A$15,VLOOKUP($A163,DuraFix!$A$9:$M$14,11,FALSE),                                                                                                                                                                                                                                                            IF($A163&lt;'Compression Fittings'!$A$16,VLOOKUP($A163,'Compression Fittings'!$A$8:$M$15,11,FALSE),
IF($A163&lt;'Hose Fittings'!$A$30,VLOOKUP($A163,'Hose Fittings'!$A$8:$M$29,11,FALSE),
IF($A163&lt;'Swing Joints'!$A$495,VLOOKUP($A163,'Swing Joints'!$A$9:$M$494,11,FALSE),
IF($A163&lt;'Swing Joints Components'!$A$135,VLOOKUP($A163,'Swing Joints Components'!$A$9:$M$134,11,FALSE),
IF($A163&lt;Nonstandard!$A$42,VLOOKUP($A163,Nonstandard!$A$31:$J$41,10,FALSE),"")))))))))))))))))))))))))))),"")</f>
        <v/>
      </c>
      <c r="H163" s="618" t="str">
        <f>IFERROR(IF($A163&lt;'DWV PVC'!$A$317,VLOOKUP($A163,'DWV PVC'!$A$9:$M$316,7,FALSE),
IF($A163&lt;'DWV ABS'!$A$117,VLOOKUP($A163,'DWV ABS'!$A$8:$M$116,11,FALSE),                                                                                                                                                                                                                                                     IF($A163&lt;'PVC SCH40'!$A$425,VLOOKUP($A163,'PVC SCH40'!$A$8:$M$424,7,FALSE),
IF($A163&lt;'PVC SCH40 LD'!$A$22,VLOOKUP($A163,'PVC SCH40 LD'!$A$8:$M$21,7,FALSE),
IF($A163&lt;'Pool &amp; SPA Sweep Elbows'!$A$12,VLOOKUP($A163,'Pool &amp; SPA Sweep Elbows'!$A$8:$M$11,7,FALSE),
IF($A163&lt;'Pool &amp; SPA Pipe Extender'!$A$11,VLOOKUP($A163,'Pool &amp; SPA Pipe Extender'!$A$8:$M$10,7,FALSE),
IF($A163&lt;'PVC SCH80'!$A$250,VLOOKUP($A163,'PVC SCH80'!$A$8:$M$249,7,FALSE),
IF($A163&lt;'PVC SCH80 Flange'!$A$49,VLOOKUP($A163,'PVC SCH80 Flange'!$A$8:$M$48,7,FALSE),
IF($A163&lt;'PVC SCH80 LD Flange'!$A$17,VLOOKUP($A163,'PVC SCH80 LD Flange'!$A$8:$M$16,7,FALSE),
IF($A163&lt;CPVC!$A$105,VLOOKUP($A163,CPVC!$A$9:$M$104,7,FALSE),
IF($A163&lt;InsertFittings!$A$185,VLOOKUP($A163,InsertFittings!$A$9:$M$184,7,FALSE),
IF($A163&lt;Valves!$A$92,VLOOKUP($A163,Valves!$A$9:$Q$91,11,FALSE),
IF($A163&lt;SDR35SW!$A$133,VLOOKUP($A163,SDR35SW!$A$9:$M$132,7,FALSE),
IF($A163&lt;SDR35G!$A$151,VLOOKUP($A163,SDR35G!$A$9:$M$150,7,FALSE),                                                                                                                                                                                                                                                       IF($A163&lt;SDR26G!$A$67,VLOOKUP($A163,SDR26G!$A$9:$N$66,8,FALSE),                                                                                                                                                                                                                                                     IF($A163&lt;Cements!$A$95,VLOOKUP($A163,Cements!$A$8:$Q$94,11,FALSE),
IF($A163&lt;ValveBox!$A$124,VLOOKUP($A163,ValveBox!$A$9:$O$123,10,FALSE),
IF($A163&lt;'ValveBox Components'!$A$142,VLOOKUP($A163,'ValveBox Components'!$A$9:$N$141,9,FALSE),
IF($A163&lt;Drainage!$A$69,VLOOKUP($A163,Drainage!$A$8:$M$68,7,FALSE),                                                                                                                                                                                                                                                          IF($A163&lt;Nipples!$A$82,VLOOKUP($A163,Nipples!$A$9:$Q$81,11,FALSE),
IF($A163&lt;Manifold!$A$33,VLOOKUP($A163,Manifold!$A$9:$M$32,7,FALSE),
IF($A163&lt;FlexibleRepairCouplings!$A$12,VLOOKUP($A163,FlexibleRepairCouplings!$A$9:$M$11,7,FALSE),
IF($A163&lt;DuraFix!$A$15,VLOOKUP($A163,DuraFix!$A$9:$M$14,7,FALSE),                                                                                                                                                                                                                                                           IF($A163&lt;'Compression Fittings'!$A$16,VLOOKUP($A163,'Compression Fittings'!$A$8:$M$15,7,FALSE),
IF($A163&lt;'Hose Fittings'!$A$30,VLOOKUP($A163,'Hose Fittings'!$A$8:$M$29,7,FALSE),
IF($A163&lt;'Swing Joints'!$A$495,VLOOKUP($A163,'Swing Joints'!$A$9:$M$494,7,FALSE),
IF($A163&lt;'Swing Joints Components'!$A$135,VLOOKUP($A163,'Swing Joints Components'!$A$9:$M$134,7,FALSE),
IF($A163&lt;Nonstandard!$A$42,VLOOKUP($A163,Nonstandard!$A$31:$J$41,10,FALSE),"")))))))))))))))))))))))))))),"")</f>
        <v/>
      </c>
      <c r="I163" s="619"/>
      <c r="J163" s="281" t="str">
        <f t="shared" si="5"/>
        <v/>
      </c>
      <c r="K163" s="313" t="str">
        <f>IFERROR(IF($A163&lt;'DWV PVC'!$A$317,VLOOKUP($A163,'DWV PVC'!$A$9:$M$316,10,FALSE),
IF($A163&lt;'DWV ABS'!$A$117,VLOOKUP($A163,'DWV ABS'!$A$8:$M$116,10,FALSE),
IF($A163&lt;'PVC SCH40'!$A$425,VLOOKUP($A163,'PVC SCH40'!$A$8:$M$424,10,FALSE),
IF($A163&lt;'PVC SCH40 LD'!$A$22,VLOOKUP($A163,'PVC SCH40 LD'!$A$8:$M$21,10,FALSE),
IF($A163&lt;'Pool &amp; SPA Sweep Elbows'!$A$12,VLOOKUP($A163,'Pool &amp; SPA Sweep Elbows'!$A$8:$M$11,10,FALSE),
IF($A163&lt;'Pool &amp; SPA Pipe Extender'!$A$11,VLOOKUP($A163,'Pool &amp; SPA Pipe Extender'!$A$8:$M$10,10,FALSE),
IF($A163&lt;'PVC SCH80'!$A$250,VLOOKUP($A163,'PVC SCH80'!$A$8:$M$249,10,FALSE),
IF($A163&lt;'PVC SCH80 Flange'!$A$49,VLOOKUP($A163,'PVC SCH80 Flange'!$A$8:$M$48,10,FALSE),
IF($A163&lt;'PVC SCH80 LD Flange'!$A$17,VLOOKUP($A163,'PVC SCH80 LD Flange'!$A$8:$M$16,10,FALSE),
IF($A163&lt;CPVC!$A$105,VLOOKUP($A163,CPVC!$A$9:$M$104,10,FALSE),
IF($A163&lt;InsertFittings!$A$185,VLOOKUP($A163,InsertFittings!$A$9:$M$184,10,FALSE),
IF($A163&lt;Valves!$A$92,VLOOKUP($A163,Valves!$A$9:$Q$91,14,FALSE),
IF($A163&lt;SDR35SW!$A$133,VLOOKUP($A163,SDR35SW!$A$9:$M$132,10,FALSE),
IF($A163&lt;SDR35G!$A$151,VLOOKUP($A163,SDR35G!$A$9:$M$150,10,FALSE),
IF($A163&lt;SDR26G!$A$67,VLOOKUP($A163,SDR26G!$A$9:$N$66,11,FALSE),
IF($A163&lt;Cements!$A$95,VLOOKUP($A163,Cements!$A$8:$Q$94,14,FALSE),
IF($A163&lt;ValveBox!$A$124,VLOOKUP($A163,ValveBox!$A$9:$O$123,12,FALSE),
IF($A163&lt;'ValveBox Components'!$A$142,VLOOKUP($A163,'ValveBox Components'!$A$9:$N$141,11,FALSE),
IF($A163&lt;Drainage!$A$69,VLOOKUP($A163,Drainage!$A$8:$M$68,10,FALSE),
IF($A163&lt;Nipples!$A$82,VLOOKUP($A163,Nipples!$A$9:$Q$81,14,FALSE),
IF($A163&lt;Manifold!$A$33,VLOOKUP($A163,Manifold!$A$9:$M$32,10,FALSE),
IF($A163&lt;FlexibleRepairCouplings!$A$12,VLOOKUP($A163,FlexibleRepairCouplings!$A$9:$M$11,10,FALSE),
IF($A163&lt;DuraFix!$A$15,VLOOKUP($A163,DuraFix!$A$9:$M$14,10,FALSE),
IF($A163&lt;'Compression Fittings'!$A$16,VLOOKUP($A163,'Compression Fittings'!$A$8:$M$15,10,FALSE),
IF($A163&lt;'Hose Fittings'!$A$30,VLOOKUP($A163,'Hose Fittings'!$A$8:$M$29,10,FALSE),
IF($A163&lt;'Swing Joints'!$A$495,VLOOKUP($A163,'Swing Joints'!$A$9:$M$494,10,FALSE),
IF($A163&lt;'Swing Joints Components'!$A$135,VLOOKUP($A163,'Swing Joints Components'!$A$9:$M$134,10,FALSE),
IF($A163&lt;Nonstandard!$A$42,VLOOKUP($A163,Nonstandard!$A$31:$J$41,10,FALSE),"")))))))))))))))))))))))))))),"")</f>
        <v/>
      </c>
      <c r="L163" s="314" t="str">
        <f t="shared" si="4"/>
        <v>-</v>
      </c>
      <c r="M163" s="315"/>
    </row>
    <row r="164" spans="1:13" ht="15.6">
      <c r="A164" s="536">
        <v>132</v>
      </c>
      <c r="B164" s="536" t="str">
        <f>IFERROR(IF($A164&lt;'DWV PVC'!$A$317,VLOOKUP($A164,'DWV PVC'!$A$9:$M$316,4,FALSE),
IF($A164&lt;'DWV ABS'!$A$117,VLOOKUP($A164,'DWV ABS'!$A$8:$M$116,4,FALSE),
IF($A164&lt;'PVC SCH40'!$A$425,VLOOKUP($A164,'PVC SCH40'!$A$8:$M$424,4,FALSE),
IF($A164&lt;'PVC SCH40 LD'!$A$22,VLOOKUP($A164,'PVC SCH40 LD'!$A$8:$M$21,4,FALSE),
IF($A164&lt;'Pool &amp; SPA Sweep Elbows'!$A$12,VLOOKUP($A164,'Pool &amp; SPA Sweep Elbows'!$A$8:$M$11,4,FALSE),
IF($A164&lt;'Pool &amp; SPA Pipe Extender'!$A$11,VLOOKUP($A164,'Pool &amp; SPA Pipe Extender'!$A$8:$M$10,4,FALSE),
IF($A164&lt;'PVC SCH80'!$A$250,VLOOKUP($A164,'PVC SCH80'!$A$8:$M$249,4,FALSE),
IF($A164&lt;'PVC SCH80 Flange'!$A$49,VLOOKUP($A164,'PVC SCH80 Flange'!$A$8:$M$48,4,FALSE),
IF($A164&lt;'PVC SCH80 LD Flange'!$A$17,VLOOKUP($A164,'PVC SCH80 LD Flange'!$A$8:$M$16,4,FALSE),
IF($A164&lt;CPVC!$A$105,VLOOKUP($A164,CPVC!$A$9:$M$104,4,FALSE),
IF($A164&lt;InsertFittings!$A$185,VLOOKUP($A164,InsertFittings!$A$9:$M$184,4,FALSE),
IF($A164&lt;Valves!$A$92,VLOOKUP($A164,Valves!$A$9:$Q$91,4,FALSE),
IF($A164&lt;SDR35SW!$A$133,VLOOKUP($A164,SDR35SW!$A$9:$M$132,4,FALSE),
IF($A164&lt;SDR35G!$A$151,VLOOKUP($A164,SDR35G!$A$9:$M$150,4,FALSE),
IF($A164&lt;SDR26G!$A$67,VLOOKUP($A164,SDR26G!$A$9:$N$66,5,FALSE),
IF($A164&lt;Cements!$A$95,VLOOKUP($A164,Cements!$A$8:$Q$94,4,FALSE),
IF($A164&lt;ValveBox!$A$124,VLOOKUP($A164,ValveBox!$A$9:$O$123,4,FALSE),
IF($A164&lt;'ValveBox Components'!$A$142,VLOOKUP($A164,'ValveBox Components'!$A$9:$N$141,4,FALSE),
IF($A164&lt;Drainage!$A$69,VLOOKUP($A164,Drainage!$A$8:$M$68,4,FALSE),
IF($A164&lt;Nipples!$A$82,VLOOKUP($A164,Nipples!$A$9:$Q$81,4,FALSE),
IF($A164&lt;Manifold!$A$33,VLOOKUP($A164,Manifold!$A$9:$M$32,4,FALSE),
IF($A164&lt;FlexibleRepairCouplings!$A$12,VLOOKUP($A164,FlexibleRepairCouplings!$A$9:$M$11,4,FALSE),
IF($A164&lt;DuraFix!$A$15,VLOOKUP($A164,DuraFix!$A$9:$M$14,4,FALSE),
IF($A164&lt;'Compression Fittings'!$A$16,VLOOKUP($A164,'Compression Fittings'!$A$8:$M$15,4,FALSE),
IF($A164&lt;'Hose Fittings'!$A$30,VLOOKUP($A164,'Hose Fittings'!$A$8:$M$29,4,FALSE),
IF($A164&lt;'Swing Joints'!$A$495,VLOOKUP($A164,'Swing Joints'!$A$9:$M$494,4,FALSE),
IF($A164&lt;'Swing Joints Components'!$A$135,VLOOKUP($A164,'Swing Joints Components'!$A$9:$M$134,4,FALSE),
IF($A164&lt;Nonstandard!$A$42,VLOOKUP($A164,Nonstandard!$A$31:$J$41,5,FALSE),"")))))))))))))))))))))))))))),"")</f>
        <v/>
      </c>
      <c r="C164" s="536" t="str">
        <f>IFERROR(IF($A164&lt;'DWV PVC'!$A$317,VLOOKUP($A164,'DWV PVC'!$A$9:$M$316,5,FALSE),
IF($A164&lt;'DWV ABS'!$A$117,VLOOKUP($A164,'DWV ABS'!$A$8:$M$116,5,FALSE),
IF($A164&lt;'PVC SCH40'!$A$425,VLOOKUP($A164,'PVC SCH40'!$A$8:$M$424,5,FALSE),
IF($A164&lt;'PVC SCH40 LD'!$A$22,VLOOKUP($A164,'PVC SCH40 LD'!$A$8:$M$21,5,FALSE),
IF($A164&lt;'Pool &amp; SPA Sweep Elbows'!$A$12,VLOOKUP($A164,'Pool &amp; SPA Sweep Elbows'!$A$8:$M$11,5,FALSE),
IF($A164&lt;'Pool &amp; SPA Pipe Extender'!$A$11,VLOOKUP($A164,'Pool &amp; SPA Pipe Extender'!$A$8:$M$10,5,FALSE),
IF($A164&lt;'PVC SCH80'!$A$250,VLOOKUP($A164,'PVC SCH80'!$A$8:$M$249,5,FALSE),
IF($A164&lt;'PVC SCH80 Flange'!$A$49,VLOOKUP($A164,'PVC SCH80 Flange'!$A$8:$M$48,5,FALSE),
IF($A164&lt;'PVC SCH80 LD Flange'!$A$17,VLOOKUP($A164,'PVC SCH80 LD Flange'!$A$8:$M$16,5,FALSE),
IF($A164&lt;CPVC!$A$105,VLOOKUP($A164,CPVC!$A$9:$M$104,5,FALSE),
IF($A164&lt;InsertFittings!$A$185,VLOOKUP($A164,InsertFittings!$A$9:$M$184,5,FALSE),
IF($A164&lt;Valves!$A$92,VLOOKUP($A164,Valves!$A$9:$Q$91,5,FALSE),
IF($A164&lt;SDR35SW!$A$133,VLOOKUP($A164,SDR35SW!$A$9:$M$132,5,FALSE),
IF($A164&lt;SDR35G!$A$151,VLOOKUP($A164,SDR35G!$A$9:$M$150,5,FALSE),
IF($A164&lt;SDR26G!$A$67,VLOOKUP($A164,SDR26G!$A$9:$N$66,6,FALSE),
IF($A164&lt;Cements!$A$95,VLOOKUP($A164,Cements!$A$8:$Q$94,5,FALSE),
IF($A164&lt;ValveBox!$A$124,VLOOKUP($A164,ValveBox!$A$9:$O$123,5,FALSE),
IF($A164&lt;'ValveBox Components'!$A$142,VLOOKUP($A164,'ValveBox Components'!$A$9:$N$141,5,FALSE),
IF($A164&lt;Drainage!$A$69,VLOOKUP($A164,Drainage!$A$8:$M$68,5,FALSE),
IF($A164&lt;Nipples!$A$82,VLOOKUP($A164,Nipples!$A$9:$Q$81,5,FALSE),
IF($A164&lt;Manifold!$A$33,VLOOKUP($A164,Manifold!$A$9:$M$32,5,FALSE),
IF($A164&lt;FlexibleRepairCouplings!$A$12,VLOOKUP($A164,FlexibleRepairCouplings!$A$9:$M$11,5,FALSE),
IF($A164&lt;DuraFix!$A$15,VLOOKUP($A164,DuraFix!$A$9:$M$14,5,FALSE),
IF($A164&lt;'Compression Fittings'!$A$16,VLOOKUP($A164,'Compression Fittings'!$A$8:$M$15,5,FALSE),
IF($A164&lt;'Hose Fittings'!$A$30,VLOOKUP($A164,'Hose Fittings'!$A$8:$M$29,5,FALSE),
IF($A164&lt;'Swing Joints'!$A$495,VLOOKUP($A164,'Swing Joints'!$A$9:$M$494,5,FALSE),
IF($A164&lt;'Swing Joints Components'!$A$135,VLOOKUP($A164,'Swing Joints Components'!$A$9:$M$134,5,FALSE),
IF($A164&lt;Nonstandard!$A$42,VLOOKUP($A164,Nonstandard!$A$31:$J$41,6,FALSE),"")))))))))))))))))))))))))))),"")</f>
        <v/>
      </c>
      <c r="D164" s="537" t="str">
        <f>IFERROR(IF($A164&lt;'DWV PVC'!$A$317,VLOOKUP($A164,'DWV PVC'!$A$9:$M$316,6,FALSE),
IF($A164&lt;'DWV ABS'!$A$117,VLOOKUP($A164,'DWV ABS'!$A$8:$M$116,6,FALSE),
IF($A164&lt;'PVC SCH40'!$A$425,VLOOKUP($A164,'PVC SCH40'!$A$8:$M$424,6,FALSE),
IF($A164&lt;'PVC SCH40 LD'!$A$22,VLOOKUP($A164,'PVC SCH40 LD'!$A$8:$M$21,6,FALSE),
IF($A164&lt;'Pool &amp; SPA Sweep Elbows'!$A$12,VLOOKUP($A164,'Pool &amp; SPA Sweep Elbows'!$A$8:$M$11,6,FALSE),
IF($A164&lt;'Pool &amp; SPA Pipe Extender'!$A$11,VLOOKUP($A164,'Pool &amp; SPA Pipe Extender'!$A$8:$M$10,6,FALSE),
IF($A164&lt;'PVC SCH80'!$A$250,VLOOKUP($A164,'PVC SCH80'!$A$8:$M$249,6,FALSE),
IF($A164&lt;'PVC SCH80 Flange'!$A$49,VLOOKUP($A164,'PVC SCH80 Flange'!$A$8:$M$48,6,FALSE),
IF($A164&lt;'PVC SCH80 LD Flange'!$A$17,VLOOKUP($A164,'PVC SCH80 LD Flange'!$A$8:$M$16,6,FALSE),
IF($A164&lt;CPVC!$A$105,VLOOKUP($A164,CPVC!$A$9:$M$104,6,FALSE),
IF($A164&lt;InsertFittings!$A$185,VLOOKUP($A164,InsertFittings!$A$9:$M$184,6,FALSE),
IF($A164&lt;Valves!$A$92,VLOOKUP($A164,Valves!$A$9:$Q$91,6,FALSE),
IF($A164&lt;SDR35SW!$A$133,VLOOKUP($A164,SDR35SW!$A$9:$M$132,6,FALSE),
IF($A164&lt;SDR35G!$A$151,VLOOKUP($A164,SDR35G!$A$9:$M$150,6,FALSE),
IF($A164&lt;SDR26G!$A$67,VLOOKUP($A164,SDR26G!$A$9:$N$66,7,FALSE),
IF($A164&lt;Cements!$A$95,VLOOKUP($A164,Cements!$A$8:$Q$94,6,FALSE),
IF($A164&lt;ValveBox!$A$124,VLOOKUP($A164,ValveBox!$A$9:$O$123,6,FALSE),
IF($A164&lt;'ValveBox Components'!$A$142,VLOOKUP($A164,'ValveBox Components'!$A$9:$N$141,6,FALSE),
IF($A164&lt;Drainage!$A$69,VLOOKUP($A164,Drainage!$A$8:$M$68,6,FALSE),
IF($A164&lt;Nipples!$A$82,VLOOKUP($A164,Nipples!$A$9:$Q$81,6,FALSE),
IF($A164&lt;Manifold!$A$33,VLOOKUP($A164,Manifold!$A$9:$M$32,6,FALSE),
IF($A164&lt;FlexibleRepairCouplings!$A$12,VLOOKUP($A164,FlexibleRepairCouplings!$A$9:$M$11,6,FALSE),
IF($A164&lt;DuraFix!$A$15,VLOOKUP($A164,DuraFix!$A$9:$M$14,6,FALSE),
IF($A164&lt;'Compression Fittings'!$A$16,VLOOKUP($A164,'Compression Fittings'!$A$8:$M$15,6,FALSE),
IF($A164&lt;'Hose Fittings'!$A$30,VLOOKUP($A164,'Hose Fittings'!$A$8:$M$29,6,FALSE),
IF($A164&lt;'Swing Joints'!$A$495,VLOOKUP($A164,'Swing Joints'!$A$9:$M$494,6,FALSE),
IF($A164&lt;'Swing Joints Components'!$A$135,VLOOKUP($A164,'Swing Joints Components'!$A$9:$M$134,6,FALSE),
IF($A164&lt;Nonstandard!$A$42,VLOOKUP($A164,Nonstandard!$A$31:$J$41,7,FALSE),"")))))))))))))))))))))))))))),"")</f>
        <v/>
      </c>
      <c r="E164" s="538"/>
      <c r="F164" s="539" t="str">
        <f>IFERROR(IF($A164&lt;'DWV PVC'!$A$317,VLOOKUP($A164,'DWV PVC'!$A$9:$M$316,9,FALSE),
IF($A164&lt;'DWV ABS'!$A$117,VLOOKUP($A164,'DWV ABS'!$A$8:$M$116,9,FALSE),                                                                                                                                                                                                                                                     IF($A164&lt;'PVC SCH40'!$A$425,VLOOKUP($A164,'PVC SCH40'!$A$8:$M$424,9,FALSE),
IF($A164&lt;'PVC SCH40 LD'!$A$22,VLOOKUP($A164,'PVC SCH40 LD'!$A$8:$M$21,9,FALSE),
IF($A164&lt;'Pool &amp; SPA Sweep Elbows'!$A$12,VLOOKUP($A164,'Pool &amp; SPA Sweep Elbows'!$A$8:$M$11,9,FALSE),
IF($A164&lt;'Pool &amp; SPA Pipe Extender'!$A$11,VLOOKUP($A164,'Pool &amp; SPA Pipe Extender'!$A$8:$M$10,9,FALSE),
IF($A164&lt;'PVC SCH80'!$A$250,VLOOKUP($A164,'PVC SCH80'!$A$8:$M$249,9,FALSE),
IF($A164&lt;'PVC SCH80 Flange'!$A$49,VLOOKUP($A164,'PVC SCH80 Flange'!$A$8:$M$48,9,FALSE),
IF($A164&lt;'PVC SCH80 LD Flange'!$A$17,VLOOKUP($A164,'PVC SCH80 LD Flange'!$A$8:$M$16,9,FALSE),
IF($A164&lt;CPVC!$A$105,VLOOKUP($A164,CPVC!$A$9:$M$104,9,FALSE),
IF($A164&lt;InsertFittings!$A$185,VLOOKUP($A164,InsertFittings!$A$9:$M$184,9,FALSE),
IF($A164&lt;Valves!$A$92,VLOOKUP($A164,Valves!$A$9:$Q$91,13,FALSE),
IF($A164&lt;SDR35SW!$A$133,VLOOKUP($A164,SDR35SW!$A$9:$M$132,9,FALSE),
IF($A164&lt;SDR35G!$A$151,VLOOKUP($A164,SDR35G!$A$9:$M$150,9,FALSE),                                                                                                                                                                                                                                                          IF($A164&lt;SDR26G!$A$67,VLOOKUP($A164,SDR26G!$A$9:$N$66,10,FALSE),                                                                                                                                                                                                                                                       IF($A164&lt;Cements!$A$95,VLOOKUP($A164,Cements!$A$8:$Q$94,13,FALSE),
IF($A164&lt;ValveBox!$A$124,VLOOKUP($A164,ValveBox!$A$9:$O$123,11,FALSE),
IF($A164&lt;'ValveBox Components'!$A$142,VLOOKUP($A164,'ValveBox Components'!$A$9:$N$141,10,FALSE),
IF($A164&lt;Drainage!$A$69,VLOOKUP($A164,Drainage!$A$8:$M$68,9,FALSE),                                                                                                                                                                                                                                                              IF($A164&lt;Nipples!$A$82,VLOOKUP($A164,Nipples!$A$9:$Q$81,13,FALSE),
IF($A164&lt;Manifold!$A$33,VLOOKUP($A164,Manifold!$A$9:$M$32,9,FALSE),
IF($A164&lt;FlexibleRepairCouplings!$A$12,VLOOKUP($A164,FlexibleRepairCouplings!$A$9:$M$11,9,FALSE),
IF($A164&lt;DuraFix!$A$15,VLOOKUP($A164,DuraFix!$A$9:$M$14,9,FALSE),                                                                                                                                                                                                                                                          IF($A164&lt;'Compression Fittings'!$A$16,VLOOKUP($A164,'Compression Fittings'!$A$8:$M$15,9,FALSE),
IF($A164&lt;'Hose Fittings'!$A$30,VLOOKUP($A164,'Hose Fittings'!$A$8:$M$29,9,FALSE),
IF($A164&lt;'Swing Joints'!$A$495,VLOOKUP($A164,'Swing Joints'!$A$9:$M$494,9,FALSE),
IF($A164&lt;'Swing Joints Components'!$A$135,VLOOKUP($A164,'Swing Joints Components'!$A$9:$M$134,9,FALSE),
IF($A164&lt;Nonstandard!$A$42,VLOOKUP($A164,Nonstandard!$A$31:$J$41,8,FALSE),"")))))))))))))))))))))))))))),"")</f>
        <v/>
      </c>
      <c r="G164" s="540" t="str">
        <f>IFERROR(IF($A164&lt;'DWV PVC'!$A$317,VLOOKUP($A164,'DWV PVC'!$A$9:$M$316,11,FALSE),
IF($A164&lt;'DWV ABS'!$A$117,VLOOKUP($A164,'DWV ABS'!$A$8:$M$116,11,FALSE),                                                                                                                                                                                                                                                     IF($A164&lt;'PVC SCH40'!$A$425,VLOOKUP($A164,'PVC SCH40'!$A$8:$M$424,11,FALSE),
IF($A164&lt;'PVC SCH40 LD'!$A$22,VLOOKUP($A164,'PVC SCH40 LD'!$A$8:$M$21,11,FALSE),
IF($A164&lt;'Pool &amp; SPA Sweep Elbows'!$A$12,VLOOKUP($A164,'Pool &amp; SPA Sweep Elbows'!$A$8:$M$11,11,FALSE),
IF($A164&lt;'Pool &amp; SPA Pipe Extender'!$A$11,VLOOKUP($A164,'Pool &amp; SPA Pipe Extender'!$A$8:$M$10,11,FALSE),
IF($A164&lt;'PVC SCH80'!$A$250,VLOOKUP($A164,'PVC SCH80'!$A$8:$M$249,11,FALSE),
IF($A164&lt;'PVC SCH80 Flange'!$A$49,VLOOKUP($A164,'PVC SCH80 Flange'!$A$8:$M$48,11,FALSE),
IF($A164&lt;'PVC SCH80 LD Flange'!$A$17,VLOOKUP($A164,'PVC SCH80 LD Flange'!$A$8:$M$16,11,FALSE),
IF($A164&lt;CPVC!$A$105,VLOOKUP($A164,CPVC!$A$9:$M$104,11,FALSE),
IF($A164&lt;InsertFittings!$A$185,VLOOKUP($A164,InsertFittings!$A$9:$M$184,11,FALSE),
IF($A164&lt;Valves!$A$92,VLOOKUP($A164,Valves!$A$9:$Q$91,15,FALSE),
IF($A164&lt;SDR35SW!$A$133,VLOOKUP($A164,SDR35SW!$A$9:$M$132,11,FALSE),
IF($A164&lt;SDR35G!$A$151,VLOOKUP($A164,SDR35G!$A$9:$M$150,11,FALSE),                                                                                                                                                                                                                                                          IF($A164&lt;SDR26G!$A$67,VLOOKUP($A164,SDR26G!$A$9:$N$66,12,FALSE),                                                                                                                                                                                                                                                       IF($A164&lt;Cements!$A$95,VLOOKUP($A164,Cements!$A$8:$Q$94,15,FALSE),
IF($A164&lt;ValveBox!$A$124,VLOOKUP($A164,ValveBox!$A$9:$O$123,13,FALSE),
IF($A164&lt;'ValveBox Components'!$A$142,VLOOKUP($A164,'ValveBox Components'!$A$9:$N$141,12,FALSE),
IF($A164&lt;Drainage!$A$69,VLOOKUP($A164,Drainage!$A$8:$M$68,11,FALSE),                                                                                                                                                                                                                                                           IF($A164&lt;Nipples!$A$82,VLOOKUP($A164,Nipples!$A$9:$Q$81,15,FALSE),
IF($A164&lt;Manifold!$A$33,VLOOKUP($A164,Manifold!$A$9:$M$32,11,FALSE),
IF($A164&lt;FlexibleRepairCouplings!$A$12,VLOOKUP($A164,FlexibleRepairCouplings!$A$9:$M$11,11,FALSE),
IF($A164&lt;DuraFix!$A$15,VLOOKUP($A164,DuraFix!$A$9:$M$14,11,FALSE),                                                                                                                                                                                                                                                            IF($A164&lt;'Compression Fittings'!$A$16,VLOOKUP($A164,'Compression Fittings'!$A$8:$M$15,11,FALSE),
IF($A164&lt;'Hose Fittings'!$A$30,VLOOKUP($A164,'Hose Fittings'!$A$8:$M$29,11,FALSE),
IF($A164&lt;'Swing Joints'!$A$495,VLOOKUP($A164,'Swing Joints'!$A$9:$M$494,11,FALSE),
IF($A164&lt;'Swing Joints Components'!$A$135,VLOOKUP($A164,'Swing Joints Components'!$A$9:$M$134,11,FALSE),
IF($A164&lt;Nonstandard!$A$42,VLOOKUP($A164,Nonstandard!$A$31:$J$41,10,FALSE),"")))))))))))))))))))))))))))),"")</f>
        <v/>
      </c>
      <c r="H164" s="620" t="str">
        <f>IFERROR(IF($A164&lt;'DWV PVC'!$A$317,VLOOKUP($A164,'DWV PVC'!$A$9:$M$316,7,FALSE),
IF($A164&lt;'DWV ABS'!$A$117,VLOOKUP($A164,'DWV ABS'!$A$8:$M$116,11,FALSE),                                                                                                                                                                                                                                                     IF($A164&lt;'PVC SCH40'!$A$425,VLOOKUP($A164,'PVC SCH40'!$A$8:$M$424,7,FALSE),
IF($A164&lt;'PVC SCH40 LD'!$A$22,VLOOKUP($A164,'PVC SCH40 LD'!$A$8:$M$21,7,FALSE),
IF($A164&lt;'Pool &amp; SPA Sweep Elbows'!$A$12,VLOOKUP($A164,'Pool &amp; SPA Sweep Elbows'!$A$8:$M$11,7,FALSE),
IF($A164&lt;'Pool &amp; SPA Pipe Extender'!$A$11,VLOOKUP($A164,'Pool &amp; SPA Pipe Extender'!$A$8:$M$10,7,FALSE),
IF($A164&lt;'PVC SCH80'!$A$250,VLOOKUP($A164,'PVC SCH80'!$A$8:$M$249,7,FALSE),
IF($A164&lt;'PVC SCH80 Flange'!$A$49,VLOOKUP($A164,'PVC SCH80 Flange'!$A$8:$M$48,7,FALSE),
IF($A164&lt;'PVC SCH80 LD Flange'!$A$17,VLOOKUP($A164,'PVC SCH80 LD Flange'!$A$8:$M$16,7,FALSE),
IF($A164&lt;CPVC!$A$105,VLOOKUP($A164,CPVC!$A$9:$M$104,7,FALSE),
IF($A164&lt;InsertFittings!$A$185,VLOOKUP($A164,InsertFittings!$A$9:$M$184,7,FALSE),
IF($A164&lt;Valves!$A$92,VLOOKUP($A164,Valves!$A$9:$Q$91,11,FALSE),
IF($A164&lt;SDR35SW!$A$133,VLOOKUP($A164,SDR35SW!$A$9:$M$132,7,FALSE),
IF($A164&lt;SDR35G!$A$151,VLOOKUP($A164,SDR35G!$A$9:$M$150,7,FALSE),                                                                                                                                                                                                                                                       IF($A164&lt;SDR26G!$A$67,VLOOKUP($A164,SDR26G!$A$9:$N$66,8,FALSE),                                                                                                                                                                                                                                                     IF($A164&lt;Cements!$A$95,VLOOKUP($A164,Cements!$A$8:$Q$94,11,FALSE),
IF($A164&lt;ValveBox!$A$124,VLOOKUP($A164,ValveBox!$A$9:$O$123,10,FALSE),
IF($A164&lt;'ValveBox Components'!$A$142,VLOOKUP($A164,'ValveBox Components'!$A$9:$N$141,9,FALSE),
IF($A164&lt;Drainage!$A$69,VLOOKUP($A164,Drainage!$A$8:$M$68,7,FALSE),                                                                                                                                                                                                                                                          IF($A164&lt;Nipples!$A$82,VLOOKUP($A164,Nipples!$A$9:$Q$81,11,FALSE),
IF($A164&lt;Manifold!$A$33,VLOOKUP($A164,Manifold!$A$9:$M$32,7,FALSE),
IF($A164&lt;FlexibleRepairCouplings!$A$12,VLOOKUP($A164,FlexibleRepairCouplings!$A$9:$M$11,7,FALSE),
IF($A164&lt;DuraFix!$A$15,VLOOKUP($A164,DuraFix!$A$9:$M$14,7,FALSE),                                                                                                                                                                                                                                                           IF($A164&lt;'Compression Fittings'!$A$16,VLOOKUP($A164,'Compression Fittings'!$A$8:$M$15,7,FALSE),
IF($A164&lt;'Hose Fittings'!$A$30,VLOOKUP($A164,'Hose Fittings'!$A$8:$M$29,7,FALSE),
IF($A164&lt;'Swing Joints'!$A$495,VLOOKUP($A164,'Swing Joints'!$A$9:$M$494,7,FALSE),
IF($A164&lt;'Swing Joints Components'!$A$135,VLOOKUP($A164,'Swing Joints Components'!$A$9:$M$134,7,FALSE),
IF($A164&lt;Nonstandard!$A$42,VLOOKUP($A164,Nonstandard!$A$31:$J$41,10,FALSE),"")))))))))))))))))))))))))))),"")</f>
        <v/>
      </c>
      <c r="I164" s="621"/>
      <c r="J164" s="541" t="str">
        <f t="shared" si="5"/>
        <v/>
      </c>
      <c r="K164" s="599" t="str">
        <f>IFERROR(IF($A164&lt;'DWV PVC'!$A$317,VLOOKUP($A164,'DWV PVC'!$A$9:$M$316,10,FALSE),
IF($A164&lt;'DWV ABS'!$A$117,VLOOKUP($A164,'DWV ABS'!$A$8:$M$116,10,FALSE),
IF($A164&lt;'PVC SCH40'!$A$425,VLOOKUP($A164,'PVC SCH40'!$A$8:$M$424,10,FALSE),
IF($A164&lt;'PVC SCH40 LD'!$A$22,VLOOKUP($A164,'PVC SCH40 LD'!$A$8:$M$21,10,FALSE),
IF($A164&lt;'Pool &amp; SPA Sweep Elbows'!$A$12,VLOOKUP($A164,'Pool &amp; SPA Sweep Elbows'!$A$8:$M$11,10,FALSE),
IF($A164&lt;'Pool &amp; SPA Pipe Extender'!$A$11,VLOOKUP($A164,'Pool &amp; SPA Pipe Extender'!$A$8:$M$10,10,FALSE),
IF($A164&lt;'PVC SCH80'!$A$250,VLOOKUP($A164,'PVC SCH80'!$A$8:$M$249,10,FALSE),
IF($A164&lt;'PVC SCH80 Flange'!$A$49,VLOOKUP($A164,'PVC SCH80 Flange'!$A$8:$M$48,10,FALSE),
IF($A164&lt;'PVC SCH80 LD Flange'!$A$17,VLOOKUP($A164,'PVC SCH80 LD Flange'!$A$8:$M$16,10,FALSE),
IF($A164&lt;CPVC!$A$105,VLOOKUP($A164,CPVC!$A$9:$M$104,10,FALSE),
IF($A164&lt;InsertFittings!$A$185,VLOOKUP($A164,InsertFittings!$A$9:$M$184,10,FALSE),
IF($A164&lt;Valves!$A$92,VLOOKUP($A164,Valves!$A$9:$Q$91,14,FALSE),
IF($A164&lt;SDR35SW!$A$133,VLOOKUP($A164,SDR35SW!$A$9:$M$132,10,FALSE),
IF($A164&lt;SDR35G!$A$151,VLOOKUP($A164,SDR35G!$A$9:$M$150,10,FALSE),
IF($A164&lt;SDR26G!$A$67,VLOOKUP($A164,SDR26G!$A$9:$N$66,11,FALSE),
IF($A164&lt;Cements!$A$95,VLOOKUP($A164,Cements!$A$8:$Q$94,14,FALSE),
IF($A164&lt;ValveBox!$A$124,VLOOKUP($A164,ValveBox!$A$9:$O$123,12,FALSE),
IF($A164&lt;'ValveBox Components'!$A$142,VLOOKUP($A164,'ValveBox Components'!$A$9:$N$141,11,FALSE),
IF($A164&lt;Drainage!$A$69,VLOOKUP($A164,Drainage!$A$8:$M$68,10,FALSE),
IF($A164&lt;Nipples!$A$82,VLOOKUP($A164,Nipples!$A$9:$Q$81,14,FALSE),
IF($A164&lt;Manifold!$A$33,VLOOKUP($A164,Manifold!$A$9:$M$32,10,FALSE),
IF($A164&lt;FlexibleRepairCouplings!$A$12,VLOOKUP($A164,FlexibleRepairCouplings!$A$9:$M$11,10,FALSE),
IF($A164&lt;DuraFix!$A$15,VLOOKUP($A164,DuraFix!$A$9:$M$14,10,FALSE),
IF($A164&lt;'Compression Fittings'!$A$16,VLOOKUP($A164,'Compression Fittings'!$A$8:$M$15,10,FALSE),
IF($A164&lt;'Hose Fittings'!$A$30,VLOOKUP($A164,'Hose Fittings'!$A$8:$M$29,10,FALSE),
IF($A164&lt;'Swing Joints'!$A$495,VLOOKUP($A164,'Swing Joints'!$A$9:$M$494,10,FALSE),
IF($A164&lt;'Swing Joints Components'!$A$135,VLOOKUP($A164,'Swing Joints Components'!$A$9:$M$134,10,FALSE),
IF($A164&lt;Nonstandard!$A$42,VLOOKUP($A164,Nonstandard!$A$31:$J$41,10,FALSE),"")))))))))))))))))))))))))))),"")</f>
        <v/>
      </c>
      <c r="L164" s="539" t="str">
        <f t="shared" si="4"/>
        <v>-</v>
      </c>
      <c r="M164" s="542"/>
    </row>
    <row r="165" spans="1:13" ht="15.6">
      <c r="A165" s="312">
        <v>133</v>
      </c>
      <c r="B165" s="312" t="str">
        <f>IFERROR(IF($A165&lt;'DWV PVC'!$A$317,VLOOKUP($A165,'DWV PVC'!$A$9:$M$316,4,FALSE),
IF($A165&lt;'DWV ABS'!$A$117,VLOOKUP($A165,'DWV ABS'!$A$8:$M$116,4,FALSE),
IF($A165&lt;'PVC SCH40'!$A$425,VLOOKUP($A165,'PVC SCH40'!$A$8:$M$424,4,FALSE),
IF($A165&lt;'PVC SCH40 LD'!$A$22,VLOOKUP($A165,'PVC SCH40 LD'!$A$8:$M$21,4,FALSE),
IF($A165&lt;'Pool &amp; SPA Sweep Elbows'!$A$12,VLOOKUP($A165,'Pool &amp; SPA Sweep Elbows'!$A$8:$M$11,4,FALSE),
IF($A165&lt;'Pool &amp; SPA Pipe Extender'!$A$11,VLOOKUP($A165,'Pool &amp; SPA Pipe Extender'!$A$8:$M$10,4,FALSE),
IF($A165&lt;'PVC SCH80'!$A$250,VLOOKUP($A165,'PVC SCH80'!$A$8:$M$249,4,FALSE),
IF($A165&lt;'PVC SCH80 Flange'!$A$49,VLOOKUP($A165,'PVC SCH80 Flange'!$A$8:$M$48,4,FALSE),
IF($A165&lt;'PVC SCH80 LD Flange'!$A$17,VLOOKUP($A165,'PVC SCH80 LD Flange'!$A$8:$M$16,4,FALSE),
IF($A165&lt;CPVC!$A$105,VLOOKUP($A165,CPVC!$A$9:$M$104,4,FALSE),
IF($A165&lt;InsertFittings!$A$185,VLOOKUP($A165,InsertFittings!$A$9:$M$184,4,FALSE),
IF($A165&lt;Valves!$A$92,VLOOKUP($A165,Valves!$A$9:$Q$91,4,FALSE),
IF($A165&lt;SDR35SW!$A$133,VLOOKUP($A165,SDR35SW!$A$9:$M$132,4,FALSE),
IF($A165&lt;SDR35G!$A$151,VLOOKUP($A165,SDR35G!$A$9:$M$150,4,FALSE),
IF($A165&lt;SDR26G!$A$67,VLOOKUP($A165,SDR26G!$A$9:$N$66,5,FALSE),
IF($A165&lt;Cements!$A$95,VLOOKUP($A165,Cements!$A$8:$Q$94,4,FALSE),
IF($A165&lt;ValveBox!$A$124,VLOOKUP($A165,ValveBox!$A$9:$O$123,4,FALSE),
IF($A165&lt;'ValveBox Components'!$A$142,VLOOKUP($A165,'ValveBox Components'!$A$9:$N$141,4,FALSE),
IF($A165&lt;Drainage!$A$69,VLOOKUP($A165,Drainage!$A$8:$M$68,4,FALSE),
IF($A165&lt;Nipples!$A$82,VLOOKUP($A165,Nipples!$A$9:$Q$81,4,FALSE),
IF($A165&lt;Manifold!$A$33,VLOOKUP($A165,Manifold!$A$9:$M$32,4,FALSE),
IF($A165&lt;FlexibleRepairCouplings!$A$12,VLOOKUP($A165,FlexibleRepairCouplings!$A$9:$M$11,4,FALSE),
IF($A165&lt;DuraFix!$A$15,VLOOKUP($A165,DuraFix!$A$9:$M$14,4,FALSE),
IF($A165&lt;'Compression Fittings'!$A$16,VLOOKUP($A165,'Compression Fittings'!$A$8:$M$15,4,FALSE),
IF($A165&lt;'Hose Fittings'!$A$30,VLOOKUP($A165,'Hose Fittings'!$A$8:$M$29,4,FALSE),
IF($A165&lt;'Swing Joints'!$A$495,VLOOKUP($A165,'Swing Joints'!$A$9:$M$494,4,FALSE),
IF($A165&lt;'Swing Joints Components'!$A$135,VLOOKUP($A165,'Swing Joints Components'!$A$9:$M$134,4,FALSE),
IF($A165&lt;Nonstandard!$A$42,VLOOKUP($A165,Nonstandard!$A$31:$J$41,5,FALSE),"")))))))))))))))))))))))))))),"")</f>
        <v/>
      </c>
      <c r="C165" s="312" t="str">
        <f>IFERROR(IF($A165&lt;'DWV PVC'!$A$317,VLOOKUP($A165,'DWV PVC'!$A$9:$M$316,5,FALSE),
IF($A165&lt;'DWV ABS'!$A$117,VLOOKUP($A165,'DWV ABS'!$A$8:$M$116,5,FALSE),
IF($A165&lt;'PVC SCH40'!$A$425,VLOOKUP($A165,'PVC SCH40'!$A$8:$M$424,5,FALSE),
IF($A165&lt;'PVC SCH40 LD'!$A$22,VLOOKUP($A165,'PVC SCH40 LD'!$A$8:$M$21,5,FALSE),
IF($A165&lt;'Pool &amp; SPA Sweep Elbows'!$A$12,VLOOKUP($A165,'Pool &amp; SPA Sweep Elbows'!$A$8:$M$11,5,FALSE),
IF($A165&lt;'Pool &amp; SPA Pipe Extender'!$A$11,VLOOKUP($A165,'Pool &amp; SPA Pipe Extender'!$A$8:$M$10,5,FALSE),
IF($A165&lt;'PVC SCH80'!$A$250,VLOOKUP($A165,'PVC SCH80'!$A$8:$M$249,5,FALSE),
IF($A165&lt;'PVC SCH80 Flange'!$A$49,VLOOKUP($A165,'PVC SCH80 Flange'!$A$8:$M$48,5,FALSE),
IF($A165&lt;'PVC SCH80 LD Flange'!$A$17,VLOOKUP($A165,'PVC SCH80 LD Flange'!$A$8:$M$16,5,FALSE),
IF($A165&lt;CPVC!$A$105,VLOOKUP($A165,CPVC!$A$9:$M$104,5,FALSE),
IF($A165&lt;InsertFittings!$A$185,VLOOKUP($A165,InsertFittings!$A$9:$M$184,5,FALSE),
IF($A165&lt;Valves!$A$92,VLOOKUP($A165,Valves!$A$9:$Q$91,5,FALSE),
IF($A165&lt;SDR35SW!$A$133,VLOOKUP($A165,SDR35SW!$A$9:$M$132,5,FALSE),
IF($A165&lt;SDR35G!$A$151,VLOOKUP($A165,SDR35G!$A$9:$M$150,5,FALSE),
IF($A165&lt;SDR26G!$A$67,VLOOKUP($A165,SDR26G!$A$9:$N$66,6,FALSE),
IF($A165&lt;Cements!$A$95,VLOOKUP($A165,Cements!$A$8:$Q$94,5,FALSE),
IF($A165&lt;ValveBox!$A$124,VLOOKUP($A165,ValveBox!$A$9:$O$123,5,FALSE),
IF($A165&lt;'ValveBox Components'!$A$142,VLOOKUP($A165,'ValveBox Components'!$A$9:$N$141,5,FALSE),
IF($A165&lt;Drainage!$A$69,VLOOKUP($A165,Drainage!$A$8:$M$68,5,FALSE),
IF($A165&lt;Nipples!$A$82,VLOOKUP($A165,Nipples!$A$9:$Q$81,5,FALSE),
IF($A165&lt;Manifold!$A$33,VLOOKUP($A165,Manifold!$A$9:$M$32,5,FALSE),
IF($A165&lt;FlexibleRepairCouplings!$A$12,VLOOKUP($A165,FlexibleRepairCouplings!$A$9:$M$11,5,FALSE),
IF($A165&lt;DuraFix!$A$15,VLOOKUP($A165,DuraFix!$A$9:$M$14,5,FALSE),
IF($A165&lt;'Compression Fittings'!$A$16,VLOOKUP($A165,'Compression Fittings'!$A$8:$M$15,5,FALSE),
IF($A165&lt;'Hose Fittings'!$A$30,VLOOKUP($A165,'Hose Fittings'!$A$8:$M$29,5,FALSE),
IF($A165&lt;'Swing Joints'!$A$495,VLOOKUP($A165,'Swing Joints'!$A$9:$M$494,5,FALSE),
IF($A165&lt;'Swing Joints Components'!$A$135,VLOOKUP($A165,'Swing Joints Components'!$A$9:$M$134,5,FALSE),
IF($A165&lt;Nonstandard!$A$42,VLOOKUP($A165,Nonstandard!$A$31:$J$41,6,FALSE),"")))))))))))))))))))))))))))),"")</f>
        <v/>
      </c>
      <c r="D165" s="534" t="str">
        <f>IFERROR(IF($A165&lt;'DWV PVC'!$A$317,VLOOKUP($A165,'DWV PVC'!$A$9:$M$316,6,FALSE),
IF($A165&lt;'DWV ABS'!$A$117,VLOOKUP($A165,'DWV ABS'!$A$8:$M$116,6,FALSE),
IF($A165&lt;'PVC SCH40'!$A$425,VLOOKUP($A165,'PVC SCH40'!$A$8:$M$424,6,FALSE),
IF($A165&lt;'PVC SCH40 LD'!$A$22,VLOOKUP($A165,'PVC SCH40 LD'!$A$8:$M$21,6,FALSE),
IF($A165&lt;'Pool &amp; SPA Sweep Elbows'!$A$12,VLOOKUP($A165,'Pool &amp; SPA Sweep Elbows'!$A$8:$M$11,6,FALSE),
IF($A165&lt;'Pool &amp; SPA Pipe Extender'!$A$11,VLOOKUP($A165,'Pool &amp; SPA Pipe Extender'!$A$8:$M$10,6,FALSE),
IF($A165&lt;'PVC SCH80'!$A$250,VLOOKUP($A165,'PVC SCH80'!$A$8:$M$249,6,FALSE),
IF($A165&lt;'PVC SCH80 Flange'!$A$49,VLOOKUP($A165,'PVC SCH80 Flange'!$A$8:$M$48,6,FALSE),
IF($A165&lt;'PVC SCH80 LD Flange'!$A$17,VLOOKUP($A165,'PVC SCH80 LD Flange'!$A$8:$M$16,6,FALSE),
IF($A165&lt;CPVC!$A$105,VLOOKUP($A165,CPVC!$A$9:$M$104,6,FALSE),
IF($A165&lt;InsertFittings!$A$185,VLOOKUP($A165,InsertFittings!$A$9:$M$184,6,FALSE),
IF($A165&lt;Valves!$A$92,VLOOKUP($A165,Valves!$A$9:$Q$91,6,FALSE),
IF($A165&lt;SDR35SW!$A$133,VLOOKUP($A165,SDR35SW!$A$9:$M$132,6,FALSE),
IF($A165&lt;SDR35G!$A$151,VLOOKUP($A165,SDR35G!$A$9:$M$150,6,FALSE),
IF($A165&lt;SDR26G!$A$67,VLOOKUP($A165,SDR26G!$A$9:$N$66,7,FALSE),
IF($A165&lt;Cements!$A$95,VLOOKUP($A165,Cements!$A$8:$Q$94,6,FALSE),
IF($A165&lt;ValveBox!$A$124,VLOOKUP($A165,ValveBox!$A$9:$O$123,6,FALSE),
IF($A165&lt;'ValveBox Components'!$A$142,VLOOKUP($A165,'ValveBox Components'!$A$9:$N$141,6,FALSE),
IF($A165&lt;Drainage!$A$69,VLOOKUP($A165,Drainage!$A$8:$M$68,6,FALSE),
IF($A165&lt;Nipples!$A$82,VLOOKUP($A165,Nipples!$A$9:$Q$81,6,FALSE),
IF($A165&lt;Manifold!$A$33,VLOOKUP($A165,Manifold!$A$9:$M$32,6,FALSE),
IF($A165&lt;FlexibleRepairCouplings!$A$12,VLOOKUP($A165,FlexibleRepairCouplings!$A$9:$M$11,6,FALSE),
IF($A165&lt;DuraFix!$A$15,VLOOKUP($A165,DuraFix!$A$9:$M$14,6,FALSE),
IF($A165&lt;'Compression Fittings'!$A$16,VLOOKUP($A165,'Compression Fittings'!$A$8:$M$15,6,FALSE),
IF($A165&lt;'Hose Fittings'!$A$30,VLOOKUP($A165,'Hose Fittings'!$A$8:$M$29,6,FALSE),
IF($A165&lt;'Swing Joints'!$A$495,VLOOKUP($A165,'Swing Joints'!$A$9:$M$494,6,FALSE),
IF($A165&lt;'Swing Joints Components'!$A$135,VLOOKUP($A165,'Swing Joints Components'!$A$9:$M$134,6,FALSE),
IF($A165&lt;Nonstandard!$A$42,VLOOKUP($A165,Nonstandard!$A$31:$J$41,7,FALSE),"")))))))))))))))))))))))))))),"")</f>
        <v/>
      </c>
      <c r="E165" s="316"/>
      <c r="F165" s="314" t="str">
        <f>IFERROR(IF($A165&lt;'DWV PVC'!$A$317,VLOOKUP($A165,'DWV PVC'!$A$9:$M$316,9,FALSE),
IF($A165&lt;'DWV ABS'!$A$117,VLOOKUP($A165,'DWV ABS'!$A$8:$M$116,9,FALSE),                                                                                                                                                                                                                                                     IF($A165&lt;'PVC SCH40'!$A$425,VLOOKUP($A165,'PVC SCH40'!$A$8:$M$424,9,FALSE),
IF($A165&lt;'PVC SCH40 LD'!$A$22,VLOOKUP($A165,'PVC SCH40 LD'!$A$8:$M$21,9,FALSE),
IF($A165&lt;'Pool &amp; SPA Sweep Elbows'!$A$12,VLOOKUP($A165,'Pool &amp; SPA Sweep Elbows'!$A$8:$M$11,9,FALSE),
IF($A165&lt;'Pool &amp; SPA Pipe Extender'!$A$11,VLOOKUP($A165,'Pool &amp; SPA Pipe Extender'!$A$8:$M$10,9,FALSE),
IF($A165&lt;'PVC SCH80'!$A$250,VLOOKUP($A165,'PVC SCH80'!$A$8:$M$249,9,FALSE),
IF($A165&lt;'PVC SCH80 Flange'!$A$49,VLOOKUP($A165,'PVC SCH80 Flange'!$A$8:$M$48,9,FALSE),
IF($A165&lt;'PVC SCH80 LD Flange'!$A$17,VLOOKUP($A165,'PVC SCH80 LD Flange'!$A$8:$M$16,9,FALSE),
IF($A165&lt;CPVC!$A$105,VLOOKUP($A165,CPVC!$A$9:$M$104,9,FALSE),
IF($A165&lt;InsertFittings!$A$185,VLOOKUP($A165,InsertFittings!$A$9:$M$184,9,FALSE),
IF($A165&lt;Valves!$A$92,VLOOKUP($A165,Valves!$A$9:$Q$91,13,FALSE),
IF($A165&lt;SDR35SW!$A$133,VLOOKUP($A165,SDR35SW!$A$9:$M$132,9,FALSE),
IF($A165&lt;SDR35G!$A$151,VLOOKUP($A165,SDR35G!$A$9:$M$150,9,FALSE),                                                                                                                                                                                                                                                          IF($A165&lt;SDR26G!$A$67,VLOOKUP($A165,SDR26G!$A$9:$N$66,10,FALSE),                                                                                                                                                                                                                                                       IF($A165&lt;Cements!$A$95,VLOOKUP($A165,Cements!$A$8:$Q$94,13,FALSE),
IF($A165&lt;ValveBox!$A$124,VLOOKUP($A165,ValveBox!$A$9:$O$123,11,FALSE),
IF($A165&lt;'ValveBox Components'!$A$142,VLOOKUP($A165,'ValveBox Components'!$A$9:$N$141,10,FALSE),
IF($A165&lt;Drainage!$A$69,VLOOKUP($A165,Drainage!$A$8:$M$68,9,FALSE),                                                                                                                                                                                                                                                              IF($A165&lt;Nipples!$A$82,VLOOKUP($A165,Nipples!$A$9:$Q$81,13,FALSE),
IF($A165&lt;Manifold!$A$33,VLOOKUP($A165,Manifold!$A$9:$M$32,9,FALSE),
IF($A165&lt;FlexibleRepairCouplings!$A$12,VLOOKUP($A165,FlexibleRepairCouplings!$A$9:$M$11,9,FALSE),
IF($A165&lt;DuraFix!$A$15,VLOOKUP($A165,DuraFix!$A$9:$M$14,9,FALSE),                                                                                                                                                                                                                                                          IF($A165&lt;'Compression Fittings'!$A$16,VLOOKUP($A165,'Compression Fittings'!$A$8:$M$15,9,FALSE),
IF($A165&lt;'Hose Fittings'!$A$30,VLOOKUP($A165,'Hose Fittings'!$A$8:$M$29,9,FALSE),
IF($A165&lt;'Swing Joints'!$A$495,VLOOKUP($A165,'Swing Joints'!$A$9:$M$494,9,FALSE),
IF($A165&lt;'Swing Joints Components'!$A$135,VLOOKUP($A165,'Swing Joints Components'!$A$9:$M$134,9,FALSE),
IF($A165&lt;Nonstandard!$A$42,VLOOKUP($A165,Nonstandard!$A$31:$J$41,8,FALSE),"")))))))))))))))))))))))))))),"")</f>
        <v/>
      </c>
      <c r="G165" s="533" t="str">
        <f>IFERROR(IF($A165&lt;'DWV PVC'!$A$317,VLOOKUP($A165,'DWV PVC'!$A$9:$M$316,11,FALSE),
IF($A165&lt;'DWV ABS'!$A$117,VLOOKUP($A165,'DWV ABS'!$A$8:$M$116,11,FALSE),                                                                                                                                                                                                                                                     IF($A165&lt;'PVC SCH40'!$A$425,VLOOKUP($A165,'PVC SCH40'!$A$8:$M$424,11,FALSE),
IF($A165&lt;'PVC SCH40 LD'!$A$22,VLOOKUP($A165,'PVC SCH40 LD'!$A$8:$M$21,11,FALSE),
IF($A165&lt;'Pool &amp; SPA Sweep Elbows'!$A$12,VLOOKUP($A165,'Pool &amp; SPA Sweep Elbows'!$A$8:$M$11,11,FALSE),
IF($A165&lt;'Pool &amp; SPA Pipe Extender'!$A$11,VLOOKUP($A165,'Pool &amp; SPA Pipe Extender'!$A$8:$M$10,11,FALSE),
IF($A165&lt;'PVC SCH80'!$A$250,VLOOKUP($A165,'PVC SCH80'!$A$8:$M$249,11,FALSE),
IF($A165&lt;'PVC SCH80 Flange'!$A$49,VLOOKUP($A165,'PVC SCH80 Flange'!$A$8:$M$48,11,FALSE),
IF($A165&lt;'PVC SCH80 LD Flange'!$A$17,VLOOKUP($A165,'PVC SCH80 LD Flange'!$A$8:$M$16,11,FALSE),
IF($A165&lt;CPVC!$A$105,VLOOKUP($A165,CPVC!$A$9:$M$104,11,FALSE),
IF($A165&lt;InsertFittings!$A$185,VLOOKUP($A165,InsertFittings!$A$9:$M$184,11,FALSE),
IF($A165&lt;Valves!$A$92,VLOOKUP($A165,Valves!$A$9:$Q$91,15,FALSE),
IF($A165&lt;SDR35SW!$A$133,VLOOKUP($A165,SDR35SW!$A$9:$M$132,11,FALSE),
IF($A165&lt;SDR35G!$A$151,VLOOKUP($A165,SDR35G!$A$9:$M$150,11,FALSE),                                                                                                                                                                                                                                                          IF($A165&lt;SDR26G!$A$67,VLOOKUP($A165,SDR26G!$A$9:$N$66,12,FALSE),                                                                                                                                                                                                                                                       IF($A165&lt;Cements!$A$95,VLOOKUP($A165,Cements!$A$8:$Q$94,15,FALSE),
IF($A165&lt;ValveBox!$A$124,VLOOKUP($A165,ValveBox!$A$9:$O$123,13,FALSE),
IF($A165&lt;'ValveBox Components'!$A$142,VLOOKUP($A165,'ValveBox Components'!$A$9:$N$141,12,FALSE),
IF($A165&lt;Drainage!$A$69,VLOOKUP($A165,Drainage!$A$8:$M$68,11,FALSE),                                                                                                                                                                                                                                                           IF($A165&lt;Nipples!$A$82,VLOOKUP($A165,Nipples!$A$9:$Q$81,15,FALSE),
IF($A165&lt;Manifold!$A$33,VLOOKUP($A165,Manifold!$A$9:$M$32,11,FALSE),
IF($A165&lt;FlexibleRepairCouplings!$A$12,VLOOKUP($A165,FlexibleRepairCouplings!$A$9:$M$11,11,FALSE),
IF($A165&lt;DuraFix!$A$15,VLOOKUP($A165,DuraFix!$A$9:$M$14,11,FALSE),                                                                                                                                                                                                                                                            IF($A165&lt;'Compression Fittings'!$A$16,VLOOKUP($A165,'Compression Fittings'!$A$8:$M$15,11,FALSE),
IF($A165&lt;'Hose Fittings'!$A$30,VLOOKUP($A165,'Hose Fittings'!$A$8:$M$29,11,FALSE),
IF($A165&lt;'Swing Joints'!$A$495,VLOOKUP($A165,'Swing Joints'!$A$9:$M$494,11,FALSE),
IF($A165&lt;'Swing Joints Components'!$A$135,VLOOKUP($A165,'Swing Joints Components'!$A$9:$M$134,11,FALSE),
IF($A165&lt;Nonstandard!$A$42,VLOOKUP($A165,Nonstandard!$A$31:$J$41,10,FALSE),"")))))))))))))))))))))))))))),"")</f>
        <v/>
      </c>
      <c r="H165" s="618" t="str">
        <f>IFERROR(IF($A165&lt;'DWV PVC'!$A$317,VLOOKUP($A165,'DWV PVC'!$A$9:$M$316,7,FALSE),
IF($A165&lt;'DWV ABS'!$A$117,VLOOKUP($A165,'DWV ABS'!$A$8:$M$116,11,FALSE),                                                                                                                                                                                                                                                     IF($A165&lt;'PVC SCH40'!$A$425,VLOOKUP($A165,'PVC SCH40'!$A$8:$M$424,7,FALSE),
IF($A165&lt;'PVC SCH40 LD'!$A$22,VLOOKUP($A165,'PVC SCH40 LD'!$A$8:$M$21,7,FALSE),
IF($A165&lt;'Pool &amp; SPA Sweep Elbows'!$A$12,VLOOKUP($A165,'Pool &amp; SPA Sweep Elbows'!$A$8:$M$11,7,FALSE),
IF($A165&lt;'Pool &amp; SPA Pipe Extender'!$A$11,VLOOKUP($A165,'Pool &amp; SPA Pipe Extender'!$A$8:$M$10,7,FALSE),
IF($A165&lt;'PVC SCH80'!$A$250,VLOOKUP($A165,'PVC SCH80'!$A$8:$M$249,7,FALSE),
IF($A165&lt;'PVC SCH80 Flange'!$A$49,VLOOKUP($A165,'PVC SCH80 Flange'!$A$8:$M$48,7,FALSE),
IF($A165&lt;'PVC SCH80 LD Flange'!$A$17,VLOOKUP($A165,'PVC SCH80 LD Flange'!$A$8:$M$16,7,FALSE),
IF($A165&lt;CPVC!$A$105,VLOOKUP($A165,CPVC!$A$9:$M$104,7,FALSE),
IF($A165&lt;InsertFittings!$A$185,VLOOKUP($A165,InsertFittings!$A$9:$M$184,7,FALSE),
IF($A165&lt;Valves!$A$92,VLOOKUP($A165,Valves!$A$9:$Q$91,11,FALSE),
IF($A165&lt;SDR35SW!$A$133,VLOOKUP($A165,SDR35SW!$A$9:$M$132,7,FALSE),
IF($A165&lt;SDR35G!$A$151,VLOOKUP($A165,SDR35G!$A$9:$M$150,7,FALSE),                                                                                                                                                                                                                                                       IF($A165&lt;SDR26G!$A$67,VLOOKUP($A165,SDR26G!$A$9:$N$66,8,FALSE),                                                                                                                                                                                                                                                     IF($A165&lt;Cements!$A$95,VLOOKUP($A165,Cements!$A$8:$Q$94,11,FALSE),
IF($A165&lt;ValveBox!$A$124,VLOOKUP($A165,ValveBox!$A$9:$O$123,10,FALSE),
IF($A165&lt;'ValveBox Components'!$A$142,VLOOKUP($A165,'ValveBox Components'!$A$9:$N$141,9,FALSE),
IF($A165&lt;Drainage!$A$69,VLOOKUP($A165,Drainage!$A$8:$M$68,7,FALSE),                                                                                                                                                                                                                                                          IF($A165&lt;Nipples!$A$82,VLOOKUP($A165,Nipples!$A$9:$Q$81,11,FALSE),
IF($A165&lt;Manifold!$A$33,VLOOKUP($A165,Manifold!$A$9:$M$32,7,FALSE),
IF($A165&lt;FlexibleRepairCouplings!$A$12,VLOOKUP($A165,FlexibleRepairCouplings!$A$9:$M$11,7,FALSE),
IF($A165&lt;DuraFix!$A$15,VLOOKUP($A165,DuraFix!$A$9:$M$14,7,FALSE),                                                                                                                                                                                                                                                           IF($A165&lt;'Compression Fittings'!$A$16,VLOOKUP($A165,'Compression Fittings'!$A$8:$M$15,7,FALSE),
IF($A165&lt;'Hose Fittings'!$A$30,VLOOKUP($A165,'Hose Fittings'!$A$8:$M$29,7,FALSE),
IF($A165&lt;'Swing Joints'!$A$495,VLOOKUP($A165,'Swing Joints'!$A$9:$M$494,7,FALSE),
IF($A165&lt;'Swing Joints Components'!$A$135,VLOOKUP($A165,'Swing Joints Components'!$A$9:$M$134,7,FALSE),
IF($A165&lt;Nonstandard!$A$42,VLOOKUP($A165,Nonstandard!$A$31:$J$41,10,FALSE),"")))))))))))))))))))))))))))),"")</f>
        <v/>
      </c>
      <c r="I165" s="619"/>
      <c r="J165" s="281" t="str">
        <f t="shared" si="5"/>
        <v/>
      </c>
      <c r="K165" s="313" t="str">
        <f>IFERROR(IF($A165&lt;'DWV PVC'!$A$317,VLOOKUP($A165,'DWV PVC'!$A$9:$M$316,10,FALSE),
IF($A165&lt;'DWV ABS'!$A$117,VLOOKUP($A165,'DWV ABS'!$A$8:$M$116,10,FALSE),
IF($A165&lt;'PVC SCH40'!$A$425,VLOOKUP($A165,'PVC SCH40'!$A$8:$M$424,10,FALSE),
IF($A165&lt;'PVC SCH40 LD'!$A$22,VLOOKUP($A165,'PVC SCH40 LD'!$A$8:$M$21,10,FALSE),
IF($A165&lt;'Pool &amp; SPA Sweep Elbows'!$A$12,VLOOKUP($A165,'Pool &amp; SPA Sweep Elbows'!$A$8:$M$11,10,FALSE),
IF($A165&lt;'Pool &amp; SPA Pipe Extender'!$A$11,VLOOKUP($A165,'Pool &amp; SPA Pipe Extender'!$A$8:$M$10,10,FALSE),
IF($A165&lt;'PVC SCH80'!$A$250,VLOOKUP($A165,'PVC SCH80'!$A$8:$M$249,10,FALSE),
IF($A165&lt;'PVC SCH80 Flange'!$A$49,VLOOKUP($A165,'PVC SCH80 Flange'!$A$8:$M$48,10,FALSE),
IF($A165&lt;'PVC SCH80 LD Flange'!$A$17,VLOOKUP($A165,'PVC SCH80 LD Flange'!$A$8:$M$16,10,FALSE),
IF($A165&lt;CPVC!$A$105,VLOOKUP($A165,CPVC!$A$9:$M$104,10,FALSE),
IF($A165&lt;InsertFittings!$A$185,VLOOKUP($A165,InsertFittings!$A$9:$M$184,10,FALSE),
IF($A165&lt;Valves!$A$92,VLOOKUP($A165,Valves!$A$9:$Q$91,14,FALSE),
IF($A165&lt;SDR35SW!$A$133,VLOOKUP($A165,SDR35SW!$A$9:$M$132,10,FALSE),
IF($A165&lt;SDR35G!$A$151,VLOOKUP($A165,SDR35G!$A$9:$M$150,10,FALSE),
IF($A165&lt;SDR26G!$A$67,VLOOKUP($A165,SDR26G!$A$9:$N$66,11,FALSE),
IF($A165&lt;Cements!$A$95,VLOOKUP($A165,Cements!$A$8:$Q$94,14,FALSE),
IF($A165&lt;ValveBox!$A$124,VLOOKUP($A165,ValveBox!$A$9:$O$123,12,FALSE),
IF($A165&lt;'ValveBox Components'!$A$142,VLOOKUP($A165,'ValveBox Components'!$A$9:$N$141,11,FALSE),
IF($A165&lt;Drainage!$A$69,VLOOKUP($A165,Drainage!$A$8:$M$68,10,FALSE),
IF($A165&lt;Nipples!$A$82,VLOOKUP($A165,Nipples!$A$9:$Q$81,14,FALSE),
IF($A165&lt;Manifold!$A$33,VLOOKUP($A165,Manifold!$A$9:$M$32,10,FALSE),
IF($A165&lt;FlexibleRepairCouplings!$A$12,VLOOKUP($A165,FlexibleRepairCouplings!$A$9:$M$11,10,FALSE),
IF($A165&lt;DuraFix!$A$15,VLOOKUP($A165,DuraFix!$A$9:$M$14,10,FALSE),
IF($A165&lt;'Compression Fittings'!$A$16,VLOOKUP($A165,'Compression Fittings'!$A$8:$M$15,10,FALSE),
IF($A165&lt;'Hose Fittings'!$A$30,VLOOKUP($A165,'Hose Fittings'!$A$8:$M$29,10,FALSE),
IF($A165&lt;'Swing Joints'!$A$495,VLOOKUP($A165,'Swing Joints'!$A$9:$M$494,10,FALSE),
IF($A165&lt;'Swing Joints Components'!$A$135,VLOOKUP($A165,'Swing Joints Components'!$A$9:$M$134,10,FALSE),
IF($A165&lt;Nonstandard!$A$42,VLOOKUP($A165,Nonstandard!$A$31:$J$41,10,FALSE),"")))))))))))))))))))))))))))),"")</f>
        <v/>
      </c>
      <c r="L165" s="314" t="str">
        <f t="shared" si="4"/>
        <v>-</v>
      </c>
      <c r="M165" s="315"/>
    </row>
    <row r="166" spans="1:13" ht="15.6">
      <c r="A166" s="536">
        <v>134</v>
      </c>
      <c r="B166" s="536" t="str">
        <f>IFERROR(IF($A166&lt;'DWV PVC'!$A$317,VLOOKUP($A166,'DWV PVC'!$A$9:$M$316,4,FALSE),
IF($A166&lt;'DWV ABS'!$A$117,VLOOKUP($A166,'DWV ABS'!$A$8:$M$116,4,FALSE),
IF($A166&lt;'PVC SCH40'!$A$425,VLOOKUP($A166,'PVC SCH40'!$A$8:$M$424,4,FALSE),
IF($A166&lt;'PVC SCH40 LD'!$A$22,VLOOKUP($A166,'PVC SCH40 LD'!$A$8:$M$21,4,FALSE),
IF($A166&lt;'Pool &amp; SPA Sweep Elbows'!$A$12,VLOOKUP($A166,'Pool &amp; SPA Sweep Elbows'!$A$8:$M$11,4,FALSE),
IF($A166&lt;'Pool &amp; SPA Pipe Extender'!$A$11,VLOOKUP($A166,'Pool &amp; SPA Pipe Extender'!$A$8:$M$10,4,FALSE),
IF($A166&lt;'PVC SCH80'!$A$250,VLOOKUP($A166,'PVC SCH80'!$A$8:$M$249,4,FALSE),
IF($A166&lt;'PVC SCH80 Flange'!$A$49,VLOOKUP($A166,'PVC SCH80 Flange'!$A$8:$M$48,4,FALSE),
IF($A166&lt;'PVC SCH80 LD Flange'!$A$17,VLOOKUP($A166,'PVC SCH80 LD Flange'!$A$8:$M$16,4,FALSE),
IF($A166&lt;CPVC!$A$105,VLOOKUP($A166,CPVC!$A$9:$M$104,4,FALSE),
IF($A166&lt;InsertFittings!$A$185,VLOOKUP($A166,InsertFittings!$A$9:$M$184,4,FALSE),
IF($A166&lt;Valves!$A$92,VLOOKUP($A166,Valves!$A$9:$Q$91,4,FALSE),
IF($A166&lt;SDR35SW!$A$133,VLOOKUP($A166,SDR35SW!$A$9:$M$132,4,FALSE),
IF($A166&lt;SDR35G!$A$151,VLOOKUP($A166,SDR35G!$A$9:$M$150,4,FALSE),
IF($A166&lt;SDR26G!$A$67,VLOOKUP($A166,SDR26G!$A$9:$N$66,5,FALSE),
IF($A166&lt;Cements!$A$95,VLOOKUP($A166,Cements!$A$8:$Q$94,4,FALSE),
IF($A166&lt;ValveBox!$A$124,VLOOKUP($A166,ValveBox!$A$9:$O$123,4,FALSE),
IF($A166&lt;'ValveBox Components'!$A$142,VLOOKUP($A166,'ValveBox Components'!$A$9:$N$141,4,FALSE),
IF($A166&lt;Drainage!$A$69,VLOOKUP($A166,Drainage!$A$8:$M$68,4,FALSE),
IF($A166&lt;Nipples!$A$82,VLOOKUP($A166,Nipples!$A$9:$Q$81,4,FALSE),
IF($A166&lt;Manifold!$A$33,VLOOKUP($A166,Manifold!$A$9:$M$32,4,FALSE),
IF($A166&lt;FlexibleRepairCouplings!$A$12,VLOOKUP($A166,FlexibleRepairCouplings!$A$9:$M$11,4,FALSE),
IF($A166&lt;DuraFix!$A$15,VLOOKUP($A166,DuraFix!$A$9:$M$14,4,FALSE),
IF($A166&lt;'Compression Fittings'!$A$16,VLOOKUP($A166,'Compression Fittings'!$A$8:$M$15,4,FALSE),
IF($A166&lt;'Hose Fittings'!$A$30,VLOOKUP($A166,'Hose Fittings'!$A$8:$M$29,4,FALSE),
IF($A166&lt;'Swing Joints'!$A$495,VLOOKUP($A166,'Swing Joints'!$A$9:$M$494,4,FALSE),
IF($A166&lt;'Swing Joints Components'!$A$135,VLOOKUP($A166,'Swing Joints Components'!$A$9:$M$134,4,FALSE),
IF($A166&lt;Nonstandard!$A$42,VLOOKUP($A166,Nonstandard!$A$31:$J$41,5,FALSE),"")))))))))))))))))))))))))))),"")</f>
        <v/>
      </c>
      <c r="C166" s="536" t="str">
        <f>IFERROR(IF($A166&lt;'DWV PVC'!$A$317,VLOOKUP($A166,'DWV PVC'!$A$9:$M$316,5,FALSE),
IF($A166&lt;'DWV ABS'!$A$117,VLOOKUP($A166,'DWV ABS'!$A$8:$M$116,5,FALSE),
IF($A166&lt;'PVC SCH40'!$A$425,VLOOKUP($A166,'PVC SCH40'!$A$8:$M$424,5,FALSE),
IF($A166&lt;'PVC SCH40 LD'!$A$22,VLOOKUP($A166,'PVC SCH40 LD'!$A$8:$M$21,5,FALSE),
IF($A166&lt;'Pool &amp; SPA Sweep Elbows'!$A$12,VLOOKUP($A166,'Pool &amp; SPA Sweep Elbows'!$A$8:$M$11,5,FALSE),
IF($A166&lt;'Pool &amp; SPA Pipe Extender'!$A$11,VLOOKUP($A166,'Pool &amp; SPA Pipe Extender'!$A$8:$M$10,5,FALSE),
IF($A166&lt;'PVC SCH80'!$A$250,VLOOKUP($A166,'PVC SCH80'!$A$8:$M$249,5,FALSE),
IF($A166&lt;'PVC SCH80 Flange'!$A$49,VLOOKUP($A166,'PVC SCH80 Flange'!$A$8:$M$48,5,FALSE),
IF($A166&lt;'PVC SCH80 LD Flange'!$A$17,VLOOKUP($A166,'PVC SCH80 LD Flange'!$A$8:$M$16,5,FALSE),
IF($A166&lt;CPVC!$A$105,VLOOKUP($A166,CPVC!$A$9:$M$104,5,FALSE),
IF($A166&lt;InsertFittings!$A$185,VLOOKUP($A166,InsertFittings!$A$9:$M$184,5,FALSE),
IF($A166&lt;Valves!$A$92,VLOOKUP($A166,Valves!$A$9:$Q$91,5,FALSE),
IF($A166&lt;SDR35SW!$A$133,VLOOKUP($A166,SDR35SW!$A$9:$M$132,5,FALSE),
IF($A166&lt;SDR35G!$A$151,VLOOKUP($A166,SDR35G!$A$9:$M$150,5,FALSE),
IF($A166&lt;SDR26G!$A$67,VLOOKUP($A166,SDR26G!$A$9:$N$66,6,FALSE),
IF($A166&lt;Cements!$A$95,VLOOKUP($A166,Cements!$A$8:$Q$94,5,FALSE),
IF($A166&lt;ValveBox!$A$124,VLOOKUP($A166,ValveBox!$A$9:$O$123,5,FALSE),
IF($A166&lt;'ValveBox Components'!$A$142,VLOOKUP($A166,'ValveBox Components'!$A$9:$N$141,5,FALSE),
IF($A166&lt;Drainage!$A$69,VLOOKUP($A166,Drainage!$A$8:$M$68,5,FALSE),
IF($A166&lt;Nipples!$A$82,VLOOKUP($A166,Nipples!$A$9:$Q$81,5,FALSE),
IF($A166&lt;Manifold!$A$33,VLOOKUP($A166,Manifold!$A$9:$M$32,5,FALSE),
IF($A166&lt;FlexibleRepairCouplings!$A$12,VLOOKUP($A166,FlexibleRepairCouplings!$A$9:$M$11,5,FALSE),
IF($A166&lt;DuraFix!$A$15,VLOOKUP($A166,DuraFix!$A$9:$M$14,5,FALSE),
IF($A166&lt;'Compression Fittings'!$A$16,VLOOKUP($A166,'Compression Fittings'!$A$8:$M$15,5,FALSE),
IF($A166&lt;'Hose Fittings'!$A$30,VLOOKUP($A166,'Hose Fittings'!$A$8:$M$29,5,FALSE),
IF($A166&lt;'Swing Joints'!$A$495,VLOOKUP($A166,'Swing Joints'!$A$9:$M$494,5,FALSE),
IF($A166&lt;'Swing Joints Components'!$A$135,VLOOKUP($A166,'Swing Joints Components'!$A$9:$M$134,5,FALSE),
IF($A166&lt;Nonstandard!$A$42,VLOOKUP($A166,Nonstandard!$A$31:$J$41,6,FALSE),"")))))))))))))))))))))))))))),"")</f>
        <v/>
      </c>
      <c r="D166" s="537" t="str">
        <f>IFERROR(IF($A166&lt;'DWV PVC'!$A$317,VLOOKUP($A166,'DWV PVC'!$A$9:$M$316,6,FALSE),
IF($A166&lt;'DWV ABS'!$A$117,VLOOKUP($A166,'DWV ABS'!$A$8:$M$116,6,FALSE),
IF($A166&lt;'PVC SCH40'!$A$425,VLOOKUP($A166,'PVC SCH40'!$A$8:$M$424,6,FALSE),
IF($A166&lt;'PVC SCH40 LD'!$A$22,VLOOKUP($A166,'PVC SCH40 LD'!$A$8:$M$21,6,FALSE),
IF($A166&lt;'Pool &amp; SPA Sweep Elbows'!$A$12,VLOOKUP($A166,'Pool &amp; SPA Sweep Elbows'!$A$8:$M$11,6,FALSE),
IF($A166&lt;'Pool &amp; SPA Pipe Extender'!$A$11,VLOOKUP($A166,'Pool &amp; SPA Pipe Extender'!$A$8:$M$10,6,FALSE),
IF($A166&lt;'PVC SCH80'!$A$250,VLOOKUP($A166,'PVC SCH80'!$A$8:$M$249,6,FALSE),
IF($A166&lt;'PVC SCH80 Flange'!$A$49,VLOOKUP($A166,'PVC SCH80 Flange'!$A$8:$M$48,6,FALSE),
IF($A166&lt;'PVC SCH80 LD Flange'!$A$17,VLOOKUP($A166,'PVC SCH80 LD Flange'!$A$8:$M$16,6,FALSE),
IF($A166&lt;CPVC!$A$105,VLOOKUP($A166,CPVC!$A$9:$M$104,6,FALSE),
IF($A166&lt;InsertFittings!$A$185,VLOOKUP($A166,InsertFittings!$A$9:$M$184,6,FALSE),
IF($A166&lt;Valves!$A$92,VLOOKUP($A166,Valves!$A$9:$Q$91,6,FALSE),
IF($A166&lt;SDR35SW!$A$133,VLOOKUP($A166,SDR35SW!$A$9:$M$132,6,FALSE),
IF($A166&lt;SDR35G!$A$151,VLOOKUP($A166,SDR35G!$A$9:$M$150,6,FALSE),
IF($A166&lt;SDR26G!$A$67,VLOOKUP($A166,SDR26G!$A$9:$N$66,7,FALSE),
IF($A166&lt;Cements!$A$95,VLOOKUP($A166,Cements!$A$8:$Q$94,6,FALSE),
IF($A166&lt;ValveBox!$A$124,VLOOKUP($A166,ValveBox!$A$9:$O$123,6,FALSE),
IF($A166&lt;'ValveBox Components'!$A$142,VLOOKUP($A166,'ValveBox Components'!$A$9:$N$141,6,FALSE),
IF($A166&lt;Drainage!$A$69,VLOOKUP($A166,Drainage!$A$8:$M$68,6,FALSE),
IF($A166&lt;Nipples!$A$82,VLOOKUP($A166,Nipples!$A$9:$Q$81,6,FALSE),
IF($A166&lt;Manifold!$A$33,VLOOKUP($A166,Manifold!$A$9:$M$32,6,FALSE),
IF($A166&lt;FlexibleRepairCouplings!$A$12,VLOOKUP($A166,FlexibleRepairCouplings!$A$9:$M$11,6,FALSE),
IF($A166&lt;DuraFix!$A$15,VLOOKUP($A166,DuraFix!$A$9:$M$14,6,FALSE),
IF($A166&lt;'Compression Fittings'!$A$16,VLOOKUP($A166,'Compression Fittings'!$A$8:$M$15,6,FALSE),
IF($A166&lt;'Hose Fittings'!$A$30,VLOOKUP($A166,'Hose Fittings'!$A$8:$M$29,6,FALSE),
IF($A166&lt;'Swing Joints'!$A$495,VLOOKUP($A166,'Swing Joints'!$A$9:$M$494,6,FALSE),
IF($A166&lt;'Swing Joints Components'!$A$135,VLOOKUP($A166,'Swing Joints Components'!$A$9:$M$134,6,FALSE),
IF($A166&lt;Nonstandard!$A$42,VLOOKUP($A166,Nonstandard!$A$31:$J$41,7,FALSE),"")))))))))))))))))))))))))))),"")</f>
        <v/>
      </c>
      <c r="E166" s="538"/>
      <c r="F166" s="539" t="str">
        <f>IFERROR(IF($A166&lt;'DWV PVC'!$A$317,VLOOKUP($A166,'DWV PVC'!$A$9:$M$316,9,FALSE),
IF($A166&lt;'DWV ABS'!$A$117,VLOOKUP($A166,'DWV ABS'!$A$8:$M$116,9,FALSE),                                                                                                                                                                                                                                                     IF($A166&lt;'PVC SCH40'!$A$425,VLOOKUP($A166,'PVC SCH40'!$A$8:$M$424,9,FALSE),
IF($A166&lt;'PVC SCH40 LD'!$A$22,VLOOKUP($A166,'PVC SCH40 LD'!$A$8:$M$21,9,FALSE),
IF($A166&lt;'Pool &amp; SPA Sweep Elbows'!$A$12,VLOOKUP($A166,'Pool &amp; SPA Sweep Elbows'!$A$8:$M$11,9,FALSE),
IF($A166&lt;'Pool &amp; SPA Pipe Extender'!$A$11,VLOOKUP($A166,'Pool &amp; SPA Pipe Extender'!$A$8:$M$10,9,FALSE),
IF($A166&lt;'PVC SCH80'!$A$250,VLOOKUP($A166,'PVC SCH80'!$A$8:$M$249,9,FALSE),
IF($A166&lt;'PVC SCH80 Flange'!$A$49,VLOOKUP($A166,'PVC SCH80 Flange'!$A$8:$M$48,9,FALSE),
IF($A166&lt;'PVC SCH80 LD Flange'!$A$17,VLOOKUP($A166,'PVC SCH80 LD Flange'!$A$8:$M$16,9,FALSE),
IF($A166&lt;CPVC!$A$105,VLOOKUP($A166,CPVC!$A$9:$M$104,9,FALSE),
IF($A166&lt;InsertFittings!$A$185,VLOOKUP($A166,InsertFittings!$A$9:$M$184,9,FALSE),
IF($A166&lt;Valves!$A$92,VLOOKUP($A166,Valves!$A$9:$Q$91,13,FALSE),
IF($A166&lt;SDR35SW!$A$133,VLOOKUP($A166,SDR35SW!$A$9:$M$132,9,FALSE),
IF($A166&lt;SDR35G!$A$151,VLOOKUP($A166,SDR35G!$A$9:$M$150,9,FALSE),                                                                                                                                                                                                                                                          IF($A166&lt;SDR26G!$A$67,VLOOKUP($A166,SDR26G!$A$9:$N$66,10,FALSE),                                                                                                                                                                                                                                                       IF($A166&lt;Cements!$A$95,VLOOKUP($A166,Cements!$A$8:$Q$94,13,FALSE),
IF($A166&lt;ValveBox!$A$124,VLOOKUP($A166,ValveBox!$A$9:$O$123,11,FALSE),
IF($A166&lt;'ValveBox Components'!$A$142,VLOOKUP($A166,'ValveBox Components'!$A$9:$N$141,10,FALSE),
IF($A166&lt;Drainage!$A$69,VLOOKUP($A166,Drainage!$A$8:$M$68,9,FALSE),                                                                                                                                                                                                                                                              IF($A166&lt;Nipples!$A$82,VLOOKUP($A166,Nipples!$A$9:$Q$81,13,FALSE),
IF($A166&lt;Manifold!$A$33,VLOOKUP($A166,Manifold!$A$9:$M$32,9,FALSE),
IF($A166&lt;FlexibleRepairCouplings!$A$12,VLOOKUP($A166,FlexibleRepairCouplings!$A$9:$M$11,9,FALSE),
IF($A166&lt;DuraFix!$A$15,VLOOKUP($A166,DuraFix!$A$9:$M$14,9,FALSE),                                                                                                                                                                                                                                                          IF($A166&lt;'Compression Fittings'!$A$16,VLOOKUP($A166,'Compression Fittings'!$A$8:$M$15,9,FALSE),
IF($A166&lt;'Hose Fittings'!$A$30,VLOOKUP($A166,'Hose Fittings'!$A$8:$M$29,9,FALSE),
IF($A166&lt;'Swing Joints'!$A$495,VLOOKUP($A166,'Swing Joints'!$A$9:$M$494,9,FALSE),
IF($A166&lt;'Swing Joints Components'!$A$135,VLOOKUP($A166,'Swing Joints Components'!$A$9:$M$134,9,FALSE),
IF($A166&lt;Nonstandard!$A$42,VLOOKUP($A166,Nonstandard!$A$31:$J$41,8,FALSE),"")))))))))))))))))))))))))))),"")</f>
        <v/>
      </c>
      <c r="G166" s="540" t="str">
        <f>IFERROR(IF($A166&lt;'DWV PVC'!$A$317,VLOOKUP($A166,'DWV PVC'!$A$9:$M$316,11,FALSE),
IF($A166&lt;'DWV ABS'!$A$117,VLOOKUP($A166,'DWV ABS'!$A$8:$M$116,11,FALSE),                                                                                                                                                                                                                                                     IF($A166&lt;'PVC SCH40'!$A$425,VLOOKUP($A166,'PVC SCH40'!$A$8:$M$424,11,FALSE),
IF($A166&lt;'PVC SCH40 LD'!$A$22,VLOOKUP($A166,'PVC SCH40 LD'!$A$8:$M$21,11,FALSE),
IF($A166&lt;'Pool &amp; SPA Sweep Elbows'!$A$12,VLOOKUP($A166,'Pool &amp; SPA Sweep Elbows'!$A$8:$M$11,11,FALSE),
IF($A166&lt;'Pool &amp; SPA Pipe Extender'!$A$11,VLOOKUP($A166,'Pool &amp; SPA Pipe Extender'!$A$8:$M$10,11,FALSE),
IF($A166&lt;'PVC SCH80'!$A$250,VLOOKUP($A166,'PVC SCH80'!$A$8:$M$249,11,FALSE),
IF($A166&lt;'PVC SCH80 Flange'!$A$49,VLOOKUP($A166,'PVC SCH80 Flange'!$A$8:$M$48,11,FALSE),
IF($A166&lt;'PVC SCH80 LD Flange'!$A$17,VLOOKUP($A166,'PVC SCH80 LD Flange'!$A$8:$M$16,11,FALSE),
IF($A166&lt;CPVC!$A$105,VLOOKUP($A166,CPVC!$A$9:$M$104,11,FALSE),
IF($A166&lt;InsertFittings!$A$185,VLOOKUP($A166,InsertFittings!$A$9:$M$184,11,FALSE),
IF($A166&lt;Valves!$A$92,VLOOKUP($A166,Valves!$A$9:$Q$91,15,FALSE),
IF($A166&lt;SDR35SW!$A$133,VLOOKUP($A166,SDR35SW!$A$9:$M$132,11,FALSE),
IF($A166&lt;SDR35G!$A$151,VLOOKUP($A166,SDR35G!$A$9:$M$150,11,FALSE),                                                                                                                                                                                                                                                          IF($A166&lt;SDR26G!$A$67,VLOOKUP($A166,SDR26G!$A$9:$N$66,12,FALSE),                                                                                                                                                                                                                                                       IF($A166&lt;Cements!$A$95,VLOOKUP($A166,Cements!$A$8:$Q$94,15,FALSE),
IF($A166&lt;ValveBox!$A$124,VLOOKUP($A166,ValveBox!$A$9:$O$123,13,FALSE),
IF($A166&lt;'ValveBox Components'!$A$142,VLOOKUP($A166,'ValveBox Components'!$A$9:$N$141,12,FALSE),
IF($A166&lt;Drainage!$A$69,VLOOKUP($A166,Drainage!$A$8:$M$68,11,FALSE),                                                                                                                                                                                                                                                           IF($A166&lt;Nipples!$A$82,VLOOKUP($A166,Nipples!$A$9:$Q$81,15,FALSE),
IF($A166&lt;Manifold!$A$33,VLOOKUP($A166,Manifold!$A$9:$M$32,11,FALSE),
IF($A166&lt;FlexibleRepairCouplings!$A$12,VLOOKUP($A166,FlexibleRepairCouplings!$A$9:$M$11,11,FALSE),
IF($A166&lt;DuraFix!$A$15,VLOOKUP($A166,DuraFix!$A$9:$M$14,11,FALSE),                                                                                                                                                                                                                                                            IF($A166&lt;'Compression Fittings'!$A$16,VLOOKUP($A166,'Compression Fittings'!$A$8:$M$15,11,FALSE),
IF($A166&lt;'Hose Fittings'!$A$30,VLOOKUP($A166,'Hose Fittings'!$A$8:$M$29,11,FALSE),
IF($A166&lt;'Swing Joints'!$A$495,VLOOKUP($A166,'Swing Joints'!$A$9:$M$494,11,FALSE),
IF($A166&lt;'Swing Joints Components'!$A$135,VLOOKUP($A166,'Swing Joints Components'!$A$9:$M$134,11,FALSE),
IF($A166&lt;Nonstandard!$A$42,VLOOKUP($A166,Nonstandard!$A$31:$J$41,10,FALSE),"")))))))))))))))))))))))))))),"")</f>
        <v/>
      </c>
      <c r="H166" s="620" t="str">
        <f>IFERROR(IF($A166&lt;'DWV PVC'!$A$317,VLOOKUP($A166,'DWV PVC'!$A$9:$M$316,7,FALSE),
IF($A166&lt;'DWV ABS'!$A$117,VLOOKUP($A166,'DWV ABS'!$A$8:$M$116,11,FALSE),                                                                                                                                                                                                                                                     IF($A166&lt;'PVC SCH40'!$A$425,VLOOKUP($A166,'PVC SCH40'!$A$8:$M$424,7,FALSE),
IF($A166&lt;'PVC SCH40 LD'!$A$22,VLOOKUP($A166,'PVC SCH40 LD'!$A$8:$M$21,7,FALSE),
IF($A166&lt;'Pool &amp; SPA Sweep Elbows'!$A$12,VLOOKUP($A166,'Pool &amp; SPA Sweep Elbows'!$A$8:$M$11,7,FALSE),
IF($A166&lt;'Pool &amp; SPA Pipe Extender'!$A$11,VLOOKUP($A166,'Pool &amp; SPA Pipe Extender'!$A$8:$M$10,7,FALSE),
IF($A166&lt;'PVC SCH80'!$A$250,VLOOKUP($A166,'PVC SCH80'!$A$8:$M$249,7,FALSE),
IF($A166&lt;'PVC SCH80 Flange'!$A$49,VLOOKUP($A166,'PVC SCH80 Flange'!$A$8:$M$48,7,FALSE),
IF($A166&lt;'PVC SCH80 LD Flange'!$A$17,VLOOKUP($A166,'PVC SCH80 LD Flange'!$A$8:$M$16,7,FALSE),
IF($A166&lt;CPVC!$A$105,VLOOKUP($A166,CPVC!$A$9:$M$104,7,FALSE),
IF($A166&lt;InsertFittings!$A$185,VLOOKUP($A166,InsertFittings!$A$9:$M$184,7,FALSE),
IF($A166&lt;Valves!$A$92,VLOOKUP($A166,Valves!$A$9:$Q$91,11,FALSE),
IF($A166&lt;SDR35SW!$A$133,VLOOKUP($A166,SDR35SW!$A$9:$M$132,7,FALSE),
IF($A166&lt;SDR35G!$A$151,VLOOKUP($A166,SDR35G!$A$9:$M$150,7,FALSE),                                                                                                                                                                                                                                                       IF($A166&lt;SDR26G!$A$67,VLOOKUP($A166,SDR26G!$A$9:$N$66,8,FALSE),                                                                                                                                                                                                                                                     IF($A166&lt;Cements!$A$95,VLOOKUP($A166,Cements!$A$8:$Q$94,11,FALSE),
IF($A166&lt;ValveBox!$A$124,VLOOKUP($A166,ValveBox!$A$9:$O$123,10,FALSE),
IF($A166&lt;'ValveBox Components'!$A$142,VLOOKUP($A166,'ValveBox Components'!$A$9:$N$141,9,FALSE),
IF($A166&lt;Drainage!$A$69,VLOOKUP($A166,Drainage!$A$8:$M$68,7,FALSE),                                                                                                                                                                                                                                                          IF($A166&lt;Nipples!$A$82,VLOOKUP($A166,Nipples!$A$9:$Q$81,11,FALSE),
IF($A166&lt;Manifold!$A$33,VLOOKUP($A166,Manifold!$A$9:$M$32,7,FALSE),
IF($A166&lt;FlexibleRepairCouplings!$A$12,VLOOKUP($A166,FlexibleRepairCouplings!$A$9:$M$11,7,FALSE),
IF($A166&lt;DuraFix!$A$15,VLOOKUP($A166,DuraFix!$A$9:$M$14,7,FALSE),                                                                                                                                                                                                                                                           IF($A166&lt;'Compression Fittings'!$A$16,VLOOKUP($A166,'Compression Fittings'!$A$8:$M$15,7,FALSE),
IF($A166&lt;'Hose Fittings'!$A$30,VLOOKUP($A166,'Hose Fittings'!$A$8:$M$29,7,FALSE),
IF($A166&lt;'Swing Joints'!$A$495,VLOOKUP($A166,'Swing Joints'!$A$9:$M$494,7,FALSE),
IF($A166&lt;'Swing Joints Components'!$A$135,VLOOKUP($A166,'Swing Joints Components'!$A$9:$M$134,7,FALSE),
IF($A166&lt;Nonstandard!$A$42,VLOOKUP($A166,Nonstandard!$A$31:$J$41,10,FALSE),"")))))))))))))))))))))))))))),"")</f>
        <v/>
      </c>
      <c r="I166" s="621"/>
      <c r="J166" s="541" t="str">
        <f t="shared" si="5"/>
        <v/>
      </c>
      <c r="K166" s="599" t="str">
        <f>IFERROR(IF($A166&lt;'DWV PVC'!$A$317,VLOOKUP($A166,'DWV PVC'!$A$9:$M$316,10,FALSE),
IF($A166&lt;'DWV ABS'!$A$117,VLOOKUP($A166,'DWV ABS'!$A$8:$M$116,10,FALSE),
IF($A166&lt;'PVC SCH40'!$A$425,VLOOKUP($A166,'PVC SCH40'!$A$8:$M$424,10,FALSE),
IF($A166&lt;'PVC SCH40 LD'!$A$22,VLOOKUP($A166,'PVC SCH40 LD'!$A$8:$M$21,10,FALSE),
IF($A166&lt;'Pool &amp; SPA Sweep Elbows'!$A$12,VLOOKUP($A166,'Pool &amp; SPA Sweep Elbows'!$A$8:$M$11,10,FALSE),
IF($A166&lt;'Pool &amp; SPA Pipe Extender'!$A$11,VLOOKUP($A166,'Pool &amp; SPA Pipe Extender'!$A$8:$M$10,10,FALSE),
IF($A166&lt;'PVC SCH80'!$A$250,VLOOKUP($A166,'PVC SCH80'!$A$8:$M$249,10,FALSE),
IF($A166&lt;'PVC SCH80 Flange'!$A$49,VLOOKUP($A166,'PVC SCH80 Flange'!$A$8:$M$48,10,FALSE),
IF($A166&lt;'PVC SCH80 LD Flange'!$A$17,VLOOKUP($A166,'PVC SCH80 LD Flange'!$A$8:$M$16,10,FALSE),
IF($A166&lt;CPVC!$A$105,VLOOKUP($A166,CPVC!$A$9:$M$104,10,FALSE),
IF($A166&lt;InsertFittings!$A$185,VLOOKUP($A166,InsertFittings!$A$9:$M$184,10,FALSE),
IF($A166&lt;Valves!$A$92,VLOOKUP($A166,Valves!$A$9:$Q$91,14,FALSE),
IF($A166&lt;SDR35SW!$A$133,VLOOKUP($A166,SDR35SW!$A$9:$M$132,10,FALSE),
IF($A166&lt;SDR35G!$A$151,VLOOKUP($A166,SDR35G!$A$9:$M$150,10,FALSE),
IF($A166&lt;SDR26G!$A$67,VLOOKUP($A166,SDR26G!$A$9:$N$66,11,FALSE),
IF($A166&lt;Cements!$A$95,VLOOKUP($A166,Cements!$A$8:$Q$94,14,FALSE),
IF($A166&lt;ValveBox!$A$124,VLOOKUP($A166,ValveBox!$A$9:$O$123,12,FALSE),
IF($A166&lt;'ValveBox Components'!$A$142,VLOOKUP($A166,'ValveBox Components'!$A$9:$N$141,11,FALSE),
IF($A166&lt;Drainage!$A$69,VLOOKUP($A166,Drainage!$A$8:$M$68,10,FALSE),
IF($A166&lt;Nipples!$A$82,VLOOKUP($A166,Nipples!$A$9:$Q$81,14,FALSE),
IF($A166&lt;Manifold!$A$33,VLOOKUP($A166,Manifold!$A$9:$M$32,10,FALSE),
IF($A166&lt;FlexibleRepairCouplings!$A$12,VLOOKUP($A166,FlexibleRepairCouplings!$A$9:$M$11,10,FALSE),
IF($A166&lt;DuraFix!$A$15,VLOOKUP($A166,DuraFix!$A$9:$M$14,10,FALSE),
IF($A166&lt;'Compression Fittings'!$A$16,VLOOKUP($A166,'Compression Fittings'!$A$8:$M$15,10,FALSE),
IF($A166&lt;'Hose Fittings'!$A$30,VLOOKUP($A166,'Hose Fittings'!$A$8:$M$29,10,FALSE),
IF($A166&lt;'Swing Joints'!$A$495,VLOOKUP($A166,'Swing Joints'!$A$9:$M$494,10,FALSE),
IF($A166&lt;'Swing Joints Components'!$A$135,VLOOKUP($A166,'Swing Joints Components'!$A$9:$M$134,10,FALSE),
IF($A166&lt;Nonstandard!$A$42,VLOOKUP($A166,Nonstandard!$A$31:$J$41,10,FALSE),"")))))))))))))))))))))))))))),"")</f>
        <v/>
      </c>
      <c r="L166" s="539" t="str">
        <f t="shared" si="4"/>
        <v>-</v>
      </c>
      <c r="M166" s="542"/>
    </row>
    <row r="167" spans="1:13" ht="15.6">
      <c r="A167" s="312">
        <v>135</v>
      </c>
      <c r="B167" s="312" t="str">
        <f>IFERROR(IF($A167&lt;'DWV PVC'!$A$317,VLOOKUP($A167,'DWV PVC'!$A$9:$M$316,4,FALSE),
IF($A167&lt;'DWV ABS'!$A$117,VLOOKUP($A167,'DWV ABS'!$A$8:$M$116,4,FALSE),
IF($A167&lt;'PVC SCH40'!$A$425,VLOOKUP($A167,'PVC SCH40'!$A$8:$M$424,4,FALSE),
IF($A167&lt;'PVC SCH40 LD'!$A$22,VLOOKUP($A167,'PVC SCH40 LD'!$A$8:$M$21,4,FALSE),
IF($A167&lt;'Pool &amp; SPA Sweep Elbows'!$A$12,VLOOKUP($A167,'Pool &amp; SPA Sweep Elbows'!$A$8:$M$11,4,FALSE),
IF($A167&lt;'Pool &amp; SPA Pipe Extender'!$A$11,VLOOKUP($A167,'Pool &amp; SPA Pipe Extender'!$A$8:$M$10,4,FALSE),
IF($A167&lt;'PVC SCH80'!$A$250,VLOOKUP($A167,'PVC SCH80'!$A$8:$M$249,4,FALSE),
IF($A167&lt;'PVC SCH80 Flange'!$A$49,VLOOKUP($A167,'PVC SCH80 Flange'!$A$8:$M$48,4,FALSE),
IF($A167&lt;'PVC SCH80 LD Flange'!$A$17,VLOOKUP($A167,'PVC SCH80 LD Flange'!$A$8:$M$16,4,FALSE),
IF($A167&lt;CPVC!$A$105,VLOOKUP($A167,CPVC!$A$9:$M$104,4,FALSE),
IF($A167&lt;InsertFittings!$A$185,VLOOKUP($A167,InsertFittings!$A$9:$M$184,4,FALSE),
IF($A167&lt;Valves!$A$92,VLOOKUP($A167,Valves!$A$9:$Q$91,4,FALSE),
IF($A167&lt;SDR35SW!$A$133,VLOOKUP($A167,SDR35SW!$A$9:$M$132,4,FALSE),
IF($A167&lt;SDR35G!$A$151,VLOOKUP($A167,SDR35G!$A$9:$M$150,4,FALSE),
IF($A167&lt;SDR26G!$A$67,VLOOKUP($A167,SDR26G!$A$9:$N$66,5,FALSE),
IF($A167&lt;Cements!$A$95,VLOOKUP($A167,Cements!$A$8:$Q$94,4,FALSE),
IF($A167&lt;ValveBox!$A$124,VLOOKUP($A167,ValveBox!$A$9:$O$123,4,FALSE),
IF($A167&lt;'ValveBox Components'!$A$142,VLOOKUP($A167,'ValveBox Components'!$A$9:$N$141,4,FALSE),
IF($A167&lt;Drainage!$A$69,VLOOKUP($A167,Drainage!$A$8:$M$68,4,FALSE),
IF($A167&lt;Nipples!$A$82,VLOOKUP($A167,Nipples!$A$9:$Q$81,4,FALSE),
IF($A167&lt;Manifold!$A$33,VLOOKUP($A167,Manifold!$A$9:$M$32,4,FALSE),
IF($A167&lt;FlexibleRepairCouplings!$A$12,VLOOKUP($A167,FlexibleRepairCouplings!$A$9:$M$11,4,FALSE),
IF($A167&lt;DuraFix!$A$15,VLOOKUP($A167,DuraFix!$A$9:$M$14,4,FALSE),
IF($A167&lt;'Compression Fittings'!$A$16,VLOOKUP($A167,'Compression Fittings'!$A$8:$M$15,4,FALSE),
IF($A167&lt;'Hose Fittings'!$A$30,VLOOKUP($A167,'Hose Fittings'!$A$8:$M$29,4,FALSE),
IF($A167&lt;'Swing Joints'!$A$495,VLOOKUP($A167,'Swing Joints'!$A$9:$M$494,4,FALSE),
IF($A167&lt;'Swing Joints Components'!$A$135,VLOOKUP($A167,'Swing Joints Components'!$A$9:$M$134,4,FALSE),
IF($A167&lt;Nonstandard!$A$42,VLOOKUP($A167,Nonstandard!$A$31:$J$41,5,FALSE),"")))))))))))))))))))))))))))),"")</f>
        <v/>
      </c>
      <c r="C167" s="312" t="str">
        <f>IFERROR(IF($A167&lt;'DWV PVC'!$A$317,VLOOKUP($A167,'DWV PVC'!$A$9:$M$316,5,FALSE),
IF($A167&lt;'DWV ABS'!$A$117,VLOOKUP($A167,'DWV ABS'!$A$8:$M$116,5,FALSE),
IF($A167&lt;'PVC SCH40'!$A$425,VLOOKUP($A167,'PVC SCH40'!$A$8:$M$424,5,FALSE),
IF($A167&lt;'PVC SCH40 LD'!$A$22,VLOOKUP($A167,'PVC SCH40 LD'!$A$8:$M$21,5,FALSE),
IF($A167&lt;'Pool &amp; SPA Sweep Elbows'!$A$12,VLOOKUP($A167,'Pool &amp; SPA Sweep Elbows'!$A$8:$M$11,5,FALSE),
IF($A167&lt;'Pool &amp; SPA Pipe Extender'!$A$11,VLOOKUP($A167,'Pool &amp; SPA Pipe Extender'!$A$8:$M$10,5,FALSE),
IF($A167&lt;'PVC SCH80'!$A$250,VLOOKUP($A167,'PVC SCH80'!$A$8:$M$249,5,FALSE),
IF($A167&lt;'PVC SCH80 Flange'!$A$49,VLOOKUP($A167,'PVC SCH80 Flange'!$A$8:$M$48,5,FALSE),
IF($A167&lt;'PVC SCH80 LD Flange'!$A$17,VLOOKUP($A167,'PVC SCH80 LD Flange'!$A$8:$M$16,5,FALSE),
IF($A167&lt;CPVC!$A$105,VLOOKUP($A167,CPVC!$A$9:$M$104,5,FALSE),
IF($A167&lt;InsertFittings!$A$185,VLOOKUP($A167,InsertFittings!$A$9:$M$184,5,FALSE),
IF($A167&lt;Valves!$A$92,VLOOKUP($A167,Valves!$A$9:$Q$91,5,FALSE),
IF($A167&lt;SDR35SW!$A$133,VLOOKUP($A167,SDR35SW!$A$9:$M$132,5,FALSE),
IF($A167&lt;SDR35G!$A$151,VLOOKUP($A167,SDR35G!$A$9:$M$150,5,FALSE),
IF($A167&lt;SDR26G!$A$67,VLOOKUP($A167,SDR26G!$A$9:$N$66,6,FALSE),
IF($A167&lt;Cements!$A$95,VLOOKUP($A167,Cements!$A$8:$Q$94,5,FALSE),
IF($A167&lt;ValveBox!$A$124,VLOOKUP($A167,ValveBox!$A$9:$O$123,5,FALSE),
IF($A167&lt;'ValveBox Components'!$A$142,VLOOKUP($A167,'ValveBox Components'!$A$9:$N$141,5,FALSE),
IF($A167&lt;Drainage!$A$69,VLOOKUP($A167,Drainage!$A$8:$M$68,5,FALSE),
IF($A167&lt;Nipples!$A$82,VLOOKUP($A167,Nipples!$A$9:$Q$81,5,FALSE),
IF($A167&lt;Manifold!$A$33,VLOOKUP($A167,Manifold!$A$9:$M$32,5,FALSE),
IF($A167&lt;FlexibleRepairCouplings!$A$12,VLOOKUP($A167,FlexibleRepairCouplings!$A$9:$M$11,5,FALSE),
IF($A167&lt;DuraFix!$A$15,VLOOKUP($A167,DuraFix!$A$9:$M$14,5,FALSE),
IF($A167&lt;'Compression Fittings'!$A$16,VLOOKUP($A167,'Compression Fittings'!$A$8:$M$15,5,FALSE),
IF($A167&lt;'Hose Fittings'!$A$30,VLOOKUP($A167,'Hose Fittings'!$A$8:$M$29,5,FALSE),
IF($A167&lt;'Swing Joints'!$A$495,VLOOKUP($A167,'Swing Joints'!$A$9:$M$494,5,FALSE),
IF($A167&lt;'Swing Joints Components'!$A$135,VLOOKUP($A167,'Swing Joints Components'!$A$9:$M$134,5,FALSE),
IF($A167&lt;Nonstandard!$A$42,VLOOKUP($A167,Nonstandard!$A$31:$J$41,6,FALSE),"")))))))))))))))))))))))))))),"")</f>
        <v/>
      </c>
      <c r="D167" s="534" t="str">
        <f>IFERROR(IF($A167&lt;'DWV PVC'!$A$317,VLOOKUP($A167,'DWV PVC'!$A$9:$M$316,6,FALSE),
IF($A167&lt;'DWV ABS'!$A$117,VLOOKUP($A167,'DWV ABS'!$A$8:$M$116,6,FALSE),
IF($A167&lt;'PVC SCH40'!$A$425,VLOOKUP($A167,'PVC SCH40'!$A$8:$M$424,6,FALSE),
IF($A167&lt;'PVC SCH40 LD'!$A$22,VLOOKUP($A167,'PVC SCH40 LD'!$A$8:$M$21,6,FALSE),
IF($A167&lt;'Pool &amp; SPA Sweep Elbows'!$A$12,VLOOKUP($A167,'Pool &amp; SPA Sweep Elbows'!$A$8:$M$11,6,FALSE),
IF($A167&lt;'Pool &amp; SPA Pipe Extender'!$A$11,VLOOKUP($A167,'Pool &amp; SPA Pipe Extender'!$A$8:$M$10,6,FALSE),
IF($A167&lt;'PVC SCH80'!$A$250,VLOOKUP($A167,'PVC SCH80'!$A$8:$M$249,6,FALSE),
IF($A167&lt;'PVC SCH80 Flange'!$A$49,VLOOKUP($A167,'PVC SCH80 Flange'!$A$8:$M$48,6,FALSE),
IF($A167&lt;'PVC SCH80 LD Flange'!$A$17,VLOOKUP($A167,'PVC SCH80 LD Flange'!$A$8:$M$16,6,FALSE),
IF($A167&lt;CPVC!$A$105,VLOOKUP($A167,CPVC!$A$9:$M$104,6,FALSE),
IF($A167&lt;InsertFittings!$A$185,VLOOKUP($A167,InsertFittings!$A$9:$M$184,6,FALSE),
IF($A167&lt;Valves!$A$92,VLOOKUP($A167,Valves!$A$9:$Q$91,6,FALSE),
IF($A167&lt;SDR35SW!$A$133,VLOOKUP($A167,SDR35SW!$A$9:$M$132,6,FALSE),
IF($A167&lt;SDR35G!$A$151,VLOOKUP($A167,SDR35G!$A$9:$M$150,6,FALSE),
IF($A167&lt;SDR26G!$A$67,VLOOKUP($A167,SDR26G!$A$9:$N$66,7,FALSE),
IF($A167&lt;Cements!$A$95,VLOOKUP($A167,Cements!$A$8:$Q$94,6,FALSE),
IF($A167&lt;ValveBox!$A$124,VLOOKUP($A167,ValveBox!$A$9:$O$123,6,FALSE),
IF($A167&lt;'ValveBox Components'!$A$142,VLOOKUP($A167,'ValveBox Components'!$A$9:$N$141,6,FALSE),
IF($A167&lt;Drainage!$A$69,VLOOKUP($A167,Drainage!$A$8:$M$68,6,FALSE),
IF($A167&lt;Nipples!$A$82,VLOOKUP($A167,Nipples!$A$9:$Q$81,6,FALSE),
IF($A167&lt;Manifold!$A$33,VLOOKUP($A167,Manifold!$A$9:$M$32,6,FALSE),
IF($A167&lt;FlexibleRepairCouplings!$A$12,VLOOKUP($A167,FlexibleRepairCouplings!$A$9:$M$11,6,FALSE),
IF($A167&lt;DuraFix!$A$15,VLOOKUP($A167,DuraFix!$A$9:$M$14,6,FALSE),
IF($A167&lt;'Compression Fittings'!$A$16,VLOOKUP($A167,'Compression Fittings'!$A$8:$M$15,6,FALSE),
IF($A167&lt;'Hose Fittings'!$A$30,VLOOKUP($A167,'Hose Fittings'!$A$8:$M$29,6,FALSE),
IF($A167&lt;'Swing Joints'!$A$495,VLOOKUP($A167,'Swing Joints'!$A$9:$M$494,6,FALSE),
IF($A167&lt;'Swing Joints Components'!$A$135,VLOOKUP($A167,'Swing Joints Components'!$A$9:$M$134,6,FALSE),
IF($A167&lt;Nonstandard!$A$42,VLOOKUP($A167,Nonstandard!$A$31:$J$41,7,FALSE),"")))))))))))))))))))))))))))),"")</f>
        <v/>
      </c>
      <c r="E167" s="316"/>
      <c r="F167" s="314" t="str">
        <f>IFERROR(IF($A167&lt;'DWV PVC'!$A$317,VLOOKUP($A167,'DWV PVC'!$A$9:$M$316,9,FALSE),
IF($A167&lt;'DWV ABS'!$A$117,VLOOKUP($A167,'DWV ABS'!$A$8:$M$116,9,FALSE),                                                                                                                                                                                                                                                     IF($A167&lt;'PVC SCH40'!$A$425,VLOOKUP($A167,'PVC SCH40'!$A$8:$M$424,9,FALSE),
IF($A167&lt;'PVC SCH40 LD'!$A$22,VLOOKUP($A167,'PVC SCH40 LD'!$A$8:$M$21,9,FALSE),
IF($A167&lt;'Pool &amp; SPA Sweep Elbows'!$A$12,VLOOKUP($A167,'Pool &amp; SPA Sweep Elbows'!$A$8:$M$11,9,FALSE),
IF($A167&lt;'Pool &amp; SPA Pipe Extender'!$A$11,VLOOKUP($A167,'Pool &amp; SPA Pipe Extender'!$A$8:$M$10,9,FALSE),
IF($A167&lt;'PVC SCH80'!$A$250,VLOOKUP($A167,'PVC SCH80'!$A$8:$M$249,9,FALSE),
IF($A167&lt;'PVC SCH80 Flange'!$A$49,VLOOKUP($A167,'PVC SCH80 Flange'!$A$8:$M$48,9,FALSE),
IF($A167&lt;'PVC SCH80 LD Flange'!$A$17,VLOOKUP($A167,'PVC SCH80 LD Flange'!$A$8:$M$16,9,FALSE),
IF($A167&lt;CPVC!$A$105,VLOOKUP($A167,CPVC!$A$9:$M$104,9,FALSE),
IF($A167&lt;InsertFittings!$A$185,VLOOKUP($A167,InsertFittings!$A$9:$M$184,9,FALSE),
IF($A167&lt;Valves!$A$92,VLOOKUP($A167,Valves!$A$9:$Q$91,13,FALSE),
IF($A167&lt;SDR35SW!$A$133,VLOOKUP($A167,SDR35SW!$A$9:$M$132,9,FALSE),
IF($A167&lt;SDR35G!$A$151,VLOOKUP($A167,SDR35G!$A$9:$M$150,9,FALSE),                                                                                                                                                                                                                                                          IF($A167&lt;SDR26G!$A$67,VLOOKUP($A167,SDR26G!$A$9:$N$66,10,FALSE),                                                                                                                                                                                                                                                       IF($A167&lt;Cements!$A$95,VLOOKUP($A167,Cements!$A$8:$Q$94,13,FALSE),
IF($A167&lt;ValveBox!$A$124,VLOOKUP($A167,ValveBox!$A$9:$O$123,11,FALSE),
IF($A167&lt;'ValveBox Components'!$A$142,VLOOKUP($A167,'ValveBox Components'!$A$9:$N$141,10,FALSE),
IF($A167&lt;Drainage!$A$69,VLOOKUP($A167,Drainage!$A$8:$M$68,9,FALSE),                                                                                                                                                                                                                                                              IF($A167&lt;Nipples!$A$82,VLOOKUP($A167,Nipples!$A$9:$Q$81,13,FALSE),
IF($A167&lt;Manifold!$A$33,VLOOKUP($A167,Manifold!$A$9:$M$32,9,FALSE),
IF($A167&lt;FlexibleRepairCouplings!$A$12,VLOOKUP($A167,FlexibleRepairCouplings!$A$9:$M$11,9,FALSE),
IF($A167&lt;DuraFix!$A$15,VLOOKUP($A167,DuraFix!$A$9:$M$14,9,FALSE),                                                                                                                                                                                                                                                          IF($A167&lt;'Compression Fittings'!$A$16,VLOOKUP($A167,'Compression Fittings'!$A$8:$M$15,9,FALSE),
IF($A167&lt;'Hose Fittings'!$A$30,VLOOKUP($A167,'Hose Fittings'!$A$8:$M$29,9,FALSE),
IF($A167&lt;'Swing Joints'!$A$495,VLOOKUP($A167,'Swing Joints'!$A$9:$M$494,9,FALSE),
IF($A167&lt;'Swing Joints Components'!$A$135,VLOOKUP($A167,'Swing Joints Components'!$A$9:$M$134,9,FALSE),
IF($A167&lt;Nonstandard!$A$42,VLOOKUP($A167,Nonstandard!$A$31:$J$41,8,FALSE),"")))))))))))))))))))))))))))),"")</f>
        <v/>
      </c>
      <c r="G167" s="533" t="str">
        <f>IFERROR(IF($A167&lt;'DWV PVC'!$A$317,VLOOKUP($A167,'DWV PVC'!$A$9:$M$316,11,FALSE),
IF($A167&lt;'DWV ABS'!$A$117,VLOOKUP($A167,'DWV ABS'!$A$8:$M$116,11,FALSE),                                                                                                                                                                                                                                                     IF($A167&lt;'PVC SCH40'!$A$425,VLOOKUP($A167,'PVC SCH40'!$A$8:$M$424,11,FALSE),
IF($A167&lt;'PVC SCH40 LD'!$A$22,VLOOKUP($A167,'PVC SCH40 LD'!$A$8:$M$21,11,FALSE),
IF($A167&lt;'Pool &amp; SPA Sweep Elbows'!$A$12,VLOOKUP($A167,'Pool &amp; SPA Sweep Elbows'!$A$8:$M$11,11,FALSE),
IF($A167&lt;'Pool &amp; SPA Pipe Extender'!$A$11,VLOOKUP($A167,'Pool &amp; SPA Pipe Extender'!$A$8:$M$10,11,FALSE),
IF($A167&lt;'PVC SCH80'!$A$250,VLOOKUP($A167,'PVC SCH80'!$A$8:$M$249,11,FALSE),
IF($A167&lt;'PVC SCH80 Flange'!$A$49,VLOOKUP($A167,'PVC SCH80 Flange'!$A$8:$M$48,11,FALSE),
IF($A167&lt;'PVC SCH80 LD Flange'!$A$17,VLOOKUP($A167,'PVC SCH80 LD Flange'!$A$8:$M$16,11,FALSE),
IF($A167&lt;CPVC!$A$105,VLOOKUP($A167,CPVC!$A$9:$M$104,11,FALSE),
IF($A167&lt;InsertFittings!$A$185,VLOOKUP($A167,InsertFittings!$A$9:$M$184,11,FALSE),
IF($A167&lt;Valves!$A$92,VLOOKUP($A167,Valves!$A$9:$Q$91,15,FALSE),
IF($A167&lt;SDR35SW!$A$133,VLOOKUP($A167,SDR35SW!$A$9:$M$132,11,FALSE),
IF($A167&lt;SDR35G!$A$151,VLOOKUP($A167,SDR35G!$A$9:$M$150,11,FALSE),                                                                                                                                                                                                                                                          IF($A167&lt;SDR26G!$A$67,VLOOKUP($A167,SDR26G!$A$9:$N$66,12,FALSE),                                                                                                                                                                                                                                                       IF($A167&lt;Cements!$A$95,VLOOKUP($A167,Cements!$A$8:$Q$94,15,FALSE),
IF($A167&lt;ValveBox!$A$124,VLOOKUP($A167,ValveBox!$A$9:$O$123,13,FALSE),
IF($A167&lt;'ValveBox Components'!$A$142,VLOOKUP($A167,'ValveBox Components'!$A$9:$N$141,12,FALSE),
IF($A167&lt;Drainage!$A$69,VLOOKUP($A167,Drainage!$A$8:$M$68,11,FALSE),                                                                                                                                                                                                                                                           IF($A167&lt;Nipples!$A$82,VLOOKUP($A167,Nipples!$A$9:$Q$81,15,FALSE),
IF($A167&lt;Manifold!$A$33,VLOOKUP($A167,Manifold!$A$9:$M$32,11,FALSE),
IF($A167&lt;FlexibleRepairCouplings!$A$12,VLOOKUP($A167,FlexibleRepairCouplings!$A$9:$M$11,11,FALSE),
IF($A167&lt;DuraFix!$A$15,VLOOKUP($A167,DuraFix!$A$9:$M$14,11,FALSE),                                                                                                                                                                                                                                                            IF($A167&lt;'Compression Fittings'!$A$16,VLOOKUP($A167,'Compression Fittings'!$A$8:$M$15,11,FALSE),
IF($A167&lt;'Hose Fittings'!$A$30,VLOOKUP($A167,'Hose Fittings'!$A$8:$M$29,11,FALSE),
IF($A167&lt;'Swing Joints'!$A$495,VLOOKUP($A167,'Swing Joints'!$A$9:$M$494,11,FALSE),
IF($A167&lt;'Swing Joints Components'!$A$135,VLOOKUP($A167,'Swing Joints Components'!$A$9:$M$134,11,FALSE),
IF($A167&lt;Nonstandard!$A$42,VLOOKUP($A167,Nonstandard!$A$31:$J$41,10,FALSE),"")))))))))))))))))))))))))))),"")</f>
        <v/>
      </c>
      <c r="H167" s="618" t="str">
        <f>IFERROR(IF($A167&lt;'DWV PVC'!$A$317,VLOOKUP($A167,'DWV PVC'!$A$9:$M$316,7,FALSE),
IF($A167&lt;'DWV ABS'!$A$117,VLOOKUP($A167,'DWV ABS'!$A$8:$M$116,11,FALSE),                                                                                                                                                                                                                                                     IF($A167&lt;'PVC SCH40'!$A$425,VLOOKUP($A167,'PVC SCH40'!$A$8:$M$424,7,FALSE),
IF($A167&lt;'PVC SCH40 LD'!$A$22,VLOOKUP($A167,'PVC SCH40 LD'!$A$8:$M$21,7,FALSE),
IF($A167&lt;'Pool &amp; SPA Sweep Elbows'!$A$12,VLOOKUP($A167,'Pool &amp; SPA Sweep Elbows'!$A$8:$M$11,7,FALSE),
IF($A167&lt;'Pool &amp; SPA Pipe Extender'!$A$11,VLOOKUP($A167,'Pool &amp; SPA Pipe Extender'!$A$8:$M$10,7,FALSE),
IF($A167&lt;'PVC SCH80'!$A$250,VLOOKUP($A167,'PVC SCH80'!$A$8:$M$249,7,FALSE),
IF($A167&lt;'PVC SCH80 Flange'!$A$49,VLOOKUP($A167,'PVC SCH80 Flange'!$A$8:$M$48,7,FALSE),
IF($A167&lt;'PVC SCH80 LD Flange'!$A$17,VLOOKUP($A167,'PVC SCH80 LD Flange'!$A$8:$M$16,7,FALSE),
IF($A167&lt;CPVC!$A$105,VLOOKUP($A167,CPVC!$A$9:$M$104,7,FALSE),
IF($A167&lt;InsertFittings!$A$185,VLOOKUP($A167,InsertFittings!$A$9:$M$184,7,FALSE),
IF($A167&lt;Valves!$A$92,VLOOKUP($A167,Valves!$A$9:$Q$91,11,FALSE),
IF($A167&lt;SDR35SW!$A$133,VLOOKUP($A167,SDR35SW!$A$9:$M$132,7,FALSE),
IF($A167&lt;SDR35G!$A$151,VLOOKUP($A167,SDR35G!$A$9:$M$150,7,FALSE),                                                                                                                                                                                                                                                       IF($A167&lt;SDR26G!$A$67,VLOOKUP($A167,SDR26G!$A$9:$N$66,8,FALSE),                                                                                                                                                                                                                                                     IF($A167&lt;Cements!$A$95,VLOOKUP($A167,Cements!$A$8:$Q$94,11,FALSE),
IF($A167&lt;ValveBox!$A$124,VLOOKUP($A167,ValveBox!$A$9:$O$123,10,FALSE),
IF($A167&lt;'ValveBox Components'!$A$142,VLOOKUP($A167,'ValveBox Components'!$A$9:$N$141,9,FALSE),
IF($A167&lt;Drainage!$A$69,VLOOKUP($A167,Drainage!$A$8:$M$68,7,FALSE),                                                                                                                                                                                                                                                          IF($A167&lt;Nipples!$A$82,VLOOKUP($A167,Nipples!$A$9:$Q$81,11,FALSE),
IF($A167&lt;Manifold!$A$33,VLOOKUP($A167,Manifold!$A$9:$M$32,7,FALSE),
IF($A167&lt;FlexibleRepairCouplings!$A$12,VLOOKUP($A167,FlexibleRepairCouplings!$A$9:$M$11,7,FALSE),
IF($A167&lt;DuraFix!$A$15,VLOOKUP($A167,DuraFix!$A$9:$M$14,7,FALSE),                                                                                                                                                                                                                                                           IF($A167&lt;'Compression Fittings'!$A$16,VLOOKUP($A167,'Compression Fittings'!$A$8:$M$15,7,FALSE),
IF($A167&lt;'Hose Fittings'!$A$30,VLOOKUP($A167,'Hose Fittings'!$A$8:$M$29,7,FALSE),
IF($A167&lt;'Swing Joints'!$A$495,VLOOKUP($A167,'Swing Joints'!$A$9:$M$494,7,FALSE),
IF($A167&lt;'Swing Joints Components'!$A$135,VLOOKUP($A167,'Swing Joints Components'!$A$9:$M$134,7,FALSE),
IF($A167&lt;Nonstandard!$A$42,VLOOKUP($A167,Nonstandard!$A$31:$J$41,10,FALSE),"")))))))))))))))))))))))))))),"")</f>
        <v/>
      </c>
      <c r="I167" s="619"/>
      <c r="J167" s="281" t="str">
        <f t="shared" si="5"/>
        <v/>
      </c>
      <c r="K167" s="313" t="str">
        <f>IFERROR(IF($A167&lt;'DWV PVC'!$A$317,VLOOKUP($A167,'DWV PVC'!$A$9:$M$316,10,FALSE),
IF($A167&lt;'DWV ABS'!$A$117,VLOOKUP($A167,'DWV ABS'!$A$8:$M$116,10,FALSE),
IF($A167&lt;'PVC SCH40'!$A$425,VLOOKUP($A167,'PVC SCH40'!$A$8:$M$424,10,FALSE),
IF($A167&lt;'PVC SCH40 LD'!$A$22,VLOOKUP($A167,'PVC SCH40 LD'!$A$8:$M$21,10,FALSE),
IF($A167&lt;'Pool &amp; SPA Sweep Elbows'!$A$12,VLOOKUP($A167,'Pool &amp; SPA Sweep Elbows'!$A$8:$M$11,10,FALSE),
IF($A167&lt;'Pool &amp; SPA Pipe Extender'!$A$11,VLOOKUP($A167,'Pool &amp; SPA Pipe Extender'!$A$8:$M$10,10,FALSE),
IF($A167&lt;'PVC SCH80'!$A$250,VLOOKUP($A167,'PVC SCH80'!$A$8:$M$249,10,FALSE),
IF($A167&lt;'PVC SCH80 Flange'!$A$49,VLOOKUP($A167,'PVC SCH80 Flange'!$A$8:$M$48,10,FALSE),
IF($A167&lt;'PVC SCH80 LD Flange'!$A$17,VLOOKUP($A167,'PVC SCH80 LD Flange'!$A$8:$M$16,10,FALSE),
IF($A167&lt;CPVC!$A$105,VLOOKUP($A167,CPVC!$A$9:$M$104,10,FALSE),
IF($A167&lt;InsertFittings!$A$185,VLOOKUP($A167,InsertFittings!$A$9:$M$184,10,FALSE),
IF($A167&lt;Valves!$A$92,VLOOKUP($A167,Valves!$A$9:$Q$91,14,FALSE),
IF($A167&lt;SDR35SW!$A$133,VLOOKUP($A167,SDR35SW!$A$9:$M$132,10,FALSE),
IF($A167&lt;SDR35G!$A$151,VLOOKUP($A167,SDR35G!$A$9:$M$150,10,FALSE),
IF($A167&lt;SDR26G!$A$67,VLOOKUP($A167,SDR26G!$A$9:$N$66,11,FALSE),
IF($A167&lt;Cements!$A$95,VLOOKUP($A167,Cements!$A$8:$Q$94,14,FALSE),
IF($A167&lt;ValveBox!$A$124,VLOOKUP($A167,ValveBox!$A$9:$O$123,12,FALSE),
IF($A167&lt;'ValveBox Components'!$A$142,VLOOKUP($A167,'ValveBox Components'!$A$9:$N$141,11,FALSE),
IF($A167&lt;Drainage!$A$69,VLOOKUP($A167,Drainage!$A$8:$M$68,10,FALSE),
IF($A167&lt;Nipples!$A$82,VLOOKUP($A167,Nipples!$A$9:$Q$81,14,FALSE),
IF($A167&lt;Manifold!$A$33,VLOOKUP($A167,Manifold!$A$9:$M$32,10,FALSE),
IF($A167&lt;FlexibleRepairCouplings!$A$12,VLOOKUP($A167,FlexibleRepairCouplings!$A$9:$M$11,10,FALSE),
IF($A167&lt;DuraFix!$A$15,VLOOKUP($A167,DuraFix!$A$9:$M$14,10,FALSE),
IF($A167&lt;'Compression Fittings'!$A$16,VLOOKUP($A167,'Compression Fittings'!$A$8:$M$15,10,FALSE),
IF($A167&lt;'Hose Fittings'!$A$30,VLOOKUP($A167,'Hose Fittings'!$A$8:$M$29,10,FALSE),
IF($A167&lt;'Swing Joints'!$A$495,VLOOKUP($A167,'Swing Joints'!$A$9:$M$494,10,FALSE),
IF($A167&lt;'Swing Joints Components'!$A$135,VLOOKUP($A167,'Swing Joints Components'!$A$9:$M$134,10,FALSE),
IF($A167&lt;Nonstandard!$A$42,VLOOKUP($A167,Nonstandard!$A$31:$J$41,10,FALSE),"")))))))))))))))))))))))))))),"")</f>
        <v/>
      </c>
      <c r="L167" s="314" t="str">
        <f t="shared" si="4"/>
        <v>-</v>
      </c>
      <c r="M167" s="315"/>
    </row>
    <row r="168" spans="1:13" ht="15.6">
      <c r="A168" s="536">
        <v>136</v>
      </c>
      <c r="B168" s="536" t="str">
        <f>IFERROR(IF($A168&lt;'DWV PVC'!$A$317,VLOOKUP($A168,'DWV PVC'!$A$9:$M$316,4,FALSE),
IF($A168&lt;'DWV ABS'!$A$117,VLOOKUP($A168,'DWV ABS'!$A$8:$M$116,4,FALSE),
IF($A168&lt;'PVC SCH40'!$A$425,VLOOKUP($A168,'PVC SCH40'!$A$8:$M$424,4,FALSE),
IF($A168&lt;'PVC SCH40 LD'!$A$22,VLOOKUP($A168,'PVC SCH40 LD'!$A$8:$M$21,4,FALSE),
IF($A168&lt;'Pool &amp; SPA Sweep Elbows'!$A$12,VLOOKUP($A168,'Pool &amp; SPA Sweep Elbows'!$A$8:$M$11,4,FALSE),
IF($A168&lt;'Pool &amp; SPA Pipe Extender'!$A$11,VLOOKUP($A168,'Pool &amp; SPA Pipe Extender'!$A$8:$M$10,4,FALSE),
IF($A168&lt;'PVC SCH80'!$A$250,VLOOKUP($A168,'PVC SCH80'!$A$8:$M$249,4,FALSE),
IF($A168&lt;'PVC SCH80 Flange'!$A$49,VLOOKUP($A168,'PVC SCH80 Flange'!$A$8:$M$48,4,FALSE),
IF($A168&lt;'PVC SCH80 LD Flange'!$A$17,VLOOKUP($A168,'PVC SCH80 LD Flange'!$A$8:$M$16,4,FALSE),
IF($A168&lt;CPVC!$A$105,VLOOKUP($A168,CPVC!$A$9:$M$104,4,FALSE),
IF($A168&lt;InsertFittings!$A$185,VLOOKUP($A168,InsertFittings!$A$9:$M$184,4,FALSE),
IF($A168&lt;Valves!$A$92,VLOOKUP($A168,Valves!$A$9:$Q$91,4,FALSE),
IF($A168&lt;SDR35SW!$A$133,VLOOKUP($A168,SDR35SW!$A$9:$M$132,4,FALSE),
IF($A168&lt;SDR35G!$A$151,VLOOKUP($A168,SDR35G!$A$9:$M$150,4,FALSE),
IF($A168&lt;SDR26G!$A$67,VLOOKUP($A168,SDR26G!$A$9:$N$66,5,FALSE),
IF($A168&lt;Cements!$A$95,VLOOKUP($A168,Cements!$A$8:$Q$94,4,FALSE),
IF($A168&lt;ValveBox!$A$124,VLOOKUP($A168,ValveBox!$A$9:$O$123,4,FALSE),
IF($A168&lt;'ValveBox Components'!$A$142,VLOOKUP($A168,'ValveBox Components'!$A$9:$N$141,4,FALSE),
IF($A168&lt;Drainage!$A$69,VLOOKUP($A168,Drainage!$A$8:$M$68,4,FALSE),
IF($A168&lt;Nipples!$A$82,VLOOKUP($A168,Nipples!$A$9:$Q$81,4,FALSE),
IF($A168&lt;Manifold!$A$33,VLOOKUP($A168,Manifold!$A$9:$M$32,4,FALSE),
IF($A168&lt;FlexibleRepairCouplings!$A$12,VLOOKUP($A168,FlexibleRepairCouplings!$A$9:$M$11,4,FALSE),
IF($A168&lt;DuraFix!$A$15,VLOOKUP($A168,DuraFix!$A$9:$M$14,4,FALSE),
IF($A168&lt;'Compression Fittings'!$A$16,VLOOKUP($A168,'Compression Fittings'!$A$8:$M$15,4,FALSE),
IF($A168&lt;'Hose Fittings'!$A$30,VLOOKUP($A168,'Hose Fittings'!$A$8:$M$29,4,FALSE),
IF($A168&lt;'Swing Joints'!$A$495,VLOOKUP($A168,'Swing Joints'!$A$9:$M$494,4,FALSE),
IF($A168&lt;'Swing Joints Components'!$A$135,VLOOKUP($A168,'Swing Joints Components'!$A$9:$M$134,4,FALSE),
IF($A168&lt;Nonstandard!$A$42,VLOOKUP($A168,Nonstandard!$A$31:$J$41,5,FALSE),"")))))))))))))))))))))))))))),"")</f>
        <v/>
      </c>
      <c r="C168" s="536" t="str">
        <f>IFERROR(IF($A168&lt;'DWV PVC'!$A$317,VLOOKUP($A168,'DWV PVC'!$A$9:$M$316,5,FALSE),
IF($A168&lt;'DWV ABS'!$A$117,VLOOKUP($A168,'DWV ABS'!$A$8:$M$116,5,FALSE),
IF($A168&lt;'PVC SCH40'!$A$425,VLOOKUP($A168,'PVC SCH40'!$A$8:$M$424,5,FALSE),
IF($A168&lt;'PVC SCH40 LD'!$A$22,VLOOKUP($A168,'PVC SCH40 LD'!$A$8:$M$21,5,FALSE),
IF($A168&lt;'Pool &amp; SPA Sweep Elbows'!$A$12,VLOOKUP($A168,'Pool &amp; SPA Sweep Elbows'!$A$8:$M$11,5,FALSE),
IF($A168&lt;'Pool &amp; SPA Pipe Extender'!$A$11,VLOOKUP($A168,'Pool &amp; SPA Pipe Extender'!$A$8:$M$10,5,FALSE),
IF($A168&lt;'PVC SCH80'!$A$250,VLOOKUP($A168,'PVC SCH80'!$A$8:$M$249,5,FALSE),
IF($A168&lt;'PVC SCH80 Flange'!$A$49,VLOOKUP($A168,'PVC SCH80 Flange'!$A$8:$M$48,5,FALSE),
IF($A168&lt;'PVC SCH80 LD Flange'!$A$17,VLOOKUP($A168,'PVC SCH80 LD Flange'!$A$8:$M$16,5,FALSE),
IF($A168&lt;CPVC!$A$105,VLOOKUP($A168,CPVC!$A$9:$M$104,5,FALSE),
IF($A168&lt;InsertFittings!$A$185,VLOOKUP($A168,InsertFittings!$A$9:$M$184,5,FALSE),
IF($A168&lt;Valves!$A$92,VLOOKUP($A168,Valves!$A$9:$Q$91,5,FALSE),
IF($A168&lt;SDR35SW!$A$133,VLOOKUP($A168,SDR35SW!$A$9:$M$132,5,FALSE),
IF($A168&lt;SDR35G!$A$151,VLOOKUP($A168,SDR35G!$A$9:$M$150,5,FALSE),
IF($A168&lt;SDR26G!$A$67,VLOOKUP($A168,SDR26G!$A$9:$N$66,6,FALSE),
IF($A168&lt;Cements!$A$95,VLOOKUP($A168,Cements!$A$8:$Q$94,5,FALSE),
IF($A168&lt;ValveBox!$A$124,VLOOKUP($A168,ValveBox!$A$9:$O$123,5,FALSE),
IF($A168&lt;'ValveBox Components'!$A$142,VLOOKUP($A168,'ValveBox Components'!$A$9:$N$141,5,FALSE),
IF($A168&lt;Drainage!$A$69,VLOOKUP($A168,Drainage!$A$8:$M$68,5,FALSE),
IF($A168&lt;Nipples!$A$82,VLOOKUP($A168,Nipples!$A$9:$Q$81,5,FALSE),
IF($A168&lt;Manifold!$A$33,VLOOKUP($A168,Manifold!$A$9:$M$32,5,FALSE),
IF($A168&lt;FlexibleRepairCouplings!$A$12,VLOOKUP($A168,FlexibleRepairCouplings!$A$9:$M$11,5,FALSE),
IF($A168&lt;DuraFix!$A$15,VLOOKUP($A168,DuraFix!$A$9:$M$14,5,FALSE),
IF($A168&lt;'Compression Fittings'!$A$16,VLOOKUP($A168,'Compression Fittings'!$A$8:$M$15,5,FALSE),
IF($A168&lt;'Hose Fittings'!$A$30,VLOOKUP($A168,'Hose Fittings'!$A$8:$M$29,5,FALSE),
IF($A168&lt;'Swing Joints'!$A$495,VLOOKUP($A168,'Swing Joints'!$A$9:$M$494,5,FALSE),
IF($A168&lt;'Swing Joints Components'!$A$135,VLOOKUP($A168,'Swing Joints Components'!$A$9:$M$134,5,FALSE),
IF($A168&lt;Nonstandard!$A$42,VLOOKUP($A168,Nonstandard!$A$31:$J$41,6,FALSE),"")))))))))))))))))))))))))))),"")</f>
        <v/>
      </c>
      <c r="D168" s="537" t="str">
        <f>IFERROR(IF($A168&lt;'DWV PVC'!$A$317,VLOOKUP($A168,'DWV PVC'!$A$9:$M$316,6,FALSE),
IF($A168&lt;'DWV ABS'!$A$117,VLOOKUP($A168,'DWV ABS'!$A$8:$M$116,6,FALSE),
IF($A168&lt;'PVC SCH40'!$A$425,VLOOKUP($A168,'PVC SCH40'!$A$8:$M$424,6,FALSE),
IF($A168&lt;'PVC SCH40 LD'!$A$22,VLOOKUP($A168,'PVC SCH40 LD'!$A$8:$M$21,6,FALSE),
IF($A168&lt;'Pool &amp; SPA Sweep Elbows'!$A$12,VLOOKUP($A168,'Pool &amp; SPA Sweep Elbows'!$A$8:$M$11,6,FALSE),
IF($A168&lt;'Pool &amp; SPA Pipe Extender'!$A$11,VLOOKUP($A168,'Pool &amp; SPA Pipe Extender'!$A$8:$M$10,6,FALSE),
IF($A168&lt;'PVC SCH80'!$A$250,VLOOKUP($A168,'PVC SCH80'!$A$8:$M$249,6,FALSE),
IF($A168&lt;'PVC SCH80 Flange'!$A$49,VLOOKUP($A168,'PVC SCH80 Flange'!$A$8:$M$48,6,FALSE),
IF($A168&lt;'PVC SCH80 LD Flange'!$A$17,VLOOKUP($A168,'PVC SCH80 LD Flange'!$A$8:$M$16,6,FALSE),
IF($A168&lt;CPVC!$A$105,VLOOKUP($A168,CPVC!$A$9:$M$104,6,FALSE),
IF($A168&lt;InsertFittings!$A$185,VLOOKUP($A168,InsertFittings!$A$9:$M$184,6,FALSE),
IF($A168&lt;Valves!$A$92,VLOOKUP($A168,Valves!$A$9:$Q$91,6,FALSE),
IF($A168&lt;SDR35SW!$A$133,VLOOKUP($A168,SDR35SW!$A$9:$M$132,6,FALSE),
IF($A168&lt;SDR35G!$A$151,VLOOKUP($A168,SDR35G!$A$9:$M$150,6,FALSE),
IF($A168&lt;SDR26G!$A$67,VLOOKUP($A168,SDR26G!$A$9:$N$66,7,FALSE),
IF($A168&lt;Cements!$A$95,VLOOKUP($A168,Cements!$A$8:$Q$94,6,FALSE),
IF($A168&lt;ValveBox!$A$124,VLOOKUP($A168,ValveBox!$A$9:$O$123,6,FALSE),
IF($A168&lt;'ValveBox Components'!$A$142,VLOOKUP($A168,'ValveBox Components'!$A$9:$N$141,6,FALSE),
IF($A168&lt;Drainage!$A$69,VLOOKUP($A168,Drainage!$A$8:$M$68,6,FALSE),
IF($A168&lt;Nipples!$A$82,VLOOKUP($A168,Nipples!$A$9:$Q$81,6,FALSE),
IF($A168&lt;Manifold!$A$33,VLOOKUP($A168,Manifold!$A$9:$M$32,6,FALSE),
IF($A168&lt;FlexibleRepairCouplings!$A$12,VLOOKUP($A168,FlexibleRepairCouplings!$A$9:$M$11,6,FALSE),
IF($A168&lt;DuraFix!$A$15,VLOOKUP($A168,DuraFix!$A$9:$M$14,6,FALSE),
IF($A168&lt;'Compression Fittings'!$A$16,VLOOKUP($A168,'Compression Fittings'!$A$8:$M$15,6,FALSE),
IF($A168&lt;'Hose Fittings'!$A$30,VLOOKUP($A168,'Hose Fittings'!$A$8:$M$29,6,FALSE),
IF($A168&lt;'Swing Joints'!$A$495,VLOOKUP($A168,'Swing Joints'!$A$9:$M$494,6,FALSE),
IF($A168&lt;'Swing Joints Components'!$A$135,VLOOKUP($A168,'Swing Joints Components'!$A$9:$M$134,6,FALSE),
IF($A168&lt;Nonstandard!$A$42,VLOOKUP($A168,Nonstandard!$A$31:$J$41,7,FALSE),"")))))))))))))))))))))))))))),"")</f>
        <v/>
      </c>
      <c r="E168" s="538"/>
      <c r="F168" s="539" t="str">
        <f>IFERROR(IF($A168&lt;'DWV PVC'!$A$317,VLOOKUP($A168,'DWV PVC'!$A$9:$M$316,9,FALSE),
IF($A168&lt;'DWV ABS'!$A$117,VLOOKUP($A168,'DWV ABS'!$A$8:$M$116,9,FALSE),                                                                                                                                                                                                                                                     IF($A168&lt;'PVC SCH40'!$A$425,VLOOKUP($A168,'PVC SCH40'!$A$8:$M$424,9,FALSE),
IF($A168&lt;'PVC SCH40 LD'!$A$22,VLOOKUP($A168,'PVC SCH40 LD'!$A$8:$M$21,9,FALSE),
IF($A168&lt;'Pool &amp; SPA Sweep Elbows'!$A$12,VLOOKUP($A168,'Pool &amp; SPA Sweep Elbows'!$A$8:$M$11,9,FALSE),
IF($A168&lt;'Pool &amp; SPA Pipe Extender'!$A$11,VLOOKUP($A168,'Pool &amp; SPA Pipe Extender'!$A$8:$M$10,9,FALSE),
IF($A168&lt;'PVC SCH80'!$A$250,VLOOKUP($A168,'PVC SCH80'!$A$8:$M$249,9,FALSE),
IF($A168&lt;'PVC SCH80 Flange'!$A$49,VLOOKUP($A168,'PVC SCH80 Flange'!$A$8:$M$48,9,FALSE),
IF($A168&lt;'PVC SCH80 LD Flange'!$A$17,VLOOKUP($A168,'PVC SCH80 LD Flange'!$A$8:$M$16,9,FALSE),
IF($A168&lt;CPVC!$A$105,VLOOKUP($A168,CPVC!$A$9:$M$104,9,FALSE),
IF($A168&lt;InsertFittings!$A$185,VLOOKUP($A168,InsertFittings!$A$9:$M$184,9,FALSE),
IF($A168&lt;Valves!$A$92,VLOOKUP($A168,Valves!$A$9:$Q$91,13,FALSE),
IF($A168&lt;SDR35SW!$A$133,VLOOKUP($A168,SDR35SW!$A$9:$M$132,9,FALSE),
IF($A168&lt;SDR35G!$A$151,VLOOKUP($A168,SDR35G!$A$9:$M$150,9,FALSE),                                                                                                                                                                                                                                                          IF($A168&lt;SDR26G!$A$67,VLOOKUP($A168,SDR26G!$A$9:$N$66,10,FALSE),                                                                                                                                                                                                                                                       IF($A168&lt;Cements!$A$95,VLOOKUP($A168,Cements!$A$8:$Q$94,13,FALSE),
IF($A168&lt;ValveBox!$A$124,VLOOKUP($A168,ValveBox!$A$9:$O$123,11,FALSE),
IF($A168&lt;'ValveBox Components'!$A$142,VLOOKUP($A168,'ValveBox Components'!$A$9:$N$141,10,FALSE),
IF($A168&lt;Drainage!$A$69,VLOOKUP($A168,Drainage!$A$8:$M$68,9,FALSE),                                                                                                                                                                                                                                                              IF($A168&lt;Nipples!$A$82,VLOOKUP($A168,Nipples!$A$9:$Q$81,13,FALSE),
IF($A168&lt;Manifold!$A$33,VLOOKUP($A168,Manifold!$A$9:$M$32,9,FALSE),
IF($A168&lt;FlexibleRepairCouplings!$A$12,VLOOKUP($A168,FlexibleRepairCouplings!$A$9:$M$11,9,FALSE),
IF($A168&lt;DuraFix!$A$15,VLOOKUP($A168,DuraFix!$A$9:$M$14,9,FALSE),                                                                                                                                                                                                                                                          IF($A168&lt;'Compression Fittings'!$A$16,VLOOKUP($A168,'Compression Fittings'!$A$8:$M$15,9,FALSE),
IF($A168&lt;'Hose Fittings'!$A$30,VLOOKUP($A168,'Hose Fittings'!$A$8:$M$29,9,FALSE),
IF($A168&lt;'Swing Joints'!$A$495,VLOOKUP($A168,'Swing Joints'!$A$9:$M$494,9,FALSE),
IF($A168&lt;'Swing Joints Components'!$A$135,VLOOKUP($A168,'Swing Joints Components'!$A$9:$M$134,9,FALSE),
IF($A168&lt;Nonstandard!$A$42,VLOOKUP($A168,Nonstandard!$A$31:$J$41,8,FALSE),"")))))))))))))))))))))))))))),"")</f>
        <v/>
      </c>
      <c r="G168" s="540" t="str">
        <f>IFERROR(IF($A168&lt;'DWV PVC'!$A$317,VLOOKUP($A168,'DWV PVC'!$A$9:$M$316,11,FALSE),
IF($A168&lt;'DWV ABS'!$A$117,VLOOKUP($A168,'DWV ABS'!$A$8:$M$116,11,FALSE),                                                                                                                                                                                                                                                     IF($A168&lt;'PVC SCH40'!$A$425,VLOOKUP($A168,'PVC SCH40'!$A$8:$M$424,11,FALSE),
IF($A168&lt;'PVC SCH40 LD'!$A$22,VLOOKUP($A168,'PVC SCH40 LD'!$A$8:$M$21,11,FALSE),
IF($A168&lt;'Pool &amp; SPA Sweep Elbows'!$A$12,VLOOKUP($A168,'Pool &amp; SPA Sweep Elbows'!$A$8:$M$11,11,FALSE),
IF($A168&lt;'Pool &amp; SPA Pipe Extender'!$A$11,VLOOKUP($A168,'Pool &amp; SPA Pipe Extender'!$A$8:$M$10,11,FALSE),
IF($A168&lt;'PVC SCH80'!$A$250,VLOOKUP($A168,'PVC SCH80'!$A$8:$M$249,11,FALSE),
IF($A168&lt;'PVC SCH80 Flange'!$A$49,VLOOKUP($A168,'PVC SCH80 Flange'!$A$8:$M$48,11,FALSE),
IF($A168&lt;'PVC SCH80 LD Flange'!$A$17,VLOOKUP($A168,'PVC SCH80 LD Flange'!$A$8:$M$16,11,FALSE),
IF($A168&lt;CPVC!$A$105,VLOOKUP($A168,CPVC!$A$9:$M$104,11,FALSE),
IF($A168&lt;InsertFittings!$A$185,VLOOKUP($A168,InsertFittings!$A$9:$M$184,11,FALSE),
IF($A168&lt;Valves!$A$92,VLOOKUP($A168,Valves!$A$9:$Q$91,15,FALSE),
IF($A168&lt;SDR35SW!$A$133,VLOOKUP($A168,SDR35SW!$A$9:$M$132,11,FALSE),
IF($A168&lt;SDR35G!$A$151,VLOOKUP($A168,SDR35G!$A$9:$M$150,11,FALSE),                                                                                                                                                                                                                                                          IF($A168&lt;SDR26G!$A$67,VLOOKUP($A168,SDR26G!$A$9:$N$66,12,FALSE),                                                                                                                                                                                                                                                       IF($A168&lt;Cements!$A$95,VLOOKUP($A168,Cements!$A$8:$Q$94,15,FALSE),
IF($A168&lt;ValveBox!$A$124,VLOOKUP($A168,ValveBox!$A$9:$O$123,13,FALSE),
IF($A168&lt;'ValveBox Components'!$A$142,VLOOKUP($A168,'ValveBox Components'!$A$9:$N$141,12,FALSE),
IF($A168&lt;Drainage!$A$69,VLOOKUP($A168,Drainage!$A$8:$M$68,11,FALSE),                                                                                                                                                                                                                                                           IF($A168&lt;Nipples!$A$82,VLOOKUP($A168,Nipples!$A$9:$Q$81,15,FALSE),
IF($A168&lt;Manifold!$A$33,VLOOKUP($A168,Manifold!$A$9:$M$32,11,FALSE),
IF($A168&lt;FlexibleRepairCouplings!$A$12,VLOOKUP($A168,FlexibleRepairCouplings!$A$9:$M$11,11,FALSE),
IF($A168&lt;DuraFix!$A$15,VLOOKUP($A168,DuraFix!$A$9:$M$14,11,FALSE),                                                                                                                                                                                                                                                            IF($A168&lt;'Compression Fittings'!$A$16,VLOOKUP($A168,'Compression Fittings'!$A$8:$M$15,11,FALSE),
IF($A168&lt;'Hose Fittings'!$A$30,VLOOKUP($A168,'Hose Fittings'!$A$8:$M$29,11,FALSE),
IF($A168&lt;'Swing Joints'!$A$495,VLOOKUP($A168,'Swing Joints'!$A$9:$M$494,11,FALSE),
IF($A168&lt;'Swing Joints Components'!$A$135,VLOOKUP($A168,'Swing Joints Components'!$A$9:$M$134,11,FALSE),
IF($A168&lt;Nonstandard!$A$42,VLOOKUP($A168,Nonstandard!$A$31:$J$41,10,FALSE),"")))))))))))))))))))))))))))),"")</f>
        <v/>
      </c>
      <c r="H168" s="620" t="str">
        <f>IFERROR(IF($A168&lt;'DWV PVC'!$A$317,VLOOKUP($A168,'DWV PVC'!$A$9:$M$316,7,FALSE),
IF($A168&lt;'DWV ABS'!$A$117,VLOOKUP($A168,'DWV ABS'!$A$8:$M$116,11,FALSE),                                                                                                                                                                                                                                                     IF($A168&lt;'PVC SCH40'!$A$425,VLOOKUP($A168,'PVC SCH40'!$A$8:$M$424,7,FALSE),
IF($A168&lt;'PVC SCH40 LD'!$A$22,VLOOKUP($A168,'PVC SCH40 LD'!$A$8:$M$21,7,FALSE),
IF($A168&lt;'Pool &amp; SPA Sweep Elbows'!$A$12,VLOOKUP($A168,'Pool &amp; SPA Sweep Elbows'!$A$8:$M$11,7,FALSE),
IF($A168&lt;'Pool &amp; SPA Pipe Extender'!$A$11,VLOOKUP($A168,'Pool &amp; SPA Pipe Extender'!$A$8:$M$10,7,FALSE),
IF($A168&lt;'PVC SCH80'!$A$250,VLOOKUP($A168,'PVC SCH80'!$A$8:$M$249,7,FALSE),
IF($A168&lt;'PVC SCH80 Flange'!$A$49,VLOOKUP($A168,'PVC SCH80 Flange'!$A$8:$M$48,7,FALSE),
IF($A168&lt;'PVC SCH80 LD Flange'!$A$17,VLOOKUP($A168,'PVC SCH80 LD Flange'!$A$8:$M$16,7,FALSE),
IF($A168&lt;CPVC!$A$105,VLOOKUP($A168,CPVC!$A$9:$M$104,7,FALSE),
IF($A168&lt;InsertFittings!$A$185,VLOOKUP($A168,InsertFittings!$A$9:$M$184,7,FALSE),
IF($A168&lt;Valves!$A$92,VLOOKUP($A168,Valves!$A$9:$Q$91,11,FALSE),
IF($A168&lt;SDR35SW!$A$133,VLOOKUP($A168,SDR35SW!$A$9:$M$132,7,FALSE),
IF($A168&lt;SDR35G!$A$151,VLOOKUP($A168,SDR35G!$A$9:$M$150,7,FALSE),                                                                                                                                                                                                                                                       IF($A168&lt;SDR26G!$A$67,VLOOKUP($A168,SDR26G!$A$9:$N$66,8,FALSE),                                                                                                                                                                                                                                                     IF($A168&lt;Cements!$A$95,VLOOKUP($A168,Cements!$A$8:$Q$94,11,FALSE),
IF($A168&lt;ValveBox!$A$124,VLOOKUP($A168,ValveBox!$A$9:$O$123,10,FALSE),
IF($A168&lt;'ValveBox Components'!$A$142,VLOOKUP($A168,'ValveBox Components'!$A$9:$N$141,9,FALSE),
IF($A168&lt;Drainage!$A$69,VLOOKUP($A168,Drainage!$A$8:$M$68,7,FALSE),                                                                                                                                                                                                                                                          IF($A168&lt;Nipples!$A$82,VLOOKUP($A168,Nipples!$A$9:$Q$81,11,FALSE),
IF($A168&lt;Manifold!$A$33,VLOOKUP($A168,Manifold!$A$9:$M$32,7,FALSE),
IF($A168&lt;FlexibleRepairCouplings!$A$12,VLOOKUP($A168,FlexibleRepairCouplings!$A$9:$M$11,7,FALSE),
IF($A168&lt;DuraFix!$A$15,VLOOKUP($A168,DuraFix!$A$9:$M$14,7,FALSE),                                                                                                                                                                                                                                                           IF($A168&lt;'Compression Fittings'!$A$16,VLOOKUP($A168,'Compression Fittings'!$A$8:$M$15,7,FALSE),
IF($A168&lt;'Hose Fittings'!$A$30,VLOOKUP($A168,'Hose Fittings'!$A$8:$M$29,7,FALSE),
IF($A168&lt;'Swing Joints'!$A$495,VLOOKUP($A168,'Swing Joints'!$A$9:$M$494,7,FALSE),
IF($A168&lt;'Swing Joints Components'!$A$135,VLOOKUP($A168,'Swing Joints Components'!$A$9:$M$134,7,FALSE),
IF($A168&lt;Nonstandard!$A$42,VLOOKUP($A168,Nonstandard!$A$31:$J$41,10,FALSE),"")))))))))))))))))))))))))))),"")</f>
        <v/>
      </c>
      <c r="I168" s="621"/>
      <c r="J168" s="541" t="str">
        <f t="shared" si="5"/>
        <v/>
      </c>
      <c r="K168" s="599" t="str">
        <f>IFERROR(IF($A168&lt;'DWV PVC'!$A$317,VLOOKUP($A168,'DWV PVC'!$A$9:$M$316,10,FALSE),
IF($A168&lt;'DWV ABS'!$A$117,VLOOKUP($A168,'DWV ABS'!$A$8:$M$116,10,FALSE),
IF($A168&lt;'PVC SCH40'!$A$425,VLOOKUP($A168,'PVC SCH40'!$A$8:$M$424,10,FALSE),
IF($A168&lt;'PVC SCH40 LD'!$A$22,VLOOKUP($A168,'PVC SCH40 LD'!$A$8:$M$21,10,FALSE),
IF($A168&lt;'Pool &amp; SPA Sweep Elbows'!$A$12,VLOOKUP($A168,'Pool &amp; SPA Sweep Elbows'!$A$8:$M$11,10,FALSE),
IF($A168&lt;'Pool &amp; SPA Pipe Extender'!$A$11,VLOOKUP($A168,'Pool &amp; SPA Pipe Extender'!$A$8:$M$10,10,FALSE),
IF($A168&lt;'PVC SCH80'!$A$250,VLOOKUP($A168,'PVC SCH80'!$A$8:$M$249,10,FALSE),
IF($A168&lt;'PVC SCH80 Flange'!$A$49,VLOOKUP($A168,'PVC SCH80 Flange'!$A$8:$M$48,10,FALSE),
IF($A168&lt;'PVC SCH80 LD Flange'!$A$17,VLOOKUP($A168,'PVC SCH80 LD Flange'!$A$8:$M$16,10,FALSE),
IF($A168&lt;CPVC!$A$105,VLOOKUP($A168,CPVC!$A$9:$M$104,10,FALSE),
IF($A168&lt;InsertFittings!$A$185,VLOOKUP($A168,InsertFittings!$A$9:$M$184,10,FALSE),
IF($A168&lt;Valves!$A$92,VLOOKUP($A168,Valves!$A$9:$Q$91,14,FALSE),
IF($A168&lt;SDR35SW!$A$133,VLOOKUP($A168,SDR35SW!$A$9:$M$132,10,FALSE),
IF($A168&lt;SDR35G!$A$151,VLOOKUP($A168,SDR35G!$A$9:$M$150,10,FALSE),
IF($A168&lt;SDR26G!$A$67,VLOOKUP($A168,SDR26G!$A$9:$N$66,11,FALSE),
IF($A168&lt;Cements!$A$95,VLOOKUP($A168,Cements!$A$8:$Q$94,14,FALSE),
IF($A168&lt;ValveBox!$A$124,VLOOKUP($A168,ValveBox!$A$9:$O$123,12,FALSE),
IF($A168&lt;'ValveBox Components'!$A$142,VLOOKUP($A168,'ValveBox Components'!$A$9:$N$141,11,FALSE),
IF($A168&lt;Drainage!$A$69,VLOOKUP($A168,Drainage!$A$8:$M$68,10,FALSE),
IF($A168&lt;Nipples!$A$82,VLOOKUP($A168,Nipples!$A$9:$Q$81,14,FALSE),
IF($A168&lt;Manifold!$A$33,VLOOKUP($A168,Manifold!$A$9:$M$32,10,FALSE),
IF($A168&lt;FlexibleRepairCouplings!$A$12,VLOOKUP($A168,FlexibleRepairCouplings!$A$9:$M$11,10,FALSE),
IF($A168&lt;DuraFix!$A$15,VLOOKUP($A168,DuraFix!$A$9:$M$14,10,FALSE),
IF($A168&lt;'Compression Fittings'!$A$16,VLOOKUP($A168,'Compression Fittings'!$A$8:$M$15,10,FALSE),
IF($A168&lt;'Hose Fittings'!$A$30,VLOOKUP($A168,'Hose Fittings'!$A$8:$M$29,10,FALSE),
IF($A168&lt;'Swing Joints'!$A$495,VLOOKUP($A168,'Swing Joints'!$A$9:$M$494,10,FALSE),
IF($A168&lt;'Swing Joints Components'!$A$135,VLOOKUP($A168,'Swing Joints Components'!$A$9:$M$134,10,FALSE),
IF($A168&lt;Nonstandard!$A$42,VLOOKUP($A168,Nonstandard!$A$31:$J$41,10,FALSE),"")))))))))))))))))))))))))))),"")</f>
        <v/>
      </c>
      <c r="L168" s="539" t="str">
        <f t="shared" si="4"/>
        <v>-</v>
      </c>
      <c r="M168" s="542"/>
    </row>
    <row r="169" spans="1:13" ht="15.6">
      <c r="A169" s="312">
        <v>137</v>
      </c>
      <c r="B169" s="312" t="str">
        <f>IFERROR(IF($A169&lt;'DWV PVC'!$A$317,VLOOKUP($A169,'DWV PVC'!$A$9:$M$316,4,FALSE),
IF($A169&lt;'DWV ABS'!$A$117,VLOOKUP($A169,'DWV ABS'!$A$8:$M$116,4,FALSE),
IF($A169&lt;'PVC SCH40'!$A$425,VLOOKUP($A169,'PVC SCH40'!$A$8:$M$424,4,FALSE),
IF($A169&lt;'PVC SCH40 LD'!$A$22,VLOOKUP($A169,'PVC SCH40 LD'!$A$8:$M$21,4,FALSE),
IF($A169&lt;'Pool &amp; SPA Sweep Elbows'!$A$12,VLOOKUP($A169,'Pool &amp; SPA Sweep Elbows'!$A$8:$M$11,4,FALSE),
IF($A169&lt;'Pool &amp; SPA Pipe Extender'!$A$11,VLOOKUP($A169,'Pool &amp; SPA Pipe Extender'!$A$8:$M$10,4,FALSE),
IF($A169&lt;'PVC SCH80'!$A$250,VLOOKUP($A169,'PVC SCH80'!$A$8:$M$249,4,FALSE),
IF($A169&lt;'PVC SCH80 Flange'!$A$49,VLOOKUP($A169,'PVC SCH80 Flange'!$A$8:$M$48,4,FALSE),
IF($A169&lt;'PVC SCH80 LD Flange'!$A$17,VLOOKUP($A169,'PVC SCH80 LD Flange'!$A$8:$M$16,4,FALSE),
IF($A169&lt;CPVC!$A$105,VLOOKUP($A169,CPVC!$A$9:$M$104,4,FALSE),
IF($A169&lt;InsertFittings!$A$185,VLOOKUP($A169,InsertFittings!$A$9:$M$184,4,FALSE),
IF($A169&lt;Valves!$A$92,VLOOKUP($A169,Valves!$A$9:$Q$91,4,FALSE),
IF($A169&lt;SDR35SW!$A$133,VLOOKUP($A169,SDR35SW!$A$9:$M$132,4,FALSE),
IF($A169&lt;SDR35G!$A$151,VLOOKUP($A169,SDR35G!$A$9:$M$150,4,FALSE),
IF($A169&lt;SDR26G!$A$67,VLOOKUP($A169,SDR26G!$A$9:$N$66,5,FALSE),
IF($A169&lt;Cements!$A$95,VLOOKUP($A169,Cements!$A$8:$Q$94,4,FALSE),
IF($A169&lt;ValveBox!$A$124,VLOOKUP($A169,ValveBox!$A$9:$O$123,4,FALSE),
IF($A169&lt;'ValveBox Components'!$A$142,VLOOKUP($A169,'ValveBox Components'!$A$9:$N$141,4,FALSE),
IF($A169&lt;Drainage!$A$69,VLOOKUP($A169,Drainage!$A$8:$M$68,4,FALSE),
IF($A169&lt;Nipples!$A$82,VLOOKUP($A169,Nipples!$A$9:$Q$81,4,FALSE),
IF($A169&lt;Manifold!$A$33,VLOOKUP($A169,Manifold!$A$9:$M$32,4,FALSE),
IF($A169&lt;FlexibleRepairCouplings!$A$12,VLOOKUP($A169,FlexibleRepairCouplings!$A$9:$M$11,4,FALSE),
IF($A169&lt;DuraFix!$A$15,VLOOKUP($A169,DuraFix!$A$9:$M$14,4,FALSE),
IF($A169&lt;'Compression Fittings'!$A$16,VLOOKUP($A169,'Compression Fittings'!$A$8:$M$15,4,FALSE),
IF($A169&lt;'Hose Fittings'!$A$30,VLOOKUP($A169,'Hose Fittings'!$A$8:$M$29,4,FALSE),
IF($A169&lt;'Swing Joints'!$A$495,VLOOKUP($A169,'Swing Joints'!$A$9:$M$494,4,FALSE),
IF($A169&lt;'Swing Joints Components'!$A$135,VLOOKUP($A169,'Swing Joints Components'!$A$9:$M$134,4,FALSE),
IF($A169&lt;Nonstandard!$A$42,VLOOKUP($A169,Nonstandard!$A$31:$J$41,5,FALSE),"")))))))))))))))))))))))))))),"")</f>
        <v/>
      </c>
      <c r="C169" s="312" t="str">
        <f>IFERROR(IF($A169&lt;'DWV PVC'!$A$317,VLOOKUP($A169,'DWV PVC'!$A$9:$M$316,5,FALSE),
IF($A169&lt;'DWV ABS'!$A$117,VLOOKUP($A169,'DWV ABS'!$A$8:$M$116,5,FALSE),
IF($A169&lt;'PVC SCH40'!$A$425,VLOOKUP($A169,'PVC SCH40'!$A$8:$M$424,5,FALSE),
IF($A169&lt;'PVC SCH40 LD'!$A$22,VLOOKUP($A169,'PVC SCH40 LD'!$A$8:$M$21,5,FALSE),
IF($A169&lt;'Pool &amp; SPA Sweep Elbows'!$A$12,VLOOKUP($A169,'Pool &amp; SPA Sweep Elbows'!$A$8:$M$11,5,FALSE),
IF($A169&lt;'Pool &amp; SPA Pipe Extender'!$A$11,VLOOKUP($A169,'Pool &amp; SPA Pipe Extender'!$A$8:$M$10,5,FALSE),
IF($A169&lt;'PVC SCH80'!$A$250,VLOOKUP($A169,'PVC SCH80'!$A$8:$M$249,5,FALSE),
IF($A169&lt;'PVC SCH80 Flange'!$A$49,VLOOKUP($A169,'PVC SCH80 Flange'!$A$8:$M$48,5,FALSE),
IF($A169&lt;'PVC SCH80 LD Flange'!$A$17,VLOOKUP($A169,'PVC SCH80 LD Flange'!$A$8:$M$16,5,FALSE),
IF($A169&lt;CPVC!$A$105,VLOOKUP($A169,CPVC!$A$9:$M$104,5,FALSE),
IF($A169&lt;InsertFittings!$A$185,VLOOKUP($A169,InsertFittings!$A$9:$M$184,5,FALSE),
IF($A169&lt;Valves!$A$92,VLOOKUP($A169,Valves!$A$9:$Q$91,5,FALSE),
IF($A169&lt;SDR35SW!$A$133,VLOOKUP($A169,SDR35SW!$A$9:$M$132,5,FALSE),
IF($A169&lt;SDR35G!$A$151,VLOOKUP($A169,SDR35G!$A$9:$M$150,5,FALSE),
IF($A169&lt;SDR26G!$A$67,VLOOKUP($A169,SDR26G!$A$9:$N$66,6,FALSE),
IF($A169&lt;Cements!$A$95,VLOOKUP($A169,Cements!$A$8:$Q$94,5,FALSE),
IF($A169&lt;ValveBox!$A$124,VLOOKUP($A169,ValveBox!$A$9:$O$123,5,FALSE),
IF($A169&lt;'ValveBox Components'!$A$142,VLOOKUP($A169,'ValveBox Components'!$A$9:$N$141,5,FALSE),
IF($A169&lt;Drainage!$A$69,VLOOKUP($A169,Drainage!$A$8:$M$68,5,FALSE),
IF($A169&lt;Nipples!$A$82,VLOOKUP($A169,Nipples!$A$9:$Q$81,5,FALSE),
IF($A169&lt;Manifold!$A$33,VLOOKUP($A169,Manifold!$A$9:$M$32,5,FALSE),
IF($A169&lt;FlexibleRepairCouplings!$A$12,VLOOKUP($A169,FlexibleRepairCouplings!$A$9:$M$11,5,FALSE),
IF($A169&lt;DuraFix!$A$15,VLOOKUP($A169,DuraFix!$A$9:$M$14,5,FALSE),
IF($A169&lt;'Compression Fittings'!$A$16,VLOOKUP($A169,'Compression Fittings'!$A$8:$M$15,5,FALSE),
IF($A169&lt;'Hose Fittings'!$A$30,VLOOKUP($A169,'Hose Fittings'!$A$8:$M$29,5,FALSE),
IF($A169&lt;'Swing Joints'!$A$495,VLOOKUP($A169,'Swing Joints'!$A$9:$M$494,5,FALSE),
IF($A169&lt;'Swing Joints Components'!$A$135,VLOOKUP($A169,'Swing Joints Components'!$A$9:$M$134,5,FALSE),
IF($A169&lt;Nonstandard!$A$42,VLOOKUP($A169,Nonstandard!$A$31:$J$41,6,FALSE),"")))))))))))))))))))))))))))),"")</f>
        <v/>
      </c>
      <c r="D169" s="534" t="str">
        <f>IFERROR(IF($A169&lt;'DWV PVC'!$A$317,VLOOKUP($A169,'DWV PVC'!$A$9:$M$316,6,FALSE),
IF($A169&lt;'DWV ABS'!$A$117,VLOOKUP($A169,'DWV ABS'!$A$8:$M$116,6,FALSE),
IF($A169&lt;'PVC SCH40'!$A$425,VLOOKUP($A169,'PVC SCH40'!$A$8:$M$424,6,FALSE),
IF($A169&lt;'PVC SCH40 LD'!$A$22,VLOOKUP($A169,'PVC SCH40 LD'!$A$8:$M$21,6,FALSE),
IF($A169&lt;'Pool &amp; SPA Sweep Elbows'!$A$12,VLOOKUP($A169,'Pool &amp; SPA Sweep Elbows'!$A$8:$M$11,6,FALSE),
IF($A169&lt;'Pool &amp; SPA Pipe Extender'!$A$11,VLOOKUP($A169,'Pool &amp; SPA Pipe Extender'!$A$8:$M$10,6,FALSE),
IF($A169&lt;'PVC SCH80'!$A$250,VLOOKUP($A169,'PVC SCH80'!$A$8:$M$249,6,FALSE),
IF($A169&lt;'PVC SCH80 Flange'!$A$49,VLOOKUP($A169,'PVC SCH80 Flange'!$A$8:$M$48,6,FALSE),
IF($A169&lt;'PVC SCH80 LD Flange'!$A$17,VLOOKUP($A169,'PVC SCH80 LD Flange'!$A$8:$M$16,6,FALSE),
IF($A169&lt;CPVC!$A$105,VLOOKUP($A169,CPVC!$A$9:$M$104,6,FALSE),
IF($A169&lt;InsertFittings!$A$185,VLOOKUP($A169,InsertFittings!$A$9:$M$184,6,FALSE),
IF($A169&lt;Valves!$A$92,VLOOKUP($A169,Valves!$A$9:$Q$91,6,FALSE),
IF($A169&lt;SDR35SW!$A$133,VLOOKUP($A169,SDR35SW!$A$9:$M$132,6,FALSE),
IF($A169&lt;SDR35G!$A$151,VLOOKUP($A169,SDR35G!$A$9:$M$150,6,FALSE),
IF($A169&lt;SDR26G!$A$67,VLOOKUP($A169,SDR26G!$A$9:$N$66,7,FALSE),
IF($A169&lt;Cements!$A$95,VLOOKUP($A169,Cements!$A$8:$Q$94,6,FALSE),
IF($A169&lt;ValveBox!$A$124,VLOOKUP($A169,ValveBox!$A$9:$O$123,6,FALSE),
IF($A169&lt;'ValveBox Components'!$A$142,VLOOKUP($A169,'ValveBox Components'!$A$9:$N$141,6,FALSE),
IF($A169&lt;Drainage!$A$69,VLOOKUP($A169,Drainage!$A$8:$M$68,6,FALSE),
IF($A169&lt;Nipples!$A$82,VLOOKUP($A169,Nipples!$A$9:$Q$81,6,FALSE),
IF($A169&lt;Manifold!$A$33,VLOOKUP($A169,Manifold!$A$9:$M$32,6,FALSE),
IF($A169&lt;FlexibleRepairCouplings!$A$12,VLOOKUP($A169,FlexibleRepairCouplings!$A$9:$M$11,6,FALSE),
IF($A169&lt;DuraFix!$A$15,VLOOKUP($A169,DuraFix!$A$9:$M$14,6,FALSE),
IF($A169&lt;'Compression Fittings'!$A$16,VLOOKUP($A169,'Compression Fittings'!$A$8:$M$15,6,FALSE),
IF($A169&lt;'Hose Fittings'!$A$30,VLOOKUP($A169,'Hose Fittings'!$A$8:$M$29,6,FALSE),
IF($A169&lt;'Swing Joints'!$A$495,VLOOKUP($A169,'Swing Joints'!$A$9:$M$494,6,FALSE),
IF($A169&lt;'Swing Joints Components'!$A$135,VLOOKUP($A169,'Swing Joints Components'!$A$9:$M$134,6,FALSE),
IF($A169&lt;Nonstandard!$A$42,VLOOKUP($A169,Nonstandard!$A$31:$J$41,7,FALSE),"")))))))))))))))))))))))))))),"")</f>
        <v/>
      </c>
      <c r="E169" s="316"/>
      <c r="F169" s="314" t="str">
        <f>IFERROR(IF($A169&lt;'DWV PVC'!$A$317,VLOOKUP($A169,'DWV PVC'!$A$9:$M$316,9,FALSE),
IF($A169&lt;'DWV ABS'!$A$117,VLOOKUP($A169,'DWV ABS'!$A$8:$M$116,9,FALSE),                                                                                                                                                                                                                                                     IF($A169&lt;'PVC SCH40'!$A$425,VLOOKUP($A169,'PVC SCH40'!$A$8:$M$424,9,FALSE),
IF($A169&lt;'PVC SCH40 LD'!$A$22,VLOOKUP($A169,'PVC SCH40 LD'!$A$8:$M$21,9,FALSE),
IF($A169&lt;'Pool &amp; SPA Sweep Elbows'!$A$12,VLOOKUP($A169,'Pool &amp; SPA Sweep Elbows'!$A$8:$M$11,9,FALSE),
IF($A169&lt;'Pool &amp; SPA Pipe Extender'!$A$11,VLOOKUP($A169,'Pool &amp; SPA Pipe Extender'!$A$8:$M$10,9,FALSE),
IF($A169&lt;'PVC SCH80'!$A$250,VLOOKUP($A169,'PVC SCH80'!$A$8:$M$249,9,FALSE),
IF($A169&lt;'PVC SCH80 Flange'!$A$49,VLOOKUP($A169,'PVC SCH80 Flange'!$A$8:$M$48,9,FALSE),
IF($A169&lt;'PVC SCH80 LD Flange'!$A$17,VLOOKUP($A169,'PVC SCH80 LD Flange'!$A$8:$M$16,9,FALSE),
IF($A169&lt;CPVC!$A$105,VLOOKUP($A169,CPVC!$A$9:$M$104,9,FALSE),
IF($A169&lt;InsertFittings!$A$185,VLOOKUP($A169,InsertFittings!$A$9:$M$184,9,FALSE),
IF($A169&lt;Valves!$A$92,VLOOKUP($A169,Valves!$A$9:$Q$91,13,FALSE),
IF($A169&lt;SDR35SW!$A$133,VLOOKUP($A169,SDR35SW!$A$9:$M$132,9,FALSE),
IF($A169&lt;SDR35G!$A$151,VLOOKUP($A169,SDR35G!$A$9:$M$150,9,FALSE),                                                                                                                                                                                                                                                          IF($A169&lt;SDR26G!$A$67,VLOOKUP($A169,SDR26G!$A$9:$N$66,10,FALSE),                                                                                                                                                                                                                                                       IF($A169&lt;Cements!$A$95,VLOOKUP($A169,Cements!$A$8:$Q$94,13,FALSE),
IF($A169&lt;ValveBox!$A$124,VLOOKUP($A169,ValveBox!$A$9:$O$123,11,FALSE),
IF($A169&lt;'ValveBox Components'!$A$142,VLOOKUP($A169,'ValveBox Components'!$A$9:$N$141,10,FALSE),
IF($A169&lt;Drainage!$A$69,VLOOKUP($A169,Drainage!$A$8:$M$68,9,FALSE),                                                                                                                                                                                                                                                              IF($A169&lt;Nipples!$A$82,VLOOKUP($A169,Nipples!$A$9:$Q$81,13,FALSE),
IF($A169&lt;Manifold!$A$33,VLOOKUP($A169,Manifold!$A$9:$M$32,9,FALSE),
IF($A169&lt;FlexibleRepairCouplings!$A$12,VLOOKUP($A169,FlexibleRepairCouplings!$A$9:$M$11,9,FALSE),
IF($A169&lt;DuraFix!$A$15,VLOOKUP($A169,DuraFix!$A$9:$M$14,9,FALSE),                                                                                                                                                                                                                                                          IF($A169&lt;'Compression Fittings'!$A$16,VLOOKUP($A169,'Compression Fittings'!$A$8:$M$15,9,FALSE),
IF($A169&lt;'Hose Fittings'!$A$30,VLOOKUP($A169,'Hose Fittings'!$A$8:$M$29,9,FALSE),
IF($A169&lt;'Swing Joints'!$A$495,VLOOKUP($A169,'Swing Joints'!$A$9:$M$494,9,FALSE),
IF($A169&lt;'Swing Joints Components'!$A$135,VLOOKUP($A169,'Swing Joints Components'!$A$9:$M$134,9,FALSE),
IF($A169&lt;Nonstandard!$A$42,VLOOKUP($A169,Nonstandard!$A$31:$J$41,8,FALSE),"")))))))))))))))))))))))))))),"")</f>
        <v/>
      </c>
      <c r="G169" s="533" t="str">
        <f>IFERROR(IF($A169&lt;'DWV PVC'!$A$317,VLOOKUP($A169,'DWV PVC'!$A$9:$M$316,11,FALSE),
IF($A169&lt;'DWV ABS'!$A$117,VLOOKUP($A169,'DWV ABS'!$A$8:$M$116,11,FALSE),                                                                                                                                                                                                                                                     IF($A169&lt;'PVC SCH40'!$A$425,VLOOKUP($A169,'PVC SCH40'!$A$8:$M$424,11,FALSE),
IF($A169&lt;'PVC SCH40 LD'!$A$22,VLOOKUP($A169,'PVC SCH40 LD'!$A$8:$M$21,11,FALSE),
IF($A169&lt;'Pool &amp; SPA Sweep Elbows'!$A$12,VLOOKUP($A169,'Pool &amp; SPA Sweep Elbows'!$A$8:$M$11,11,FALSE),
IF($A169&lt;'Pool &amp; SPA Pipe Extender'!$A$11,VLOOKUP($A169,'Pool &amp; SPA Pipe Extender'!$A$8:$M$10,11,FALSE),
IF($A169&lt;'PVC SCH80'!$A$250,VLOOKUP($A169,'PVC SCH80'!$A$8:$M$249,11,FALSE),
IF($A169&lt;'PVC SCH80 Flange'!$A$49,VLOOKUP($A169,'PVC SCH80 Flange'!$A$8:$M$48,11,FALSE),
IF($A169&lt;'PVC SCH80 LD Flange'!$A$17,VLOOKUP($A169,'PVC SCH80 LD Flange'!$A$8:$M$16,11,FALSE),
IF($A169&lt;CPVC!$A$105,VLOOKUP($A169,CPVC!$A$9:$M$104,11,FALSE),
IF($A169&lt;InsertFittings!$A$185,VLOOKUP($A169,InsertFittings!$A$9:$M$184,11,FALSE),
IF($A169&lt;Valves!$A$92,VLOOKUP($A169,Valves!$A$9:$Q$91,15,FALSE),
IF($A169&lt;SDR35SW!$A$133,VLOOKUP($A169,SDR35SW!$A$9:$M$132,11,FALSE),
IF($A169&lt;SDR35G!$A$151,VLOOKUP($A169,SDR35G!$A$9:$M$150,11,FALSE),                                                                                                                                                                                                                                                          IF($A169&lt;SDR26G!$A$67,VLOOKUP($A169,SDR26G!$A$9:$N$66,12,FALSE),                                                                                                                                                                                                                                                       IF($A169&lt;Cements!$A$95,VLOOKUP($A169,Cements!$A$8:$Q$94,15,FALSE),
IF($A169&lt;ValveBox!$A$124,VLOOKUP($A169,ValveBox!$A$9:$O$123,13,FALSE),
IF($A169&lt;'ValveBox Components'!$A$142,VLOOKUP($A169,'ValveBox Components'!$A$9:$N$141,12,FALSE),
IF($A169&lt;Drainage!$A$69,VLOOKUP($A169,Drainage!$A$8:$M$68,11,FALSE),                                                                                                                                                                                                                                                           IF($A169&lt;Nipples!$A$82,VLOOKUP($A169,Nipples!$A$9:$Q$81,15,FALSE),
IF($A169&lt;Manifold!$A$33,VLOOKUP($A169,Manifold!$A$9:$M$32,11,FALSE),
IF($A169&lt;FlexibleRepairCouplings!$A$12,VLOOKUP($A169,FlexibleRepairCouplings!$A$9:$M$11,11,FALSE),
IF($A169&lt;DuraFix!$A$15,VLOOKUP($A169,DuraFix!$A$9:$M$14,11,FALSE),                                                                                                                                                                                                                                                            IF($A169&lt;'Compression Fittings'!$A$16,VLOOKUP($A169,'Compression Fittings'!$A$8:$M$15,11,FALSE),
IF($A169&lt;'Hose Fittings'!$A$30,VLOOKUP($A169,'Hose Fittings'!$A$8:$M$29,11,FALSE),
IF($A169&lt;'Swing Joints'!$A$495,VLOOKUP($A169,'Swing Joints'!$A$9:$M$494,11,FALSE),
IF($A169&lt;'Swing Joints Components'!$A$135,VLOOKUP($A169,'Swing Joints Components'!$A$9:$M$134,11,FALSE),
IF($A169&lt;Nonstandard!$A$42,VLOOKUP($A169,Nonstandard!$A$31:$J$41,10,FALSE),"")))))))))))))))))))))))))))),"")</f>
        <v/>
      </c>
      <c r="H169" s="618" t="str">
        <f>IFERROR(IF($A169&lt;'DWV PVC'!$A$317,VLOOKUP($A169,'DWV PVC'!$A$9:$M$316,7,FALSE),
IF($A169&lt;'DWV ABS'!$A$117,VLOOKUP($A169,'DWV ABS'!$A$8:$M$116,11,FALSE),                                                                                                                                                                                                                                                     IF($A169&lt;'PVC SCH40'!$A$425,VLOOKUP($A169,'PVC SCH40'!$A$8:$M$424,7,FALSE),
IF($A169&lt;'PVC SCH40 LD'!$A$22,VLOOKUP($A169,'PVC SCH40 LD'!$A$8:$M$21,7,FALSE),
IF($A169&lt;'Pool &amp; SPA Sweep Elbows'!$A$12,VLOOKUP($A169,'Pool &amp; SPA Sweep Elbows'!$A$8:$M$11,7,FALSE),
IF($A169&lt;'Pool &amp; SPA Pipe Extender'!$A$11,VLOOKUP($A169,'Pool &amp; SPA Pipe Extender'!$A$8:$M$10,7,FALSE),
IF($A169&lt;'PVC SCH80'!$A$250,VLOOKUP($A169,'PVC SCH80'!$A$8:$M$249,7,FALSE),
IF($A169&lt;'PVC SCH80 Flange'!$A$49,VLOOKUP($A169,'PVC SCH80 Flange'!$A$8:$M$48,7,FALSE),
IF($A169&lt;'PVC SCH80 LD Flange'!$A$17,VLOOKUP($A169,'PVC SCH80 LD Flange'!$A$8:$M$16,7,FALSE),
IF($A169&lt;CPVC!$A$105,VLOOKUP($A169,CPVC!$A$9:$M$104,7,FALSE),
IF($A169&lt;InsertFittings!$A$185,VLOOKUP($A169,InsertFittings!$A$9:$M$184,7,FALSE),
IF($A169&lt;Valves!$A$92,VLOOKUP($A169,Valves!$A$9:$Q$91,11,FALSE),
IF($A169&lt;SDR35SW!$A$133,VLOOKUP($A169,SDR35SW!$A$9:$M$132,7,FALSE),
IF($A169&lt;SDR35G!$A$151,VLOOKUP($A169,SDR35G!$A$9:$M$150,7,FALSE),                                                                                                                                                                                                                                                       IF($A169&lt;SDR26G!$A$67,VLOOKUP($A169,SDR26G!$A$9:$N$66,8,FALSE),                                                                                                                                                                                                                                                     IF($A169&lt;Cements!$A$95,VLOOKUP($A169,Cements!$A$8:$Q$94,11,FALSE),
IF($A169&lt;ValveBox!$A$124,VLOOKUP($A169,ValveBox!$A$9:$O$123,10,FALSE),
IF($A169&lt;'ValveBox Components'!$A$142,VLOOKUP($A169,'ValveBox Components'!$A$9:$N$141,9,FALSE),
IF($A169&lt;Drainage!$A$69,VLOOKUP($A169,Drainage!$A$8:$M$68,7,FALSE),                                                                                                                                                                                                                                                          IF($A169&lt;Nipples!$A$82,VLOOKUP($A169,Nipples!$A$9:$Q$81,11,FALSE),
IF($A169&lt;Manifold!$A$33,VLOOKUP($A169,Manifold!$A$9:$M$32,7,FALSE),
IF($A169&lt;FlexibleRepairCouplings!$A$12,VLOOKUP($A169,FlexibleRepairCouplings!$A$9:$M$11,7,FALSE),
IF($A169&lt;DuraFix!$A$15,VLOOKUP($A169,DuraFix!$A$9:$M$14,7,FALSE),                                                                                                                                                                                                                                                           IF($A169&lt;'Compression Fittings'!$A$16,VLOOKUP($A169,'Compression Fittings'!$A$8:$M$15,7,FALSE),
IF($A169&lt;'Hose Fittings'!$A$30,VLOOKUP($A169,'Hose Fittings'!$A$8:$M$29,7,FALSE),
IF($A169&lt;'Swing Joints'!$A$495,VLOOKUP($A169,'Swing Joints'!$A$9:$M$494,7,FALSE),
IF($A169&lt;'Swing Joints Components'!$A$135,VLOOKUP($A169,'Swing Joints Components'!$A$9:$M$134,7,FALSE),
IF($A169&lt;Nonstandard!$A$42,VLOOKUP($A169,Nonstandard!$A$31:$J$41,10,FALSE),"")))))))))))))))))))))))))))),"")</f>
        <v/>
      </c>
      <c r="I169" s="619"/>
      <c r="J169" s="281" t="str">
        <f t="shared" si="5"/>
        <v/>
      </c>
      <c r="K169" s="313" t="str">
        <f>IFERROR(IF($A169&lt;'DWV PVC'!$A$317,VLOOKUP($A169,'DWV PVC'!$A$9:$M$316,10,FALSE),
IF($A169&lt;'DWV ABS'!$A$117,VLOOKUP($A169,'DWV ABS'!$A$8:$M$116,10,FALSE),
IF($A169&lt;'PVC SCH40'!$A$425,VLOOKUP($A169,'PVC SCH40'!$A$8:$M$424,10,FALSE),
IF($A169&lt;'PVC SCH40 LD'!$A$22,VLOOKUP($A169,'PVC SCH40 LD'!$A$8:$M$21,10,FALSE),
IF($A169&lt;'Pool &amp; SPA Sweep Elbows'!$A$12,VLOOKUP($A169,'Pool &amp; SPA Sweep Elbows'!$A$8:$M$11,10,FALSE),
IF($A169&lt;'Pool &amp; SPA Pipe Extender'!$A$11,VLOOKUP($A169,'Pool &amp; SPA Pipe Extender'!$A$8:$M$10,10,FALSE),
IF($A169&lt;'PVC SCH80'!$A$250,VLOOKUP($A169,'PVC SCH80'!$A$8:$M$249,10,FALSE),
IF($A169&lt;'PVC SCH80 Flange'!$A$49,VLOOKUP($A169,'PVC SCH80 Flange'!$A$8:$M$48,10,FALSE),
IF($A169&lt;'PVC SCH80 LD Flange'!$A$17,VLOOKUP($A169,'PVC SCH80 LD Flange'!$A$8:$M$16,10,FALSE),
IF($A169&lt;CPVC!$A$105,VLOOKUP($A169,CPVC!$A$9:$M$104,10,FALSE),
IF($A169&lt;InsertFittings!$A$185,VLOOKUP($A169,InsertFittings!$A$9:$M$184,10,FALSE),
IF($A169&lt;Valves!$A$92,VLOOKUP($A169,Valves!$A$9:$Q$91,14,FALSE),
IF($A169&lt;SDR35SW!$A$133,VLOOKUP($A169,SDR35SW!$A$9:$M$132,10,FALSE),
IF($A169&lt;SDR35G!$A$151,VLOOKUP($A169,SDR35G!$A$9:$M$150,10,FALSE),
IF($A169&lt;SDR26G!$A$67,VLOOKUP($A169,SDR26G!$A$9:$N$66,11,FALSE),
IF($A169&lt;Cements!$A$95,VLOOKUP($A169,Cements!$A$8:$Q$94,14,FALSE),
IF($A169&lt;ValveBox!$A$124,VLOOKUP($A169,ValveBox!$A$9:$O$123,12,FALSE),
IF($A169&lt;'ValveBox Components'!$A$142,VLOOKUP($A169,'ValveBox Components'!$A$9:$N$141,11,FALSE),
IF($A169&lt;Drainage!$A$69,VLOOKUP($A169,Drainage!$A$8:$M$68,10,FALSE),
IF($A169&lt;Nipples!$A$82,VLOOKUP($A169,Nipples!$A$9:$Q$81,14,FALSE),
IF($A169&lt;Manifold!$A$33,VLOOKUP($A169,Manifold!$A$9:$M$32,10,FALSE),
IF($A169&lt;FlexibleRepairCouplings!$A$12,VLOOKUP($A169,FlexibleRepairCouplings!$A$9:$M$11,10,FALSE),
IF($A169&lt;DuraFix!$A$15,VLOOKUP($A169,DuraFix!$A$9:$M$14,10,FALSE),
IF($A169&lt;'Compression Fittings'!$A$16,VLOOKUP($A169,'Compression Fittings'!$A$8:$M$15,10,FALSE),
IF($A169&lt;'Hose Fittings'!$A$30,VLOOKUP($A169,'Hose Fittings'!$A$8:$M$29,10,FALSE),
IF($A169&lt;'Swing Joints'!$A$495,VLOOKUP($A169,'Swing Joints'!$A$9:$M$494,10,FALSE),
IF($A169&lt;'Swing Joints Components'!$A$135,VLOOKUP($A169,'Swing Joints Components'!$A$9:$M$134,10,FALSE),
IF($A169&lt;Nonstandard!$A$42,VLOOKUP($A169,Nonstandard!$A$31:$J$41,10,FALSE),"")))))))))))))))))))))))))))),"")</f>
        <v/>
      </c>
      <c r="L169" s="314" t="str">
        <f t="shared" si="4"/>
        <v>-</v>
      </c>
      <c r="M169" s="315"/>
    </row>
    <row r="170" spans="1:13" ht="15.6">
      <c r="A170" s="536">
        <v>138</v>
      </c>
      <c r="B170" s="536" t="str">
        <f>IFERROR(IF($A170&lt;'DWV PVC'!$A$317,VLOOKUP($A170,'DWV PVC'!$A$9:$M$316,4,FALSE),
IF($A170&lt;'DWV ABS'!$A$117,VLOOKUP($A170,'DWV ABS'!$A$8:$M$116,4,FALSE),
IF($A170&lt;'PVC SCH40'!$A$425,VLOOKUP($A170,'PVC SCH40'!$A$8:$M$424,4,FALSE),
IF($A170&lt;'PVC SCH40 LD'!$A$22,VLOOKUP($A170,'PVC SCH40 LD'!$A$8:$M$21,4,FALSE),
IF($A170&lt;'Pool &amp; SPA Sweep Elbows'!$A$12,VLOOKUP($A170,'Pool &amp; SPA Sweep Elbows'!$A$8:$M$11,4,FALSE),
IF($A170&lt;'Pool &amp; SPA Pipe Extender'!$A$11,VLOOKUP($A170,'Pool &amp; SPA Pipe Extender'!$A$8:$M$10,4,FALSE),
IF($A170&lt;'PVC SCH80'!$A$250,VLOOKUP($A170,'PVC SCH80'!$A$8:$M$249,4,FALSE),
IF($A170&lt;'PVC SCH80 Flange'!$A$49,VLOOKUP($A170,'PVC SCH80 Flange'!$A$8:$M$48,4,FALSE),
IF($A170&lt;'PVC SCH80 LD Flange'!$A$17,VLOOKUP($A170,'PVC SCH80 LD Flange'!$A$8:$M$16,4,FALSE),
IF($A170&lt;CPVC!$A$105,VLOOKUP($A170,CPVC!$A$9:$M$104,4,FALSE),
IF($A170&lt;InsertFittings!$A$185,VLOOKUP($A170,InsertFittings!$A$9:$M$184,4,FALSE),
IF($A170&lt;Valves!$A$92,VLOOKUP($A170,Valves!$A$9:$Q$91,4,FALSE),
IF($A170&lt;SDR35SW!$A$133,VLOOKUP($A170,SDR35SW!$A$9:$M$132,4,FALSE),
IF($A170&lt;SDR35G!$A$151,VLOOKUP($A170,SDR35G!$A$9:$M$150,4,FALSE),
IF($A170&lt;SDR26G!$A$67,VLOOKUP($A170,SDR26G!$A$9:$N$66,5,FALSE),
IF($A170&lt;Cements!$A$95,VLOOKUP($A170,Cements!$A$8:$Q$94,4,FALSE),
IF($A170&lt;ValveBox!$A$124,VLOOKUP($A170,ValveBox!$A$9:$O$123,4,FALSE),
IF($A170&lt;'ValveBox Components'!$A$142,VLOOKUP($A170,'ValveBox Components'!$A$9:$N$141,4,FALSE),
IF($A170&lt;Drainage!$A$69,VLOOKUP($A170,Drainage!$A$8:$M$68,4,FALSE),
IF($A170&lt;Nipples!$A$82,VLOOKUP($A170,Nipples!$A$9:$Q$81,4,FALSE),
IF($A170&lt;Manifold!$A$33,VLOOKUP($A170,Manifold!$A$9:$M$32,4,FALSE),
IF($A170&lt;FlexibleRepairCouplings!$A$12,VLOOKUP($A170,FlexibleRepairCouplings!$A$9:$M$11,4,FALSE),
IF($A170&lt;DuraFix!$A$15,VLOOKUP($A170,DuraFix!$A$9:$M$14,4,FALSE),
IF($A170&lt;'Compression Fittings'!$A$16,VLOOKUP($A170,'Compression Fittings'!$A$8:$M$15,4,FALSE),
IF($A170&lt;'Hose Fittings'!$A$30,VLOOKUP($A170,'Hose Fittings'!$A$8:$M$29,4,FALSE),
IF($A170&lt;'Swing Joints'!$A$495,VLOOKUP($A170,'Swing Joints'!$A$9:$M$494,4,FALSE),
IF($A170&lt;'Swing Joints Components'!$A$135,VLOOKUP($A170,'Swing Joints Components'!$A$9:$M$134,4,FALSE),
IF($A170&lt;Nonstandard!$A$42,VLOOKUP($A170,Nonstandard!$A$31:$J$41,5,FALSE),"")))))))))))))))))))))))))))),"")</f>
        <v/>
      </c>
      <c r="C170" s="536" t="str">
        <f>IFERROR(IF($A170&lt;'DWV PVC'!$A$317,VLOOKUP($A170,'DWV PVC'!$A$9:$M$316,5,FALSE),
IF($A170&lt;'DWV ABS'!$A$117,VLOOKUP($A170,'DWV ABS'!$A$8:$M$116,5,FALSE),
IF($A170&lt;'PVC SCH40'!$A$425,VLOOKUP($A170,'PVC SCH40'!$A$8:$M$424,5,FALSE),
IF($A170&lt;'PVC SCH40 LD'!$A$22,VLOOKUP($A170,'PVC SCH40 LD'!$A$8:$M$21,5,FALSE),
IF($A170&lt;'Pool &amp; SPA Sweep Elbows'!$A$12,VLOOKUP($A170,'Pool &amp; SPA Sweep Elbows'!$A$8:$M$11,5,FALSE),
IF($A170&lt;'Pool &amp; SPA Pipe Extender'!$A$11,VLOOKUP($A170,'Pool &amp; SPA Pipe Extender'!$A$8:$M$10,5,FALSE),
IF($A170&lt;'PVC SCH80'!$A$250,VLOOKUP($A170,'PVC SCH80'!$A$8:$M$249,5,FALSE),
IF($A170&lt;'PVC SCH80 Flange'!$A$49,VLOOKUP($A170,'PVC SCH80 Flange'!$A$8:$M$48,5,FALSE),
IF($A170&lt;'PVC SCH80 LD Flange'!$A$17,VLOOKUP($A170,'PVC SCH80 LD Flange'!$A$8:$M$16,5,FALSE),
IF($A170&lt;CPVC!$A$105,VLOOKUP($A170,CPVC!$A$9:$M$104,5,FALSE),
IF($A170&lt;InsertFittings!$A$185,VLOOKUP($A170,InsertFittings!$A$9:$M$184,5,FALSE),
IF($A170&lt;Valves!$A$92,VLOOKUP($A170,Valves!$A$9:$Q$91,5,FALSE),
IF($A170&lt;SDR35SW!$A$133,VLOOKUP($A170,SDR35SW!$A$9:$M$132,5,FALSE),
IF($A170&lt;SDR35G!$A$151,VLOOKUP($A170,SDR35G!$A$9:$M$150,5,FALSE),
IF($A170&lt;SDR26G!$A$67,VLOOKUP($A170,SDR26G!$A$9:$N$66,6,FALSE),
IF($A170&lt;Cements!$A$95,VLOOKUP($A170,Cements!$A$8:$Q$94,5,FALSE),
IF($A170&lt;ValveBox!$A$124,VLOOKUP($A170,ValveBox!$A$9:$O$123,5,FALSE),
IF($A170&lt;'ValveBox Components'!$A$142,VLOOKUP($A170,'ValveBox Components'!$A$9:$N$141,5,FALSE),
IF($A170&lt;Drainage!$A$69,VLOOKUP($A170,Drainage!$A$8:$M$68,5,FALSE),
IF($A170&lt;Nipples!$A$82,VLOOKUP($A170,Nipples!$A$9:$Q$81,5,FALSE),
IF($A170&lt;Manifold!$A$33,VLOOKUP($A170,Manifold!$A$9:$M$32,5,FALSE),
IF($A170&lt;FlexibleRepairCouplings!$A$12,VLOOKUP($A170,FlexibleRepairCouplings!$A$9:$M$11,5,FALSE),
IF($A170&lt;DuraFix!$A$15,VLOOKUP($A170,DuraFix!$A$9:$M$14,5,FALSE),
IF($A170&lt;'Compression Fittings'!$A$16,VLOOKUP($A170,'Compression Fittings'!$A$8:$M$15,5,FALSE),
IF($A170&lt;'Hose Fittings'!$A$30,VLOOKUP($A170,'Hose Fittings'!$A$8:$M$29,5,FALSE),
IF($A170&lt;'Swing Joints'!$A$495,VLOOKUP($A170,'Swing Joints'!$A$9:$M$494,5,FALSE),
IF($A170&lt;'Swing Joints Components'!$A$135,VLOOKUP($A170,'Swing Joints Components'!$A$9:$M$134,5,FALSE),
IF($A170&lt;Nonstandard!$A$42,VLOOKUP($A170,Nonstandard!$A$31:$J$41,6,FALSE),"")))))))))))))))))))))))))))),"")</f>
        <v/>
      </c>
      <c r="D170" s="537" t="str">
        <f>IFERROR(IF($A170&lt;'DWV PVC'!$A$317,VLOOKUP($A170,'DWV PVC'!$A$9:$M$316,6,FALSE),
IF($A170&lt;'DWV ABS'!$A$117,VLOOKUP($A170,'DWV ABS'!$A$8:$M$116,6,FALSE),
IF($A170&lt;'PVC SCH40'!$A$425,VLOOKUP($A170,'PVC SCH40'!$A$8:$M$424,6,FALSE),
IF($A170&lt;'PVC SCH40 LD'!$A$22,VLOOKUP($A170,'PVC SCH40 LD'!$A$8:$M$21,6,FALSE),
IF($A170&lt;'Pool &amp; SPA Sweep Elbows'!$A$12,VLOOKUP($A170,'Pool &amp; SPA Sweep Elbows'!$A$8:$M$11,6,FALSE),
IF($A170&lt;'Pool &amp; SPA Pipe Extender'!$A$11,VLOOKUP($A170,'Pool &amp; SPA Pipe Extender'!$A$8:$M$10,6,FALSE),
IF($A170&lt;'PVC SCH80'!$A$250,VLOOKUP($A170,'PVC SCH80'!$A$8:$M$249,6,FALSE),
IF($A170&lt;'PVC SCH80 Flange'!$A$49,VLOOKUP($A170,'PVC SCH80 Flange'!$A$8:$M$48,6,FALSE),
IF($A170&lt;'PVC SCH80 LD Flange'!$A$17,VLOOKUP($A170,'PVC SCH80 LD Flange'!$A$8:$M$16,6,FALSE),
IF($A170&lt;CPVC!$A$105,VLOOKUP($A170,CPVC!$A$9:$M$104,6,FALSE),
IF($A170&lt;InsertFittings!$A$185,VLOOKUP($A170,InsertFittings!$A$9:$M$184,6,FALSE),
IF($A170&lt;Valves!$A$92,VLOOKUP($A170,Valves!$A$9:$Q$91,6,FALSE),
IF($A170&lt;SDR35SW!$A$133,VLOOKUP($A170,SDR35SW!$A$9:$M$132,6,FALSE),
IF($A170&lt;SDR35G!$A$151,VLOOKUP($A170,SDR35G!$A$9:$M$150,6,FALSE),
IF($A170&lt;SDR26G!$A$67,VLOOKUP($A170,SDR26G!$A$9:$N$66,7,FALSE),
IF($A170&lt;Cements!$A$95,VLOOKUP($A170,Cements!$A$8:$Q$94,6,FALSE),
IF($A170&lt;ValveBox!$A$124,VLOOKUP($A170,ValveBox!$A$9:$O$123,6,FALSE),
IF($A170&lt;'ValveBox Components'!$A$142,VLOOKUP($A170,'ValveBox Components'!$A$9:$N$141,6,FALSE),
IF($A170&lt;Drainage!$A$69,VLOOKUP($A170,Drainage!$A$8:$M$68,6,FALSE),
IF($A170&lt;Nipples!$A$82,VLOOKUP($A170,Nipples!$A$9:$Q$81,6,FALSE),
IF($A170&lt;Manifold!$A$33,VLOOKUP($A170,Manifold!$A$9:$M$32,6,FALSE),
IF($A170&lt;FlexibleRepairCouplings!$A$12,VLOOKUP($A170,FlexibleRepairCouplings!$A$9:$M$11,6,FALSE),
IF($A170&lt;DuraFix!$A$15,VLOOKUP($A170,DuraFix!$A$9:$M$14,6,FALSE),
IF($A170&lt;'Compression Fittings'!$A$16,VLOOKUP($A170,'Compression Fittings'!$A$8:$M$15,6,FALSE),
IF($A170&lt;'Hose Fittings'!$A$30,VLOOKUP($A170,'Hose Fittings'!$A$8:$M$29,6,FALSE),
IF($A170&lt;'Swing Joints'!$A$495,VLOOKUP($A170,'Swing Joints'!$A$9:$M$494,6,FALSE),
IF($A170&lt;'Swing Joints Components'!$A$135,VLOOKUP($A170,'Swing Joints Components'!$A$9:$M$134,6,FALSE),
IF($A170&lt;Nonstandard!$A$42,VLOOKUP($A170,Nonstandard!$A$31:$J$41,7,FALSE),"")))))))))))))))))))))))))))),"")</f>
        <v/>
      </c>
      <c r="E170" s="538"/>
      <c r="F170" s="539" t="str">
        <f>IFERROR(IF($A170&lt;'DWV PVC'!$A$317,VLOOKUP($A170,'DWV PVC'!$A$9:$M$316,9,FALSE),
IF($A170&lt;'DWV ABS'!$A$117,VLOOKUP($A170,'DWV ABS'!$A$8:$M$116,9,FALSE),                                                                                                                                                                                                                                                     IF($A170&lt;'PVC SCH40'!$A$425,VLOOKUP($A170,'PVC SCH40'!$A$8:$M$424,9,FALSE),
IF($A170&lt;'PVC SCH40 LD'!$A$22,VLOOKUP($A170,'PVC SCH40 LD'!$A$8:$M$21,9,FALSE),
IF($A170&lt;'Pool &amp; SPA Sweep Elbows'!$A$12,VLOOKUP($A170,'Pool &amp; SPA Sweep Elbows'!$A$8:$M$11,9,FALSE),
IF($A170&lt;'Pool &amp; SPA Pipe Extender'!$A$11,VLOOKUP($A170,'Pool &amp; SPA Pipe Extender'!$A$8:$M$10,9,FALSE),
IF($A170&lt;'PVC SCH80'!$A$250,VLOOKUP($A170,'PVC SCH80'!$A$8:$M$249,9,FALSE),
IF($A170&lt;'PVC SCH80 Flange'!$A$49,VLOOKUP($A170,'PVC SCH80 Flange'!$A$8:$M$48,9,FALSE),
IF($A170&lt;'PVC SCH80 LD Flange'!$A$17,VLOOKUP($A170,'PVC SCH80 LD Flange'!$A$8:$M$16,9,FALSE),
IF($A170&lt;CPVC!$A$105,VLOOKUP($A170,CPVC!$A$9:$M$104,9,FALSE),
IF($A170&lt;InsertFittings!$A$185,VLOOKUP($A170,InsertFittings!$A$9:$M$184,9,FALSE),
IF($A170&lt;Valves!$A$92,VLOOKUP($A170,Valves!$A$9:$Q$91,13,FALSE),
IF($A170&lt;SDR35SW!$A$133,VLOOKUP($A170,SDR35SW!$A$9:$M$132,9,FALSE),
IF($A170&lt;SDR35G!$A$151,VLOOKUP($A170,SDR35G!$A$9:$M$150,9,FALSE),                                                                                                                                                                                                                                                          IF($A170&lt;SDR26G!$A$67,VLOOKUP($A170,SDR26G!$A$9:$N$66,10,FALSE),                                                                                                                                                                                                                                                       IF($A170&lt;Cements!$A$95,VLOOKUP($A170,Cements!$A$8:$Q$94,13,FALSE),
IF($A170&lt;ValveBox!$A$124,VLOOKUP($A170,ValveBox!$A$9:$O$123,11,FALSE),
IF($A170&lt;'ValveBox Components'!$A$142,VLOOKUP($A170,'ValveBox Components'!$A$9:$N$141,10,FALSE),
IF($A170&lt;Drainage!$A$69,VLOOKUP($A170,Drainage!$A$8:$M$68,9,FALSE),                                                                                                                                                                                                                                                              IF($A170&lt;Nipples!$A$82,VLOOKUP($A170,Nipples!$A$9:$Q$81,13,FALSE),
IF($A170&lt;Manifold!$A$33,VLOOKUP($A170,Manifold!$A$9:$M$32,9,FALSE),
IF($A170&lt;FlexibleRepairCouplings!$A$12,VLOOKUP($A170,FlexibleRepairCouplings!$A$9:$M$11,9,FALSE),
IF($A170&lt;DuraFix!$A$15,VLOOKUP($A170,DuraFix!$A$9:$M$14,9,FALSE),                                                                                                                                                                                                                                                          IF($A170&lt;'Compression Fittings'!$A$16,VLOOKUP($A170,'Compression Fittings'!$A$8:$M$15,9,FALSE),
IF($A170&lt;'Hose Fittings'!$A$30,VLOOKUP($A170,'Hose Fittings'!$A$8:$M$29,9,FALSE),
IF($A170&lt;'Swing Joints'!$A$495,VLOOKUP($A170,'Swing Joints'!$A$9:$M$494,9,FALSE),
IF($A170&lt;'Swing Joints Components'!$A$135,VLOOKUP($A170,'Swing Joints Components'!$A$9:$M$134,9,FALSE),
IF($A170&lt;Nonstandard!$A$42,VLOOKUP($A170,Nonstandard!$A$31:$J$41,8,FALSE),"")))))))))))))))))))))))))))),"")</f>
        <v/>
      </c>
      <c r="G170" s="540" t="str">
        <f>IFERROR(IF($A170&lt;'DWV PVC'!$A$317,VLOOKUP($A170,'DWV PVC'!$A$9:$M$316,11,FALSE),
IF($A170&lt;'DWV ABS'!$A$117,VLOOKUP($A170,'DWV ABS'!$A$8:$M$116,11,FALSE),                                                                                                                                                                                                                                                     IF($A170&lt;'PVC SCH40'!$A$425,VLOOKUP($A170,'PVC SCH40'!$A$8:$M$424,11,FALSE),
IF($A170&lt;'PVC SCH40 LD'!$A$22,VLOOKUP($A170,'PVC SCH40 LD'!$A$8:$M$21,11,FALSE),
IF($A170&lt;'Pool &amp; SPA Sweep Elbows'!$A$12,VLOOKUP($A170,'Pool &amp; SPA Sweep Elbows'!$A$8:$M$11,11,FALSE),
IF($A170&lt;'Pool &amp; SPA Pipe Extender'!$A$11,VLOOKUP($A170,'Pool &amp; SPA Pipe Extender'!$A$8:$M$10,11,FALSE),
IF($A170&lt;'PVC SCH80'!$A$250,VLOOKUP($A170,'PVC SCH80'!$A$8:$M$249,11,FALSE),
IF($A170&lt;'PVC SCH80 Flange'!$A$49,VLOOKUP($A170,'PVC SCH80 Flange'!$A$8:$M$48,11,FALSE),
IF($A170&lt;'PVC SCH80 LD Flange'!$A$17,VLOOKUP($A170,'PVC SCH80 LD Flange'!$A$8:$M$16,11,FALSE),
IF($A170&lt;CPVC!$A$105,VLOOKUP($A170,CPVC!$A$9:$M$104,11,FALSE),
IF($A170&lt;InsertFittings!$A$185,VLOOKUP($A170,InsertFittings!$A$9:$M$184,11,FALSE),
IF($A170&lt;Valves!$A$92,VLOOKUP($A170,Valves!$A$9:$Q$91,15,FALSE),
IF($A170&lt;SDR35SW!$A$133,VLOOKUP($A170,SDR35SW!$A$9:$M$132,11,FALSE),
IF($A170&lt;SDR35G!$A$151,VLOOKUP($A170,SDR35G!$A$9:$M$150,11,FALSE),                                                                                                                                                                                                                                                          IF($A170&lt;SDR26G!$A$67,VLOOKUP($A170,SDR26G!$A$9:$N$66,12,FALSE),                                                                                                                                                                                                                                                       IF($A170&lt;Cements!$A$95,VLOOKUP($A170,Cements!$A$8:$Q$94,15,FALSE),
IF($A170&lt;ValveBox!$A$124,VLOOKUP($A170,ValveBox!$A$9:$O$123,13,FALSE),
IF($A170&lt;'ValveBox Components'!$A$142,VLOOKUP($A170,'ValveBox Components'!$A$9:$N$141,12,FALSE),
IF($A170&lt;Drainage!$A$69,VLOOKUP($A170,Drainage!$A$8:$M$68,11,FALSE),                                                                                                                                                                                                                                                           IF($A170&lt;Nipples!$A$82,VLOOKUP($A170,Nipples!$A$9:$Q$81,15,FALSE),
IF($A170&lt;Manifold!$A$33,VLOOKUP($A170,Manifold!$A$9:$M$32,11,FALSE),
IF($A170&lt;FlexibleRepairCouplings!$A$12,VLOOKUP($A170,FlexibleRepairCouplings!$A$9:$M$11,11,FALSE),
IF($A170&lt;DuraFix!$A$15,VLOOKUP($A170,DuraFix!$A$9:$M$14,11,FALSE),                                                                                                                                                                                                                                                            IF($A170&lt;'Compression Fittings'!$A$16,VLOOKUP($A170,'Compression Fittings'!$A$8:$M$15,11,FALSE),
IF($A170&lt;'Hose Fittings'!$A$30,VLOOKUP($A170,'Hose Fittings'!$A$8:$M$29,11,FALSE),
IF($A170&lt;'Swing Joints'!$A$495,VLOOKUP($A170,'Swing Joints'!$A$9:$M$494,11,FALSE),
IF($A170&lt;'Swing Joints Components'!$A$135,VLOOKUP($A170,'Swing Joints Components'!$A$9:$M$134,11,FALSE),
IF($A170&lt;Nonstandard!$A$42,VLOOKUP($A170,Nonstandard!$A$31:$J$41,10,FALSE),"")))))))))))))))))))))))))))),"")</f>
        <v/>
      </c>
      <c r="H170" s="620" t="str">
        <f>IFERROR(IF($A170&lt;'DWV PVC'!$A$317,VLOOKUP($A170,'DWV PVC'!$A$9:$M$316,7,FALSE),
IF($A170&lt;'DWV ABS'!$A$117,VLOOKUP($A170,'DWV ABS'!$A$8:$M$116,11,FALSE),                                                                                                                                                                                                                                                     IF($A170&lt;'PVC SCH40'!$A$425,VLOOKUP($A170,'PVC SCH40'!$A$8:$M$424,7,FALSE),
IF($A170&lt;'PVC SCH40 LD'!$A$22,VLOOKUP($A170,'PVC SCH40 LD'!$A$8:$M$21,7,FALSE),
IF($A170&lt;'Pool &amp; SPA Sweep Elbows'!$A$12,VLOOKUP($A170,'Pool &amp; SPA Sweep Elbows'!$A$8:$M$11,7,FALSE),
IF($A170&lt;'Pool &amp; SPA Pipe Extender'!$A$11,VLOOKUP($A170,'Pool &amp; SPA Pipe Extender'!$A$8:$M$10,7,FALSE),
IF($A170&lt;'PVC SCH80'!$A$250,VLOOKUP($A170,'PVC SCH80'!$A$8:$M$249,7,FALSE),
IF($A170&lt;'PVC SCH80 Flange'!$A$49,VLOOKUP($A170,'PVC SCH80 Flange'!$A$8:$M$48,7,FALSE),
IF($A170&lt;'PVC SCH80 LD Flange'!$A$17,VLOOKUP($A170,'PVC SCH80 LD Flange'!$A$8:$M$16,7,FALSE),
IF($A170&lt;CPVC!$A$105,VLOOKUP($A170,CPVC!$A$9:$M$104,7,FALSE),
IF($A170&lt;InsertFittings!$A$185,VLOOKUP($A170,InsertFittings!$A$9:$M$184,7,FALSE),
IF($A170&lt;Valves!$A$92,VLOOKUP($A170,Valves!$A$9:$Q$91,11,FALSE),
IF($A170&lt;SDR35SW!$A$133,VLOOKUP($A170,SDR35SW!$A$9:$M$132,7,FALSE),
IF($A170&lt;SDR35G!$A$151,VLOOKUP($A170,SDR35G!$A$9:$M$150,7,FALSE),                                                                                                                                                                                                                                                       IF($A170&lt;SDR26G!$A$67,VLOOKUP($A170,SDR26G!$A$9:$N$66,8,FALSE),                                                                                                                                                                                                                                                     IF($A170&lt;Cements!$A$95,VLOOKUP($A170,Cements!$A$8:$Q$94,11,FALSE),
IF($A170&lt;ValveBox!$A$124,VLOOKUP($A170,ValveBox!$A$9:$O$123,10,FALSE),
IF($A170&lt;'ValveBox Components'!$A$142,VLOOKUP($A170,'ValveBox Components'!$A$9:$N$141,9,FALSE),
IF($A170&lt;Drainage!$A$69,VLOOKUP($A170,Drainage!$A$8:$M$68,7,FALSE),                                                                                                                                                                                                                                                          IF($A170&lt;Nipples!$A$82,VLOOKUP($A170,Nipples!$A$9:$Q$81,11,FALSE),
IF($A170&lt;Manifold!$A$33,VLOOKUP($A170,Manifold!$A$9:$M$32,7,FALSE),
IF($A170&lt;FlexibleRepairCouplings!$A$12,VLOOKUP($A170,FlexibleRepairCouplings!$A$9:$M$11,7,FALSE),
IF($A170&lt;DuraFix!$A$15,VLOOKUP($A170,DuraFix!$A$9:$M$14,7,FALSE),                                                                                                                                                                                                                                                           IF($A170&lt;'Compression Fittings'!$A$16,VLOOKUP($A170,'Compression Fittings'!$A$8:$M$15,7,FALSE),
IF($A170&lt;'Hose Fittings'!$A$30,VLOOKUP($A170,'Hose Fittings'!$A$8:$M$29,7,FALSE),
IF($A170&lt;'Swing Joints'!$A$495,VLOOKUP($A170,'Swing Joints'!$A$9:$M$494,7,FALSE),
IF($A170&lt;'Swing Joints Components'!$A$135,VLOOKUP($A170,'Swing Joints Components'!$A$9:$M$134,7,FALSE),
IF($A170&lt;Nonstandard!$A$42,VLOOKUP($A170,Nonstandard!$A$31:$J$41,10,FALSE),"")))))))))))))))))))))))))))),"")</f>
        <v/>
      </c>
      <c r="I170" s="621"/>
      <c r="J170" s="541" t="str">
        <f t="shared" si="5"/>
        <v/>
      </c>
      <c r="K170" s="599" t="str">
        <f>IFERROR(IF($A170&lt;'DWV PVC'!$A$317,VLOOKUP($A170,'DWV PVC'!$A$9:$M$316,10,FALSE),
IF($A170&lt;'DWV ABS'!$A$117,VLOOKUP($A170,'DWV ABS'!$A$8:$M$116,10,FALSE),
IF($A170&lt;'PVC SCH40'!$A$425,VLOOKUP($A170,'PVC SCH40'!$A$8:$M$424,10,FALSE),
IF($A170&lt;'PVC SCH40 LD'!$A$22,VLOOKUP($A170,'PVC SCH40 LD'!$A$8:$M$21,10,FALSE),
IF($A170&lt;'Pool &amp; SPA Sweep Elbows'!$A$12,VLOOKUP($A170,'Pool &amp; SPA Sweep Elbows'!$A$8:$M$11,10,FALSE),
IF($A170&lt;'Pool &amp; SPA Pipe Extender'!$A$11,VLOOKUP($A170,'Pool &amp; SPA Pipe Extender'!$A$8:$M$10,10,FALSE),
IF($A170&lt;'PVC SCH80'!$A$250,VLOOKUP($A170,'PVC SCH80'!$A$8:$M$249,10,FALSE),
IF($A170&lt;'PVC SCH80 Flange'!$A$49,VLOOKUP($A170,'PVC SCH80 Flange'!$A$8:$M$48,10,FALSE),
IF($A170&lt;'PVC SCH80 LD Flange'!$A$17,VLOOKUP($A170,'PVC SCH80 LD Flange'!$A$8:$M$16,10,FALSE),
IF($A170&lt;CPVC!$A$105,VLOOKUP($A170,CPVC!$A$9:$M$104,10,FALSE),
IF($A170&lt;InsertFittings!$A$185,VLOOKUP($A170,InsertFittings!$A$9:$M$184,10,FALSE),
IF($A170&lt;Valves!$A$92,VLOOKUP($A170,Valves!$A$9:$Q$91,14,FALSE),
IF($A170&lt;SDR35SW!$A$133,VLOOKUP($A170,SDR35SW!$A$9:$M$132,10,FALSE),
IF($A170&lt;SDR35G!$A$151,VLOOKUP($A170,SDR35G!$A$9:$M$150,10,FALSE),
IF($A170&lt;SDR26G!$A$67,VLOOKUP($A170,SDR26G!$A$9:$N$66,11,FALSE),
IF($A170&lt;Cements!$A$95,VLOOKUP($A170,Cements!$A$8:$Q$94,14,FALSE),
IF($A170&lt;ValveBox!$A$124,VLOOKUP($A170,ValveBox!$A$9:$O$123,12,FALSE),
IF($A170&lt;'ValveBox Components'!$A$142,VLOOKUP($A170,'ValveBox Components'!$A$9:$N$141,11,FALSE),
IF($A170&lt;Drainage!$A$69,VLOOKUP($A170,Drainage!$A$8:$M$68,10,FALSE),
IF($A170&lt;Nipples!$A$82,VLOOKUP($A170,Nipples!$A$9:$Q$81,14,FALSE),
IF($A170&lt;Manifold!$A$33,VLOOKUP($A170,Manifold!$A$9:$M$32,10,FALSE),
IF($A170&lt;FlexibleRepairCouplings!$A$12,VLOOKUP($A170,FlexibleRepairCouplings!$A$9:$M$11,10,FALSE),
IF($A170&lt;DuraFix!$A$15,VLOOKUP($A170,DuraFix!$A$9:$M$14,10,FALSE),
IF($A170&lt;'Compression Fittings'!$A$16,VLOOKUP($A170,'Compression Fittings'!$A$8:$M$15,10,FALSE),
IF($A170&lt;'Hose Fittings'!$A$30,VLOOKUP($A170,'Hose Fittings'!$A$8:$M$29,10,FALSE),
IF($A170&lt;'Swing Joints'!$A$495,VLOOKUP($A170,'Swing Joints'!$A$9:$M$494,10,FALSE),
IF($A170&lt;'Swing Joints Components'!$A$135,VLOOKUP($A170,'Swing Joints Components'!$A$9:$M$134,10,FALSE),
IF($A170&lt;Nonstandard!$A$42,VLOOKUP($A170,Nonstandard!$A$31:$J$41,10,FALSE),"")))))))))))))))))))))))))))),"")</f>
        <v/>
      </c>
      <c r="L170" s="539" t="str">
        <f t="shared" si="4"/>
        <v>-</v>
      </c>
      <c r="M170" s="542"/>
    </row>
    <row r="171" spans="1:13" ht="15.6">
      <c r="A171" s="312">
        <v>139</v>
      </c>
      <c r="B171" s="312" t="str">
        <f>IFERROR(IF($A171&lt;'DWV PVC'!$A$317,VLOOKUP($A171,'DWV PVC'!$A$9:$M$316,4,FALSE),
IF($A171&lt;'DWV ABS'!$A$117,VLOOKUP($A171,'DWV ABS'!$A$8:$M$116,4,FALSE),
IF($A171&lt;'PVC SCH40'!$A$425,VLOOKUP($A171,'PVC SCH40'!$A$8:$M$424,4,FALSE),
IF($A171&lt;'PVC SCH40 LD'!$A$22,VLOOKUP($A171,'PVC SCH40 LD'!$A$8:$M$21,4,FALSE),
IF($A171&lt;'Pool &amp; SPA Sweep Elbows'!$A$12,VLOOKUP($A171,'Pool &amp; SPA Sweep Elbows'!$A$8:$M$11,4,FALSE),
IF($A171&lt;'Pool &amp; SPA Pipe Extender'!$A$11,VLOOKUP($A171,'Pool &amp; SPA Pipe Extender'!$A$8:$M$10,4,FALSE),
IF($A171&lt;'PVC SCH80'!$A$250,VLOOKUP($A171,'PVC SCH80'!$A$8:$M$249,4,FALSE),
IF($A171&lt;'PVC SCH80 Flange'!$A$49,VLOOKUP($A171,'PVC SCH80 Flange'!$A$8:$M$48,4,FALSE),
IF($A171&lt;'PVC SCH80 LD Flange'!$A$17,VLOOKUP($A171,'PVC SCH80 LD Flange'!$A$8:$M$16,4,FALSE),
IF($A171&lt;CPVC!$A$105,VLOOKUP($A171,CPVC!$A$9:$M$104,4,FALSE),
IF($A171&lt;InsertFittings!$A$185,VLOOKUP($A171,InsertFittings!$A$9:$M$184,4,FALSE),
IF($A171&lt;Valves!$A$92,VLOOKUP($A171,Valves!$A$9:$Q$91,4,FALSE),
IF($A171&lt;SDR35SW!$A$133,VLOOKUP($A171,SDR35SW!$A$9:$M$132,4,FALSE),
IF($A171&lt;SDR35G!$A$151,VLOOKUP($A171,SDR35G!$A$9:$M$150,4,FALSE),
IF($A171&lt;SDR26G!$A$67,VLOOKUP($A171,SDR26G!$A$9:$N$66,5,FALSE),
IF($A171&lt;Cements!$A$95,VLOOKUP($A171,Cements!$A$8:$Q$94,4,FALSE),
IF($A171&lt;ValveBox!$A$124,VLOOKUP($A171,ValveBox!$A$9:$O$123,4,FALSE),
IF($A171&lt;'ValveBox Components'!$A$142,VLOOKUP($A171,'ValveBox Components'!$A$9:$N$141,4,FALSE),
IF($A171&lt;Drainage!$A$69,VLOOKUP($A171,Drainage!$A$8:$M$68,4,FALSE),
IF($A171&lt;Nipples!$A$82,VLOOKUP($A171,Nipples!$A$9:$Q$81,4,FALSE),
IF($A171&lt;Manifold!$A$33,VLOOKUP($A171,Manifold!$A$9:$M$32,4,FALSE),
IF($A171&lt;FlexibleRepairCouplings!$A$12,VLOOKUP($A171,FlexibleRepairCouplings!$A$9:$M$11,4,FALSE),
IF($A171&lt;DuraFix!$A$15,VLOOKUP($A171,DuraFix!$A$9:$M$14,4,FALSE),
IF($A171&lt;'Compression Fittings'!$A$16,VLOOKUP($A171,'Compression Fittings'!$A$8:$M$15,4,FALSE),
IF($A171&lt;'Hose Fittings'!$A$30,VLOOKUP($A171,'Hose Fittings'!$A$8:$M$29,4,FALSE),
IF($A171&lt;'Swing Joints'!$A$495,VLOOKUP($A171,'Swing Joints'!$A$9:$M$494,4,FALSE),
IF($A171&lt;'Swing Joints Components'!$A$135,VLOOKUP($A171,'Swing Joints Components'!$A$9:$M$134,4,FALSE),
IF($A171&lt;Nonstandard!$A$42,VLOOKUP($A171,Nonstandard!$A$31:$J$41,5,FALSE),"")))))))))))))))))))))))))))),"")</f>
        <v/>
      </c>
      <c r="C171" s="312" t="str">
        <f>IFERROR(IF($A171&lt;'DWV PVC'!$A$317,VLOOKUP($A171,'DWV PVC'!$A$9:$M$316,5,FALSE),
IF($A171&lt;'DWV ABS'!$A$117,VLOOKUP($A171,'DWV ABS'!$A$8:$M$116,5,FALSE),
IF($A171&lt;'PVC SCH40'!$A$425,VLOOKUP($A171,'PVC SCH40'!$A$8:$M$424,5,FALSE),
IF($A171&lt;'PVC SCH40 LD'!$A$22,VLOOKUP($A171,'PVC SCH40 LD'!$A$8:$M$21,5,FALSE),
IF($A171&lt;'Pool &amp; SPA Sweep Elbows'!$A$12,VLOOKUP($A171,'Pool &amp; SPA Sweep Elbows'!$A$8:$M$11,5,FALSE),
IF($A171&lt;'Pool &amp; SPA Pipe Extender'!$A$11,VLOOKUP($A171,'Pool &amp; SPA Pipe Extender'!$A$8:$M$10,5,FALSE),
IF($A171&lt;'PVC SCH80'!$A$250,VLOOKUP($A171,'PVC SCH80'!$A$8:$M$249,5,FALSE),
IF($A171&lt;'PVC SCH80 Flange'!$A$49,VLOOKUP($A171,'PVC SCH80 Flange'!$A$8:$M$48,5,FALSE),
IF($A171&lt;'PVC SCH80 LD Flange'!$A$17,VLOOKUP($A171,'PVC SCH80 LD Flange'!$A$8:$M$16,5,FALSE),
IF($A171&lt;CPVC!$A$105,VLOOKUP($A171,CPVC!$A$9:$M$104,5,FALSE),
IF($A171&lt;InsertFittings!$A$185,VLOOKUP($A171,InsertFittings!$A$9:$M$184,5,FALSE),
IF($A171&lt;Valves!$A$92,VLOOKUP($A171,Valves!$A$9:$Q$91,5,FALSE),
IF($A171&lt;SDR35SW!$A$133,VLOOKUP($A171,SDR35SW!$A$9:$M$132,5,FALSE),
IF($A171&lt;SDR35G!$A$151,VLOOKUP($A171,SDR35G!$A$9:$M$150,5,FALSE),
IF($A171&lt;SDR26G!$A$67,VLOOKUP($A171,SDR26G!$A$9:$N$66,6,FALSE),
IF($A171&lt;Cements!$A$95,VLOOKUP($A171,Cements!$A$8:$Q$94,5,FALSE),
IF($A171&lt;ValveBox!$A$124,VLOOKUP($A171,ValveBox!$A$9:$O$123,5,FALSE),
IF($A171&lt;'ValveBox Components'!$A$142,VLOOKUP($A171,'ValveBox Components'!$A$9:$N$141,5,FALSE),
IF($A171&lt;Drainage!$A$69,VLOOKUP($A171,Drainage!$A$8:$M$68,5,FALSE),
IF($A171&lt;Nipples!$A$82,VLOOKUP($A171,Nipples!$A$9:$Q$81,5,FALSE),
IF($A171&lt;Manifold!$A$33,VLOOKUP($A171,Manifold!$A$9:$M$32,5,FALSE),
IF($A171&lt;FlexibleRepairCouplings!$A$12,VLOOKUP($A171,FlexibleRepairCouplings!$A$9:$M$11,5,FALSE),
IF($A171&lt;DuraFix!$A$15,VLOOKUP($A171,DuraFix!$A$9:$M$14,5,FALSE),
IF($A171&lt;'Compression Fittings'!$A$16,VLOOKUP($A171,'Compression Fittings'!$A$8:$M$15,5,FALSE),
IF($A171&lt;'Hose Fittings'!$A$30,VLOOKUP($A171,'Hose Fittings'!$A$8:$M$29,5,FALSE),
IF($A171&lt;'Swing Joints'!$A$495,VLOOKUP($A171,'Swing Joints'!$A$9:$M$494,5,FALSE),
IF($A171&lt;'Swing Joints Components'!$A$135,VLOOKUP($A171,'Swing Joints Components'!$A$9:$M$134,5,FALSE),
IF($A171&lt;Nonstandard!$A$42,VLOOKUP($A171,Nonstandard!$A$31:$J$41,6,FALSE),"")))))))))))))))))))))))))))),"")</f>
        <v/>
      </c>
      <c r="D171" s="534" t="str">
        <f>IFERROR(IF($A171&lt;'DWV PVC'!$A$317,VLOOKUP($A171,'DWV PVC'!$A$9:$M$316,6,FALSE),
IF($A171&lt;'DWV ABS'!$A$117,VLOOKUP($A171,'DWV ABS'!$A$8:$M$116,6,FALSE),
IF($A171&lt;'PVC SCH40'!$A$425,VLOOKUP($A171,'PVC SCH40'!$A$8:$M$424,6,FALSE),
IF($A171&lt;'PVC SCH40 LD'!$A$22,VLOOKUP($A171,'PVC SCH40 LD'!$A$8:$M$21,6,FALSE),
IF($A171&lt;'Pool &amp; SPA Sweep Elbows'!$A$12,VLOOKUP($A171,'Pool &amp; SPA Sweep Elbows'!$A$8:$M$11,6,FALSE),
IF($A171&lt;'Pool &amp; SPA Pipe Extender'!$A$11,VLOOKUP($A171,'Pool &amp; SPA Pipe Extender'!$A$8:$M$10,6,FALSE),
IF($A171&lt;'PVC SCH80'!$A$250,VLOOKUP($A171,'PVC SCH80'!$A$8:$M$249,6,FALSE),
IF($A171&lt;'PVC SCH80 Flange'!$A$49,VLOOKUP($A171,'PVC SCH80 Flange'!$A$8:$M$48,6,FALSE),
IF($A171&lt;'PVC SCH80 LD Flange'!$A$17,VLOOKUP($A171,'PVC SCH80 LD Flange'!$A$8:$M$16,6,FALSE),
IF($A171&lt;CPVC!$A$105,VLOOKUP($A171,CPVC!$A$9:$M$104,6,FALSE),
IF($A171&lt;InsertFittings!$A$185,VLOOKUP($A171,InsertFittings!$A$9:$M$184,6,FALSE),
IF($A171&lt;Valves!$A$92,VLOOKUP($A171,Valves!$A$9:$Q$91,6,FALSE),
IF($A171&lt;SDR35SW!$A$133,VLOOKUP($A171,SDR35SW!$A$9:$M$132,6,FALSE),
IF($A171&lt;SDR35G!$A$151,VLOOKUP($A171,SDR35G!$A$9:$M$150,6,FALSE),
IF($A171&lt;SDR26G!$A$67,VLOOKUP($A171,SDR26G!$A$9:$N$66,7,FALSE),
IF($A171&lt;Cements!$A$95,VLOOKUP($A171,Cements!$A$8:$Q$94,6,FALSE),
IF($A171&lt;ValveBox!$A$124,VLOOKUP($A171,ValveBox!$A$9:$O$123,6,FALSE),
IF($A171&lt;'ValveBox Components'!$A$142,VLOOKUP($A171,'ValveBox Components'!$A$9:$N$141,6,FALSE),
IF($A171&lt;Drainage!$A$69,VLOOKUP($A171,Drainage!$A$8:$M$68,6,FALSE),
IF($A171&lt;Nipples!$A$82,VLOOKUP($A171,Nipples!$A$9:$Q$81,6,FALSE),
IF($A171&lt;Manifold!$A$33,VLOOKUP($A171,Manifold!$A$9:$M$32,6,FALSE),
IF($A171&lt;FlexibleRepairCouplings!$A$12,VLOOKUP($A171,FlexibleRepairCouplings!$A$9:$M$11,6,FALSE),
IF($A171&lt;DuraFix!$A$15,VLOOKUP($A171,DuraFix!$A$9:$M$14,6,FALSE),
IF($A171&lt;'Compression Fittings'!$A$16,VLOOKUP($A171,'Compression Fittings'!$A$8:$M$15,6,FALSE),
IF($A171&lt;'Hose Fittings'!$A$30,VLOOKUP($A171,'Hose Fittings'!$A$8:$M$29,6,FALSE),
IF($A171&lt;'Swing Joints'!$A$495,VLOOKUP($A171,'Swing Joints'!$A$9:$M$494,6,FALSE),
IF($A171&lt;'Swing Joints Components'!$A$135,VLOOKUP($A171,'Swing Joints Components'!$A$9:$M$134,6,FALSE),
IF($A171&lt;Nonstandard!$A$42,VLOOKUP($A171,Nonstandard!$A$31:$J$41,7,FALSE),"")))))))))))))))))))))))))))),"")</f>
        <v/>
      </c>
      <c r="E171" s="316"/>
      <c r="F171" s="314" t="str">
        <f>IFERROR(IF($A171&lt;'DWV PVC'!$A$317,VLOOKUP($A171,'DWV PVC'!$A$9:$M$316,9,FALSE),
IF($A171&lt;'DWV ABS'!$A$117,VLOOKUP($A171,'DWV ABS'!$A$8:$M$116,9,FALSE),                                                                                                                                                                                                                                                     IF($A171&lt;'PVC SCH40'!$A$425,VLOOKUP($A171,'PVC SCH40'!$A$8:$M$424,9,FALSE),
IF($A171&lt;'PVC SCH40 LD'!$A$22,VLOOKUP($A171,'PVC SCH40 LD'!$A$8:$M$21,9,FALSE),
IF($A171&lt;'Pool &amp; SPA Sweep Elbows'!$A$12,VLOOKUP($A171,'Pool &amp; SPA Sweep Elbows'!$A$8:$M$11,9,FALSE),
IF($A171&lt;'Pool &amp; SPA Pipe Extender'!$A$11,VLOOKUP($A171,'Pool &amp; SPA Pipe Extender'!$A$8:$M$10,9,FALSE),
IF($A171&lt;'PVC SCH80'!$A$250,VLOOKUP($A171,'PVC SCH80'!$A$8:$M$249,9,FALSE),
IF($A171&lt;'PVC SCH80 Flange'!$A$49,VLOOKUP($A171,'PVC SCH80 Flange'!$A$8:$M$48,9,FALSE),
IF($A171&lt;'PVC SCH80 LD Flange'!$A$17,VLOOKUP($A171,'PVC SCH80 LD Flange'!$A$8:$M$16,9,FALSE),
IF($A171&lt;CPVC!$A$105,VLOOKUP($A171,CPVC!$A$9:$M$104,9,FALSE),
IF($A171&lt;InsertFittings!$A$185,VLOOKUP($A171,InsertFittings!$A$9:$M$184,9,FALSE),
IF($A171&lt;Valves!$A$92,VLOOKUP($A171,Valves!$A$9:$Q$91,13,FALSE),
IF($A171&lt;SDR35SW!$A$133,VLOOKUP($A171,SDR35SW!$A$9:$M$132,9,FALSE),
IF($A171&lt;SDR35G!$A$151,VLOOKUP($A171,SDR35G!$A$9:$M$150,9,FALSE),                                                                                                                                                                                                                                                          IF($A171&lt;SDR26G!$A$67,VLOOKUP($A171,SDR26G!$A$9:$N$66,10,FALSE),                                                                                                                                                                                                                                                       IF($A171&lt;Cements!$A$95,VLOOKUP($A171,Cements!$A$8:$Q$94,13,FALSE),
IF($A171&lt;ValveBox!$A$124,VLOOKUP($A171,ValveBox!$A$9:$O$123,11,FALSE),
IF($A171&lt;'ValveBox Components'!$A$142,VLOOKUP($A171,'ValveBox Components'!$A$9:$N$141,10,FALSE),
IF($A171&lt;Drainage!$A$69,VLOOKUP($A171,Drainage!$A$8:$M$68,9,FALSE),                                                                                                                                                                                                                                                              IF($A171&lt;Nipples!$A$82,VLOOKUP($A171,Nipples!$A$9:$Q$81,13,FALSE),
IF($A171&lt;Manifold!$A$33,VLOOKUP($A171,Manifold!$A$9:$M$32,9,FALSE),
IF($A171&lt;FlexibleRepairCouplings!$A$12,VLOOKUP($A171,FlexibleRepairCouplings!$A$9:$M$11,9,FALSE),
IF($A171&lt;DuraFix!$A$15,VLOOKUP($A171,DuraFix!$A$9:$M$14,9,FALSE),                                                                                                                                                                                                                                                          IF($A171&lt;'Compression Fittings'!$A$16,VLOOKUP($A171,'Compression Fittings'!$A$8:$M$15,9,FALSE),
IF($A171&lt;'Hose Fittings'!$A$30,VLOOKUP($A171,'Hose Fittings'!$A$8:$M$29,9,FALSE),
IF($A171&lt;'Swing Joints'!$A$495,VLOOKUP($A171,'Swing Joints'!$A$9:$M$494,9,FALSE),
IF($A171&lt;'Swing Joints Components'!$A$135,VLOOKUP($A171,'Swing Joints Components'!$A$9:$M$134,9,FALSE),
IF($A171&lt;Nonstandard!$A$42,VLOOKUP($A171,Nonstandard!$A$31:$J$41,8,FALSE),"")))))))))))))))))))))))))))),"")</f>
        <v/>
      </c>
      <c r="G171" s="533" t="str">
        <f>IFERROR(IF($A171&lt;'DWV PVC'!$A$317,VLOOKUP($A171,'DWV PVC'!$A$9:$M$316,11,FALSE),
IF($A171&lt;'DWV ABS'!$A$117,VLOOKUP($A171,'DWV ABS'!$A$8:$M$116,11,FALSE),                                                                                                                                                                                                                                                     IF($A171&lt;'PVC SCH40'!$A$425,VLOOKUP($A171,'PVC SCH40'!$A$8:$M$424,11,FALSE),
IF($A171&lt;'PVC SCH40 LD'!$A$22,VLOOKUP($A171,'PVC SCH40 LD'!$A$8:$M$21,11,FALSE),
IF($A171&lt;'Pool &amp; SPA Sweep Elbows'!$A$12,VLOOKUP($A171,'Pool &amp; SPA Sweep Elbows'!$A$8:$M$11,11,FALSE),
IF($A171&lt;'Pool &amp; SPA Pipe Extender'!$A$11,VLOOKUP($A171,'Pool &amp; SPA Pipe Extender'!$A$8:$M$10,11,FALSE),
IF($A171&lt;'PVC SCH80'!$A$250,VLOOKUP($A171,'PVC SCH80'!$A$8:$M$249,11,FALSE),
IF($A171&lt;'PVC SCH80 Flange'!$A$49,VLOOKUP($A171,'PVC SCH80 Flange'!$A$8:$M$48,11,FALSE),
IF($A171&lt;'PVC SCH80 LD Flange'!$A$17,VLOOKUP($A171,'PVC SCH80 LD Flange'!$A$8:$M$16,11,FALSE),
IF($A171&lt;CPVC!$A$105,VLOOKUP($A171,CPVC!$A$9:$M$104,11,FALSE),
IF($A171&lt;InsertFittings!$A$185,VLOOKUP($A171,InsertFittings!$A$9:$M$184,11,FALSE),
IF($A171&lt;Valves!$A$92,VLOOKUP($A171,Valves!$A$9:$Q$91,15,FALSE),
IF($A171&lt;SDR35SW!$A$133,VLOOKUP($A171,SDR35SW!$A$9:$M$132,11,FALSE),
IF($A171&lt;SDR35G!$A$151,VLOOKUP($A171,SDR35G!$A$9:$M$150,11,FALSE),                                                                                                                                                                                                                                                          IF($A171&lt;SDR26G!$A$67,VLOOKUP($A171,SDR26G!$A$9:$N$66,12,FALSE),                                                                                                                                                                                                                                                       IF($A171&lt;Cements!$A$95,VLOOKUP($A171,Cements!$A$8:$Q$94,15,FALSE),
IF($A171&lt;ValveBox!$A$124,VLOOKUP($A171,ValveBox!$A$9:$O$123,13,FALSE),
IF($A171&lt;'ValveBox Components'!$A$142,VLOOKUP($A171,'ValveBox Components'!$A$9:$N$141,12,FALSE),
IF($A171&lt;Drainage!$A$69,VLOOKUP($A171,Drainage!$A$8:$M$68,11,FALSE),                                                                                                                                                                                                                                                           IF($A171&lt;Nipples!$A$82,VLOOKUP($A171,Nipples!$A$9:$Q$81,15,FALSE),
IF($A171&lt;Manifold!$A$33,VLOOKUP($A171,Manifold!$A$9:$M$32,11,FALSE),
IF($A171&lt;FlexibleRepairCouplings!$A$12,VLOOKUP($A171,FlexibleRepairCouplings!$A$9:$M$11,11,FALSE),
IF($A171&lt;DuraFix!$A$15,VLOOKUP($A171,DuraFix!$A$9:$M$14,11,FALSE),                                                                                                                                                                                                                                                            IF($A171&lt;'Compression Fittings'!$A$16,VLOOKUP($A171,'Compression Fittings'!$A$8:$M$15,11,FALSE),
IF($A171&lt;'Hose Fittings'!$A$30,VLOOKUP($A171,'Hose Fittings'!$A$8:$M$29,11,FALSE),
IF($A171&lt;'Swing Joints'!$A$495,VLOOKUP($A171,'Swing Joints'!$A$9:$M$494,11,FALSE),
IF($A171&lt;'Swing Joints Components'!$A$135,VLOOKUP($A171,'Swing Joints Components'!$A$9:$M$134,11,FALSE),
IF($A171&lt;Nonstandard!$A$42,VLOOKUP($A171,Nonstandard!$A$31:$J$41,10,FALSE),"")))))))))))))))))))))))))))),"")</f>
        <v/>
      </c>
      <c r="H171" s="618" t="str">
        <f>IFERROR(IF($A171&lt;'DWV PVC'!$A$317,VLOOKUP($A171,'DWV PVC'!$A$9:$M$316,7,FALSE),
IF($A171&lt;'DWV ABS'!$A$117,VLOOKUP($A171,'DWV ABS'!$A$8:$M$116,11,FALSE),                                                                                                                                                                                                                                                     IF($A171&lt;'PVC SCH40'!$A$425,VLOOKUP($A171,'PVC SCH40'!$A$8:$M$424,7,FALSE),
IF($A171&lt;'PVC SCH40 LD'!$A$22,VLOOKUP($A171,'PVC SCH40 LD'!$A$8:$M$21,7,FALSE),
IF($A171&lt;'Pool &amp; SPA Sweep Elbows'!$A$12,VLOOKUP($A171,'Pool &amp; SPA Sweep Elbows'!$A$8:$M$11,7,FALSE),
IF($A171&lt;'Pool &amp; SPA Pipe Extender'!$A$11,VLOOKUP($A171,'Pool &amp; SPA Pipe Extender'!$A$8:$M$10,7,FALSE),
IF($A171&lt;'PVC SCH80'!$A$250,VLOOKUP($A171,'PVC SCH80'!$A$8:$M$249,7,FALSE),
IF($A171&lt;'PVC SCH80 Flange'!$A$49,VLOOKUP($A171,'PVC SCH80 Flange'!$A$8:$M$48,7,FALSE),
IF($A171&lt;'PVC SCH80 LD Flange'!$A$17,VLOOKUP($A171,'PVC SCH80 LD Flange'!$A$8:$M$16,7,FALSE),
IF($A171&lt;CPVC!$A$105,VLOOKUP($A171,CPVC!$A$9:$M$104,7,FALSE),
IF($A171&lt;InsertFittings!$A$185,VLOOKUP($A171,InsertFittings!$A$9:$M$184,7,FALSE),
IF($A171&lt;Valves!$A$92,VLOOKUP($A171,Valves!$A$9:$Q$91,11,FALSE),
IF($A171&lt;SDR35SW!$A$133,VLOOKUP($A171,SDR35SW!$A$9:$M$132,7,FALSE),
IF($A171&lt;SDR35G!$A$151,VLOOKUP($A171,SDR35G!$A$9:$M$150,7,FALSE),                                                                                                                                                                                                                                                       IF($A171&lt;SDR26G!$A$67,VLOOKUP($A171,SDR26G!$A$9:$N$66,8,FALSE),                                                                                                                                                                                                                                                     IF($A171&lt;Cements!$A$95,VLOOKUP($A171,Cements!$A$8:$Q$94,11,FALSE),
IF($A171&lt;ValveBox!$A$124,VLOOKUP($A171,ValveBox!$A$9:$O$123,10,FALSE),
IF($A171&lt;'ValveBox Components'!$A$142,VLOOKUP($A171,'ValveBox Components'!$A$9:$N$141,9,FALSE),
IF($A171&lt;Drainage!$A$69,VLOOKUP($A171,Drainage!$A$8:$M$68,7,FALSE),                                                                                                                                                                                                                                                          IF($A171&lt;Nipples!$A$82,VLOOKUP($A171,Nipples!$A$9:$Q$81,11,FALSE),
IF($A171&lt;Manifold!$A$33,VLOOKUP($A171,Manifold!$A$9:$M$32,7,FALSE),
IF($A171&lt;FlexibleRepairCouplings!$A$12,VLOOKUP($A171,FlexibleRepairCouplings!$A$9:$M$11,7,FALSE),
IF($A171&lt;DuraFix!$A$15,VLOOKUP($A171,DuraFix!$A$9:$M$14,7,FALSE),                                                                                                                                                                                                                                                           IF($A171&lt;'Compression Fittings'!$A$16,VLOOKUP($A171,'Compression Fittings'!$A$8:$M$15,7,FALSE),
IF($A171&lt;'Hose Fittings'!$A$30,VLOOKUP($A171,'Hose Fittings'!$A$8:$M$29,7,FALSE),
IF($A171&lt;'Swing Joints'!$A$495,VLOOKUP($A171,'Swing Joints'!$A$9:$M$494,7,FALSE),
IF($A171&lt;'Swing Joints Components'!$A$135,VLOOKUP($A171,'Swing Joints Components'!$A$9:$M$134,7,FALSE),
IF($A171&lt;Nonstandard!$A$42,VLOOKUP($A171,Nonstandard!$A$31:$J$41,10,FALSE),"")))))))))))))))))))))))))))),"")</f>
        <v/>
      </c>
      <c r="I171" s="619"/>
      <c r="J171" s="281" t="str">
        <f t="shared" si="5"/>
        <v/>
      </c>
      <c r="K171" s="313" t="str">
        <f>IFERROR(IF($A171&lt;'DWV PVC'!$A$317,VLOOKUP($A171,'DWV PVC'!$A$9:$M$316,10,FALSE),
IF($A171&lt;'DWV ABS'!$A$117,VLOOKUP($A171,'DWV ABS'!$A$8:$M$116,10,FALSE),
IF($A171&lt;'PVC SCH40'!$A$425,VLOOKUP($A171,'PVC SCH40'!$A$8:$M$424,10,FALSE),
IF($A171&lt;'PVC SCH40 LD'!$A$22,VLOOKUP($A171,'PVC SCH40 LD'!$A$8:$M$21,10,FALSE),
IF($A171&lt;'Pool &amp; SPA Sweep Elbows'!$A$12,VLOOKUP($A171,'Pool &amp; SPA Sweep Elbows'!$A$8:$M$11,10,FALSE),
IF($A171&lt;'Pool &amp; SPA Pipe Extender'!$A$11,VLOOKUP($A171,'Pool &amp; SPA Pipe Extender'!$A$8:$M$10,10,FALSE),
IF($A171&lt;'PVC SCH80'!$A$250,VLOOKUP($A171,'PVC SCH80'!$A$8:$M$249,10,FALSE),
IF($A171&lt;'PVC SCH80 Flange'!$A$49,VLOOKUP($A171,'PVC SCH80 Flange'!$A$8:$M$48,10,FALSE),
IF($A171&lt;'PVC SCH80 LD Flange'!$A$17,VLOOKUP($A171,'PVC SCH80 LD Flange'!$A$8:$M$16,10,FALSE),
IF($A171&lt;CPVC!$A$105,VLOOKUP($A171,CPVC!$A$9:$M$104,10,FALSE),
IF($A171&lt;InsertFittings!$A$185,VLOOKUP($A171,InsertFittings!$A$9:$M$184,10,FALSE),
IF($A171&lt;Valves!$A$92,VLOOKUP($A171,Valves!$A$9:$Q$91,14,FALSE),
IF($A171&lt;SDR35SW!$A$133,VLOOKUP($A171,SDR35SW!$A$9:$M$132,10,FALSE),
IF($A171&lt;SDR35G!$A$151,VLOOKUP($A171,SDR35G!$A$9:$M$150,10,FALSE),
IF($A171&lt;SDR26G!$A$67,VLOOKUP($A171,SDR26G!$A$9:$N$66,11,FALSE),
IF($A171&lt;Cements!$A$95,VLOOKUP($A171,Cements!$A$8:$Q$94,14,FALSE),
IF($A171&lt;ValveBox!$A$124,VLOOKUP($A171,ValveBox!$A$9:$O$123,12,FALSE),
IF($A171&lt;'ValveBox Components'!$A$142,VLOOKUP($A171,'ValveBox Components'!$A$9:$N$141,11,FALSE),
IF($A171&lt;Drainage!$A$69,VLOOKUP($A171,Drainage!$A$8:$M$68,10,FALSE),
IF($A171&lt;Nipples!$A$82,VLOOKUP($A171,Nipples!$A$9:$Q$81,14,FALSE),
IF($A171&lt;Manifold!$A$33,VLOOKUP($A171,Manifold!$A$9:$M$32,10,FALSE),
IF($A171&lt;FlexibleRepairCouplings!$A$12,VLOOKUP($A171,FlexibleRepairCouplings!$A$9:$M$11,10,FALSE),
IF($A171&lt;DuraFix!$A$15,VLOOKUP($A171,DuraFix!$A$9:$M$14,10,FALSE),
IF($A171&lt;'Compression Fittings'!$A$16,VLOOKUP($A171,'Compression Fittings'!$A$8:$M$15,10,FALSE),
IF($A171&lt;'Hose Fittings'!$A$30,VLOOKUP($A171,'Hose Fittings'!$A$8:$M$29,10,FALSE),
IF($A171&lt;'Swing Joints'!$A$495,VLOOKUP($A171,'Swing Joints'!$A$9:$M$494,10,FALSE),
IF($A171&lt;'Swing Joints Components'!$A$135,VLOOKUP($A171,'Swing Joints Components'!$A$9:$M$134,10,FALSE),
IF($A171&lt;Nonstandard!$A$42,VLOOKUP($A171,Nonstandard!$A$31:$J$41,10,FALSE),"")))))))))))))))))))))))))))),"")</f>
        <v/>
      </c>
      <c r="L171" s="314" t="str">
        <f t="shared" si="4"/>
        <v>-</v>
      </c>
      <c r="M171" s="315"/>
    </row>
    <row r="172" spans="1:13" ht="15.6">
      <c r="A172" s="536">
        <v>140</v>
      </c>
      <c r="B172" s="536" t="str">
        <f>IFERROR(IF($A172&lt;'DWV PVC'!$A$317,VLOOKUP($A172,'DWV PVC'!$A$9:$M$316,4,FALSE),
IF($A172&lt;'DWV ABS'!$A$117,VLOOKUP($A172,'DWV ABS'!$A$8:$M$116,4,FALSE),
IF($A172&lt;'PVC SCH40'!$A$425,VLOOKUP($A172,'PVC SCH40'!$A$8:$M$424,4,FALSE),
IF($A172&lt;'PVC SCH40 LD'!$A$22,VLOOKUP($A172,'PVC SCH40 LD'!$A$8:$M$21,4,FALSE),
IF($A172&lt;'Pool &amp; SPA Sweep Elbows'!$A$12,VLOOKUP($A172,'Pool &amp; SPA Sweep Elbows'!$A$8:$M$11,4,FALSE),
IF($A172&lt;'Pool &amp; SPA Pipe Extender'!$A$11,VLOOKUP($A172,'Pool &amp; SPA Pipe Extender'!$A$8:$M$10,4,FALSE),
IF($A172&lt;'PVC SCH80'!$A$250,VLOOKUP($A172,'PVC SCH80'!$A$8:$M$249,4,FALSE),
IF($A172&lt;'PVC SCH80 Flange'!$A$49,VLOOKUP($A172,'PVC SCH80 Flange'!$A$8:$M$48,4,FALSE),
IF($A172&lt;'PVC SCH80 LD Flange'!$A$17,VLOOKUP($A172,'PVC SCH80 LD Flange'!$A$8:$M$16,4,FALSE),
IF($A172&lt;CPVC!$A$105,VLOOKUP($A172,CPVC!$A$9:$M$104,4,FALSE),
IF($A172&lt;InsertFittings!$A$185,VLOOKUP($A172,InsertFittings!$A$9:$M$184,4,FALSE),
IF($A172&lt;Valves!$A$92,VLOOKUP($A172,Valves!$A$9:$Q$91,4,FALSE),
IF($A172&lt;SDR35SW!$A$133,VLOOKUP($A172,SDR35SW!$A$9:$M$132,4,FALSE),
IF($A172&lt;SDR35G!$A$151,VLOOKUP($A172,SDR35G!$A$9:$M$150,4,FALSE),
IF($A172&lt;SDR26G!$A$67,VLOOKUP($A172,SDR26G!$A$9:$N$66,5,FALSE),
IF($A172&lt;Cements!$A$95,VLOOKUP($A172,Cements!$A$8:$Q$94,4,FALSE),
IF($A172&lt;ValveBox!$A$124,VLOOKUP($A172,ValveBox!$A$9:$O$123,4,FALSE),
IF($A172&lt;'ValveBox Components'!$A$142,VLOOKUP($A172,'ValveBox Components'!$A$9:$N$141,4,FALSE),
IF($A172&lt;Drainage!$A$69,VLOOKUP($A172,Drainage!$A$8:$M$68,4,FALSE),
IF($A172&lt;Nipples!$A$82,VLOOKUP($A172,Nipples!$A$9:$Q$81,4,FALSE),
IF($A172&lt;Manifold!$A$33,VLOOKUP($A172,Manifold!$A$9:$M$32,4,FALSE),
IF($A172&lt;FlexibleRepairCouplings!$A$12,VLOOKUP($A172,FlexibleRepairCouplings!$A$9:$M$11,4,FALSE),
IF($A172&lt;DuraFix!$A$15,VLOOKUP($A172,DuraFix!$A$9:$M$14,4,FALSE),
IF($A172&lt;'Compression Fittings'!$A$16,VLOOKUP($A172,'Compression Fittings'!$A$8:$M$15,4,FALSE),
IF($A172&lt;'Hose Fittings'!$A$30,VLOOKUP($A172,'Hose Fittings'!$A$8:$M$29,4,FALSE),
IF($A172&lt;'Swing Joints'!$A$495,VLOOKUP($A172,'Swing Joints'!$A$9:$M$494,4,FALSE),
IF($A172&lt;'Swing Joints Components'!$A$135,VLOOKUP($A172,'Swing Joints Components'!$A$9:$M$134,4,FALSE),
IF($A172&lt;Nonstandard!$A$42,VLOOKUP($A172,Nonstandard!$A$31:$J$41,5,FALSE),"")))))))))))))))))))))))))))),"")</f>
        <v/>
      </c>
      <c r="C172" s="536" t="str">
        <f>IFERROR(IF($A172&lt;'DWV PVC'!$A$317,VLOOKUP($A172,'DWV PVC'!$A$9:$M$316,5,FALSE),
IF($A172&lt;'DWV ABS'!$A$117,VLOOKUP($A172,'DWV ABS'!$A$8:$M$116,5,FALSE),
IF($A172&lt;'PVC SCH40'!$A$425,VLOOKUP($A172,'PVC SCH40'!$A$8:$M$424,5,FALSE),
IF($A172&lt;'PVC SCH40 LD'!$A$22,VLOOKUP($A172,'PVC SCH40 LD'!$A$8:$M$21,5,FALSE),
IF($A172&lt;'Pool &amp; SPA Sweep Elbows'!$A$12,VLOOKUP($A172,'Pool &amp; SPA Sweep Elbows'!$A$8:$M$11,5,FALSE),
IF($A172&lt;'Pool &amp; SPA Pipe Extender'!$A$11,VLOOKUP($A172,'Pool &amp; SPA Pipe Extender'!$A$8:$M$10,5,FALSE),
IF($A172&lt;'PVC SCH80'!$A$250,VLOOKUP($A172,'PVC SCH80'!$A$8:$M$249,5,FALSE),
IF($A172&lt;'PVC SCH80 Flange'!$A$49,VLOOKUP($A172,'PVC SCH80 Flange'!$A$8:$M$48,5,FALSE),
IF($A172&lt;'PVC SCH80 LD Flange'!$A$17,VLOOKUP($A172,'PVC SCH80 LD Flange'!$A$8:$M$16,5,FALSE),
IF($A172&lt;CPVC!$A$105,VLOOKUP($A172,CPVC!$A$9:$M$104,5,FALSE),
IF($A172&lt;InsertFittings!$A$185,VLOOKUP($A172,InsertFittings!$A$9:$M$184,5,FALSE),
IF($A172&lt;Valves!$A$92,VLOOKUP($A172,Valves!$A$9:$Q$91,5,FALSE),
IF($A172&lt;SDR35SW!$A$133,VLOOKUP($A172,SDR35SW!$A$9:$M$132,5,FALSE),
IF($A172&lt;SDR35G!$A$151,VLOOKUP($A172,SDR35G!$A$9:$M$150,5,FALSE),
IF($A172&lt;SDR26G!$A$67,VLOOKUP($A172,SDR26G!$A$9:$N$66,6,FALSE),
IF($A172&lt;Cements!$A$95,VLOOKUP($A172,Cements!$A$8:$Q$94,5,FALSE),
IF($A172&lt;ValveBox!$A$124,VLOOKUP($A172,ValveBox!$A$9:$O$123,5,FALSE),
IF($A172&lt;'ValveBox Components'!$A$142,VLOOKUP($A172,'ValveBox Components'!$A$9:$N$141,5,FALSE),
IF($A172&lt;Drainage!$A$69,VLOOKUP($A172,Drainage!$A$8:$M$68,5,FALSE),
IF($A172&lt;Nipples!$A$82,VLOOKUP($A172,Nipples!$A$9:$Q$81,5,FALSE),
IF($A172&lt;Manifold!$A$33,VLOOKUP($A172,Manifold!$A$9:$M$32,5,FALSE),
IF($A172&lt;FlexibleRepairCouplings!$A$12,VLOOKUP($A172,FlexibleRepairCouplings!$A$9:$M$11,5,FALSE),
IF($A172&lt;DuraFix!$A$15,VLOOKUP($A172,DuraFix!$A$9:$M$14,5,FALSE),
IF($A172&lt;'Compression Fittings'!$A$16,VLOOKUP($A172,'Compression Fittings'!$A$8:$M$15,5,FALSE),
IF($A172&lt;'Hose Fittings'!$A$30,VLOOKUP($A172,'Hose Fittings'!$A$8:$M$29,5,FALSE),
IF($A172&lt;'Swing Joints'!$A$495,VLOOKUP($A172,'Swing Joints'!$A$9:$M$494,5,FALSE),
IF($A172&lt;'Swing Joints Components'!$A$135,VLOOKUP($A172,'Swing Joints Components'!$A$9:$M$134,5,FALSE),
IF($A172&lt;Nonstandard!$A$42,VLOOKUP($A172,Nonstandard!$A$31:$J$41,6,FALSE),"")))))))))))))))))))))))))))),"")</f>
        <v/>
      </c>
      <c r="D172" s="537" t="str">
        <f>IFERROR(IF($A172&lt;'DWV PVC'!$A$317,VLOOKUP($A172,'DWV PVC'!$A$9:$M$316,6,FALSE),
IF($A172&lt;'DWV ABS'!$A$117,VLOOKUP($A172,'DWV ABS'!$A$8:$M$116,6,FALSE),
IF($A172&lt;'PVC SCH40'!$A$425,VLOOKUP($A172,'PVC SCH40'!$A$8:$M$424,6,FALSE),
IF($A172&lt;'PVC SCH40 LD'!$A$22,VLOOKUP($A172,'PVC SCH40 LD'!$A$8:$M$21,6,FALSE),
IF($A172&lt;'Pool &amp; SPA Sweep Elbows'!$A$12,VLOOKUP($A172,'Pool &amp; SPA Sweep Elbows'!$A$8:$M$11,6,FALSE),
IF($A172&lt;'Pool &amp; SPA Pipe Extender'!$A$11,VLOOKUP($A172,'Pool &amp; SPA Pipe Extender'!$A$8:$M$10,6,FALSE),
IF($A172&lt;'PVC SCH80'!$A$250,VLOOKUP($A172,'PVC SCH80'!$A$8:$M$249,6,FALSE),
IF($A172&lt;'PVC SCH80 Flange'!$A$49,VLOOKUP($A172,'PVC SCH80 Flange'!$A$8:$M$48,6,FALSE),
IF($A172&lt;'PVC SCH80 LD Flange'!$A$17,VLOOKUP($A172,'PVC SCH80 LD Flange'!$A$8:$M$16,6,FALSE),
IF($A172&lt;CPVC!$A$105,VLOOKUP($A172,CPVC!$A$9:$M$104,6,FALSE),
IF($A172&lt;InsertFittings!$A$185,VLOOKUP($A172,InsertFittings!$A$9:$M$184,6,FALSE),
IF($A172&lt;Valves!$A$92,VLOOKUP($A172,Valves!$A$9:$Q$91,6,FALSE),
IF($A172&lt;SDR35SW!$A$133,VLOOKUP($A172,SDR35SW!$A$9:$M$132,6,FALSE),
IF($A172&lt;SDR35G!$A$151,VLOOKUP($A172,SDR35G!$A$9:$M$150,6,FALSE),
IF($A172&lt;SDR26G!$A$67,VLOOKUP($A172,SDR26G!$A$9:$N$66,7,FALSE),
IF($A172&lt;Cements!$A$95,VLOOKUP($A172,Cements!$A$8:$Q$94,6,FALSE),
IF($A172&lt;ValveBox!$A$124,VLOOKUP($A172,ValveBox!$A$9:$O$123,6,FALSE),
IF($A172&lt;'ValveBox Components'!$A$142,VLOOKUP($A172,'ValveBox Components'!$A$9:$N$141,6,FALSE),
IF($A172&lt;Drainage!$A$69,VLOOKUP($A172,Drainage!$A$8:$M$68,6,FALSE),
IF($A172&lt;Nipples!$A$82,VLOOKUP($A172,Nipples!$A$9:$Q$81,6,FALSE),
IF($A172&lt;Manifold!$A$33,VLOOKUP($A172,Manifold!$A$9:$M$32,6,FALSE),
IF($A172&lt;FlexibleRepairCouplings!$A$12,VLOOKUP($A172,FlexibleRepairCouplings!$A$9:$M$11,6,FALSE),
IF($A172&lt;DuraFix!$A$15,VLOOKUP($A172,DuraFix!$A$9:$M$14,6,FALSE),
IF($A172&lt;'Compression Fittings'!$A$16,VLOOKUP($A172,'Compression Fittings'!$A$8:$M$15,6,FALSE),
IF($A172&lt;'Hose Fittings'!$A$30,VLOOKUP($A172,'Hose Fittings'!$A$8:$M$29,6,FALSE),
IF($A172&lt;'Swing Joints'!$A$495,VLOOKUP($A172,'Swing Joints'!$A$9:$M$494,6,FALSE),
IF($A172&lt;'Swing Joints Components'!$A$135,VLOOKUP($A172,'Swing Joints Components'!$A$9:$M$134,6,FALSE),
IF($A172&lt;Nonstandard!$A$42,VLOOKUP($A172,Nonstandard!$A$31:$J$41,7,FALSE),"")))))))))))))))))))))))))))),"")</f>
        <v/>
      </c>
      <c r="E172" s="538"/>
      <c r="F172" s="539" t="str">
        <f>IFERROR(IF($A172&lt;'DWV PVC'!$A$317,VLOOKUP($A172,'DWV PVC'!$A$9:$M$316,9,FALSE),
IF($A172&lt;'DWV ABS'!$A$117,VLOOKUP($A172,'DWV ABS'!$A$8:$M$116,9,FALSE),                                                                                                                                                                                                                                                     IF($A172&lt;'PVC SCH40'!$A$425,VLOOKUP($A172,'PVC SCH40'!$A$8:$M$424,9,FALSE),
IF($A172&lt;'PVC SCH40 LD'!$A$22,VLOOKUP($A172,'PVC SCH40 LD'!$A$8:$M$21,9,FALSE),
IF($A172&lt;'Pool &amp; SPA Sweep Elbows'!$A$12,VLOOKUP($A172,'Pool &amp; SPA Sweep Elbows'!$A$8:$M$11,9,FALSE),
IF($A172&lt;'Pool &amp; SPA Pipe Extender'!$A$11,VLOOKUP($A172,'Pool &amp; SPA Pipe Extender'!$A$8:$M$10,9,FALSE),
IF($A172&lt;'PVC SCH80'!$A$250,VLOOKUP($A172,'PVC SCH80'!$A$8:$M$249,9,FALSE),
IF($A172&lt;'PVC SCH80 Flange'!$A$49,VLOOKUP($A172,'PVC SCH80 Flange'!$A$8:$M$48,9,FALSE),
IF($A172&lt;'PVC SCH80 LD Flange'!$A$17,VLOOKUP($A172,'PVC SCH80 LD Flange'!$A$8:$M$16,9,FALSE),
IF($A172&lt;CPVC!$A$105,VLOOKUP($A172,CPVC!$A$9:$M$104,9,FALSE),
IF($A172&lt;InsertFittings!$A$185,VLOOKUP($A172,InsertFittings!$A$9:$M$184,9,FALSE),
IF($A172&lt;Valves!$A$92,VLOOKUP($A172,Valves!$A$9:$Q$91,13,FALSE),
IF($A172&lt;SDR35SW!$A$133,VLOOKUP($A172,SDR35SW!$A$9:$M$132,9,FALSE),
IF($A172&lt;SDR35G!$A$151,VLOOKUP($A172,SDR35G!$A$9:$M$150,9,FALSE),                                                                                                                                                                                                                                                          IF($A172&lt;SDR26G!$A$67,VLOOKUP($A172,SDR26G!$A$9:$N$66,10,FALSE),                                                                                                                                                                                                                                                       IF($A172&lt;Cements!$A$95,VLOOKUP($A172,Cements!$A$8:$Q$94,13,FALSE),
IF($A172&lt;ValveBox!$A$124,VLOOKUP($A172,ValveBox!$A$9:$O$123,11,FALSE),
IF($A172&lt;'ValveBox Components'!$A$142,VLOOKUP($A172,'ValveBox Components'!$A$9:$N$141,10,FALSE),
IF($A172&lt;Drainage!$A$69,VLOOKUP($A172,Drainage!$A$8:$M$68,9,FALSE),                                                                                                                                                                                                                                                              IF($A172&lt;Nipples!$A$82,VLOOKUP($A172,Nipples!$A$9:$Q$81,13,FALSE),
IF($A172&lt;Manifold!$A$33,VLOOKUP($A172,Manifold!$A$9:$M$32,9,FALSE),
IF($A172&lt;FlexibleRepairCouplings!$A$12,VLOOKUP($A172,FlexibleRepairCouplings!$A$9:$M$11,9,FALSE),
IF($A172&lt;DuraFix!$A$15,VLOOKUP($A172,DuraFix!$A$9:$M$14,9,FALSE),                                                                                                                                                                                                                                                          IF($A172&lt;'Compression Fittings'!$A$16,VLOOKUP($A172,'Compression Fittings'!$A$8:$M$15,9,FALSE),
IF($A172&lt;'Hose Fittings'!$A$30,VLOOKUP($A172,'Hose Fittings'!$A$8:$M$29,9,FALSE),
IF($A172&lt;'Swing Joints'!$A$495,VLOOKUP($A172,'Swing Joints'!$A$9:$M$494,9,FALSE),
IF($A172&lt;'Swing Joints Components'!$A$135,VLOOKUP($A172,'Swing Joints Components'!$A$9:$M$134,9,FALSE),
IF($A172&lt;Nonstandard!$A$42,VLOOKUP($A172,Nonstandard!$A$31:$J$41,8,FALSE),"")))))))))))))))))))))))))))),"")</f>
        <v/>
      </c>
      <c r="G172" s="540" t="str">
        <f>IFERROR(IF($A172&lt;'DWV PVC'!$A$317,VLOOKUP($A172,'DWV PVC'!$A$9:$M$316,11,FALSE),
IF($A172&lt;'DWV ABS'!$A$117,VLOOKUP($A172,'DWV ABS'!$A$8:$M$116,11,FALSE),                                                                                                                                                                                                                                                     IF($A172&lt;'PVC SCH40'!$A$425,VLOOKUP($A172,'PVC SCH40'!$A$8:$M$424,11,FALSE),
IF($A172&lt;'PVC SCH40 LD'!$A$22,VLOOKUP($A172,'PVC SCH40 LD'!$A$8:$M$21,11,FALSE),
IF($A172&lt;'Pool &amp; SPA Sweep Elbows'!$A$12,VLOOKUP($A172,'Pool &amp; SPA Sweep Elbows'!$A$8:$M$11,11,FALSE),
IF($A172&lt;'Pool &amp; SPA Pipe Extender'!$A$11,VLOOKUP($A172,'Pool &amp; SPA Pipe Extender'!$A$8:$M$10,11,FALSE),
IF($A172&lt;'PVC SCH80'!$A$250,VLOOKUP($A172,'PVC SCH80'!$A$8:$M$249,11,FALSE),
IF($A172&lt;'PVC SCH80 Flange'!$A$49,VLOOKUP($A172,'PVC SCH80 Flange'!$A$8:$M$48,11,FALSE),
IF($A172&lt;'PVC SCH80 LD Flange'!$A$17,VLOOKUP($A172,'PVC SCH80 LD Flange'!$A$8:$M$16,11,FALSE),
IF($A172&lt;CPVC!$A$105,VLOOKUP($A172,CPVC!$A$9:$M$104,11,FALSE),
IF($A172&lt;InsertFittings!$A$185,VLOOKUP($A172,InsertFittings!$A$9:$M$184,11,FALSE),
IF($A172&lt;Valves!$A$92,VLOOKUP($A172,Valves!$A$9:$Q$91,15,FALSE),
IF($A172&lt;SDR35SW!$A$133,VLOOKUP($A172,SDR35SW!$A$9:$M$132,11,FALSE),
IF($A172&lt;SDR35G!$A$151,VLOOKUP($A172,SDR35G!$A$9:$M$150,11,FALSE),                                                                                                                                                                                                                                                          IF($A172&lt;SDR26G!$A$67,VLOOKUP($A172,SDR26G!$A$9:$N$66,12,FALSE),                                                                                                                                                                                                                                                       IF($A172&lt;Cements!$A$95,VLOOKUP($A172,Cements!$A$8:$Q$94,15,FALSE),
IF($A172&lt;ValveBox!$A$124,VLOOKUP($A172,ValveBox!$A$9:$O$123,13,FALSE),
IF($A172&lt;'ValveBox Components'!$A$142,VLOOKUP($A172,'ValveBox Components'!$A$9:$N$141,12,FALSE),
IF($A172&lt;Drainage!$A$69,VLOOKUP($A172,Drainage!$A$8:$M$68,11,FALSE),                                                                                                                                                                                                                                                           IF($A172&lt;Nipples!$A$82,VLOOKUP($A172,Nipples!$A$9:$Q$81,15,FALSE),
IF($A172&lt;Manifold!$A$33,VLOOKUP($A172,Manifold!$A$9:$M$32,11,FALSE),
IF($A172&lt;FlexibleRepairCouplings!$A$12,VLOOKUP($A172,FlexibleRepairCouplings!$A$9:$M$11,11,FALSE),
IF($A172&lt;DuraFix!$A$15,VLOOKUP($A172,DuraFix!$A$9:$M$14,11,FALSE),                                                                                                                                                                                                                                                            IF($A172&lt;'Compression Fittings'!$A$16,VLOOKUP($A172,'Compression Fittings'!$A$8:$M$15,11,FALSE),
IF($A172&lt;'Hose Fittings'!$A$30,VLOOKUP($A172,'Hose Fittings'!$A$8:$M$29,11,FALSE),
IF($A172&lt;'Swing Joints'!$A$495,VLOOKUP($A172,'Swing Joints'!$A$9:$M$494,11,FALSE),
IF($A172&lt;'Swing Joints Components'!$A$135,VLOOKUP($A172,'Swing Joints Components'!$A$9:$M$134,11,FALSE),
IF($A172&lt;Nonstandard!$A$42,VLOOKUP($A172,Nonstandard!$A$31:$J$41,10,FALSE),"")))))))))))))))))))))))))))),"")</f>
        <v/>
      </c>
      <c r="H172" s="620" t="str">
        <f>IFERROR(IF($A172&lt;'DWV PVC'!$A$317,VLOOKUP($A172,'DWV PVC'!$A$9:$M$316,7,FALSE),
IF($A172&lt;'DWV ABS'!$A$117,VLOOKUP($A172,'DWV ABS'!$A$8:$M$116,11,FALSE),                                                                                                                                                                                                                                                     IF($A172&lt;'PVC SCH40'!$A$425,VLOOKUP($A172,'PVC SCH40'!$A$8:$M$424,7,FALSE),
IF($A172&lt;'PVC SCH40 LD'!$A$22,VLOOKUP($A172,'PVC SCH40 LD'!$A$8:$M$21,7,FALSE),
IF($A172&lt;'Pool &amp; SPA Sweep Elbows'!$A$12,VLOOKUP($A172,'Pool &amp; SPA Sweep Elbows'!$A$8:$M$11,7,FALSE),
IF($A172&lt;'Pool &amp; SPA Pipe Extender'!$A$11,VLOOKUP($A172,'Pool &amp; SPA Pipe Extender'!$A$8:$M$10,7,FALSE),
IF($A172&lt;'PVC SCH80'!$A$250,VLOOKUP($A172,'PVC SCH80'!$A$8:$M$249,7,FALSE),
IF($A172&lt;'PVC SCH80 Flange'!$A$49,VLOOKUP($A172,'PVC SCH80 Flange'!$A$8:$M$48,7,FALSE),
IF($A172&lt;'PVC SCH80 LD Flange'!$A$17,VLOOKUP($A172,'PVC SCH80 LD Flange'!$A$8:$M$16,7,FALSE),
IF($A172&lt;CPVC!$A$105,VLOOKUP($A172,CPVC!$A$9:$M$104,7,FALSE),
IF($A172&lt;InsertFittings!$A$185,VLOOKUP($A172,InsertFittings!$A$9:$M$184,7,FALSE),
IF($A172&lt;Valves!$A$92,VLOOKUP($A172,Valves!$A$9:$Q$91,11,FALSE),
IF($A172&lt;SDR35SW!$A$133,VLOOKUP($A172,SDR35SW!$A$9:$M$132,7,FALSE),
IF($A172&lt;SDR35G!$A$151,VLOOKUP($A172,SDR35G!$A$9:$M$150,7,FALSE),                                                                                                                                                                                                                                                       IF($A172&lt;SDR26G!$A$67,VLOOKUP($A172,SDR26G!$A$9:$N$66,8,FALSE),                                                                                                                                                                                                                                                     IF($A172&lt;Cements!$A$95,VLOOKUP($A172,Cements!$A$8:$Q$94,11,FALSE),
IF($A172&lt;ValveBox!$A$124,VLOOKUP($A172,ValveBox!$A$9:$O$123,10,FALSE),
IF($A172&lt;'ValveBox Components'!$A$142,VLOOKUP($A172,'ValveBox Components'!$A$9:$N$141,9,FALSE),
IF($A172&lt;Drainage!$A$69,VLOOKUP($A172,Drainage!$A$8:$M$68,7,FALSE),                                                                                                                                                                                                                                                          IF($A172&lt;Nipples!$A$82,VLOOKUP($A172,Nipples!$A$9:$Q$81,11,FALSE),
IF($A172&lt;Manifold!$A$33,VLOOKUP($A172,Manifold!$A$9:$M$32,7,FALSE),
IF($A172&lt;FlexibleRepairCouplings!$A$12,VLOOKUP($A172,FlexibleRepairCouplings!$A$9:$M$11,7,FALSE),
IF($A172&lt;DuraFix!$A$15,VLOOKUP($A172,DuraFix!$A$9:$M$14,7,FALSE),                                                                                                                                                                                                                                                           IF($A172&lt;'Compression Fittings'!$A$16,VLOOKUP($A172,'Compression Fittings'!$A$8:$M$15,7,FALSE),
IF($A172&lt;'Hose Fittings'!$A$30,VLOOKUP($A172,'Hose Fittings'!$A$8:$M$29,7,FALSE),
IF($A172&lt;'Swing Joints'!$A$495,VLOOKUP($A172,'Swing Joints'!$A$9:$M$494,7,FALSE),
IF($A172&lt;'Swing Joints Components'!$A$135,VLOOKUP($A172,'Swing Joints Components'!$A$9:$M$134,7,FALSE),
IF($A172&lt;Nonstandard!$A$42,VLOOKUP($A172,Nonstandard!$A$31:$J$41,10,FALSE),"")))))))))))))))))))))))))))),"")</f>
        <v/>
      </c>
      <c r="I172" s="621"/>
      <c r="J172" s="541" t="str">
        <f t="shared" si="5"/>
        <v/>
      </c>
      <c r="K172" s="599" t="str">
        <f>IFERROR(IF($A172&lt;'DWV PVC'!$A$317,VLOOKUP($A172,'DWV PVC'!$A$9:$M$316,10,FALSE),
IF($A172&lt;'DWV ABS'!$A$117,VLOOKUP($A172,'DWV ABS'!$A$8:$M$116,10,FALSE),
IF($A172&lt;'PVC SCH40'!$A$425,VLOOKUP($A172,'PVC SCH40'!$A$8:$M$424,10,FALSE),
IF($A172&lt;'PVC SCH40 LD'!$A$22,VLOOKUP($A172,'PVC SCH40 LD'!$A$8:$M$21,10,FALSE),
IF($A172&lt;'Pool &amp; SPA Sweep Elbows'!$A$12,VLOOKUP($A172,'Pool &amp; SPA Sweep Elbows'!$A$8:$M$11,10,FALSE),
IF($A172&lt;'Pool &amp; SPA Pipe Extender'!$A$11,VLOOKUP($A172,'Pool &amp; SPA Pipe Extender'!$A$8:$M$10,10,FALSE),
IF($A172&lt;'PVC SCH80'!$A$250,VLOOKUP($A172,'PVC SCH80'!$A$8:$M$249,10,FALSE),
IF($A172&lt;'PVC SCH80 Flange'!$A$49,VLOOKUP($A172,'PVC SCH80 Flange'!$A$8:$M$48,10,FALSE),
IF($A172&lt;'PVC SCH80 LD Flange'!$A$17,VLOOKUP($A172,'PVC SCH80 LD Flange'!$A$8:$M$16,10,FALSE),
IF($A172&lt;CPVC!$A$105,VLOOKUP($A172,CPVC!$A$9:$M$104,10,FALSE),
IF($A172&lt;InsertFittings!$A$185,VLOOKUP($A172,InsertFittings!$A$9:$M$184,10,FALSE),
IF($A172&lt;Valves!$A$92,VLOOKUP($A172,Valves!$A$9:$Q$91,14,FALSE),
IF($A172&lt;SDR35SW!$A$133,VLOOKUP($A172,SDR35SW!$A$9:$M$132,10,FALSE),
IF($A172&lt;SDR35G!$A$151,VLOOKUP($A172,SDR35G!$A$9:$M$150,10,FALSE),
IF($A172&lt;SDR26G!$A$67,VLOOKUP($A172,SDR26G!$A$9:$N$66,11,FALSE),
IF($A172&lt;Cements!$A$95,VLOOKUP($A172,Cements!$A$8:$Q$94,14,FALSE),
IF($A172&lt;ValveBox!$A$124,VLOOKUP($A172,ValveBox!$A$9:$O$123,12,FALSE),
IF($A172&lt;'ValveBox Components'!$A$142,VLOOKUP($A172,'ValveBox Components'!$A$9:$N$141,11,FALSE),
IF($A172&lt;Drainage!$A$69,VLOOKUP($A172,Drainage!$A$8:$M$68,10,FALSE),
IF($A172&lt;Nipples!$A$82,VLOOKUP($A172,Nipples!$A$9:$Q$81,14,FALSE),
IF($A172&lt;Manifold!$A$33,VLOOKUP($A172,Manifold!$A$9:$M$32,10,FALSE),
IF($A172&lt;FlexibleRepairCouplings!$A$12,VLOOKUP($A172,FlexibleRepairCouplings!$A$9:$M$11,10,FALSE),
IF($A172&lt;DuraFix!$A$15,VLOOKUP($A172,DuraFix!$A$9:$M$14,10,FALSE),
IF($A172&lt;'Compression Fittings'!$A$16,VLOOKUP($A172,'Compression Fittings'!$A$8:$M$15,10,FALSE),
IF($A172&lt;'Hose Fittings'!$A$30,VLOOKUP($A172,'Hose Fittings'!$A$8:$M$29,10,FALSE),
IF($A172&lt;'Swing Joints'!$A$495,VLOOKUP($A172,'Swing Joints'!$A$9:$M$494,10,FALSE),
IF($A172&lt;'Swing Joints Components'!$A$135,VLOOKUP($A172,'Swing Joints Components'!$A$9:$M$134,10,FALSE),
IF($A172&lt;Nonstandard!$A$42,VLOOKUP($A172,Nonstandard!$A$31:$J$41,10,FALSE),"")))))))))))))))))))))))))))),"")</f>
        <v/>
      </c>
      <c r="L172" s="539" t="str">
        <f t="shared" si="4"/>
        <v>-</v>
      </c>
      <c r="M172" s="542"/>
    </row>
    <row r="173" spans="1:13" ht="15.6">
      <c r="A173" s="312">
        <v>141</v>
      </c>
      <c r="B173" s="312" t="str">
        <f>IFERROR(IF($A173&lt;'DWV PVC'!$A$317,VLOOKUP($A173,'DWV PVC'!$A$9:$M$316,4,FALSE),
IF($A173&lt;'DWV ABS'!$A$117,VLOOKUP($A173,'DWV ABS'!$A$8:$M$116,4,FALSE),
IF($A173&lt;'PVC SCH40'!$A$425,VLOOKUP($A173,'PVC SCH40'!$A$8:$M$424,4,FALSE),
IF($A173&lt;'PVC SCH40 LD'!$A$22,VLOOKUP($A173,'PVC SCH40 LD'!$A$8:$M$21,4,FALSE),
IF($A173&lt;'Pool &amp; SPA Sweep Elbows'!$A$12,VLOOKUP($A173,'Pool &amp; SPA Sweep Elbows'!$A$8:$M$11,4,FALSE),
IF($A173&lt;'Pool &amp; SPA Pipe Extender'!$A$11,VLOOKUP($A173,'Pool &amp; SPA Pipe Extender'!$A$8:$M$10,4,FALSE),
IF($A173&lt;'PVC SCH80'!$A$250,VLOOKUP($A173,'PVC SCH80'!$A$8:$M$249,4,FALSE),
IF($A173&lt;'PVC SCH80 Flange'!$A$49,VLOOKUP($A173,'PVC SCH80 Flange'!$A$8:$M$48,4,FALSE),
IF($A173&lt;'PVC SCH80 LD Flange'!$A$17,VLOOKUP($A173,'PVC SCH80 LD Flange'!$A$8:$M$16,4,FALSE),
IF($A173&lt;CPVC!$A$105,VLOOKUP($A173,CPVC!$A$9:$M$104,4,FALSE),
IF($A173&lt;InsertFittings!$A$185,VLOOKUP($A173,InsertFittings!$A$9:$M$184,4,FALSE),
IF($A173&lt;Valves!$A$92,VLOOKUP($A173,Valves!$A$9:$Q$91,4,FALSE),
IF($A173&lt;SDR35SW!$A$133,VLOOKUP($A173,SDR35SW!$A$9:$M$132,4,FALSE),
IF($A173&lt;SDR35G!$A$151,VLOOKUP($A173,SDR35G!$A$9:$M$150,4,FALSE),
IF($A173&lt;SDR26G!$A$67,VLOOKUP($A173,SDR26G!$A$9:$N$66,5,FALSE),
IF($A173&lt;Cements!$A$95,VLOOKUP($A173,Cements!$A$8:$Q$94,4,FALSE),
IF($A173&lt;ValveBox!$A$124,VLOOKUP($A173,ValveBox!$A$9:$O$123,4,FALSE),
IF($A173&lt;'ValveBox Components'!$A$142,VLOOKUP($A173,'ValveBox Components'!$A$9:$N$141,4,FALSE),
IF($A173&lt;Drainage!$A$69,VLOOKUP($A173,Drainage!$A$8:$M$68,4,FALSE),
IF($A173&lt;Nipples!$A$82,VLOOKUP($A173,Nipples!$A$9:$Q$81,4,FALSE),
IF($A173&lt;Manifold!$A$33,VLOOKUP($A173,Manifold!$A$9:$M$32,4,FALSE),
IF($A173&lt;FlexibleRepairCouplings!$A$12,VLOOKUP($A173,FlexibleRepairCouplings!$A$9:$M$11,4,FALSE),
IF($A173&lt;DuraFix!$A$15,VLOOKUP($A173,DuraFix!$A$9:$M$14,4,FALSE),
IF($A173&lt;'Compression Fittings'!$A$16,VLOOKUP($A173,'Compression Fittings'!$A$8:$M$15,4,FALSE),
IF($A173&lt;'Hose Fittings'!$A$30,VLOOKUP($A173,'Hose Fittings'!$A$8:$M$29,4,FALSE),
IF($A173&lt;'Swing Joints'!$A$495,VLOOKUP($A173,'Swing Joints'!$A$9:$M$494,4,FALSE),
IF($A173&lt;'Swing Joints Components'!$A$135,VLOOKUP($A173,'Swing Joints Components'!$A$9:$M$134,4,FALSE),
IF($A173&lt;Nonstandard!$A$42,VLOOKUP($A173,Nonstandard!$A$31:$J$41,5,FALSE),"")))))))))))))))))))))))))))),"")</f>
        <v/>
      </c>
      <c r="C173" s="312" t="str">
        <f>IFERROR(IF($A173&lt;'DWV PVC'!$A$317,VLOOKUP($A173,'DWV PVC'!$A$9:$M$316,5,FALSE),
IF($A173&lt;'DWV ABS'!$A$117,VLOOKUP($A173,'DWV ABS'!$A$8:$M$116,5,FALSE),
IF($A173&lt;'PVC SCH40'!$A$425,VLOOKUP($A173,'PVC SCH40'!$A$8:$M$424,5,FALSE),
IF($A173&lt;'PVC SCH40 LD'!$A$22,VLOOKUP($A173,'PVC SCH40 LD'!$A$8:$M$21,5,FALSE),
IF($A173&lt;'Pool &amp; SPA Sweep Elbows'!$A$12,VLOOKUP($A173,'Pool &amp; SPA Sweep Elbows'!$A$8:$M$11,5,FALSE),
IF($A173&lt;'Pool &amp; SPA Pipe Extender'!$A$11,VLOOKUP($A173,'Pool &amp; SPA Pipe Extender'!$A$8:$M$10,5,FALSE),
IF($A173&lt;'PVC SCH80'!$A$250,VLOOKUP($A173,'PVC SCH80'!$A$8:$M$249,5,FALSE),
IF($A173&lt;'PVC SCH80 Flange'!$A$49,VLOOKUP($A173,'PVC SCH80 Flange'!$A$8:$M$48,5,FALSE),
IF($A173&lt;'PVC SCH80 LD Flange'!$A$17,VLOOKUP($A173,'PVC SCH80 LD Flange'!$A$8:$M$16,5,FALSE),
IF($A173&lt;CPVC!$A$105,VLOOKUP($A173,CPVC!$A$9:$M$104,5,FALSE),
IF($A173&lt;InsertFittings!$A$185,VLOOKUP($A173,InsertFittings!$A$9:$M$184,5,FALSE),
IF($A173&lt;Valves!$A$92,VLOOKUP($A173,Valves!$A$9:$Q$91,5,FALSE),
IF($A173&lt;SDR35SW!$A$133,VLOOKUP($A173,SDR35SW!$A$9:$M$132,5,FALSE),
IF($A173&lt;SDR35G!$A$151,VLOOKUP($A173,SDR35G!$A$9:$M$150,5,FALSE),
IF($A173&lt;SDR26G!$A$67,VLOOKUP($A173,SDR26G!$A$9:$N$66,6,FALSE),
IF($A173&lt;Cements!$A$95,VLOOKUP($A173,Cements!$A$8:$Q$94,5,FALSE),
IF($A173&lt;ValveBox!$A$124,VLOOKUP($A173,ValveBox!$A$9:$O$123,5,FALSE),
IF($A173&lt;'ValveBox Components'!$A$142,VLOOKUP($A173,'ValveBox Components'!$A$9:$N$141,5,FALSE),
IF($A173&lt;Drainage!$A$69,VLOOKUP($A173,Drainage!$A$8:$M$68,5,FALSE),
IF($A173&lt;Nipples!$A$82,VLOOKUP($A173,Nipples!$A$9:$Q$81,5,FALSE),
IF($A173&lt;Manifold!$A$33,VLOOKUP($A173,Manifold!$A$9:$M$32,5,FALSE),
IF($A173&lt;FlexibleRepairCouplings!$A$12,VLOOKUP($A173,FlexibleRepairCouplings!$A$9:$M$11,5,FALSE),
IF($A173&lt;DuraFix!$A$15,VLOOKUP($A173,DuraFix!$A$9:$M$14,5,FALSE),
IF($A173&lt;'Compression Fittings'!$A$16,VLOOKUP($A173,'Compression Fittings'!$A$8:$M$15,5,FALSE),
IF($A173&lt;'Hose Fittings'!$A$30,VLOOKUP($A173,'Hose Fittings'!$A$8:$M$29,5,FALSE),
IF($A173&lt;'Swing Joints'!$A$495,VLOOKUP($A173,'Swing Joints'!$A$9:$M$494,5,FALSE),
IF($A173&lt;'Swing Joints Components'!$A$135,VLOOKUP($A173,'Swing Joints Components'!$A$9:$M$134,5,FALSE),
IF($A173&lt;Nonstandard!$A$42,VLOOKUP($A173,Nonstandard!$A$31:$J$41,6,FALSE),"")))))))))))))))))))))))))))),"")</f>
        <v/>
      </c>
      <c r="D173" s="534" t="str">
        <f>IFERROR(IF($A173&lt;'DWV PVC'!$A$317,VLOOKUP($A173,'DWV PVC'!$A$9:$M$316,6,FALSE),
IF($A173&lt;'DWV ABS'!$A$117,VLOOKUP($A173,'DWV ABS'!$A$8:$M$116,6,FALSE),
IF($A173&lt;'PVC SCH40'!$A$425,VLOOKUP($A173,'PVC SCH40'!$A$8:$M$424,6,FALSE),
IF($A173&lt;'PVC SCH40 LD'!$A$22,VLOOKUP($A173,'PVC SCH40 LD'!$A$8:$M$21,6,FALSE),
IF($A173&lt;'Pool &amp; SPA Sweep Elbows'!$A$12,VLOOKUP($A173,'Pool &amp; SPA Sweep Elbows'!$A$8:$M$11,6,FALSE),
IF($A173&lt;'Pool &amp; SPA Pipe Extender'!$A$11,VLOOKUP($A173,'Pool &amp; SPA Pipe Extender'!$A$8:$M$10,6,FALSE),
IF($A173&lt;'PVC SCH80'!$A$250,VLOOKUP($A173,'PVC SCH80'!$A$8:$M$249,6,FALSE),
IF($A173&lt;'PVC SCH80 Flange'!$A$49,VLOOKUP($A173,'PVC SCH80 Flange'!$A$8:$M$48,6,FALSE),
IF($A173&lt;'PVC SCH80 LD Flange'!$A$17,VLOOKUP($A173,'PVC SCH80 LD Flange'!$A$8:$M$16,6,FALSE),
IF($A173&lt;CPVC!$A$105,VLOOKUP($A173,CPVC!$A$9:$M$104,6,FALSE),
IF($A173&lt;InsertFittings!$A$185,VLOOKUP($A173,InsertFittings!$A$9:$M$184,6,FALSE),
IF($A173&lt;Valves!$A$92,VLOOKUP($A173,Valves!$A$9:$Q$91,6,FALSE),
IF($A173&lt;SDR35SW!$A$133,VLOOKUP($A173,SDR35SW!$A$9:$M$132,6,FALSE),
IF($A173&lt;SDR35G!$A$151,VLOOKUP($A173,SDR35G!$A$9:$M$150,6,FALSE),
IF($A173&lt;SDR26G!$A$67,VLOOKUP($A173,SDR26G!$A$9:$N$66,7,FALSE),
IF($A173&lt;Cements!$A$95,VLOOKUP($A173,Cements!$A$8:$Q$94,6,FALSE),
IF($A173&lt;ValveBox!$A$124,VLOOKUP($A173,ValveBox!$A$9:$O$123,6,FALSE),
IF($A173&lt;'ValveBox Components'!$A$142,VLOOKUP($A173,'ValveBox Components'!$A$9:$N$141,6,FALSE),
IF($A173&lt;Drainage!$A$69,VLOOKUP($A173,Drainage!$A$8:$M$68,6,FALSE),
IF($A173&lt;Nipples!$A$82,VLOOKUP($A173,Nipples!$A$9:$Q$81,6,FALSE),
IF($A173&lt;Manifold!$A$33,VLOOKUP($A173,Manifold!$A$9:$M$32,6,FALSE),
IF($A173&lt;FlexibleRepairCouplings!$A$12,VLOOKUP($A173,FlexibleRepairCouplings!$A$9:$M$11,6,FALSE),
IF($A173&lt;DuraFix!$A$15,VLOOKUP($A173,DuraFix!$A$9:$M$14,6,FALSE),
IF($A173&lt;'Compression Fittings'!$A$16,VLOOKUP($A173,'Compression Fittings'!$A$8:$M$15,6,FALSE),
IF($A173&lt;'Hose Fittings'!$A$30,VLOOKUP($A173,'Hose Fittings'!$A$8:$M$29,6,FALSE),
IF($A173&lt;'Swing Joints'!$A$495,VLOOKUP($A173,'Swing Joints'!$A$9:$M$494,6,FALSE),
IF($A173&lt;'Swing Joints Components'!$A$135,VLOOKUP($A173,'Swing Joints Components'!$A$9:$M$134,6,FALSE),
IF($A173&lt;Nonstandard!$A$42,VLOOKUP($A173,Nonstandard!$A$31:$J$41,7,FALSE),"")))))))))))))))))))))))))))),"")</f>
        <v/>
      </c>
      <c r="E173" s="316"/>
      <c r="F173" s="314" t="str">
        <f>IFERROR(IF($A173&lt;'DWV PVC'!$A$317,VLOOKUP($A173,'DWV PVC'!$A$9:$M$316,9,FALSE),
IF($A173&lt;'DWV ABS'!$A$117,VLOOKUP($A173,'DWV ABS'!$A$8:$M$116,9,FALSE),                                                                                                                                                                                                                                                     IF($A173&lt;'PVC SCH40'!$A$425,VLOOKUP($A173,'PVC SCH40'!$A$8:$M$424,9,FALSE),
IF($A173&lt;'PVC SCH40 LD'!$A$22,VLOOKUP($A173,'PVC SCH40 LD'!$A$8:$M$21,9,FALSE),
IF($A173&lt;'Pool &amp; SPA Sweep Elbows'!$A$12,VLOOKUP($A173,'Pool &amp; SPA Sweep Elbows'!$A$8:$M$11,9,FALSE),
IF($A173&lt;'Pool &amp; SPA Pipe Extender'!$A$11,VLOOKUP($A173,'Pool &amp; SPA Pipe Extender'!$A$8:$M$10,9,FALSE),
IF($A173&lt;'PVC SCH80'!$A$250,VLOOKUP($A173,'PVC SCH80'!$A$8:$M$249,9,FALSE),
IF($A173&lt;'PVC SCH80 Flange'!$A$49,VLOOKUP($A173,'PVC SCH80 Flange'!$A$8:$M$48,9,FALSE),
IF($A173&lt;'PVC SCH80 LD Flange'!$A$17,VLOOKUP($A173,'PVC SCH80 LD Flange'!$A$8:$M$16,9,FALSE),
IF($A173&lt;CPVC!$A$105,VLOOKUP($A173,CPVC!$A$9:$M$104,9,FALSE),
IF($A173&lt;InsertFittings!$A$185,VLOOKUP($A173,InsertFittings!$A$9:$M$184,9,FALSE),
IF($A173&lt;Valves!$A$92,VLOOKUP($A173,Valves!$A$9:$Q$91,13,FALSE),
IF($A173&lt;SDR35SW!$A$133,VLOOKUP($A173,SDR35SW!$A$9:$M$132,9,FALSE),
IF($A173&lt;SDR35G!$A$151,VLOOKUP($A173,SDR35G!$A$9:$M$150,9,FALSE),                                                                                                                                                                                                                                                          IF($A173&lt;SDR26G!$A$67,VLOOKUP($A173,SDR26G!$A$9:$N$66,10,FALSE),                                                                                                                                                                                                                                                       IF($A173&lt;Cements!$A$95,VLOOKUP($A173,Cements!$A$8:$Q$94,13,FALSE),
IF($A173&lt;ValveBox!$A$124,VLOOKUP($A173,ValveBox!$A$9:$O$123,11,FALSE),
IF($A173&lt;'ValveBox Components'!$A$142,VLOOKUP($A173,'ValveBox Components'!$A$9:$N$141,10,FALSE),
IF($A173&lt;Drainage!$A$69,VLOOKUP($A173,Drainage!$A$8:$M$68,9,FALSE),                                                                                                                                                                                                                                                              IF($A173&lt;Nipples!$A$82,VLOOKUP($A173,Nipples!$A$9:$Q$81,13,FALSE),
IF($A173&lt;Manifold!$A$33,VLOOKUP($A173,Manifold!$A$9:$M$32,9,FALSE),
IF($A173&lt;FlexibleRepairCouplings!$A$12,VLOOKUP($A173,FlexibleRepairCouplings!$A$9:$M$11,9,FALSE),
IF($A173&lt;DuraFix!$A$15,VLOOKUP($A173,DuraFix!$A$9:$M$14,9,FALSE),                                                                                                                                                                                                                                                          IF($A173&lt;'Compression Fittings'!$A$16,VLOOKUP($A173,'Compression Fittings'!$A$8:$M$15,9,FALSE),
IF($A173&lt;'Hose Fittings'!$A$30,VLOOKUP($A173,'Hose Fittings'!$A$8:$M$29,9,FALSE),
IF($A173&lt;'Swing Joints'!$A$495,VLOOKUP($A173,'Swing Joints'!$A$9:$M$494,9,FALSE),
IF($A173&lt;'Swing Joints Components'!$A$135,VLOOKUP($A173,'Swing Joints Components'!$A$9:$M$134,9,FALSE),
IF($A173&lt;Nonstandard!$A$42,VLOOKUP($A173,Nonstandard!$A$31:$J$41,8,FALSE),"")))))))))))))))))))))))))))),"")</f>
        <v/>
      </c>
      <c r="G173" s="533" t="str">
        <f>IFERROR(IF($A173&lt;'DWV PVC'!$A$317,VLOOKUP($A173,'DWV PVC'!$A$9:$M$316,11,FALSE),
IF($A173&lt;'DWV ABS'!$A$117,VLOOKUP($A173,'DWV ABS'!$A$8:$M$116,11,FALSE),                                                                                                                                                                                                                                                     IF($A173&lt;'PVC SCH40'!$A$425,VLOOKUP($A173,'PVC SCH40'!$A$8:$M$424,11,FALSE),
IF($A173&lt;'PVC SCH40 LD'!$A$22,VLOOKUP($A173,'PVC SCH40 LD'!$A$8:$M$21,11,FALSE),
IF($A173&lt;'Pool &amp; SPA Sweep Elbows'!$A$12,VLOOKUP($A173,'Pool &amp; SPA Sweep Elbows'!$A$8:$M$11,11,FALSE),
IF($A173&lt;'Pool &amp; SPA Pipe Extender'!$A$11,VLOOKUP($A173,'Pool &amp; SPA Pipe Extender'!$A$8:$M$10,11,FALSE),
IF($A173&lt;'PVC SCH80'!$A$250,VLOOKUP($A173,'PVC SCH80'!$A$8:$M$249,11,FALSE),
IF($A173&lt;'PVC SCH80 Flange'!$A$49,VLOOKUP($A173,'PVC SCH80 Flange'!$A$8:$M$48,11,FALSE),
IF($A173&lt;'PVC SCH80 LD Flange'!$A$17,VLOOKUP($A173,'PVC SCH80 LD Flange'!$A$8:$M$16,11,FALSE),
IF($A173&lt;CPVC!$A$105,VLOOKUP($A173,CPVC!$A$9:$M$104,11,FALSE),
IF($A173&lt;InsertFittings!$A$185,VLOOKUP($A173,InsertFittings!$A$9:$M$184,11,FALSE),
IF($A173&lt;Valves!$A$92,VLOOKUP($A173,Valves!$A$9:$Q$91,15,FALSE),
IF($A173&lt;SDR35SW!$A$133,VLOOKUP($A173,SDR35SW!$A$9:$M$132,11,FALSE),
IF($A173&lt;SDR35G!$A$151,VLOOKUP($A173,SDR35G!$A$9:$M$150,11,FALSE),                                                                                                                                                                                                                                                          IF($A173&lt;SDR26G!$A$67,VLOOKUP($A173,SDR26G!$A$9:$N$66,12,FALSE),                                                                                                                                                                                                                                                       IF($A173&lt;Cements!$A$95,VLOOKUP($A173,Cements!$A$8:$Q$94,15,FALSE),
IF($A173&lt;ValveBox!$A$124,VLOOKUP($A173,ValveBox!$A$9:$O$123,13,FALSE),
IF($A173&lt;'ValveBox Components'!$A$142,VLOOKUP($A173,'ValveBox Components'!$A$9:$N$141,12,FALSE),
IF($A173&lt;Drainage!$A$69,VLOOKUP($A173,Drainage!$A$8:$M$68,11,FALSE),                                                                                                                                                                                                                                                           IF($A173&lt;Nipples!$A$82,VLOOKUP($A173,Nipples!$A$9:$Q$81,15,FALSE),
IF($A173&lt;Manifold!$A$33,VLOOKUP($A173,Manifold!$A$9:$M$32,11,FALSE),
IF($A173&lt;FlexibleRepairCouplings!$A$12,VLOOKUP($A173,FlexibleRepairCouplings!$A$9:$M$11,11,FALSE),
IF($A173&lt;DuraFix!$A$15,VLOOKUP($A173,DuraFix!$A$9:$M$14,11,FALSE),                                                                                                                                                                                                                                                            IF($A173&lt;'Compression Fittings'!$A$16,VLOOKUP($A173,'Compression Fittings'!$A$8:$M$15,11,FALSE),
IF($A173&lt;'Hose Fittings'!$A$30,VLOOKUP($A173,'Hose Fittings'!$A$8:$M$29,11,FALSE),
IF($A173&lt;'Swing Joints'!$A$495,VLOOKUP($A173,'Swing Joints'!$A$9:$M$494,11,FALSE),
IF($A173&lt;'Swing Joints Components'!$A$135,VLOOKUP($A173,'Swing Joints Components'!$A$9:$M$134,11,FALSE),
IF($A173&lt;Nonstandard!$A$42,VLOOKUP($A173,Nonstandard!$A$31:$J$41,10,FALSE),"")))))))))))))))))))))))))))),"")</f>
        <v/>
      </c>
      <c r="H173" s="618" t="str">
        <f>IFERROR(IF($A173&lt;'DWV PVC'!$A$317,VLOOKUP($A173,'DWV PVC'!$A$9:$M$316,7,FALSE),
IF($A173&lt;'DWV ABS'!$A$117,VLOOKUP($A173,'DWV ABS'!$A$8:$M$116,11,FALSE),                                                                                                                                                                                                                                                     IF($A173&lt;'PVC SCH40'!$A$425,VLOOKUP($A173,'PVC SCH40'!$A$8:$M$424,7,FALSE),
IF($A173&lt;'PVC SCH40 LD'!$A$22,VLOOKUP($A173,'PVC SCH40 LD'!$A$8:$M$21,7,FALSE),
IF($A173&lt;'Pool &amp; SPA Sweep Elbows'!$A$12,VLOOKUP($A173,'Pool &amp; SPA Sweep Elbows'!$A$8:$M$11,7,FALSE),
IF($A173&lt;'Pool &amp; SPA Pipe Extender'!$A$11,VLOOKUP($A173,'Pool &amp; SPA Pipe Extender'!$A$8:$M$10,7,FALSE),
IF($A173&lt;'PVC SCH80'!$A$250,VLOOKUP($A173,'PVC SCH80'!$A$8:$M$249,7,FALSE),
IF($A173&lt;'PVC SCH80 Flange'!$A$49,VLOOKUP($A173,'PVC SCH80 Flange'!$A$8:$M$48,7,FALSE),
IF($A173&lt;'PVC SCH80 LD Flange'!$A$17,VLOOKUP($A173,'PVC SCH80 LD Flange'!$A$8:$M$16,7,FALSE),
IF($A173&lt;CPVC!$A$105,VLOOKUP($A173,CPVC!$A$9:$M$104,7,FALSE),
IF($A173&lt;InsertFittings!$A$185,VLOOKUP($A173,InsertFittings!$A$9:$M$184,7,FALSE),
IF($A173&lt;Valves!$A$92,VLOOKUP($A173,Valves!$A$9:$Q$91,11,FALSE),
IF($A173&lt;SDR35SW!$A$133,VLOOKUP($A173,SDR35SW!$A$9:$M$132,7,FALSE),
IF($A173&lt;SDR35G!$A$151,VLOOKUP($A173,SDR35G!$A$9:$M$150,7,FALSE),                                                                                                                                                                                                                                                       IF($A173&lt;SDR26G!$A$67,VLOOKUP($A173,SDR26G!$A$9:$N$66,8,FALSE),                                                                                                                                                                                                                                                     IF($A173&lt;Cements!$A$95,VLOOKUP($A173,Cements!$A$8:$Q$94,11,FALSE),
IF($A173&lt;ValveBox!$A$124,VLOOKUP($A173,ValveBox!$A$9:$O$123,10,FALSE),
IF($A173&lt;'ValveBox Components'!$A$142,VLOOKUP($A173,'ValveBox Components'!$A$9:$N$141,9,FALSE),
IF($A173&lt;Drainage!$A$69,VLOOKUP($A173,Drainage!$A$8:$M$68,7,FALSE),                                                                                                                                                                                                                                                          IF($A173&lt;Nipples!$A$82,VLOOKUP($A173,Nipples!$A$9:$Q$81,11,FALSE),
IF($A173&lt;Manifold!$A$33,VLOOKUP($A173,Manifold!$A$9:$M$32,7,FALSE),
IF($A173&lt;FlexibleRepairCouplings!$A$12,VLOOKUP($A173,FlexibleRepairCouplings!$A$9:$M$11,7,FALSE),
IF($A173&lt;DuraFix!$A$15,VLOOKUP($A173,DuraFix!$A$9:$M$14,7,FALSE),                                                                                                                                                                                                                                                           IF($A173&lt;'Compression Fittings'!$A$16,VLOOKUP($A173,'Compression Fittings'!$A$8:$M$15,7,FALSE),
IF($A173&lt;'Hose Fittings'!$A$30,VLOOKUP($A173,'Hose Fittings'!$A$8:$M$29,7,FALSE),
IF($A173&lt;'Swing Joints'!$A$495,VLOOKUP($A173,'Swing Joints'!$A$9:$M$494,7,FALSE),
IF($A173&lt;'Swing Joints Components'!$A$135,VLOOKUP($A173,'Swing Joints Components'!$A$9:$M$134,7,FALSE),
IF($A173&lt;Nonstandard!$A$42,VLOOKUP($A173,Nonstandard!$A$31:$J$41,10,FALSE),"")))))))))))))))))))))))))))),"")</f>
        <v/>
      </c>
      <c r="I173" s="619"/>
      <c r="J173" s="281" t="str">
        <f t="shared" si="5"/>
        <v/>
      </c>
      <c r="K173" s="313" t="str">
        <f>IFERROR(IF($A173&lt;'DWV PVC'!$A$317,VLOOKUP($A173,'DWV PVC'!$A$9:$M$316,10,FALSE),
IF($A173&lt;'DWV ABS'!$A$117,VLOOKUP($A173,'DWV ABS'!$A$8:$M$116,10,FALSE),
IF($A173&lt;'PVC SCH40'!$A$425,VLOOKUP($A173,'PVC SCH40'!$A$8:$M$424,10,FALSE),
IF($A173&lt;'PVC SCH40 LD'!$A$22,VLOOKUP($A173,'PVC SCH40 LD'!$A$8:$M$21,10,FALSE),
IF($A173&lt;'Pool &amp; SPA Sweep Elbows'!$A$12,VLOOKUP($A173,'Pool &amp; SPA Sweep Elbows'!$A$8:$M$11,10,FALSE),
IF($A173&lt;'Pool &amp; SPA Pipe Extender'!$A$11,VLOOKUP($A173,'Pool &amp; SPA Pipe Extender'!$A$8:$M$10,10,FALSE),
IF($A173&lt;'PVC SCH80'!$A$250,VLOOKUP($A173,'PVC SCH80'!$A$8:$M$249,10,FALSE),
IF($A173&lt;'PVC SCH80 Flange'!$A$49,VLOOKUP($A173,'PVC SCH80 Flange'!$A$8:$M$48,10,FALSE),
IF($A173&lt;'PVC SCH80 LD Flange'!$A$17,VLOOKUP($A173,'PVC SCH80 LD Flange'!$A$8:$M$16,10,FALSE),
IF($A173&lt;CPVC!$A$105,VLOOKUP($A173,CPVC!$A$9:$M$104,10,FALSE),
IF($A173&lt;InsertFittings!$A$185,VLOOKUP($A173,InsertFittings!$A$9:$M$184,10,FALSE),
IF($A173&lt;Valves!$A$92,VLOOKUP($A173,Valves!$A$9:$Q$91,14,FALSE),
IF($A173&lt;SDR35SW!$A$133,VLOOKUP($A173,SDR35SW!$A$9:$M$132,10,FALSE),
IF($A173&lt;SDR35G!$A$151,VLOOKUP($A173,SDR35G!$A$9:$M$150,10,FALSE),
IF($A173&lt;SDR26G!$A$67,VLOOKUP($A173,SDR26G!$A$9:$N$66,11,FALSE),
IF($A173&lt;Cements!$A$95,VLOOKUP($A173,Cements!$A$8:$Q$94,14,FALSE),
IF($A173&lt;ValveBox!$A$124,VLOOKUP($A173,ValveBox!$A$9:$O$123,12,FALSE),
IF($A173&lt;'ValveBox Components'!$A$142,VLOOKUP($A173,'ValveBox Components'!$A$9:$N$141,11,FALSE),
IF($A173&lt;Drainage!$A$69,VLOOKUP($A173,Drainage!$A$8:$M$68,10,FALSE),
IF($A173&lt;Nipples!$A$82,VLOOKUP($A173,Nipples!$A$9:$Q$81,14,FALSE),
IF($A173&lt;Manifold!$A$33,VLOOKUP($A173,Manifold!$A$9:$M$32,10,FALSE),
IF($A173&lt;FlexibleRepairCouplings!$A$12,VLOOKUP($A173,FlexibleRepairCouplings!$A$9:$M$11,10,FALSE),
IF($A173&lt;DuraFix!$A$15,VLOOKUP($A173,DuraFix!$A$9:$M$14,10,FALSE),
IF($A173&lt;'Compression Fittings'!$A$16,VLOOKUP($A173,'Compression Fittings'!$A$8:$M$15,10,FALSE),
IF($A173&lt;'Hose Fittings'!$A$30,VLOOKUP($A173,'Hose Fittings'!$A$8:$M$29,10,FALSE),
IF($A173&lt;'Swing Joints'!$A$495,VLOOKUP($A173,'Swing Joints'!$A$9:$M$494,10,FALSE),
IF($A173&lt;'Swing Joints Components'!$A$135,VLOOKUP($A173,'Swing Joints Components'!$A$9:$M$134,10,FALSE),
IF($A173&lt;Nonstandard!$A$42,VLOOKUP($A173,Nonstandard!$A$31:$J$41,10,FALSE),"")))))))))))))))))))))))))))),"")</f>
        <v/>
      </c>
      <c r="L173" s="314" t="str">
        <f t="shared" si="4"/>
        <v>-</v>
      </c>
      <c r="M173" s="315"/>
    </row>
    <row r="174" spans="1:13" ht="15.6">
      <c r="A174" s="536">
        <v>142</v>
      </c>
      <c r="B174" s="536" t="str">
        <f>IFERROR(IF($A174&lt;'DWV PVC'!$A$317,VLOOKUP($A174,'DWV PVC'!$A$9:$M$316,4,FALSE),
IF($A174&lt;'DWV ABS'!$A$117,VLOOKUP($A174,'DWV ABS'!$A$8:$M$116,4,FALSE),
IF($A174&lt;'PVC SCH40'!$A$425,VLOOKUP($A174,'PVC SCH40'!$A$8:$M$424,4,FALSE),
IF($A174&lt;'PVC SCH40 LD'!$A$22,VLOOKUP($A174,'PVC SCH40 LD'!$A$8:$M$21,4,FALSE),
IF($A174&lt;'Pool &amp; SPA Sweep Elbows'!$A$12,VLOOKUP($A174,'Pool &amp; SPA Sweep Elbows'!$A$8:$M$11,4,FALSE),
IF($A174&lt;'Pool &amp; SPA Pipe Extender'!$A$11,VLOOKUP($A174,'Pool &amp; SPA Pipe Extender'!$A$8:$M$10,4,FALSE),
IF($A174&lt;'PVC SCH80'!$A$250,VLOOKUP($A174,'PVC SCH80'!$A$8:$M$249,4,FALSE),
IF($A174&lt;'PVC SCH80 Flange'!$A$49,VLOOKUP($A174,'PVC SCH80 Flange'!$A$8:$M$48,4,FALSE),
IF($A174&lt;'PVC SCH80 LD Flange'!$A$17,VLOOKUP($A174,'PVC SCH80 LD Flange'!$A$8:$M$16,4,FALSE),
IF($A174&lt;CPVC!$A$105,VLOOKUP($A174,CPVC!$A$9:$M$104,4,FALSE),
IF($A174&lt;InsertFittings!$A$185,VLOOKUP($A174,InsertFittings!$A$9:$M$184,4,FALSE),
IF($A174&lt;Valves!$A$92,VLOOKUP($A174,Valves!$A$9:$Q$91,4,FALSE),
IF($A174&lt;SDR35SW!$A$133,VLOOKUP($A174,SDR35SW!$A$9:$M$132,4,FALSE),
IF($A174&lt;SDR35G!$A$151,VLOOKUP($A174,SDR35G!$A$9:$M$150,4,FALSE),
IF($A174&lt;SDR26G!$A$67,VLOOKUP($A174,SDR26G!$A$9:$N$66,5,FALSE),
IF($A174&lt;Cements!$A$95,VLOOKUP($A174,Cements!$A$8:$Q$94,4,FALSE),
IF($A174&lt;ValveBox!$A$124,VLOOKUP($A174,ValveBox!$A$9:$O$123,4,FALSE),
IF($A174&lt;'ValveBox Components'!$A$142,VLOOKUP($A174,'ValveBox Components'!$A$9:$N$141,4,FALSE),
IF($A174&lt;Drainage!$A$69,VLOOKUP($A174,Drainage!$A$8:$M$68,4,FALSE),
IF($A174&lt;Nipples!$A$82,VLOOKUP($A174,Nipples!$A$9:$Q$81,4,FALSE),
IF($A174&lt;Manifold!$A$33,VLOOKUP($A174,Manifold!$A$9:$M$32,4,FALSE),
IF($A174&lt;FlexibleRepairCouplings!$A$12,VLOOKUP($A174,FlexibleRepairCouplings!$A$9:$M$11,4,FALSE),
IF($A174&lt;DuraFix!$A$15,VLOOKUP($A174,DuraFix!$A$9:$M$14,4,FALSE),
IF($A174&lt;'Compression Fittings'!$A$16,VLOOKUP($A174,'Compression Fittings'!$A$8:$M$15,4,FALSE),
IF($A174&lt;'Hose Fittings'!$A$30,VLOOKUP($A174,'Hose Fittings'!$A$8:$M$29,4,FALSE),
IF($A174&lt;'Swing Joints'!$A$495,VLOOKUP($A174,'Swing Joints'!$A$9:$M$494,4,FALSE),
IF($A174&lt;'Swing Joints Components'!$A$135,VLOOKUP($A174,'Swing Joints Components'!$A$9:$M$134,4,FALSE),
IF($A174&lt;Nonstandard!$A$42,VLOOKUP($A174,Nonstandard!$A$31:$J$41,5,FALSE),"")))))))))))))))))))))))))))),"")</f>
        <v/>
      </c>
      <c r="C174" s="536" t="str">
        <f>IFERROR(IF($A174&lt;'DWV PVC'!$A$317,VLOOKUP($A174,'DWV PVC'!$A$9:$M$316,5,FALSE),
IF($A174&lt;'DWV ABS'!$A$117,VLOOKUP($A174,'DWV ABS'!$A$8:$M$116,5,FALSE),
IF($A174&lt;'PVC SCH40'!$A$425,VLOOKUP($A174,'PVC SCH40'!$A$8:$M$424,5,FALSE),
IF($A174&lt;'PVC SCH40 LD'!$A$22,VLOOKUP($A174,'PVC SCH40 LD'!$A$8:$M$21,5,FALSE),
IF($A174&lt;'Pool &amp; SPA Sweep Elbows'!$A$12,VLOOKUP($A174,'Pool &amp; SPA Sweep Elbows'!$A$8:$M$11,5,FALSE),
IF($A174&lt;'Pool &amp; SPA Pipe Extender'!$A$11,VLOOKUP($A174,'Pool &amp; SPA Pipe Extender'!$A$8:$M$10,5,FALSE),
IF($A174&lt;'PVC SCH80'!$A$250,VLOOKUP($A174,'PVC SCH80'!$A$8:$M$249,5,FALSE),
IF($A174&lt;'PVC SCH80 Flange'!$A$49,VLOOKUP($A174,'PVC SCH80 Flange'!$A$8:$M$48,5,FALSE),
IF($A174&lt;'PVC SCH80 LD Flange'!$A$17,VLOOKUP($A174,'PVC SCH80 LD Flange'!$A$8:$M$16,5,FALSE),
IF($A174&lt;CPVC!$A$105,VLOOKUP($A174,CPVC!$A$9:$M$104,5,FALSE),
IF($A174&lt;InsertFittings!$A$185,VLOOKUP($A174,InsertFittings!$A$9:$M$184,5,FALSE),
IF($A174&lt;Valves!$A$92,VLOOKUP($A174,Valves!$A$9:$Q$91,5,FALSE),
IF($A174&lt;SDR35SW!$A$133,VLOOKUP($A174,SDR35SW!$A$9:$M$132,5,FALSE),
IF($A174&lt;SDR35G!$A$151,VLOOKUP($A174,SDR35G!$A$9:$M$150,5,FALSE),
IF($A174&lt;SDR26G!$A$67,VLOOKUP($A174,SDR26G!$A$9:$N$66,6,FALSE),
IF($A174&lt;Cements!$A$95,VLOOKUP($A174,Cements!$A$8:$Q$94,5,FALSE),
IF($A174&lt;ValveBox!$A$124,VLOOKUP($A174,ValveBox!$A$9:$O$123,5,FALSE),
IF($A174&lt;'ValveBox Components'!$A$142,VLOOKUP($A174,'ValveBox Components'!$A$9:$N$141,5,FALSE),
IF($A174&lt;Drainage!$A$69,VLOOKUP($A174,Drainage!$A$8:$M$68,5,FALSE),
IF($A174&lt;Nipples!$A$82,VLOOKUP($A174,Nipples!$A$9:$Q$81,5,FALSE),
IF($A174&lt;Manifold!$A$33,VLOOKUP($A174,Manifold!$A$9:$M$32,5,FALSE),
IF($A174&lt;FlexibleRepairCouplings!$A$12,VLOOKUP($A174,FlexibleRepairCouplings!$A$9:$M$11,5,FALSE),
IF($A174&lt;DuraFix!$A$15,VLOOKUP($A174,DuraFix!$A$9:$M$14,5,FALSE),
IF($A174&lt;'Compression Fittings'!$A$16,VLOOKUP($A174,'Compression Fittings'!$A$8:$M$15,5,FALSE),
IF($A174&lt;'Hose Fittings'!$A$30,VLOOKUP($A174,'Hose Fittings'!$A$8:$M$29,5,FALSE),
IF($A174&lt;'Swing Joints'!$A$495,VLOOKUP($A174,'Swing Joints'!$A$9:$M$494,5,FALSE),
IF($A174&lt;'Swing Joints Components'!$A$135,VLOOKUP($A174,'Swing Joints Components'!$A$9:$M$134,5,FALSE),
IF($A174&lt;Nonstandard!$A$42,VLOOKUP($A174,Nonstandard!$A$31:$J$41,6,FALSE),"")))))))))))))))))))))))))))),"")</f>
        <v/>
      </c>
      <c r="D174" s="537" t="str">
        <f>IFERROR(IF($A174&lt;'DWV PVC'!$A$317,VLOOKUP($A174,'DWV PVC'!$A$9:$M$316,6,FALSE),
IF($A174&lt;'DWV ABS'!$A$117,VLOOKUP($A174,'DWV ABS'!$A$8:$M$116,6,FALSE),
IF($A174&lt;'PVC SCH40'!$A$425,VLOOKUP($A174,'PVC SCH40'!$A$8:$M$424,6,FALSE),
IF($A174&lt;'PVC SCH40 LD'!$A$22,VLOOKUP($A174,'PVC SCH40 LD'!$A$8:$M$21,6,FALSE),
IF($A174&lt;'Pool &amp; SPA Sweep Elbows'!$A$12,VLOOKUP($A174,'Pool &amp; SPA Sweep Elbows'!$A$8:$M$11,6,FALSE),
IF($A174&lt;'Pool &amp; SPA Pipe Extender'!$A$11,VLOOKUP($A174,'Pool &amp; SPA Pipe Extender'!$A$8:$M$10,6,FALSE),
IF($A174&lt;'PVC SCH80'!$A$250,VLOOKUP($A174,'PVC SCH80'!$A$8:$M$249,6,FALSE),
IF($A174&lt;'PVC SCH80 Flange'!$A$49,VLOOKUP($A174,'PVC SCH80 Flange'!$A$8:$M$48,6,FALSE),
IF($A174&lt;'PVC SCH80 LD Flange'!$A$17,VLOOKUP($A174,'PVC SCH80 LD Flange'!$A$8:$M$16,6,FALSE),
IF($A174&lt;CPVC!$A$105,VLOOKUP($A174,CPVC!$A$9:$M$104,6,FALSE),
IF($A174&lt;InsertFittings!$A$185,VLOOKUP($A174,InsertFittings!$A$9:$M$184,6,FALSE),
IF($A174&lt;Valves!$A$92,VLOOKUP($A174,Valves!$A$9:$Q$91,6,FALSE),
IF($A174&lt;SDR35SW!$A$133,VLOOKUP($A174,SDR35SW!$A$9:$M$132,6,FALSE),
IF($A174&lt;SDR35G!$A$151,VLOOKUP($A174,SDR35G!$A$9:$M$150,6,FALSE),
IF($A174&lt;SDR26G!$A$67,VLOOKUP($A174,SDR26G!$A$9:$N$66,7,FALSE),
IF($A174&lt;Cements!$A$95,VLOOKUP($A174,Cements!$A$8:$Q$94,6,FALSE),
IF($A174&lt;ValveBox!$A$124,VLOOKUP($A174,ValveBox!$A$9:$O$123,6,FALSE),
IF($A174&lt;'ValveBox Components'!$A$142,VLOOKUP($A174,'ValveBox Components'!$A$9:$N$141,6,FALSE),
IF($A174&lt;Drainage!$A$69,VLOOKUP($A174,Drainage!$A$8:$M$68,6,FALSE),
IF($A174&lt;Nipples!$A$82,VLOOKUP($A174,Nipples!$A$9:$Q$81,6,FALSE),
IF($A174&lt;Manifold!$A$33,VLOOKUP($A174,Manifold!$A$9:$M$32,6,FALSE),
IF($A174&lt;FlexibleRepairCouplings!$A$12,VLOOKUP($A174,FlexibleRepairCouplings!$A$9:$M$11,6,FALSE),
IF($A174&lt;DuraFix!$A$15,VLOOKUP($A174,DuraFix!$A$9:$M$14,6,FALSE),
IF($A174&lt;'Compression Fittings'!$A$16,VLOOKUP($A174,'Compression Fittings'!$A$8:$M$15,6,FALSE),
IF($A174&lt;'Hose Fittings'!$A$30,VLOOKUP($A174,'Hose Fittings'!$A$8:$M$29,6,FALSE),
IF($A174&lt;'Swing Joints'!$A$495,VLOOKUP($A174,'Swing Joints'!$A$9:$M$494,6,FALSE),
IF($A174&lt;'Swing Joints Components'!$A$135,VLOOKUP($A174,'Swing Joints Components'!$A$9:$M$134,6,FALSE),
IF($A174&lt;Nonstandard!$A$42,VLOOKUP($A174,Nonstandard!$A$31:$J$41,7,FALSE),"")))))))))))))))))))))))))))),"")</f>
        <v/>
      </c>
      <c r="E174" s="538"/>
      <c r="F174" s="539" t="str">
        <f>IFERROR(IF($A174&lt;'DWV PVC'!$A$317,VLOOKUP($A174,'DWV PVC'!$A$9:$M$316,9,FALSE),
IF($A174&lt;'DWV ABS'!$A$117,VLOOKUP($A174,'DWV ABS'!$A$8:$M$116,9,FALSE),                                                                                                                                                                                                                                                     IF($A174&lt;'PVC SCH40'!$A$425,VLOOKUP($A174,'PVC SCH40'!$A$8:$M$424,9,FALSE),
IF($A174&lt;'PVC SCH40 LD'!$A$22,VLOOKUP($A174,'PVC SCH40 LD'!$A$8:$M$21,9,FALSE),
IF($A174&lt;'Pool &amp; SPA Sweep Elbows'!$A$12,VLOOKUP($A174,'Pool &amp; SPA Sweep Elbows'!$A$8:$M$11,9,FALSE),
IF($A174&lt;'Pool &amp; SPA Pipe Extender'!$A$11,VLOOKUP($A174,'Pool &amp; SPA Pipe Extender'!$A$8:$M$10,9,FALSE),
IF($A174&lt;'PVC SCH80'!$A$250,VLOOKUP($A174,'PVC SCH80'!$A$8:$M$249,9,FALSE),
IF($A174&lt;'PVC SCH80 Flange'!$A$49,VLOOKUP($A174,'PVC SCH80 Flange'!$A$8:$M$48,9,FALSE),
IF($A174&lt;'PVC SCH80 LD Flange'!$A$17,VLOOKUP($A174,'PVC SCH80 LD Flange'!$A$8:$M$16,9,FALSE),
IF($A174&lt;CPVC!$A$105,VLOOKUP($A174,CPVC!$A$9:$M$104,9,FALSE),
IF($A174&lt;InsertFittings!$A$185,VLOOKUP($A174,InsertFittings!$A$9:$M$184,9,FALSE),
IF($A174&lt;Valves!$A$92,VLOOKUP($A174,Valves!$A$9:$Q$91,13,FALSE),
IF($A174&lt;SDR35SW!$A$133,VLOOKUP($A174,SDR35SW!$A$9:$M$132,9,FALSE),
IF($A174&lt;SDR35G!$A$151,VLOOKUP($A174,SDR35G!$A$9:$M$150,9,FALSE),                                                                                                                                                                                                                                                          IF($A174&lt;SDR26G!$A$67,VLOOKUP($A174,SDR26G!$A$9:$N$66,10,FALSE),                                                                                                                                                                                                                                                       IF($A174&lt;Cements!$A$95,VLOOKUP($A174,Cements!$A$8:$Q$94,13,FALSE),
IF($A174&lt;ValveBox!$A$124,VLOOKUP($A174,ValveBox!$A$9:$O$123,11,FALSE),
IF($A174&lt;'ValveBox Components'!$A$142,VLOOKUP($A174,'ValveBox Components'!$A$9:$N$141,10,FALSE),
IF($A174&lt;Drainage!$A$69,VLOOKUP($A174,Drainage!$A$8:$M$68,9,FALSE),                                                                                                                                                                                                                                                              IF($A174&lt;Nipples!$A$82,VLOOKUP($A174,Nipples!$A$9:$Q$81,13,FALSE),
IF($A174&lt;Manifold!$A$33,VLOOKUP($A174,Manifold!$A$9:$M$32,9,FALSE),
IF($A174&lt;FlexibleRepairCouplings!$A$12,VLOOKUP($A174,FlexibleRepairCouplings!$A$9:$M$11,9,FALSE),
IF($A174&lt;DuraFix!$A$15,VLOOKUP($A174,DuraFix!$A$9:$M$14,9,FALSE),                                                                                                                                                                                                                                                          IF($A174&lt;'Compression Fittings'!$A$16,VLOOKUP($A174,'Compression Fittings'!$A$8:$M$15,9,FALSE),
IF($A174&lt;'Hose Fittings'!$A$30,VLOOKUP($A174,'Hose Fittings'!$A$8:$M$29,9,FALSE),
IF($A174&lt;'Swing Joints'!$A$495,VLOOKUP($A174,'Swing Joints'!$A$9:$M$494,9,FALSE),
IF($A174&lt;'Swing Joints Components'!$A$135,VLOOKUP($A174,'Swing Joints Components'!$A$9:$M$134,9,FALSE),
IF($A174&lt;Nonstandard!$A$42,VLOOKUP($A174,Nonstandard!$A$31:$J$41,8,FALSE),"")))))))))))))))))))))))))))),"")</f>
        <v/>
      </c>
      <c r="G174" s="540" t="str">
        <f>IFERROR(IF($A174&lt;'DWV PVC'!$A$317,VLOOKUP($A174,'DWV PVC'!$A$9:$M$316,11,FALSE),
IF($A174&lt;'DWV ABS'!$A$117,VLOOKUP($A174,'DWV ABS'!$A$8:$M$116,11,FALSE),                                                                                                                                                                                                                                                     IF($A174&lt;'PVC SCH40'!$A$425,VLOOKUP($A174,'PVC SCH40'!$A$8:$M$424,11,FALSE),
IF($A174&lt;'PVC SCH40 LD'!$A$22,VLOOKUP($A174,'PVC SCH40 LD'!$A$8:$M$21,11,FALSE),
IF($A174&lt;'Pool &amp; SPA Sweep Elbows'!$A$12,VLOOKUP($A174,'Pool &amp; SPA Sweep Elbows'!$A$8:$M$11,11,FALSE),
IF($A174&lt;'Pool &amp; SPA Pipe Extender'!$A$11,VLOOKUP($A174,'Pool &amp; SPA Pipe Extender'!$A$8:$M$10,11,FALSE),
IF($A174&lt;'PVC SCH80'!$A$250,VLOOKUP($A174,'PVC SCH80'!$A$8:$M$249,11,FALSE),
IF($A174&lt;'PVC SCH80 Flange'!$A$49,VLOOKUP($A174,'PVC SCH80 Flange'!$A$8:$M$48,11,FALSE),
IF($A174&lt;'PVC SCH80 LD Flange'!$A$17,VLOOKUP($A174,'PVC SCH80 LD Flange'!$A$8:$M$16,11,FALSE),
IF($A174&lt;CPVC!$A$105,VLOOKUP($A174,CPVC!$A$9:$M$104,11,FALSE),
IF($A174&lt;InsertFittings!$A$185,VLOOKUP($A174,InsertFittings!$A$9:$M$184,11,FALSE),
IF($A174&lt;Valves!$A$92,VLOOKUP($A174,Valves!$A$9:$Q$91,15,FALSE),
IF($A174&lt;SDR35SW!$A$133,VLOOKUP($A174,SDR35SW!$A$9:$M$132,11,FALSE),
IF($A174&lt;SDR35G!$A$151,VLOOKUP($A174,SDR35G!$A$9:$M$150,11,FALSE),                                                                                                                                                                                                                                                          IF($A174&lt;SDR26G!$A$67,VLOOKUP($A174,SDR26G!$A$9:$N$66,12,FALSE),                                                                                                                                                                                                                                                       IF($A174&lt;Cements!$A$95,VLOOKUP($A174,Cements!$A$8:$Q$94,15,FALSE),
IF($A174&lt;ValveBox!$A$124,VLOOKUP($A174,ValveBox!$A$9:$O$123,13,FALSE),
IF($A174&lt;'ValveBox Components'!$A$142,VLOOKUP($A174,'ValveBox Components'!$A$9:$N$141,12,FALSE),
IF($A174&lt;Drainage!$A$69,VLOOKUP($A174,Drainage!$A$8:$M$68,11,FALSE),                                                                                                                                                                                                                                                           IF($A174&lt;Nipples!$A$82,VLOOKUP($A174,Nipples!$A$9:$Q$81,15,FALSE),
IF($A174&lt;Manifold!$A$33,VLOOKUP($A174,Manifold!$A$9:$M$32,11,FALSE),
IF($A174&lt;FlexibleRepairCouplings!$A$12,VLOOKUP($A174,FlexibleRepairCouplings!$A$9:$M$11,11,FALSE),
IF($A174&lt;DuraFix!$A$15,VLOOKUP($A174,DuraFix!$A$9:$M$14,11,FALSE),                                                                                                                                                                                                                                                            IF($A174&lt;'Compression Fittings'!$A$16,VLOOKUP($A174,'Compression Fittings'!$A$8:$M$15,11,FALSE),
IF($A174&lt;'Hose Fittings'!$A$30,VLOOKUP($A174,'Hose Fittings'!$A$8:$M$29,11,FALSE),
IF($A174&lt;'Swing Joints'!$A$495,VLOOKUP($A174,'Swing Joints'!$A$9:$M$494,11,FALSE),
IF($A174&lt;'Swing Joints Components'!$A$135,VLOOKUP($A174,'Swing Joints Components'!$A$9:$M$134,11,FALSE),
IF($A174&lt;Nonstandard!$A$42,VLOOKUP($A174,Nonstandard!$A$31:$J$41,10,FALSE),"")))))))))))))))))))))))))))),"")</f>
        <v/>
      </c>
      <c r="H174" s="620" t="str">
        <f>IFERROR(IF($A174&lt;'DWV PVC'!$A$317,VLOOKUP($A174,'DWV PVC'!$A$9:$M$316,7,FALSE),
IF($A174&lt;'DWV ABS'!$A$117,VLOOKUP($A174,'DWV ABS'!$A$8:$M$116,11,FALSE),                                                                                                                                                                                                                                                     IF($A174&lt;'PVC SCH40'!$A$425,VLOOKUP($A174,'PVC SCH40'!$A$8:$M$424,7,FALSE),
IF($A174&lt;'PVC SCH40 LD'!$A$22,VLOOKUP($A174,'PVC SCH40 LD'!$A$8:$M$21,7,FALSE),
IF($A174&lt;'Pool &amp; SPA Sweep Elbows'!$A$12,VLOOKUP($A174,'Pool &amp; SPA Sweep Elbows'!$A$8:$M$11,7,FALSE),
IF($A174&lt;'Pool &amp; SPA Pipe Extender'!$A$11,VLOOKUP($A174,'Pool &amp; SPA Pipe Extender'!$A$8:$M$10,7,FALSE),
IF($A174&lt;'PVC SCH80'!$A$250,VLOOKUP($A174,'PVC SCH80'!$A$8:$M$249,7,FALSE),
IF($A174&lt;'PVC SCH80 Flange'!$A$49,VLOOKUP($A174,'PVC SCH80 Flange'!$A$8:$M$48,7,FALSE),
IF($A174&lt;'PVC SCH80 LD Flange'!$A$17,VLOOKUP($A174,'PVC SCH80 LD Flange'!$A$8:$M$16,7,FALSE),
IF($A174&lt;CPVC!$A$105,VLOOKUP($A174,CPVC!$A$9:$M$104,7,FALSE),
IF($A174&lt;InsertFittings!$A$185,VLOOKUP($A174,InsertFittings!$A$9:$M$184,7,FALSE),
IF($A174&lt;Valves!$A$92,VLOOKUP($A174,Valves!$A$9:$Q$91,11,FALSE),
IF($A174&lt;SDR35SW!$A$133,VLOOKUP($A174,SDR35SW!$A$9:$M$132,7,FALSE),
IF($A174&lt;SDR35G!$A$151,VLOOKUP($A174,SDR35G!$A$9:$M$150,7,FALSE),                                                                                                                                                                                                                                                       IF($A174&lt;SDR26G!$A$67,VLOOKUP($A174,SDR26G!$A$9:$N$66,8,FALSE),                                                                                                                                                                                                                                                     IF($A174&lt;Cements!$A$95,VLOOKUP($A174,Cements!$A$8:$Q$94,11,FALSE),
IF($A174&lt;ValveBox!$A$124,VLOOKUP($A174,ValveBox!$A$9:$O$123,10,FALSE),
IF($A174&lt;'ValveBox Components'!$A$142,VLOOKUP($A174,'ValveBox Components'!$A$9:$N$141,9,FALSE),
IF($A174&lt;Drainage!$A$69,VLOOKUP($A174,Drainage!$A$8:$M$68,7,FALSE),                                                                                                                                                                                                                                                          IF($A174&lt;Nipples!$A$82,VLOOKUP($A174,Nipples!$A$9:$Q$81,11,FALSE),
IF($A174&lt;Manifold!$A$33,VLOOKUP($A174,Manifold!$A$9:$M$32,7,FALSE),
IF($A174&lt;FlexibleRepairCouplings!$A$12,VLOOKUP($A174,FlexibleRepairCouplings!$A$9:$M$11,7,FALSE),
IF($A174&lt;DuraFix!$A$15,VLOOKUP($A174,DuraFix!$A$9:$M$14,7,FALSE),                                                                                                                                                                                                                                                           IF($A174&lt;'Compression Fittings'!$A$16,VLOOKUP($A174,'Compression Fittings'!$A$8:$M$15,7,FALSE),
IF($A174&lt;'Hose Fittings'!$A$30,VLOOKUP($A174,'Hose Fittings'!$A$8:$M$29,7,FALSE),
IF($A174&lt;'Swing Joints'!$A$495,VLOOKUP($A174,'Swing Joints'!$A$9:$M$494,7,FALSE),
IF($A174&lt;'Swing Joints Components'!$A$135,VLOOKUP($A174,'Swing Joints Components'!$A$9:$M$134,7,FALSE),
IF($A174&lt;Nonstandard!$A$42,VLOOKUP($A174,Nonstandard!$A$31:$J$41,10,FALSE),"")))))))))))))))))))))))))))),"")</f>
        <v/>
      </c>
      <c r="I174" s="621"/>
      <c r="J174" s="541" t="str">
        <f t="shared" si="5"/>
        <v/>
      </c>
      <c r="K174" s="599" t="str">
        <f>IFERROR(IF($A174&lt;'DWV PVC'!$A$317,VLOOKUP($A174,'DWV PVC'!$A$9:$M$316,10,FALSE),
IF($A174&lt;'DWV ABS'!$A$117,VLOOKUP($A174,'DWV ABS'!$A$8:$M$116,10,FALSE),
IF($A174&lt;'PVC SCH40'!$A$425,VLOOKUP($A174,'PVC SCH40'!$A$8:$M$424,10,FALSE),
IF($A174&lt;'PVC SCH40 LD'!$A$22,VLOOKUP($A174,'PVC SCH40 LD'!$A$8:$M$21,10,FALSE),
IF($A174&lt;'Pool &amp; SPA Sweep Elbows'!$A$12,VLOOKUP($A174,'Pool &amp; SPA Sweep Elbows'!$A$8:$M$11,10,FALSE),
IF($A174&lt;'Pool &amp; SPA Pipe Extender'!$A$11,VLOOKUP($A174,'Pool &amp; SPA Pipe Extender'!$A$8:$M$10,10,FALSE),
IF($A174&lt;'PVC SCH80'!$A$250,VLOOKUP($A174,'PVC SCH80'!$A$8:$M$249,10,FALSE),
IF($A174&lt;'PVC SCH80 Flange'!$A$49,VLOOKUP($A174,'PVC SCH80 Flange'!$A$8:$M$48,10,FALSE),
IF($A174&lt;'PVC SCH80 LD Flange'!$A$17,VLOOKUP($A174,'PVC SCH80 LD Flange'!$A$8:$M$16,10,FALSE),
IF($A174&lt;CPVC!$A$105,VLOOKUP($A174,CPVC!$A$9:$M$104,10,FALSE),
IF($A174&lt;InsertFittings!$A$185,VLOOKUP($A174,InsertFittings!$A$9:$M$184,10,FALSE),
IF($A174&lt;Valves!$A$92,VLOOKUP($A174,Valves!$A$9:$Q$91,14,FALSE),
IF($A174&lt;SDR35SW!$A$133,VLOOKUP($A174,SDR35SW!$A$9:$M$132,10,FALSE),
IF($A174&lt;SDR35G!$A$151,VLOOKUP($A174,SDR35G!$A$9:$M$150,10,FALSE),
IF($A174&lt;SDR26G!$A$67,VLOOKUP($A174,SDR26G!$A$9:$N$66,11,FALSE),
IF($A174&lt;Cements!$A$95,VLOOKUP($A174,Cements!$A$8:$Q$94,14,FALSE),
IF($A174&lt;ValveBox!$A$124,VLOOKUP($A174,ValveBox!$A$9:$O$123,12,FALSE),
IF($A174&lt;'ValveBox Components'!$A$142,VLOOKUP($A174,'ValveBox Components'!$A$9:$N$141,11,FALSE),
IF($A174&lt;Drainage!$A$69,VLOOKUP($A174,Drainage!$A$8:$M$68,10,FALSE),
IF($A174&lt;Nipples!$A$82,VLOOKUP($A174,Nipples!$A$9:$Q$81,14,FALSE),
IF($A174&lt;Manifold!$A$33,VLOOKUP($A174,Manifold!$A$9:$M$32,10,FALSE),
IF($A174&lt;FlexibleRepairCouplings!$A$12,VLOOKUP($A174,FlexibleRepairCouplings!$A$9:$M$11,10,FALSE),
IF($A174&lt;DuraFix!$A$15,VLOOKUP($A174,DuraFix!$A$9:$M$14,10,FALSE),
IF($A174&lt;'Compression Fittings'!$A$16,VLOOKUP($A174,'Compression Fittings'!$A$8:$M$15,10,FALSE),
IF($A174&lt;'Hose Fittings'!$A$30,VLOOKUP($A174,'Hose Fittings'!$A$8:$M$29,10,FALSE),
IF($A174&lt;'Swing Joints'!$A$495,VLOOKUP($A174,'Swing Joints'!$A$9:$M$494,10,FALSE),
IF($A174&lt;'Swing Joints Components'!$A$135,VLOOKUP($A174,'Swing Joints Components'!$A$9:$M$134,10,FALSE),
IF($A174&lt;Nonstandard!$A$42,VLOOKUP($A174,Nonstandard!$A$31:$J$41,10,FALSE),"")))))))))))))))))))))))))))),"")</f>
        <v/>
      </c>
      <c r="L174" s="539" t="str">
        <f t="shared" si="4"/>
        <v>-</v>
      </c>
      <c r="M174" s="542"/>
    </row>
    <row r="175" spans="1:13" ht="15.6">
      <c r="A175" s="312">
        <v>143</v>
      </c>
      <c r="B175" s="312" t="str">
        <f>IFERROR(IF($A175&lt;'DWV PVC'!$A$317,VLOOKUP($A175,'DWV PVC'!$A$9:$M$316,4,FALSE),
IF($A175&lt;'DWV ABS'!$A$117,VLOOKUP($A175,'DWV ABS'!$A$8:$M$116,4,FALSE),
IF($A175&lt;'PVC SCH40'!$A$425,VLOOKUP($A175,'PVC SCH40'!$A$8:$M$424,4,FALSE),
IF($A175&lt;'PVC SCH40 LD'!$A$22,VLOOKUP($A175,'PVC SCH40 LD'!$A$8:$M$21,4,FALSE),
IF($A175&lt;'Pool &amp; SPA Sweep Elbows'!$A$12,VLOOKUP($A175,'Pool &amp; SPA Sweep Elbows'!$A$8:$M$11,4,FALSE),
IF($A175&lt;'Pool &amp; SPA Pipe Extender'!$A$11,VLOOKUP($A175,'Pool &amp; SPA Pipe Extender'!$A$8:$M$10,4,FALSE),
IF($A175&lt;'PVC SCH80'!$A$250,VLOOKUP($A175,'PVC SCH80'!$A$8:$M$249,4,FALSE),
IF($A175&lt;'PVC SCH80 Flange'!$A$49,VLOOKUP($A175,'PVC SCH80 Flange'!$A$8:$M$48,4,FALSE),
IF($A175&lt;'PVC SCH80 LD Flange'!$A$17,VLOOKUP($A175,'PVC SCH80 LD Flange'!$A$8:$M$16,4,FALSE),
IF($A175&lt;CPVC!$A$105,VLOOKUP($A175,CPVC!$A$9:$M$104,4,FALSE),
IF($A175&lt;InsertFittings!$A$185,VLOOKUP($A175,InsertFittings!$A$9:$M$184,4,FALSE),
IF($A175&lt;Valves!$A$92,VLOOKUP($A175,Valves!$A$9:$Q$91,4,FALSE),
IF($A175&lt;SDR35SW!$A$133,VLOOKUP($A175,SDR35SW!$A$9:$M$132,4,FALSE),
IF($A175&lt;SDR35G!$A$151,VLOOKUP($A175,SDR35G!$A$9:$M$150,4,FALSE),
IF($A175&lt;SDR26G!$A$67,VLOOKUP($A175,SDR26G!$A$9:$N$66,5,FALSE),
IF($A175&lt;Cements!$A$95,VLOOKUP($A175,Cements!$A$8:$Q$94,4,FALSE),
IF($A175&lt;ValveBox!$A$124,VLOOKUP($A175,ValveBox!$A$9:$O$123,4,FALSE),
IF($A175&lt;'ValveBox Components'!$A$142,VLOOKUP($A175,'ValveBox Components'!$A$9:$N$141,4,FALSE),
IF($A175&lt;Drainage!$A$69,VLOOKUP($A175,Drainage!$A$8:$M$68,4,FALSE),
IF($A175&lt;Nipples!$A$82,VLOOKUP($A175,Nipples!$A$9:$Q$81,4,FALSE),
IF($A175&lt;Manifold!$A$33,VLOOKUP($A175,Manifold!$A$9:$M$32,4,FALSE),
IF($A175&lt;FlexibleRepairCouplings!$A$12,VLOOKUP($A175,FlexibleRepairCouplings!$A$9:$M$11,4,FALSE),
IF($A175&lt;DuraFix!$A$15,VLOOKUP($A175,DuraFix!$A$9:$M$14,4,FALSE),
IF($A175&lt;'Compression Fittings'!$A$16,VLOOKUP($A175,'Compression Fittings'!$A$8:$M$15,4,FALSE),
IF($A175&lt;'Hose Fittings'!$A$30,VLOOKUP($A175,'Hose Fittings'!$A$8:$M$29,4,FALSE),
IF($A175&lt;'Swing Joints'!$A$495,VLOOKUP($A175,'Swing Joints'!$A$9:$M$494,4,FALSE),
IF($A175&lt;'Swing Joints Components'!$A$135,VLOOKUP($A175,'Swing Joints Components'!$A$9:$M$134,4,FALSE),
IF($A175&lt;Nonstandard!$A$42,VLOOKUP($A175,Nonstandard!$A$31:$J$41,5,FALSE),"")))))))))))))))))))))))))))),"")</f>
        <v/>
      </c>
      <c r="C175" s="312" t="str">
        <f>IFERROR(IF($A175&lt;'DWV PVC'!$A$317,VLOOKUP($A175,'DWV PVC'!$A$9:$M$316,5,FALSE),
IF($A175&lt;'DWV ABS'!$A$117,VLOOKUP($A175,'DWV ABS'!$A$8:$M$116,5,FALSE),
IF($A175&lt;'PVC SCH40'!$A$425,VLOOKUP($A175,'PVC SCH40'!$A$8:$M$424,5,FALSE),
IF($A175&lt;'PVC SCH40 LD'!$A$22,VLOOKUP($A175,'PVC SCH40 LD'!$A$8:$M$21,5,FALSE),
IF($A175&lt;'Pool &amp; SPA Sweep Elbows'!$A$12,VLOOKUP($A175,'Pool &amp; SPA Sweep Elbows'!$A$8:$M$11,5,FALSE),
IF($A175&lt;'Pool &amp; SPA Pipe Extender'!$A$11,VLOOKUP($A175,'Pool &amp; SPA Pipe Extender'!$A$8:$M$10,5,FALSE),
IF($A175&lt;'PVC SCH80'!$A$250,VLOOKUP($A175,'PVC SCH80'!$A$8:$M$249,5,FALSE),
IF($A175&lt;'PVC SCH80 Flange'!$A$49,VLOOKUP($A175,'PVC SCH80 Flange'!$A$8:$M$48,5,FALSE),
IF($A175&lt;'PVC SCH80 LD Flange'!$A$17,VLOOKUP($A175,'PVC SCH80 LD Flange'!$A$8:$M$16,5,FALSE),
IF($A175&lt;CPVC!$A$105,VLOOKUP($A175,CPVC!$A$9:$M$104,5,FALSE),
IF($A175&lt;InsertFittings!$A$185,VLOOKUP($A175,InsertFittings!$A$9:$M$184,5,FALSE),
IF($A175&lt;Valves!$A$92,VLOOKUP($A175,Valves!$A$9:$Q$91,5,FALSE),
IF($A175&lt;SDR35SW!$A$133,VLOOKUP($A175,SDR35SW!$A$9:$M$132,5,FALSE),
IF($A175&lt;SDR35G!$A$151,VLOOKUP($A175,SDR35G!$A$9:$M$150,5,FALSE),
IF($A175&lt;SDR26G!$A$67,VLOOKUP($A175,SDR26G!$A$9:$N$66,6,FALSE),
IF($A175&lt;Cements!$A$95,VLOOKUP($A175,Cements!$A$8:$Q$94,5,FALSE),
IF($A175&lt;ValveBox!$A$124,VLOOKUP($A175,ValveBox!$A$9:$O$123,5,FALSE),
IF($A175&lt;'ValveBox Components'!$A$142,VLOOKUP($A175,'ValveBox Components'!$A$9:$N$141,5,FALSE),
IF($A175&lt;Drainage!$A$69,VLOOKUP($A175,Drainage!$A$8:$M$68,5,FALSE),
IF($A175&lt;Nipples!$A$82,VLOOKUP($A175,Nipples!$A$9:$Q$81,5,FALSE),
IF($A175&lt;Manifold!$A$33,VLOOKUP($A175,Manifold!$A$9:$M$32,5,FALSE),
IF($A175&lt;FlexibleRepairCouplings!$A$12,VLOOKUP($A175,FlexibleRepairCouplings!$A$9:$M$11,5,FALSE),
IF($A175&lt;DuraFix!$A$15,VLOOKUP($A175,DuraFix!$A$9:$M$14,5,FALSE),
IF($A175&lt;'Compression Fittings'!$A$16,VLOOKUP($A175,'Compression Fittings'!$A$8:$M$15,5,FALSE),
IF($A175&lt;'Hose Fittings'!$A$30,VLOOKUP($A175,'Hose Fittings'!$A$8:$M$29,5,FALSE),
IF($A175&lt;'Swing Joints'!$A$495,VLOOKUP($A175,'Swing Joints'!$A$9:$M$494,5,FALSE),
IF($A175&lt;'Swing Joints Components'!$A$135,VLOOKUP($A175,'Swing Joints Components'!$A$9:$M$134,5,FALSE),
IF($A175&lt;Nonstandard!$A$42,VLOOKUP($A175,Nonstandard!$A$31:$J$41,6,FALSE),"")))))))))))))))))))))))))))),"")</f>
        <v/>
      </c>
      <c r="D175" s="534" t="str">
        <f>IFERROR(IF($A175&lt;'DWV PVC'!$A$317,VLOOKUP($A175,'DWV PVC'!$A$9:$M$316,6,FALSE),
IF($A175&lt;'DWV ABS'!$A$117,VLOOKUP($A175,'DWV ABS'!$A$8:$M$116,6,FALSE),
IF($A175&lt;'PVC SCH40'!$A$425,VLOOKUP($A175,'PVC SCH40'!$A$8:$M$424,6,FALSE),
IF($A175&lt;'PVC SCH40 LD'!$A$22,VLOOKUP($A175,'PVC SCH40 LD'!$A$8:$M$21,6,FALSE),
IF($A175&lt;'Pool &amp; SPA Sweep Elbows'!$A$12,VLOOKUP($A175,'Pool &amp; SPA Sweep Elbows'!$A$8:$M$11,6,FALSE),
IF($A175&lt;'Pool &amp; SPA Pipe Extender'!$A$11,VLOOKUP($A175,'Pool &amp; SPA Pipe Extender'!$A$8:$M$10,6,FALSE),
IF($A175&lt;'PVC SCH80'!$A$250,VLOOKUP($A175,'PVC SCH80'!$A$8:$M$249,6,FALSE),
IF($A175&lt;'PVC SCH80 Flange'!$A$49,VLOOKUP($A175,'PVC SCH80 Flange'!$A$8:$M$48,6,FALSE),
IF($A175&lt;'PVC SCH80 LD Flange'!$A$17,VLOOKUP($A175,'PVC SCH80 LD Flange'!$A$8:$M$16,6,FALSE),
IF($A175&lt;CPVC!$A$105,VLOOKUP($A175,CPVC!$A$9:$M$104,6,FALSE),
IF($A175&lt;InsertFittings!$A$185,VLOOKUP($A175,InsertFittings!$A$9:$M$184,6,FALSE),
IF($A175&lt;Valves!$A$92,VLOOKUP($A175,Valves!$A$9:$Q$91,6,FALSE),
IF($A175&lt;SDR35SW!$A$133,VLOOKUP($A175,SDR35SW!$A$9:$M$132,6,FALSE),
IF($A175&lt;SDR35G!$A$151,VLOOKUP($A175,SDR35G!$A$9:$M$150,6,FALSE),
IF($A175&lt;SDR26G!$A$67,VLOOKUP($A175,SDR26G!$A$9:$N$66,7,FALSE),
IF($A175&lt;Cements!$A$95,VLOOKUP($A175,Cements!$A$8:$Q$94,6,FALSE),
IF($A175&lt;ValveBox!$A$124,VLOOKUP($A175,ValveBox!$A$9:$O$123,6,FALSE),
IF($A175&lt;'ValveBox Components'!$A$142,VLOOKUP($A175,'ValveBox Components'!$A$9:$N$141,6,FALSE),
IF($A175&lt;Drainage!$A$69,VLOOKUP($A175,Drainage!$A$8:$M$68,6,FALSE),
IF($A175&lt;Nipples!$A$82,VLOOKUP($A175,Nipples!$A$9:$Q$81,6,FALSE),
IF($A175&lt;Manifold!$A$33,VLOOKUP($A175,Manifold!$A$9:$M$32,6,FALSE),
IF($A175&lt;FlexibleRepairCouplings!$A$12,VLOOKUP($A175,FlexibleRepairCouplings!$A$9:$M$11,6,FALSE),
IF($A175&lt;DuraFix!$A$15,VLOOKUP($A175,DuraFix!$A$9:$M$14,6,FALSE),
IF($A175&lt;'Compression Fittings'!$A$16,VLOOKUP($A175,'Compression Fittings'!$A$8:$M$15,6,FALSE),
IF($A175&lt;'Hose Fittings'!$A$30,VLOOKUP($A175,'Hose Fittings'!$A$8:$M$29,6,FALSE),
IF($A175&lt;'Swing Joints'!$A$495,VLOOKUP($A175,'Swing Joints'!$A$9:$M$494,6,FALSE),
IF($A175&lt;'Swing Joints Components'!$A$135,VLOOKUP($A175,'Swing Joints Components'!$A$9:$M$134,6,FALSE),
IF($A175&lt;Nonstandard!$A$42,VLOOKUP($A175,Nonstandard!$A$31:$J$41,7,FALSE),"")))))))))))))))))))))))))))),"")</f>
        <v/>
      </c>
      <c r="E175" s="316"/>
      <c r="F175" s="314" t="str">
        <f>IFERROR(IF($A175&lt;'DWV PVC'!$A$317,VLOOKUP($A175,'DWV PVC'!$A$9:$M$316,9,FALSE),
IF($A175&lt;'DWV ABS'!$A$117,VLOOKUP($A175,'DWV ABS'!$A$8:$M$116,9,FALSE),                                                                                                                                                                                                                                                     IF($A175&lt;'PVC SCH40'!$A$425,VLOOKUP($A175,'PVC SCH40'!$A$8:$M$424,9,FALSE),
IF($A175&lt;'PVC SCH40 LD'!$A$22,VLOOKUP($A175,'PVC SCH40 LD'!$A$8:$M$21,9,FALSE),
IF($A175&lt;'Pool &amp; SPA Sweep Elbows'!$A$12,VLOOKUP($A175,'Pool &amp; SPA Sweep Elbows'!$A$8:$M$11,9,FALSE),
IF($A175&lt;'Pool &amp; SPA Pipe Extender'!$A$11,VLOOKUP($A175,'Pool &amp; SPA Pipe Extender'!$A$8:$M$10,9,FALSE),
IF($A175&lt;'PVC SCH80'!$A$250,VLOOKUP($A175,'PVC SCH80'!$A$8:$M$249,9,FALSE),
IF($A175&lt;'PVC SCH80 Flange'!$A$49,VLOOKUP($A175,'PVC SCH80 Flange'!$A$8:$M$48,9,FALSE),
IF($A175&lt;'PVC SCH80 LD Flange'!$A$17,VLOOKUP($A175,'PVC SCH80 LD Flange'!$A$8:$M$16,9,FALSE),
IF($A175&lt;CPVC!$A$105,VLOOKUP($A175,CPVC!$A$9:$M$104,9,FALSE),
IF($A175&lt;InsertFittings!$A$185,VLOOKUP($A175,InsertFittings!$A$9:$M$184,9,FALSE),
IF($A175&lt;Valves!$A$92,VLOOKUP($A175,Valves!$A$9:$Q$91,13,FALSE),
IF($A175&lt;SDR35SW!$A$133,VLOOKUP($A175,SDR35SW!$A$9:$M$132,9,FALSE),
IF($A175&lt;SDR35G!$A$151,VLOOKUP($A175,SDR35G!$A$9:$M$150,9,FALSE),                                                                                                                                                                                                                                                          IF($A175&lt;SDR26G!$A$67,VLOOKUP($A175,SDR26G!$A$9:$N$66,10,FALSE),                                                                                                                                                                                                                                                       IF($A175&lt;Cements!$A$95,VLOOKUP($A175,Cements!$A$8:$Q$94,13,FALSE),
IF($A175&lt;ValveBox!$A$124,VLOOKUP($A175,ValveBox!$A$9:$O$123,11,FALSE),
IF($A175&lt;'ValveBox Components'!$A$142,VLOOKUP($A175,'ValveBox Components'!$A$9:$N$141,10,FALSE),
IF($A175&lt;Drainage!$A$69,VLOOKUP($A175,Drainage!$A$8:$M$68,9,FALSE),                                                                                                                                                                                                                                                              IF($A175&lt;Nipples!$A$82,VLOOKUP($A175,Nipples!$A$9:$Q$81,13,FALSE),
IF($A175&lt;Manifold!$A$33,VLOOKUP($A175,Manifold!$A$9:$M$32,9,FALSE),
IF($A175&lt;FlexibleRepairCouplings!$A$12,VLOOKUP($A175,FlexibleRepairCouplings!$A$9:$M$11,9,FALSE),
IF($A175&lt;DuraFix!$A$15,VLOOKUP($A175,DuraFix!$A$9:$M$14,9,FALSE),                                                                                                                                                                                                                                                          IF($A175&lt;'Compression Fittings'!$A$16,VLOOKUP($A175,'Compression Fittings'!$A$8:$M$15,9,FALSE),
IF($A175&lt;'Hose Fittings'!$A$30,VLOOKUP($A175,'Hose Fittings'!$A$8:$M$29,9,FALSE),
IF($A175&lt;'Swing Joints'!$A$495,VLOOKUP($A175,'Swing Joints'!$A$9:$M$494,9,FALSE),
IF($A175&lt;'Swing Joints Components'!$A$135,VLOOKUP($A175,'Swing Joints Components'!$A$9:$M$134,9,FALSE),
IF($A175&lt;Nonstandard!$A$42,VLOOKUP($A175,Nonstandard!$A$31:$J$41,8,FALSE),"")))))))))))))))))))))))))))),"")</f>
        <v/>
      </c>
      <c r="G175" s="533" t="str">
        <f>IFERROR(IF($A175&lt;'DWV PVC'!$A$317,VLOOKUP($A175,'DWV PVC'!$A$9:$M$316,11,FALSE),
IF($A175&lt;'DWV ABS'!$A$117,VLOOKUP($A175,'DWV ABS'!$A$8:$M$116,11,FALSE),                                                                                                                                                                                                                                                     IF($A175&lt;'PVC SCH40'!$A$425,VLOOKUP($A175,'PVC SCH40'!$A$8:$M$424,11,FALSE),
IF($A175&lt;'PVC SCH40 LD'!$A$22,VLOOKUP($A175,'PVC SCH40 LD'!$A$8:$M$21,11,FALSE),
IF($A175&lt;'Pool &amp; SPA Sweep Elbows'!$A$12,VLOOKUP($A175,'Pool &amp; SPA Sweep Elbows'!$A$8:$M$11,11,FALSE),
IF($A175&lt;'Pool &amp; SPA Pipe Extender'!$A$11,VLOOKUP($A175,'Pool &amp; SPA Pipe Extender'!$A$8:$M$10,11,FALSE),
IF($A175&lt;'PVC SCH80'!$A$250,VLOOKUP($A175,'PVC SCH80'!$A$8:$M$249,11,FALSE),
IF($A175&lt;'PVC SCH80 Flange'!$A$49,VLOOKUP($A175,'PVC SCH80 Flange'!$A$8:$M$48,11,FALSE),
IF($A175&lt;'PVC SCH80 LD Flange'!$A$17,VLOOKUP($A175,'PVC SCH80 LD Flange'!$A$8:$M$16,11,FALSE),
IF($A175&lt;CPVC!$A$105,VLOOKUP($A175,CPVC!$A$9:$M$104,11,FALSE),
IF($A175&lt;InsertFittings!$A$185,VLOOKUP($A175,InsertFittings!$A$9:$M$184,11,FALSE),
IF($A175&lt;Valves!$A$92,VLOOKUP($A175,Valves!$A$9:$Q$91,15,FALSE),
IF($A175&lt;SDR35SW!$A$133,VLOOKUP($A175,SDR35SW!$A$9:$M$132,11,FALSE),
IF($A175&lt;SDR35G!$A$151,VLOOKUP($A175,SDR35G!$A$9:$M$150,11,FALSE),                                                                                                                                                                                                                                                          IF($A175&lt;SDR26G!$A$67,VLOOKUP($A175,SDR26G!$A$9:$N$66,12,FALSE),                                                                                                                                                                                                                                                       IF($A175&lt;Cements!$A$95,VLOOKUP($A175,Cements!$A$8:$Q$94,15,FALSE),
IF($A175&lt;ValveBox!$A$124,VLOOKUP($A175,ValveBox!$A$9:$O$123,13,FALSE),
IF($A175&lt;'ValveBox Components'!$A$142,VLOOKUP($A175,'ValveBox Components'!$A$9:$N$141,12,FALSE),
IF($A175&lt;Drainage!$A$69,VLOOKUP($A175,Drainage!$A$8:$M$68,11,FALSE),                                                                                                                                                                                                                                                           IF($A175&lt;Nipples!$A$82,VLOOKUP($A175,Nipples!$A$9:$Q$81,15,FALSE),
IF($A175&lt;Manifold!$A$33,VLOOKUP($A175,Manifold!$A$9:$M$32,11,FALSE),
IF($A175&lt;FlexibleRepairCouplings!$A$12,VLOOKUP($A175,FlexibleRepairCouplings!$A$9:$M$11,11,FALSE),
IF($A175&lt;DuraFix!$A$15,VLOOKUP($A175,DuraFix!$A$9:$M$14,11,FALSE),                                                                                                                                                                                                                                                            IF($A175&lt;'Compression Fittings'!$A$16,VLOOKUP($A175,'Compression Fittings'!$A$8:$M$15,11,FALSE),
IF($A175&lt;'Hose Fittings'!$A$30,VLOOKUP($A175,'Hose Fittings'!$A$8:$M$29,11,FALSE),
IF($A175&lt;'Swing Joints'!$A$495,VLOOKUP($A175,'Swing Joints'!$A$9:$M$494,11,FALSE),
IF($A175&lt;'Swing Joints Components'!$A$135,VLOOKUP($A175,'Swing Joints Components'!$A$9:$M$134,11,FALSE),
IF($A175&lt;Nonstandard!$A$42,VLOOKUP($A175,Nonstandard!$A$31:$J$41,10,FALSE),"")))))))))))))))))))))))))))),"")</f>
        <v/>
      </c>
      <c r="H175" s="618" t="str">
        <f>IFERROR(IF($A175&lt;'DWV PVC'!$A$317,VLOOKUP($A175,'DWV PVC'!$A$9:$M$316,7,FALSE),
IF($A175&lt;'DWV ABS'!$A$117,VLOOKUP($A175,'DWV ABS'!$A$8:$M$116,11,FALSE),                                                                                                                                                                                                                                                     IF($A175&lt;'PVC SCH40'!$A$425,VLOOKUP($A175,'PVC SCH40'!$A$8:$M$424,7,FALSE),
IF($A175&lt;'PVC SCH40 LD'!$A$22,VLOOKUP($A175,'PVC SCH40 LD'!$A$8:$M$21,7,FALSE),
IF($A175&lt;'Pool &amp; SPA Sweep Elbows'!$A$12,VLOOKUP($A175,'Pool &amp; SPA Sweep Elbows'!$A$8:$M$11,7,FALSE),
IF($A175&lt;'Pool &amp; SPA Pipe Extender'!$A$11,VLOOKUP($A175,'Pool &amp; SPA Pipe Extender'!$A$8:$M$10,7,FALSE),
IF($A175&lt;'PVC SCH80'!$A$250,VLOOKUP($A175,'PVC SCH80'!$A$8:$M$249,7,FALSE),
IF($A175&lt;'PVC SCH80 Flange'!$A$49,VLOOKUP($A175,'PVC SCH80 Flange'!$A$8:$M$48,7,FALSE),
IF($A175&lt;'PVC SCH80 LD Flange'!$A$17,VLOOKUP($A175,'PVC SCH80 LD Flange'!$A$8:$M$16,7,FALSE),
IF($A175&lt;CPVC!$A$105,VLOOKUP($A175,CPVC!$A$9:$M$104,7,FALSE),
IF($A175&lt;InsertFittings!$A$185,VLOOKUP($A175,InsertFittings!$A$9:$M$184,7,FALSE),
IF($A175&lt;Valves!$A$92,VLOOKUP($A175,Valves!$A$9:$Q$91,11,FALSE),
IF($A175&lt;SDR35SW!$A$133,VLOOKUP($A175,SDR35SW!$A$9:$M$132,7,FALSE),
IF($A175&lt;SDR35G!$A$151,VLOOKUP($A175,SDR35G!$A$9:$M$150,7,FALSE),                                                                                                                                                                                                                                                       IF($A175&lt;SDR26G!$A$67,VLOOKUP($A175,SDR26G!$A$9:$N$66,8,FALSE),                                                                                                                                                                                                                                                     IF($A175&lt;Cements!$A$95,VLOOKUP($A175,Cements!$A$8:$Q$94,11,FALSE),
IF($A175&lt;ValveBox!$A$124,VLOOKUP($A175,ValveBox!$A$9:$O$123,10,FALSE),
IF($A175&lt;'ValveBox Components'!$A$142,VLOOKUP($A175,'ValveBox Components'!$A$9:$N$141,9,FALSE),
IF($A175&lt;Drainage!$A$69,VLOOKUP($A175,Drainage!$A$8:$M$68,7,FALSE),                                                                                                                                                                                                                                                          IF($A175&lt;Nipples!$A$82,VLOOKUP($A175,Nipples!$A$9:$Q$81,11,FALSE),
IF($A175&lt;Manifold!$A$33,VLOOKUP($A175,Manifold!$A$9:$M$32,7,FALSE),
IF($A175&lt;FlexibleRepairCouplings!$A$12,VLOOKUP($A175,FlexibleRepairCouplings!$A$9:$M$11,7,FALSE),
IF($A175&lt;DuraFix!$A$15,VLOOKUP($A175,DuraFix!$A$9:$M$14,7,FALSE),                                                                                                                                                                                                                                                           IF($A175&lt;'Compression Fittings'!$A$16,VLOOKUP($A175,'Compression Fittings'!$A$8:$M$15,7,FALSE),
IF($A175&lt;'Hose Fittings'!$A$30,VLOOKUP($A175,'Hose Fittings'!$A$8:$M$29,7,FALSE),
IF($A175&lt;'Swing Joints'!$A$495,VLOOKUP($A175,'Swing Joints'!$A$9:$M$494,7,FALSE),
IF($A175&lt;'Swing Joints Components'!$A$135,VLOOKUP($A175,'Swing Joints Components'!$A$9:$M$134,7,FALSE),
IF($A175&lt;Nonstandard!$A$42,VLOOKUP($A175,Nonstandard!$A$31:$J$41,10,FALSE),"")))))))))))))))))))))))))))),"")</f>
        <v/>
      </c>
      <c r="I175" s="619"/>
      <c r="J175" s="281" t="str">
        <f t="shared" si="5"/>
        <v/>
      </c>
      <c r="K175" s="313" t="str">
        <f>IFERROR(IF($A175&lt;'DWV PVC'!$A$317,VLOOKUP($A175,'DWV PVC'!$A$9:$M$316,10,FALSE),
IF($A175&lt;'DWV ABS'!$A$117,VLOOKUP($A175,'DWV ABS'!$A$8:$M$116,10,FALSE),
IF($A175&lt;'PVC SCH40'!$A$425,VLOOKUP($A175,'PVC SCH40'!$A$8:$M$424,10,FALSE),
IF($A175&lt;'PVC SCH40 LD'!$A$22,VLOOKUP($A175,'PVC SCH40 LD'!$A$8:$M$21,10,FALSE),
IF($A175&lt;'Pool &amp; SPA Sweep Elbows'!$A$12,VLOOKUP($A175,'Pool &amp; SPA Sweep Elbows'!$A$8:$M$11,10,FALSE),
IF($A175&lt;'Pool &amp; SPA Pipe Extender'!$A$11,VLOOKUP($A175,'Pool &amp; SPA Pipe Extender'!$A$8:$M$10,10,FALSE),
IF($A175&lt;'PVC SCH80'!$A$250,VLOOKUP($A175,'PVC SCH80'!$A$8:$M$249,10,FALSE),
IF($A175&lt;'PVC SCH80 Flange'!$A$49,VLOOKUP($A175,'PVC SCH80 Flange'!$A$8:$M$48,10,FALSE),
IF($A175&lt;'PVC SCH80 LD Flange'!$A$17,VLOOKUP($A175,'PVC SCH80 LD Flange'!$A$8:$M$16,10,FALSE),
IF($A175&lt;CPVC!$A$105,VLOOKUP($A175,CPVC!$A$9:$M$104,10,FALSE),
IF($A175&lt;InsertFittings!$A$185,VLOOKUP($A175,InsertFittings!$A$9:$M$184,10,FALSE),
IF($A175&lt;Valves!$A$92,VLOOKUP($A175,Valves!$A$9:$Q$91,14,FALSE),
IF($A175&lt;SDR35SW!$A$133,VLOOKUP($A175,SDR35SW!$A$9:$M$132,10,FALSE),
IF($A175&lt;SDR35G!$A$151,VLOOKUP($A175,SDR35G!$A$9:$M$150,10,FALSE),
IF($A175&lt;SDR26G!$A$67,VLOOKUP($A175,SDR26G!$A$9:$N$66,11,FALSE),
IF($A175&lt;Cements!$A$95,VLOOKUP($A175,Cements!$A$8:$Q$94,14,FALSE),
IF($A175&lt;ValveBox!$A$124,VLOOKUP($A175,ValveBox!$A$9:$O$123,12,FALSE),
IF($A175&lt;'ValveBox Components'!$A$142,VLOOKUP($A175,'ValveBox Components'!$A$9:$N$141,11,FALSE),
IF($A175&lt;Drainage!$A$69,VLOOKUP($A175,Drainage!$A$8:$M$68,10,FALSE),
IF($A175&lt;Nipples!$A$82,VLOOKUP($A175,Nipples!$A$9:$Q$81,14,FALSE),
IF($A175&lt;Manifold!$A$33,VLOOKUP($A175,Manifold!$A$9:$M$32,10,FALSE),
IF($A175&lt;FlexibleRepairCouplings!$A$12,VLOOKUP($A175,FlexibleRepairCouplings!$A$9:$M$11,10,FALSE),
IF($A175&lt;DuraFix!$A$15,VLOOKUP($A175,DuraFix!$A$9:$M$14,10,FALSE),
IF($A175&lt;'Compression Fittings'!$A$16,VLOOKUP($A175,'Compression Fittings'!$A$8:$M$15,10,FALSE),
IF($A175&lt;'Hose Fittings'!$A$30,VLOOKUP($A175,'Hose Fittings'!$A$8:$M$29,10,FALSE),
IF($A175&lt;'Swing Joints'!$A$495,VLOOKUP($A175,'Swing Joints'!$A$9:$M$494,10,FALSE),
IF($A175&lt;'Swing Joints Components'!$A$135,VLOOKUP($A175,'Swing Joints Components'!$A$9:$M$134,10,FALSE),
IF($A175&lt;Nonstandard!$A$42,VLOOKUP($A175,Nonstandard!$A$31:$J$41,10,FALSE),"")))))))))))))))))))))))))))),"")</f>
        <v/>
      </c>
      <c r="L175" s="314" t="str">
        <f t="shared" si="4"/>
        <v>-</v>
      </c>
      <c r="M175" s="315"/>
    </row>
    <row r="176" spans="1:13" ht="15.6">
      <c r="A176" s="536">
        <v>144</v>
      </c>
      <c r="B176" s="536" t="str">
        <f>IFERROR(IF($A176&lt;'DWV PVC'!$A$317,VLOOKUP($A176,'DWV PVC'!$A$9:$M$316,4,FALSE),
IF($A176&lt;'DWV ABS'!$A$117,VLOOKUP($A176,'DWV ABS'!$A$8:$M$116,4,FALSE),
IF($A176&lt;'PVC SCH40'!$A$425,VLOOKUP($A176,'PVC SCH40'!$A$8:$M$424,4,FALSE),
IF($A176&lt;'PVC SCH40 LD'!$A$22,VLOOKUP($A176,'PVC SCH40 LD'!$A$8:$M$21,4,FALSE),
IF($A176&lt;'Pool &amp; SPA Sweep Elbows'!$A$12,VLOOKUP($A176,'Pool &amp; SPA Sweep Elbows'!$A$8:$M$11,4,FALSE),
IF($A176&lt;'Pool &amp; SPA Pipe Extender'!$A$11,VLOOKUP($A176,'Pool &amp; SPA Pipe Extender'!$A$8:$M$10,4,FALSE),
IF($A176&lt;'PVC SCH80'!$A$250,VLOOKUP($A176,'PVC SCH80'!$A$8:$M$249,4,FALSE),
IF($A176&lt;'PVC SCH80 Flange'!$A$49,VLOOKUP($A176,'PVC SCH80 Flange'!$A$8:$M$48,4,FALSE),
IF($A176&lt;'PVC SCH80 LD Flange'!$A$17,VLOOKUP($A176,'PVC SCH80 LD Flange'!$A$8:$M$16,4,FALSE),
IF($A176&lt;CPVC!$A$105,VLOOKUP($A176,CPVC!$A$9:$M$104,4,FALSE),
IF($A176&lt;InsertFittings!$A$185,VLOOKUP($A176,InsertFittings!$A$9:$M$184,4,FALSE),
IF($A176&lt;Valves!$A$92,VLOOKUP($A176,Valves!$A$9:$Q$91,4,FALSE),
IF($A176&lt;SDR35SW!$A$133,VLOOKUP($A176,SDR35SW!$A$9:$M$132,4,FALSE),
IF($A176&lt;SDR35G!$A$151,VLOOKUP($A176,SDR35G!$A$9:$M$150,4,FALSE),
IF($A176&lt;SDR26G!$A$67,VLOOKUP($A176,SDR26G!$A$9:$N$66,5,FALSE),
IF($A176&lt;Cements!$A$95,VLOOKUP($A176,Cements!$A$8:$Q$94,4,FALSE),
IF($A176&lt;ValveBox!$A$124,VLOOKUP($A176,ValveBox!$A$9:$O$123,4,FALSE),
IF($A176&lt;'ValveBox Components'!$A$142,VLOOKUP($A176,'ValveBox Components'!$A$9:$N$141,4,FALSE),
IF($A176&lt;Drainage!$A$69,VLOOKUP($A176,Drainage!$A$8:$M$68,4,FALSE),
IF($A176&lt;Nipples!$A$82,VLOOKUP($A176,Nipples!$A$9:$Q$81,4,FALSE),
IF($A176&lt;Manifold!$A$33,VLOOKUP($A176,Manifold!$A$9:$M$32,4,FALSE),
IF($A176&lt;FlexibleRepairCouplings!$A$12,VLOOKUP($A176,FlexibleRepairCouplings!$A$9:$M$11,4,FALSE),
IF($A176&lt;DuraFix!$A$15,VLOOKUP($A176,DuraFix!$A$9:$M$14,4,FALSE),
IF($A176&lt;'Compression Fittings'!$A$16,VLOOKUP($A176,'Compression Fittings'!$A$8:$M$15,4,FALSE),
IF($A176&lt;'Hose Fittings'!$A$30,VLOOKUP($A176,'Hose Fittings'!$A$8:$M$29,4,FALSE),
IF($A176&lt;'Swing Joints'!$A$495,VLOOKUP($A176,'Swing Joints'!$A$9:$M$494,4,FALSE),
IF($A176&lt;'Swing Joints Components'!$A$135,VLOOKUP($A176,'Swing Joints Components'!$A$9:$M$134,4,FALSE),
IF($A176&lt;Nonstandard!$A$42,VLOOKUP($A176,Nonstandard!$A$31:$J$41,5,FALSE),"")))))))))))))))))))))))))))),"")</f>
        <v/>
      </c>
      <c r="C176" s="536" t="str">
        <f>IFERROR(IF($A176&lt;'DWV PVC'!$A$317,VLOOKUP($A176,'DWV PVC'!$A$9:$M$316,5,FALSE),
IF($A176&lt;'DWV ABS'!$A$117,VLOOKUP($A176,'DWV ABS'!$A$8:$M$116,5,FALSE),
IF($A176&lt;'PVC SCH40'!$A$425,VLOOKUP($A176,'PVC SCH40'!$A$8:$M$424,5,FALSE),
IF($A176&lt;'PVC SCH40 LD'!$A$22,VLOOKUP($A176,'PVC SCH40 LD'!$A$8:$M$21,5,FALSE),
IF($A176&lt;'Pool &amp; SPA Sweep Elbows'!$A$12,VLOOKUP($A176,'Pool &amp; SPA Sweep Elbows'!$A$8:$M$11,5,FALSE),
IF($A176&lt;'Pool &amp; SPA Pipe Extender'!$A$11,VLOOKUP($A176,'Pool &amp; SPA Pipe Extender'!$A$8:$M$10,5,FALSE),
IF($A176&lt;'PVC SCH80'!$A$250,VLOOKUP($A176,'PVC SCH80'!$A$8:$M$249,5,FALSE),
IF($A176&lt;'PVC SCH80 Flange'!$A$49,VLOOKUP($A176,'PVC SCH80 Flange'!$A$8:$M$48,5,FALSE),
IF($A176&lt;'PVC SCH80 LD Flange'!$A$17,VLOOKUP($A176,'PVC SCH80 LD Flange'!$A$8:$M$16,5,FALSE),
IF($A176&lt;CPVC!$A$105,VLOOKUP($A176,CPVC!$A$9:$M$104,5,FALSE),
IF($A176&lt;InsertFittings!$A$185,VLOOKUP($A176,InsertFittings!$A$9:$M$184,5,FALSE),
IF($A176&lt;Valves!$A$92,VLOOKUP($A176,Valves!$A$9:$Q$91,5,FALSE),
IF($A176&lt;SDR35SW!$A$133,VLOOKUP($A176,SDR35SW!$A$9:$M$132,5,FALSE),
IF($A176&lt;SDR35G!$A$151,VLOOKUP($A176,SDR35G!$A$9:$M$150,5,FALSE),
IF($A176&lt;SDR26G!$A$67,VLOOKUP($A176,SDR26G!$A$9:$N$66,6,FALSE),
IF($A176&lt;Cements!$A$95,VLOOKUP($A176,Cements!$A$8:$Q$94,5,FALSE),
IF($A176&lt;ValveBox!$A$124,VLOOKUP($A176,ValveBox!$A$9:$O$123,5,FALSE),
IF($A176&lt;'ValveBox Components'!$A$142,VLOOKUP($A176,'ValveBox Components'!$A$9:$N$141,5,FALSE),
IF($A176&lt;Drainage!$A$69,VLOOKUP($A176,Drainage!$A$8:$M$68,5,FALSE),
IF($A176&lt;Nipples!$A$82,VLOOKUP($A176,Nipples!$A$9:$Q$81,5,FALSE),
IF($A176&lt;Manifold!$A$33,VLOOKUP($A176,Manifold!$A$9:$M$32,5,FALSE),
IF($A176&lt;FlexibleRepairCouplings!$A$12,VLOOKUP($A176,FlexibleRepairCouplings!$A$9:$M$11,5,FALSE),
IF($A176&lt;DuraFix!$A$15,VLOOKUP($A176,DuraFix!$A$9:$M$14,5,FALSE),
IF($A176&lt;'Compression Fittings'!$A$16,VLOOKUP($A176,'Compression Fittings'!$A$8:$M$15,5,FALSE),
IF($A176&lt;'Hose Fittings'!$A$30,VLOOKUP($A176,'Hose Fittings'!$A$8:$M$29,5,FALSE),
IF($A176&lt;'Swing Joints'!$A$495,VLOOKUP($A176,'Swing Joints'!$A$9:$M$494,5,FALSE),
IF($A176&lt;'Swing Joints Components'!$A$135,VLOOKUP($A176,'Swing Joints Components'!$A$9:$M$134,5,FALSE),
IF($A176&lt;Nonstandard!$A$42,VLOOKUP($A176,Nonstandard!$A$31:$J$41,6,FALSE),"")))))))))))))))))))))))))))),"")</f>
        <v/>
      </c>
      <c r="D176" s="537" t="str">
        <f>IFERROR(IF($A176&lt;'DWV PVC'!$A$317,VLOOKUP($A176,'DWV PVC'!$A$9:$M$316,6,FALSE),
IF($A176&lt;'DWV ABS'!$A$117,VLOOKUP($A176,'DWV ABS'!$A$8:$M$116,6,FALSE),
IF($A176&lt;'PVC SCH40'!$A$425,VLOOKUP($A176,'PVC SCH40'!$A$8:$M$424,6,FALSE),
IF($A176&lt;'PVC SCH40 LD'!$A$22,VLOOKUP($A176,'PVC SCH40 LD'!$A$8:$M$21,6,FALSE),
IF($A176&lt;'Pool &amp; SPA Sweep Elbows'!$A$12,VLOOKUP($A176,'Pool &amp; SPA Sweep Elbows'!$A$8:$M$11,6,FALSE),
IF($A176&lt;'Pool &amp; SPA Pipe Extender'!$A$11,VLOOKUP($A176,'Pool &amp; SPA Pipe Extender'!$A$8:$M$10,6,FALSE),
IF($A176&lt;'PVC SCH80'!$A$250,VLOOKUP($A176,'PVC SCH80'!$A$8:$M$249,6,FALSE),
IF($A176&lt;'PVC SCH80 Flange'!$A$49,VLOOKUP($A176,'PVC SCH80 Flange'!$A$8:$M$48,6,FALSE),
IF($A176&lt;'PVC SCH80 LD Flange'!$A$17,VLOOKUP($A176,'PVC SCH80 LD Flange'!$A$8:$M$16,6,FALSE),
IF($A176&lt;CPVC!$A$105,VLOOKUP($A176,CPVC!$A$9:$M$104,6,FALSE),
IF($A176&lt;InsertFittings!$A$185,VLOOKUP($A176,InsertFittings!$A$9:$M$184,6,FALSE),
IF($A176&lt;Valves!$A$92,VLOOKUP($A176,Valves!$A$9:$Q$91,6,FALSE),
IF($A176&lt;SDR35SW!$A$133,VLOOKUP($A176,SDR35SW!$A$9:$M$132,6,FALSE),
IF($A176&lt;SDR35G!$A$151,VLOOKUP($A176,SDR35G!$A$9:$M$150,6,FALSE),
IF($A176&lt;SDR26G!$A$67,VLOOKUP($A176,SDR26G!$A$9:$N$66,7,FALSE),
IF($A176&lt;Cements!$A$95,VLOOKUP($A176,Cements!$A$8:$Q$94,6,FALSE),
IF($A176&lt;ValveBox!$A$124,VLOOKUP($A176,ValveBox!$A$9:$O$123,6,FALSE),
IF($A176&lt;'ValveBox Components'!$A$142,VLOOKUP($A176,'ValveBox Components'!$A$9:$N$141,6,FALSE),
IF($A176&lt;Drainage!$A$69,VLOOKUP($A176,Drainage!$A$8:$M$68,6,FALSE),
IF($A176&lt;Nipples!$A$82,VLOOKUP($A176,Nipples!$A$9:$Q$81,6,FALSE),
IF($A176&lt;Manifold!$A$33,VLOOKUP($A176,Manifold!$A$9:$M$32,6,FALSE),
IF($A176&lt;FlexibleRepairCouplings!$A$12,VLOOKUP($A176,FlexibleRepairCouplings!$A$9:$M$11,6,FALSE),
IF($A176&lt;DuraFix!$A$15,VLOOKUP($A176,DuraFix!$A$9:$M$14,6,FALSE),
IF($A176&lt;'Compression Fittings'!$A$16,VLOOKUP($A176,'Compression Fittings'!$A$8:$M$15,6,FALSE),
IF($A176&lt;'Hose Fittings'!$A$30,VLOOKUP($A176,'Hose Fittings'!$A$8:$M$29,6,FALSE),
IF($A176&lt;'Swing Joints'!$A$495,VLOOKUP($A176,'Swing Joints'!$A$9:$M$494,6,FALSE),
IF($A176&lt;'Swing Joints Components'!$A$135,VLOOKUP($A176,'Swing Joints Components'!$A$9:$M$134,6,FALSE),
IF($A176&lt;Nonstandard!$A$42,VLOOKUP($A176,Nonstandard!$A$31:$J$41,7,FALSE),"")))))))))))))))))))))))))))),"")</f>
        <v/>
      </c>
      <c r="E176" s="538"/>
      <c r="F176" s="539" t="str">
        <f>IFERROR(IF($A176&lt;'DWV PVC'!$A$317,VLOOKUP($A176,'DWV PVC'!$A$9:$M$316,9,FALSE),
IF($A176&lt;'DWV ABS'!$A$117,VLOOKUP($A176,'DWV ABS'!$A$8:$M$116,9,FALSE),                                                                                                                                                                                                                                                     IF($A176&lt;'PVC SCH40'!$A$425,VLOOKUP($A176,'PVC SCH40'!$A$8:$M$424,9,FALSE),
IF($A176&lt;'PVC SCH40 LD'!$A$22,VLOOKUP($A176,'PVC SCH40 LD'!$A$8:$M$21,9,FALSE),
IF($A176&lt;'Pool &amp; SPA Sweep Elbows'!$A$12,VLOOKUP($A176,'Pool &amp; SPA Sweep Elbows'!$A$8:$M$11,9,FALSE),
IF($A176&lt;'Pool &amp; SPA Pipe Extender'!$A$11,VLOOKUP($A176,'Pool &amp; SPA Pipe Extender'!$A$8:$M$10,9,FALSE),
IF($A176&lt;'PVC SCH80'!$A$250,VLOOKUP($A176,'PVC SCH80'!$A$8:$M$249,9,FALSE),
IF($A176&lt;'PVC SCH80 Flange'!$A$49,VLOOKUP($A176,'PVC SCH80 Flange'!$A$8:$M$48,9,FALSE),
IF($A176&lt;'PVC SCH80 LD Flange'!$A$17,VLOOKUP($A176,'PVC SCH80 LD Flange'!$A$8:$M$16,9,FALSE),
IF($A176&lt;CPVC!$A$105,VLOOKUP($A176,CPVC!$A$9:$M$104,9,FALSE),
IF($A176&lt;InsertFittings!$A$185,VLOOKUP($A176,InsertFittings!$A$9:$M$184,9,FALSE),
IF($A176&lt;Valves!$A$92,VLOOKUP($A176,Valves!$A$9:$Q$91,13,FALSE),
IF($A176&lt;SDR35SW!$A$133,VLOOKUP($A176,SDR35SW!$A$9:$M$132,9,FALSE),
IF($A176&lt;SDR35G!$A$151,VLOOKUP($A176,SDR35G!$A$9:$M$150,9,FALSE),                                                                                                                                                                                                                                                          IF($A176&lt;SDR26G!$A$67,VLOOKUP($A176,SDR26G!$A$9:$N$66,10,FALSE),                                                                                                                                                                                                                                                       IF($A176&lt;Cements!$A$95,VLOOKUP($A176,Cements!$A$8:$Q$94,13,FALSE),
IF($A176&lt;ValveBox!$A$124,VLOOKUP($A176,ValveBox!$A$9:$O$123,11,FALSE),
IF($A176&lt;'ValveBox Components'!$A$142,VLOOKUP($A176,'ValveBox Components'!$A$9:$N$141,10,FALSE),
IF($A176&lt;Drainage!$A$69,VLOOKUP($A176,Drainage!$A$8:$M$68,9,FALSE),                                                                                                                                                                                                                                                              IF($A176&lt;Nipples!$A$82,VLOOKUP($A176,Nipples!$A$9:$Q$81,13,FALSE),
IF($A176&lt;Manifold!$A$33,VLOOKUP($A176,Manifold!$A$9:$M$32,9,FALSE),
IF($A176&lt;FlexibleRepairCouplings!$A$12,VLOOKUP($A176,FlexibleRepairCouplings!$A$9:$M$11,9,FALSE),
IF($A176&lt;DuraFix!$A$15,VLOOKUP($A176,DuraFix!$A$9:$M$14,9,FALSE),                                                                                                                                                                                                                                                          IF($A176&lt;'Compression Fittings'!$A$16,VLOOKUP($A176,'Compression Fittings'!$A$8:$M$15,9,FALSE),
IF($A176&lt;'Hose Fittings'!$A$30,VLOOKUP($A176,'Hose Fittings'!$A$8:$M$29,9,FALSE),
IF($A176&lt;'Swing Joints'!$A$495,VLOOKUP($A176,'Swing Joints'!$A$9:$M$494,9,FALSE),
IF($A176&lt;'Swing Joints Components'!$A$135,VLOOKUP($A176,'Swing Joints Components'!$A$9:$M$134,9,FALSE),
IF($A176&lt;Nonstandard!$A$42,VLOOKUP($A176,Nonstandard!$A$31:$J$41,8,FALSE),"")))))))))))))))))))))))))))),"")</f>
        <v/>
      </c>
      <c r="G176" s="540" t="str">
        <f>IFERROR(IF($A176&lt;'DWV PVC'!$A$317,VLOOKUP($A176,'DWV PVC'!$A$9:$M$316,11,FALSE),
IF($A176&lt;'DWV ABS'!$A$117,VLOOKUP($A176,'DWV ABS'!$A$8:$M$116,11,FALSE),                                                                                                                                                                                                                                                     IF($A176&lt;'PVC SCH40'!$A$425,VLOOKUP($A176,'PVC SCH40'!$A$8:$M$424,11,FALSE),
IF($A176&lt;'PVC SCH40 LD'!$A$22,VLOOKUP($A176,'PVC SCH40 LD'!$A$8:$M$21,11,FALSE),
IF($A176&lt;'Pool &amp; SPA Sweep Elbows'!$A$12,VLOOKUP($A176,'Pool &amp; SPA Sweep Elbows'!$A$8:$M$11,11,FALSE),
IF($A176&lt;'Pool &amp; SPA Pipe Extender'!$A$11,VLOOKUP($A176,'Pool &amp; SPA Pipe Extender'!$A$8:$M$10,11,FALSE),
IF($A176&lt;'PVC SCH80'!$A$250,VLOOKUP($A176,'PVC SCH80'!$A$8:$M$249,11,FALSE),
IF($A176&lt;'PVC SCH80 Flange'!$A$49,VLOOKUP($A176,'PVC SCH80 Flange'!$A$8:$M$48,11,FALSE),
IF($A176&lt;'PVC SCH80 LD Flange'!$A$17,VLOOKUP($A176,'PVC SCH80 LD Flange'!$A$8:$M$16,11,FALSE),
IF($A176&lt;CPVC!$A$105,VLOOKUP($A176,CPVC!$A$9:$M$104,11,FALSE),
IF($A176&lt;InsertFittings!$A$185,VLOOKUP($A176,InsertFittings!$A$9:$M$184,11,FALSE),
IF($A176&lt;Valves!$A$92,VLOOKUP($A176,Valves!$A$9:$Q$91,15,FALSE),
IF($A176&lt;SDR35SW!$A$133,VLOOKUP($A176,SDR35SW!$A$9:$M$132,11,FALSE),
IF($A176&lt;SDR35G!$A$151,VLOOKUP($A176,SDR35G!$A$9:$M$150,11,FALSE),                                                                                                                                                                                                                                                          IF($A176&lt;SDR26G!$A$67,VLOOKUP($A176,SDR26G!$A$9:$N$66,12,FALSE),                                                                                                                                                                                                                                                       IF($A176&lt;Cements!$A$95,VLOOKUP($A176,Cements!$A$8:$Q$94,15,FALSE),
IF($A176&lt;ValveBox!$A$124,VLOOKUP($A176,ValveBox!$A$9:$O$123,13,FALSE),
IF($A176&lt;'ValveBox Components'!$A$142,VLOOKUP($A176,'ValveBox Components'!$A$9:$N$141,12,FALSE),
IF($A176&lt;Drainage!$A$69,VLOOKUP($A176,Drainage!$A$8:$M$68,11,FALSE),                                                                                                                                                                                                                                                           IF($A176&lt;Nipples!$A$82,VLOOKUP($A176,Nipples!$A$9:$Q$81,15,FALSE),
IF($A176&lt;Manifold!$A$33,VLOOKUP($A176,Manifold!$A$9:$M$32,11,FALSE),
IF($A176&lt;FlexibleRepairCouplings!$A$12,VLOOKUP($A176,FlexibleRepairCouplings!$A$9:$M$11,11,FALSE),
IF($A176&lt;DuraFix!$A$15,VLOOKUP($A176,DuraFix!$A$9:$M$14,11,FALSE),                                                                                                                                                                                                                                                            IF($A176&lt;'Compression Fittings'!$A$16,VLOOKUP($A176,'Compression Fittings'!$A$8:$M$15,11,FALSE),
IF($A176&lt;'Hose Fittings'!$A$30,VLOOKUP($A176,'Hose Fittings'!$A$8:$M$29,11,FALSE),
IF($A176&lt;'Swing Joints'!$A$495,VLOOKUP($A176,'Swing Joints'!$A$9:$M$494,11,FALSE),
IF($A176&lt;'Swing Joints Components'!$A$135,VLOOKUP($A176,'Swing Joints Components'!$A$9:$M$134,11,FALSE),
IF($A176&lt;Nonstandard!$A$42,VLOOKUP($A176,Nonstandard!$A$31:$J$41,10,FALSE),"")))))))))))))))))))))))))))),"")</f>
        <v/>
      </c>
      <c r="H176" s="620" t="str">
        <f>IFERROR(IF($A176&lt;'DWV PVC'!$A$317,VLOOKUP($A176,'DWV PVC'!$A$9:$M$316,7,FALSE),
IF($A176&lt;'DWV ABS'!$A$117,VLOOKUP($A176,'DWV ABS'!$A$8:$M$116,11,FALSE),                                                                                                                                                                                                                                                     IF($A176&lt;'PVC SCH40'!$A$425,VLOOKUP($A176,'PVC SCH40'!$A$8:$M$424,7,FALSE),
IF($A176&lt;'PVC SCH40 LD'!$A$22,VLOOKUP($A176,'PVC SCH40 LD'!$A$8:$M$21,7,FALSE),
IF($A176&lt;'Pool &amp; SPA Sweep Elbows'!$A$12,VLOOKUP($A176,'Pool &amp; SPA Sweep Elbows'!$A$8:$M$11,7,FALSE),
IF($A176&lt;'Pool &amp; SPA Pipe Extender'!$A$11,VLOOKUP($A176,'Pool &amp; SPA Pipe Extender'!$A$8:$M$10,7,FALSE),
IF($A176&lt;'PVC SCH80'!$A$250,VLOOKUP($A176,'PVC SCH80'!$A$8:$M$249,7,FALSE),
IF($A176&lt;'PVC SCH80 Flange'!$A$49,VLOOKUP($A176,'PVC SCH80 Flange'!$A$8:$M$48,7,FALSE),
IF($A176&lt;'PVC SCH80 LD Flange'!$A$17,VLOOKUP($A176,'PVC SCH80 LD Flange'!$A$8:$M$16,7,FALSE),
IF($A176&lt;CPVC!$A$105,VLOOKUP($A176,CPVC!$A$9:$M$104,7,FALSE),
IF($A176&lt;InsertFittings!$A$185,VLOOKUP($A176,InsertFittings!$A$9:$M$184,7,FALSE),
IF($A176&lt;Valves!$A$92,VLOOKUP($A176,Valves!$A$9:$Q$91,11,FALSE),
IF($A176&lt;SDR35SW!$A$133,VLOOKUP($A176,SDR35SW!$A$9:$M$132,7,FALSE),
IF($A176&lt;SDR35G!$A$151,VLOOKUP($A176,SDR35G!$A$9:$M$150,7,FALSE),                                                                                                                                                                                                                                                       IF($A176&lt;SDR26G!$A$67,VLOOKUP($A176,SDR26G!$A$9:$N$66,8,FALSE),                                                                                                                                                                                                                                                     IF($A176&lt;Cements!$A$95,VLOOKUP($A176,Cements!$A$8:$Q$94,11,FALSE),
IF($A176&lt;ValveBox!$A$124,VLOOKUP($A176,ValveBox!$A$9:$O$123,10,FALSE),
IF($A176&lt;'ValveBox Components'!$A$142,VLOOKUP($A176,'ValveBox Components'!$A$9:$N$141,9,FALSE),
IF($A176&lt;Drainage!$A$69,VLOOKUP($A176,Drainage!$A$8:$M$68,7,FALSE),                                                                                                                                                                                                                                                          IF($A176&lt;Nipples!$A$82,VLOOKUP($A176,Nipples!$A$9:$Q$81,11,FALSE),
IF($A176&lt;Manifold!$A$33,VLOOKUP($A176,Manifold!$A$9:$M$32,7,FALSE),
IF($A176&lt;FlexibleRepairCouplings!$A$12,VLOOKUP($A176,FlexibleRepairCouplings!$A$9:$M$11,7,FALSE),
IF($A176&lt;DuraFix!$A$15,VLOOKUP($A176,DuraFix!$A$9:$M$14,7,FALSE),                                                                                                                                                                                                                                                           IF($A176&lt;'Compression Fittings'!$A$16,VLOOKUP($A176,'Compression Fittings'!$A$8:$M$15,7,FALSE),
IF($A176&lt;'Hose Fittings'!$A$30,VLOOKUP($A176,'Hose Fittings'!$A$8:$M$29,7,FALSE),
IF($A176&lt;'Swing Joints'!$A$495,VLOOKUP($A176,'Swing Joints'!$A$9:$M$494,7,FALSE),
IF($A176&lt;'Swing Joints Components'!$A$135,VLOOKUP($A176,'Swing Joints Components'!$A$9:$M$134,7,FALSE),
IF($A176&lt;Nonstandard!$A$42,VLOOKUP($A176,Nonstandard!$A$31:$J$41,10,FALSE),"")))))))))))))))))))))))))))),"")</f>
        <v/>
      </c>
      <c r="I176" s="621"/>
      <c r="J176" s="541" t="str">
        <f t="shared" si="5"/>
        <v/>
      </c>
      <c r="K176" s="599" t="str">
        <f>IFERROR(IF($A176&lt;'DWV PVC'!$A$317,VLOOKUP($A176,'DWV PVC'!$A$9:$M$316,10,FALSE),
IF($A176&lt;'DWV ABS'!$A$117,VLOOKUP($A176,'DWV ABS'!$A$8:$M$116,10,FALSE),
IF($A176&lt;'PVC SCH40'!$A$425,VLOOKUP($A176,'PVC SCH40'!$A$8:$M$424,10,FALSE),
IF($A176&lt;'PVC SCH40 LD'!$A$22,VLOOKUP($A176,'PVC SCH40 LD'!$A$8:$M$21,10,FALSE),
IF($A176&lt;'Pool &amp; SPA Sweep Elbows'!$A$12,VLOOKUP($A176,'Pool &amp; SPA Sweep Elbows'!$A$8:$M$11,10,FALSE),
IF($A176&lt;'Pool &amp; SPA Pipe Extender'!$A$11,VLOOKUP($A176,'Pool &amp; SPA Pipe Extender'!$A$8:$M$10,10,FALSE),
IF($A176&lt;'PVC SCH80'!$A$250,VLOOKUP($A176,'PVC SCH80'!$A$8:$M$249,10,FALSE),
IF($A176&lt;'PVC SCH80 Flange'!$A$49,VLOOKUP($A176,'PVC SCH80 Flange'!$A$8:$M$48,10,FALSE),
IF($A176&lt;'PVC SCH80 LD Flange'!$A$17,VLOOKUP($A176,'PVC SCH80 LD Flange'!$A$8:$M$16,10,FALSE),
IF($A176&lt;CPVC!$A$105,VLOOKUP($A176,CPVC!$A$9:$M$104,10,FALSE),
IF($A176&lt;InsertFittings!$A$185,VLOOKUP($A176,InsertFittings!$A$9:$M$184,10,FALSE),
IF($A176&lt;Valves!$A$92,VLOOKUP($A176,Valves!$A$9:$Q$91,14,FALSE),
IF($A176&lt;SDR35SW!$A$133,VLOOKUP($A176,SDR35SW!$A$9:$M$132,10,FALSE),
IF($A176&lt;SDR35G!$A$151,VLOOKUP($A176,SDR35G!$A$9:$M$150,10,FALSE),
IF($A176&lt;SDR26G!$A$67,VLOOKUP($A176,SDR26G!$A$9:$N$66,11,FALSE),
IF($A176&lt;Cements!$A$95,VLOOKUP($A176,Cements!$A$8:$Q$94,14,FALSE),
IF($A176&lt;ValveBox!$A$124,VLOOKUP($A176,ValveBox!$A$9:$O$123,12,FALSE),
IF($A176&lt;'ValveBox Components'!$A$142,VLOOKUP($A176,'ValveBox Components'!$A$9:$N$141,11,FALSE),
IF($A176&lt;Drainage!$A$69,VLOOKUP($A176,Drainage!$A$8:$M$68,10,FALSE),
IF($A176&lt;Nipples!$A$82,VLOOKUP($A176,Nipples!$A$9:$Q$81,14,FALSE),
IF($A176&lt;Manifold!$A$33,VLOOKUP($A176,Manifold!$A$9:$M$32,10,FALSE),
IF($A176&lt;FlexibleRepairCouplings!$A$12,VLOOKUP($A176,FlexibleRepairCouplings!$A$9:$M$11,10,FALSE),
IF($A176&lt;DuraFix!$A$15,VLOOKUP($A176,DuraFix!$A$9:$M$14,10,FALSE),
IF($A176&lt;'Compression Fittings'!$A$16,VLOOKUP($A176,'Compression Fittings'!$A$8:$M$15,10,FALSE),
IF($A176&lt;'Hose Fittings'!$A$30,VLOOKUP($A176,'Hose Fittings'!$A$8:$M$29,10,FALSE),
IF($A176&lt;'Swing Joints'!$A$495,VLOOKUP($A176,'Swing Joints'!$A$9:$M$494,10,FALSE),
IF($A176&lt;'Swing Joints Components'!$A$135,VLOOKUP($A176,'Swing Joints Components'!$A$9:$M$134,10,FALSE),
IF($A176&lt;Nonstandard!$A$42,VLOOKUP($A176,Nonstandard!$A$31:$J$41,10,FALSE),"")))))))))))))))))))))))))))),"")</f>
        <v/>
      </c>
      <c r="L176" s="539" t="str">
        <f t="shared" si="4"/>
        <v>-</v>
      </c>
      <c r="M176" s="542"/>
    </row>
    <row r="177" spans="1:13" ht="15.6">
      <c r="A177" s="312">
        <v>145</v>
      </c>
      <c r="B177" s="312" t="str">
        <f>IFERROR(IF($A177&lt;'DWV PVC'!$A$317,VLOOKUP($A177,'DWV PVC'!$A$9:$M$316,4,FALSE),
IF($A177&lt;'DWV ABS'!$A$117,VLOOKUP($A177,'DWV ABS'!$A$8:$M$116,4,FALSE),
IF($A177&lt;'PVC SCH40'!$A$425,VLOOKUP($A177,'PVC SCH40'!$A$8:$M$424,4,FALSE),
IF($A177&lt;'PVC SCH40 LD'!$A$22,VLOOKUP($A177,'PVC SCH40 LD'!$A$8:$M$21,4,FALSE),
IF($A177&lt;'Pool &amp; SPA Sweep Elbows'!$A$12,VLOOKUP($A177,'Pool &amp; SPA Sweep Elbows'!$A$8:$M$11,4,FALSE),
IF($A177&lt;'Pool &amp; SPA Pipe Extender'!$A$11,VLOOKUP($A177,'Pool &amp; SPA Pipe Extender'!$A$8:$M$10,4,FALSE),
IF($A177&lt;'PVC SCH80'!$A$250,VLOOKUP($A177,'PVC SCH80'!$A$8:$M$249,4,FALSE),
IF($A177&lt;'PVC SCH80 Flange'!$A$49,VLOOKUP($A177,'PVC SCH80 Flange'!$A$8:$M$48,4,FALSE),
IF($A177&lt;'PVC SCH80 LD Flange'!$A$17,VLOOKUP($A177,'PVC SCH80 LD Flange'!$A$8:$M$16,4,FALSE),
IF($A177&lt;CPVC!$A$105,VLOOKUP($A177,CPVC!$A$9:$M$104,4,FALSE),
IF($A177&lt;InsertFittings!$A$185,VLOOKUP($A177,InsertFittings!$A$9:$M$184,4,FALSE),
IF($A177&lt;Valves!$A$92,VLOOKUP($A177,Valves!$A$9:$Q$91,4,FALSE),
IF($A177&lt;SDR35SW!$A$133,VLOOKUP($A177,SDR35SW!$A$9:$M$132,4,FALSE),
IF($A177&lt;SDR35G!$A$151,VLOOKUP($A177,SDR35G!$A$9:$M$150,4,FALSE),
IF($A177&lt;SDR26G!$A$67,VLOOKUP($A177,SDR26G!$A$9:$N$66,5,FALSE),
IF($A177&lt;Cements!$A$95,VLOOKUP($A177,Cements!$A$8:$Q$94,4,FALSE),
IF($A177&lt;ValveBox!$A$124,VLOOKUP($A177,ValveBox!$A$9:$O$123,4,FALSE),
IF($A177&lt;'ValveBox Components'!$A$142,VLOOKUP($A177,'ValveBox Components'!$A$9:$N$141,4,FALSE),
IF($A177&lt;Drainage!$A$69,VLOOKUP($A177,Drainage!$A$8:$M$68,4,FALSE),
IF($A177&lt;Nipples!$A$82,VLOOKUP($A177,Nipples!$A$9:$Q$81,4,FALSE),
IF($A177&lt;Manifold!$A$33,VLOOKUP($A177,Manifold!$A$9:$M$32,4,FALSE),
IF($A177&lt;FlexibleRepairCouplings!$A$12,VLOOKUP($A177,FlexibleRepairCouplings!$A$9:$M$11,4,FALSE),
IF($A177&lt;DuraFix!$A$15,VLOOKUP($A177,DuraFix!$A$9:$M$14,4,FALSE),
IF($A177&lt;'Compression Fittings'!$A$16,VLOOKUP($A177,'Compression Fittings'!$A$8:$M$15,4,FALSE),
IF($A177&lt;'Hose Fittings'!$A$30,VLOOKUP($A177,'Hose Fittings'!$A$8:$M$29,4,FALSE),
IF($A177&lt;'Swing Joints'!$A$495,VLOOKUP($A177,'Swing Joints'!$A$9:$M$494,4,FALSE),
IF($A177&lt;'Swing Joints Components'!$A$135,VLOOKUP($A177,'Swing Joints Components'!$A$9:$M$134,4,FALSE),
IF($A177&lt;Nonstandard!$A$42,VLOOKUP($A177,Nonstandard!$A$31:$J$41,5,FALSE),"")))))))))))))))))))))))))))),"")</f>
        <v/>
      </c>
      <c r="C177" s="312" t="str">
        <f>IFERROR(IF($A177&lt;'DWV PVC'!$A$317,VLOOKUP($A177,'DWV PVC'!$A$9:$M$316,5,FALSE),
IF($A177&lt;'DWV ABS'!$A$117,VLOOKUP($A177,'DWV ABS'!$A$8:$M$116,5,FALSE),
IF($A177&lt;'PVC SCH40'!$A$425,VLOOKUP($A177,'PVC SCH40'!$A$8:$M$424,5,FALSE),
IF($A177&lt;'PVC SCH40 LD'!$A$22,VLOOKUP($A177,'PVC SCH40 LD'!$A$8:$M$21,5,FALSE),
IF($A177&lt;'Pool &amp; SPA Sweep Elbows'!$A$12,VLOOKUP($A177,'Pool &amp; SPA Sweep Elbows'!$A$8:$M$11,5,FALSE),
IF($A177&lt;'Pool &amp; SPA Pipe Extender'!$A$11,VLOOKUP($A177,'Pool &amp; SPA Pipe Extender'!$A$8:$M$10,5,FALSE),
IF($A177&lt;'PVC SCH80'!$A$250,VLOOKUP($A177,'PVC SCH80'!$A$8:$M$249,5,FALSE),
IF($A177&lt;'PVC SCH80 Flange'!$A$49,VLOOKUP($A177,'PVC SCH80 Flange'!$A$8:$M$48,5,FALSE),
IF($A177&lt;'PVC SCH80 LD Flange'!$A$17,VLOOKUP($A177,'PVC SCH80 LD Flange'!$A$8:$M$16,5,FALSE),
IF($A177&lt;CPVC!$A$105,VLOOKUP($A177,CPVC!$A$9:$M$104,5,FALSE),
IF($A177&lt;InsertFittings!$A$185,VLOOKUP($A177,InsertFittings!$A$9:$M$184,5,FALSE),
IF($A177&lt;Valves!$A$92,VLOOKUP($A177,Valves!$A$9:$Q$91,5,FALSE),
IF($A177&lt;SDR35SW!$A$133,VLOOKUP($A177,SDR35SW!$A$9:$M$132,5,FALSE),
IF($A177&lt;SDR35G!$A$151,VLOOKUP($A177,SDR35G!$A$9:$M$150,5,FALSE),
IF($A177&lt;SDR26G!$A$67,VLOOKUP($A177,SDR26G!$A$9:$N$66,6,FALSE),
IF($A177&lt;Cements!$A$95,VLOOKUP($A177,Cements!$A$8:$Q$94,5,FALSE),
IF($A177&lt;ValveBox!$A$124,VLOOKUP($A177,ValveBox!$A$9:$O$123,5,FALSE),
IF($A177&lt;'ValveBox Components'!$A$142,VLOOKUP($A177,'ValveBox Components'!$A$9:$N$141,5,FALSE),
IF($A177&lt;Drainage!$A$69,VLOOKUP($A177,Drainage!$A$8:$M$68,5,FALSE),
IF($A177&lt;Nipples!$A$82,VLOOKUP($A177,Nipples!$A$9:$Q$81,5,FALSE),
IF($A177&lt;Manifold!$A$33,VLOOKUP($A177,Manifold!$A$9:$M$32,5,FALSE),
IF($A177&lt;FlexibleRepairCouplings!$A$12,VLOOKUP($A177,FlexibleRepairCouplings!$A$9:$M$11,5,FALSE),
IF($A177&lt;DuraFix!$A$15,VLOOKUP($A177,DuraFix!$A$9:$M$14,5,FALSE),
IF($A177&lt;'Compression Fittings'!$A$16,VLOOKUP($A177,'Compression Fittings'!$A$8:$M$15,5,FALSE),
IF($A177&lt;'Hose Fittings'!$A$30,VLOOKUP($A177,'Hose Fittings'!$A$8:$M$29,5,FALSE),
IF($A177&lt;'Swing Joints'!$A$495,VLOOKUP($A177,'Swing Joints'!$A$9:$M$494,5,FALSE),
IF($A177&lt;'Swing Joints Components'!$A$135,VLOOKUP($A177,'Swing Joints Components'!$A$9:$M$134,5,FALSE),
IF($A177&lt;Nonstandard!$A$42,VLOOKUP($A177,Nonstandard!$A$31:$J$41,6,FALSE),"")))))))))))))))))))))))))))),"")</f>
        <v/>
      </c>
      <c r="D177" s="534" t="str">
        <f>IFERROR(IF($A177&lt;'DWV PVC'!$A$317,VLOOKUP($A177,'DWV PVC'!$A$9:$M$316,6,FALSE),
IF($A177&lt;'DWV ABS'!$A$117,VLOOKUP($A177,'DWV ABS'!$A$8:$M$116,6,FALSE),
IF($A177&lt;'PVC SCH40'!$A$425,VLOOKUP($A177,'PVC SCH40'!$A$8:$M$424,6,FALSE),
IF($A177&lt;'PVC SCH40 LD'!$A$22,VLOOKUP($A177,'PVC SCH40 LD'!$A$8:$M$21,6,FALSE),
IF($A177&lt;'Pool &amp; SPA Sweep Elbows'!$A$12,VLOOKUP($A177,'Pool &amp; SPA Sweep Elbows'!$A$8:$M$11,6,FALSE),
IF($A177&lt;'Pool &amp; SPA Pipe Extender'!$A$11,VLOOKUP($A177,'Pool &amp; SPA Pipe Extender'!$A$8:$M$10,6,FALSE),
IF($A177&lt;'PVC SCH80'!$A$250,VLOOKUP($A177,'PVC SCH80'!$A$8:$M$249,6,FALSE),
IF($A177&lt;'PVC SCH80 Flange'!$A$49,VLOOKUP($A177,'PVC SCH80 Flange'!$A$8:$M$48,6,FALSE),
IF($A177&lt;'PVC SCH80 LD Flange'!$A$17,VLOOKUP($A177,'PVC SCH80 LD Flange'!$A$8:$M$16,6,FALSE),
IF($A177&lt;CPVC!$A$105,VLOOKUP($A177,CPVC!$A$9:$M$104,6,FALSE),
IF($A177&lt;InsertFittings!$A$185,VLOOKUP($A177,InsertFittings!$A$9:$M$184,6,FALSE),
IF($A177&lt;Valves!$A$92,VLOOKUP($A177,Valves!$A$9:$Q$91,6,FALSE),
IF($A177&lt;SDR35SW!$A$133,VLOOKUP($A177,SDR35SW!$A$9:$M$132,6,FALSE),
IF($A177&lt;SDR35G!$A$151,VLOOKUP($A177,SDR35G!$A$9:$M$150,6,FALSE),
IF($A177&lt;SDR26G!$A$67,VLOOKUP($A177,SDR26G!$A$9:$N$66,7,FALSE),
IF($A177&lt;Cements!$A$95,VLOOKUP($A177,Cements!$A$8:$Q$94,6,FALSE),
IF($A177&lt;ValveBox!$A$124,VLOOKUP($A177,ValveBox!$A$9:$O$123,6,FALSE),
IF($A177&lt;'ValveBox Components'!$A$142,VLOOKUP($A177,'ValveBox Components'!$A$9:$N$141,6,FALSE),
IF($A177&lt;Drainage!$A$69,VLOOKUP($A177,Drainage!$A$8:$M$68,6,FALSE),
IF($A177&lt;Nipples!$A$82,VLOOKUP($A177,Nipples!$A$9:$Q$81,6,FALSE),
IF($A177&lt;Manifold!$A$33,VLOOKUP($A177,Manifold!$A$9:$M$32,6,FALSE),
IF($A177&lt;FlexibleRepairCouplings!$A$12,VLOOKUP($A177,FlexibleRepairCouplings!$A$9:$M$11,6,FALSE),
IF($A177&lt;DuraFix!$A$15,VLOOKUP($A177,DuraFix!$A$9:$M$14,6,FALSE),
IF($A177&lt;'Compression Fittings'!$A$16,VLOOKUP($A177,'Compression Fittings'!$A$8:$M$15,6,FALSE),
IF($A177&lt;'Hose Fittings'!$A$30,VLOOKUP($A177,'Hose Fittings'!$A$8:$M$29,6,FALSE),
IF($A177&lt;'Swing Joints'!$A$495,VLOOKUP($A177,'Swing Joints'!$A$9:$M$494,6,FALSE),
IF($A177&lt;'Swing Joints Components'!$A$135,VLOOKUP($A177,'Swing Joints Components'!$A$9:$M$134,6,FALSE),
IF($A177&lt;Nonstandard!$A$42,VLOOKUP($A177,Nonstandard!$A$31:$J$41,7,FALSE),"")))))))))))))))))))))))))))),"")</f>
        <v/>
      </c>
      <c r="E177" s="316"/>
      <c r="F177" s="314" t="str">
        <f>IFERROR(IF($A177&lt;'DWV PVC'!$A$317,VLOOKUP($A177,'DWV PVC'!$A$9:$M$316,9,FALSE),
IF($A177&lt;'DWV ABS'!$A$117,VLOOKUP($A177,'DWV ABS'!$A$8:$M$116,9,FALSE),                                                                                                                                                                                                                                                     IF($A177&lt;'PVC SCH40'!$A$425,VLOOKUP($A177,'PVC SCH40'!$A$8:$M$424,9,FALSE),
IF($A177&lt;'PVC SCH40 LD'!$A$22,VLOOKUP($A177,'PVC SCH40 LD'!$A$8:$M$21,9,FALSE),
IF($A177&lt;'Pool &amp; SPA Sweep Elbows'!$A$12,VLOOKUP($A177,'Pool &amp; SPA Sweep Elbows'!$A$8:$M$11,9,FALSE),
IF($A177&lt;'Pool &amp; SPA Pipe Extender'!$A$11,VLOOKUP($A177,'Pool &amp; SPA Pipe Extender'!$A$8:$M$10,9,FALSE),
IF($A177&lt;'PVC SCH80'!$A$250,VLOOKUP($A177,'PVC SCH80'!$A$8:$M$249,9,FALSE),
IF($A177&lt;'PVC SCH80 Flange'!$A$49,VLOOKUP($A177,'PVC SCH80 Flange'!$A$8:$M$48,9,FALSE),
IF($A177&lt;'PVC SCH80 LD Flange'!$A$17,VLOOKUP($A177,'PVC SCH80 LD Flange'!$A$8:$M$16,9,FALSE),
IF($A177&lt;CPVC!$A$105,VLOOKUP($A177,CPVC!$A$9:$M$104,9,FALSE),
IF($A177&lt;InsertFittings!$A$185,VLOOKUP($A177,InsertFittings!$A$9:$M$184,9,FALSE),
IF($A177&lt;Valves!$A$92,VLOOKUP($A177,Valves!$A$9:$Q$91,13,FALSE),
IF($A177&lt;SDR35SW!$A$133,VLOOKUP($A177,SDR35SW!$A$9:$M$132,9,FALSE),
IF($A177&lt;SDR35G!$A$151,VLOOKUP($A177,SDR35G!$A$9:$M$150,9,FALSE),                                                                                                                                                                                                                                                          IF($A177&lt;SDR26G!$A$67,VLOOKUP($A177,SDR26G!$A$9:$N$66,10,FALSE),                                                                                                                                                                                                                                                       IF($A177&lt;Cements!$A$95,VLOOKUP($A177,Cements!$A$8:$Q$94,13,FALSE),
IF($A177&lt;ValveBox!$A$124,VLOOKUP($A177,ValveBox!$A$9:$O$123,11,FALSE),
IF($A177&lt;'ValveBox Components'!$A$142,VLOOKUP($A177,'ValveBox Components'!$A$9:$N$141,10,FALSE),
IF($A177&lt;Drainage!$A$69,VLOOKUP($A177,Drainage!$A$8:$M$68,9,FALSE),                                                                                                                                                                                                                                                              IF($A177&lt;Nipples!$A$82,VLOOKUP($A177,Nipples!$A$9:$Q$81,13,FALSE),
IF($A177&lt;Manifold!$A$33,VLOOKUP($A177,Manifold!$A$9:$M$32,9,FALSE),
IF($A177&lt;FlexibleRepairCouplings!$A$12,VLOOKUP($A177,FlexibleRepairCouplings!$A$9:$M$11,9,FALSE),
IF($A177&lt;DuraFix!$A$15,VLOOKUP($A177,DuraFix!$A$9:$M$14,9,FALSE),                                                                                                                                                                                                                                                          IF($A177&lt;'Compression Fittings'!$A$16,VLOOKUP($A177,'Compression Fittings'!$A$8:$M$15,9,FALSE),
IF($A177&lt;'Hose Fittings'!$A$30,VLOOKUP($A177,'Hose Fittings'!$A$8:$M$29,9,FALSE),
IF($A177&lt;'Swing Joints'!$A$495,VLOOKUP($A177,'Swing Joints'!$A$9:$M$494,9,FALSE),
IF($A177&lt;'Swing Joints Components'!$A$135,VLOOKUP($A177,'Swing Joints Components'!$A$9:$M$134,9,FALSE),
IF($A177&lt;Nonstandard!$A$42,VLOOKUP($A177,Nonstandard!$A$31:$J$41,8,FALSE),"")))))))))))))))))))))))))))),"")</f>
        <v/>
      </c>
      <c r="G177" s="533" t="str">
        <f>IFERROR(IF($A177&lt;'DWV PVC'!$A$317,VLOOKUP($A177,'DWV PVC'!$A$9:$M$316,11,FALSE),
IF($A177&lt;'DWV ABS'!$A$117,VLOOKUP($A177,'DWV ABS'!$A$8:$M$116,11,FALSE),                                                                                                                                                                                                                                                     IF($A177&lt;'PVC SCH40'!$A$425,VLOOKUP($A177,'PVC SCH40'!$A$8:$M$424,11,FALSE),
IF($A177&lt;'PVC SCH40 LD'!$A$22,VLOOKUP($A177,'PVC SCH40 LD'!$A$8:$M$21,11,FALSE),
IF($A177&lt;'Pool &amp; SPA Sweep Elbows'!$A$12,VLOOKUP($A177,'Pool &amp; SPA Sweep Elbows'!$A$8:$M$11,11,FALSE),
IF($A177&lt;'Pool &amp; SPA Pipe Extender'!$A$11,VLOOKUP($A177,'Pool &amp; SPA Pipe Extender'!$A$8:$M$10,11,FALSE),
IF($A177&lt;'PVC SCH80'!$A$250,VLOOKUP($A177,'PVC SCH80'!$A$8:$M$249,11,FALSE),
IF($A177&lt;'PVC SCH80 Flange'!$A$49,VLOOKUP($A177,'PVC SCH80 Flange'!$A$8:$M$48,11,FALSE),
IF($A177&lt;'PVC SCH80 LD Flange'!$A$17,VLOOKUP($A177,'PVC SCH80 LD Flange'!$A$8:$M$16,11,FALSE),
IF($A177&lt;CPVC!$A$105,VLOOKUP($A177,CPVC!$A$9:$M$104,11,FALSE),
IF($A177&lt;InsertFittings!$A$185,VLOOKUP($A177,InsertFittings!$A$9:$M$184,11,FALSE),
IF($A177&lt;Valves!$A$92,VLOOKUP($A177,Valves!$A$9:$Q$91,15,FALSE),
IF($A177&lt;SDR35SW!$A$133,VLOOKUP($A177,SDR35SW!$A$9:$M$132,11,FALSE),
IF($A177&lt;SDR35G!$A$151,VLOOKUP($A177,SDR35G!$A$9:$M$150,11,FALSE),                                                                                                                                                                                                                                                          IF($A177&lt;SDR26G!$A$67,VLOOKUP($A177,SDR26G!$A$9:$N$66,12,FALSE),                                                                                                                                                                                                                                                       IF($A177&lt;Cements!$A$95,VLOOKUP($A177,Cements!$A$8:$Q$94,15,FALSE),
IF($A177&lt;ValveBox!$A$124,VLOOKUP($A177,ValveBox!$A$9:$O$123,13,FALSE),
IF($A177&lt;'ValveBox Components'!$A$142,VLOOKUP($A177,'ValveBox Components'!$A$9:$N$141,12,FALSE),
IF($A177&lt;Drainage!$A$69,VLOOKUP($A177,Drainage!$A$8:$M$68,11,FALSE),                                                                                                                                                                                                                                                           IF($A177&lt;Nipples!$A$82,VLOOKUP($A177,Nipples!$A$9:$Q$81,15,FALSE),
IF($A177&lt;Manifold!$A$33,VLOOKUP($A177,Manifold!$A$9:$M$32,11,FALSE),
IF($A177&lt;FlexibleRepairCouplings!$A$12,VLOOKUP($A177,FlexibleRepairCouplings!$A$9:$M$11,11,FALSE),
IF($A177&lt;DuraFix!$A$15,VLOOKUP($A177,DuraFix!$A$9:$M$14,11,FALSE),                                                                                                                                                                                                                                                            IF($A177&lt;'Compression Fittings'!$A$16,VLOOKUP($A177,'Compression Fittings'!$A$8:$M$15,11,FALSE),
IF($A177&lt;'Hose Fittings'!$A$30,VLOOKUP($A177,'Hose Fittings'!$A$8:$M$29,11,FALSE),
IF($A177&lt;'Swing Joints'!$A$495,VLOOKUP($A177,'Swing Joints'!$A$9:$M$494,11,FALSE),
IF($A177&lt;'Swing Joints Components'!$A$135,VLOOKUP($A177,'Swing Joints Components'!$A$9:$M$134,11,FALSE),
IF($A177&lt;Nonstandard!$A$42,VLOOKUP($A177,Nonstandard!$A$31:$J$41,10,FALSE),"")))))))))))))))))))))))))))),"")</f>
        <v/>
      </c>
      <c r="H177" s="618" t="str">
        <f>IFERROR(IF($A177&lt;'DWV PVC'!$A$317,VLOOKUP($A177,'DWV PVC'!$A$9:$M$316,7,FALSE),
IF($A177&lt;'DWV ABS'!$A$117,VLOOKUP($A177,'DWV ABS'!$A$8:$M$116,11,FALSE),                                                                                                                                                                                                                                                     IF($A177&lt;'PVC SCH40'!$A$425,VLOOKUP($A177,'PVC SCH40'!$A$8:$M$424,7,FALSE),
IF($A177&lt;'PVC SCH40 LD'!$A$22,VLOOKUP($A177,'PVC SCH40 LD'!$A$8:$M$21,7,FALSE),
IF($A177&lt;'Pool &amp; SPA Sweep Elbows'!$A$12,VLOOKUP($A177,'Pool &amp; SPA Sweep Elbows'!$A$8:$M$11,7,FALSE),
IF($A177&lt;'Pool &amp; SPA Pipe Extender'!$A$11,VLOOKUP($A177,'Pool &amp; SPA Pipe Extender'!$A$8:$M$10,7,FALSE),
IF($A177&lt;'PVC SCH80'!$A$250,VLOOKUP($A177,'PVC SCH80'!$A$8:$M$249,7,FALSE),
IF($A177&lt;'PVC SCH80 Flange'!$A$49,VLOOKUP($A177,'PVC SCH80 Flange'!$A$8:$M$48,7,FALSE),
IF($A177&lt;'PVC SCH80 LD Flange'!$A$17,VLOOKUP($A177,'PVC SCH80 LD Flange'!$A$8:$M$16,7,FALSE),
IF($A177&lt;CPVC!$A$105,VLOOKUP($A177,CPVC!$A$9:$M$104,7,FALSE),
IF($A177&lt;InsertFittings!$A$185,VLOOKUP($A177,InsertFittings!$A$9:$M$184,7,FALSE),
IF($A177&lt;Valves!$A$92,VLOOKUP($A177,Valves!$A$9:$Q$91,11,FALSE),
IF($A177&lt;SDR35SW!$A$133,VLOOKUP($A177,SDR35SW!$A$9:$M$132,7,FALSE),
IF($A177&lt;SDR35G!$A$151,VLOOKUP($A177,SDR35G!$A$9:$M$150,7,FALSE),                                                                                                                                                                                                                                                       IF($A177&lt;SDR26G!$A$67,VLOOKUP($A177,SDR26G!$A$9:$N$66,8,FALSE),                                                                                                                                                                                                                                                     IF($A177&lt;Cements!$A$95,VLOOKUP($A177,Cements!$A$8:$Q$94,11,FALSE),
IF($A177&lt;ValveBox!$A$124,VLOOKUP($A177,ValveBox!$A$9:$O$123,10,FALSE),
IF($A177&lt;'ValveBox Components'!$A$142,VLOOKUP($A177,'ValveBox Components'!$A$9:$N$141,9,FALSE),
IF($A177&lt;Drainage!$A$69,VLOOKUP($A177,Drainage!$A$8:$M$68,7,FALSE),                                                                                                                                                                                                                                                          IF($A177&lt;Nipples!$A$82,VLOOKUP($A177,Nipples!$A$9:$Q$81,11,FALSE),
IF($A177&lt;Manifold!$A$33,VLOOKUP($A177,Manifold!$A$9:$M$32,7,FALSE),
IF($A177&lt;FlexibleRepairCouplings!$A$12,VLOOKUP($A177,FlexibleRepairCouplings!$A$9:$M$11,7,FALSE),
IF($A177&lt;DuraFix!$A$15,VLOOKUP($A177,DuraFix!$A$9:$M$14,7,FALSE),                                                                                                                                                                                                                                                           IF($A177&lt;'Compression Fittings'!$A$16,VLOOKUP($A177,'Compression Fittings'!$A$8:$M$15,7,FALSE),
IF($A177&lt;'Hose Fittings'!$A$30,VLOOKUP($A177,'Hose Fittings'!$A$8:$M$29,7,FALSE),
IF($A177&lt;'Swing Joints'!$A$495,VLOOKUP($A177,'Swing Joints'!$A$9:$M$494,7,FALSE),
IF($A177&lt;'Swing Joints Components'!$A$135,VLOOKUP($A177,'Swing Joints Components'!$A$9:$M$134,7,FALSE),
IF($A177&lt;Nonstandard!$A$42,VLOOKUP($A177,Nonstandard!$A$31:$J$41,10,FALSE),"")))))))))))))))))))))))))))),"")</f>
        <v/>
      </c>
      <c r="I177" s="619"/>
      <c r="J177" s="281" t="str">
        <f t="shared" si="5"/>
        <v/>
      </c>
      <c r="K177" s="313" t="str">
        <f>IFERROR(IF($A177&lt;'DWV PVC'!$A$317,VLOOKUP($A177,'DWV PVC'!$A$9:$M$316,10,FALSE),
IF($A177&lt;'DWV ABS'!$A$117,VLOOKUP($A177,'DWV ABS'!$A$8:$M$116,10,FALSE),
IF($A177&lt;'PVC SCH40'!$A$425,VLOOKUP($A177,'PVC SCH40'!$A$8:$M$424,10,FALSE),
IF($A177&lt;'PVC SCH40 LD'!$A$22,VLOOKUP($A177,'PVC SCH40 LD'!$A$8:$M$21,10,FALSE),
IF($A177&lt;'Pool &amp; SPA Sweep Elbows'!$A$12,VLOOKUP($A177,'Pool &amp; SPA Sweep Elbows'!$A$8:$M$11,10,FALSE),
IF($A177&lt;'Pool &amp; SPA Pipe Extender'!$A$11,VLOOKUP($A177,'Pool &amp; SPA Pipe Extender'!$A$8:$M$10,10,FALSE),
IF($A177&lt;'PVC SCH80'!$A$250,VLOOKUP($A177,'PVC SCH80'!$A$8:$M$249,10,FALSE),
IF($A177&lt;'PVC SCH80 Flange'!$A$49,VLOOKUP($A177,'PVC SCH80 Flange'!$A$8:$M$48,10,FALSE),
IF($A177&lt;'PVC SCH80 LD Flange'!$A$17,VLOOKUP($A177,'PVC SCH80 LD Flange'!$A$8:$M$16,10,FALSE),
IF($A177&lt;CPVC!$A$105,VLOOKUP($A177,CPVC!$A$9:$M$104,10,FALSE),
IF($A177&lt;InsertFittings!$A$185,VLOOKUP($A177,InsertFittings!$A$9:$M$184,10,FALSE),
IF($A177&lt;Valves!$A$92,VLOOKUP($A177,Valves!$A$9:$Q$91,14,FALSE),
IF($A177&lt;SDR35SW!$A$133,VLOOKUP($A177,SDR35SW!$A$9:$M$132,10,FALSE),
IF($A177&lt;SDR35G!$A$151,VLOOKUP($A177,SDR35G!$A$9:$M$150,10,FALSE),
IF($A177&lt;SDR26G!$A$67,VLOOKUP($A177,SDR26G!$A$9:$N$66,11,FALSE),
IF($A177&lt;Cements!$A$95,VLOOKUP($A177,Cements!$A$8:$Q$94,14,FALSE),
IF($A177&lt;ValveBox!$A$124,VLOOKUP($A177,ValveBox!$A$9:$O$123,12,FALSE),
IF($A177&lt;'ValveBox Components'!$A$142,VLOOKUP($A177,'ValveBox Components'!$A$9:$N$141,11,FALSE),
IF($A177&lt;Drainage!$A$69,VLOOKUP($A177,Drainage!$A$8:$M$68,10,FALSE),
IF($A177&lt;Nipples!$A$82,VLOOKUP($A177,Nipples!$A$9:$Q$81,14,FALSE),
IF($A177&lt;Manifold!$A$33,VLOOKUP($A177,Manifold!$A$9:$M$32,10,FALSE),
IF($A177&lt;FlexibleRepairCouplings!$A$12,VLOOKUP($A177,FlexibleRepairCouplings!$A$9:$M$11,10,FALSE),
IF($A177&lt;DuraFix!$A$15,VLOOKUP($A177,DuraFix!$A$9:$M$14,10,FALSE),
IF($A177&lt;'Compression Fittings'!$A$16,VLOOKUP($A177,'Compression Fittings'!$A$8:$M$15,10,FALSE),
IF($A177&lt;'Hose Fittings'!$A$30,VLOOKUP($A177,'Hose Fittings'!$A$8:$M$29,10,FALSE),
IF($A177&lt;'Swing Joints'!$A$495,VLOOKUP($A177,'Swing Joints'!$A$9:$M$494,10,FALSE),
IF($A177&lt;'Swing Joints Components'!$A$135,VLOOKUP($A177,'Swing Joints Components'!$A$9:$M$134,10,FALSE),
IF($A177&lt;Nonstandard!$A$42,VLOOKUP($A177,Nonstandard!$A$31:$J$41,10,FALSE),"")))))))))))))))))))))))))))),"")</f>
        <v/>
      </c>
      <c r="L177" s="314" t="str">
        <f t="shared" si="4"/>
        <v>-</v>
      </c>
      <c r="M177" s="315"/>
    </row>
    <row r="178" spans="1:13" ht="15.6">
      <c r="A178" s="536">
        <v>146</v>
      </c>
      <c r="B178" s="536" t="str">
        <f>IFERROR(IF($A178&lt;'DWV PVC'!$A$317,VLOOKUP($A178,'DWV PVC'!$A$9:$M$316,4,FALSE),
IF($A178&lt;'DWV ABS'!$A$117,VLOOKUP($A178,'DWV ABS'!$A$8:$M$116,4,FALSE),
IF($A178&lt;'PVC SCH40'!$A$425,VLOOKUP($A178,'PVC SCH40'!$A$8:$M$424,4,FALSE),
IF($A178&lt;'PVC SCH40 LD'!$A$22,VLOOKUP($A178,'PVC SCH40 LD'!$A$8:$M$21,4,FALSE),
IF($A178&lt;'Pool &amp; SPA Sweep Elbows'!$A$12,VLOOKUP($A178,'Pool &amp; SPA Sweep Elbows'!$A$8:$M$11,4,FALSE),
IF($A178&lt;'Pool &amp; SPA Pipe Extender'!$A$11,VLOOKUP($A178,'Pool &amp; SPA Pipe Extender'!$A$8:$M$10,4,FALSE),
IF($A178&lt;'PVC SCH80'!$A$250,VLOOKUP($A178,'PVC SCH80'!$A$8:$M$249,4,FALSE),
IF($A178&lt;'PVC SCH80 Flange'!$A$49,VLOOKUP($A178,'PVC SCH80 Flange'!$A$8:$M$48,4,FALSE),
IF($A178&lt;'PVC SCH80 LD Flange'!$A$17,VLOOKUP($A178,'PVC SCH80 LD Flange'!$A$8:$M$16,4,FALSE),
IF($A178&lt;CPVC!$A$105,VLOOKUP($A178,CPVC!$A$9:$M$104,4,FALSE),
IF($A178&lt;InsertFittings!$A$185,VLOOKUP($A178,InsertFittings!$A$9:$M$184,4,FALSE),
IF($A178&lt;Valves!$A$92,VLOOKUP($A178,Valves!$A$9:$Q$91,4,FALSE),
IF($A178&lt;SDR35SW!$A$133,VLOOKUP($A178,SDR35SW!$A$9:$M$132,4,FALSE),
IF($A178&lt;SDR35G!$A$151,VLOOKUP($A178,SDR35G!$A$9:$M$150,4,FALSE),
IF($A178&lt;SDR26G!$A$67,VLOOKUP($A178,SDR26G!$A$9:$N$66,5,FALSE),
IF($A178&lt;Cements!$A$95,VLOOKUP($A178,Cements!$A$8:$Q$94,4,FALSE),
IF($A178&lt;ValveBox!$A$124,VLOOKUP($A178,ValveBox!$A$9:$O$123,4,FALSE),
IF($A178&lt;'ValveBox Components'!$A$142,VLOOKUP($A178,'ValveBox Components'!$A$9:$N$141,4,FALSE),
IF($A178&lt;Drainage!$A$69,VLOOKUP($A178,Drainage!$A$8:$M$68,4,FALSE),
IF($A178&lt;Nipples!$A$82,VLOOKUP($A178,Nipples!$A$9:$Q$81,4,FALSE),
IF($A178&lt;Manifold!$A$33,VLOOKUP($A178,Manifold!$A$9:$M$32,4,FALSE),
IF($A178&lt;FlexibleRepairCouplings!$A$12,VLOOKUP($A178,FlexibleRepairCouplings!$A$9:$M$11,4,FALSE),
IF($A178&lt;DuraFix!$A$15,VLOOKUP($A178,DuraFix!$A$9:$M$14,4,FALSE),
IF($A178&lt;'Compression Fittings'!$A$16,VLOOKUP($A178,'Compression Fittings'!$A$8:$M$15,4,FALSE),
IF($A178&lt;'Hose Fittings'!$A$30,VLOOKUP($A178,'Hose Fittings'!$A$8:$M$29,4,FALSE),
IF($A178&lt;'Swing Joints'!$A$495,VLOOKUP($A178,'Swing Joints'!$A$9:$M$494,4,FALSE),
IF($A178&lt;'Swing Joints Components'!$A$135,VLOOKUP($A178,'Swing Joints Components'!$A$9:$M$134,4,FALSE),
IF($A178&lt;Nonstandard!$A$42,VLOOKUP($A178,Nonstandard!$A$31:$J$41,5,FALSE),"")))))))))))))))))))))))))))),"")</f>
        <v/>
      </c>
      <c r="C178" s="536" t="str">
        <f>IFERROR(IF($A178&lt;'DWV PVC'!$A$317,VLOOKUP($A178,'DWV PVC'!$A$9:$M$316,5,FALSE),
IF($A178&lt;'DWV ABS'!$A$117,VLOOKUP($A178,'DWV ABS'!$A$8:$M$116,5,FALSE),
IF($A178&lt;'PVC SCH40'!$A$425,VLOOKUP($A178,'PVC SCH40'!$A$8:$M$424,5,FALSE),
IF($A178&lt;'PVC SCH40 LD'!$A$22,VLOOKUP($A178,'PVC SCH40 LD'!$A$8:$M$21,5,FALSE),
IF($A178&lt;'Pool &amp; SPA Sweep Elbows'!$A$12,VLOOKUP($A178,'Pool &amp; SPA Sweep Elbows'!$A$8:$M$11,5,FALSE),
IF($A178&lt;'Pool &amp; SPA Pipe Extender'!$A$11,VLOOKUP($A178,'Pool &amp; SPA Pipe Extender'!$A$8:$M$10,5,FALSE),
IF($A178&lt;'PVC SCH80'!$A$250,VLOOKUP($A178,'PVC SCH80'!$A$8:$M$249,5,FALSE),
IF($A178&lt;'PVC SCH80 Flange'!$A$49,VLOOKUP($A178,'PVC SCH80 Flange'!$A$8:$M$48,5,FALSE),
IF($A178&lt;'PVC SCH80 LD Flange'!$A$17,VLOOKUP($A178,'PVC SCH80 LD Flange'!$A$8:$M$16,5,FALSE),
IF($A178&lt;CPVC!$A$105,VLOOKUP($A178,CPVC!$A$9:$M$104,5,FALSE),
IF($A178&lt;InsertFittings!$A$185,VLOOKUP($A178,InsertFittings!$A$9:$M$184,5,FALSE),
IF($A178&lt;Valves!$A$92,VLOOKUP($A178,Valves!$A$9:$Q$91,5,FALSE),
IF($A178&lt;SDR35SW!$A$133,VLOOKUP($A178,SDR35SW!$A$9:$M$132,5,FALSE),
IF($A178&lt;SDR35G!$A$151,VLOOKUP($A178,SDR35G!$A$9:$M$150,5,FALSE),
IF($A178&lt;SDR26G!$A$67,VLOOKUP($A178,SDR26G!$A$9:$N$66,6,FALSE),
IF($A178&lt;Cements!$A$95,VLOOKUP($A178,Cements!$A$8:$Q$94,5,FALSE),
IF($A178&lt;ValveBox!$A$124,VLOOKUP($A178,ValveBox!$A$9:$O$123,5,FALSE),
IF($A178&lt;'ValveBox Components'!$A$142,VLOOKUP($A178,'ValveBox Components'!$A$9:$N$141,5,FALSE),
IF($A178&lt;Drainage!$A$69,VLOOKUP($A178,Drainage!$A$8:$M$68,5,FALSE),
IF($A178&lt;Nipples!$A$82,VLOOKUP($A178,Nipples!$A$9:$Q$81,5,FALSE),
IF($A178&lt;Manifold!$A$33,VLOOKUP($A178,Manifold!$A$9:$M$32,5,FALSE),
IF($A178&lt;FlexibleRepairCouplings!$A$12,VLOOKUP($A178,FlexibleRepairCouplings!$A$9:$M$11,5,FALSE),
IF($A178&lt;DuraFix!$A$15,VLOOKUP($A178,DuraFix!$A$9:$M$14,5,FALSE),
IF($A178&lt;'Compression Fittings'!$A$16,VLOOKUP($A178,'Compression Fittings'!$A$8:$M$15,5,FALSE),
IF($A178&lt;'Hose Fittings'!$A$30,VLOOKUP($A178,'Hose Fittings'!$A$8:$M$29,5,FALSE),
IF($A178&lt;'Swing Joints'!$A$495,VLOOKUP($A178,'Swing Joints'!$A$9:$M$494,5,FALSE),
IF($A178&lt;'Swing Joints Components'!$A$135,VLOOKUP($A178,'Swing Joints Components'!$A$9:$M$134,5,FALSE),
IF($A178&lt;Nonstandard!$A$42,VLOOKUP($A178,Nonstandard!$A$31:$J$41,6,FALSE),"")))))))))))))))))))))))))))),"")</f>
        <v/>
      </c>
      <c r="D178" s="537" t="str">
        <f>IFERROR(IF($A178&lt;'DWV PVC'!$A$317,VLOOKUP($A178,'DWV PVC'!$A$9:$M$316,6,FALSE),
IF($A178&lt;'DWV ABS'!$A$117,VLOOKUP($A178,'DWV ABS'!$A$8:$M$116,6,FALSE),
IF($A178&lt;'PVC SCH40'!$A$425,VLOOKUP($A178,'PVC SCH40'!$A$8:$M$424,6,FALSE),
IF($A178&lt;'PVC SCH40 LD'!$A$22,VLOOKUP($A178,'PVC SCH40 LD'!$A$8:$M$21,6,FALSE),
IF($A178&lt;'Pool &amp; SPA Sweep Elbows'!$A$12,VLOOKUP($A178,'Pool &amp; SPA Sweep Elbows'!$A$8:$M$11,6,FALSE),
IF($A178&lt;'Pool &amp; SPA Pipe Extender'!$A$11,VLOOKUP($A178,'Pool &amp; SPA Pipe Extender'!$A$8:$M$10,6,FALSE),
IF($A178&lt;'PVC SCH80'!$A$250,VLOOKUP($A178,'PVC SCH80'!$A$8:$M$249,6,FALSE),
IF($A178&lt;'PVC SCH80 Flange'!$A$49,VLOOKUP($A178,'PVC SCH80 Flange'!$A$8:$M$48,6,FALSE),
IF($A178&lt;'PVC SCH80 LD Flange'!$A$17,VLOOKUP($A178,'PVC SCH80 LD Flange'!$A$8:$M$16,6,FALSE),
IF($A178&lt;CPVC!$A$105,VLOOKUP($A178,CPVC!$A$9:$M$104,6,FALSE),
IF($A178&lt;InsertFittings!$A$185,VLOOKUP($A178,InsertFittings!$A$9:$M$184,6,FALSE),
IF($A178&lt;Valves!$A$92,VLOOKUP($A178,Valves!$A$9:$Q$91,6,FALSE),
IF($A178&lt;SDR35SW!$A$133,VLOOKUP($A178,SDR35SW!$A$9:$M$132,6,FALSE),
IF($A178&lt;SDR35G!$A$151,VLOOKUP($A178,SDR35G!$A$9:$M$150,6,FALSE),
IF($A178&lt;SDR26G!$A$67,VLOOKUP($A178,SDR26G!$A$9:$N$66,7,FALSE),
IF($A178&lt;Cements!$A$95,VLOOKUP($A178,Cements!$A$8:$Q$94,6,FALSE),
IF($A178&lt;ValveBox!$A$124,VLOOKUP($A178,ValveBox!$A$9:$O$123,6,FALSE),
IF($A178&lt;'ValveBox Components'!$A$142,VLOOKUP($A178,'ValveBox Components'!$A$9:$N$141,6,FALSE),
IF($A178&lt;Drainage!$A$69,VLOOKUP($A178,Drainage!$A$8:$M$68,6,FALSE),
IF($A178&lt;Nipples!$A$82,VLOOKUP($A178,Nipples!$A$9:$Q$81,6,FALSE),
IF($A178&lt;Manifold!$A$33,VLOOKUP($A178,Manifold!$A$9:$M$32,6,FALSE),
IF($A178&lt;FlexibleRepairCouplings!$A$12,VLOOKUP($A178,FlexibleRepairCouplings!$A$9:$M$11,6,FALSE),
IF($A178&lt;DuraFix!$A$15,VLOOKUP($A178,DuraFix!$A$9:$M$14,6,FALSE),
IF($A178&lt;'Compression Fittings'!$A$16,VLOOKUP($A178,'Compression Fittings'!$A$8:$M$15,6,FALSE),
IF($A178&lt;'Hose Fittings'!$A$30,VLOOKUP($A178,'Hose Fittings'!$A$8:$M$29,6,FALSE),
IF($A178&lt;'Swing Joints'!$A$495,VLOOKUP($A178,'Swing Joints'!$A$9:$M$494,6,FALSE),
IF($A178&lt;'Swing Joints Components'!$A$135,VLOOKUP($A178,'Swing Joints Components'!$A$9:$M$134,6,FALSE),
IF($A178&lt;Nonstandard!$A$42,VLOOKUP($A178,Nonstandard!$A$31:$J$41,7,FALSE),"")))))))))))))))))))))))))))),"")</f>
        <v/>
      </c>
      <c r="E178" s="538"/>
      <c r="F178" s="539" t="str">
        <f>IFERROR(IF($A178&lt;'DWV PVC'!$A$317,VLOOKUP($A178,'DWV PVC'!$A$9:$M$316,9,FALSE),
IF($A178&lt;'DWV ABS'!$A$117,VLOOKUP($A178,'DWV ABS'!$A$8:$M$116,9,FALSE),                                                                                                                                                                                                                                                     IF($A178&lt;'PVC SCH40'!$A$425,VLOOKUP($A178,'PVC SCH40'!$A$8:$M$424,9,FALSE),
IF($A178&lt;'PVC SCH40 LD'!$A$22,VLOOKUP($A178,'PVC SCH40 LD'!$A$8:$M$21,9,FALSE),
IF($A178&lt;'Pool &amp; SPA Sweep Elbows'!$A$12,VLOOKUP($A178,'Pool &amp; SPA Sweep Elbows'!$A$8:$M$11,9,FALSE),
IF($A178&lt;'Pool &amp; SPA Pipe Extender'!$A$11,VLOOKUP($A178,'Pool &amp; SPA Pipe Extender'!$A$8:$M$10,9,FALSE),
IF($A178&lt;'PVC SCH80'!$A$250,VLOOKUP($A178,'PVC SCH80'!$A$8:$M$249,9,FALSE),
IF($A178&lt;'PVC SCH80 Flange'!$A$49,VLOOKUP($A178,'PVC SCH80 Flange'!$A$8:$M$48,9,FALSE),
IF($A178&lt;'PVC SCH80 LD Flange'!$A$17,VLOOKUP($A178,'PVC SCH80 LD Flange'!$A$8:$M$16,9,FALSE),
IF($A178&lt;CPVC!$A$105,VLOOKUP($A178,CPVC!$A$9:$M$104,9,FALSE),
IF($A178&lt;InsertFittings!$A$185,VLOOKUP($A178,InsertFittings!$A$9:$M$184,9,FALSE),
IF($A178&lt;Valves!$A$92,VLOOKUP($A178,Valves!$A$9:$Q$91,13,FALSE),
IF($A178&lt;SDR35SW!$A$133,VLOOKUP($A178,SDR35SW!$A$9:$M$132,9,FALSE),
IF($A178&lt;SDR35G!$A$151,VLOOKUP($A178,SDR35G!$A$9:$M$150,9,FALSE),                                                                                                                                                                                                                                                          IF($A178&lt;SDR26G!$A$67,VLOOKUP($A178,SDR26G!$A$9:$N$66,10,FALSE),                                                                                                                                                                                                                                                       IF($A178&lt;Cements!$A$95,VLOOKUP($A178,Cements!$A$8:$Q$94,13,FALSE),
IF($A178&lt;ValveBox!$A$124,VLOOKUP($A178,ValveBox!$A$9:$O$123,11,FALSE),
IF($A178&lt;'ValveBox Components'!$A$142,VLOOKUP($A178,'ValveBox Components'!$A$9:$N$141,10,FALSE),
IF($A178&lt;Drainage!$A$69,VLOOKUP($A178,Drainage!$A$8:$M$68,9,FALSE),                                                                                                                                                                                                                                                              IF($A178&lt;Nipples!$A$82,VLOOKUP($A178,Nipples!$A$9:$Q$81,13,FALSE),
IF($A178&lt;Manifold!$A$33,VLOOKUP($A178,Manifold!$A$9:$M$32,9,FALSE),
IF($A178&lt;FlexibleRepairCouplings!$A$12,VLOOKUP($A178,FlexibleRepairCouplings!$A$9:$M$11,9,FALSE),
IF($A178&lt;DuraFix!$A$15,VLOOKUP($A178,DuraFix!$A$9:$M$14,9,FALSE),                                                                                                                                                                                                                                                          IF($A178&lt;'Compression Fittings'!$A$16,VLOOKUP($A178,'Compression Fittings'!$A$8:$M$15,9,FALSE),
IF($A178&lt;'Hose Fittings'!$A$30,VLOOKUP($A178,'Hose Fittings'!$A$8:$M$29,9,FALSE),
IF($A178&lt;'Swing Joints'!$A$495,VLOOKUP($A178,'Swing Joints'!$A$9:$M$494,9,FALSE),
IF($A178&lt;'Swing Joints Components'!$A$135,VLOOKUP($A178,'Swing Joints Components'!$A$9:$M$134,9,FALSE),
IF($A178&lt;Nonstandard!$A$42,VLOOKUP($A178,Nonstandard!$A$31:$J$41,8,FALSE),"")))))))))))))))))))))))))))),"")</f>
        <v/>
      </c>
      <c r="G178" s="540" t="str">
        <f>IFERROR(IF($A178&lt;'DWV PVC'!$A$317,VLOOKUP($A178,'DWV PVC'!$A$9:$M$316,11,FALSE),
IF($A178&lt;'DWV ABS'!$A$117,VLOOKUP($A178,'DWV ABS'!$A$8:$M$116,11,FALSE),                                                                                                                                                                                                                                                     IF($A178&lt;'PVC SCH40'!$A$425,VLOOKUP($A178,'PVC SCH40'!$A$8:$M$424,11,FALSE),
IF($A178&lt;'PVC SCH40 LD'!$A$22,VLOOKUP($A178,'PVC SCH40 LD'!$A$8:$M$21,11,FALSE),
IF($A178&lt;'Pool &amp; SPA Sweep Elbows'!$A$12,VLOOKUP($A178,'Pool &amp; SPA Sweep Elbows'!$A$8:$M$11,11,FALSE),
IF($A178&lt;'Pool &amp; SPA Pipe Extender'!$A$11,VLOOKUP($A178,'Pool &amp; SPA Pipe Extender'!$A$8:$M$10,11,FALSE),
IF($A178&lt;'PVC SCH80'!$A$250,VLOOKUP($A178,'PVC SCH80'!$A$8:$M$249,11,FALSE),
IF($A178&lt;'PVC SCH80 Flange'!$A$49,VLOOKUP($A178,'PVC SCH80 Flange'!$A$8:$M$48,11,FALSE),
IF($A178&lt;'PVC SCH80 LD Flange'!$A$17,VLOOKUP($A178,'PVC SCH80 LD Flange'!$A$8:$M$16,11,FALSE),
IF($A178&lt;CPVC!$A$105,VLOOKUP($A178,CPVC!$A$9:$M$104,11,FALSE),
IF($A178&lt;InsertFittings!$A$185,VLOOKUP($A178,InsertFittings!$A$9:$M$184,11,FALSE),
IF($A178&lt;Valves!$A$92,VLOOKUP($A178,Valves!$A$9:$Q$91,15,FALSE),
IF($A178&lt;SDR35SW!$A$133,VLOOKUP($A178,SDR35SW!$A$9:$M$132,11,FALSE),
IF($A178&lt;SDR35G!$A$151,VLOOKUP($A178,SDR35G!$A$9:$M$150,11,FALSE),                                                                                                                                                                                                                                                          IF($A178&lt;SDR26G!$A$67,VLOOKUP($A178,SDR26G!$A$9:$N$66,12,FALSE),                                                                                                                                                                                                                                                       IF($A178&lt;Cements!$A$95,VLOOKUP($A178,Cements!$A$8:$Q$94,15,FALSE),
IF($A178&lt;ValveBox!$A$124,VLOOKUP($A178,ValveBox!$A$9:$O$123,13,FALSE),
IF($A178&lt;'ValveBox Components'!$A$142,VLOOKUP($A178,'ValveBox Components'!$A$9:$N$141,12,FALSE),
IF($A178&lt;Drainage!$A$69,VLOOKUP($A178,Drainage!$A$8:$M$68,11,FALSE),                                                                                                                                                                                                                                                           IF($A178&lt;Nipples!$A$82,VLOOKUP($A178,Nipples!$A$9:$Q$81,15,FALSE),
IF($A178&lt;Manifold!$A$33,VLOOKUP($A178,Manifold!$A$9:$M$32,11,FALSE),
IF($A178&lt;FlexibleRepairCouplings!$A$12,VLOOKUP($A178,FlexibleRepairCouplings!$A$9:$M$11,11,FALSE),
IF($A178&lt;DuraFix!$A$15,VLOOKUP($A178,DuraFix!$A$9:$M$14,11,FALSE),                                                                                                                                                                                                                                                            IF($A178&lt;'Compression Fittings'!$A$16,VLOOKUP($A178,'Compression Fittings'!$A$8:$M$15,11,FALSE),
IF($A178&lt;'Hose Fittings'!$A$30,VLOOKUP($A178,'Hose Fittings'!$A$8:$M$29,11,FALSE),
IF($A178&lt;'Swing Joints'!$A$495,VLOOKUP($A178,'Swing Joints'!$A$9:$M$494,11,FALSE),
IF($A178&lt;'Swing Joints Components'!$A$135,VLOOKUP($A178,'Swing Joints Components'!$A$9:$M$134,11,FALSE),
IF($A178&lt;Nonstandard!$A$42,VLOOKUP($A178,Nonstandard!$A$31:$J$41,10,FALSE),"")))))))))))))))))))))))))))),"")</f>
        <v/>
      </c>
      <c r="H178" s="620" t="str">
        <f>IFERROR(IF($A178&lt;'DWV PVC'!$A$317,VLOOKUP($A178,'DWV PVC'!$A$9:$M$316,7,FALSE),
IF($A178&lt;'DWV ABS'!$A$117,VLOOKUP($A178,'DWV ABS'!$A$8:$M$116,11,FALSE),                                                                                                                                                                                                                                                     IF($A178&lt;'PVC SCH40'!$A$425,VLOOKUP($A178,'PVC SCH40'!$A$8:$M$424,7,FALSE),
IF($A178&lt;'PVC SCH40 LD'!$A$22,VLOOKUP($A178,'PVC SCH40 LD'!$A$8:$M$21,7,FALSE),
IF($A178&lt;'Pool &amp; SPA Sweep Elbows'!$A$12,VLOOKUP($A178,'Pool &amp; SPA Sweep Elbows'!$A$8:$M$11,7,FALSE),
IF($A178&lt;'Pool &amp; SPA Pipe Extender'!$A$11,VLOOKUP($A178,'Pool &amp; SPA Pipe Extender'!$A$8:$M$10,7,FALSE),
IF($A178&lt;'PVC SCH80'!$A$250,VLOOKUP($A178,'PVC SCH80'!$A$8:$M$249,7,FALSE),
IF($A178&lt;'PVC SCH80 Flange'!$A$49,VLOOKUP($A178,'PVC SCH80 Flange'!$A$8:$M$48,7,FALSE),
IF($A178&lt;'PVC SCH80 LD Flange'!$A$17,VLOOKUP($A178,'PVC SCH80 LD Flange'!$A$8:$M$16,7,FALSE),
IF($A178&lt;CPVC!$A$105,VLOOKUP($A178,CPVC!$A$9:$M$104,7,FALSE),
IF($A178&lt;InsertFittings!$A$185,VLOOKUP($A178,InsertFittings!$A$9:$M$184,7,FALSE),
IF($A178&lt;Valves!$A$92,VLOOKUP($A178,Valves!$A$9:$Q$91,11,FALSE),
IF($A178&lt;SDR35SW!$A$133,VLOOKUP($A178,SDR35SW!$A$9:$M$132,7,FALSE),
IF($A178&lt;SDR35G!$A$151,VLOOKUP($A178,SDR35G!$A$9:$M$150,7,FALSE),                                                                                                                                                                                                                                                       IF($A178&lt;SDR26G!$A$67,VLOOKUP($A178,SDR26G!$A$9:$N$66,8,FALSE),                                                                                                                                                                                                                                                     IF($A178&lt;Cements!$A$95,VLOOKUP($A178,Cements!$A$8:$Q$94,11,FALSE),
IF($A178&lt;ValveBox!$A$124,VLOOKUP($A178,ValveBox!$A$9:$O$123,10,FALSE),
IF($A178&lt;'ValveBox Components'!$A$142,VLOOKUP($A178,'ValveBox Components'!$A$9:$N$141,9,FALSE),
IF($A178&lt;Drainage!$A$69,VLOOKUP($A178,Drainage!$A$8:$M$68,7,FALSE),                                                                                                                                                                                                                                                          IF($A178&lt;Nipples!$A$82,VLOOKUP($A178,Nipples!$A$9:$Q$81,11,FALSE),
IF($A178&lt;Manifold!$A$33,VLOOKUP($A178,Manifold!$A$9:$M$32,7,FALSE),
IF($A178&lt;FlexibleRepairCouplings!$A$12,VLOOKUP($A178,FlexibleRepairCouplings!$A$9:$M$11,7,FALSE),
IF($A178&lt;DuraFix!$A$15,VLOOKUP($A178,DuraFix!$A$9:$M$14,7,FALSE),                                                                                                                                                                                                                                                           IF($A178&lt;'Compression Fittings'!$A$16,VLOOKUP($A178,'Compression Fittings'!$A$8:$M$15,7,FALSE),
IF($A178&lt;'Hose Fittings'!$A$30,VLOOKUP($A178,'Hose Fittings'!$A$8:$M$29,7,FALSE),
IF($A178&lt;'Swing Joints'!$A$495,VLOOKUP($A178,'Swing Joints'!$A$9:$M$494,7,FALSE),
IF($A178&lt;'Swing Joints Components'!$A$135,VLOOKUP($A178,'Swing Joints Components'!$A$9:$M$134,7,FALSE),
IF($A178&lt;Nonstandard!$A$42,VLOOKUP($A178,Nonstandard!$A$31:$J$41,10,FALSE),"")))))))))))))))))))))))))))),"")</f>
        <v/>
      </c>
      <c r="I178" s="621"/>
      <c r="J178" s="541" t="str">
        <f t="shared" si="5"/>
        <v/>
      </c>
      <c r="K178" s="599" t="str">
        <f>IFERROR(IF($A178&lt;'DWV PVC'!$A$317,VLOOKUP($A178,'DWV PVC'!$A$9:$M$316,10,FALSE),
IF($A178&lt;'DWV ABS'!$A$117,VLOOKUP($A178,'DWV ABS'!$A$8:$M$116,10,FALSE),
IF($A178&lt;'PVC SCH40'!$A$425,VLOOKUP($A178,'PVC SCH40'!$A$8:$M$424,10,FALSE),
IF($A178&lt;'PVC SCH40 LD'!$A$22,VLOOKUP($A178,'PVC SCH40 LD'!$A$8:$M$21,10,FALSE),
IF($A178&lt;'Pool &amp; SPA Sweep Elbows'!$A$12,VLOOKUP($A178,'Pool &amp; SPA Sweep Elbows'!$A$8:$M$11,10,FALSE),
IF($A178&lt;'Pool &amp; SPA Pipe Extender'!$A$11,VLOOKUP($A178,'Pool &amp; SPA Pipe Extender'!$A$8:$M$10,10,FALSE),
IF($A178&lt;'PVC SCH80'!$A$250,VLOOKUP($A178,'PVC SCH80'!$A$8:$M$249,10,FALSE),
IF($A178&lt;'PVC SCH80 Flange'!$A$49,VLOOKUP($A178,'PVC SCH80 Flange'!$A$8:$M$48,10,FALSE),
IF($A178&lt;'PVC SCH80 LD Flange'!$A$17,VLOOKUP($A178,'PVC SCH80 LD Flange'!$A$8:$M$16,10,FALSE),
IF($A178&lt;CPVC!$A$105,VLOOKUP($A178,CPVC!$A$9:$M$104,10,FALSE),
IF($A178&lt;InsertFittings!$A$185,VLOOKUP($A178,InsertFittings!$A$9:$M$184,10,FALSE),
IF($A178&lt;Valves!$A$92,VLOOKUP($A178,Valves!$A$9:$Q$91,14,FALSE),
IF($A178&lt;SDR35SW!$A$133,VLOOKUP($A178,SDR35SW!$A$9:$M$132,10,FALSE),
IF($A178&lt;SDR35G!$A$151,VLOOKUP($A178,SDR35G!$A$9:$M$150,10,FALSE),
IF($A178&lt;SDR26G!$A$67,VLOOKUP($A178,SDR26G!$A$9:$N$66,11,FALSE),
IF($A178&lt;Cements!$A$95,VLOOKUP($A178,Cements!$A$8:$Q$94,14,FALSE),
IF($A178&lt;ValveBox!$A$124,VLOOKUP($A178,ValveBox!$A$9:$O$123,12,FALSE),
IF($A178&lt;'ValveBox Components'!$A$142,VLOOKUP($A178,'ValveBox Components'!$A$9:$N$141,11,FALSE),
IF($A178&lt;Drainage!$A$69,VLOOKUP($A178,Drainage!$A$8:$M$68,10,FALSE),
IF($A178&lt;Nipples!$A$82,VLOOKUP($A178,Nipples!$A$9:$Q$81,14,FALSE),
IF($A178&lt;Manifold!$A$33,VLOOKUP($A178,Manifold!$A$9:$M$32,10,FALSE),
IF($A178&lt;FlexibleRepairCouplings!$A$12,VLOOKUP($A178,FlexibleRepairCouplings!$A$9:$M$11,10,FALSE),
IF($A178&lt;DuraFix!$A$15,VLOOKUP($A178,DuraFix!$A$9:$M$14,10,FALSE),
IF($A178&lt;'Compression Fittings'!$A$16,VLOOKUP($A178,'Compression Fittings'!$A$8:$M$15,10,FALSE),
IF($A178&lt;'Hose Fittings'!$A$30,VLOOKUP($A178,'Hose Fittings'!$A$8:$M$29,10,FALSE),
IF($A178&lt;'Swing Joints'!$A$495,VLOOKUP($A178,'Swing Joints'!$A$9:$M$494,10,FALSE),
IF($A178&lt;'Swing Joints Components'!$A$135,VLOOKUP($A178,'Swing Joints Components'!$A$9:$M$134,10,FALSE),
IF($A178&lt;Nonstandard!$A$42,VLOOKUP($A178,Nonstandard!$A$31:$J$41,10,FALSE),"")))))))))))))))))))))))))))),"")</f>
        <v/>
      </c>
      <c r="L178" s="539" t="str">
        <f t="shared" si="4"/>
        <v>-</v>
      </c>
      <c r="M178" s="542"/>
    </row>
    <row r="179" spans="1:13" ht="15.6">
      <c r="A179" s="312">
        <v>147</v>
      </c>
      <c r="B179" s="312" t="str">
        <f>IFERROR(IF($A179&lt;'DWV PVC'!$A$317,VLOOKUP($A179,'DWV PVC'!$A$9:$M$316,4,FALSE),
IF($A179&lt;'DWV ABS'!$A$117,VLOOKUP($A179,'DWV ABS'!$A$8:$M$116,4,FALSE),
IF($A179&lt;'PVC SCH40'!$A$425,VLOOKUP($A179,'PVC SCH40'!$A$8:$M$424,4,FALSE),
IF($A179&lt;'PVC SCH40 LD'!$A$22,VLOOKUP($A179,'PVC SCH40 LD'!$A$8:$M$21,4,FALSE),
IF($A179&lt;'Pool &amp; SPA Sweep Elbows'!$A$12,VLOOKUP($A179,'Pool &amp; SPA Sweep Elbows'!$A$8:$M$11,4,FALSE),
IF($A179&lt;'Pool &amp; SPA Pipe Extender'!$A$11,VLOOKUP($A179,'Pool &amp; SPA Pipe Extender'!$A$8:$M$10,4,FALSE),
IF($A179&lt;'PVC SCH80'!$A$250,VLOOKUP($A179,'PVC SCH80'!$A$8:$M$249,4,FALSE),
IF($A179&lt;'PVC SCH80 Flange'!$A$49,VLOOKUP($A179,'PVC SCH80 Flange'!$A$8:$M$48,4,FALSE),
IF($A179&lt;'PVC SCH80 LD Flange'!$A$17,VLOOKUP($A179,'PVC SCH80 LD Flange'!$A$8:$M$16,4,FALSE),
IF($A179&lt;CPVC!$A$105,VLOOKUP($A179,CPVC!$A$9:$M$104,4,FALSE),
IF($A179&lt;InsertFittings!$A$185,VLOOKUP($A179,InsertFittings!$A$9:$M$184,4,FALSE),
IF($A179&lt;Valves!$A$92,VLOOKUP($A179,Valves!$A$9:$Q$91,4,FALSE),
IF($A179&lt;SDR35SW!$A$133,VLOOKUP($A179,SDR35SW!$A$9:$M$132,4,FALSE),
IF($A179&lt;SDR35G!$A$151,VLOOKUP($A179,SDR35G!$A$9:$M$150,4,FALSE),
IF($A179&lt;SDR26G!$A$67,VLOOKUP($A179,SDR26G!$A$9:$N$66,5,FALSE),
IF($A179&lt;Cements!$A$95,VLOOKUP($A179,Cements!$A$8:$Q$94,4,FALSE),
IF($A179&lt;ValveBox!$A$124,VLOOKUP($A179,ValveBox!$A$9:$O$123,4,FALSE),
IF($A179&lt;'ValveBox Components'!$A$142,VLOOKUP($A179,'ValveBox Components'!$A$9:$N$141,4,FALSE),
IF($A179&lt;Drainage!$A$69,VLOOKUP($A179,Drainage!$A$8:$M$68,4,FALSE),
IF($A179&lt;Nipples!$A$82,VLOOKUP($A179,Nipples!$A$9:$Q$81,4,FALSE),
IF($A179&lt;Manifold!$A$33,VLOOKUP($A179,Manifold!$A$9:$M$32,4,FALSE),
IF($A179&lt;FlexibleRepairCouplings!$A$12,VLOOKUP($A179,FlexibleRepairCouplings!$A$9:$M$11,4,FALSE),
IF($A179&lt;DuraFix!$A$15,VLOOKUP($A179,DuraFix!$A$9:$M$14,4,FALSE),
IF($A179&lt;'Compression Fittings'!$A$16,VLOOKUP($A179,'Compression Fittings'!$A$8:$M$15,4,FALSE),
IF($A179&lt;'Hose Fittings'!$A$30,VLOOKUP($A179,'Hose Fittings'!$A$8:$M$29,4,FALSE),
IF($A179&lt;'Swing Joints'!$A$495,VLOOKUP($A179,'Swing Joints'!$A$9:$M$494,4,FALSE),
IF($A179&lt;'Swing Joints Components'!$A$135,VLOOKUP($A179,'Swing Joints Components'!$A$9:$M$134,4,FALSE),
IF($A179&lt;Nonstandard!$A$42,VLOOKUP($A179,Nonstandard!$A$31:$J$41,5,FALSE),"")))))))))))))))))))))))))))),"")</f>
        <v/>
      </c>
      <c r="C179" s="312" t="str">
        <f>IFERROR(IF($A179&lt;'DWV PVC'!$A$317,VLOOKUP($A179,'DWV PVC'!$A$9:$M$316,5,FALSE),
IF($A179&lt;'DWV ABS'!$A$117,VLOOKUP($A179,'DWV ABS'!$A$8:$M$116,5,FALSE),
IF($A179&lt;'PVC SCH40'!$A$425,VLOOKUP($A179,'PVC SCH40'!$A$8:$M$424,5,FALSE),
IF($A179&lt;'PVC SCH40 LD'!$A$22,VLOOKUP($A179,'PVC SCH40 LD'!$A$8:$M$21,5,FALSE),
IF($A179&lt;'Pool &amp; SPA Sweep Elbows'!$A$12,VLOOKUP($A179,'Pool &amp; SPA Sweep Elbows'!$A$8:$M$11,5,FALSE),
IF($A179&lt;'Pool &amp; SPA Pipe Extender'!$A$11,VLOOKUP($A179,'Pool &amp; SPA Pipe Extender'!$A$8:$M$10,5,FALSE),
IF($A179&lt;'PVC SCH80'!$A$250,VLOOKUP($A179,'PVC SCH80'!$A$8:$M$249,5,FALSE),
IF($A179&lt;'PVC SCH80 Flange'!$A$49,VLOOKUP($A179,'PVC SCH80 Flange'!$A$8:$M$48,5,FALSE),
IF($A179&lt;'PVC SCH80 LD Flange'!$A$17,VLOOKUP($A179,'PVC SCH80 LD Flange'!$A$8:$M$16,5,FALSE),
IF($A179&lt;CPVC!$A$105,VLOOKUP($A179,CPVC!$A$9:$M$104,5,FALSE),
IF($A179&lt;InsertFittings!$A$185,VLOOKUP($A179,InsertFittings!$A$9:$M$184,5,FALSE),
IF($A179&lt;Valves!$A$92,VLOOKUP($A179,Valves!$A$9:$Q$91,5,FALSE),
IF($A179&lt;SDR35SW!$A$133,VLOOKUP($A179,SDR35SW!$A$9:$M$132,5,FALSE),
IF($A179&lt;SDR35G!$A$151,VLOOKUP($A179,SDR35G!$A$9:$M$150,5,FALSE),
IF($A179&lt;SDR26G!$A$67,VLOOKUP($A179,SDR26G!$A$9:$N$66,6,FALSE),
IF($A179&lt;Cements!$A$95,VLOOKUP($A179,Cements!$A$8:$Q$94,5,FALSE),
IF($A179&lt;ValveBox!$A$124,VLOOKUP($A179,ValveBox!$A$9:$O$123,5,FALSE),
IF($A179&lt;'ValveBox Components'!$A$142,VLOOKUP($A179,'ValveBox Components'!$A$9:$N$141,5,FALSE),
IF($A179&lt;Drainage!$A$69,VLOOKUP($A179,Drainage!$A$8:$M$68,5,FALSE),
IF($A179&lt;Nipples!$A$82,VLOOKUP($A179,Nipples!$A$9:$Q$81,5,FALSE),
IF($A179&lt;Manifold!$A$33,VLOOKUP($A179,Manifold!$A$9:$M$32,5,FALSE),
IF($A179&lt;FlexibleRepairCouplings!$A$12,VLOOKUP($A179,FlexibleRepairCouplings!$A$9:$M$11,5,FALSE),
IF($A179&lt;DuraFix!$A$15,VLOOKUP($A179,DuraFix!$A$9:$M$14,5,FALSE),
IF($A179&lt;'Compression Fittings'!$A$16,VLOOKUP($A179,'Compression Fittings'!$A$8:$M$15,5,FALSE),
IF($A179&lt;'Hose Fittings'!$A$30,VLOOKUP($A179,'Hose Fittings'!$A$8:$M$29,5,FALSE),
IF($A179&lt;'Swing Joints'!$A$495,VLOOKUP($A179,'Swing Joints'!$A$9:$M$494,5,FALSE),
IF($A179&lt;'Swing Joints Components'!$A$135,VLOOKUP($A179,'Swing Joints Components'!$A$9:$M$134,5,FALSE),
IF($A179&lt;Nonstandard!$A$42,VLOOKUP($A179,Nonstandard!$A$31:$J$41,6,FALSE),"")))))))))))))))))))))))))))),"")</f>
        <v/>
      </c>
      <c r="D179" s="534" t="str">
        <f>IFERROR(IF($A179&lt;'DWV PVC'!$A$317,VLOOKUP($A179,'DWV PVC'!$A$9:$M$316,6,FALSE),
IF($A179&lt;'DWV ABS'!$A$117,VLOOKUP($A179,'DWV ABS'!$A$8:$M$116,6,FALSE),
IF($A179&lt;'PVC SCH40'!$A$425,VLOOKUP($A179,'PVC SCH40'!$A$8:$M$424,6,FALSE),
IF($A179&lt;'PVC SCH40 LD'!$A$22,VLOOKUP($A179,'PVC SCH40 LD'!$A$8:$M$21,6,FALSE),
IF($A179&lt;'Pool &amp; SPA Sweep Elbows'!$A$12,VLOOKUP($A179,'Pool &amp; SPA Sweep Elbows'!$A$8:$M$11,6,FALSE),
IF($A179&lt;'Pool &amp; SPA Pipe Extender'!$A$11,VLOOKUP($A179,'Pool &amp; SPA Pipe Extender'!$A$8:$M$10,6,FALSE),
IF($A179&lt;'PVC SCH80'!$A$250,VLOOKUP($A179,'PVC SCH80'!$A$8:$M$249,6,FALSE),
IF($A179&lt;'PVC SCH80 Flange'!$A$49,VLOOKUP($A179,'PVC SCH80 Flange'!$A$8:$M$48,6,FALSE),
IF($A179&lt;'PVC SCH80 LD Flange'!$A$17,VLOOKUP($A179,'PVC SCH80 LD Flange'!$A$8:$M$16,6,FALSE),
IF($A179&lt;CPVC!$A$105,VLOOKUP($A179,CPVC!$A$9:$M$104,6,FALSE),
IF($A179&lt;InsertFittings!$A$185,VLOOKUP($A179,InsertFittings!$A$9:$M$184,6,FALSE),
IF($A179&lt;Valves!$A$92,VLOOKUP($A179,Valves!$A$9:$Q$91,6,FALSE),
IF($A179&lt;SDR35SW!$A$133,VLOOKUP($A179,SDR35SW!$A$9:$M$132,6,FALSE),
IF($A179&lt;SDR35G!$A$151,VLOOKUP($A179,SDR35G!$A$9:$M$150,6,FALSE),
IF($A179&lt;SDR26G!$A$67,VLOOKUP($A179,SDR26G!$A$9:$N$66,7,FALSE),
IF($A179&lt;Cements!$A$95,VLOOKUP($A179,Cements!$A$8:$Q$94,6,FALSE),
IF($A179&lt;ValveBox!$A$124,VLOOKUP($A179,ValveBox!$A$9:$O$123,6,FALSE),
IF($A179&lt;'ValveBox Components'!$A$142,VLOOKUP($A179,'ValveBox Components'!$A$9:$N$141,6,FALSE),
IF($A179&lt;Drainage!$A$69,VLOOKUP($A179,Drainage!$A$8:$M$68,6,FALSE),
IF($A179&lt;Nipples!$A$82,VLOOKUP($A179,Nipples!$A$9:$Q$81,6,FALSE),
IF($A179&lt;Manifold!$A$33,VLOOKUP($A179,Manifold!$A$9:$M$32,6,FALSE),
IF($A179&lt;FlexibleRepairCouplings!$A$12,VLOOKUP($A179,FlexibleRepairCouplings!$A$9:$M$11,6,FALSE),
IF($A179&lt;DuraFix!$A$15,VLOOKUP($A179,DuraFix!$A$9:$M$14,6,FALSE),
IF($A179&lt;'Compression Fittings'!$A$16,VLOOKUP($A179,'Compression Fittings'!$A$8:$M$15,6,FALSE),
IF($A179&lt;'Hose Fittings'!$A$30,VLOOKUP($A179,'Hose Fittings'!$A$8:$M$29,6,FALSE),
IF($A179&lt;'Swing Joints'!$A$495,VLOOKUP($A179,'Swing Joints'!$A$9:$M$494,6,FALSE),
IF($A179&lt;'Swing Joints Components'!$A$135,VLOOKUP($A179,'Swing Joints Components'!$A$9:$M$134,6,FALSE),
IF($A179&lt;Nonstandard!$A$42,VLOOKUP($A179,Nonstandard!$A$31:$J$41,7,FALSE),"")))))))))))))))))))))))))))),"")</f>
        <v/>
      </c>
      <c r="E179" s="316"/>
      <c r="F179" s="314" t="str">
        <f>IFERROR(IF($A179&lt;'DWV PVC'!$A$317,VLOOKUP($A179,'DWV PVC'!$A$9:$M$316,9,FALSE),
IF($A179&lt;'DWV ABS'!$A$117,VLOOKUP($A179,'DWV ABS'!$A$8:$M$116,9,FALSE),                                                                                                                                                                                                                                                     IF($A179&lt;'PVC SCH40'!$A$425,VLOOKUP($A179,'PVC SCH40'!$A$8:$M$424,9,FALSE),
IF($A179&lt;'PVC SCH40 LD'!$A$22,VLOOKUP($A179,'PVC SCH40 LD'!$A$8:$M$21,9,FALSE),
IF($A179&lt;'Pool &amp; SPA Sweep Elbows'!$A$12,VLOOKUP($A179,'Pool &amp; SPA Sweep Elbows'!$A$8:$M$11,9,FALSE),
IF($A179&lt;'Pool &amp; SPA Pipe Extender'!$A$11,VLOOKUP($A179,'Pool &amp; SPA Pipe Extender'!$A$8:$M$10,9,FALSE),
IF($A179&lt;'PVC SCH80'!$A$250,VLOOKUP($A179,'PVC SCH80'!$A$8:$M$249,9,FALSE),
IF($A179&lt;'PVC SCH80 Flange'!$A$49,VLOOKUP($A179,'PVC SCH80 Flange'!$A$8:$M$48,9,FALSE),
IF($A179&lt;'PVC SCH80 LD Flange'!$A$17,VLOOKUP($A179,'PVC SCH80 LD Flange'!$A$8:$M$16,9,FALSE),
IF($A179&lt;CPVC!$A$105,VLOOKUP($A179,CPVC!$A$9:$M$104,9,FALSE),
IF($A179&lt;InsertFittings!$A$185,VLOOKUP($A179,InsertFittings!$A$9:$M$184,9,FALSE),
IF($A179&lt;Valves!$A$92,VLOOKUP($A179,Valves!$A$9:$Q$91,13,FALSE),
IF($A179&lt;SDR35SW!$A$133,VLOOKUP($A179,SDR35SW!$A$9:$M$132,9,FALSE),
IF($A179&lt;SDR35G!$A$151,VLOOKUP($A179,SDR35G!$A$9:$M$150,9,FALSE),                                                                                                                                                                                                                                                          IF($A179&lt;SDR26G!$A$67,VLOOKUP($A179,SDR26G!$A$9:$N$66,10,FALSE),                                                                                                                                                                                                                                                       IF($A179&lt;Cements!$A$95,VLOOKUP($A179,Cements!$A$8:$Q$94,13,FALSE),
IF($A179&lt;ValveBox!$A$124,VLOOKUP($A179,ValveBox!$A$9:$O$123,11,FALSE),
IF($A179&lt;'ValveBox Components'!$A$142,VLOOKUP($A179,'ValveBox Components'!$A$9:$N$141,10,FALSE),
IF($A179&lt;Drainage!$A$69,VLOOKUP($A179,Drainage!$A$8:$M$68,9,FALSE),                                                                                                                                                                                                                                                              IF($A179&lt;Nipples!$A$82,VLOOKUP($A179,Nipples!$A$9:$Q$81,13,FALSE),
IF($A179&lt;Manifold!$A$33,VLOOKUP($A179,Manifold!$A$9:$M$32,9,FALSE),
IF($A179&lt;FlexibleRepairCouplings!$A$12,VLOOKUP($A179,FlexibleRepairCouplings!$A$9:$M$11,9,FALSE),
IF($A179&lt;DuraFix!$A$15,VLOOKUP($A179,DuraFix!$A$9:$M$14,9,FALSE),                                                                                                                                                                                                                                                          IF($A179&lt;'Compression Fittings'!$A$16,VLOOKUP($A179,'Compression Fittings'!$A$8:$M$15,9,FALSE),
IF($A179&lt;'Hose Fittings'!$A$30,VLOOKUP($A179,'Hose Fittings'!$A$8:$M$29,9,FALSE),
IF($A179&lt;'Swing Joints'!$A$495,VLOOKUP($A179,'Swing Joints'!$A$9:$M$494,9,FALSE),
IF($A179&lt;'Swing Joints Components'!$A$135,VLOOKUP($A179,'Swing Joints Components'!$A$9:$M$134,9,FALSE),
IF($A179&lt;Nonstandard!$A$42,VLOOKUP($A179,Nonstandard!$A$31:$J$41,8,FALSE),"")))))))))))))))))))))))))))),"")</f>
        <v/>
      </c>
      <c r="G179" s="533" t="str">
        <f>IFERROR(IF($A179&lt;'DWV PVC'!$A$317,VLOOKUP($A179,'DWV PVC'!$A$9:$M$316,11,FALSE),
IF($A179&lt;'DWV ABS'!$A$117,VLOOKUP($A179,'DWV ABS'!$A$8:$M$116,11,FALSE),                                                                                                                                                                                                                                                     IF($A179&lt;'PVC SCH40'!$A$425,VLOOKUP($A179,'PVC SCH40'!$A$8:$M$424,11,FALSE),
IF($A179&lt;'PVC SCH40 LD'!$A$22,VLOOKUP($A179,'PVC SCH40 LD'!$A$8:$M$21,11,FALSE),
IF($A179&lt;'Pool &amp; SPA Sweep Elbows'!$A$12,VLOOKUP($A179,'Pool &amp; SPA Sweep Elbows'!$A$8:$M$11,11,FALSE),
IF($A179&lt;'Pool &amp; SPA Pipe Extender'!$A$11,VLOOKUP($A179,'Pool &amp; SPA Pipe Extender'!$A$8:$M$10,11,FALSE),
IF($A179&lt;'PVC SCH80'!$A$250,VLOOKUP($A179,'PVC SCH80'!$A$8:$M$249,11,FALSE),
IF($A179&lt;'PVC SCH80 Flange'!$A$49,VLOOKUP($A179,'PVC SCH80 Flange'!$A$8:$M$48,11,FALSE),
IF($A179&lt;'PVC SCH80 LD Flange'!$A$17,VLOOKUP($A179,'PVC SCH80 LD Flange'!$A$8:$M$16,11,FALSE),
IF($A179&lt;CPVC!$A$105,VLOOKUP($A179,CPVC!$A$9:$M$104,11,FALSE),
IF($A179&lt;InsertFittings!$A$185,VLOOKUP($A179,InsertFittings!$A$9:$M$184,11,FALSE),
IF($A179&lt;Valves!$A$92,VLOOKUP($A179,Valves!$A$9:$Q$91,15,FALSE),
IF($A179&lt;SDR35SW!$A$133,VLOOKUP($A179,SDR35SW!$A$9:$M$132,11,FALSE),
IF($A179&lt;SDR35G!$A$151,VLOOKUP($A179,SDR35G!$A$9:$M$150,11,FALSE),                                                                                                                                                                                                                                                          IF($A179&lt;SDR26G!$A$67,VLOOKUP($A179,SDR26G!$A$9:$N$66,12,FALSE),                                                                                                                                                                                                                                                       IF($A179&lt;Cements!$A$95,VLOOKUP($A179,Cements!$A$8:$Q$94,15,FALSE),
IF($A179&lt;ValveBox!$A$124,VLOOKUP($A179,ValveBox!$A$9:$O$123,13,FALSE),
IF($A179&lt;'ValveBox Components'!$A$142,VLOOKUP($A179,'ValveBox Components'!$A$9:$N$141,12,FALSE),
IF($A179&lt;Drainage!$A$69,VLOOKUP($A179,Drainage!$A$8:$M$68,11,FALSE),                                                                                                                                                                                                                                                           IF($A179&lt;Nipples!$A$82,VLOOKUP($A179,Nipples!$A$9:$Q$81,15,FALSE),
IF($A179&lt;Manifold!$A$33,VLOOKUP($A179,Manifold!$A$9:$M$32,11,FALSE),
IF($A179&lt;FlexibleRepairCouplings!$A$12,VLOOKUP($A179,FlexibleRepairCouplings!$A$9:$M$11,11,FALSE),
IF($A179&lt;DuraFix!$A$15,VLOOKUP($A179,DuraFix!$A$9:$M$14,11,FALSE),                                                                                                                                                                                                                                                            IF($A179&lt;'Compression Fittings'!$A$16,VLOOKUP($A179,'Compression Fittings'!$A$8:$M$15,11,FALSE),
IF($A179&lt;'Hose Fittings'!$A$30,VLOOKUP($A179,'Hose Fittings'!$A$8:$M$29,11,FALSE),
IF($A179&lt;'Swing Joints'!$A$495,VLOOKUP($A179,'Swing Joints'!$A$9:$M$494,11,FALSE),
IF($A179&lt;'Swing Joints Components'!$A$135,VLOOKUP($A179,'Swing Joints Components'!$A$9:$M$134,11,FALSE),
IF($A179&lt;Nonstandard!$A$42,VLOOKUP($A179,Nonstandard!$A$31:$J$41,10,FALSE),"")))))))))))))))))))))))))))),"")</f>
        <v/>
      </c>
      <c r="H179" s="618" t="str">
        <f>IFERROR(IF($A179&lt;'DWV PVC'!$A$317,VLOOKUP($A179,'DWV PVC'!$A$9:$M$316,7,FALSE),
IF($A179&lt;'DWV ABS'!$A$117,VLOOKUP($A179,'DWV ABS'!$A$8:$M$116,11,FALSE),                                                                                                                                                                                                                                                     IF($A179&lt;'PVC SCH40'!$A$425,VLOOKUP($A179,'PVC SCH40'!$A$8:$M$424,7,FALSE),
IF($A179&lt;'PVC SCH40 LD'!$A$22,VLOOKUP($A179,'PVC SCH40 LD'!$A$8:$M$21,7,FALSE),
IF($A179&lt;'Pool &amp; SPA Sweep Elbows'!$A$12,VLOOKUP($A179,'Pool &amp; SPA Sweep Elbows'!$A$8:$M$11,7,FALSE),
IF($A179&lt;'Pool &amp; SPA Pipe Extender'!$A$11,VLOOKUP($A179,'Pool &amp; SPA Pipe Extender'!$A$8:$M$10,7,FALSE),
IF($A179&lt;'PVC SCH80'!$A$250,VLOOKUP($A179,'PVC SCH80'!$A$8:$M$249,7,FALSE),
IF($A179&lt;'PVC SCH80 Flange'!$A$49,VLOOKUP($A179,'PVC SCH80 Flange'!$A$8:$M$48,7,FALSE),
IF($A179&lt;'PVC SCH80 LD Flange'!$A$17,VLOOKUP($A179,'PVC SCH80 LD Flange'!$A$8:$M$16,7,FALSE),
IF($A179&lt;CPVC!$A$105,VLOOKUP($A179,CPVC!$A$9:$M$104,7,FALSE),
IF($A179&lt;InsertFittings!$A$185,VLOOKUP($A179,InsertFittings!$A$9:$M$184,7,FALSE),
IF($A179&lt;Valves!$A$92,VLOOKUP($A179,Valves!$A$9:$Q$91,11,FALSE),
IF($A179&lt;SDR35SW!$A$133,VLOOKUP($A179,SDR35SW!$A$9:$M$132,7,FALSE),
IF($A179&lt;SDR35G!$A$151,VLOOKUP($A179,SDR35G!$A$9:$M$150,7,FALSE),                                                                                                                                                                                                                                                       IF($A179&lt;SDR26G!$A$67,VLOOKUP($A179,SDR26G!$A$9:$N$66,8,FALSE),                                                                                                                                                                                                                                                     IF($A179&lt;Cements!$A$95,VLOOKUP($A179,Cements!$A$8:$Q$94,11,FALSE),
IF($A179&lt;ValveBox!$A$124,VLOOKUP($A179,ValveBox!$A$9:$O$123,10,FALSE),
IF($A179&lt;'ValveBox Components'!$A$142,VLOOKUP($A179,'ValveBox Components'!$A$9:$N$141,9,FALSE),
IF($A179&lt;Drainage!$A$69,VLOOKUP($A179,Drainage!$A$8:$M$68,7,FALSE),                                                                                                                                                                                                                                                          IF($A179&lt;Nipples!$A$82,VLOOKUP($A179,Nipples!$A$9:$Q$81,11,FALSE),
IF($A179&lt;Manifold!$A$33,VLOOKUP($A179,Manifold!$A$9:$M$32,7,FALSE),
IF($A179&lt;FlexibleRepairCouplings!$A$12,VLOOKUP($A179,FlexibleRepairCouplings!$A$9:$M$11,7,FALSE),
IF($A179&lt;DuraFix!$A$15,VLOOKUP($A179,DuraFix!$A$9:$M$14,7,FALSE),                                                                                                                                                                                                                                                           IF($A179&lt;'Compression Fittings'!$A$16,VLOOKUP($A179,'Compression Fittings'!$A$8:$M$15,7,FALSE),
IF($A179&lt;'Hose Fittings'!$A$30,VLOOKUP($A179,'Hose Fittings'!$A$8:$M$29,7,FALSE),
IF($A179&lt;'Swing Joints'!$A$495,VLOOKUP($A179,'Swing Joints'!$A$9:$M$494,7,FALSE),
IF($A179&lt;'Swing Joints Components'!$A$135,VLOOKUP($A179,'Swing Joints Components'!$A$9:$M$134,7,FALSE),
IF($A179&lt;Nonstandard!$A$42,VLOOKUP($A179,Nonstandard!$A$31:$J$41,10,FALSE),"")))))))))))))))))))))))))))),"")</f>
        <v/>
      </c>
      <c r="I179" s="619"/>
      <c r="J179" s="281" t="str">
        <f t="shared" si="5"/>
        <v/>
      </c>
      <c r="K179" s="313" t="str">
        <f>IFERROR(IF($A179&lt;'DWV PVC'!$A$317,VLOOKUP($A179,'DWV PVC'!$A$9:$M$316,10,FALSE),
IF($A179&lt;'DWV ABS'!$A$117,VLOOKUP($A179,'DWV ABS'!$A$8:$M$116,10,FALSE),
IF($A179&lt;'PVC SCH40'!$A$425,VLOOKUP($A179,'PVC SCH40'!$A$8:$M$424,10,FALSE),
IF($A179&lt;'PVC SCH40 LD'!$A$22,VLOOKUP($A179,'PVC SCH40 LD'!$A$8:$M$21,10,FALSE),
IF($A179&lt;'Pool &amp; SPA Sweep Elbows'!$A$12,VLOOKUP($A179,'Pool &amp; SPA Sweep Elbows'!$A$8:$M$11,10,FALSE),
IF($A179&lt;'Pool &amp; SPA Pipe Extender'!$A$11,VLOOKUP($A179,'Pool &amp; SPA Pipe Extender'!$A$8:$M$10,10,FALSE),
IF($A179&lt;'PVC SCH80'!$A$250,VLOOKUP($A179,'PVC SCH80'!$A$8:$M$249,10,FALSE),
IF($A179&lt;'PVC SCH80 Flange'!$A$49,VLOOKUP($A179,'PVC SCH80 Flange'!$A$8:$M$48,10,FALSE),
IF($A179&lt;'PVC SCH80 LD Flange'!$A$17,VLOOKUP($A179,'PVC SCH80 LD Flange'!$A$8:$M$16,10,FALSE),
IF($A179&lt;CPVC!$A$105,VLOOKUP($A179,CPVC!$A$9:$M$104,10,FALSE),
IF($A179&lt;InsertFittings!$A$185,VLOOKUP($A179,InsertFittings!$A$9:$M$184,10,FALSE),
IF($A179&lt;Valves!$A$92,VLOOKUP($A179,Valves!$A$9:$Q$91,14,FALSE),
IF($A179&lt;SDR35SW!$A$133,VLOOKUP($A179,SDR35SW!$A$9:$M$132,10,FALSE),
IF($A179&lt;SDR35G!$A$151,VLOOKUP($A179,SDR35G!$A$9:$M$150,10,FALSE),
IF($A179&lt;SDR26G!$A$67,VLOOKUP($A179,SDR26G!$A$9:$N$66,11,FALSE),
IF($A179&lt;Cements!$A$95,VLOOKUP($A179,Cements!$A$8:$Q$94,14,FALSE),
IF($A179&lt;ValveBox!$A$124,VLOOKUP($A179,ValveBox!$A$9:$O$123,12,FALSE),
IF($A179&lt;'ValveBox Components'!$A$142,VLOOKUP($A179,'ValveBox Components'!$A$9:$N$141,11,FALSE),
IF($A179&lt;Drainage!$A$69,VLOOKUP($A179,Drainage!$A$8:$M$68,10,FALSE),
IF($A179&lt;Nipples!$A$82,VLOOKUP($A179,Nipples!$A$9:$Q$81,14,FALSE),
IF($A179&lt;Manifold!$A$33,VLOOKUP($A179,Manifold!$A$9:$M$32,10,FALSE),
IF($A179&lt;FlexibleRepairCouplings!$A$12,VLOOKUP($A179,FlexibleRepairCouplings!$A$9:$M$11,10,FALSE),
IF($A179&lt;DuraFix!$A$15,VLOOKUP($A179,DuraFix!$A$9:$M$14,10,FALSE),
IF($A179&lt;'Compression Fittings'!$A$16,VLOOKUP($A179,'Compression Fittings'!$A$8:$M$15,10,FALSE),
IF($A179&lt;'Hose Fittings'!$A$30,VLOOKUP($A179,'Hose Fittings'!$A$8:$M$29,10,FALSE),
IF($A179&lt;'Swing Joints'!$A$495,VLOOKUP($A179,'Swing Joints'!$A$9:$M$494,10,FALSE),
IF($A179&lt;'Swing Joints Components'!$A$135,VLOOKUP($A179,'Swing Joints Components'!$A$9:$M$134,10,FALSE),
IF($A179&lt;Nonstandard!$A$42,VLOOKUP($A179,Nonstandard!$A$31:$J$41,10,FALSE),"")))))))))))))))))))))))))))),"")</f>
        <v/>
      </c>
      <c r="L179" s="314" t="str">
        <f t="shared" si="4"/>
        <v>-</v>
      </c>
      <c r="M179" s="315"/>
    </row>
    <row r="180" spans="1:13" ht="15.6">
      <c r="A180" s="536">
        <v>148</v>
      </c>
      <c r="B180" s="536" t="str">
        <f>IFERROR(IF($A180&lt;'DWV PVC'!$A$317,VLOOKUP($A180,'DWV PVC'!$A$9:$M$316,4,FALSE),
IF($A180&lt;'DWV ABS'!$A$117,VLOOKUP($A180,'DWV ABS'!$A$8:$M$116,4,FALSE),
IF($A180&lt;'PVC SCH40'!$A$425,VLOOKUP($A180,'PVC SCH40'!$A$8:$M$424,4,FALSE),
IF($A180&lt;'PVC SCH40 LD'!$A$22,VLOOKUP($A180,'PVC SCH40 LD'!$A$8:$M$21,4,FALSE),
IF($A180&lt;'Pool &amp; SPA Sweep Elbows'!$A$12,VLOOKUP($A180,'Pool &amp; SPA Sweep Elbows'!$A$8:$M$11,4,FALSE),
IF($A180&lt;'Pool &amp; SPA Pipe Extender'!$A$11,VLOOKUP($A180,'Pool &amp; SPA Pipe Extender'!$A$8:$M$10,4,FALSE),
IF($A180&lt;'PVC SCH80'!$A$250,VLOOKUP($A180,'PVC SCH80'!$A$8:$M$249,4,FALSE),
IF($A180&lt;'PVC SCH80 Flange'!$A$49,VLOOKUP($A180,'PVC SCH80 Flange'!$A$8:$M$48,4,FALSE),
IF($A180&lt;'PVC SCH80 LD Flange'!$A$17,VLOOKUP($A180,'PVC SCH80 LD Flange'!$A$8:$M$16,4,FALSE),
IF($A180&lt;CPVC!$A$105,VLOOKUP($A180,CPVC!$A$9:$M$104,4,FALSE),
IF($A180&lt;InsertFittings!$A$185,VLOOKUP($A180,InsertFittings!$A$9:$M$184,4,FALSE),
IF($A180&lt;Valves!$A$92,VLOOKUP($A180,Valves!$A$9:$Q$91,4,FALSE),
IF($A180&lt;SDR35SW!$A$133,VLOOKUP($A180,SDR35SW!$A$9:$M$132,4,FALSE),
IF($A180&lt;SDR35G!$A$151,VLOOKUP($A180,SDR35G!$A$9:$M$150,4,FALSE),
IF($A180&lt;SDR26G!$A$67,VLOOKUP($A180,SDR26G!$A$9:$N$66,5,FALSE),
IF($A180&lt;Cements!$A$95,VLOOKUP($A180,Cements!$A$8:$Q$94,4,FALSE),
IF($A180&lt;ValveBox!$A$124,VLOOKUP($A180,ValveBox!$A$9:$O$123,4,FALSE),
IF($A180&lt;'ValveBox Components'!$A$142,VLOOKUP($A180,'ValveBox Components'!$A$9:$N$141,4,FALSE),
IF($A180&lt;Drainage!$A$69,VLOOKUP($A180,Drainage!$A$8:$M$68,4,FALSE),
IF($A180&lt;Nipples!$A$82,VLOOKUP($A180,Nipples!$A$9:$Q$81,4,FALSE),
IF($A180&lt;Manifold!$A$33,VLOOKUP($A180,Manifold!$A$9:$M$32,4,FALSE),
IF($A180&lt;FlexibleRepairCouplings!$A$12,VLOOKUP($A180,FlexibleRepairCouplings!$A$9:$M$11,4,FALSE),
IF($A180&lt;DuraFix!$A$15,VLOOKUP($A180,DuraFix!$A$9:$M$14,4,FALSE),
IF($A180&lt;'Compression Fittings'!$A$16,VLOOKUP($A180,'Compression Fittings'!$A$8:$M$15,4,FALSE),
IF($A180&lt;'Hose Fittings'!$A$30,VLOOKUP($A180,'Hose Fittings'!$A$8:$M$29,4,FALSE),
IF($A180&lt;'Swing Joints'!$A$495,VLOOKUP($A180,'Swing Joints'!$A$9:$M$494,4,FALSE),
IF($A180&lt;'Swing Joints Components'!$A$135,VLOOKUP($A180,'Swing Joints Components'!$A$9:$M$134,4,FALSE),
IF($A180&lt;Nonstandard!$A$42,VLOOKUP($A180,Nonstandard!$A$31:$J$41,5,FALSE),"")))))))))))))))))))))))))))),"")</f>
        <v/>
      </c>
      <c r="C180" s="536" t="str">
        <f>IFERROR(IF($A180&lt;'DWV PVC'!$A$317,VLOOKUP($A180,'DWV PVC'!$A$9:$M$316,5,FALSE),
IF($A180&lt;'DWV ABS'!$A$117,VLOOKUP($A180,'DWV ABS'!$A$8:$M$116,5,FALSE),
IF($A180&lt;'PVC SCH40'!$A$425,VLOOKUP($A180,'PVC SCH40'!$A$8:$M$424,5,FALSE),
IF($A180&lt;'PVC SCH40 LD'!$A$22,VLOOKUP($A180,'PVC SCH40 LD'!$A$8:$M$21,5,FALSE),
IF($A180&lt;'Pool &amp; SPA Sweep Elbows'!$A$12,VLOOKUP($A180,'Pool &amp; SPA Sweep Elbows'!$A$8:$M$11,5,FALSE),
IF($A180&lt;'Pool &amp; SPA Pipe Extender'!$A$11,VLOOKUP($A180,'Pool &amp; SPA Pipe Extender'!$A$8:$M$10,5,FALSE),
IF($A180&lt;'PVC SCH80'!$A$250,VLOOKUP($A180,'PVC SCH80'!$A$8:$M$249,5,FALSE),
IF($A180&lt;'PVC SCH80 Flange'!$A$49,VLOOKUP($A180,'PVC SCH80 Flange'!$A$8:$M$48,5,FALSE),
IF($A180&lt;'PVC SCH80 LD Flange'!$A$17,VLOOKUP($A180,'PVC SCH80 LD Flange'!$A$8:$M$16,5,FALSE),
IF($A180&lt;CPVC!$A$105,VLOOKUP($A180,CPVC!$A$9:$M$104,5,FALSE),
IF($A180&lt;InsertFittings!$A$185,VLOOKUP($A180,InsertFittings!$A$9:$M$184,5,FALSE),
IF($A180&lt;Valves!$A$92,VLOOKUP($A180,Valves!$A$9:$Q$91,5,FALSE),
IF($A180&lt;SDR35SW!$A$133,VLOOKUP($A180,SDR35SW!$A$9:$M$132,5,FALSE),
IF($A180&lt;SDR35G!$A$151,VLOOKUP($A180,SDR35G!$A$9:$M$150,5,FALSE),
IF($A180&lt;SDR26G!$A$67,VLOOKUP($A180,SDR26G!$A$9:$N$66,6,FALSE),
IF($A180&lt;Cements!$A$95,VLOOKUP($A180,Cements!$A$8:$Q$94,5,FALSE),
IF($A180&lt;ValveBox!$A$124,VLOOKUP($A180,ValveBox!$A$9:$O$123,5,FALSE),
IF($A180&lt;'ValveBox Components'!$A$142,VLOOKUP($A180,'ValveBox Components'!$A$9:$N$141,5,FALSE),
IF($A180&lt;Drainage!$A$69,VLOOKUP($A180,Drainage!$A$8:$M$68,5,FALSE),
IF($A180&lt;Nipples!$A$82,VLOOKUP($A180,Nipples!$A$9:$Q$81,5,FALSE),
IF($A180&lt;Manifold!$A$33,VLOOKUP($A180,Manifold!$A$9:$M$32,5,FALSE),
IF($A180&lt;FlexibleRepairCouplings!$A$12,VLOOKUP($A180,FlexibleRepairCouplings!$A$9:$M$11,5,FALSE),
IF($A180&lt;DuraFix!$A$15,VLOOKUP($A180,DuraFix!$A$9:$M$14,5,FALSE),
IF($A180&lt;'Compression Fittings'!$A$16,VLOOKUP($A180,'Compression Fittings'!$A$8:$M$15,5,FALSE),
IF($A180&lt;'Hose Fittings'!$A$30,VLOOKUP($A180,'Hose Fittings'!$A$8:$M$29,5,FALSE),
IF($A180&lt;'Swing Joints'!$A$495,VLOOKUP($A180,'Swing Joints'!$A$9:$M$494,5,FALSE),
IF($A180&lt;'Swing Joints Components'!$A$135,VLOOKUP($A180,'Swing Joints Components'!$A$9:$M$134,5,FALSE),
IF($A180&lt;Nonstandard!$A$42,VLOOKUP($A180,Nonstandard!$A$31:$J$41,6,FALSE),"")))))))))))))))))))))))))))),"")</f>
        <v/>
      </c>
      <c r="D180" s="537" t="str">
        <f>IFERROR(IF($A180&lt;'DWV PVC'!$A$317,VLOOKUP($A180,'DWV PVC'!$A$9:$M$316,6,FALSE),
IF($A180&lt;'DWV ABS'!$A$117,VLOOKUP($A180,'DWV ABS'!$A$8:$M$116,6,FALSE),
IF($A180&lt;'PVC SCH40'!$A$425,VLOOKUP($A180,'PVC SCH40'!$A$8:$M$424,6,FALSE),
IF($A180&lt;'PVC SCH40 LD'!$A$22,VLOOKUP($A180,'PVC SCH40 LD'!$A$8:$M$21,6,FALSE),
IF($A180&lt;'Pool &amp; SPA Sweep Elbows'!$A$12,VLOOKUP($A180,'Pool &amp; SPA Sweep Elbows'!$A$8:$M$11,6,FALSE),
IF($A180&lt;'Pool &amp; SPA Pipe Extender'!$A$11,VLOOKUP($A180,'Pool &amp; SPA Pipe Extender'!$A$8:$M$10,6,FALSE),
IF($A180&lt;'PVC SCH80'!$A$250,VLOOKUP($A180,'PVC SCH80'!$A$8:$M$249,6,FALSE),
IF($A180&lt;'PVC SCH80 Flange'!$A$49,VLOOKUP($A180,'PVC SCH80 Flange'!$A$8:$M$48,6,FALSE),
IF($A180&lt;'PVC SCH80 LD Flange'!$A$17,VLOOKUP($A180,'PVC SCH80 LD Flange'!$A$8:$M$16,6,FALSE),
IF($A180&lt;CPVC!$A$105,VLOOKUP($A180,CPVC!$A$9:$M$104,6,FALSE),
IF($A180&lt;InsertFittings!$A$185,VLOOKUP($A180,InsertFittings!$A$9:$M$184,6,FALSE),
IF($A180&lt;Valves!$A$92,VLOOKUP($A180,Valves!$A$9:$Q$91,6,FALSE),
IF($A180&lt;SDR35SW!$A$133,VLOOKUP($A180,SDR35SW!$A$9:$M$132,6,FALSE),
IF($A180&lt;SDR35G!$A$151,VLOOKUP($A180,SDR35G!$A$9:$M$150,6,FALSE),
IF($A180&lt;SDR26G!$A$67,VLOOKUP($A180,SDR26G!$A$9:$N$66,7,FALSE),
IF($A180&lt;Cements!$A$95,VLOOKUP($A180,Cements!$A$8:$Q$94,6,FALSE),
IF($A180&lt;ValveBox!$A$124,VLOOKUP($A180,ValveBox!$A$9:$O$123,6,FALSE),
IF($A180&lt;'ValveBox Components'!$A$142,VLOOKUP($A180,'ValveBox Components'!$A$9:$N$141,6,FALSE),
IF($A180&lt;Drainage!$A$69,VLOOKUP($A180,Drainage!$A$8:$M$68,6,FALSE),
IF($A180&lt;Nipples!$A$82,VLOOKUP($A180,Nipples!$A$9:$Q$81,6,FALSE),
IF($A180&lt;Manifold!$A$33,VLOOKUP($A180,Manifold!$A$9:$M$32,6,FALSE),
IF($A180&lt;FlexibleRepairCouplings!$A$12,VLOOKUP($A180,FlexibleRepairCouplings!$A$9:$M$11,6,FALSE),
IF($A180&lt;DuraFix!$A$15,VLOOKUP($A180,DuraFix!$A$9:$M$14,6,FALSE),
IF($A180&lt;'Compression Fittings'!$A$16,VLOOKUP($A180,'Compression Fittings'!$A$8:$M$15,6,FALSE),
IF($A180&lt;'Hose Fittings'!$A$30,VLOOKUP($A180,'Hose Fittings'!$A$8:$M$29,6,FALSE),
IF($A180&lt;'Swing Joints'!$A$495,VLOOKUP($A180,'Swing Joints'!$A$9:$M$494,6,FALSE),
IF($A180&lt;'Swing Joints Components'!$A$135,VLOOKUP($A180,'Swing Joints Components'!$A$9:$M$134,6,FALSE),
IF($A180&lt;Nonstandard!$A$42,VLOOKUP($A180,Nonstandard!$A$31:$J$41,7,FALSE),"")))))))))))))))))))))))))))),"")</f>
        <v/>
      </c>
      <c r="E180" s="538"/>
      <c r="F180" s="539" t="str">
        <f>IFERROR(IF($A180&lt;'DWV PVC'!$A$317,VLOOKUP($A180,'DWV PVC'!$A$9:$M$316,9,FALSE),
IF($A180&lt;'DWV ABS'!$A$117,VLOOKUP($A180,'DWV ABS'!$A$8:$M$116,9,FALSE),                                                                                                                                                                                                                                                     IF($A180&lt;'PVC SCH40'!$A$425,VLOOKUP($A180,'PVC SCH40'!$A$8:$M$424,9,FALSE),
IF($A180&lt;'PVC SCH40 LD'!$A$22,VLOOKUP($A180,'PVC SCH40 LD'!$A$8:$M$21,9,FALSE),
IF($A180&lt;'Pool &amp; SPA Sweep Elbows'!$A$12,VLOOKUP($A180,'Pool &amp; SPA Sweep Elbows'!$A$8:$M$11,9,FALSE),
IF($A180&lt;'Pool &amp; SPA Pipe Extender'!$A$11,VLOOKUP($A180,'Pool &amp; SPA Pipe Extender'!$A$8:$M$10,9,FALSE),
IF($A180&lt;'PVC SCH80'!$A$250,VLOOKUP($A180,'PVC SCH80'!$A$8:$M$249,9,FALSE),
IF($A180&lt;'PVC SCH80 Flange'!$A$49,VLOOKUP($A180,'PVC SCH80 Flange'!$A$8:$M$48,9,FALSE),
IF($A180&lt;'PVC SCH80 LD Flange'!$A$17,VLOOKUP($A180,'PVC SCH80 LD Flange'!$A$8:$M$16,9,FALSE),
IF($A180&lt;CPVC!$A$105,VLOOKUP($A180,CPVC!$A$9:$M$104,9,FALSE),
IF($A180&lt;InsertFittings!$A$185,VLOOKUP($A180,InsertFittings!$A$9:$M$184,9,FALSE),
IF($A180&lt;Valves!$A$92,VLOOKUP($A180,Valves!$A$9:$Q$91,13,FALSE),
IF($A180&lt;SDR35SW!$A$133,VLOOKUP($A180,SDR35SW!$A$9:$M$132,9,FALSE),
IF($A180&lt;SDR35G!$A$151,VLOOKUP($A180,SDR35G!$A$9:$M$150,9,FALSE),                                                                                                                                                                                                                                                          IF($A180&lt;SDR26G!$A$67,VLOOKUP($A180,SDR26G!$A$9:$N$66,10,FALSE),                                                                                                                                                                                                                                                       IF($A180&lt;Cements!$A$95,VLOOKUP($A180,Cements!$A$8:$Q$94,13,FALSE),
IF($A180&lt;ValveBox!$A$124,VLOOKUP($A180,ValveBox!$A$9:$O$123,11,FALSE),
IF($A180&lt;'ValveBox Components'!$A$142,VLOOKUP($A180,'ValveBox Components'!$A$9:$N$141,10,FALSE),
IF($A180&lt;Drainage!$A$69,VLOOKUP($A180,Drainage!$A$8:$M$68,9,FALSE),                                                                                                                                                                                                                                                              IF($A180&lt;Nipples!$A$82,VLOOKUP($A180,Nipples!$A$9:$Q$81,13,FALSE),
IF($A180&lt;Manifold!$A$33,VLOOKUP($A180,Manifold!$A$9:$M$32,9,FALSE),
IF($A180&lt;FlexibleRepairCouplings!$A$12,VLOOKUP($A180,FlexibleRepairCouplings!$A$9:$M$11,9,FALSE),
IF($A180&lt;DuraFix!$A$15,VLOOKUP($A180,DuraFix!$A$9:$M$14,9,FALSE),                                                                                                                                                                                                                                                          IF($A180&lt;'Compression Fittings'!$A$16,VLOOKUP($A180,'Compression Fittings'!$A$8:$M$15,9,FALSE),
IF($A180&lt;'Hose Fittings'!$A$30,VLOOKUP($A180,'Hose Fittings'!$A$8:$M$29,9,FALSE),
IF($A180&lt;'Swing Joints'!$A$495,VLOOKUP($A180,'Swing Joints'!$A$9:$M$494,9,FALSE),
IF($A180&lt;'Swing Joints Components'!$A$135,VLOOKUP($A180,'Swing Joints Components'!$A$9:$M$134,9,FALSE),
IF($A180&lt;Nonstandard!$A$42,VLOOKUP($A180,Nonstandard!$A$31:$J$41,8,FALSE),"")))))))))))))))))))))))))))),"")</f>
        <v/>
      </c>
      <c r="G180" s="540" t="str">
        <f>IFERROR(IF($A180&lt;'DWV PVC'!$A$317,VLOOKUP($A180,'DWV PVC'!$A$9:$M$316,11,FALSE),
IF($A180&lt;'DWV ABS'!$A$117,VLOOKUP($A180,'DWV ABS'!$A$8:$M$116,11,FALSE),                                                                                                                                                                                                                                                     IF($A180&lt;'PVC SCH40'!$A$425,VLOOKUP($A180,'PVC SCH40'!$A$8:$M$424,11,FALSE),
IF($A180&lt;'PVC SCH40 LD'!$A$22,VLOOKUP($A180,'PVC SCH40 LD'!$A$8:$M$21,11,FALSE),
IF($A180&lt;'Pool &amp; SPA Sweep Elbows'!$A$12,VLOOKUP($A180,'Pool &amp; SPA Sweep Elbows'!$A$8:$M$11,11,FALSE),
IF($A180&lt;'Pool &amp; SPA Pipe Extender'!$A$11,VLOOKUP($A180,'Pool &amp; SPA Pipe Extender'!$A$8:$M$10,11,FALSE),
IF($A180&lt;'PVC SCH80'!$A$250,VLOOKUP($A180,'PVC SCH80'!$A$8:$M$249,11,FALSE),
IF($A180&lt;'PVC SCH80 Flange'!$A$49,VLOOKUP($A180,'PVC SCH80 Flange'!$A$8:$M$48,11,FALSE),
IF($A180&lt;'PVC SCH80 LD Flange'!$A$17,VLOOKUP($A180,'PVC SCH80 LD Flange'!$A$8:$M$16,11,FALSE),
IF($A180&lt;CPVC!$A$105,VLOOKUP($A180,CPVC!$A$9:$M$104,11,FALSE),
IF($A180&lt;InsertFittings!$A$185,VLOOKUP($A180,InsertFittings!$A$9:$M$184,11,FALSE),
IF($A180&lt;Valves!$A$92,VLOOKUP($A180,Valves!$A$9:$Q$91,15,FALSE),
IF($A180&lt;SDR35SW!$A$133,VLOOKUP($A180,SDR35SW!$A$9:$M$132,11,FALSE),
IF($A180&lt;SDR35G!$A$151,VLOOKUP($A180,SDR35G!$A$9:$M$150,11,FALSE),                                                                                                                                                                                                                                                          IF($A180&lt;SDR26G!$A$67,VLOOKUP($A180,SDR26G!$A$9:$N$66,12,FALSE),                                                                                                                                                                                                                                                       IF($A180&lt;Cements!$A$95,VLOOKUP($A180,Cements!$A$8:$Q$94,15,FALSE),
IF($A180&lt;ValveBox!$A$124,VLOOKUP($A180,ValveBox!$A$9:$O$123,13,FALSE),
IF($A180&lt;'ValveBox Components'!$A$142,VLOOKUP($A180,'ValveBox Components'!$A$9:$N$141,12,FALSE),
IF($A180&lt;Drainage!$A$69,VLOOKUP($A180,Drainage!$A$8:$M$68,11,FALSE),                                                                                                                                                                                                                                                           IF($A180&lt;Nipples!$A$82,VLOOKUP($A180,Nipples!$A$9:$Q$81,15,FALSE),
IF($A180&lt;Manifold!$A$33,VLOOKUP($A180,Manifold!$A$9:$M$32,11,FALSE),
IF($A180&lt;FlexibleRepairCouplings!$A$12,VLOOKUP($A180,FlexibleRepairCouplings!$A$9:$M$11,11,FALSE),
IF($A180&lt;DuraFix!$A$15,VLOOKUP($A180,DuraFix!$A$9:$M$14,11,FALSE),                                                                                                                                                                                                                                                            IF($A180&lt;'Compression Fittings'!$A$16,VLOOKUP($A180,'Compression Fittings'!$A$8:$M$15,11,FALSE),
IF($A180&lt;'Hose Fittings'!$A$30,VLOOKUP($A180,'Hose Fittings'!$A$8:$M$29,11,FALSE),
IF($A180&lt;'Swing Joints'!$A$495,VLOOKUP($A180,'Swing Joints'!$A$9:$M$494,11,FALSE),
IF($A180&lt;'Swing Joints Components'!$A$135,VLOOKUP($A180,'Swing Joints Components'!$A$9:$M$134,11,FALSE),
IF($A180&lt;Nonstandard!$A$42,VLOOKUP($A180,Nonstandard!$A$31:$J$41,10,FALSE),"")))))))))))))))))))))))))))),"")</f>
        <v/>
      </c>
      <c r="H180" s="620" t="str">
        <f>IFERROR(IF($A180&lt;'DWV PVC'!$A$317,VLOOKUP($A180,'DWV PVC'!$A$9:$M$316,7,FALSE),
IF($A180&lt;'DWV ABS'!$A$117,VLOOKUP($A180,'DWV ABS'!$A$8:$M$116,11,FALSE),                                                                                                                                                                                                                                                     IF($A180&lt;'PVC SCH40'!$A$425,VLOOKUP($A180,'PVC SCH40'!$A$8:$M$424,7,FALSE),
IF($A180&lt;'PVC SCH40 LD'!$A$22,VLOOKUP($A180,'PVC SCH40 LD'!$A$8:$M$21,7,FALSE),
IF($A180&lt;'Pool &amp; SPA Sweep Elbows'!$A$12,VLOOKUP($A180,'Pool &amp; SPA Sweep Elbows'!$A$8:$M$11,7,FALSE),
IF($A180&lt;'Pool &amp; SPA Pipe Extender'!$A$11,VLOOKUP($A180,'Pool &amp; SPA Pipe Extender'!$A$8:$M$10,7,FALSE),
IF($A180&lt;'PVC SCH80'!$A$250,VLOOKUP($A180,'PVC SCH80'!$A$8:$M$249,7,FALSE),
IF($A180&lt;'PVC SCH80 Flange'!$A$49,VLOOKUP($A180,'PVC SCH80 Flange'!$A$8:$M$48,7,FALSE),
IF($A180&lt;'PVC SCH80 LD Flange'!$A$17,VLOOKUP($A180,'PVC SCH80 LD Flange'!$A$8:$M$16,7,FALSE),
IF($A180&lt;CPVC!$A$105,VLOOKUP($A180,CPVC!$A$9:$M$104,7,FALSE),
IF($A180&lt;InsertFittings!$A$185,VLOOKUP($A180,InsertFittings!$A$9:$M$184,7,FALSE),
IF($A180&lt;Valves!$A$92,VLOOKUP($A180,Valves!$A$9:$Q$91,11,FALSE),
IF($A180&lt;SDR35SW!$A$133,VLOOKUP($A180,SDR35SW!$A$9:$M$132,7,FALSE),
IF($A180&lt;SDR35G!$A$151,VLOOKUP($A180,SDR35G!$A$9:$M$150,7,FALSE),                                                                                                                                                                                                                                                       IF($A180&lt;SDR26G!$A$67,VLOOKUP($A180,SDR26G!$A$9:$N$66,8,FALSE),                                                                                                                                                                                                                                                     IF($A180&lt;Cements!$A$95,VLOOKUP($A180,Cements!$A$8:$Q$94,11,FALSE),
IF($A180&lt;ValveBox!$A$124,VLOOKUP($A180,ValveBox!$A$9:$O$123,10,FALSE),
IF($A180&lt;'ValveBox Components'!$A$142,VLOOKUP($A180,'ValveBox Components'!$A$9:$N$141,9,FALSE),
IF($A180&lt;Drainage!$A$69,VLOOKUP($A180,Drainage!$A$8:$M$68,7,FALSE),                                                                                                                                                                                                                                                          IF($A180&lt;Nipples!$A$82,VLOOKUP($A180,Nipples!$A$9:$Q$81,11,FALSE),
IF($A180&lt;Manifold!$A$33,VLOOKUP($A180,Manifold!$A$9:$M$32,7,FALSE),
IF($A180&lt;FlexibleRepairCouplings!$A$12,VLOOKUP($A180,FlexibleRepairCouplings!$A$9:$M$11,7,FALSE),
IF($A180&lt;DuraFix!$A$15,VLOOKUP($A180,DuraFix!$A$9:$M$14,7,FALSE),                                                                                                                                                                                                                                                           IF($A180&lt;'Compression Fittings'!$A$16,VLOOKUP($A180,'Compression Fittings'!$A$8:$M$15,7,FALSE),
IF($A180&lt;'Hose Fittings'!$A$30,VLOOKUP($A180,'Hose Fittings'!$A$8:$M$29,7,FALSE),
IF($A180&lt;'Swing Joints'!$A$495,VLOOKUP($A180,'Swing Joints'!$A$9:$M$494,7,FALSE),
IF($A180&lt;'Swing Joints Components'!$A$135,VLOOKUP($A180,'Swing Joints Components'!$A$9:$M$134,7,FALSE),
IF($A180&lt;Nonstandard!$A$42,VLOOKUP($A180,Nonstandard!$A$31:$J$41,10,FALSE),"")))))))))))))))))))))))))))),"")</f>
        <v/>
      </c>
      <c r="I180" s="621"/>
      <c r="J180" s="541" t="str">
        <f t="shared" si="5"/>
        <v/>
      </c>
      <c r="K180" s="599" t="str">
        <f>IFERROR(IF($A180&lt;'DWV PVC'!$A$317,VLOOKUP($A180,'DWV PVC'!$A$9:$M$316,10,FALSE),
IF($A180&lt;'DWV ABS'!$A$117,VLOOKUP($A180,'DWV ABS'!$A$8:$M$116,10,FALSE),
IF($A180&lt;'PVC SCH40'!$A$425,VLOOKUP($A180,'PVC SCH40'!$A$8:$M$424,10,FALSE),
IF($A180&lt;'PVC SCH40 LD'!$A$22,VLOOKUP($A180,'PVC SCH40 LD'!$A$8:$M$21,10,FALSE),
IF($A180&lt;'Pool &amp; SPA Sweep Elbows'!$A$12,VLOOKUP($A180,'Pool &amp; SPA Sweep Elbows'!$A$8:$M$11,10,FALSE),
IF($A180&lt;'Pool &amp; SPA Pipe Extender'!$A$11,VLOOKUP($A180,'Pool &amp; SPA Pipe Extender'!$A$8:$M$10,10,FALSE),
IF($A180&lt;'PVC SCH80'!$A$250,VLOOKUP($A180,'PVC SCH80'!$A$8:$M$249,10,FALSE),
IF($A180&lt;'PVC SCH80 Flange'!$A$49,VLOOKUP($A180,'PVC SCH80 Flange'!$A$8:$M$48,10,FALSE),
IF($A180&lt;'PVC SCH80 LD Flange'!$A$17,VLOOKUP($A180,'PVC SCH80 LD Flange'!$A$8:$M$16,10,FALSE),
IF($A180&lt;CPVC!$A$105,VLOOKUP($A180,CPVC!$A$9:$M$104,10,FALSE),
IF($A180&lt;InsertFittings!$A$185,VLOOKUP($A180,InsertFittings!$A$9:$M$184,10,FALSE),
IF($A180&lt;Valves!$A$92,VLOOKUP($A180,Valves!$A$9:$Q$91,14,FALSE),
IF($A180&lt;SDR35SW!$A$133,VLOOKUP($A180,SDR35SW!$A$9:$M$132,10,FALSE),
IF($A180&lt;SDR35G!$A$151,VLOOKUP($A180,SDR35G!$A$9:$M$150,10,FALSE),
IF($A180&lt;SDR26G!$A$67,VLOOKUP($A180,SDR26G!$A$9:$N$66,11,FALSE),
IF($A180&lt;Cements!$A$95,VLOOKUP($A180,Cements!$A$8:$Q$94,14,FALSE),
IF($A180&lt;ValveBox!$A$124,VLOOKUP($A180,ValveBox!$A$9:$O$123,12,FALSE),
IF($A180&lt;'ValveBox Components'!$A$142,VLOOKUP($A180,'ValveBox Components'!$A$9:$N$141,11,FALSE),
IF($A180&lt;Drainage!$A$69,VLOOKUP($A180,Drainage!$A$8:$M$68,10,FALSE),
IF($A180&lt;Nipples!$A$82,VLOOKUP($A180,Nipples!$A$9:$Q$81,14,FALSE),
IF($A180&lt;Manifold!$A$33,VLOOKUP($A180,Manifold!$A$9:$M$32,10,FALSE),
IF($A180&lt;FlexibleRepairCouplings!$A$12,VLOOKUP($A180,FlexibleRepairCouplings!$A$9:$M$11,10,FALSE),
IF($A180&lt;DuraFix!$A$15,VLOOKUP($A180,DuraFix!$A$9:$M$14,10,FALSE),
IF($A180&lt;'Compression Fittings'!$A$16,VLOOKUP($A180,'Compression Fittings'!$A$8:$M$15,10,FALSE),
IF($A180&lt;'Hose Fittings'!$A$30,VLOOKUP($A180,'Hose Fittings'!$A$8:$M$29,10,FALSE),
IF($A180&lt;'Swing Joints'!$A$495,VLOOKUP($A180,'Swing Joints'!$A$9:$M$494,10,FALSE),
IF($A180&lt;'Swing Joints Components'!$A$135,VLOOKUP($A180,'Swing Joints Components'!$A$9:$M$134,10,FALSE),
IF($A180&lt;Nonstandard!$A$42,VLOOKUP($A180,Nonstandard!$A$31:$J$41,10,FALSE),"")))))))))))))))))))))))))))),"")</f>
        <v/>
      </c>
      <c r="L180" s="539" t="str">
        <f t="shared" si="4"/>
        <v>-</v>
      </c>
      <c r="M180" s="542"/>
    </row>
    <row r="181" spans="1:13" ht="15.6">
      <c r="A181" s="312">
        <v>149</v>
      </c>
      <c r="B181" s="312" t="str">
        <f>IFERROR(IF($A181&lt;'DWV PVC'!$A$317,VLOOKUP($A181,'DWV PVC'!$A$9:$M$316,4,FALSE),
IF($A181&lt;'DWV ABS'!$A$117,VLOOKUP($A181,'DWV ABS'!$A$8:$M$116,4,FALSE),
IF($A181&lt;'PVC SCH40'!$A$425,VLOOKUP($A181,'PVC SCH40'!$A$8:$M$424,4,FALSE),
IF($A181&lt;'PVC SCH40 LD'!$A$22,VLOOKUP($A181,'PVC SCH40 LD'!$A$8:$M$21,4,FALSE),
IF($A181&lt;'Pool &amp; SPA Sweep Elbows'!$A$12,VLOOKUP($A181,'Pool &amp; SPA Sweep Elbows'!$A$8:$M$11,4,FALSE),
IF($A181&lt;'Pool &amp; SPA Pipe Extender'!$A$11,VLOOKUP($A181,'Pool &amp; SPA Pipe Extender'!$A$8:$M$10,4,FALSE),
IF($A181&lt;'PVC SCH80'!$A$250,VLOOKUP($A181,'PVC SCH80'!$A$8:$M$249,4,FALSE),
IF($A181&lt;'PVC SCH80 Flange'!$A$49,VLOOKUP($A181,'PVC SCH80 Flange'!$A$8:$M$48,4,FALSE),
IF($A181&lt;'PVC SCH80 LD Flange'!$A$17,VLOOKUP($A181,'PVC SCH80 LD Flange'!$A$8:$M$16,4,FALSE),
IF($A181&lt;CPVC!$A$105,VLOOKUP($A181,CPVC!$A$9:$M$104,4,FALSE),
IF($A181&lt;InsertFittings!$A$185,VLOOKUP($A181,InsertFittings!$A$9:$M$184,4,FALSE),
IF($A181&lt;Valves!$A$92,VLOOKUP($A181,Valves!$A$9:$Q$91,4,FALSE),
IF($A181&lt;SDR35SW!$A$133,VLOOKUP($A181,SDR35SW!$A$9:$M$132,4,FALSE),
IF($A181&lt;SDR35G!$A$151,VLOOKUP($A181,SDR35G!$A$9:$M$150,4,FALSE),
IF($A181&lt;SDR26G!$A$67,VLOOKUP($A181,SDR26G!$A$9:$N$66,5,FALSE),
IF($A181&lt;Cements!$A$95,VLOOKUP($A181,Cements!$A$8:$Q$94,4,FALSE),
IF($A181&lt;ValveBox!$A$124,VLOOKUP($A181,ValveBox!$A$9:$O$123,4,FALSE),
IF($A181&lt;'ValveBox Components'!$A$142,VLOOKUP($A181,'ValveBox Components'!$A$9:$N$141,4,FALSE),
IF($A181&lt;Drainage!$A$69,VLOOKUP($A181,Drainage!$A$8:$M$68,4,FALSE),
IF($A181&lt;Nipples!$A$82,VLOOKUP($A181,Nipples!$A$9:$Q$81,4,FALSE),
IF($A181&lt;Manifold!$A$33,VLOOKUP($A181,Manifold!$A$9:$M$32,4,FALSE),
IF($A181&lt;FlexibleRepairCouplings!$A$12,VLOOKUP($A181,FlexibleRepairCouplings!$A$9:$M$11,4,FALSE),
IF($A181&lt;DuraFix!$A$15,VLOOKUP($A181,DuraFix!$A$9:$M$14,4,FALSE),
IF($A181&lt;'Compression Fittings'!$A$16,VLOOKUP($A181,'Compression Fittings'!$A$8:$M$15,4,FALSE),
IF($A181&lt;'Hose Fittings'!$A$30,VLOOKUP($A181,'Hose Fittings'!$A$8:$M$29,4,FALSE),
IF($A181&lt;'Swing Joints'!$A$495,VLOOKUP($A181,'Swing Joints'!$A$9:$M$494,4,FALSE),
IF($A181&lt;'Swing Joints Components'!$A$135,VLOOKUP($A181,'Swing Joints Components'!$A$9:$M$134,4,FALSE),
IF($A181&lt;Nonstandard!$A$42,VLOOKUP($A181,Nonstandard!$A$31:$J$41,5,FALSE),"")))))))))))))))))))))))))))),"")</f>
        <v/>
      </c>
      <c r="C181" s="312" t="str">
        <f>IFERROR(IF($A181&lt;'DWV PVC'!$A$317,VLOOKUP($A181,'DWV PVC'!$A$9:$M$316,5,FALSE),
IF($A181&lt;'DWV ABS'!$A$117,VLOOKUP($A181,'DWV ABS'!$A$8:$M$116,5,FALSE),
IF($A181&lt;'PVC SCH40'!$A$425,VLOOKUP($A181,'PVC SCH40'!$A$8:$M$424,5,FALSE),
IF($A181&lt;'PVC SCH40 LD'!$A$22,VLOOKUP($A181,'PVC SCH40 LD'!$A$8:$M$21,5,FALSE),
IF($A181&lt;'Pool &amp; SPA Sweep Elbows'!$A$12,VLOOKUP($A181,'Pool &amp; SPA Sweep Elbows'!$A$8:$M$11,5,FALSE),
IF($A181&lt;'Pool &amp; SPA Pipe Extender'!$A$11,VLOOKUP($A181,'Pool &amp; SPA Pipe Extender'!$A$8:$M$10,5,FALSE),
IF($A181&lt;'PVC SCH80'!$A$250,VLOOKUP($A181,'PVC SCH80'!$A$8:$M$249,5,FALSE),
IF($A181&lt;'PVC SCH80 Flange'!$A$49,VLOOKUP($A181,'PVC SCH80 Flange'!$A$8:$M$48,5,FALSE),
IF($A181&lt;'PVC SCH80 LD Flange'!$A$17,VLOOKUP($A181,'PVC SCH80 LD Flange'!$A$8:$M$16,5,FALSE),
IF($A181&lt;CPVC!$A$105,VLOOKUP($A181,CPVC!$A$9:$M$104,5,FALSE),
IF($A181&lt;InsertFittings!$A$185,VLOOKUP($A181,InsertFittings!$A$9:$M$184,5,FALSE),
IF($A181&lt;Valves!$A$92,VLOOKUP($A181,Valves!$A$9:$Q$91,5,FALSE),
IF($A181&lt;SDR35SW!$A$133,VLOOKUP($A181,SDR35SW!$A$9:$M$132,5,FALSE),
IF($A181&lt;SDR35G!$A$151,VLOOKUP($A181,SDR35G!$A$9:$M$150,5,FALSE),
IF($A181&lt;SDR26G!$A$67,VLOOKUP($A181,SDR26G!$A$9:$N$66,6,FALSE),
IF($A181&lt;Cements!$A$95,VLOOKUP($A181,Cements!$A$8:$Q$94,5,FALSE),
IF($A181&lt;ValveBox!$A$124,VLOOKUP($A181,ValveBox!$A$9:$O$123,5,FALSE),
IF($A181&lt;'ValveBox Components'!$A$142,VLOOKUP($A181,'ValveBox Components'!$A$9:$N$141,5,FALSE),
IF($A181&lt;Drainage!$A$69,VLOOKUP($A181,Drainage!$A$8:$M$68,5,FALSE),
IF($A181&lt;Nipples!$A$82,VLOOKUP($A181,Nipples!$A$9:$Q$81,5,FALSE),
IF($A181&lt;Manifold!$A$33,VLOOKUP($A181,Manifold!$A$9:$M$32,5,FALSE),
IF($A181&lt;FlexibleRepairCouplings!$A$12,VLOOKUP($A181,FlexibleRepairCouplings!$A$9:$M$11,5,FALSE),
IF($A181&lt;DuraFix!$A$15,VLOOKUP($A181,DuraFix!$A$9:$M$14,5,FALSE),
IF($A181&lt;'Compression Fittings'!$A$16,VLOOKUP($A181,'Compression Fittings'!$A$8:$M$15,5,FALSE),
IF($A181&lt;'Hose Fittings'!$A$30,VLOOKUP($A181,'Hose Fittings'!$A$8:$M$29,5,FALSE),
IF($A181&lt;'Swing Joints'!$A$495,VLOOKUP($A181,'Swing Joints'!$A$9:$M$494,5,FALSE),
IF($A181&lt;'Swing Joints Components'!$A$135,VLOOKUP($A181,'Swing Joints Components'!$A$9:$M$134,5,FALSE),
IF($A181&lt;Nonstandard!$A$42,VLOOKUP($A181,Nonstandard!$A$31:$J$41,6,FALSE),"")))))))))))))))))))))))))))),"")</f>
        <v/>
      </c>
      <c r="D181" s="534" t="str">
        <f>IFERROR(IF($A181&lt;'DWV PVC'!$A$317,VLOOKUP($A181,'DWV PVC'!$A$9:$M$316,6,FALSE),
IF($A181&lt;'DWV ABS'!$A$117,VLOOKUP($A181,'DWV ABS'!$A$8:$M$116,6,FALSE),
IF($A181&lt;'PVC SCH40'!$A$425,VLOOKUP($A181,'PVC SCH40'!$A$8:$M$424,6,FALSE),
IF($A181&lt;'PVC SCH40 LD'!$A$22,VLOOKUP($A181,'PVC SCH40 LD'!$A$8:$M$21,6,FALSE),
IF($A181&lt;'Pool &amp; SPA Sweep Elbows'!$A$12,VLOOKUP($A181,'Pool &amp; SPA Sweep Elbows'!$A$8:$M$11,6,FALSE),
IF($A181&lt;'Pool &amp; SPA Pipe Extender'!$A$11,VLOOKUP($A181,'Pool &amp; SPA Pipe Extender'!$A$8:$M$10,6,FALSE),
IF($A181&lt;'PVC SCH80'!$A$250,VLOOKUP($A181,'PVC SCH80'!$A$8:$M$249,6,FALSE),
IF($A181&lt;'PVC SCH80 Flange'!$A$49,VLOOKUP($A181,'PVC SCH80 Flange'!$A$8:$M$48,6,FALSE),
IF($A181&lt;'PVC SCH80 LD Flange'!$A$17,VLOOKUP($A181,'PVC SCH80 LD Flange'!$A$8:$M$16,6,FALSE),
IF($A181&lt;CPVC!$A$105,VLOOKUP($A181,CPVC!$A$9:$M$104,6,FALSE),
IF($A181&lt;InsertFittings!$A$185,VLOOKUP($A181,InsertFittings!$A$9:$M$184,6,FALSE),
IF($A181&lt;Valves!$A$92,VLOOKUP($A181,Valves!$A$9:$Q$91,6,FALSE),
IF($A181&lt;SDR35SW!$A$133,VLOOKUP($A181,SDR35SW!$A$9:$M$132,6,FALSE),
IF($A181&lt;SDR35G!$A$151,VLOOKUP($A181,SDR35G!$A$9:$M$150,6,FALSE),
IF($A181&lt;SDR26G!$A$67,VLOOKUP($A181,SDR26G!$A$9:$N$66,7,FALSE),
IF($A181&lt;Cements!$A$95,VLOOKUP($A181,Cements!$A$8:$Q$94,6,FALSE),
IF($A181&lt;ValveBox!$A$124,VLOOKUP($A181,ValveBox!$A$9:$O$123,6,FALSE),
IF($A181&lt;'ValveBox Components'!$A$142,VLOOKUP($A181,'ValveBox Components'!$A$9:$N$141,6,FALSE),
IF($A181&lt;Drainage!$A$69,VLOOKUP($A181,Drainage!$A$8:$M$68,6,FALSE),
IF($A181&lt;Nipples!$A$82,VLOOKUP($A181,Nipples!$A$9:$Q$81,6,FALSE),
IF($A181&lt;Manifold!$A$33,VLOOKUP($A181,Manifold!$A$9:$M$32,6,FALSE),
IF($A181&lt;FlexibleRepairCouplings!$A$12,VLOOKUP($A181,FlexibleRepairCouplings!$A$9:$M$11,6,FALSE),
IF($A181&lt;DuraFix!$A$15,VLOOKUP($A181,DuraFix!$A$9:$M$14,6,FALSE),
IF($A181&lt;'Compression Fittings'!$A$16,VLOOKUP($A181,'Compression Fittings'!$A$8:$M$15,6,FALSE),
IF($A181&lt;'Hose Fittings'!$A$30,VLOOKUP($A181,'Hose Fittings'!$A$8:$M$29,6,FALSE),
IF($A181&lt;'Swing Joints'!$A$495,VLOOKUP($A181,'Swing Joints'!$A$9:$M$494,6,FALSE),
IF($A181&lt;'Swing Joints Components'!$A$135,VLOOKUP($A181,'Swing Joints Components'!$A$9:$M$134,6,FALSE),
IF($A181&lt;Nonstandard!$A$42,VLOOKUP($A181,Nonstandard!$A$31:$J$41,7,FALSE),"")))))))))))))))))))))))))))),"")</f>
        <v/>
      </c>
      <c r="E181" s="316"/>
      <c r="F181" s="314" t="str">
        <f>IFERROR(IF($A181&lt;'DWV PVC'!$A$317,VLOOKUP($A181,'DWV PVC'!$A$9:$M$316,9,FALSE),
IF($A181&lt;'DWV ABS'!$A$117,VLOOKUP($A181,'DWV ABS'!$A$8:$M$116,9,FALSE),                                                                                                                                                                                                                                                     IF($A181&lt;'PVC SCH40'!$A$425,VLOOKUP($A181,'PVC SCH40'!$A$8:$M$424,9,FALSE),
IF($A181&lt;'PVC SCH40 LD'!$A$22,VLOOKUP($A181,'PVC SCH40 LD'!$A$8:$M$21,9,FALSE),
IF($A181&lt;'Pool &amp; SPA Sweep Elbows'!$A$12,VLOOKUP($A181,'Pool &amp; SPA Sweep Elbows'!$A$8:$M$11,9,FALSE),
IF($A181&lt;'Pool &amp; SPA Pipe Extender'!$A$11,VLOOKUP($A181,'Pool &amp; SPA Pipe Extender'!$A$8:$M$10,9,FALSE),
IF($A181&lt;'PVC SCH80'!$A$250,VLOOKUP($A181,'PVC SCH80'!$A$8:$M$249,9,FALSE),
IF($A181&lt;'PVC SCH80 Flange'!$A$49,VLOOKUP($A181,'PVC SCH80 Flange'!$A$8:$M$48,9,FALSE),
IF($A181&lt;'PVC SCH80 LD Flange'!$A$17,VLOOKUP($A181,'PVC SCH80 LD Flange'!$A$8:$M$16,9,FALSE),
IF($A181&lt;CPVC!$A$105,VLOOKUP($A181,CPVC!$A$9:$M$104,9,FALSE),
IF($A181&lt;InsertFittings!$A$185,VLOOKUP($A181,InsertFittings!$A$9:$M$184,9,FALSE),
IF($A181&lt;Valves!$A$92,VLOOKUP($A181,Valves!$A$9:$Q$91,13,FALSE),
IF($A181&lt;SDR35SW!$A$133,VLOOKUP($A181,SDR35SW!$A$9:$M$132,9,FALSE),
IF($A181&lt;SDR35G!$A$151,VLOOKUP($A181,SDR35G!$A$9:$M$150,9,FALSE),                                                                                                                                                                                                                                                          IF($A181&lt;SDR26G!$A$67,VLOOKUP($A181,SDR26G!$A$9:$N$66,10,FALSE),                                                                                                                                                                                                                                                       IF($A181&lt;Cements!$A$95,VLOOKUP($A181,Cements!$A$8:$Q$94,13,FALSE),
IF($A181&lt;ValveBox!$A$124,VLOOKUP($A181,ValveBox!$A$9:$O$123,11,FALSE),
IF($A181&lt;'ValveBox Components'!$A$142,VLOOKUP($A181,'ValveBox Components'!$A$9:$N$141,10,FALSE),
IF($A181&lt;Drainage!$A$69,VLOOKUP($A181,Drainage!$A$8:$M$68,9,FALSE),                                                                                                                                                                                                                                                              IF($A181&lt;Nipples!$A$82,VLOOKUP($A181,Nipples!$A$9:$Q$81,13,FALSE),
IF($A181&lt;Manifold!$A$33,VLOOKUP($A181,Manifold!$A$9:$M$32,9,FALSE),
IF($A181&lt;FlexibleRepairCouplings!$A$12,VLOOKUP($A181,FlexibleRepairCouplings!$A$9:$M$11,9,FALSE),
IF($A181&lt;DuraFix!$A$15,VLOOKUP($A181,DuraFix!$A$9:$M$14,9,FALSE),                                                                                                                                                                                                                                                          IF($A181&lt;'Compression Fittings'!$A$16,VLOOKUP($A181,'Compression Fittings'!$A$8:$M$15,9,FALSE),
IF($A181&lt;'Hose Fittings'!$A$30,VLOOKUP($A181,'Hose Fittings'!$A$8:$M$29,9,FALSE),
IF($A181&lt;'Swing Joints'!$A$495,VLOOKUP($A181,'Swing Joints'!$A$9:$M$494,9,FALSE),
IF($A181&lt;'Swing Joints Components'!$A$135,VLOOKUP($A181,'Swing Joints Components'!$A$9:$M$134,9,FALSE),
IF($A181&lt;Nonstandard!$A$42,VLOOKUP($A181,Nonstandard!$A$31:$J$41,8,FALSE),"")))))))))))))))))))))))))))),"")</f>
        <v/>
      </c>
      <c r="G181" s="533" t="str">
        <f>IFERROR(IF($A181&lt;'DWV PVC'!$A$317,VLOOKUP($A181,'DWV PVC'!$A$9:$M$316,11,FALSE),
IF($A181&lt;'DWV ABS'!$A$117,VLOOKUP($A181,'DWV ABS'!$A$8:$M$116,11,FALSE),                                                                                                                                                                                                                                                     IF($A181&lt;'PVC SCH40'!$A$425,VLOOKUP($A181,'PVC SCH40'!$A$8:$M$424,11,FALSE),
IF($A181&lt;'PVC SCH40 LD'!$A$22,VLOOKUP($A181,'PVC SCH40 LD'!$A$8:$M$21,11,FALSE),
IF($A181&lt;'Pool &amp; SPA Sweep Elbows'!$A$12,VLOOKUP($A181,'Pool &amp; SPA Sweep Elbows'!$A$8:$M$11,11,FALSE),
IF($A181&lt;'Pool &amp; SPA Pipe Extender'!$A$11,VLOOKUP($A181,'Pool &amp; SPA Pipe Extender'!$A$8:$M$10,11,FALSE),
IF($A181&lt;'PVC SCH80'!$A$250,VLOOKUP($A181,'PVC SCH80'!$A$8:$M$249,11,FALSE),
IF($A181&lt;'PVC SCH80 Flange'!$A$49,VLOOKUP($A181,'PVC SCH80 Flange'!$A$8:$M$48,11,FALSE),
IF($A181&lt;'PVC SCH80 LD Flange'!$A$17,VLOOKUP($A181,'PVC SCH80 LD Flange'!$A$8:$M$16,11,FALSE),
IF($A181&lt;CPVC!$A$105,VLOOKUP($A181,CPVC!$A$9:$M$104,11,FALSE),
IF($A181&lt;InsertFittings!$A$185,VLOOKUP($A181,InsertFittings!$A$9:$M$184,11,FALSE),
IF($A181&lt;Valves!$A$92,VLOOKUP($A181,Valves!$A$9:$Q$91,15,FALSE),
IF($A181&lt;SDR35SW!$A$133,VLOOKUP($A181,SDR35SW!$A$9:$M$132,11,FALSE),
IF($A181&lt;SDR35G!$A$151,VLOOKUP($A181,SDR35G!$A$9:$M$150,11,FALSE),                                                                                                                                                                                                                                                          IF($A181&lt;SDR26G!$A$67,VLOOKUP($A181,SDR26G!$A$9:$N$66,12,FALSE),                                                                                                                                                                                                                                                       IF($A181&lt;Cements!$A$95,VLOOKUP($A181,Cements!$A$8:$Q$94,15,FALSE),
IF($A181&lt;ValveBox!$A$124,VLOOKUP($A181,ValveBox!$A$9:$O$123,13,FALSE),
IF($A181&lt;'ValveBox Components'!$A$142,VLOOKUP($A181,'ValveBox Components'!$A$9:$N$141,12,FALSE),
IF($A181&lt;Drainage!$A$69,VLOOKUP($A181,Drainage!$A$8:$M$68,11,FALSE),                                                                                                                                                                                                                                                           IF($A181&lt;Nipples!$A$82,VLOOKUP($A181,Nipples!$A$9:$Q$81,15,FALSE),
IF($A181&lt;Manifold!$A$33,VLOOKUP($A181,Manifold!$A$9:$M$32,11,FALSE),
IF($A181&lt;FlexibleRepairCouplings!$A$12,VLOOKUP($A181,FlexibleRepairCouplings!$A$9:$M$11,11,FALSE),
IF($A181&lt;DuraFix!$A$15,VLOOKUP($A181,DuraFix!$A$9:$M$14,11,FALSE),                                                                                                                                                                                                                                                            IF($A181&lt;'Compression Fittings'!$A$16,VLOOKUP($A181,'Compression Fittings'!$A$8:$M$15,11,FALSE),
IF($A181&lt;'Hose Fittings'!$A$30,VLOOKUP($A181,'Hose Fittings'!$A$8:$M$29,11,FALSE),
IF($A181&lt;'Swing Joints'!$A$495,VLOOKUP($A181,'Swing Joints'!$A$9:$M$494,11,FALSE),
IF($A181&lt;'Swing Joints Components'!$A$135,VLOOKUP($A181,'Swing Joints Components'!$A$9:$M$134,11,FALSE),
IF($A181&lt;Nonstandard!$A$42,VLOOKUP($A181,Nonstandard!$A$31:$J$41,10,FALSE),"")))))))))))))))))))))))))))),"")</f>
        <v/>
      </c>
      <c r="H181" s="618" t="str">
        <f>IFERROR(IF($A181&lt;'DWV PVC'!$A$317,VLOOKUP($A181,'DWV PVC'!$A$9:$M$316,7,FALSE),
IF($A181&lt;'DWV ABS'!$A$117,VLOOKUP($A181,'DWV ABS'!$A$8:$M$116,11,FALSE),                                                                                                                                                                                                                                                     IF($A181&lt;'PVC SCH40'!$A$425,VLOOKUP($A181,'PVC SCH40'!$A$8:$M$424,7,FALSE),
IF($A181&lt;'PVC SCH40 LD'!$A$22,VLOOKUP($A181,'PVC SCH40 LD'!$A$8:$M$21,7,FALSE),
IF($A181&lt;'Pool &amp; SPA Sweep Elbows'!$A$12,VLOOKUP($A181,'Pool &amp; SPA Sweep Elbows'!$A$8:$M$11,7,FALSE),
IF($A181&lt;'Pool &amp; SPA Pipe Extender'!$A$11,VLOOKUP($A181,'Pool &amp; SPA Pipe Extender'!$A$8:$M$10,7,FALSE),
IF($A181&lt;'PVC SCH80'!$A$250,VLOOKUP($A181,'PVC SCH80'!$A$8:$M$249,7,FALSE),
IF($A181&lt;'PVC SCH80 Flange'!$A$49,VLOOKUP($A181,'PVC SCH80 Flange'!$A$8:$M$48,7,FALSE),
IF($A181&lt;'PVC SCH80 LD Flange'!$A$17,VLOOKUP($A181,'PVC SCH80 LD Flange'!$A$8:$M$16,7,FALSE),
IF($A181&lt;CPVC!$A$105,VLOOKUP($A181,CPVC!$A$9:$M$104,7,FALSE),
IF($A181&lt;InsertFittings!$A$185,VLOOKUP($A181,InsertFittings!$A$9:$M$184,7,FALSE),
IF($A181&lt;Valves!$A$92,VLOOKUP($A181,Valves!$A$9:$Q$91,11,FALSE),
IF($A181&lt;SDR35SW!$A$133,VLOOKUP($A181,SDR35SW!$A$9:$M$132,7,FALSE),
IF($A181&lt;SDR35G!$A$151,VLOOKUP($A181,SDR35G!$A$9:$M$150,7,FALSE),                                                                                                                                                                                                                                                       IF($A181&lt;SDR26G!$A$67,VLOOKUP($A181,SDR26G!$A$9:$N$66,8,FALSE),                                                                                                                                                                                                                                                     IF($A181&lt;Cements!$A$95,VLOOKUP($A181,Cements!$A$8:$Q$94,11,FALSE),
IF($A181&lt;ValveBox!$A$124,VLOOKUP($A181,ValveBox!$A$9:$O$123,10,FALSE),
IF($A181&lt;'ValveBox Components'!$A$142,VLOOKUP($A181,'ValveBox Components'!$A$9:$N$141,9,FALSE),
IF($A181&lt;Drainage!$A$69,VLOOKUP($A181,Drainage!$A$8:$M$68,7,FALSE),                                                                                                                                                                                                                                                          IF($A181&lt;Nipples!$A$82,VLOOKUP($A181,Nipples!$A$9:$Q$81,11,FALSE),
IF($A181&lt;Manifold!$A$33,VLOOKUP($A181,Manifold!$A$9:$M$32,7,FALSE),
IF($A181&lt;FlexibleRepairCouplings!$A$12,VLOOKUP($A181,FlexibleRepairCouplings!$A$9:$M$11,7,FALSE),
IF($A181&lt;DuraFix!$A$15,VLOOKUP($A181,DuraFix!$A$9:$M$14,7,FALSE),                                                                                                                                                                                                                                                           IF($A181&lt;'Compression Fittings'!$A$16,VLOOKUP($A181,'Compression Fittings'!$A$8:$M$15,7,FALSE),
IF($A181&lt;'Hose Fittings'!$A$30,VLOOKUP($A181,'Hose Fittings'!$A$8:$M$29,7,FALSE),
IF($A181&lt;'Swing Joints'!$A$495,VLOOKUP($A181,'Swing Joints'!$A$9:$M$494,7,FALSE),
IF($A181&lt;'Swing Joints Components'!$A$135,VLOOKUP($A181,'Swing Joints Components'!$A$9:$M$134,7,FALSE),
IF($A181&lt;Nonstandard!$A$42,VLOOKUP($A181,Nonstandard!$A$31:$J$41,10,FALSE),"")))))))))))))))))))))))))))),"")</f>
        <v/>
      </c>
      <c r="I181" s="619"/>
      <c r="J181" s="281" t="str">
        <f t="shared" si="5"/>
        <v/>
      </c>
      <c r="K181" s="313" t="str">
        <f>IFERROR(IF($A181&lt;'DWV PVC'!$A$317,VLOOKUP($A181,'DWV PVC'!$A$9:$M$316,10,FALSE),
IF($A181&lt;'DWV ABS'!$A$117,VLOOKUP($A181,'DWV ABS'!$A$8:$M$116,10,FALSE),
IF($A181&lt;'PVC SCH40'!$A$425,VLOOKUP($A181,'PVC SCH40'!$A$8:$M$424,10,FALSE),
IF($A181&lt;'PVC SCH40 LD'!$A$22,VLOOKUP($A181,'PVC SCH40 LD'!$A$8:$M$21,10,FALSE),
IF($A181&lt;'Pool &amp; SPA Sweep Elbows'!$A$12,VLOOKUP($A181,'Pool &amp; SPA Sweep Elbows'!$A$8:$M$11,10,FALSE),
IF($A181&lt;'Pool &amp; SPA Pipe Extender'!$A$11,VLOOKUP($A181,'Pool &amp; SPA Pipe Extender'!$A$8:$M$10,10,FALSE),
IF($A181&lt;'PVC SCH80'!$A$250,VLOOKUP($A181,'PVC SCH80'!$A$8:$M$249,10,FALSE),
IF($A181&lt;'PVC SCH80 Flange'!$A$49,VLOOKUP($A181,'PVC SCH80 Flange'!$A$8:$M$48,10,FALSE),
IF($A181&lt;'PVC SCH80 LD Flange'!$A$17,VLOOKUP($A181,'PVC SCH80 LD Flange'!$A$8:$M$16,10,FALSE),
IF($A181&lt;CPVC!$A$105,VLOOKUP($A181,CPVC!$A$9:$M$104,10,FALSE),
IF($A181&lt;InsertFittings!$A$185,VLOOKUP($A181,InsertFittings!$A$9:$M$184,10,FALSE),
IF($A181&lt;Valves!$A$92,VLOOKUP($A181,Valves!$A$9:$Q$91,14,FALSE),
IF($A181&lt;SDR35SW!$A$133,VLOOKUP($A181,SDR35SW!$A$9:$M$132,10,FALSE),
IF($A181&lt;SDR35G!$A$151,VLOOKUP($A181,SDR35G!$A$9:$M$150,10,FALSE),
IF($A181&lt;SDR26G!$A$67,VLOOKUP($A181,SDR26G!$A$9:$N$66,11,FALSE),
IF($A181&lt;Cements!$A$95,VLOOKUP($A181,Cements!$A$8:$Q$94,14,FALSE),
IF($A181&lt;ValveBox!$A$124,VLOOKUP($A181,ValveBox!$A$9:$O$123,12,FALSE),
IF($A181&lt;'ValveBox Components'!$A$142,VLOOKUP($A181,'ValveBox Components'!$A$9:$N$141,11,FALSE),
IF($A181&lt;Drainage!$A$69,VLOOKUP($A181,Drainage!$A$8:$M$68,10,FALSE),
IF($A181&lt;Nipples!$A$82,VLOOKUP($A181,Nipples!$A$9:$Q$81,14,FALSE),
IF($A181&lt;Manifold!$A$33,VLOOKUP($A181,Manifold!$A$9:$M$32,10,FALSE),
IF($A181&lt;FlexibleRepairCouplings!$A$12,VLOOKUP($A181,FlexibleRepairCouplings!$A$9:$M$11,10,FALSE),
IF($A181&lt;DuraFix!$A$15,VLOOKUP($A181,DuraFix!$A$9:$M$14,10,FALSE),
IF($A181&lt;'Compression Fittings'!$A$16,VLOOKUP($A181,'Compression Fittings'!$A$8:$M$15,10,FALSE),
IF($A181&lt;'Hose Fittings'!$A$30,VLOOKUP($A181,'Hose Fittings'!$A$8:$M$29,10,FALSE),
IF($A181&lt;'Swing Joints'!$A$495,VLOOKUP($A181,'Swing Joints'!$A$9:$M$494,10,FALSE),
IF($A181&lt;'Swing Joints Components'!$A$135,VLOOKUP($A181,'Swing Joints Components'!$A$9:$M$134,10,FALSE),
IF($A181&lt;Nonstandard!$A$42,VLOOKUP($A181,Nonstandard!$A$31:$J$41,10,FALSE),"")))))))))))))))))))))))))))),"")</f>
        <v/>
      </c>
      <c r="L181" s="314" t="str">
        <f t="shared" si="4"/>
        <v>-</v>
      </c>
      <c r="M181" s="315"/>
    </row>
    <row r="182" spans="1:13" ht="15.6">
      <c r="A182" s="536">
        <v>150</v>
      </c>
      <c r="B182" s="536" t="str">
        <f>IFERROR(IF($A182&lt;'DWV PVC'!$A$317,VLOOKUP($A182,'DWV PVC'!$A$9:$M$316,4,FALSE),
IF($A182&lt;'DWV ABS'!$A$117,VLOOKUP($A182,'DWV ABS'!$A$8:$M$116,4,FALSE),
IF($A182&lt;'PVC SCH40'!$A$425,VLOOKUP($A182,'PVC SCH40'!$A$8:$M$424,4,FALSE),
IF($A182&lt;'PVC SCH40 LD'!$A$22,VLOOKUP($A182,'PVC SCH40 LD'!$A$8:$M$21,4,FALSE),
IF($A182&lt;'Pool &amp; SPA Sweep Elbows'!$A$12,VLOOKUP($A182,'Pool &amp; SPA Sweep Elbows'!$A$8:$M$11,4,FALSE),
IF($A182&lt;'Pool &amp; SPA Pipe Extender'!$A$11,VLOOKUP($A182,'Pool &amp; SPA Pipe Extender'!$A$8:$M$10,4,FALSE),
IF($A182&lt;'PVC SCH80'!$A$250,VLOOKUP($A182,'PVC SCH80'!$A$8:$M$249,4,FALSE),
IF($A182&lt;'PVC SCH80 Flange'!$A$49,VLOOKUP($A182,'PVC SCH80 Flange'!$A$8:$M$48,4,FALSE),
IF($A182&lt;'PVC SCH80 LD Flange'!$A$17,VLOOKUP($A182,'PVC SCH80 LD Flange'!$A$8:$M$16,4,FALSE),
IF($A182&lt;CPVC!$A$105,VLOOKUP($A182,CPVC!$A$9:$M$104,4,FALSE),
IF($A182&lt;InsertFittings!$A$185,VLOOKUP($A182,InsertFittings!$A$9:$M$184,4,FALSE),
IF($A182&lt;Valves!$A$92,VLOOKUP($A182,Valves!$A$9:$Q$91,4,FALSE),
IF($A182&lt;SDR35SW!$A$133,VLOOKUP($A182,SDR35SW!$A$9:$M$132,4,FALSE),
IF($A182&lt;SDR35G!$A$151,VLOOKUP($A182,SDR35G!$A$9:$M$150,4,FALSE),
IF($A182&lt;SDR26G!$A$67,VLOOKUP($A182,SDR26G!$A$9:$N$66,5,FALSE),
IF($A182&lt;Cements!$A$95,VLOOKUP($A182,Cements!$A$8:$Q$94,4,FALSE),
IF($A182&lt;ValveBox!$A$124,VLOOKUP($A182,ValveBox!$A$9:$O$123,4,FALSE),
IF($A182&lt;'ValveBox Components'!$A$142,VLOOKUP($A182,'ValveBox Components'!$A$9:$N$141,4,FALSE),
IF($A182&lt;Drainage!$A$69,VLOOKUP($A182,Drainage!$A$8:$M$68,4,FALSE),
IF($A182&lt;Nipples!$A$82,VLOOKUP($A182,Nipples!$A$9:$Q$81,4,FALSE),
IF($A182&lt;Manifold!$A$33,VLOOKUP($A182,Manifold!$A$9:$M$32,4,FALSE),
IF($A182&lt;FlexibleRepairCouplings!$A$12,VLOOKUP($A182,FlexibleRepairCouplings!$A$9:$M$11,4,FALSE),
IF($A182&lt;DuraFix!$A$15,VLOOKUP($A182,DuraFix!$A$9:$M$14,4,FALSE),
IF($A182&lt;'Compression Fittings'!$A$16,VLOOKUP($A182,'Compression Fittings'!$A$8:$M$15,4,FALSE),
IF($A182&lt;'Hose Fittings'!$A$30,VLOOKUP($A182,'Hose Fittings'!$A$8:$M$29,4,FALSE),
IF($A182&lt;'Swing Joints'!$A$495,VLOOKUP($A182,'Swing Joints'!$A$9:$M$494,4,FALSE),
IF($A182&lt;'Swing Joints Components'!$A$135,VLOOKUP($A182,'Swing Joints Components'!$A$9:$M$134,4,FALSE),
IF($A182&lt;Nonstandard!$A$42,VLOOKUP($A182,Nonstandard!$A$31:$J$41,5,FALSE),"")))))))))))))))))))))))))))),"")</f>
        <v/>
      </c>
      <c r="C182" s="536" t="str">
        <f>IFERROR(IF($A182&lt;'DWV PVC'!$A$317,VLOOKUP($A182,'DWV PVC'!$A$9:$M$316,5,FALSE),
IF($A182&lt;'DWV ABS'!$A$117,VLOOKUP($A182,'DWV ABS'!$A$8:$M$116,5,FALSE),
IF($A182&lt;'PVC SCH40'!$A$425,VLOOKUP($A182,'PVC SCH40'!$A$8:$M$424,5,FALSE),
IF($A182&lt;'PVC SCH40 LD'!$A$22,VLOOKUP($A182,'PVC SCH40 LD'!$A$8:$M$21,5,FALSE),
IF($A182&lt;'Pool &amp; SPA Sweep Elbows'!$A$12,VLOOKUP($A182,'Pool &amp; SPA Sweep Elbows'!$A$8:$M$11,5,FALSE),
IF($A182&lt;'Pool &amp; SPA Pipe Extender'!$A$11,VLOOKUP($A182,'Pool &amp; SPA Pipe Extender'!$A$8:$M$10,5,FALSE),
IF($A182&lt;'PVC SCH80'!$A$250,VLOOKUP($A182,'PVC SCH80'!$A$8:$M$249,5,FALSE),
IF($A182&lt;'PVC SCH80 Flange'!$A$49,VLOOKUP($A182,'PVC SCH80 Flange'!$A$8:$M$48,5,FALSE),
IF($A182&lt;'PVC SCH80 LD Flange'!$A$17,VLOOKUP($A182,'PVC SCH80 LD Flange'!$A$8:$M$16,5,FALSE),
IF($A182&lt;CPVC!$A$105,VLOOKUP($A182,CPVC!$A$9:$M$104,5,FALSE),
IF($A182&lt;InsertFittings!$A$185,VLOOKUP($A182,InsertFittings!$A$9:$M$184,5,FALSE),
IF($A182&lt;Valves!$A$92,VLOOKUP($A182,Valves!$A$9:$Q$91,5,FALSE),
IF($A182&lt;SDR35SW!$A$133,VLOOKUP($A182,SDR35SW!$A$9:$M$132,5,FALSE),
IF($A182&lt;SDR35G!$A$151,VLOOKUP($A182,SDR35G!$A$9:$M$150,5,FALSE),
IF($A182&lt;SDR26G!$A$67,VLOOKUP($A182,SDR26G!$A$9:$N$66,6,FALSE),
IF($A182&lt;Cements!$A$95,VLOOKUP($A182,Cements!$A$8:$Q$94,5,FALSE),
IF($A182&lt;ValveBox!$A$124,VLOOKUP($A182,ValveBox!$A$9:$O$123,5,FALSE),
IF($A182&lt;'ValveBox Components'!$A$142,VLOOKUP($A182,'ValveBox Components'!$A$9:$N$141,5,FALSE),
IF($A182&lt;Drainage!$A$69,VLOOKUP($A182,Drainage!$A$8:$M$68,5,FALSE),
IF($A182&lt;Nipples!$A$82,VLOOKUP($A182,Nipples!$A$9:$Q$81,5,FALSE),
IF($A182&lt;Manifold!$A$33,VLOOKUP($A182,Manifold!$A$9:$M$32,5,FALSE),
IF($A182&lt;FlexibleRepairCouplings!$A$12,VLOOKUP($A182,FlexibleRepairCouplings!$A$9:$M$11,5,FALSE),
IF($A182&lt;DuraFix!$A$15,VLOOKUP($A182,DuraFix!$A$9:$M$14,5,FALSE),
IF($A182&lt;'Compression Fittings'!$A$16,VLOOKUP($A182,'Compression Fittings'!$A$8:$M$15,5,FALSE),
IF($A182&lt;'Hose Fittings'!$A$30,VLOOKUP($A182,'Hose Fittings'!$A$8:$M$29,5,FALSE),
IF($A182&lt;'Swing Joints'!$A$495,VLOOKUP($A182,'Swing Joints'!$A$9:$M$494,5,FALSE),
IF($A182&lt;'Swing Joints Components'!$A$135,VLOOKUP($A182,'Swing Joints Components'!$A$9:$M$134,5,FALSE),
IF($A182&lt;Nonstandard!$A$42,VLOOKUP($A182,Nonstandard!$A$31:$J$41,6,FALSE),"")))))))))))))))))))))))))))),"")</f>
        <v/>
      </c>
      <c r="D182" s="537" t="str">
        <f>IFERROR(IF($A182&lt;'DWV PVC'!$A$317,VLOOKUP($A182,'DWV PVC'!$A$9:$M$316,6,FALSE),
IF($A182&lt;'DWV ABS'!$A$117,VLOOKUP($A182,'DWV ABS'!$A$8:$M$116,6,FALSE),
IF($A182&lt;'PVC SCH40'!$A$425,VLOOKUP($A182,'PVC SCH40'!$A$8:$M$424,6,FALSE),
IF($A182&lt;'PVC SCH40 LD'!$A$22,VLOOKUP($A182,'PVC SCH40 LD'!$A$8:$M$21,6,FALSE),
IF($A182&lt;'Pool &amp; SPA Sweep Elbows'!$A$12,VLOOKUP($A182,'Pool &amp; SPA Sweep Elbows'!$A$8:$M$11,6,FALSE),
IF($A182&lt;'Pool &amp; SPA Pipe Extender'!$A$11,VLOOKUP($A182,'Pool &amp; SPA Pipe Extender'!$A$8:$M$10,6,FALSE),
IF($A182&lt;'PVC SCH80'!$A$250,VLOOKUP($A182,'PVC SCH80'!$A$8:$M$249,6,FALSE),
IF($A182&lt;'PVC SCH80 Flange'!$A$49,VLOOKUP($A182,'PVC SCH80 Flange'!$A$8:$M$48,6,FALSE),
IF($A182&lt;'PVC SCH80 LD Flange'!$A$17,VLOOKUP($A182,'PVC SCH80 LD Flange'!$A$8:$M$16,6,FALSE),
IF($A182&lt;CPVC!$A$105,VLOOKUP($A182,CPVC!$A$9:$M$104,6,FALSE),
IF($A182&lt;InsertFittings!$A$185,VLOOKUP($A182,InsertFittings!$A$9:$M$184,6,FALSE),
IF($A182&lt;Valves!$A$92,VLOOKUP($A182,Valves!$A$9:$Q$91,6,FALSE),
IF($A182&lt;SDR35SW!$A$133,VLOOKUP($A182,SDR35SW!$A$9:$M$132,6,FALSE),
IF($A182&lt;SDR35G!$A$151,VLOOKUP($A182,SDR35G!$A$9:$M$150,6,FALSE),
IF($A182&lt;SDR26G!$A$67,VLOOKUP($A182,SDR26G!$A$9:$N$66,7,FALSE),
IF($A182&lt;Cements!$A$95,VLOOKUP($A182,Cements!$A$8:$Q$94,6,FALSE),
IF($A182&lt;ValveBox!$A$124,VLOOKUP($A182,ValveBox!$A$9:$O$123,6,FALSE),
IF($A182&lt;'ValveBox Components'!$A$142,VLOOKUP($A182,'ValveBox Components'!$A$9:$N$141,6,FALSE),
IF($A182&lt;Drainage!$A$69,VLOOKUP($A182,Drainage!$A$8:$M$68,6,FALSE),
IF($A182&lt;Nipples!$A$82,VLOOKUP($A182,Nipples!$A$9:$Q$81,6,FALSE),
IF($A182&lt;Manifold!$A$33,VLOOKUP($A182,Manifold!$A$9:$M$32,6,FALSE),
IF($A182&lt;FlexibleRepairCouplings!$A$12,VLOOKUP($A182,FlexibleRepairCouplings!$A$9:$M$11,6,FALSE),
IF($A182&lt;DuraFix!$A$15,VLOOKUP($A182,DuraFix!$A$9:$M$14,6,FALSE),
IF($A182&lt;'Compression Fittings'!$A$16,VLOOKUP($A182,'Compression Fittings'!$A$8:$M$15,6,FALSE),
IF($A182&lt;'Hose Fittings'!$A$30,VLOOKUP($A182,'Hose Fittings'!$A$8:$M$29,6,FALSE),
IF($A182&lt;'Swing Joints'!$A$495,VLOOKUP($A182,'Swing Joints'!$A$9:$M$494,6,FALSE),
IF($A182&lt;'Swing Joints Components'!$A$135,VLOOKUP($A182,'Swing Joints Components'!$A$9:$M$134,6,FALSE),
IF($A182&lt;Nonstandard!$A$42,VLOOKUP($A182,Nonstandard!$A$31:$J$41,7,FALSE),"")))))))))))))))))))))))))))),"")</f>
        <v/>
      </c>
      <c r="E182" s="538"/>
      <c r="F182" s="539" t="str">
        <f>IFERROR(IF($A182&lt;'DWV PVC'!$A$317,VLOOKUP($A182,'DWV PVC'!$A$9:$M$316,9,FALSE),
IF($A182&lt;'DWV ABS'!$A$117,VLOOKUP($A182,'DWV ABS'!$A$8:$M$116,9,FALSE),                                                                                                                                                                                                                                                     IF($A182&lt;'PVC SCH40'!$A$425,VLOOKUP($A182,'PVC SCH40'!$A$8:$M$424,9,FALSE),
IF($A182&lt;'PVC SCH40 LD'!$A$22,VLOOKUP($A182,'PVC SCH40 LD'!$A$8:$M$21,9,FALSE),
IF($A182&lt;'Pool &amp; SPA Sweep Elbows'!$A$12,VLOOKUP($A182,'Pool &amp; SPA Sweep Elbows'!$A$8:$M$11,9,FALSE),
IF($A182&lt;'Pool &amp; SPA Pipe Extender'!$A$11,VLOOKUP($A182,'Pool &amp; SPA Pipe Extender'!$A$8:$M$10,9,FALSE),
IF($A182&lt;'PVC SCH80'!$A$250,VLOOKUP($A182,'PVC SCH80'!$A$8:$M$249,9,FALSE),
IF($A182&lt;'PVC SCH80 Flange'!$A$49,VLOOKUP($A182,'PVC SCH80 Flange'!$A$8:$M$48,9,FALSE),
IF($A182&lt;'PVC SCH80 LD Flange'!$A$17,VLOOKUP($A182,'PVC SCH80 LD Flange'!$A$8:$M$16,9,FALSE),
IF($A182&lt;CPVC!$A$105,VLOOKUP($A182,CPVC!$A$9:$M$104,9,FALSE),
IF($A182&lt;InsertFittings!$A$185,VLOOKUP($A182,InsertFittings!$A$9:$M$184,9,FALSE),
IF($A182&lt;Valves!$A$92,VLOOKUP($A182,Valves!$A$9:$Q$91,13,FALSE),
IF($A182&lt;SDR35SW!$A$133,VLOOKUP($A182,SDR35SW!$A$9:$M$132,9,FALSE),
IF($A182&lt;SDR35G!$A$151,VLOOKUP($A182,SDR35G!$A$9:$M$150,9,FALSE),                                                                                                                                                                                                                                                          IF($A182&lt;SDR26G!$A$67,VLOOKUP($A182,SDR26G!$A$9:$N$66,10,FALSE),                                                                                                                                                                                                                                                       IF($A182&lt;Cements!$A$95,VLOOKUP($A182,Cements!$A$8:$Q$94,13,FALSE),
IF($A182&lt;ValveBox!$A$124,VLOOKUP($A182,ValveBox!$A$9:$O$123,11,FALSE),
IF($A182&lt;'ValveBox Components'!$A$142,VLOOKUP($A182,'ValveBox Components'!$A$9:$N$141,10,FALSE),
IF($A182&lt;Drainage!$A$69,VLOOKUP($A182,Drainage!$A$8:$M$68,9,FALSE),                                                                                                                                                                                                                                                              IF($A182&lt;Nipples!$A$82,VLOOKUP($A182,Nipples!$A$9:$Q$81,13,FALSE),
IF($A182&lt;Manifold!$A$33,VLOOKUP($A182,Manifold!$A$9:$M$32,9,FALSE),
IF($A182&lt;FlexibleRepairCouplings!$A$12,VLOOKUP($A182,FlexibleRepairCouplings!$A$9:$M$11,9,FALSE),
IF($A182&lt;DuraFix!$A$15,VLOOKUP($A182,DuraFix!$A$9:$M$14,9,FALSE),                                                                                                                                                                                                                                                          IF($A182&lt;'Compression Fittings'!$A$16,VLOOKUP($A182,'Compression Fittings'!$A$8:$M$15,9,FALSE),
IF($A182&lt;'Hose Fittings'!$A$30,VLOOKUP($A182,'Hose Fittings'!$A$8:$M$29,9,FALSE),
IF($A182&lt;'Swing Joints'!$A$495,VLOOKUP($A182,'Swing Joints'!$A$9:$M$494,9,FALSE),
IF($A182&lt;'Swing Joints Components'!$A$135,VLOOKUP($A182,'Swing Joints Components'!$A$9:$M$134,9,FALSE),
IF($A182&lt;Nonstandard!$A$42,VLOOKUP($A182,Nonstandard!$A$31:$J$41,8,FALSE),"")))))))))))))))))))))))))))),"")</f>
        <v/>
      </c>
      <c r="G182" s="540" t="str">
        <f>IFERROR(IF($A182&lt;'DWV PVC'!$A$317,VLOOKUP($A182,'DWV PVC'!$A$9:$M$316,11,FALSE),
IF($A182&lt;'DWV ABS'!$A$117,VLOOKUP($A182,'DWV ABS'!$A$8:$M$116,11,FALSE),                                                                                                                                                                                                                                                     IF($A182&lt;'PVC SCH40'!$A$425,VLOOKUP($A182,'PVC SCH40'!$A$8:$M$424,11,FALSE),
IF($A182&lt;'PVC SCH40 LD'!$A$22,VLOOKUP($A182,'PVC SCH40 LD'!$A$8:$M$21,11,FALSE),
IF($A182&lt;'Pool &amp; SPA Sweep Elbows'!$A$12,VLOOKUP($A182,'Pool &amp; SPA Sweep Elbows'!$A$8:$M$11,11,FALSE),
IF($A182&lt;'Pool &amp; SPA Pipe Extender'!$A$11,VLOOKUP($A182,'Pool &amp; SPA Pipe Extender'!$A$8:$M$10,11,FALSE),
IF($A182&lt;'PVC SCH80'!$A$250,VLOOKUP($A182,'PVC SCH80'!$A$8:$M$249,11,FALSE),
IF($A182&lt;'PVC SCH80 Flange'!$A$49,VLOOKUP($A182,'PVC SCH80 Flange'!$A$8:$M$48,11,FALSE),
IF($A182&lt;'PVC SCH80 LD Flange'!$A$17,VLOOKUP($A182,'PVC SCH80 LD Flange'!$A$8:$M$16,11,FALSE),
IF($A182&lt;CPVC!$A$105,VLOOKUP($A182,CPVC!$A$9:$M$104,11,FALSE),
IF($A182&lt;InsertFittings!$A$185,VLOOKUP($A182,InsertFittings!$A$9:$M$184,11,FALSE),
IF($A182&lt;Valves!$A$92,VLOOKUP($A182,Valves!$A$9:$Q$91,15,FALSE),
IF($A182&lt;SDR35SW!$A$133,VLOOKUP($A182,SDR35SW!$A$9:$M$132,11,FALSE),
IF($A182&lt;SDR35G!$A$151,VLOOKUP($A182,SDR35G!$A$9:$M$150,11,FALSE),                                                                                                                                                                                                                                                          IF($A182&lt;SDR26G!$A$67,VLOOKUP($A182,SDR26G!$A$9:$N$66,12,FALSE),                                                                                                                                                                                                                                                       IF($A182&lt;Cements!$A$95,VLOOKUP($A182,Cements!$A$8:$Q$94,15,FALSE),
IF($A182&lt;ValveBox!$A$124,VLOOKUP($A182,ValveBox!$A$9:$O$123,13,FALSE),
IF($A182&lt;'ValveBox Components'!$A$142,VLOOKUP($A182,'ValveBox Components'!$A$9:$N$141,12,FALSE),
IF($A182&lt;Drainage!$A$69,VLOOKUP($A182,Drainage!$A$8:$M$68,11,FALSE),                                                                                                                                                                                                                                                           IF($A182&lt;Nipples!$A$82,VLOOKUP($A182,Nipples!$A$9:$Q$81,15,FALSE),
IF($A182&lt;Manifold!$A$33,VLOOKUP($A182,Manifold!$A$9:$M$32,11,FALSE),
IF($A182&lt;FlexibleRepairCouplings!$A$12,VLOOKUP($A182,FlexibleRepairCouplings!$A$9:$M$11,11,FALSE),
IF($A182&lt;DuraFix!$A$15,VLOOKUP($A182,DuraFix!$A$9:$M$14,11,FALSE),                                                                                                                                                                                                                                                            IF($A182&lt;'Compression Fittings'!$A$16,VLOOKUP($A182,'Compression Fittings'!$A$8:$M$15,11,FALSE),
IF($A182&lt;'Hose Fittings'!$A$30,VLOOKUP($A182,'Hose Fittings'!$A$8:$M$29,11,FALSE),
IF($A182&lt;'Swing Joints'!$A$495,VLOOKUP($A182,'Swing Joints'!$A$9:$M$494,11,FALSE),
IF($A182&lt;'Swing Joints Components'!$A$135,VLOOKUP($A182,'Swing Joints Components'!$A$9:$M$134,11,FALSE),
IF($A182&lt;Nonstandard!$A$42,VLOOKUP($A182,Nonstandard!$A$31:$J$41,10,FALSE),"")))))))))))))))))))))))))))),"")</f>
        <v/>
      </c>
      <c r="H182" s="620" t="str">
        <f>IFERROR(IF($A182&lt;'DWV PVC'!$A$317,VLOOKUP($A182,'DWV PVC'!$A$9:$M$316,7,FALSE),
IF($A182&lt;'DWV ABS'!$A$117,VLOOKUP($A182,'DWV ABS'!$A$8:$M$116,11,FALSE),                                                                                                                                                                                                                                                     IF($A182&lt;'PVC SCH40'!$A$425,VLOOKUP($A182,'PVC SCH40'!$A$8:$M$424,7,FALSE),
IF($A182&lt;'PVC SCH40 LD'!$A$22,VLOOKUP($A182,'PVC SCH40 LD'!$A$8:$M$21,7,FALSE),
IF($A182&lt;'Pool &amp; SPA Sweep Elbows'!$A$12,VLOOKUP($A182,'Pool &amp; SPA Sweep Elbows'!$A$8:$M$11,7,FALSE),
IF($A182&lt;'Pool &amp; SPA Pipe Extender'!$A$11,VLOOKUP($A182,'Pool &amp; SPA Pipe Extender'!$A$8:$M$10,7,FALSE),
IF($A182&lt;'PVC SCH80'!$A$250,VLOOKUP($A182,'PVC SCH80'!$A$8:$M$249,7,FALSE),
IF($A182&lt;'PVC SCH80 Flange'!$A$49,VLOOKUP($A182,'PVC SCH80 Flange'!$A$8:$M$48,7,FALSE),
IF($A182&lt;'PVC SCH80 LD Flange'!$A$17,VLOOKUP($A182,'PVC SCH80 LD Flange'!$A$8:$M$16,7,FALSE),
IF($A182&lt;CPVC!$A$105,VLOOKUP($A182,CPVC!$A$9:$M$104,7,FALSE),
IF($A182&lt;InsertFittings!$A$185,VLOOKUP($A182,InsertFittings!$A$9:$M$184,7,FALSE),
IF($A182&lt;Valves!$A$92,VLOOKUP($A182,Valves!$A$9:$Q$91,11,FALSE),
IF($A182&lt;SDR35SW!$A$133,VLOOKUP($A182,SDR35SW!$A$9:$M$132,7,FALSE),
IF($A182&lt;SDR35G!$A$151,VLOOKUP($A182,SDR35G!$A$9:$M$150,7,FALSE),                                                                                                                                                                                                                                                       IF($A182&lt;SDR26G!$A$67,VLOOKUP($A182,SDR26G!$A$9:$N$66,8,FALSE),                                                                                                                                                                                                                                                     IF($A182&lt;Cements!$A$95,VLOOKUP($A182,Cements!$A$8:$Q$94,11,FALSE),
IF($A182&lt;ValveBox!$A$124,VLOOKUP($A182,ValveBox!$A$9:$O$123,10,FALSE),
IF($A182&lt;'ValveBox Components'!$A$142,VLOOKUP($A182,'ValveBox Components'!$A$9:$N$141,9,FALSE),
IF($A182&lt;Drainage!$A$69,VLOOKUP($A182,Drainage!$A$8:$M$68,7,FALSE),                                                                                                                                                                                                                                                          IF($A182&lt;Nipples!$A$82,VLOOKUP($A182,Nipples!$A$9:$Q$81,11,FALSE),
IF($A182&lt;Manifold!$A$33,VLOOKUP($A182,Manifold!$A$9:$M$32,7,FALSE),
IF($A182&lt;FlexibleRepairCouplings!$A$12,VLOOKUP($A182,FlexibleRepairCouplings!$A$9:$M$11,7,FALSE),
IF($A182&lt;DuraFix!$A$15,VLOOKUP($A182,DuraFix!$A$9:$M$14,7,FALSE),                                                                                                                                                                                                                                                           IF($A182&lt;'Compression Fittings'!$A$16,VLOOKUP($A182,'Compression Fittings'!$A$8:$M$15,7,FALSE),
IF($A182&lt;'Hose Fittings'!$A$30,VLOOKUP($A182,'Hose Fittings'!$A$8:$M$29,7,FALSE),
IF($A182&lt;'Swing Joints'!$A$495,VLOOKUP($A182,'Swing Joints'!$A$9:$M$494,7,FALSE),
IF($A182&lt;'Swing Joints Components'!$A$135,VLOOKUP($A182,'Swing Joints Components'!$A$9:$M$134,7,FALSE),
IF($A182&lt;Nonstandard!$A$42,VLOOKUP($A182,Nonstandard!$A$31:$J$41,10,FALSE),"")))))))))))))))))))))))))))),"")</f>
        <v/>
      </c>
      <c r="I182" s="621"/>
      <c r="J182" s="541" t="str">
        <f t="shared" si="5"/>
        <v/>
      </c>
      <c r="K182" s="599" t="str">
        <f>IFERROR(IF($A182&lt;'DWV PVC'!$A$317,VLOOKUP($A182,'DWV PVC'!$A$9:$M$316,10,FALSE),
IF($A182&lt;'DWV ABS'!$A$117,VLOOKUP($A182,'DWV ABS'!$A$8:$M$116,10,FALSE),
IF($A182&lt;'PVC SCH40'!$A$425,VLOOKUP($A182,'PVC SCH40'!$A$8:$M$424,10,FALSE),
IF($A182&lt;'PVC SCH40 LD'!$A$22,VLOOKUP($A182,'PVC SCH40 LD'!$A$8:$M$21,10,FALSE),
IF($A182&lt;'Pool &amp; SPA Sweep Elbows'!$A$12,VLOOKUP($A182,'Pool &amp; SPA Sweep Elbows'!$A$8:$M$11,10,FALSE),
IF($A182&lt;'Pool &amp; SPA Pipe Extender'!$A$11,VLOOKUP($A182,'Pool &amp; SPA Pipe Extender'!$A$8:$M$10,10,FALSE),
IF($A182&lt;'PVC SCH80'!$A$250,VLOOKUP($A182,'PVC SCH80'!$A$8:$M$249,10,FALSE),
IF($A182&lt;'PVC SCH80 Flange'!$A$49,VLOOKUP($A182,'PVC SCH80 Flange'!$A$8:$M$48,10,FALSE),
IF($A182&lt;'PVC SCH80 LD Flange'!$A$17,VLOOKUP($A182,'PVC SCH80 LD Flange'!$A$8:$M$16,10,FALSE),
IF($A182&lt;CPVC!$A$105,VLOOKUP($A182,CPVC!$A$9:$M$104,10,FALSE),
IF($A182&lt;InsertFittings!$A$185,VLOOKUP($A182,InsertFittings!$A$9:$M$184,10,FALSE),
IF($A182&lt;Valves!$A$92,VLOOKUP($A182,Valves!$A$9:$Q$91,14,FALSE),
IF($A182&lt;SDR35SW!$A$133,VLOOKUP($A182,SDR35SW!$A$9:$M$132,10,FALSE),
IF($A182&lt;SDR35G!$A$151,VLOOKUP($A182,SDR35G!$A$9:$M$150,10,FALSE),
IF($A182&lt;SDR26G!$A$67,VLOOKUP($A182,SDR26G!$A$9:$N$66,11,FALSE),
IF($A182&lt;Cements!$A$95,VLOOKUP($A182,Cements!$A$8:$Q$94,14,FALSE),
IF($A182&lt;ValveBox!$A$124,VLOOKUP($A182,ValveBox!$A$9:$O$123,12,FALSE),
IF($A182&lt;'ValveBox Components'!$A$142,VLOOKUP($A182,'ValveBox Components'!$A$9:$N$141,11,FALSE),
IF($A182&lt;Drainage!$A$69,VLOOKUP($A182,Drainage!$A$8:$M$68,10,FALSE),
IF($A182&lt;Nipples!$A$82,VLOOKUP($A182,Nipples!$A$9:$Q$81,14,FALSE),
IF($A182&lt;Manifold!$A$33,VLOOKUP($A182,Manifold!$A$9:$M$32,10,FALSE),
IF($A182&lt;FlexibleRepairCouplings!$A$12,VLOOKUP($A182,FlexibleRepairCouplings!$A$9:$M$11,10,FALSE),
IF($A182&lt;DuraFix!$A$15,VLOOKUP($A182,DuraFix!$A$9:$M$14,10,FALSE),
IF($A182&lt;'Compression Fittings'!$A$16,VLOOKUP($A182,'Compression Fittings'!$A$8:$M$15,10,FALSE),
IF($A182&lt;'Hose Fittings'!$A$30,VLOOKUP($A182,'Hose Fittings'!$A$8:$M$29,10,FALSE),
IF($A182&lt;'Swing Joints'!$A$495,VLOOKUP($A182,'Swing Joints'!$A$9:$M$494,10,FALSE),
IF($A182&lt;'Swing Joints Components'!$A$135,VLOOKUP($A182,'Swing Joints Components'!$A$9:$M$134,10,FALSE),
IF($A182&lt;Nonstandard!$A$42,VLOOKUP($A182,Nonstandard!$A$31:$J$41,10,FALSE),"")))))))))))))))))))))))))))),"")</f>
        <v/>
      </c>
      <c r="L182" s="539" t="str">
        <f t="shared" si="4"/>
        <v>-</v>
      </c>
      <c r="M182" s="542"/>
    </row>
    <row r="183" spans="1:13" ht="15.6">
      <c r="A183" s="312">
        <v>151</v>
      </c>
      <c r="B183" s="312" t="str">
        <f>IFERROR(IF($A183&lt;'DWV PVC'!$A$317,VLOOKUP($A183,'DWV PVC'!$A$9:$M$316,4,FALSE),
IF($A183&lt;'DWV ABS'!$A$117,VLOOKUP($A183,'DWV ABS'!$A$8:$M$116,4,FALSE),
IF($A183&lt;'PVC SCH40'!$A$425,VLOOKUP($A183,'PVC SCH40'!$A$8:$M$424,4,FALSE),
IF($A183&lt;'PVC SCH40 LD'!$A$22,VLOOKUP($A183,'PVC SCH40 LD'!$A$8:$M$21,4,FALSE),
IF($A183&lt;'Pool &amp; SPA Sweep Elbows'!$A$12,VLOOKUP($A183,'Pool &amp; SPA Sweep Elbows'!$A$8:$M$11,4,FALSE),
IF($A183&lt;'Pool &amp; SPA Pipe Extender'!$A$11,VLOOKUP($A183,'Pool &amp; SPA Pipe Extender'!$A$8:$M$10,4,FALSE),
IF($A183&lt;'PVC SCH80'!$A$250,VLOOKUP($A183,'PVC SCH80'!$A$8:$M$249,4,FALSE),
IF($A183&lt;'PVC SCH80 Flange'!$A$49,VLOOKUP($A183,'PVC SCH80 Flange'!$A$8:$M$48,4,FALSE),
IF($A183&lt;'PVC SCH80 LD Flange'!$A$17,VLOOKUP($A183,'PVC SCH80 LD Flange'!$A$8:$M$16,4,FALSE),
IF($A183&lt;CPVC!$A$105,VLOOKUP($A183,CPVC!$A$9:$M$104,4,FALSE),
IF($A183&lt;InsertFittings!$A$185,VLOOKUP($A183,InsertFittings!$A$9:$M$184,4,FALSE),
IF($A183&lt;Valves!$A$92,VLOOKUP($A183,Valves!$A$9:$Q$91,4,FALSE),
IF($A183&lt;SDR35SW!$A$133,VLOOKUP($A183,SDR35SW!$A$9:$M$132,4,FALSE),
IF($A183&lt;SDR35G!$A$151,VLOOKUP($A183,SDR35G!$A$9:$M$150,4,FALSE),
IF($A183&lt;SDR26G!$A$67,VLOOKUP($A183,SDR26G!$A$9:$N$66,5,FALSE),
IF($A183&lt;Cements!$A$95,VLOOKUP($A183,Cements!$A$8:$Q$94,4,FALSE),
IF($A183&lt;ValveBox!$A$124,VLOOKUP($A183,ValveBox!$A$9:$O$123,4,FALSE),
IF($A183&lt;'ValveBox Components'!$A$142,VLOOKUP($A183,'ValveBox Components'!$A$9:$N$141,4,FALSE),
IF($A183&lt;Drainage!$A$69,VLOOKUP($A183,Drainage!$A$8:$M$68,4,FALSE),
IF($A183&lt;Nipples!$A$82,VLOOKUP($A183,Nipples!$A$9:$Q$81,4,FALSE),
IF($A183&lt;Manifold!$A$33,VLOOKUP($A183,Manifold!$A$9:$M$32,4,FALSE),
IF($A183&lt;FlexibleRepairCouplings!$A$12,VLOOKUP($A183,FlexibleRepairCouplings!$A$9:$M$11,4,FALSE),
IF($A183&lt;DuraFix!$A$15,VLOOKUP($A183,DuraFix!$A$9:$M$14,4,FALSE),
IF($A183&lt;'Compression Fittings'!$A$16,VLOOKUP($A183,'Compression Fittings'!$A$8:$M$15,4,FALSE),
IF($A183&lt;'Hose Fittings'!$A$30,VLOOKUP($A183,'Hose Fittings'!$A$8:$M$29,4,FALSE),
IF($A183&lt;'Swing Joints'!$A$495,VLOOKUP($A183,'Swing Joints'!$A$9:$M$494,4,FALSE),
IF($A183&lt;'Swing Joints Components'!$A$135,VLOOKUP($A183,'Swing Joints Components'!$A$9:$M$134,4,FALSE),
IF($A183&lt;Nonstandard!$A$42,VLOOKUP($A183,Nonstandard!$A$31:$J$41,5,FALSE),"")))))))))))))))))))))))))))),"")</f>
        <v/>
      </c>
      <c r="C183" s="312" t="str">
        <f>IFERROR(IF($A183&lt;'DWV PVC'!$A$317,VLOOKUP($A183,'DWV PVC'!$A$9:$M$316,5,FALSE),
IF($A183&lt;'DWV ABS'!$A$117,VLOOKUP($A183,'DWV ABS'!$A$8:$M$116,5,FALSE),
IF($A183&lt;'PVC SCH40'!$A$425,VLOOKUP($A183,'PVC SCH40'!$A$8:$M$424,5,FALSE),
IF($A183&lt;'PVC SCH40 LD'!$A$22,VLOOKUP($A183,'PVC SCH40 LD'!$A$8:$M$21,5,FALSE),
IF($A183&lt;'Pool &amp; SPA Sweep Elbows'!$A$12,VLOOKUP($A183,'Pool &amp; SPA Sweep Elbows'!$A$8:$M$11,5,FALSE),
IF($A183&lt;'Pool &amp; SPA Pipe Extender'!$A$11,VLOOKUP($A183,'Pool &amp; SPA Pipe Extender'!$A$8:$M$10,5,FALSE),
IF($A183&lt;'PVC SCH80'!$A$250,VLOOKUP($A183,'PVC SCH80'!$A$8:$M$249,5,FALSE),
IF($A183&lt;'PVC SCH80 Flange'!$A$49,VLOOKUP($A183,'PVC SCH80 Flange'!$A$8:$M$48,5,FALSE),
IF($A183&lt;'PVC SCH80 LD Flange'!$A$17,VLOOKUP($A183,'PVC SCH80 LD Flange'!$A$8:$M$16,5,FALSE),
IF($A183&lt;CPVC!$A$105,VLOOKUP($A183,CPVC!$A$9:$M$104,5,FALSE),
IF($A183&lt;InsertFittings!$A$185,VLOOKUP($A183,InsertFittings!$A$9:$M$184,5,FALSE),
IF($A183&lt;Valves!$A$92,VLOOKUP($A183,Valves!$A$9:$Q$91,5,FALSE),
IF($A183&lt;SDR35SW!$A$133,VLOOKUP($A183,SDR35SW!$A$9:$M$132,5,FALSE),
IF($A183&lt;SDR35G!$A$151,VLOOKUP($A183,SDR35G!$A$9:$M$150,5,FALSE),
IF($A183&lt;SDR26G!$A$67,VLOOKUP($A183,SDR26G!$A$9:$N$66,6,FALSE),
IF($A183&lt;Cements!$A$95,VLOOKUP($A183,Cements!$A$8:$Q$94,5,FALSE),
IF($A183&lt;ValveBox!$A$124,VLOOKUP($A183,ValveBox!$A$9:$O$123,5,FALSE),
IF($A183&lt;'ValveBox Components'!$A$142,VLOOKUP($A183,'ValveBox Components'!$A$9:$N$141,5,FALSE),
IF($A183&lt;Drainage!$A$69,VLOOKUP($A183,Drainage!$A$8:$M$68,5,FALSE),
IF($A183&lt;Nipples!$A$82,VLOOKUP($A183,Nipples!$A$9:$Q$81,5,FALSE),
IF($A183&lt;Manifold!$A$33,VLOOKUP($A183,Manifold!$A$9:$M$32,5,FALSE),
IF($A183&lt;FlexibleRepairCouplings!$A$12,VLOOKUP($A183,FlexibleRepairCouplings!$A$9:$M$11,5,FALSE),
IF($A183&lt;DuraFix!$A$15,VLOOKUP($A183,DuraFix!$A$9:$M$14,5,FALSE),
IF($A183&lt;'Compression Fittings'!$A$16,VLOOKUP($A183,'Compression Fittings'!$A$8:$M$15,5,FALSE),
IF($A183&lt;'Hose Fittings'!$A$30,VLOOKUP($A183,'Hose Fittings'!$A$8:$M$29,5,FALSE),
IF($A183&lt;'Swing Joints'!$A$495,VLOOKUP($A183,'Swing Joints'!$A$9:$M$494,5,FALSE),
IF($A183&lt;'Swing Joints Components'!$A$135,VLOOKUP($A183,'Swing Joints Components'!$A$9:$M$134,5,FALSE),
IF($A183&lt;Nonstandard!$A$42,VLOOKUP($A183,Nonstandard!$A$31:$J$41,6,FALSE),"")))))))))))))))))))))))))))),"")</f>
        <v/>
      </c>
      <c r="D183" s="534" t="str">
        <f>IFERROR(IF($A183&lt;'DWV PVC'!$A$317,VLOOKUP($A183,'DWV PVC'!$A$9:$M$316,6,FALSE),
IF($A183&lt;'DWV ABS'!$A$117,VLOOKUP($A183,'DWV ABS'!$A$8:$M$116,6,FALSE),
IF($A183&lt;'PVC SCH40'!$A$425,VLOOKUP($A183,'PVC SCH40'!$A$8:$M$424,6,FALSE),
IF($A183&lt;'PVC SCH40 LD'!$A$22,VLOOKUP($A183,'PVC SCH40 LD'!$A$8:$M$21,6,FALSE),
IF($A183&lt;'Pool &amp; SPA Sweep Elbows'!$A$12,VLOOKUP($A183,'Pool &amp; SPA Sweep Elbows'!$A$8:$M$11,6,FALSE),
IF($A183&lt;'Pool &amp; SPA Pipe Extender'!$A$11,VLOOKUP($A183,'Pool &amp; SPA Pipe Extender'!$A$8:$M$10,6,FALSE),
IF($A183&lt;'PVC SCH80'!$A$250,VLOOKUP($A183,'PVC SCH80'!$A$8:$M$249,6,FALSE),
IF($A183&lt;'PVC SCH80 Flange'!$A$49,VLOOKUP($A183,'PVC SCH80 Flange'!$A$8:$M$48,6,FALSE),
IF($A183&lt;'PVC SCH80 LD Flange'!$A$17,VLOOKUP($A183,'PVC SCH80 LD Flange'!$A$8:$M$16,6,FALSE),
IF($A183&lt;CPVC!$A$105,VLOOKUP($A183,CPVC!$A$9:$M$104,6,FALSE),
IF($A183&lt;InsertFittings!$A$185,VLOOKUP($A183,InsertFittings!$A$9:$M$184,6,FALSE),
IF($A183&lt;Valves!$A$92,VLOOKUP($A183,Valves!$A$9:$Q$91,6,FALSE),
IF($A183&lt;SDR35SW!$A$133,VLOOKUP($A183,SDR35SW!$A$9:$M$132,6,FALSE),
IF($A183&lt;SDR35G!$A$151,VLOOKUP($A183,SDR35G!$A$9:$M$150,6,FALSE),
IF($A183&lt;SDR26G!$A$67,VLOOKUP($A183,SDR26G!$A$9:$N$66,7,FALSE),
IF($A183&lt;Cements!$A$95,VLOOKUP($A183,Cements!$A$8:$Q$94,6,FALSE),
IF($A183&lt;ValveBox!$A$124,VLOOKUP($A183,ValveBox!$A$9:$O$123,6,FALSE),
IF($A183&lt;'ValveBox Components'!$A$142,VLOOKUP($A183,'ValveBox Components'!$A$9:$N$141,6,FALSE),
IF($A183&lt;Drainage!$A$69,VLOOKUP($A183,Drainage!$A$8:$M$68,6,FALSE),
IF($A183&lt;Nipples!$A$82,VLOOKUP($A183,Nipples!$A$9:$Q$81,6,FALSE),
IF($A183&lt;Manifold!$A$33,VLOOKUP($A183,Manifold!$A$9:$M$32,6,FALSE),
IF($A183&lt;FlexibleRepairCouplings!$A$12,VLOOKUP($A183,FlexibleRepairCouplings!$A$9:$M$11,6,FALSE),
IF($A183&lt;DuraFix!$A$15,VLOOKUP($A183,DuraFix!$A$9:$M$14,6,FALSE),
IF($A183&lt;'Compression Fittings'!$A$16,VLOOKUP($A183,'Compression Fittings'!$A$8:$M$15,6,FALSE),
IF($A183&lt;'Hose Fittings'!$A$30,VLOOKUP($A183,'Hose Fittings'!$A$8:$M$29,6,FALSE),
IF($A183&lt;'Swing Joints'!$A$495,VLOOKUP($A183,'Swing Joints'!$A$9:$M$494,6,FALSE),
IF($A183&lt;'Swing Joints Components'!$A$135,VLOOKUP($A183,'Swing Joints Components'!$A$9:$M$134,6,FALSE),
IF($A183&lt;Nonstandard!$A$42,VLOOKUP($A183,Nonstandard!$A$31:$J$41,7,FALSE),"")))))))))))))))))))))))))))),"")</f>
        <v/>
      </c>
      <c r="E183" s="316"/>
      <c r="F183" s="314" t="str">
        <f>IFERROR(IF($A183&lt;'DWV PVC'!$A$317,VLOOKUP($A183,'DWV PVC'!$A$9:$M$316,9,FALSE),
IF($A183&lt;'DWV ABS'!$A$117,VLOOKUP($A183,'DWV ABS'!$A$8:$M$116,9,FALSE),                                                                                                                                                                                                                                                     IF($A183&lt;'PVC SCH40'!$A$425,VLOOKUP($A183,'PVC SCH40'!$A$8:$M$424,9,FALSE),
IF($A183&lt;'PVC SCH40 LD'!$A$22,VLOOKUP($A183,'PVC SCH40 LD'!$A$8:$M$21,9,FALSE),
IF($A183&lt;'Pool &amp; SPA Sweep Elbows'!$A$12,VLOOKUP($A183,'Pool &amp; SPA Sweep Elbows'!$A$8:$M$11,9,FALSE),
IF($A183&lt;'Pool &amp; SPA Pipe Extender'!$A$11,VLOOKUP($A183,'Pool &amp; SPA Pipe Extender'!$A$8:$M$10,9,FALSE),
IF($A183&lt;'PVC SCH80'!$A$250,VLOOKUP($A183,'PVC SCH80'!$A$8:$M$249,9,FALSE),
IF($A183&lt;'PVC SCH80 Flange'!$A$49,VLOOKUP($A183,'PVC SCH80 Flange'!$A$8:$M$48,9,FALSE),
IF($A183&lt;'PVC SCH80 LD Flange'!$A$17,VLOOKUP($A183,'PVC SCH80 LD Flange'!$A$8:$M$16,9,FALSE),
IF($A183&lt;CPVC!$A$105,VLOOKUP($A183,CPVC!$A$9:$M$104,9,FALSE),
IF($A183&lt;InsertFittings!$A$185,VLOOKUP($A183,InsertFittings!$A$9:$M$184,9,FALSE),
IF($A183&lt;Valves!$A$92,VLOOKUP($A183,Valves!$A$9:$Q$91,13,FALSE),
IF($A183&lt;SDR35SW!$A$133,VLOOKUP($A183,SDR35SW!$A$9:$M$132,9,FALSE),
IF($A183&lt;SDR35G!$A$151,VLOOKUP($A183,SDR35G!$A$9:$M$150,9,FALSE),                                                                                                                                                                                                                                                          IF($A183&lt;SDR26G!$A$67,VLOOKUP($A183,SDR26G!$A$9:$N$66,10,FALSE),                                                                                                                                                                                                                                                       IF($A183&lt;Cements!$A$95,VLOOKUP($A183,Cements!$A$8:$Q$94,13,FALSE),
IF($A183&lt;ValveBox!$A$124,VLOOKUP($A183,ValveBox!$A$9:$O$123,11,FALSE),
IF($A183&lt;'ValveBox Components'!$A$142,VLOOKUP($A183,'ValveBox Components'!$A$9:$N$141,10,FALSE),
IF($A183&lt;Drainage!$A$69,VLOOKUP($A183,Drainage!$A$8:$M$68,9,FALSE),                                                                                                                                                                                                                                                              IF($A183&lt;Nipples!$A$82,VLOOKUP($A183,Nipples!$A$9:$Q$81,13,FALSE),
IF($A183&lt;Manifold!$A$33,VLOOKUP($A183,Manifold!$A$9:$M$32,9,FALSE),
IF($A183&lt;FlexibleRepairCouplings!$A$12,VLOOKUP($A183,FlexibleRepairCouplings!$A$9:$M$11,9,FALSE),
IF($A183&lt;DuraFix!$A$15,VLOOKUP($A183,DuraFix!$A$9:$M$14,9,FALSE),                                                                                                                                                                                                                                                          IF($A183&lt;'Compression Fittings'!$A$16,VLOOKUP($A183,'Compression Fittings'!$A$8:$M$15,9,FALSE),
IF($A183&lt;'Hose Fittings'!$A$30,VLOOKUP($A183,'Hose Fittings'!$A$8:$M$29,9,FALSE),
IF($A183&lt;'Swing Joints'!$A$495,VLOOKUP($A183,'Swing Joints'!$A$9:$M$494,9,FALSE),
IF($A183&lt;'Swing Joints Components'!$A$135,VLOOKUP($A183,'Swing Joints Components'!$A$9:$M$134,9,FALSE),
IF($A183&lt;Nonstandard!$A$42,VLOOKUP($A183,Nonstandard!$A$31:$J$41,8,FALSE),"")))))))))))))))))))))))))))),"")</f>
        <v/>
      </c>
      <c r="G183" s="533" t="str">
        <f>IFERROR(IF($A183&lt;'DWV PVC'!$A$317,VLOOKUP($A183,'DWV PVC'!$A$9:$M$316,11,FALSE),
IF($A183&lt;'DWV ABS'!$A$117,VLOOKUP($A183,'DWV ABS'!$A$8:$M$116,11,FALSE),                                                                                                                                                                                                                                                     IF($A183&lt;'PVC SCH40'!$A$425,VLOOKUP($A183,'PVC SCH40'!$A$8:$M$424,11,FALSE),
IF($A183&lt;'PVC SCH40 LD'!$A$22,VLOOKUP($A183,'PVC SCH40 LD'!$A$8:$M$21,11,FALSE),
IF($A183&lt;'Pool &amp; SPA Sweep Elbows'!$A$12,VLOOKUP($A183,'Pool &amp; SPA Sweep Elbows'!$A$8:$M$11,11,FALSE),
IF($A183&lt;'Pool &amp; SPA Pipe Extender'!$A$11,VLOOKUP($A183,'Pool &amp; SPA Pipe Extender'!$A$8:$M$10,11,FALSE),
IF($A183&lt;'PVC SCH80'!$A$250,VLOOKUP($A183,'PVC SCH80'!$A$8:$M$249,11,FALSE),
IF($A183&lt;'PVC SCH80 Flange'!$A$49,VLOOKUP($A183,'PVC SCH80 Flange'!$A$8:$M$48,11,FALSE),
IF($A183&lt;'PVC SCH80 LD Flange'!$A$17,VLOOKUP($A183,'PVC SCH80 LD Flange'!$A$8:$M$16,11,FALSE),
IF($A183&lt;CPVC!$A$105,VLOOKUP($A183,CPVC!$A$9:$M$104,11,FALSE),
IF($A183&lt;InsertFittings!$A$185,VLOOKUP($A183,InsertFittings!$A$9:$M$184,11,FALSE),
IF($A183&lt;Valves!$A$92,VLOOKUP($A183,Valves!$A$9:$Q$91,15,FALSE),
IF($A183&lt;SDR35SW!$A$133,VLOOKUP($A183,SDR35SW!$A$9:$M$132,11,FALSE),
IF($A183&lt;SDR35G!$A$151,VLOOKUP($A183,SDR35G!$A$9:$M$150,11,FALSE),                                                                                                                                                                                                                                                          IF($A183&lt;SDR26G!$A$67,VLOOKUP($A183,SDR26G!$A$9:$N$66,12,FALSE),                                                                                                                                                                                                                                                       IF($A183&lt;Cements!$A$95,VLOOKUP($A183,Cements!$A$8:$Q$94,15,FALSE),
IF($A183&lt;ValveBox!$A$124,VLOOKUP($A183,ValveBox!$A$9:$O$123,13,FALSE),
IF($A183&lt;'ValveBox Components'!$A$142,VLOOKUP($A183,'ValveBox Components'!$A$9:$N$141,12,FALSE),
IF($A183&lt;Drainage!$A$69,VLOOKUP($A183,Drainage!$A$8:$M$68,11,FALSE),                                                                                                                                                                                                                                                           IF($A183&lt;Nipples!$A$82,VLOOKUP($A183,Nipples!$A$9:$Q$81,15,FALSE),
IF($A183&lt;Manifold!$A$33,VLOOKUP($A183,Manifold!$A$9:$M$32,11,FALSE),
IF($A183&lt;FlexibleRepairCouplings!$A$12,VLOOKUP($A183,FlexibleRepairCouplings!$A$9:$M$11,11,FALSE),
IF($A183&lt;DuraFix!$A$15,VLOOKUP($A183,DuraFix!$A$9:$M$14,11,FALSE),                                                                                                                                                                                                                                                            IF($A183&lt;'Compression Fittings'!$A$16,VLOOKUP($A183,'Compression Fittings'!$A$8:$M$15,11,FALSE),
IF($A183&lt;'Hose Fittings'!$A$30,VLOOKUP($A183,'Hose Fittings'!$A$8:$M$29,11,FALSE),
IF($A183&lt;'Swing Joints'!$A$495,VLOOKUP($A183,'Swing Joints'!$A$9:$M$494,11,FALSE),
IF($A183&lt;'Swing Joints Components'!$A$135,VLOOKUP($A183,'Swing Joints Components'!$A$9:$M$134,11,FALSE),
IF($A183&lt;Nonstandard!$A$42,VLOOKUP($A183,Nonstandard!$A$31:$J$41,10,FALSE),"")))))))))))))))))))))))))))),"")</f>
        <v/>
      </c>
      <c r="H183" s="618" t="str">
        <f>IFERROR(IF($A183&lt;'DWV PVC'!$A$317,VLOOKUP($A183,'DWV PVC'!$A$9:$M$316,7,FALSE),
IF($A183&lt;'DWV ABS'!$A$117,VLOOKUP($A183,'DWV ABS'!$A$8:$M$116,11,FALSE),                                                                                                                                                                                                                                                     IF($A183&lt;'PVC SCH40'!$A$425,VLOOKUP($A183,'PVC SCH40'!$A$8:$M$424,7,FALSE),
IF($A183&lt;'PVC SCH40 LD'!$A$22,VLOOKUP($A183,'PVC SCH40 LD'!$A$8:$M$21,7,FALSE),
IF($A183&lt;'Pool &amp; SPA Sweep Elbows'!$A$12,VLOOKUP($A183,'Pool &amp; SPA Sweep Elbows'!$A$8:$M$11,7,FALSE),
IF($A183&lt;'Pool &amp; SPA Pipe Extender'!$A$11,VLOOKUP($A183,'Pool &amp; SPA Pipe Extender'!$A$8:$M$10,7,FALSE),
IF($A183&lt;'PVC SCH80'!$A$250,VLOOKUP($A183,'PVC SCH80'!$A$8:$M$249,7,FALSE),
IF($A183&lt;'PVC SCH80 Flange'!$A$49,VLOOKUP($A183,'PVC SCH80 Flange'!$A$8:$M$48,7,FALSE),
IF($A183&lt;'PVC SCH80 LD Flange'!$A$17,VLOOKUP($A183,'PVC SCH80 LD Flange'!$A$8:$M$16,7,FALSE),
IF($A183&lt;CPVC!$A$105,VLOOKUP($A183,CPVC!$A$9:$M$104,7,FALSE),
IF($A183&lt;InsertFittings!$A$185,VLOOKUP($A183,InsertFittings!$A$9:$M$184,7,FALSE),
IF($A183&lt;Valves!$A$92,VLOOKUP($A183,Valves!$A$9:$Q$91,11,FALSE),
IF($A183&lt;SDR35SW!$A$133,VLOOKUP($A183,SDR35SW!$A$9:$M$132,7,FALSE),
IF($A183&lt;SDR35G!$A$151,VLOOKUP($A183,SDR35G!$A$9:$M$150,7,FALSE),                                                                                                                                                                                                                                                       IF($A183&lt;SDR26G!$A$67,VLOOKUP($A183,SDR26G!$A$9:$N$66,8,FALSE),                                                                                                                                                                                                                                                     IF($A183&lt;Cements!$A$95,VLOOKUP($A183,Cements!$A$8:$Q$94,11,FALSE),
IF($A183&lt;ValveBox!$A$124,VLOOKUP($A183,ValveBox!$A$9:$O$123,10,FALSE),
IF($A183&lt;'ValveBox Components'!$A$142,VLOOKUP($A183,'ValveBox Components'!$A$9:$N$141,9,FALSE),
IF($A183&lt;Drainage!$A$69,VLOOKUP($A183,Drainage!$A$8:$M$68,7,FALSE),                                                                                                                                                                                                                                                          IF($A183&lt;Nipples!$A$82,VLOOKUP($A183,Nipples!$A$9:$Q$81,11,FALSE),
IF($A183&lt;Manifold!$A$33,VLOOKUP($A183,Manifold!$A$9:$M$32,7,FALSE),
IF($A183&lt;FlexibleRepairCouplings!$A$12,VLOOKUP($A183,FlexibleRepairCouplings!$A$9:$M$11,7,FALSE),
IF($A183&lt;DuraFix!$A$15,VLOOKUP($A183,DuraFix!$A$9:$M$14,7,FALSE),                                                                                                                                                                                                                                                           IF($A183&lt;'Compression Fittings'!$A$16,VLOOKUP($A183,'Compression Fittings'!$A$8:$M$15,7,FALSE),
IF($A183&lt;'Hose Fittings'!$A$30,VLOOKUP($A183,'Hose Fittings'!$A$8:$M$29,7,FALSE),
IF($A183&lt;'Swing Joints'!$A$495,VLOOKUP($A183,'Swing Joints'!$A$9:$M$494,7,FALSE),
IF($A183&lt;'Swing Joints Components'!$A$135,VLOOKUP($A183,'Swing Joints Components'!$A$9:$M$134,7,FALSE),
IF($A183&lt;Nonstandard!$A$42,VLOOKUP($A183,Nonstandard!$A$31:$J$41,10,FALSE),"")))))))))))))))))))))))))))),"")</f>
        <v/>
      </c>
      <c r="I183" s="619"/>
      <c r="J183" s="281" t="str">
        <f t="shared" si="5"/>
        <v/>
      </c>
      <c r="K183" s="313" t="str">
        <f>IFERROR(IF($A183&lt;'DWV PVC'!$A$317,VLOOKUP($A183,'DWV PVC'!$A$9:$M$316,10,FALSE),
IF($A183&lt;'DWV ABS'!$A$117,VLOOKUP($A183,'DWV ABS'!$A$8:$M$116,10,FALSE),
IF($A183&lt;'PVC SCH40'!$A$425,VLOOKUP($A183,'PVC SCH40'!$A$8:$M$424,10,FALSE),
IF($A183&lt;'PVC SCH40 LD'!$A$22,VLOOKUP($A183,'PVC SCH40 LD'!$A$8:$M$21,10,FALSE),
IF($A183&lt;'Pool &amp; SPA Sweep Elbows'!$A$12,VLOOKUP($A183,'Pool &amp; SPA Sweep Elbows'!$A$8:$M$11,10,FALSE),
IF($A183&lt;'Pool &amp; SPA Pipe Extender'!$A$11,VLOOKUP($A183,'Pool &amp; SPA Pipe Extender'!$A$8:$M$10,10,FALSE),
IF($A183&lt;'PVC SCH80'!$A$250,VLOOKUP($A183,'PVC SCH80'!$A$8:$M$249,10,FALSE),
IF($A183&lt;'PVC SCH80 Flange'!$A$49,VLOOKUP($A183,'PVC SCH80 Flange'!$A$8:$M$48,10,FALSE),
IF($A183&lt;'PVC SCH80 LD Flange'!$A$17,VLOOKUP($A183,'PVC SCH80 LD Flange'!$A$8:$M$16,10,FALSE),
IF($A183&lt;CPVC!$A$105,VLOOKUP($A183,CPVC!$A$9:$M$104,10,FALSE),
IF($A183&lt;InsertFittings!$A$185,VLOOKUP($A183,InsertFittings!$A$9:$M$184,10,FALSE),
IF($A183&lt;Valves!$A$92,VLOOKUP($A183,Valves!$A$9:$Q$91,14,FALSE),
IF($A183&lt;SDR35SW!$A$133,VLOOKUP($A183,SDR35SW!$A$9:$M$132,10,FALSE),
IF($A183&lt;SDR35G!$A$151,VLOOKUP($A183,SDR35G!$A$9:$M$150,10,FALSE),
IF($A183&lt;SDR26G!$A$67,VLOOKUP($A183,SDR26G!$A$9:$N$66,11,FALSE),
IF($A183&lt;Cements!$A$95,VLOOKUP($A183,Cements!$A$8:$Q$94,14,FALSE),
IF($A183&lt;ValveBox!$A$124,VLOOKUP($A183,ValveBox!$A$9:$O$123,12,FALSE),
IF($A183&lt;'ValveBox Components'!$A$142,VLOOKUP($A183,'ValveBox Components'!$A$9:$N$141,11,FALSE),
IF($A183&lt;Drainage!$A$69,VLOOKUP($A183,Drainage!$A$8:$M$68,10,FALSE),
IF($A183&lt;Nipples!$A$82,VLOOKUP($A183,Nipples!$A$9:$Q$81,14,FALSE),
IF($A183&lt;Manifold!$A$33,VLOOKUP($A183,Manifold!$A$9:$M$32,10,FALSE),
IF($A183&lt;FlexibleRepairCouplings!$A$12,VLOOKUP($A183,FlexibleRepairCouplings!$A$9:$M$11,10,FALSE),
IF($A183&lt;DuraFix!$A$15,VLOOKUP($A183,DuraFix!$A$9:$M$14,10,FALSE),
IF($A183&lt;'Compression Fittings'!$A$16,VLOOKUP($A183,'Compression Fittings'!$A$8:$M$15,10,FALSE),
IF($A183&lt;'Hose Fittings'!$A$30,VLOOKUP($A183,'Hose Fittings'!$A$8:$M$29,10,FALSE),
IF($A183&lt;'Swing Joints'!$A$495,VLOOKUP($A183,'Swing Joints'!$A$9:$M$494,10,FALSE),
IF($A183&lt;'Swing Joints Components'!$A$135,VLOOKUP($A183,'Swing Joints Components'!$A$9:$M$134,10,FALSE),
IF($A183&lt;Nonstandard!$A$42,VLOOKUP($A183,Nonstandard!$A$31:$J$41,10,FALSE),"")))))))))))))))))))))))))))),"")</f>
        <v/>
      </c>
      <c r="L183" s="314" t="str">
        <f t="shared" si="4"/>
        <v>-</v>
      </c>
      <c r="M183" s="315"/>
    </row>
    <row r="184" spans="1:13" ht="15.6">
      <c r="A184" s="536">
        <v>152</v>
      </c>
      <c r="B184" s="536" t="str">
        <f>IFERROR(IF($A184&lt;'DWV PVC'!$A$317,VLOOKUP($A184,'DWV PVC'!$A$9:$M$316,4,FALSE),
IF($A184&lt;'DWV ABS'!$A$117,VLOOKUP($A184,'DWV ABS'!$A$8:$M$116,4,FALSE),
IF($A184&lt;'PVC SCH40'!$A$425,VLOOKUP($A184,'PVC SCH40'!$A$8:$M$424,4,FALSE),
IF($A184&lt;'PVC SCH40 LD'!$A$22,VLOOKUP($A184,'PVC SCH40 LD'!$A$8:$M$21,4,FALSE),
IF($A184&lt;'Pool &amp; SPA Sweep Elbows'!$A$12,VLOOKUP($A184,'Pool &amp; SPA Sweep Elbows'!$A$8:$M$11,4,FALSE),
IF($A184&lt;'Pool &amp; SPA Pipe Extender'!$A$11,VLOOKUP($A184,'Pool &amp; SPA Pipe Extender'!$A$8:$M$10,4,FALSE),
IF($A184&lt;'PVC SCH80'!$A$250,VLOOKUP($A184,'PVC SCH80'!$A$8:$M$249,4,FALSE),
IF($A184&lt;'PVC SCH80 Flange'!$A$49,VLOOKUP($A184,'PVC SCH80 Flange'!$A$8:$M$48,4,FALSE),
IF($A184&lt;'PVC SCH80 LD Flange'!$A$17,VLOOKUP($A184,'PVC SCH80 LD Flange'!$A$8:$M$16,4,FALSE),
IF($A184&lt;CPVC!$A$105,VLOOKUP($A184,CPVC!$A$9:$M$104,4,FALSE),
IF($A184&lt;InsertFittings!$A$185,VLOOKUP($A184,InsertFittings!$A$9:$M$184,4,FALSE),
IF($A184&lt;Valves!$A$92,VLOOKUP($A184,Valves!$A$9:$Q$91,4,FALSE),
IF($A184&lt;SDR35SW!$A$133,VLOOKUP($A184,SDR35SW!$A$9:$M$132,4,FALSE),
IF($A184&lt;SDR35G!$A$151,VLOOKUP($A184,SDR35G!$A$9:$M$150,4,FALSE),
IF($A184&lt;SDR26G!$A$67,VLOOKUP($A184,SDR26G!$A$9:$N$66,5,FALSE),
IF($A184&lt;Cements!$A$95,VLOOKUP($A184,Cements!$A$8:$Q$94,4,FALSE),
IF($A184&lt;ValveBox!$A$124,VLOOKUP($A184,ValveBox!$A$9:$O$123,4,FALSE),
IF($A184&lt;'ValveBox Components'!$A$142,VLOOKUP($A184,'ValveBox Components'!$A$9:$N$141,4,FALSE),
IF($A184&lt;Drainage!$A$69,VLOOKUP($A184,Drainage!$A$8:$M$68,4,FALSE),
IF($A184&lt;Nipples!$A$82,VLOOKUP($A184,Nipples!$A$9:$Q$81,4,FALSE),
IF($A184&lt;Manifold!$A$33,VLOOKUP($A184,Manifold!$A$9:$M$32,4,FALSE),
IF($A184&lt;FlexibleRepairCouplings!$A$12,VLOOKUP($A184,FlexibleRepairCouplings!$A$9:$M$11,4,FALSE),
IF($A184&lt;DuraFix!$A$15,VLOOKUP($A184,DuraFix!$A$9:$M$14,4,FALSE),
IF($A184&lt;'Compression Fittings'!$A$16,VLOOKUP($A184,'Compression Fittings'!$A$8:$M$15,4,FALSE),
IF($A184&lt;'Hose Fittings'!$A$30,VLOOKUP($A184,'Hose Fittings'!$A$8:$M$29,4,FALSE),
IF($A184&lt;'Swing Joints'!$A$495,VLOOKUP($A184,'Swing Joints'!$A$9:$M$494,4,FALSE),
IF($A184&lt;'Swing Joints Components'!$A$135,VLOOKUP($A184,'Swing Joints Components'!$A$9:$M$134,4,FALSE),
IF($A184&lt;Nonstandard!$A$42,VLOOKUP($A184,Nonstandard!$A$31:$J$41,5,FALSE),"")))))))))))))))))))))))))))),"")</f>
        <v/>
      </c>
      <c r="C184" s="536" t="str">
        <f>IFERROR(IF($A184&lt;'DWV PVC'!$A$317,VLOOKUP($A184,'DWV PVC'!$A$9:$M$316,5,FALSE),
IF($A184&lt;'DWV ABS'!$A$117,VLOOKUP($A184,'DWV ABS'!$A$8:$M$116,5,FALSE),
IF($A184&lt;'PVC SCH40'!$A$425,VLOOKUP($A184,'PVC SCH40'!$A$8:$M$424,5,FALSE),
IF($A184&lt;'PVC SCH40 LD'!$A$22,VLOOKUP($A184,'PVC SCH40 LD'!$A$8:$M$21,5,FALSE),
IF($A184&lt;'Pool &amp; SPA Sweep Elbows'!$A$12,VLOOKUP($A184,'Pool &amp; SPA Sweep Elbows'!$A$8:$M$11,5,FALSE),
IF($A184&lt;'Pool &amp; SPA Pipe Extender'!$A$11,VLOOKUP($A184,'Pool &amp; SPA Pipe Extender'!$A$8:$M$10,5,FALSE),
IF($A184&lt;'PVC SCH80'!$A$250,VLOOKUP($A184,'PVC SCH80'!$A$8:$M$249,5,FALSE),
IF($A184&lt;'PVC SCH80 Flange'!$A$49,VLOOKUP($A184,'PVC SCH80 Flange'!$A$8:$M$48,5,FALSE),
IF($A184&lt;'PVC SCH80 LD Flange'!$A$17,VLOOKUP($A184,'PVC SCH80 LD Flange'!$A$8:$M$16,5,FALSE),
IF($A184&lt;CPVC!$A$105,VLOOKUP($A184,CPVC!$A$9:$M$104,5,FALSE),
IF($A184&lt;InsertFittings!$A$185,VLOOKUP($A184,InsertFittings!$A$9:$M$184,5,FALSE),
IF($A184&lt;Valves!$A$92,VLOOKUP($A184,Valves!$A$9:$Q$91,5,FALSE),
IF($A184&lt;SDR35SW!$A$133,VLOOKUP($A184,SDR35SW!$A$9:$M$132,5,FALSE),
IF($A184&lt;SDR35G!$A$151,VLOOKUP($A184,SDR35G!$A$9:$M$150,5,FALSE),
IF($A184&lt;SDR26G!$A$67,VLOOKUP($A184,SDR26G!$A$9:$N$66,6,FALSE),
IF($A184&lt;Cements!$A$95,VLOOKUP($A184,Cements!$A$8:$Q$94,5,FALSE),
IF($A184&lt;ValveBox!$A$124,VLOOKUP($A184,ValveBox!$A$9:$O$123,5,FALSE),
IF($A184&lt;'ValveBox Components'!$A$142,VLOOKUP($A184,'ValveBox Components'!$A$9:$N$141,5,FALSE),
IF($A184&lt;Drainage!$A$69,VLOOKUP($A184,Drainage!$A$8:$M$68,5,FALSE),
IF($A184&lt;Nipples!$A$82,VLOOKUP($A184,Nipples!$A$9:$Q$81,5,FALSE),
IF($A184&lt;Manifold!$A$33,VLOOKUP($A184,Manifold!$A$9:$M$32,5,FALSE),
IF($A184&lt;FlexibleRepairCouplings!$A$12,VLOOKUP($A184,FlexibleRepairCouplings!$A$9:$M$11,5,FALSE),
IF($A184&lt;DuraFix!$A$15,VLOOKUP($A184,DuraFix!$A$9:$M$14,5,FALSE),
IF($A184&lt;'Compression Fittings'!$A$16,VLOOKUP($A184,'Compression Fittings'!$A$8:$M$15,5,FALSE),
IF($A184&lt;'Hose Fittings'!$A$30,VLOOKUP($A184,'Hose Fittings'!$A$8:$M$29,5,FALSE),
IF($A184&lt;'Swing Joints'!$A$495,VLOOKUP($A184,'Swing Joints'!$A$9:$M$494,5,FALSE),
IF($A184&lt;'Swing Joints Components'!$A$135,VLOOKUP($A184,'Swing Joints Components'!$A$9:$M$134,5,FALSE),
IF($A184&lt;Nonstandard!$A$42,VLOOKUP($A184,Nonstandard!$A$31:$J$41,6,FALSE),"")))))))))))))))))))))))))))),"")</f>
        <v/>
      </c>
      <c r="D184" s="537" t="str">
        <f>IFERROR(IF($A184&lt;'DWV PVC'!$A$317,VLOOKUP($A184,'DWV PVC'!$A$9:$M$316,6,FALSE),
IF($A184&lt;'DWV ABS'!$A$117,VLOOKUP($A184,'DWV ABS'!$A$8:$M$116,6,FALSE),
IF($A184&lt;'PVC SCH40'!$A$425,VLOOKUP($A184,'PVC SCH40'!$A$8:$M$424,6,FALSE),
IF($A184&lt;'PVC SCH40 LD'!$A$22,VLOOKUP($A184,'PVC SCH40 LD'!$A$8:$M$21,6,FALSE),
IF($A184&lt;'Pool &amp; SPA Sweep Elbows'!$A$12,VLOOKUP($A184,'Pool &amp; SPA Sweep Elbows'!$A$8:$M$11,6,FALSE),
IF($A184&lt;'Pool &amp; SPA Pipe Extender'!$A$11,VLOOKUP($A184,'Pool &amp; SPA Pipe Extender'!$A$8:$M$10,6,FALSE),
IF($A184&lt;'PVC SCH80'!$A$250,VLOOKUP($A184,'PVC SCH80'!$A$8:$M$249,6,FALSE),
IF($A184&lt;'PVC SCH80 Flange'!$A$49,VLOOKUP($A184,'PVC SCH80 Flange'!$A$8:$M$48,6,FALSE),
IF($A184&lt;'PVC SCH80 LD Flange'!$A$17,VLOOKUP($A184,'PVC SCH80 LD Flange'!$A$8:$M$16,6,FALSE),
IF($A184&lt;CPVC!$A$105,VLOOKUP($A184,CPVC!$A$9:$M$104,6,FALSE),
IF($A184&lt;InsertFittings!$A$185,VLOOKUP($A184,InsertFittings!$A$9:$M$184,6,FALSE),
IF($A184&lt;Valves!$A$92,VLOOKUP($A184,Valves!$A$9:$Q$91,6,FALSE),
IF($A184&lt;SDR35SW!$A$133,VLOOKUP($A184,SDR35SW!$A$9:$M$132,6,FALSE),
IF($A184&lt;SDR35G!$A$151,VLOOKUP($A184,SDR35G!$A$9:$M$150,6,FALSE),
IF($A184&lt;SDR26G!$A$67,VLOOKUP($A184,SDR26G!$A$9:$N$66,7,FALSE),
IF($A184&lt;Cements!$A$95,VLOOKUP($A184,Cements!$A$8:$Q$94,6,FALSE),
IF($A184&lt;ValveBox!$A$124,VLOOKUP($A184,ValveBox!$A$9:$O$123,6,FALSE),
IF($A184&lt;'ValveBox Components'!$A$142,VLOOKUP($A184,'ValveBox Components'!$A$9:$N$141,6,FALSE),
IF($A184&lt;Drainage!$A$69,VLOOKUP($A184,Drainage!$A$8:$M$68,6,FALSE),
IF($A184&lt;Nipples!$A$82,VLOOKUP($A184,Nipples!$A$9:$Q$81,6,FALSE),
IF($A184&lt;Manifold!$A$33,VLOOKUP($A184,Manifold!$A$9:$M$32,6,FALSE),
IF($A184&lt;FlexibleRepairCouplings!$A$12,VLOOKUP($A184,FlexibleRepairCouplings!$A$9:$M$11,6,FALSE),
IF($A184&lt;DuraFix!$A$15,VLOOKUP($A184,DuraFix!$A$9:$M$14,6,FALSE),
IF($A184&lt;'Compression Fittings'!$A$16,VLOOKUP($A184,'Compression Fittings'!$A$8:$M$15,6,FALSE),
IF($A184&lt;'Hose Fittings'!$A$30,VLOOKUP($A184,'Hose Fittings'!$A$8:$M$29,6,FALSE),
IF($A184&lt;'Swing Joints'!$A$495,VLOOKUP($A184,'Swing Joints'!$A$9:$M$494,6,FALSE),
IF($A184&lt;'Swing Joints Components'!$A$135,VLOOKUP($A184,'Swing Joints Components'!$A$9:$M$134,6,FALSE),
IF($A184&lt;Nonstandard!$A$42,VLOOKUP($A184,Nonstandard!$A$31:$J$41,7,FALSE),"")))))))))))))))))))))))))))),"")</f>
        <v/>
      </c>
      <c r="E184" s="538"/>
      <c r="F184" s="539" t="str">
        <f>IFERROR(IF($A184&lt;'DWV PVC'!$A$317,VLOOKUP($A184,'DWV PVC'!$A$9:$M$316,9,FALSE),
IF($A184&lt;'DWV ABS'!$A$117,VLOOKUP($A184,'DWV ABS'!$A$8:$M$116,9,FALSE),                                                                                                                                                                                                                                                     IF($A184&lt;'PVC SCH40'!$A$425,VLOOKUP($A184,'PVC SCH40'!$A$8:$M$424,9,FALSE),
IF($A184&lt;'PVC SCH40 LD'!$A$22,VLOOKUP($A184,'PVC SCH40 LD'!$A$8:$M$21,9,FALSE),
IF($A184&lt;'Pool &amp; SPA Sweep Elbows'!$A$12,VLOOKUP($A184,'Pool &amp; SPA Sweep Elbows'!$A$8:$M$11,9,FALSE),
IF($A184&lt;'Pool &amp; SPA Pipe Extender'!$A$11,VLOOKUP($A184,'Pool &amp; SPA Pipe Extender'!$A$8:$M$10,9,FALSE),
IF($A184&lt;'PVC SCH80'!$A$250,VLOOKUP($A184,'PVC SCH80'!$A$8:$M$249,9,FALSE),
IF($A184&lt;'PVC SCH80 Flange'!$A$49,VLOOKUP($A184,'PVC SCH80 Flange'!$A$8:$M$48,9,FALSE),
IF($A184&lt;'PVC SCH80 LD Flange'!$A$17,VLOOKUP($A184,'PVC SCH80 LD Flange'!$A$8:$M$16,9,FALSE),
IF($A184&lt;CPVC!$A$105,VLOOKUP($A184,CPVC!$A$9:$M$104,9,FALSE),
IF($A184&lt;InsertFittings!$A$185,VLOOKUP($A184,InsertFittings!$A$9:$M$184,9,FALSE),
IF($A184&lt;Valves!$A$92,VLOOKUP($A184,Valves!$A$9:$Q$91,13,FALSE),
IF($A184&lt;SDR35SW!$A$133,VLOOKUP($A184,SDR35SW!$A$9:$M$132,9,FALSE),
IF($A184&lt;SDR35G!$A$151,VLOOKUP($A184,SDR35G!$A$9:$M$150,9,FALSE),                                                                                                                                                                                                                                                          IF($A184&lt;SDR26G!$A$67,VLOOKUP($A184,SDR26G!$A$9:$N$66,10,FALSE),                                                                                                                                                                                                                                                       IF($A184&lt;Cements!$A$95,VLOOKUP($A184,Cements!$A$8:$Q$94,13,FALSE),
IF($A184&lt;ValveBox!$A$124,VLOOKUP($A184,ValveBox!$A$9:$O$123,11,FALSE),
IF($A184&lt;'ValveBox Components'!$A$142,VLOOKUP($A184,'ValveBox Components'!$A$9:$N$141,10,FALSE),
IF($A184&lt;Drainage!$A$69,VLOOKUP($A184,Drainage!$A$8:$M$68,9,FALSE),                                                                                                                                                                                                                                                              IF($A184&lt;Nipples!$A$82,VLOOKUP($A184,Nipples!$A$9:$Q$81,13,FALSE),
IF($A184&lt;Manifold!$A$33,VLOOKUP($A184,Manifold!$A$9:$M$32,9,FALSE),
IF($A184&lt;FlexibleRepairCouplings!$A$12,VLOOKUP($A184,FlexibleRepairCouplings!$A$9:$M$11,9,FALSE),
IF($A184&lt;DuraFix!$A$15,VLOOKUP($A184,DuraFix!$A$9:$M$14,9,FALSE),                                                                                                                                                                                                                                                          IF($A184&lt;'Compression Fittings'!$A$16,VLOOKUP($A184,'Compression Fittings'!$A$8:$M$15,9,FALSE),
IF($A184&lt;'Hose Fittings'!$A$30,VLOOKUP($A184,'Hose Fittings'!$A$8:$M$29,9,FALSE),
IF($A184&lt;'Swing Joints'!$A$495,VLOOKUP($A184,'Swing Joints'!$A$9:$M$494,9,FALSE),
IF($A184&lt;'Swing Joints Components'!$A$135,VLOOKUP($A184,'Swing Joints Components'!$A$9:$M$134,9,FALSE),
IF($A184&lt;Nonstandard!$A$42,VLOOKUP($A184,Nonstandard!$A$31:$J$41,8,FALSE),"")))))))))))))))))))))))))))),"")</f>
        <v/>
      </c>
      <c r="G184" s="540" t="str">
        <f>IFERROR(IF($A184&lt;'DWV PVC'!$A$317,VLOOKUP($A184,'DWV PVC'!$A$9:$M$316,11,FALSE),
IF($A184&lt;'DWV ABS'!$A$117,VLOOKUP($A184,'DWV ABS'!$A$8:$M$116,11,FALSE),                                                                                                                                                                                                                                                     IF($A184&lt;'PVC SCH40'!$A$425,VLOOKUP($A184,'PVC SCH40'!$A$8:$M$424,11,FALSE),
IF($A184&lt;'PVC SCH40 LD'!$A$22,VLOOKUP($A184,'PVC SCH40 LD'!$A$8:$M$21,11,FALSE),
IF($A184&lt;'Pool &amp; SPA Sweep Elbows'!$A$12,VLOOKUP($A184,'Pool &amp; SPA Sweep Elbows'!$A$8:$M$11,11,FALSE),
IF($A184&lt;'Pool &amp; SPA Pipe Extender'!$A$11,VLOOKUP($A184,'Pool &amp; SPA Pipe Extender'!$A$8:$M$10,11,FALSE),
IF($A184&lt;'PVC SCH80'!$A$250,VLOOKUP($A184,'PVC SCH80'!$A$8:$M$249,11,FALSE),
IF($A184&lt;'PVC SCH80 Flange'!$A$49,VLOOKUP($A184,'PVC SCH80 Flange'!$A$8:$M$48,11,FALSE),
IF($A184&lt;'PVC SCH80 LD Flange'!$A$17,VLOOKUP($A184,'PVC SCH80 LD Flange'!$A$8:$M$16,11,FALSE),
IF($A184&lt;CPVC!$A$105,VLOOKUP($A184,CPVC!$A$9:$M$104,11,FALSE),
IF($A184&lt;InsertFittings!$A$185,VLOOKUP($A184,InsertFittings!$A$9:$M$184,11,FALSE),
IF($A184&lt;Valves!$A$92,VLOOKUP($A184,Valves!$A$9:$Q$91,15,FALSE),
IF($A184&lt;SDR35SW!$A$133,VLOOKUP($A184,SDR35SW!$A$9:$M$132,11,FALSE),
IF($A184&lt;SDR35G!$A$151,VLOOKUP($A184,SDR35G!$A$9:$M$150,11,FALSE),                                                                                                                                                                                                                                                          IF($A184&lt;SDR26G!$A$67,VLOOKUP($A184,SDR26G!$A$9:$N$66,12,FALSE),                                                                                                                                                                                                                                                       IF($A184&lt;Cements!$A$95,VLOOKUP($A184,Cements!$A$8:$Q$94,15,FALSE),
IF($A184&lt;ValveBox!$A$124,VLOOKUP($A184,ValveBox!$A$9:$O$123,13,FALSE),
IF($A184&lt;'ValveBox Components'!$A$142,VLOOKUP($A184,'ValveBox Components'!$A$9:$N$141,12,FALSE),
IF($A184&lt;Drainage!$A$69,VLOOKUP($A184,Drainage!$A$8:$M$68,11,FALSE),                                                                                                                                                                                                                                                           IF($A184&lt;Nipples!$A$82,VLOOKUP($A184,Nipples!$A$9:$Q$81,15,FALSE),
IF($A184&lt;Manifold!$A$33,VLOOKUP($A184,Manifold!$A$9:$M$32,11,FALSE),
IF($A184&lt;FlexibleRepairCouplings!$A$12,VLOOKUP($A184,FlexibleRepairCouplings!$A$9:$M$11,11,FALSE),
IF($A184&lt;DuraFix!$A$15,VLOOKUP($A184,DuraFix!$A$9:$M$14,11,FALSE),                                                                                                                                                                                                                                                            IF($A184&lt;'Compression Fittings'!$A$16,VLOOKUP($A184,'Compression Fittings'!$A$8:$M$15,11,FALSE),
IF($A184&lt;'Hose Fittings'!$A$30,VLOOKUP($A184,'Hose Fittings'!$A$8:$M$29,11,FALSE),
IF($A184&lt;'Swing Joints'!$A$495,VLOOKUP($A184,'Swing Joints'!$A$9:$M$494,11,FALSE),
IF($A184&lt;'Swing Joints Components'!$A$135,VLOOKUP($A184,'Swing Joints Components'!$A$9:$M$134,11,FALSE),
IF($A184&lt;Nonstandard!$A$42,VLOOKUP($A184,Nonstandard!$A$31:$J$41,10,FALSE),"")))))))))))))))))))))))))))),"")</f>
        <v/>
      </c>
      <c r="H184" s="620" t="str">
        <f>IFERROR(IF($A184&lt;'DWV PVC'!$A$317,VLOOKUP($A184,'DWV PVC'!$A$9:$M$316,7,FALSE),
IF($A184&lt;'DWV ABS'!$A$117,VLOOKUP($A184,'DWV ABS'!$A$8:$M$116,11,FALSE),                                                                                                                                                                                                                                                     IF($A184&lt;'PVC SCH40'!$A$425,VLOOKUP($A184,'PVC SCH40'!$A$8:$M$424,7,FALSE),
IF($A184&lt;'PVC SCH40 LD'!$A$22,VLOOKUP($A184,'PVC SCH40 LD'!$A$8:$M$21,7,FALSE),
IF($A184&lt;'Pool &amp; SPA Sweep Elbows'!$A$12,VLOOKUP($A184,'Pool &amp; SPA Sweep Elbows'!$A$8:$M$11,7,FALSE),
IF($A184&lt;'Pool &amp; SPA Pipe Extender'!$A$11,VLOOKUP($A184,'Pool &amp; SPA Pipe Extender'!$A$8:$M$10,7,FALSE),
IF($A184&lt;'PVC SCH80'!$A$250,VLOOKUP($A184,'PVC SCH80'!$A$8:$M$249,7,FALSE),
IF($A184&lt;'PVC SCH80 Flange'!$A$49,VLOOKUP($A184,'PVC SCH80 Flange'!$A$8:$M$48,7,FALSE),
IF($A184&lt;'PVC SCH80 LD Flange'!$A$17,VLOOKUP($A184,'PVC SCH80 LD Flange'!$A$8:$M$16,7,FALSE),
IF($A184&lt;CPVC!$A$105,VLOOKUP($A184,CPVC!$A$9:$M$104,7,FALSE),
IF($A184&lt;InsertFittings!$A$185,VLOOKUP($A184,InsertFittings!$A$9:$M$184,7,FALSE),
IF($A184&lt;Valves!$A$92,VLOOKUP($A184,Valves!$A$9:$Q$91,11,FALSE),
IF($A184&lt;SDR35SW!$A$133,VLOOKUP($A184,SDR35SW!$A$9:$M$132,7,FALSE),
IF($A184&lt;SDR35G!$A$151,VLOOKUP($A184,SDR35G!$A$9:$M$150,7,FALSE),                                                                                                                                                                                                                                                       IF($A184&lt;SDR26G!$A$67,VLOOKUP($A184,SDR26G!$A$9:$N$66,8,FALSE),                                                                                                                                                                                                                                                     IF($A184&lt;Cements!$A$95,VLOOKUP($A184,Cements!$A$8:$Q$94,11,FALSE),
IF($A184&lt;ValveBox!$A$124,VLOOKUP($A184,ValveBox!$A$9:$O$123,10,FALSE),
IF($A184&lt;'ValveBox Components'!$A$142,VLOOKUP($A184,'ValveBox Components'!$A$9:$N$141,9,FALSE),
IF($A184&lt;Drainage!$A$69,VLOOKUP($A184,Drainage!$A$8:$M$68,7,FALSE),                                                                                                                                                                                                                                                          IF($A184&lt;Nipples!$A$82,VLOOKUP($A184,Nipples!$A$9:$Q$81,11,FALSE),
IF($A184&lt;Manifold!$A$33,VLOOKUP($A184,Manifold!$A$9:$M$32,7,FALSE),
IF($A184&lt;FlexibleRepairCouplings!$A$12,VLOOKUP($A184,FlexibleRepairCouplings!$A$9:$M$11,7,FALSE),
IF($A184&lt;DuraFix!$A$15,VLOOKUP($A184,DuraFix!$A$9:$M$14,7,FALSE),                                                                                                                                                                                                                                                           IF($A184&lt;'Compression Fittings'!$A$16,VLOOKUP($A184,'Compression Fittings'!$A$8:$M$15,7,FALSE),
IF($A184&lt;'Hose Fittings'!$A$30,VLOOKUP($A184,'Hose Fittings'!$A$8:$M$29,7,FALSE),
IF($A184&lt;'Swing Joints'!$A$495,VLOOKUP($A184,'Swing Joints'!$A$9:$M$494,7,FALSE),
IF($A184&lt;'Swing Joints Components'!$A$135,VLOOKUP($A184,'Swing Joints Components'!$A$9:$M$134,7,FALSE),
IF($A184&lt;Nonstandard!$A$42,VLOOKUP($A184,Nonstandard!$A$31:$J$41,10,FALSE),"")))))))))))))))))))))))))))),"")</f>
        <v/>
      </c>
      <c r="I184" s="621"/>
      <c r="J184" s="541" t="str">
        <f t="shared" si="5"/>
        <v/>
      </c>
      <c r="K184" s="599" t="str">
        <f>IFERROR(IF($A184&lt;'DWV PVC'!$A$317,VLOOKUP($A184,'DWV PVC'!$A$9:$M$316,10,FALSE),
IF($A184&lt;'DWV ABS'!$A$117,VLOOKUP($A184,'DWV ABS'!$A$8:$M$116,10,FALSE),
IF($A184&lt;'PVC SCH40'!$A$425,VLOOKUP($A184,'PVC SCH40'!$A$8:$M$424,10,FALSE),
IF($A184&lt;'PVC SCH40 LD'!$A$22,VLOOKUP($A184,'PVC SCH40 LD'!$A$8:$M$21,10,FALSE),
IF($A184&lt;'Pool &amp; SPA Sweep Elbows'!$A$12,VLOOKUP($A184,'Pool &amp; SPA Sweep Elbows'!$A$8:$M$11,10,FALSE),
IF($A184&lt;'Pool &amp; SPA Pipe Extender'!$A$11,VLOOKUP($A184,'Pool &amp; SPA Pipe Extender'!$A$8:$M$10,10,FALSE),
IF($A184&lt;'PVC SCH80'!$A$250,VLOOKUP($A184,'PVC SCH80'!$A$8:$M$249,10,FALSE),
IF($A184&lt;'PVC SCH80 Flange'!$A$49,VLOOKUP($A184,'PVC SCH80 Flange'!$A$8:$M$48,10,FALSE),
IF($A184&lt;'PVC SCH80 LD Flange'!$A$17,VLOOKUP($A184,'PVC SCH80 LD Flange'!$A$8:$M$16,10,FALSE),
IF($A184&lt;CPVC!$A$105,VLOOKUP($A184,CPVC!$A$9:$M$104,10,FALSE),
IF($A184&lt;InsertFittings!$A$185,VLOOKUP($A184,InsertFittings!$A$9:$M$184,10,FALSE),
IF($A184&lt;Valves!$A$92,VLOOKUP($A184,Valves!$A$9:$Q$91,14,FALSE),
IF($A184&lt;SDR35SW!$A$133,VLOOKUP($A184,SDR35SW!$A$9:$M$132,10,FALSE),
IF($A184&lt;SDR35G!$A$151,VLOOKUP($A184,SDR35G!$A$9:$M$150,10,FALSE),
IF($A184&lt;SDR26G!$A$67,VLOOKUP($A184,SDR26G!$A$9:$N$66,11,FALSE),
IF($A184&lt;Cements!$A$95,VLOOKUP($A184,Cements!$A$8:$Q$94,14,FALSE),
IF($A184&lt;ValveBox!$A$124,VLOOKUP($A184,ValveBox!$A$9:$O$123,12,FALSE),
IF($A184&lt;'ValveBox Components'!$A$142,VLOOKUP($A184,'ValveBox Components'!$A$9:$N$141,11,FALSE),
IF($A184&lt;Drainage!$A$69,VLOOKUP($A184,Drainage!$A$8:$M$68,10,FALSE),
IF($A184&lt;Nipples!$A$82,VLOOKUP($A184,Nipples!$A$9:$Q$81,14,FALSE),
IF($A184&lt;Manifold!$A$33,VLOOKUP($A184,Manifold!$A$9:$M$32,10,FALSE),
IF($A184&lt;FlexibleRepairCouplings!$A$12,VLOOKUP($A184,FlexibleRepairCouplings!$A$9:$M$11,10,FALSE),
IF($A184&lt;DuraFix!$A$15,VLOOKUP($A184,DuraFix!$A$9:$M$14,10,FALSE),
IF($A184&lt;'Compression Fittings'!$A$16,VLOOKUP($A184,'Compression Fittings'!$A$8:$M$15,10,FALSE),
IF($A184&lt;'Hose Fittings'!$A$30,VLOOKUP($A184,'Hose Fittings'!$A$8:$M$29,10,FALSE),
IF($A184&lt;'Swing Joints'!$A$495,VLOOKUP($A184,'Swing Joints'!$A$9:$M$494,10,FALSE),
IF($A184&lt;'Swing Joints Components'!$A$135,VLOOKUP($A184,'Swing Joints Components'!$A$9:$M$134,10,FALSE),
IF($A184&lt;Nonstandard!$A$42,VLOOKUP($A184,Nonstandard!$A$31:$J$41,10,FALSE),"")))))))))))))))))))))))))))),"")</f>
        <v/>
      </c>
      <c r="L184" s="539" t="str">
        <f t="shared" si="4"/>
        <v>-</v>
      </c>
      <c r="M184" s="542"/>
    </row>
    <row r="185" spans="1:13" ht="15.6">
      <c r="A185" s="312">
        <v>153</v>
      </c>
      <c r="B185" s="312" t="str">
        <f>IFERROR(IF($A185&lt;'DWV PVC'!$A$317,VLOOKUP($A185,'DWV PVC'!$A$9:$M$316,4,FALSE),
IF($A185&lt;'DWV ABS'!$A$117,VLOOKUP($A185,'DWV ABS'!$A$8:$M$116,4,FALSE),
IF($A185&lt;'PVC SCH40'!$A$425,VLOOKUP($A185,'PVC SCH40'!$A$8:$M$424,4,FALSE),
IF($A185&lt;'PVC SCH40 LD'!$A$22,VLOOKUP($A185,'PVC SCH40 LD'!$A$8:$M$21,4,FALSE),
IF($A185&lt;'Pool &amp; SPA Sweep Elbows'!$A$12,VLOOKUP($A185,'Pool &amp; SPA Sweep Elbows'!$A$8:$M$11,4,FALSE),
IF($A185&lt;'Pool &amp; SPA Pipe Extender'!$A$11,VLOOKUP($A185,'Pool &amp; SPA Pipe Extender'!$A$8:$M$10,4,FALSE),
IF($A185&lt;'PVC SCH80'!$A$250,VLOOKUP($A185,'PVC SCH80'!$A$8:$M$249,4,FALSE),
IF($A185&lt;'PVC SCH80 Flange'!$A$49,VLOOKUP($A185,'PVC SCH80 Flange'!$A$8:$M$48,4,FALSE),
IF($A185&lt;'PVC SCH80 LD Flange'!$A$17,VLOOKUP($A185,'PVC SCH80 LD Flange'!$A$8:$M$16,4,FALSE),
IF($A185&lt;CPVC!$A$105,VLOOKUP($A185,CPVC!$A$9:$M$104,4,FALSE),
IF($A185&lt;InsertFittings!$A$185,VLOOKUP($A185,InsertFittings!$A$9:$M$184,4,FALSE),
IF($A185&lt;Valves!$A$92,VLOOKUP($A185,Valves!$A$9:$Q$91,4,FALSE),
IF($A185&lt;SDR35SW!$A$133,VLOOKUP($A185,SDR35SW!$A$9:$M$132,4,FALSE),
IF($A185&lt;SDR35G!$A$151,VLOOKUP($A185,SDR35G!$A$9:$M$150,4,FALSE),
IF($A185&lt;SDR26G!$A$67,VLOOKUP($A185,SDR26G!$A$9:$N$66,5,FALSE),
IF($A185&lt;Cements!$A$95,VLOOKUP($A185,Cements!$A$8:$Q$94,4,FALSE),
IF($A185&lt;ValveBox!$A$124,VLOOKUP($A185,ValveBox!$A$9:$O$123,4,FALSE),
IF($A185&lt;'ValveBox Components'!$A$142,VLOOKUP($A185,'ValveBox Components'!$A$9:$N$141,4,FALSE),
IF($A185&lt;Drainage!$A$69,VLOOKUP($A185,Drainage!$A$8:$M$68,4,FALSE),
IF($A185&lt;Nipples!$A$82,VLOOKUP($A185,Nipples!$A$9:$Q$81,4,FALSE),
IF($A185&lt;Manifold!$A$33,VLOOKUP($A185,Manifold!$A$9:$M$32,4,FALSE),
IF($A185&lt;FlexibleRepairCouplings!$A$12,VLOOKUP($A185,FlexibleRepairCouplings!$A$9:$M$11,4,FALSE),
IF($A185&lt;DuraFix!$A$15,VLOOKUP($A185,DuraFix!$A$9:$M$14,4,FALSE),
IF($A185&lt;'Compression Fittings'!$A$16,VLOOKUP($A185,'Compression Fittings'!$A$8:$M$15,4,FALSE),
IF($A185&lt;'Hose Fittings'!$A$30,VLOOKUP($A185,'Hose Fittings'!$A$8:$M$29,4,FALSE),
IF($A185&lt;'Swing Joints'!$A$495,VLOOKUP($A185,'Swing Joints'!$A$9:$M$494,4,FALSE),
IF($A185&lt;'Swing Joints Components'!$A$135,VLOOKUP($A185,'Swing Joints Components'!$A$9:$M$134,4,FALSE),
IF($A185&lt;Nonstandard!$A$42,VLOOKUP($A185,Nonstandard!$A$31:$J$41,5,FALSE),"")))))))))))))))))))))))))))),"")</f>
        <v/>
      </c>
      <c r="C185" s="312" t="str">
        <f>IFERROR(IF($A185&lt;'DWV PVC'!$A$317,VLOOKUP($A185,'DWV PVC'!$A$9:$M$316,5,FALSE),
IF($A185&lt;'DWV ABS'!$A$117,VLOOKUP($A185,'DWV ABS'!$A$8:$M$116,5,FALSE),
IF($A185&lt;'PVC SCH40'!$A$425,VLOOKUP($A185,'PVC SCH40'!$A$8:$M$424,5,FALSE),
IF($A185&lt;'PVC SCH40 LD'!$A$22,VLOOKUP($A185,'PVC SCH40 LD'!$A$8:$M$21,5,FALSE),
IF($A185&lt;'Pool &amp; SPA Sweep Elbows'!$A$12,VLOOKUP($A185,'Pool &amp; SPA Sweep Elbows'!$A$8:$M$11,5,FALSE),
IF($A185&lt;'Pool &amp; SPA Pipe Extender'!$A$11,VLOOKUP($A185,'Pool &amp; SPA Pipe Extender'!$A$8:$M$10,5,FALSE),
IF($A185&lt;'PVC SCH80'!$A$250,VLOOKUP($A185,'PVC SCH80'!$A$8:$M$249,5,FALSE),
IF($A185&lt;'PVC SCH80 Flange'!$A$49,VLOOKUP($A185,'PVC SCH80 Flange'!$A$8:$M$48,5,FALSE),
IF($A185&lt;'PVC SCH80 LD Flange'!$A$17,VLOOKUP($A185,'PVC SCH80 LD Flange'!$A$8:$M$16,5,FALSE),
IF($A185&lt;CPVC!$A$105,VLOOKUP($A185,CPVC!$A$9:$M$104,5,FALSE),
IF($A185&lt;InsertFittings!$A$185,VLOOKUP($A185,InsertFittings!$A$9:$M$184,5,FALSE),
IF($A185&lt;Valves!$A$92,VLOOKUP($A185,Valves!$A$9:$Q$91,5,FALSE),
IF($A185&lt;SDR35SW!$A$133,VLOOKUP($A185,SDR35SW!$A$9:$M$132,5,FALSE),
IF($A185&lt;SDR35G!$A$151,VLOOKUP($A185,SDR35G!$A$9:$M$150,5,FALSE),
IF($A185&lt;SDR26G!$A$67,VLOOKUP($A185,SDR26G!$A$9:$N$66,6,FALSE),
IF($A185&lt;Cements!$A$95,VLOOKUP($A185,Cements!$A$8:$Q$94,5,FALSE),
IF($A185&lt;ValveBox!$A$124,VLOOKUP($A185,ValveBox!$A$9:$O$123,5,FALSE),
IF($A185&lt;'ValveBox Components'!$A$142,VLOOKUP($A185,'ValveBox Components'!$A$9:$N$141,5,FALSE),
IF($A185&lt;Drainage!$A$69,VLOOKUP($A185,Drainage!$A$8:$M$68,5,FALSE),
IF($A185&lt;Nipples!$A$82,VLOOKUP($A185,Nipples!$A$9:$Q$81,5,FALSE),
IF($A185&lt;Manifold!$A$33,VLOOKUP($A185,Manifold!$A$9:$M$32,5,FALSE),
IF($A185&lt;FlexibleRepairCouplings!$A$12,VLOOKUP($A185,FlexibleRepairCouplings!$A$9:$M$11,5,FALSE),
IF($A185&lt;DuraFix!$A$15,VLOOKUP($A185,DuraFix!$A$9:$M$14,5,FALSE),
IF($A185&lt;'Compression Fittings'!$A$16,VLOOKUP($A185,'Compression Fittings'!$A$8:$M$15,5,FALSE),
IF($A185&lt;'Hose Fittings'!$A$30,VLOOKUP($A185,'Hose Fittings'!$A$8:$M$29,5,FALSE),
IF($A185&lt;'Swing Joints'!$A$495,VLOOKUP($A185,'Swing Joints'!$A$9:$M$494,5,FALSE),
IF($A185&lt;'Swing Joints Components'!$A$135,VLOOKUP($A185,'Swing Joints Components'!$A$9:$M$134,5,FALSE),
IF($A185&lt;Nonstandard!$A$42,VLOOKUP($A185,Nonstandard!$A$31:$J$41,6,FALSE),"")))))))))))))))))))))))))))),"")</f>
        <v/>
      </c>
      <c r="D185" s="534" t="str">
        <f>IFERROR(IF($A185&lt;'DWV PVC'!$A$317,VLOOKUP($A185,'DWV PVC'!$A$9:$M$316,6,FALSE),
IF($A185&lt;'DWV ABS'!$A$117,VLOOKUP($A185,'DWV ABS'!$A$8:$M$116,6,FALSE),
IF($A185&lt;'PVC SCH40'!$A$425,VLOOKUP($A185,'PVC SCH40'!$A$8:$M$424,6,FALSE),
IF($A185&lt;'PVC SCH40 LD'!$A$22,VLOOKUP($A185,'PVC SCH40 LD'!$A$8:$M$21,6,FALSE),
IF($A185&lt;'Pool &amp; SPA Sweep Elbows'!$A$12,VLOOKUP($A185,'Pool &amp; SPA Sweep Elbows'!$A$8:$M$11,6,FALSE),
IF($A185&lt;'Pool &amp; SPA Pipe Extender'!$A$11,VLOOKUP($A185,'Pool &amp; SPA Pipe Extender'!$A$8:$M$10,6,FALSE),
IF($A185&lt;'PVC SCH80'!$A$250,VLOOKUP($A185,'PVC SCH80'!$A$8:$M$249,6,FALSE),
IF($A185&lt;'PVC SCH80 Flange'!$A$49,VLOOKUP($A185,'PVC SCH80 Flange'!$A$8:$M$48,6,FALSE),
IF($A185&lt;'PVC SCH80 LD Flange'!$A$17,VLOOKUP($A185,'PVC SCH80 LD Flange'!$A$8:$M$16,6,FALSE),
IF($A185&lt;CPVC!$A$105,VLOOKUP($A185,CPVC!$A$9:$M$104,6,FALSE),
IF($A185&lt;InsertFittings!$A$185,VLOOKUP($A185,InsertFittings!$A$9:$M$184,6,FALSE),
IF($A185&lt;Valves!$A$92,VLOOKUP($A185,Valves!$A$9:$Q$91,6,FALSE),
IF($A185&lt;SDR35SW!$A$133,VLOOKUP($A185,SDR35SW!$A$9:$M$132,6,FALSE),
IF($A185&lt;SDR35G!$A$151,VLOOKUP($A185,SDR35G!$A$9:$M$150,6,FALSE),
IF($A185&lt;SDR26G!$A$67,VLOOKUP($A185,SDR26G!$A$9:$N$66,7,FALSE),
IF($A185&lt;Cements!$A$95,VLOOKUP($A185,Cements!$A$8:$Q$94,6,FALSE),
IF($A185&lt;ValveBox!$A$124,VLOOKUP($A185,ValveBox!$A$9:$O$123,6,FALSE),
IF($A185&lt;'ValveBox Components'!$A$142,VLOOKUP($A185,'ValveBox Components'!$A$9:$N$141,6,FALSE),
IF($A185&lt;Drainage!$A$69,VLOOKUP($A185,Drainage!$A$8:$M$68,6,FALSE),
IF($A185&lt;Nipples!$A$82,VLOOKUP($A185,Nipples!$A$9:$Q$81,6,FALSE),
IF($A185&lt;Manifold!$A$33,VLOOKUP($A185,Manifold!$A$9:$M$32,6,FALSE),
IF($A185&lt;FlexibleRepairCouplings!$A$12,VLOOKUP($A185,FlexibleRepairCouplings!$A$9:$M$11,6,FALSE),
IF($A185&lt;DuraFix!$A$15,VLOOKUP($A185,DuraFix!$A$9:$M$14,6,FALSE),
IF($A185&lt;'Compression Fittings'!$A$16,VLOOKUP($A185,'Compression Fittings'!$A$8:$M$15,6,FALSE),
IF($A185&lt;'Hose Fittings'!$A$30,VLOOKUP($A185,'Hose Fittings'!$A$8:$M$29,6,FALSE),
IF($A185&lt;'Swing Joints'!$A$495,VLOOKUP($A185,'Swing Joints'!$A$9:$M$494,6,FALSE),
IF($A185&lt;'Swing Joints Components'!$A$135,VLOOKUP($A185,'Swing Joints Components'!$A$9:$M$134,6,FALSE),
IF($A185&lt;Nonstandard!$A$42,VLOOKUP($A185,Nonstandard!$A$31:$J$41,7,FALSE),"")))))))))))))))))))))))))))),"")</f>
        <v/>
      </c>
      <c r="E185" s="316"/>
      <c r="F185" s="314" t="str">
        <f>IFERROR(IF($A185&lt;'DWV PVC'!$A$317,VLOOKUP($A185,'DWV PVC'!$A$9:$M$316,9,FALSE),
IF($A185&lt;'DWV ABS'!$A$117,VLOOKUP($A185,'DWV ABS'!$A$8:$M$116,9,FALSE),                                                                                                                                                                                                                                                     IF($A185&lt;'PVC SCH40'!$A$425,VLOOKUP($A185,'PVC SCH40'!$A$8:$M$424,9,FALSE),
IF($A185&lt;'PVC SCH40 LD'!$A$22,VLOOKUP($A185,'PVC SCH40 LD'!$A$8:$M$21,9,FALSE),
IF($A185&lt;'Pool &amp; SPA Sweep Elbows'!$A$12,VLOOKUP($A185,'Pool &amp; SPA Sweep Elbows'!$A$8:$M$11,9,FALSE),
IF($A185&lt;'Pool &amp; SPA Pipe Extender'!$A$11,VLOOKUP($A185,'Pool &amp; SPA Pipe Extender'!$A$8:$M$10,9,FALSE),
IF($A185&lt;'PVC SCH80'!$A$250,VLOOKUP($A185,'PVC SCH80'!$A$8:$M$249,9,FALSE),
IF($A185&lt;'PVC SCH80 Flange'!$A$49,VLOOKUP($A185,'PVC SCH80 Flange'!$A$8:$M$48,9,FALSE),
IF($A185&lt;'PVC SCH80 LD Flange'!$A$17,VLOOKUP($A185,'PVC SCH80 LD Flange'!$A$8:$M$16,9,FALSE),
IF($A185&lt;CPVC!$A$105,VLOOKUP($A185,CPVC!$A$9:$M$104,9,FALSE),
IF($A185&lt;InsertFittings!$A$185,VLOOKUP($A185,InsertFittings!$A$9:$M$184,9,FALSE),
IF($A185&lt;Valves!$A$92,VLOOKUP($A185,Valves!$A$9:$Q$91,13,FALSE),
IF($A185&lt;SDR35SW!$A$133,VLOOKUP($A185,SDR35SW!$A$9:$M$132,9,FALSE),
IF($A185&lt;SDR35G!$A$151,VLOOKUP($A185,SDR35G!$A$9:$M$150,9,FALSE),                                                                                                                                                                                                                                                          IF($A185&lt;SDR26G!$A$67,VLOOKUP($A185,SDR26G!$A$9:$N$66,10,FALSE),                                                                                                                                                                                                                                                       IF($A185&lt;Cements!$A$95,VLOOKUP($A185,Cements!$A$8:$Q$94,13,FALSE),
IF($A185&lt;ValveBox!$A$124,VLOOKUP($A185,ValveBox!$A$9:$O$123,11,FALSE),
IF($A185&lt;'ValveBox Components'!$A$142,VLOOKUP($A185,'ValveBox Components'!$A$9:$N$141,10,FALSE),
IF($A185&lt;Drainage!$A$69,VLOOKUP($A185,Drainage!$A$8:$M$68,9,FALSE),                                                                                                                                                                                                                                                              IF($A185&lt;Nipples!$A$82,VLOOKUP($A185,Nipples!$A$9:$Q$81,13,FALSE),
IF($A185&lt;Manifold!$A$33,VLOOKUP($A185,Manifold!$A$9:$M$32,9,FALSE),
IF($A185&lt;FlexibleRepairCouplings!$A$12,VLOOKUP($A185,FlexibleRepairCouplings!$A$9:$M$11,9,FALSE),
IF($A185&lt;DuraFix!$A$15,VLOOKUP($A185,DuraFix!$A$9:$M$14,9,FALSE),                                                                                                                                                                                                                                                          IF($A185&lt;'Compression Fittings'!$A$16,VLOOKUP($A185,'Compression Fittings'!$A$8:$M$15,9,FALSE),
IF($A185&lt;'Hose Fittings'!$A$30,VLOOKUP($A185,'Hose Fittings'!$A$8:$M$29,9,FALSE),
IF($A185&lt;'Swing Joints'!$A$495,VLOOKUP($A185,'Swing Joints'!$A$9:$M$494,9,FALSE),
IF($A185&lt;'Swing Joints Components'!$A$135,VLOOKUP($A185,'Swing Joints Components'!$A$9:$M$134,9,FALSE),
IF($A185&lt;Nonstandard!$A$42,VLOOKUP($A185,Nonstandard!$A$31:$J$41,8,FALSE),"")))))))))))))))))))))))))))),"")</f>
        <v/>
      </c>
      <c r="G185" s="533" t="str">
        <f>IFERROR(IF($A185&lt;'DWV PVC'!$A$317,VLOOKUP($A185,'DWV PVC'!$A$9:$M$316,11,FALSE),
IF($A185&lt;'DWV ABS'!$A$117,VLOOKUP($A185,'DWV ABS'!$A$8:$M$116,11,FALSE),                                                                                                                                                                                                                                                     IF($A185&lt;'PVC SCH40'!$A$425,VLOOKUP($A185,'PVC SCH40'!$A$8:$M$424,11,FALSE),
IF($A185&lt;'PVC SCH40 LD'!$A$22,VLOOKUP($A185,'PVC SCH40 LD'!$A$8:$M$21,11,FALSE),
IF($A185&lt;'Pool &amp; SPA Sweep Elbows'!$A$12,VLOOKUP($A185,'Pool &amp; SPA Sweep Elbows'!$A$8:$M$11,11,FALSE),
IF($A185&lt;'Pool &amp; SPA Pipe Extender'!$A$11,VLOOKUP($A185,'Pool &amp; SPA Pipe Extender'!$A$8:$M$10,11,FALSE),
IF($A185&lt;'PVC SCH80'!$A$250,VLOOKUP($A185,'PVC SCH80'!$A$8:$M$249,11,FALSE),
IF($A185&lt;'PVC SCH80 Flange'!$A$49,VLOOKUP($A185,'PVC SCH80 Flange'!$A$8:$M$48,11,FALSE),
IF($A185&lt;'PVC SCH80 LD Flange'!$A$17,VLOOKUP($A185,'PVC SCH80 LD Flange'!$A$8:$M$16,11,FALSE),
IF($A185&lt;CPVC!$A$105,VLOOKUP($A185,CPVC!$A$9:$M$104,11,FALSE),
IF($A185&lt;InsertFittings!$A$185,VLOOKUP($A185,InsertFittings!$A$9:$M$184,11,FALSE),
IF($A185&lt;Valves!$A$92,VLOOKUP($A185,Valves!$A$9:$Q$91,15,FALSE),
IF($A185&lt;SDR35SW!$A$133,VLOOKUP($A185,SDR35SW!$A$9:$M$132,11,FALSE),
IF($A185&lt;SDR35G!$A$151,VLOOKUP($A185,SDR35G!$A$9:$M$150,11,FALSE),                                                                                                                                                                                                                                                          IF($A185&lt;SDR26G!$A$67,VLOOKUP($A185,SDR26G!$A$9:$N$66,12,FALSE),                                                                                                                                                                                                                                                       IF($A185&lt;Cements!$A$95,VLOOKUP($A185,Cements!$A$8:$Q$94,15,FALSE),
IF($A185&lt;ValveBox!$A$124,VLOOKUP($A185,ValveBox!$A$9:$O$123,13,FALSE),
IF($A185&lt;'ValveBox Components'!$A$142,VLOOKUP($A185,'ValveBox Components'!$A$9:$N$141,12,FALSE),
IF($A185&lt;Drainage!$A$69,VLOOKUP($A185,Drainage!$A$8:$M$68,11,FALSE),                                                                                                                                                                                                                                                           IF($A185&lt;Nipples!$A$82,VLOOKUP($A185,Nipples!$A$9:$Q$81,15,FALSE),
IF($A185&lt;Manifold!$A$33,VLOOKUP($A185,Manifold!$A$9:$M$32,11,FALSE),
IF($A185&lt;FlexibleRepairCouplings!$A$12,VLOOKUP($A185,FlexibleRepairCouplings!$A$9:$M$11,11,FALSE),
IF($A185&lt;DuraFix!$A$15,VLOOKUP($A185,DuraFix!$A$9:$M$14,11,FALSE),                                                                                                                                                                                                                                                            IF($A185&lt;'Compression Fittings'!$A$16,VLOOKUP($A185,'Compression Fittings'!$A$8:$M$15,11,FALSE),
IF($A185&lt;'Hose Fittings'!$A$30,VLOOKUP($A185,'Hose Fittings'!$A$8:$M$29,11,FALSE),
IF($A185&lt;'Swing Joints'!$A$495,VLOOKUP($A185,'Swing Joints'!$A$9:$M$494,11,FALSE),
IF($A185&lt;'Swing Joints Components'!$A$135,VLOOKUP($A185,'Swing Joints Components'!$A$9:$M$134,11,FALSE),
IF($A185&lt;Nonstandard!$A$42,VLOOKUP($A185,Nonstandard!$A$31:$J$41,10,FALSE),"")))))))))))))))))))))))))))),"")</f>
        <v/>
      </c>
      <c r="H185" s="618" t="str">
        <f>IFERROR(IF($A185&lt;'DWV PVC'!$A$317,VLOOKUP($A185,'DWV PVC'!$A$9:$M$316,7,FALSE),
IF($A185&lt;'DWV ABS'!$A$117,VLOOKUP($A185,'DWV ABS'!$A$8:$M$116,11,FALSE),                                                                                                                                                                                                                                                     IF($A185&lt;'PVC SCH40'!$A$425,VLOOKUP($A185,'PVC SCH40'!$A$8:$M$424,7,FALSE),
IF($A185&lt;'PVC SCH40 LD'!$A$22,VLOOKUP($A185,'PVC SCH40 LD'!$A$8:$M$21,7,FALSE),
IF($A185&lt;'Pool &amp; SPA Sweep Elbows'!$A$12,VLOOKUP($A185,'Pool &amp; SPA Sweep Elbows'!$A$8:$M$11,7,FALSE),
IF($A185&lt;'Pool &amp; SPA Pipe Extender'!$A$11,VLOOKUP($A185,'Pool &amp; SPA Pipe Extender'!$A$8:$M$10,7,FALSE),
IF($A185&lt;'PVC SCH80'!$A$250,VLOOKUP($A185,'PVC SCH80'!$A$8:$M$249,7,FALSE),
IF($A185&lt;'PVC SCH80 Flange'!$A$49,VLOOKUP($A185,'PVC SCH80 Flange'!$A$8:$M$48,7,FALSE),
IF($A185&lt;'PVC SCH80 LD Flange'!$A$17,VLOOKUP($A185,'PVC SCH80 LD Flange'!$A$8:$M$16,7,FALSE),
IF($A185&lt;CPVC!$A$105,VLOOKUP($A185,CPVC!$A$9:$M$104,7,FALSE),
IF($A185&lt;InsertFittings!$A$185,VLOOKUP($A185,InsertFittings!$A$9:$M$184,7,FALSE),
IF($A185&lt;Valves!$A$92,VLOOKUP($A185,Valves!$A$9:$Q$91,11,FALSE),
IF($A185&lt;SDR35SW!$A$133,VLOOKUP($A185,SDR35SW!$A$9:$M$132,7,FALSE),
IF($A185&lt;SDR35G!$A$151,VLOOKUP($A185,SDR35G!$A$9:$M$150,7,FALSE),                                                                                                                                                                                                                                                       IF($A185&lt;SDR26G!$A$67,VLOOKUP($A185,SDR26G!$A$9:$N$66,8,FALSE),                                                                                                                                                                                                                                                     IF($A185&lt;Cements!$A$95,VLOOKUP($A185,Cements!$A$8:$Q$94,11,FALSE),
IF($A185&lt;ValveBox!$A$124,VLOOKUP($A185,ValveBox!$A$9:$O$123,10,FALSE),
IF($A185&lt;'ValveBox Components'!$A$142,VLOOKUP($A185,'ValveBox Components'!$A$9:$N$141,9,FALSE),
IF($A185&lt;Drainage!$A$69,VLOOKUP($A185,Drainage!$A$8:$M$68,7,FALSE),                                                                                                                                                                                                                                                          IF($A185&lt;Nipples!$A$82,VLOOKUP($A185,Nipples!$A$9:$Q$81,11,FALSE),
IF($A185&lt;Manifold!$A$33,VLOOKUP($A185,Manifold!$A$9:$M$32,7,FALSE),
IF($A185&lt;FlexibleRepairCouplings!$A$12,VLOOKUP($A185,FlexibleRepairCouplings!$A$9:$M$11,7,FALSE),
IF($A185&lt;DuraFix!$A$15,VLOOKUP($A185,DuraFix!$A$9:$M$14,7,FALSE),                                                                                                                                                                                                                                                           IF($A185&lt;'Compression Fittings'!$A$16,VLOOKUP($A185,'Compression Fittings'!$A$8:$M$15,7,FALSE),
IF($A185&lt;'Hose Fittings'!$A$30,VLOOKUP($A185,'Hose Fittings'!$A$8:$M$29,7,FALSE),
IF($A185&lt;'Swing Joints'!$A$495,VLOOKUP($A185,'Swing Joints'!$A$9:$M$494,7,FALSE),
IF($A185&lt;'Swing Joints Components'!$A$135,VLOOKUP($A185,'Swing Joints Components'!$A$9:$M$134,7,FALSE),
IF($A185&lt;Nonstandard!$A$42,VLOOKUP($A185,Nonstandard!$A$31:$J$41,10,FALSE),"")))))))))))))))))))))))))))),"")</f>
        <v/>
      </c>
      <c r="I185" s="619"/>
      <c r="J185" s="281" t="str">
        <f t="shared" si="5"/>
        <v/>
      </c>
      <c r="K185" s="313" t="str">
        <f>IFERROR(IF($A185&lt;'DWV PVC'!$A$317,VLOOKUP($A185,'DWV PVC'!$A$9:$M$316,10,FALSE),
IF($A185&lt;'DWV ABS'!$A$117,VLOOKUP($A185,'DWV ABS'!$A$8:$M$116,10,FALSE),
IF($A185&lt;'PVC SCH40'!$A$425,VLOOKUP($A185,'PVC SCH40'!$A$8:$M$424,10,FALSE),
IF($A185&lt;'PVC SCH40 LD'!$A$22,VLOOKUP($A185,'PVC SCH40 LD'!$A$8:$M$21,10,FALSE),
IF($A185&lt;'Pool &amp; SPA Sweep Elbows'!$A$12,VLOOKUP($A185,'Pool &amp; SPA Sweep Elbows'!$A$8:$M$11,10,FALSE),
IF($A185&lt;'Pool &amp; SPA Pipe Extender'!$A$11,VLOOKUP($A185,'Pool &amp; SPA Pipe Extender'!$A$8:$M$10,10,FALSE),
IF($A185&lt;'PVC SCH80'!$A$250,VLOOKUP($A185,'PVC SCH80'!$A$8:$M$249,10,FALSE),
IF($A185&lt;'PVC SCH80 Flange'!$A$49,VLOOKUP($A185,'PVC SCH80 Flange'!$A$8:$M$48,10,FALSE),
IF($A185&lt;'PVC SCH80 LD Flange'!$A$17,VLOOKUP($A185,'PVC SCH80 LD Flange'!$A$8:$M$16,10,FALSE),
IF($A185&lt;CPVC!$A$105,VLOOKUP($A185,CPVC!$A$9:$M$104,10,FALSE),
IF($A185&lt;InsertFittings!$A$185,VLOOKUP($A185,InsertFittings!$A$9:$M$184,10,FALSE),
IF($A185&lt;Valves!$A$92,VLOOKUP($A185,Valves!$A$9:$Q$91,14,FALSE),
IF($A185&lt;SDR35SW!$A$133,VLOOKUP($A185,SDR35SW!$A$9:$M$132,10,FALSE),
IF($A185&lt;SDR35G!$A$151,VLOOKUP($A185,SDR35G!$A$9:$M$150,10,FALSE),
IF($A185&lt;SDR26G!$A$67,VLOOKUP($A185,SDR26G!$A$9:$N$66,11,FALSE),
IF($A185&lt;Cements!$A$95,VLOOKUP($A185,Cements!$A$8:$Q$94,14,FALSE),
IF($A185&lt;ValveBox!$A$124,VLOOKUP($A185,ValveBox!$A$9:$O$123,12,FALSE),
IF($A185&lt;'ValveBox Components'!$A$142,VLOOKUP($A185,'ValveBox Components'!$A$9:$N$141,11,FALSE),
IF($A185&lt;Drainage!$A$69,VLOOKUP($A185,Drainage!$A$8:$M$68,10,FALSE),
IF($A185&lt;Nipples!$A$82,VLOOKUP($A185,Nipples!$A$9:$Q$81,14,FALSE),
IF($A185&lt;Manifold!$A$33,VLOOKUP($A185,Manifold!$A$9:$M$32,10,FALSE),
IF($A185&lt;FlexibleRepairCouplings!$A$12,VLOOKUP($A185,FlexibleRepairCouplings!$A$9:$M$11,10,FALSE),
IF($A185&lt;DuraFix!$A$15,VLOOKUP($A185,DuraFix!$A$9:$M$14,10,FALSE),
IF($A185&lt;'Compression Fittings'!$A$16,VLOOKUP($A185,'Compression Fittings'!$A$8:$M$15,10,FALSE),
IF($A185&lt;'Hose Fittings'!$A$30,VLOOKUP($A185,'Hose Fittings'!$A$8:$M$29,10,FALSE),
IF($A185&lt;'Swing Joints'!$A$495,VLOOKUP($A185,'Swing Joints'!$A$9:$M$494,10,FALSE),
IF($A185&lt;'Swing Joints Components'!$A$135,VLOOKUP($A185,'Swing Joints Components'!$A$9:$M$134,10,FALSE),
IF($A185&lt;Nonstandard!$A$42,VLOOKUP($A185,Nonstandard!$A$31:$J$41,10,FALSE),"")))))))))))))))))))))))))))),"")</f>
        <v/>
      </c>
      <c r="L185" s="314" t="str">
        <f t="shared" si="4"/>
        <v>-</v>
      </c>
      <c r="M185" s="315"/>
    </row>
    <row r="186" spans="1:13" ht="15.6">
      <c r="A186" s="536">
        <v>154</v>
      </c>
      <c r="B186" s="536" t="str">
        <f>IFERROR(IF($A186&lt;'DWV PVC'!$A$317,VLOOKUP($A186,'DWV PVC'!$A$9:$M$316,4,FALSE),
IF($A186&lt;'DWV ABS'!$A$117,VLOOKUP($A186,'DWV ABS'!$A$8:$M$116,4,FALSE),
IF($A186&lt;'PVC SCH40'!$A$425,VLOOKUP($A186,'PVC SCH40'!$A$8:$M$424,4,FALSE),
IF($A186&lt;'PVC SCH40 LD'!$A$22,VLOOKUP($A186,'PVC SCH40 LD'!$A$8:$M$21,4,FALSE),
IF($A186&lt;'Pool &amp; SPA Sweep Elbows'!$A$12,VLOOKUP($A186,'Pool &amp; SPA Sweep Elbows'!$A$8:$M$11,4,FALSE),
IF($A186&lt;'Pool &amp; SPA Pipe Extender'!$A$11,VLOOKUP($A186,'Pool &amp; SPA Pipe Extender'!$A$8:$M$10,4,FALSE),
IF($A186&lt;'PVC SCH80'!$A$250,VLOOKUP($A186,'PVC SCH80'!$A$8:$M$249,4,FALSE),
IF($A186&lt;'PVC SCH80 Flange'!$A$49,VLOOKUP($A186,'PVC SCH80 Flange'!$A$8:$M$48,4,FALSE),
IF($A186&lt;'PVC SCH80 LD Flange'!$A$17,VLOOKUP($A186,'PVC SCH80 LD Flange'!$A$8:$M$16,4,FALSE),
IF($A186&lt;CPVC!$A$105,VLOOKUP($A186,CPVC!$A$9:$M$104,4,FALSE),
IF($A186&lt;InsertFittings!$A$185,VLOOKUP($A186,InsertFittings!$A$9:$M$184,4,FALSE),
IF($A186&lt;Valves!$A$92,VLOOKUP($A186,Valves!$A$9:$Q$91,4,FALSE),
IF($A186&lt;SDR35SW!$A$133,VLOOKUP($A186,SDR35SW!$A$9:$M$132,4,FALSE),
IF($A186&lt;SDR35G!$A$151,VLOOKUP($A186,SDR35G!$A$9:$M$150,4,FALSE),
IF($A186&lt;SDR26G!$A$67,VLOOKUP($A186,SDR26G!$A$9:$N$66,5,FALSE),
IF($A186&lt;Cements!$A$95,VLOOKUP($A186,Cements!$A$8:$Q$94,4,FALSE),
IF($A186&lt;ValveBox!$A$124,VLOOKUP($A186,ValveBox!$A$9:$O$123,4,FALSE),
IF($A186&lt;'ValveBox Components'!$A$142,VLOOKUP($A186,'ValveBox Components'!$A$9:$N$141,4,FALSE),
IF($A186&lt;Drainage!$A$69,VLOOKUP($A186,Drainage!$A$8:$M$68,4,FALSE),
IF($A186&lt;Nipples!$A$82,VLOOKUP($A186,Nipples!$A$9:$Q$81,4,FALSE),
IF($A186&lt;Manifold!$A$33,VLOOKUP($A186,Manifold!$A$9:$M$32,4,FALSE),
IF($A186&lt;FlexibleRepairCouplings!$A$12,VLOOKUP($A186,FlexibleRepairCouplings!$A$9:$M$11,4,FALSE),
IF($A186&lt;DuraFix!$A$15,VLOOKUP($A186,DuraFix!$A$9:$M$14,4,FALSE),
IF($A186&lt;'Compression Fittings'!$A$16,VLOOKUP($A186,'Compression Fittings'!$A$8:$M$15,4,FALSE),
IF($A186&lt;'Hose Fittings'!$A$30,VLOOKUP($A186,'Hose Fittings'!$A$8:$M$29,4,FALSE),
IF($A186&lt;'Swing Joints'!$A$495,VLOOKUP($A186,'Swing Joints'!$A$9:$M$494,4,FALSE),
IF($A186&lt;'Swing Joints Components'!$A$135,VLOOKUP($A186,'Swing Joints Components'!$A$9:$M$134,4,FALSE),
IF($A186&lt;Nonstandard!$A$42,VLOOKUP($A186,Nonstandard!$A$31:$J$41,5,FALSE),"")))))))))))))))))))))))))))),"")</f>
        <v/>
      </c>
      <c r="C186" s="536" t="str">
        <f>IFERROR(IF($A186&lt;'DWV PVC'!$A$317,VLOOKUP($A186,'DWV PVC'!$A$9:$M$316,5,FALSE),
IF($A186&lt;'DWV ABS'!$A$117,VLOOKUP($A186,'DWV ABS'!$A$8:$M$116,5,FALSE),
IF($A186&lt;'PVC SCH40'!$A$425,VLOOKUP($A186,'PVC SCH40'!$A$8:$M$424,5,FALSE),
IF($A186&lt;'PVC SCH40 LD'!$A$22,VLOOKUP($A186,'PVC SCH40 LD'!$A$8:$M$21,5,FALSE),
IF($A186&lt;'Pool &amp; SPA Sweep Elbows'!$A$12,VLOOKUP($A186,'Pool &amp; SPA Sweep Elbows'!$A$8:$M$11,5,FALSE),
IF($A186&lt;'Pool &amp; SPA Pipe Extender'!$A$11,VLOOKUP($A186,'Pool &amp; SPA Pipe Extender'!$A$8:$M$10,5,FALSE),
IF($A186&lt;'PVC SCH80'!$A$250,VLOOKUP($A186,'PVC SCH80'!$A$8:$M$249,5,FALSE),
IF($A186&lt;'PVC SCH80 Flange'!$A$49,VLOOKUP($A186,'PVC SCH80 Flange'!$A$8:$M$48,5,FALSE),
IF($A186&lt;'PVC SCH80 LD Flange'!$A$17,VLOOKUP($A186,'PVC SCH80 LD Flange'!$A$8:$M$16,5,FALSE),
IF($A186&lt;CPVC!$A$105,VLOOKUP($A186,CPVC!$A$9:$M$104,5,FALSE),
IF($A186&lt;InsertFittings!$A$185,VLOOKUP($A186,InsertFittings!$A$9:$M$184,5,FALSE),
IF($A186&lt;Valves!$A$92,VLOOKUP($A186,Valves!$A$9:$Q$91,5,FALSE),
IF($A186&lt;SDR35SW!$A$133,VLOOKUP($A186,SDR35SW!$A$9:$M$132,5,FALSE),
IF($A186&lt;SDR35G!$A$151,VLOOKUP($A186,SDR35G!$A$9:$M$150,5,FALSE),
IF($A186&lt;SDR26G!$A$67,VLOOKUP($A186,SDR26G!$A$9:$N$66,6,FALSE),
IF($A186&lt;Cements!$A$95,VLOOKUP($A186,Cements!$A$8:$Q$94,5,FALSE),
IF($A186&lt;ValveBox!$A$124,VLOOKUP($A186,ValveBox!$A$9:$O$123,5,FALSE),
IF($A186&lt;'ValveBox Components'!$A$142,VLOOKUP($A186,'ValveBox Components'!$A$9:$N$141,5,FALSE),
IF($A186&lt;Drainage!$A$69,VLOOKUP($A186,Drainage!$A$8:$M$68,5,FALSE),
IF($A186&lt;Nipples!$A$82,VLOOKUP($A186,Nipples!$A$9:$Q$81,5,FALSE),
IF($A186&lt;Manifold!$A$33,VLOOKUP($A186,Manifold!$A$9:$M$32,5,FALSE),
IF($A186&lt;FlexibleRepairCouplings!$A$12,VLOOKUP($A186,FlexibleRepairCouplings!$A$9:$M$11,5,FALSE),
IF($A186&lt;DuraFix!$A$15,VLOOKUP($A186,DuraFix!$A$9:$M$14,5,FALSE),
IF($A186&lt;'Compression Fittings'!$A$16,VLOOKUP($A186,'Compression Fittings'!$A$8:$M$15,5,FALSE),
IF($A186&lt;'Hose Fittings'!$A$30,VLOOKUP($A186,'Hose Fittings'!$A$8:$M$29,5,FALSE),
IF($A186&lt;'Swing Joints'!$A$495,VLOOKUP($A186,'Swing Joints'!$A$9:$M$494,5,FALSE),
IF($A186&lt;'Swing Joints Components'!$A$135,VLOOKUP($A186,'Swing Joints Components'!$A$9:$M$134,5,FALSE),
IF($A186&lt;Nonstandard!$A$42,VLOOKUP($A186,Nonstandard!$A$31:$J$41,6,FALSE),"")))))))))))))))))))))))))))),"")</f>
        <v/>
      </c>
      <c r="D186" s="537" t="str">
        <f>IFERROR(IF($A186&lt;'DWV PVC'!$A$317,VLOOKUP($A186,'DWV PVC'!$A$9:$M$316,6,FALSE),
IF($A186&lt;'DWV ABS'!$A$117,VLOOKUP($A186,'DWV ABS'!$A$8:$M$116,6,FALSE),
IF($A186&lt;'PVC SCH40'!$A$425,VLOOKUP($A186,'PVC SCH40'!$A$8:$M$424,6,FALSE),
IF($A186&lt;'PVC SCH40 LD'!$A$22,VLOOKUP($A186,'PVC SCH40 LD'!$A$8:$M$21,6,FALSE),
IF($A186&lt;'Pool &amp; SPA Sweep Elbows'!$A$12,VLOOKUP($A186,'Pool &amp; SPA Sweep Elbows'!$A$8:$M$11,6,FALSE),
IF($A186&lt;'Pool &amp; SPA Pipe Extender'!$A$11,VLOOKUP($A186,'Pool &amp; SPA Pipe Extender'!$A$8:$M$10,6,FALSE),
IF($A186&lt;'PVC SCH80'!$A$250,VLOOKUP($A186,'PVC SCH80'!$A$8:$M$249,6,FALSE),
IF($A186&lt;'PVC SCH80 Flange'!$A$49,VLOOKUP($A186,'PVC SCH80 Flange'!$A$8:$M$48,6,FALSE),
IF($A186&lt;'PVC SCH80 LD Flange'!$A$17,VLOOKUP($A186,'PVC SCH80 LD Flange'!$A$8:$M$16,6,FALSE),
IF($A186&lt;CPVC!$A$105,VLOOKUP($A186,CPVC!$A$9:$M$104,6,FALSE),
IF($A186&lt;InsertFittings!$A$185,VLOOKUP($A186,InsertFittings!$A$9:$M$184,6,FALSE),
IF($A186&lt;Valves!$A$92,VLOOKUP($A186,Valves!$A$9:$Q$91,6,FALSE),
IF($A186&lt;SDR35SW!$A$133,VLOOKUP($A186,SDR35SW!$A$9:$M$132,6,FALSE),
IF($A186&lt;SDR35G!$A$151,VLOOKUP($A186,SDR35G!$A$9:$M$150,6,FALSE),
IF($A186&lt;SDR26G!$A$67,VLOOKUP($A186,SDR26G!$A$9:$N$66,7,FALSE),
IF($A186&lt;Cements!$A$95,VLOOKUP($A186,Cements!$A$8:$Q$94,6,FALSE),
IF($A186&lt;ValveBox!$A$124,VLOOKUP($A186,ValveBox!$A$9:$O$123,6,FALSE),
IF($A186&lt;'ValveBox Components'!$A$142,VLOOKUP($A186,'ValveBox Components'!$A$9:$N$141,6,FALSE),
IF($A186&lt;Drainage!$A$69,VLOOKUP($A186,Drainage!$A$8:$M$68,6,FALSE),
IF($A186&lt;Nipples!$A$82,VLOOKUP($A186,Nipples!$A$9:$Q$81,6,FALSE),
IF($A186&lt;Manifold!$A$33,VLOOKUP($A186,Manifold!$A$9:$M$32,6,FALSE),
IF($A186&lt;FlexibleRepairCouplings!$A$12,VLOOKUP($A186,FlexibleRepairCouplings!$A$9:$M$11,6,FALSE),
IF($A186&lt;DuraFix!$A$15,VLOOKUP($A186,DuraFix!$A$9:$M$14,6,FALSE),
IF($A186&lt;'Compression Fittings'!$A$16,VLOOKUP($A186,'Compression Fittings'!$A$8:$M$15,6,FALSE),
IF($A186&lt;'Hose Fittings'!$A$30,VLOOKUP($A186,'Hose Fittings'!$A$8:$M$29,6,FALSE),
IF($A186&lt;'Swing Joints'!$A$495,VLOOKUP($A186,'Swing Joints'!$A$9:$M$494,6,FALSE),
IF($A186&lt;'Swing Joints Components'!$A$135,VLOOKUP($A186,'Swing Joints Components'!$A$9:$M$134,6,FALSE),
IF($A186&lt;Nonstandard!$A$42,VLOOKUP($A186,Nonstandard!$A$31:$J$41,7,FALSE),"")))))))))))))))))))))))))))),"")</f>
        <v/>
      </c>
      <c r="E186" s="538"/>
      <c r="F186" s="539" t="str">
        <f>IFERROR(IF($A186&lt;'DWV PVC'!$A$317,VLOOKUP($A186,'DWV PVC'!$A$9:$M$316,9,FALSE),
IF($A186&lt;'DWV ABS'!$A$117,VLOOKUP($A186,'DWV ABS'!$A$8:$M$116,9,FALSE),                                                                                                                                                                                                                                                     IF($A186&lt;'PVC SCH40'!$A$425,VLOOKUP($A186,'PVC SCH40'!$A$8:$M$424,9,FALSE),
IF($A186&lt;'PVC SCH40 LD'!$A$22,VLOOKUP($A186,'PVC SCH40 LD'!$A$8:$M$21,9,FALSE),
IF($A186&lt;'Pool &amp; SPA Sweep Elbows'!$A$12,VLOOKUP($A186,'Pool &amp; SPA Sweep Elbows'!$A$8:$M$11,9,FALSE),
IF($A186&lt;'Pool &amp; SPA Pipe Extender'!$A$11,VLOOKUP($A186,'Pool &amp; SPA Pipe Extender'!$A$8:$M$10,9,FALSE),
IF($A186&lt;'PVC SCH80'!$A$250,VLOOKUP($A186,'PVC SCH80'!$A$8:$M$249,9,FALSE),
IF($A186&lt;'PVC SCH80 Flange'!$A$49,VLOOKUP($A186,'PVC SCH80 Flange'!$A$8:$M$48,9,FALSE),
IF($A186&lt;'PVC SCH80 LD Flange'!$A$17,VLOOKUP($A186,'PVC SCH80 LD Flange'!$A$8:$M$16,9,FALSE),
IF($A186&lt;CPVC!$A$105,VLOOKUP($A186,CPVC!$A$9:$M$104,9,FALSE),
IF($A186&lt;InsertFittings!$A$185,VLOOKUP($A186,InsertFittings!$A$9:$M$184,9,FALSE),
IF($A186&lt;Valves!$A$92,VLOOKUP($A186,Valves!$A$9:$Q$91,13,FALSE),
IF($A186&lt;SDR35SW!$A$133,VLOOKUP($A186,SDR35SW!$A$9:$M$132,9,FALSE),
IF($A186&lt;SDR35G!$A$151,VLOOKUP($A186,SDR35G!$A$9:$M$150,9,FALSE),                                                                                                                                                                                                                                                          IF($A186&lt;SDR26G!$A$67,VLOOKUP($A186,SDR26G!$A$9:$N$66,10,FALSE),                                                                                                                                                                                                                                                       IF($A186&lt;Cements!$A$95,VLOOKUP($A186,Cements!$A$8:$Q$94,13,FALSE),
IF($A186&lt;ValveBox!$A$124,VLOOKUP($A186,ValveBox!$A$9:$O$123,11,FALSE),
IF($A186&lt;'ValveBox Components'!$A$142,VLOOKUP($A186,'ValveBox Components'!$A$9:$N$141,10,FALSE),
IF($A186&lt;Drainage!$A$69,VLOOKUP($A186,Drainage!$A$8:$M$68,9,FALSE),                                                                                                                                                                                                                                                              IF($A186&lt;Nipples!$A$82,VLOOKUP($A186,Nipples!$A$9:$Q$81,13,FALSE),
IF($A186&lt;Manifold!$A$33,VLOOKUP($A186,Manifold!$A$9:$M$32,9,FALSE),
IF($A186&lt;FlexibleRepairCouplings!$A$12,VLOOKUP($A186,FlexibleRepairCouplings!$A$9:$M$11,9,FALSE),
IF($A186&lt;DuraFix!$A$15,VLOOKUP($A186,DuraFix!$A$9:$M$14,9,FALSE),                                                                                                                                                                                                                                                          IF($A186&lt;'Compression Fittings'!$A$16,VLOOKUP($A186,'Compression Fittings'!$A$8:$M$15,9,FALSE),
IF($A186&lt;'Hose Fittings'!$A$30,VLOOKUP($A186,'Hose Fittings'!$A$8:$M$29,9,FALSE),
IF($A186&lt;'Swing Joints'!$A$495,VLOOKUP($A186,'Swing Joints'!$A$9:$M$494,9,FALSE),
IF($A186&lt;'Swing Joints Components'!$A$135,VLOOKUP($A186,'Swing Joints Components'!$A$9:$M$134,9,FALSE),
IF($A186&lt;Nonstandard!$A$42,VLOOKUP($A186,Nonstandard!$A$31:$J$41,8,FALSE),"")))))))))))))))))))))))))))),"")</f>
        <v/>
      </c>
      <c r="G186" s="540" t="str">
        <f>IFERROR(IF($A186&lt;'DWV PVC'!$A$317,VLOOKUP($A186,'DWV PVC'!$A$9:$M$316,11,FALSE),
IF($A186&lt;'DWV ABS'!$A$117,VLOOKUP($A186,'DWV ABS'!$A$8:$M$116,11,FALSE),                                                                                                                                                                                                                                                     IF($A186&lt;'PVC SCH40'!$A$425,VLOOKUP($A186,'PVC SCH40'!$A$8:$M$424,11,FALSE),
IF($A186&lt;'PVC SCH40 LD'!$A$22,VLOOKUP($A186,'PVC SCH40 LD'!$A$8:$M$21,11,FALSE),
IF($A186&lt;'Pool &amp; SPA Sweep Elbows'!$A$12,VLOOKUP($A186,'Pool &amp; SPA Sweep Elbows'!$A$8:$M$11,11,FALSE),
IF($A186&lt;'Pool &amp; SPA Pipe Extender'!$A$11,VLOOKUP($A186,'Pool &amp; SPA Pipe Extender'!$A$8:$M$10,11,FALSE),
IF($A186&lt;'PVC SCH80'!$A$250,VLOOKUP($A186,'PVC SCH80'!$A$8:$M$249,11,FALSE),
IF($A186&lt;'PVC SCH80 Flange'!$A$49,VLOOKUP($A186,'PVC SCH80 Flange'!$A$8:$M$48,11,FALSE),
IF($A186&lt;'PVC SCH80 LD Flange'!$A$17,VLOOKUP($A186,'PVC SCH80 LD Flange'!$A$8:$M$16,11,FALSE),
IF($A186&lt;CPVC!$A$105,VLOOKUP($A186,CPVC!$A$9:$M$104,11,FALSE),
IF($A186&lt;InsertFittings!$A$185,VLOOKUP($A186,InsertFittings!$A$9:$M$184,11,FALSE),
IF($A186&lt;Valves!$A$92,VLOOKUP($A186,Valves!$A$9:$Q$91,15,FALSE),
IF($A186&lt;SDR35SW!$A$133,VLOOKUP($A186,SDR35SW!$A$9:$M$132,11,FALSE),
IF($A186&lt;SDR35G!$A$151,VLOOKUP($A186,SDR35G!$A$9:$M$150,11,FALSE),                                                                                                                                                                                                                                                          IF($A186&lt;SDR26G!$A$67,VLOOKUP($A186,SDR26G!$A$9:$N$66,12,FALSE),                                                                                                                                                                                                                                                       IF($A186&lt;Cements!$A$95,VLOOKUP($A186,Cements!$A$8:$Q$94,15,FALSE),
IF($A186&lt;ValveBox!$A$124,VLOOKUP($A186,ValveBox!$A$9:$O$123,13,FALSE),
IF($A186&lt;'ValveBox Components'!$A$142,VLOOKUP($A186,'ValveBox Components'!$A$9:$N$141,12,FALSE),
IF($A186&lt;Drainage!$A$69,VLOOKUP($A186,Drainage!$A$8:$M$68,11,FALSE),                                                                                                                                                                                                                                                           IF($A186&lt;Nipples!$A$82,VLOOKUP($A186,Nipples!$A$9:$Q$81,15,FALSE),
IF($A186&lt;Manifold!$A$33,VLOOKUP($A186,Manifold!$A$9:$M$32,11,FALSE),
IF($A186&lt;FlexibleRepairCouplings!$A$12,VLOOKUP($A186,FlexibleRepairCouplings!$A$9:$M$11,11,FALSE),
IF($A186&lt;DuraFix!$A$15,VLOOKUP($A186,DuraFix!$A$9:$M$14,11,FALSE),                                                                                                                                                                                                                                                            IF($A186&lt;'Compression Fittings'!$A$16,VLOOKUP($A186,'Compression Fittings'!$A$8:$M$15,11,FALSE),
IF($A186&lt;'Hose Fittings'!$A$30,VLOOKUP($A186,'Hose Fittings'!$A$8:$M$29,11,FALSE),
IF($A186&lt;'Swing Joints'!$A$495,VLOOKUP($A186,'Swing Joints'!$A$9:$M$494,11,FALSE),
IF($A186&lt;'Swing Joints Components'!$A$135,VLOOKUP($A186,'Swing Joints Components'!$A$9:$M$134,11,FALSE),
IF($A186&lt;Nonstandard!$A$42,VLOOKUP($A186,Nonstandard!$A$31:$J$41,10,FALSE),"")))))))))))))))))))))))))))),"")</f>
        <v/>
      </c>
      <c r="H186" s="620" t="str">
        <f>IFERROR(IF($A186&lt;'DWV PVC'!$A$317,VLOOKUP($A186,'DWV PVC'!$A$9:$M$316,7,FALSE),
IF($A186&lt;'DWV ABS'!$A$117,VLOOKUP($A186,'DWV ABS'!$A$8:$M$116,11,FALSE),                                                                                                                                                                                                                                                     IF($A186&lt;'PVC SCH40'!$A$425,VLOOKUP($A186,'PVC SCH40'!$A$8:$M$424,7,FALSE),
IF($A186&lt;'PVC SCH40 LD'!$A$22,VLOOKUP($A186,'PVC SCH40 LD'!$A$8:$M$21,7,FALSE),
IF($A186&lt;'Pool &amp; SPA Sweep Elbows'!$A$12,VLOOKUP($A186,'Pool &amp; SPA Sweep Elbows'!$A$8:$M$11,7,FALSE),
IF($A186&lt;'Pool &amp; SPA Pipe Extender'!$A$11,VLOOKUP($A186,'Pool &amp; SPA Pipe Extender'!$A$8:$M$10,7,FALSE),
IF($A186&lt;'PVC SCH80'!$A$250,VLOOKUP($A186,'PVC SCH80'!$A$8:$M$249,7,FALSE),
IF($A186&lt;'PVC SCH80 Flange'!$A$49,VLOOKUP($A186,'PVC SCH80 Flange'!$A$8:$M$48,7,FALSE),
IF($A186&lt;'PVC SCH80 LD Flange'!$A$17,VLOOKUP($A186,'PVC SCH80 LD Flange'!$A$8:$M$16,7,FALSE),
IF($A186&lt;CPVC!$A$105,VLOOKUP($A186,CPVC!$A$9:$M$104,7,FALSE),
IF($A186&lt;InsertFittings!$A$185,VLOOKUP($A186,InsertFittings!$A$9:$M$184,7,FALSE),
IF($A186&lt;Valves!$A$92,VLOOKUP($A186,Valves!$A$9:$Q$91,11,FALSE),
IF($A186&lt;SDR35SW!$A$133,VLOOKUP($A186,SDR35SW!$A$9:$M$132,7,FALSE),
IF($A186&lt;SDR35G!$A$151,VLOOKUP($A186,SDR35G!$A$9:$M$150,7,FALSE),                                                                                                                                                                                                                                                       IF($A186&lt;SDR26G!$A$67,VLOOKUP($A186,SDR26G!$A$9:$N$66,8,FALSE),                                                                                                                                                                                                                                                     IF($A186&lt;Cements!$A$95,VLOOKUP($A186,Cements!$A$8:$Q$94,11,FALSE),
IF($A186&lt;ValveBox!$A$124,VLOOKUP($A186,ValveBox!$A$9:$O$123,10,FALSE),
IF($A186&lt;'ValveBox Components'!$A$142,VLOOKUP($A186,'ValveBox Components'!$A$9:$N$141,9,FALSE),
IF($A186&lt;Drainage!$A$69,VLOOKUP($A186,Drainage!$A$8:$M$68,7,FALSE),                                                                                                                                                                                                                                                          IF($A186&lt;Nipples!$A$82,VLOOKUP($A186,Nipples!$A$9:$Q$81,11,FALSE),
IF($A186&lt;Manifold!$A$33,VLOOKUP($A186,Manifold!$A$9:$M$32,7,FALSE),
IF($A186&lt;FlexibleRepairCouplings!$A$12,VLOOKUP($A186,FlexibleRepairCouplings!$A$9:$M$11,7,FALSE),
IF($A186&lt;DuraFix!$A$15,VLOOKUP($A186,DuraFix!$A$9:$M$14,7,FALSE),                                                                                                                                                                                                                                                           IF($A186&lt;'Compression Fittings'!$A$16,VLOOKUP($A186,'Compression Fittings'!$A$8:$M$15,7,FALSE),
IF($A186&lt;'Hose Fittings'!$A$30,VLOOKUP($A186,'Hose Fittings'!$A$8:$M$29,7,FALSE),
IF($A186&lt;'Swing Joints'!$A$495,VLOOKUP($A186,'Swing Joints'!$A$9:$M$494,7,FALSE),
IF($A186&lt;'Swing Joints Components'!$A$135,VLOOKUP($A186,'Swing Joints Components'!$A$9:$M$134,7,FALSE),
IF($A186&lt;Nonstandard!$A$42,VLOOKUP($A186,Nonstandard!$A$31:$J$41,10,FALSE),"")))))))))))))))))))))))))))),"")</f>
        <v/>
      </c>
      <c r="I186" s="621"/>
      <c r="J186" s="541" t="str">
        <f t="shared" si="5"/>
        <v/>
      </c>
      <c r="K186" s="599" t="str">
        <f>IFERROR(IF($A186&lt;'DWV PVC'!$A$317,VLOOKUP($A186,'DWV PVC'!$A$9:$M$316,10,FALSE),
IF($A186&lt;'DWV ABS'!$A$117,VLOOKUP($A186,'DWV ABS'!$A$8:$M$116,10,FALSE),
IF($A186&lt;'PVC SCH40'!$A$425,VLOOKUP($A186,'PVC SCH40'!$A$8:$M$424,10,FALSE),
IF($A186&lt;'PVC SCH40 LD'!$A$22,VLOOKUP($A186,'PVC SCH40 LD'!$A$8:$M$21,10,FALSE),
IF($A186&lt;'Pool &amp; SPA Sweep Elbows'!$A$12,VLOOKUP($A186,'Pool &amp; SPA Sweep Elbows'!$A$8:$M$11,10,FALSE),
IF($A186&lt;'Pool &amp; SPA Pipe Extender'!$A$11,VLOOKUP($A186,'Pool &amp; SPA Pipe Extender'!$A$8:$M$10,10,FALSE),
IF($A186&lt;'PVC SCH80'!$A$250,VLOOKUP($A186,'PVC SCH80'!$A$8:$M$249,10,FALSE),
IF($A186&lt;'PVC SCH80 Flange'!$A$49,VLOOKUP($A186,'PVC SCH80 Flange'!$A$8:$M$48,10,FALSE),
IF($A186&lt;'PVC SCH80 LD Flange'!$A$17,VLOOKUP($A186,'PVC SCH80 LD Flange'!$A$8:$M$16,10,FALSE),
IF($A186&lt;CPVC!$A$105,VLOOKUP($A186,CPVC!$A$9:$M$104,10,FALSE),
IF($A186&lt;InsertFittings!$A$185,VLOOKUP($A186,InsertFittings!$A$9:$M$184,10,FALSE),
IF($A186&lt;Valves!$A$92,VLOOKUP($A186,Valves!$A$9:$Q$91,14,FALSE),
IF($A186&lt;SDR35SW!$A$133,VLOOKUP($A186,SDR35SW!$A$9:$M$132,10,FALSE),
IF($A186&lt;SDR35G!$A$151,VLOOKUP($A186,SDR35G!$A$9:$M$150,10,FALSE),
IF($A186&lt;SDR26G!$A$67,VLOOKUP($A186,SDR26G!$A$9:$N$66,11,FALSE),
IF($A186&lt;Cements!$A$95,VLOOKUP($A186,Cements!$A$8:$Q$94,14,FALSE),
IF($A186&lt;ValveBox!$A$124,VLOOKUP($A186,ValveBox!$A$9:$O$123,12,FALSE),
IF($A186&lt;'ValveBox Components'!$A$142,VLOOKUP($A186,'ValveBox Components'!$A$9:$N$141,11,FALSE),
IF($A186&lt;Drainage!$A$69,VLOOKUP($A186,Drainage!$A$8:$M$68,10,FALSE),
IF($A186&lt;Nipples!$A$82,VLOOKUP($A186,Nipples!$A$9:$Q$81,14,FALSE),
IF($A186&lt;Manifold!$A$33,VLOOKUP($A186,Manifold!$A$9:$M$32,10,FALSE),
IF($A186&lt;FlexibleRepairCouplings!$A$12,VLOOKUP($A186,FlexibleRepairCouplings!$A$9:$M$11,10,FALSE),
IF($A186&lt;DuraFix!$A$15,VLOOKUP($A186,DuraFix!$A$9:$M$14,10,FALSE),
IF($A186&lt;'Compression Fittings'!$A$16,VLOOKUP($A186,'Compression Fittings'!$A$8:$M$15,10,FALSE),
IF($A186&lt;'Hose Fittings'!$A$30,VLOOKUP($A186,'Hose Fittings'!$A$8:$M$29,10,FALSE),
IF($A186&lt;'Swing Joints'!$A$495,VLOOKUP($A186,'Swing Joints'!$A$9:$M$494,10,FALSE),
IF($A186&lt;'Swing Joints Components'!$A$135,VLOOKUP($A186,'Swing Joints Components'!$A$9:$M$134,10,FALSE),
IF($A186&lt;Nonstandard!$A$42,VLOOKUP($A186,Nonstandard!$A$31:$J$41,10,FALSE),"")))))))))))))))))))))))))))),"")</f>
        <v/>
      </c>
      <c r="L186" s="539" t="str">
        <f t="shared" si="4"/>
        <v>-</v>
      </c>
      <c r="M186" s="542"/>
    </row>
    <row r="187" spans="1:13" ht="15.6">
      <c r="A187" s="312">
        <v>155</v>
      </c>
      <c r="B187" s="312" t="str">
        <f>IFERROR(IF($A187&lt;'DWV PVC'!$A$317,VLOOKUP($A187,'DWV PVC'!$A$9:$M$316,4,FALSE),
IF($A187&lt;'DWV ABS'!$A$117,VLOOKUP($A187,'DWV ABS'!$A$8:$M$116,4,FALSE),
IF($A187&lt;'PVC SCH40'!$A$425,VLOOKUP($A187,'PVC SCH40'!$A$8:$M$424,4,FALSE),
IF($A187&lt;'PVC SCH40 LD'!$A$22,VLOOKUP($A187,'PVC SCH40 LD'!$A$8:$M$21,4,FALSE),
IF($A187&lt;'Pool &amp; SPA Sweep Elbows'!$A$12,VLOOKUP($A187,'Pool &amp; SPA Sweep Elbows'!$A$8:$M$11,4,FALSE),
IF($A187&lt;'Pool &amp; SPA Pipe Extender'!$A$11,VLOOKUP($A187,'Pool &amp; SPA Pipe Extender'!$A$8:$M$10,4,FALSE),
IF($A187&lt;'PVC SCH80'!$A$250,VLOOKUP($A187,'PVC SCH80'!$A$8:$M$249,4,FALSE),
IF($A187&lt;'PVC SCH80 Flange'!$A$49,VLOOKUP($A187,'PVC SCH80 Flange'!$A$8:$M$48,4,FALSE),
IF($A187&lt;'PVC SCH80 LD Flange'!$A$17,VLOOKUP($A187,'PVC SCH80 LD Flange'!$A$8:$M$16,4,FALSE),
IF($A187&lt;CPVC!$A$105,VLOOKUP($A187,CPVC!$A$9:$M$104,4,FALSE),
IF($A187&lt;InsertFittings!$A$185,VLOOKUP($A187,InsertFittings!$A$9:$M$184,4,FALSE),
IF($A187&lt;Valves!$A$92,VLOOKUP($A187,Valves!$A$9:$Q$91,4,FALSE),
IF($A187&lt;SDR35SW!$A$133,VLOOKUP($A187,SDR35SW!$A$9:$M$132,4,FALSE),
IF($A187&lt;SDR35G!$A$151,VLOOKUP($A187,SDR35G!$A$9:$M$150,4,FALSE),
IF($A187&lt;SDR26G!$A$67,VLOOKUP($A187,SDR26G!$A$9:$N$66,5,FALSE),
IF($A187&lt;Cements!$A$95,VLOOKUP($A187,Cements!$A$8:$Q$94,4,FALSE),
IF($A187&lt;ValveBox!$A$124,VLOOKUP($A187,ValveBox!$A$9:$O$123,4,FALSE),
IF($A187&lt;'ValveBox Components'!$A$142,VLOOKUP($A187,'ValveBox Components'!$A$9:$N$141,4,FALSE),
IF($A187&lt;Drainage!$A$69,VLOOKUP($A187,Drainage!$A$8:$M$68,4,FALSE),
IF($A187&lt;Nipples!$A$82,VLOOKUP($A187,Nipples!$A$9:$Q$81,4,FALSE),
IF($A187&lt;Manifold!$A$33,VLOOKUP($A187,Manifold!$A$9:$M$32,4,FALSE),
IF($A187&lt;FlexibleRepairCouplings!$A$12,VLOOKUP($A187,FlexibleRepairCouplings!$A$9:$M$11,4,FALSE),
IF($A187&lt;DuraFix!$A$15,VLOOKUP($A187,DuraFix!$A$9:$M$14,4,FALSE),
IF($A187&lt;'Compression Fittings'!$A$16,VLOOKUP($A187,'Compression Fittings'!$A$8:$M$15,4,FALSE),
IF($A187&lt;'Hose Fittings'!$A$30,VLOOKUP($A187,'Hose Fittings'!$A$8:$M$29,4,FALSE),
IF($A187&lt;'Swing Joints'!$A$495,VLOOKUP($A187,'Swing Joints'!$A$9:$M$494,4,FALSE),
IF($A187&lt;'Swing Joints Components'!$A$135,VLOOKUP($A187,'Swing Joints Components'!$A$9:$M$134,4,FALSE),
IF($A187&lt;Nonstandard!$A$42,VLOOKUP($A187,Nonstandard!$A$31:$J$41,5,FALSE),"")))))))))))))))))))))))))))),"")</f>
        <v/>
      </c>
      <c r="C187" s="312" t="str">
        <f>IFERROR(IF($A187&lt;'DWV PVC'!$A$317,VLOOKUP($A187,'DWV PVC'!$A$9:$M$316,5,FALSE),
IF($A187&lt;'DWV ABS'!$A$117,VLOOKUP($A187,'DWV ABS'!$A$8:$M$116,5,FALSE),
IF($A187&lt;'PVC SCH40'!$A$425,VLOOKUP($A187,'PVC SCH40'!$A$8:$M$424,5,FALSE),
IF($A187&lt;'PVC SCH40 LD'!$A$22,VLOOKUP($A187,'PVC SCH40 LD'!$A$8:$M$21,5,FALSE),
IF($A187&lt;'Pool &amp; SPA Sweep Elbows'!$A$12,VLOOKUP($A187,'Pool &amp; SPA Sweep Elbows'!$A$8:$M$11,5,FALSE),
IF($A187&lt;'Pool &amp; SPA Pipe Extender'!$A$11,VLOOKUP($A187,'Pool &amp; SPA Pipe Extender'!$A$8:$M$10,5,FALSE),
IF($A187&lt;'PVC SCH80'!$A$250,VLOOKUP($A187,'PVC SCH80'!$A$8:$M$249,5,FALSE),
IF($A187&lt;'PVC SCH80 Flange'!$A$49,VLOOKUP($A187,'PVC SCH80 Flange'!$A$8:$M$48,5,FALSE),
IF($A187&lt;'PVC SCH80 LD Flange'!$A$17,VLOOKUP($A187,'PVC SCH80 LD Flange'!$A$8:$M$16,5,FALSE),
IF($A187&lt;CPVC!$A$105,VLOOKUP($A187,CPVC!$A$9:$M$104,5,FALSE),
IF($A187&lt;InsertFittings!$A$185,VLOOKUP($A187,InsertFittings!$A$9:$M$184,5,FALSE),
IF($A187&lt;Valves!$A$92,VLOOKUP($A187,Valves!$A$9:$Q$91,5,FALSE),
IF($A187&lt;SDR35SW!$A$133,VLOOKUP($A187,SDR35SW!$A$9:$M$132,5,FALSE),
IF($A187&lt;SDR35G!$A$151,VLOOKUP($A187,SDR35G!$A$9:$M$150,5,FALSE),
IF($A187&lt;SDR26G!$A$67,VLOOKUP($A187,SDR26G!$A$9:$N$66,6,FALSE),
IF($A187&lt;Cements!$A$95,VLOOKUP($A187,Cements!$A$8:$Q$94,5,FALSE),
IF($A187&lt;ValveBox!$A$124,VLOOKUP($A187,ValveBox!$A$9:$O$123,5,FALSE),
IF($A187&lt;'ValveBox Components'!$A$142,VLOOKUP($A187,'ValveBox Components'!$A$9:$N$141,5,FALSE),
IF($A187&lt;Drainage!$A$69,VLOOKUP($A187,Drainage!$A$8:$M$68,5,FALSE),
IF($A187&lt;Nipples!$A$82,VLOOKUP($A187,Nipples!$A$9:$Q$81,5,FALSE),
IF($A187&lt;Manifold!$A$33,VLOOKUP($A187,Manifold!$A$9:$M$32,5,FALSE),
IF($A187&lt;FlexibleRepairCouplings!$A$12,VLOOKUP($A187,FlexibleRepairCouplings!$A$9:$M$11,5,FALSE),
IF($A187&lt;DuraFix!$A$15,VLOOKUP($A187,DuraFix!$A$9:$M$14,5,FALSE),
IF($A187&lt;'Compression Fittings'!$A$16,VLOOKUP($A187,'Compression Fittings'!$A$8:$M$15,5,FALSE),
IF($A187&lt;'Hose Fittings'!$A$30,VLOOKUP($A187,'Hose Fittings'!$A$8:$M$29,5,FALSE),
IF($A187&lt;'Swing Joints'!$A$495,VLOOKUP($A187,'Swing Joints'!$A$9:$M$494,5,FALSE),
IF($A187&lt;'Swing Joints Components'!$A$135,VLOOKUP($A187,'Swing Joints Components'!$A$9:$M$134,5,FALSE),
IF($A187&lt;Nonstandard!$A$42,VLOOKUP($A187,Nonstandard!$A$31:$J$41,6,FALSE),"")))))))))))))))))))))))))))),"")</f>
        <v/>
      </c>
      <c r="D187" s="534" t="str">
        <f>IFERROR(IF($A187&lt;'DWV PVC'!$A$317,VLOOKUP($A187,'DWV PVC'!$A$9:$M$316,6,FALSE),
IF($A187&lt;'DWV ABS'!$A$117,VLOOKUP($A187,'DWV ABS'!$A$8:$M$116,6,FALSE),
IF($A187&lt;'PVC SCH40'!$A$425,VLOOKUP($A187,'PVC SCH40'!$A$8:$M$424,6,FALSE),
IF($A187&lt;'PVC SCH40 LD'!$A$22,VLOOKUP($A187,'PVC SCH40 LD'!$A$8:$M$21,6,FALSE),
IF($A187&lt;'Pool &amp; SPA Sweep Elbows'!$A$12,VLOOKUP($A187,'Pool &amp; SPA Sweep Elbows'!$A$8:$M$11,6,FALSE),
IF($A187&lt;'Pool &amp; SPA Pipe Extender'!$A$11,VLOOKUP($A187,'Pool &amp; SPA Pipe Extender'!$A$8:$M$10,6,FALSE),
IF($A187&lt;'PVC SCH80'!$A$250,VLOOKUP($A187,'PVC SCH80'!$A$8:$M$249,6,FALSE),
IF($A187&lt;'PVC SCH80 Flange'!$A$49,VLOOKUP($A187,'PVC SCH80 Flange'!$A$8:$M$48,6,FALSE),
IF($A187&lt;'PVC SCH80 LD Flange'!$A$17,VLOOKUP($A187,'PVC SCH80 LD Flange'!$A$8:$M$16,6,FALSE),
IF($A187&lt;CPVC!$A$105,VLOOKUP($A187,CPVC!$A$9:$M$104,6,FALSE),
IF($A187&lt;InsertFittings!$A$185,VLOOKUP($A187,InsertFittings!$A$9:$M$184,6,FALSE),
IF($A187&lt;Valves!$A$92,VLOOKUP($A187,Valves!$A$9:$Q$91,6,FALSE),
IF($A187&lt;SDR35SW!$A$133,VLOOKUP($A187,SDR35SW!$A$9:$M$132,6,FALSE),
IF($A187&lt;SDR35G!$A$151,VLOOKUP($A187,SDR35G!$A$9:$M$150,6,FALSE),
IF($A187&lt;SDR26G!$A$67,VLOOKUP($A187,SDR26G!$A$9:$N$66,7,FALSE),
IF($A187&lt;Cements!$A$95,VLOOKUP($A187,Cements!$A$8:$Q$94,6,FALSE),
IF($A187&lt;ValveBox!$A$124,VLOOKUP($A187,ValveBox!$A$9:$O$123,6,FALSE),
IF($A187&lt;'ValveBox Components'!$A$142,VLOOKUP($A187,'ValveBox Components'!$A$9:$N$141,6,FALSE),
IF($A187&lt;Drainage!$A$69,VLOOKUP($A187,Drainage!$A$8:$M$68,6,FALSE),
IF($A187&lt;Nipples!$A$82,VLOOKUP($A187,Nipples!$A$9:$Q$81,6,FALSE),
IF($A187&lt;Manifold!$A$33,VLOOKUP($A187,Manifold!$A$9:$M$32,6,FALSE),
IF($A187&lt;FlexibleRepairCouplings!$A$12,VLOOKUP($A187,FlexibleRepairCouplings!$A$9:$M$11,6,FALSE),
IF($A187&lt;DuraFix!$A$15,VLOOKUP($A187,DuraFix!$A$9:$M$14,6,FALSE),
IF($A187&lt;'Compression Fittings'!$A$16,VLOOKUP($A187,'Compression Fittings'!$A$8:$M$15,6,FALSE),
IF($A187&lt;'Hose Fittings'!$A$30,VLOOKUP($A187,'Hose Fittings'!$A$8:$M$29,6,FALSE),
IF($A187&lt;'Swing Joints'!$A$495,VLOOKUP($A187,'Swing Joints'!$A$9:$M$494,6,FALSE),
IF($A187&lt;'Swing Joints Components'!$A$135,VLOOKUP($A187,'Swing Joints Components'!$A$9:$M$134,6,FALSE),
IF($A187&lt;Nonstandard!$A$42,VLOOKUP($A187,Nonstandard!$A$31:$J$41,7,FALSE),"")))))))))))))))))))))))))))),"")</f>
        <v/>
      </c>
      <c r="E187" s="316"/>
      <c r="F187" s="314" t="str">
        <f>IFERROR(IF($A187&lt;'DWV PVC'!$A$317,VLOOKUP($A187,'DWV PVC'!$A$9:$M$316,9,FALSE),
IF($A187&lt;'DWV ABS'!$A$117,VLOOKUP($A187,'DWV ABS'!$A$8:$M$116,9,FALSE),                                                                                                                                                                                                                                                     IF($A187&lt;'PVC SCH40'!$A$425,VLOOKUP($A187,'PVC SCH40'!$A$8:$M$424,9,FALSE),
IF($A187&lt;'PVC SCH40 LD'!$A$22,VLOOKUP($A187,'PVC SCH40 LD'!$A$8:$M$21,9,FALSE),
IF($A187&lt;'Pool &amp; SPA Sweep Elbows'!$A$12,VLOOKUP($A187,'Pool &amp; SPA Sweep Elbows'!$A$8:$M$11,9,FALSE),
IF($A187&lt;'Pool &amp; SPA Pipe Extender'!$A$11,VLOOKUP($A187,'Pool &amp; SPA Pipe Extender'!$A$8:$M$10,9,FALSE),
IF($A187&lt;'PVC SCH80'!$A$250,VLOOKUP($A187,'PVC SCH80'!$A$8:$M$249,9,FALSE),
IF($A187&lt;'PVC SCH80 Flange'!$A$49,VLOOKUP($A187,'PVC SCH80 Flange'!$A$8:$M$48,9,FALSE),
IF($A187&lt;'PVC SCH80 LD Flange'!$A$17,VLOOKUP($A187,'PVC SCH80 LD Flange'!$A$8:$M$16,9,FALSE),
IF($A187&lt;CPVC!$A$105,VLOOKUP($A187,CPVC!$A$9:$M$104,9,FALSE),
IF($A187&lt;InsertFittings!$A$185,VLOOKUP($A187,InsertFittings!$A$9:$M$184,9,FALSE),
IF($A187&lt;Valves!$A$92,VLOOKUP($A187,Valves!$A$9:$Q$91,13,FALSE),
IF($A187&lt;SDR35SW!$A$133,VLOOKUP($A187,SDR35SW!$A$9:$M$132,9,FALSE),
IF($A187&lt;SDR35G!$A$151,VLOOKUP($A187,SDR35G!$A$9:$M$150,9,FALSE),                                                                                                                                                                                                                                                          IF($A187&lt;SDR26G!$A$67,VLOOKUP($A187,SDR26G!$A$9:$N$66,10,FALSE),                                                                                                                                                                                                                                                       IF($A187&lt;Cements!$A$95,VLOOKUP($A187,Cements!$A$8:$Q$94,13,FALSE),
IF($A187&lt;ValveBox!$A$124,VLOOKUP($A187,ValveBox!$A$9:$O$123,11,FALSE),
IF($A187&lt;'ValveBox Components'!$A$142,VLOOKUP($A187,'ValveBox Components'!$A$9:$N$141,10,FALSE),
IF($A187&lt;Drainage!$A$69,VLOOKUP($A187,Drainage!$A$8:$M$68,9,FALSE),                                                                                                                                                                                                                                                              IF($A187&lt;Nipples!$A$82,VLOOKUP($A187,Nipples!$A$9:$Q$81,13,FALSE),
IF($A187&lt;Manifold!$A$33,VLOOKUP($A187,Manifold!$A$9:$M$32,9,FALSE),
IF($A187&lt;FlexibleRepairCouplings!$A$12,VLOOKUP($A187,FlexibleRepairCouplings!$A$9:$M$11,9,FALSE),
IF($A187&lt;DuraFix!$A$15,VLOOKUP($A187,DuraFix!$A$9:$M$14,9,FALSE),                                                                                                                                                                                                                                                          IF($A187&lt;'Compression Fittings'!$A$16,VLOOKUP($A187,'Compression Fittings'!$A$8:$M$15,9,FALSE),
IF($A187&lt;'Hose Fittings'!$A$30,VLOOKUP($A187,'Hose Fittings'!$A$8:$M$29,9,FALSE),
IF($A187&lt;'Swing Joints'!$A$495,VLOOKUP($A187,'Swing Joints'!$A$9:$M$494,9,FALSE),
IF($A187&lt;'Swing Joints Components'!$A$135,VLOOKUP($A187,'Swing Joints Components'!$A$9:$M$134,9,FALSE),
IF($A187&lt;Nonstandard!$A$42,VLOOKUP($A187,Nonstandard!$A$31:$J$41,8,FALSE),"")))))))))))))))))))))))))))),"")</f>
        <v/>
      </c>
      <c r="G187" s="533" t="str">
        <f>IFERROR(IF($A187&lt;'DWV PVC'!$A$317,VLOOKUP($A187,'DWV PVC'!$A$9:$M$316,11,FALSE),
IF($A187&lt;'DWV ABS'!$A$117,VLOOKUP($A187,'DWV ABS'!$A$8:$M$116,11,FALSE),                                                                                                                                                                                                                                                     IF($A187&lt;'PVC SCH40'!$A$425,VLOOKUP($A187,'PVC SCH40'!$A$8:$M$424,11,FALSE),
IF($A187&lt;'PVC SCH40 LD'!$A$22,VLOOKUP($A187,'PVC SCH40 LD'!$A$8:$M$21,11,FALSE),
IF($A187&lt;'Pool &amp; SPA Sweep Elbows'!$A$12,VLOOKUP($A187,'Pool &amp; SPA Sweep Elbows'!$A$8:$M$11,11,FALSE),
IF($A187&lt;'Pool &amp; SPA Pipe Extender'!$A$11,VLOOKUP($A187,'Pool &amp; SPA Pipe Extender'!$A$8:$M$10,11,FALSE),
IF($A187&lt;'PVC SCH80'!$A$250,VLOOKUP($A187,'PVC SCH80'!$A$8:$M$249,11,FALSE),
IF($A187&lt;'PVC SCH80 Flange'!$A$49,VLOOKUP($A187,'PVC SCH80 Flange'!$A$8:$M$48,11,FALSE),
IF($A187&lt;'PVC SCH80 LD Flange'!$A$17,VLOOKUP($A187,'PVC SCH80 LD Flange'!$A$8:$M$16,11,FALSE),
IF($A187&lt;CPVC!$A$105,VLOOKUP($A187,CPVC!$A$9:$M$104,11,FALSE),
IF($A187&lt;InsertFittings!$A$185,VLOOKUP($A187,InsertFittings!$A$9:$M$184,11,FALSE),
IF($A187&lt;Valves!$A$92,VLOOKUP($A187,Valves!$A$9:$Q$91,15,FALSE),
IF($A187&lt;SDR35SW!$A$133,VLOOKUP($A187,SDR35SW!$A$9:$M$132,11,FALSE),
IF($A187&lt;SDR35G!$A$151,VLOOKUP($A187,SDR35G!$A$9:$M$150,11,FALSE),                                                                                                                                                                                                                                                          IF($A187&lt;SDR26G!$A$67,VLOOKUP($A187,SDR26G!$A$9:$N$66,12,FALSE),                                                                                                                                                                                                                                                       IF($A187&lt;Cements!$A$95,VLOOKUP($A187,Cements!$A$8:$Q$94,15,FALSE),
IF($A187&lt;ValveBox!$A$124,VLOOKUP($A187,ValveBox!$A$9:$O$123,13,FALSE),
IF($A187&lt;'ValveBox Components'!$A$142,VLOOKUP($A187,'ValveBox Components'!$A$9:$N$141,12,FALSE),
IF($A187&lt;Drainage!$A$69,VLOOKUP($A187,Drainage!$A$8:$M$68,11,FALSE),                                                                                                                                                                                                                                                           IF($A187&lt;Nipples!$A$82,VLOOKUP($A187,Nipples!$A$9:$Q$81,15,FALSE),
IF($A187&lt;Manifold!$A$33,VLOOKUP($A187,Manifold!$A$9:$M$32,11,FALSE),
IF($A187&lt;FlexibleRepairCouplings!$A$12,VLOOKUP($A187,FlexibleRepairCouplings!$A$9:$M$11,11,FALSE),
IF($A187&lt;DuraFix!$A$15,VLOOKUP($A187,DuraFix!$A$9:$M$14,11,FALSE),                                                                                                                                                                                                                                                            IF($A187&lt;'Compression Fittings'!$A$16,VLOOKUP($A187,'Compression Fittings'!$A$8:$M$15,11,FALSE),
IF($A187&lt;'Hose Fittings'!$A$30,VLOOKUP($A187,'Hose Fittings'!$A$8:$M$29,11,FALSE),
IF($A187&lt;'Swing Joints'!$A$495,VLOOKUP($A187,'Swing Joints'!$A$9:$M$494,11,FALSE),
IF($A187&lt;'Swing Joints Components'!$A$135,VLOOKUP($A187,'Swing Joints Components'!$A$9:$M$134,11,FALSE),
IF($A187&lt;Nonstandard!$A$42,VLOOKUP($A187,Nonstandard!$A$31:$J$41,10,FALSE),"")))))))))))))))))))))))))))),"")</f>
        <v/>
      </c>
      <c r="H187" s="618" t="str">
        <f>IFERROR(IF($A187&lt;'DWV PVC'!$A$317,VLOOKUP($A187,'DWV PVC'!$A$9:$M$316,7,FALSE),
IF($A187&lt;'DWV ABS'!$A$117,VLOOKUP($A187,'DWV ABS'!$A$8:$M$116,11,FALSE),                                                                                                                                                                                                                                                     IF($A187&lt;'PVC SCH40'!$A$425,VLOOKUP($A187,'PVC SCH40'!$A$8:$M$424,7,FALSE),
IF($A187&lt;'PVC SCH40 LD'!$A$22,VLOOKUP($A187,'PVC SCH40 LD'!$A$8:$M$21,7,FALSE),
IF($A187&lt;'Pool &amp; SPA Sweep Elbows'!$A$12,VLOOKUP($A187,'Pool &amp; SPA Sweep Elbows'!$A$8:$M$11,7,FALSE),
IF($A187&lt;'Pool &amp; SPA Pipe Extender'!$A$11,VLOOKUP($A187,'Pool &amp; SPA Pipe Extender'!$A$8:$M$10,7,FALSE),
IF($A187&lt;'PVC SCH80'!$A$250,VLOOKUP($A187,'PVC SCH80'!$A$8:$M$249,7,FALSE),
IF($A187&lt;'PVC SCH80 Flange'!$A$49,VLOOKUP($A187,'PVC SCH80 Flange'!$A$8:$M$48,7,FALSE),
IF($A187&lt;'PVC SCH80 LD Flange'!$A$17,VLOOKUP($A187,'PVC SCH80 LD Flange'!$A$8:$M$16,7,FALSE),
IF($A187&lt;CPVC!$A$105,VLOOKUP($A187,CPVC!$A$9:$M$104,7,FALSE),
IF($A187&lt;InsertFittings!$A$185,VLOOKUP($A187,InsertFittings!$A$9:$M$184,7,FALSE),
IF($A187&lt;Valves!$A$92,VLOOKUP($A187,Valves!$A$9:$Q$91,11,FALSE),
IF($A187&lt;SDR35SW!$A$133,VLOOKUP($A187,SDR35SW!$A$9:$M$132,7,FALSE),
IF($A187&lt;SDR35G!$A$151,VLOOKUP($A187,SDR35G!$A$9:$M$150,7,FALSE),                                                                                                                                                                                                                                                       IF($A187&lt;SDR26G!$A$67,VLOOKUP($A187,SDR26G!$A$9:$N$66,8,FALSE),                                                                                                                                                                                                                                                     IF($A187&lt;Cements!$A$95,VLOOKUP($A187,Cements!$A$8:$Q$94,11,FALSE),
IF($A187&lt;ValveBox!$A$124,VLOOKUP($A187,ValveBox!$A$9:$O$123,10,FALSE),
IF($A187&lt;'ValveBox Components'!$A$142,VLOOKUP($A187,'ValveBox Components'!$A$9:$N$141,9,FALSE),
IF($A187&lt;Drainage!$A$69,VLOOKUP($A187,Drainage!$A$8:$M$68,7,FALSE),                                                                                                                                                                                                                                                          IF($A187&lt;Nipples!$A$82,VLOOKUP($A187,Nipples!$A$9:$Q$81,11,FALSE),
IF($A187&lt;Manifold!$A$33,VLOOKUP($A187,Manifold!$A$9:$M$32,7,FALSE),
IF($A187&lt;FlexibleRepairCouplings!$A$12,VLOOKUP($A187,FlexibleRepairCouplings!$A$9:$M$11,7,FALSE),
IF($A187&lt;DuraFix!$A$15,VLOOKUP($A187,DuraFix!$A$9:$M$14,7,FALSE),                                                                                                                                                                                                                                                           IF($A187&lt;'Compression Fittings'!$A$16,VLOOKUP($A187,'Compression Fittings'!$A$8:$M$15,7,FALSE),
IF($A187&lt;'Hose Fittings'!$A$30,VLOOKUP($A187,'Hose Fittings'!$A$8:$M$29,7,FALSE),
IF($A187&lt;'Swing Joints'!$A$495,VLOOKUP($A187,'Swing Joints'!$A$9:$M$494,7,FALSE),
IF($A187&lt;'Swing Joints Components'!$A$135,VLOOKUP($A187,'Swing Joints Components'!$A$9:$M$134,7,FALSE),
IF($A187&lt;Nonstandard!$A$42,VLOOKUP($A187,Nonstandard!$A$31:$J$41,10,FALSE),"")))))))))))))))))))))))))))),"")</f>
        <v/>
      </c>
      <c r="I187" s="619"/>
      <c r="J187" s="281" t="str">
        <f t="shared" si="5"/>
        <v/>
      </c>
      <c r="K187" s="313" t="str">
        <f>IFERROR(IF($A187&lt;'DWV PVC'!$A$317,VLOOKUP($A187,'DWV PVC'!$A$9:$M$316,10,FALSE),
IF($A187&lt;'DWV ABS'!$A$117,VLOOKUP($A187,'DWV ABS'!$A$8:$M$116,10,FALSE),
IF($A187&lt;'PVC SCH40'!$A$425,VLOOKUP($A187,'PVC SCH40'!$A$8:$M$424,10,FALSE),
IF($A187&lt;'PVC SCH40 LD'!$A$22,VLOOKUP($A187,'PVC SCH40 LD'!$A$8:$M$21,10,FALSE),
IF($A187&lt;'Pool &amp; SPA Sweep Elbows'!$A$12,VLOOKUP($A187,'Pool &amp; SPA Sweep Elbows'!$A$8:$M$11,10,FALSE),
IF($A187&lt;'Pool &amp; SPA Pipe Extender'!$A$11,VLOOKUP($A187,'Pool &amp; SPA Pipe Extender'!$A$8:$M$10,10,FALSE),
IF($A187&lt;'PVC SCH80'!$A$250,VLOOKUP($A187,'PVC SCH80'!$A$8:$M$249,10,FALSE),
IF($A187&lt;'PVC SCH80 Flange'!$A$49,VLOOKUP($A187,'PVC SCH80 Flange'!$A$8:$M$48,10,FALSE),
IF($A187&lt;'PVC SCH80 LD Flange'!$A$17,VLOOKUP($A187,'PVC SCH80 LD Flange'!$A$8:$M$16,10,FALSE),
IF($A187&lt;CPVC!$A$105,VLOOKUP($A187,CPVC!$A$9:$M$104,10,FALSE),
IF($A187&lt;InsertFittings!$A$185,VLOOKUP($A187,InsertFittings!$A$9:$M$184,10,FALSE),
IF($A187&lt;Valves!$A$92,VLOOKUP($A187,Valves!$A$9:$Q$91,14,FALSE),
IF($A187&lt;SDR35SW!$A$133,VLOOKUP($A187,SDR35SW!$A$9:$M$132,10,FALSE),
IF($A187&lt;SDR35G!$A$151,VLOOKUP($A187,SDR35G!$A$9:$M$150,10,FALSE),
IF($A187&lt;SDR26G!$A$67,VLOOKUP($A187,SDR26G!$A$9:$N$66,11,FALSE),
IF($A187&lt;Cements!$A$95,VLOOKUP($A187,Cements!$A$8:$Q$94,14,FALSE),
IF($A187&lt;ValveBox!$A$124,VLOOKUP($A187,ValveBox!$A$9:$O$123,12,FALSE),
IF($A187&lt;'ValveBox Components'!$A$142,VLOOKUP($A187,'ValveBox Components'!$A$9:$N$141,11,FALSE),
IF($A187&lt;Drainage!$A$69,VLOOKUP($A187,Drainage!$A$8:$M$68,10,FALSE),
IF($A187&lt;Nipples!$A$82,VLOOKUP($A187,Nipples!$A$9:$Q$81,14,FALSE),
IF($A187&lt;Manifold!$A$33,VLOOKUP($A187,Manifold!$A$9:$M$32,10,FALSE),
IF($A187&lt;FlexibleRepairCouplings!$A$12,VLOOKUP($A187,FlexibleRepairCouplings!$A$9:$M$11,10,FALSE),
IF($A187&lt;DuraFix!$A$15,VLOOKUP($A187,DuraFix!$A$9:$M$14,10,FALSE),
IF($A187&lt;'Compression Fittings'!$A$16,VLOOKUP($A187,'Compression Fittings'!$A$8:$M$15,10,FALSE),
IF($A187&lt;'Hose Fittings'!$A$30,VLOOKUP($A187,'Hose Fittings'!$A$8:$M$29,10,FALSE),
IF($A187&lt;'Swing Joints'!$A$495,VLOOKUP($A187,'Swing Joints'!$A$9:$M$494,10,FALSE),
IF($A187&lt;'Swing Joints Components'!$A$135,VLOOKUP($A187,'Swing Joints Components'!$A$9:$M$134,10,FALSE),
IF($A187&lt;Nonstandard!$A$42,VLOOKUP($A187,Nonstandard!$A$31:$J$41,10,FALSE),"")))))))))))))))))))))))))))),"")</f>
        <v/>
      </c>
      <c r="L187" s="314" t="str">
        <f t="shared" si="4"/>
        <v>-</v>
      </c>
      <c r="M187" s="315"/>
    </row>
    <row r="188" spans="1:13" ht="15.6">
      <c r="A188" s="536">
        <v>156</v>
      </c>
      <c r="B188" s="536" t="str">
        <f>IFERROR(IF($A188&lt;'DWV PVC'!$A$317,VLOOKUP($A188,'DWV PVC'!$A$9:$M$316,4,FALSE),
IF($A188&lt;'DWV ABS'!$A$117,VLOOKUP($A188,'DWV ABS'!$A$8:$M$116,4,FALSE),
IF($A188&lt;'PVC SCH40'!$A$425,VLOOKUP($A188,'PVC SCH40'!$A$8:$M$424,4,FALSE),
IF($A188&lt;'PVC SCH40 LD'!$A$22,VLOOKUP($A188,'PVC SCH40 LD'!$A$8:$M$21,4,FALSE),
IF($A188&lt;'Pool &amp; SPA Sweep Elbows'!$A$12,VLOOKUP($A188,'Pool &amp; SPA Sweep Elbows'!$A$8:$M$11,4,FALSE),
IF($A188&lt;'Pool &amp; SPA Pipe Extender'!$A$11,VLOOKUP($A188,'Pool &amp; SPA Pipe Extender'!$A$8:$M$10,4,FALSE),
IF($A188&lt;'PVC SCH80'!$A$250,VLOOKUP($A188,'PVC SCH80'!$A$8:$M$249,4,FALSE),
IF($A188&lt;'PVC SCH80 Flange'!$A$49,VLOOKUP($A188,'PVC SCH80 Flange'!$A$8:$M$48,4,FALSE),
IF($A188&lt;'PVC SCH80 LD Flange'!$A$17,VLOOKUP($A188,'PVC SCH80 LD Flange'!$A$8:$M$16,4,FALSE),
IF($A188&lt;CPVC!$A$105,VLOOKUP($A188,CPVC!$A$9:$M$104,4,FALSE),
IF($A188&lt;InsertFittings!$A$185,VLOOKUP($A188,InsertFittings!$A$9:$M$184,4,FALSE),
IF($A188&lt;Valves!$A$92,VLOOKUP($A188,Valves!$A$9:$Q$91,4,FALSE),
IF($A188&lt;SDR35SW!$A$133,VLOOKUP($A188,SDR35SW!$A$9:$M$132,4,FALSE),
IF($A188&lt;SDR35G!$A$151,VLOOKUP($A188,SDR35G!$A$9:$M$150,4,FALSE),
IF($A188&lt;SDR26G!$A$67,VLOOKUP($A188,SDR26G!$A$9:$N$66,5,FALSE),
IF($A188&lt;Cements!$A$95,VLOOKUP($A188,Cements!$A$8:$Q$94,4,FALSE),
IF($A188&lt;ValveBox!$A$124,VLOOKUP($A188,ValveBox!$A$9:$O$123,4,FALSE),
IF($A188&lt;'ValveBox Components'!$A$142,VLOOKUP($A188,'ValveBox Components'!$A$9:$N$141,4,FALSE),
IF($A188&lt;Drainage!$A$69,VLOOKUP($A188,Drainage!$A$8:$M$68,4,FALSE),
IF($A188&lt;Nipples!$A$82,VLOOKUP($A188,Nipples!$A$9:$Q$81,4,FALSE),
IF($A188&lt;Manifold!$A$33,VLOOKUP($A188,Manifold!$A$9:$M$32,4,FALSE),
IF($A188&lt;FlexibleRepairCouplings!$A$12,VLOOKUP($A188,FlexibleRepairCouplings!$A$9:$M$11,4,FALSE),
IF($A188&lt;DuraFix!$A$15,VLOOKUP($A188,DuraFix!$A$9:$M$14,4,FALSE),
IF($A188&lt;'Compression Fittings'!$A$16,VLOOKUP($A188,'Compression Fittings'!$A$8:$M$15,4,FALSE),
IF($A188&lt;'Hose Fittings'!$A$30,VLOOKUP($A188,'Hose Fittings'!$A$8:$M$29,4,FALSE),
IF($A188&lt;'Swing Joints'!$A$495,VLOOKUP($A188,'Swing Joints'!$A$9:$M$494,4,FALSE),
IF($A188&lt;'Swing Joints Components'!$A$135,VLOOKUP($A188,'Swing Joints Components'!$A$9:$M$134,4,FALSE),
IF($A188&lt;Nonstandard!$A$42,VLOOKUP($A188,Nonstandard!$A$31:$J$41,5,FALSE),"")))))))))))))))))))))))))))),"")</f>
        <v/>
      </c>
      <c r="C188" s="536" t="str">
        <f>IFERROR(IF($A188&lt;'DWV PVC'!$A$317,VLOOKUP($A188,'DWV PVC'!$A$9:$M$316,5,FALSE),
IF($A188&lt;'DWV ABS'!$A$117,VLOOKUP($A188,'DWV ABS'!$A$8:$M$116,5,FALSE),
IF($A188&lt;'PVC SCH40'!$A$425,VLOOKUP($A188,'PVC SCH40'!$A$8:$M$424,5,FALSE),
IF($A188&lt;'PVC SCH40 LD'!$A$22,VLOOKUP($A188,'PVC SCH40 LD'!$A$8:$M$21,5,FALSE),
IF($A188&lt;'Pool &amp; SPA Sweep Elbows'!$A$12,VLOOKUP($A188,'Pool &amp; SPA Sweep Elbows'!$A$8:$M$11,5,FALSE),
IF($A188&lt;'Pool &amp; SPA Pipe Extender'!$A$11,VLOOKUP($A188,'Pool &amp; SPA Pipe Extender'!$A$8:$M$10,5,FALSE),
IF($A188&lt;'PVC SCH80'!$A$250,VLOOKUP($A188,'PVC SCH80'!$A$8:$M$249,5,FALSE),
IF($A188&lt;'PVC SCH80 Flange'!$A$49,VLOOKUP($A188,'PVC SCH80 Flange'!$A$8:$M$48,5,FALSE),
IF($A188&lt;'PVC SCH80 LD Flange'!$A$17,VLOOKUP($A188,'PVC SCH80 LD Flange'!$A$8:$M$16,5,FALSE),
IF($A188&lt;CPVC!$A$105,VLOOKUP($A188,CPVC!$A$9:$M$104,5,FALSE),
IF($A188&lt;InsertFittings!$A$185,VLOOKUP($A188,InsertFittings!$A$9:$M$184,5,FALSE),
IF($A188&lt;Valves!$A$92,VLOOKUP($A188,Valves!$A$9:$Q$91,5,FALSE),
IF($A188&lt;SDR35SW!$A$133,VLOOKUP($A188,SDR35SW!$A$9:$M$132,5,FALSE),
IF($A188&lt;SDR35G!$A$151,VLOOKUP($A188,SDR35G!$A$9:$M$150,5,FALSE),
IF($A188&lt;SDR26G!$A$67,VLOOKUP($A188,SDR26G!$A$9:$N$66,6,FALSE),
IF($A188&lt;Cements!$A$95,VLOOKUP($A188,Cements!$A$8:$Q$94,5,FALSE),
IF($A188&lt;ValveBox!$A$124,VLOOKUP($A188,ValveBox!$A$9:$O$123,5,FALSE),
IF($A188&lt;'ValveBox Components'!$A$142,VLOOKUP($A188,'ValveBox Components'!$A$9:$N$141,5,FALSE),
IF($A188&lt;Drainage!$A$69,VLOOKUP($A188,Drainage!$A$8:$M$68,5,FALSE),
IF($A188&lt;Nipples!$A$82,VLOOKUP($A188,Nipples!$A$9:$Q$81,5,FALSE),
IF($A188&lt;Manifold!$A$33,VLOOKUP($A188,Manifold!$A$9:$M$32,5,FALSE),
IF($A188&lt;FlexibleRepairCouplings!$A$12,VLOOKUP($A188,FlexibleRepairCouplings!$A$9:$M$11,5,FALSE),
IF($A188&lt;DuraFix!$A$15,VLOOKUP($A188,DuraFix!$A$9:$M$14,5,FALSE),
IF($A188&lt;'Compression Fittings'!$A$16,VLOOKUP($A188,'Compression Fittings'!$A$8:$M$15,5,FALSE),
IF($A188&lt;'Hose Fittings'!$A$30,VLOOKUP($A188,'Hose Fittings'!$A$8:$M$29,5,FALSE),
IF($A188&lt;'Swing Joints'!$A$495,VLOOKUP($A188,'Swing Joints'!$A$9:$M$494,5,FALSE),
IF($A188&lt;'Swing Joints Components'!$A$135,VLOOKUP($A188,'Swing Joints Components'!$A$9:$M$134,5,FALSE),
IF($A188&lt;Nonstandard!$A$42,VLOOKUP($A188,Nonstandard!$A$31:$J$41,6,FALSE),"")))))))))))))))))))))))))))),"")</f>
        <v/>
      </c>
      <c r="D188" s="537" t="str">
        <f>IFERROR(IF($A188&lt;'DWV PVC'!$A$317,VLOOKUP($A188,'DWV PVC'!$A$9:$M$316,6,FALSE),
IF($A188&lt;'DWV ABS'!$A$117,VLOOKUP($A188,'DWV ABS'!$A$8:$M$116,6,FALSE),
IF($A188&lt;'PVC SCH40'!$A$425,VLOOKUP($A188,'PVC SCH40'!$A$8:$M$424,6,FALSE),
IF($A188&lt;'PVC SCH40 LD'!$A$22,VLOOKUP($A188,'PVC SCH40 LD'!$A$8:$M$21,6,FALSE),
IF($A188&lt;'Pool &amp; SPA Sweep Elbows'!$A$12,VLOOKUP($A188,'Pool &amp; SPA Sweep Elbows'!$A$8:$M$11,6,FALSE),
IF($A188&lt;'Pool &amp; SPA Pipe Extender'!$A$11,VLOOKUP($A188,'Pool &amp; SPA Pipe Extender'!$A$8:$M$10,6,FALSE),
IF($A188&lt;'PVC SCH80'!$A$250,VLOOKUP($A188,'PVC SCH80'!$A$8:$M$249,6,FALSE),
IF($A188&lt;'PVC SCH80 Flange'!$A$49,VLOOKUP($A188,'PVC SCH80 Flange'!$A$8:$M$48,6,FALSE),
IF($A188&lt;'PVC SCH80 LD Flange'!$A$17,VLOOKUP($A188,'PVC SCH80 LD Flange'!$A$8:$M$16,6,FALSE),
IF($A188&lt;CPVC!$A$105,VLOOKUP($A188,CPVC!$A$9:$M$104,6,FALSE),
IF($A188&lt;InsertFittings!$A$185,VLOOKUP($A188,InsertFittings!$A$9:$M$184,6,FALSE),
IF($A188&lt;Valves!$A$92,VLOOKUP($A188,Valves!$A$9:$Q$91,6,FALSE),
IF($A188&lt;SDR35SW!$A$133,VLOOKUP($A188,SDR35SW!$A$9:$M$132,6,FALSE),
IF($A188&lt;SDR35G!$A$151,VLOOKUP($A188,SDR35G!$A$9:$M$150,6,FALSE),
IF($A188&lt;SDR26G!$A$67,VLOOKUP($A188,SDR26G!$A$9:$N$66,7,FALSE),
IF($A188&lt;Cements!$A$95,VLOOKUP($A188,Cements!$A$8:$Q$94,6,FALSE),
IF($A188&lt;ValveBox!$A$124,VLOOKUP($A188,ValveBox!$A$9:$O$123,6,FALSE),
IF($A188&lt;'ValveBox Components'!$A$142,VLOOKUP($A188,'ValveBox Components'!$A$9:$N$141,6,FALSE),
IF($A188&lt;Drainage!$A$69,VLOOKUP($A188,Drainage!$A$8:$M$68,6,FALSE),
IF($A188&lt;Nipples!$A$82,VLOOKUP($A188,Nipples!$A$9:$Q$81,6,FALSE),
IF($A188&lt;Manifold!$A$33,VLOOKUP($A188,Manifold!$A$9:$M$32,6,FALSE),
IF($A188&lt;FlexibleRepairCouplings!$A$12,VLOOKUP($A188,FlexibleRepairCouplings!$A$9:$M$11,6,FALSE),
IF($A188&lt;DuraFix!$A$15,VLOOKUP($A188,DuraFix!$A$9:$M$14,6,FALSE),
IF($A188&lt;'Compression Fittings'!$A$16,VLOOKUP($A188,'Compression Fittings'!$A$8:$M$15,6,FALSE),
IF($A188&lt;'Hose Fittings'!$A$30,VLOOKUP($A188,'Hose Fittings'!$A$8:$M$29,6,FALSE),
IF($A188&lt;'Swing Joints'!$A$495,VLOOKUP($A188,'Swing Joints'!$A$9:$M$494,6,FALSE),
IF($A188&lt;'Swing Joints Components'!$A$135,VLOOKUP($A188,'Swing Joints Components'!$A$9:$M$134,6,FALSE),
IF($A188&lt;Nonstandard!$A$42,VLOOKUP($A188,Nonstandard!$A$31:$J$41,7,FALSE),"")))))))))))))))))))))))))))),"")</f>
        <v/>
      </c>
      <c r="E188" s="538"/>
      <c r="F188" s="539" t="str">
        <f>IFERROR(IF($A188&lt;'DWV PVC'!$A$317,VLOOKUP($A188,'DWV PVC'!$A$9:$M$316,9,FALSE),
IF($A188&lt;'DWV ABS'!$A$117,VLOOKUP($A188,'DWV ABS'!$A$8:$M$116,9,FALSE),                                                                                                                                                                                                                                                     IF($A188&lt;'PVC SCH40'!$A$425,VLOOKUP($A188,'PVC SCH40'!$A$8:$M$424,9,FALSE),
IF($A188&lt;'PVC SCH40 LD'!$A$22,VLOOKUP($A188,'PVC SCH40 LD'!$A$8:$M$21,9,FALSE),
IF($A188&lt;'Pool &amp; SPA Sweep Elbows'!$A$12,VLOOKUP($A188,'Pool &amp; SPA Sweep Elbows'!$A$8:$M$11,9,FALSE),
IF($A188&lt;'Pool &amp; SPA Pipe Extender'!$A$11,VLOOKUP($A188,'Pool &amp; SPA Pipe Extender'!$A$8:$M$10,9,FALSE),
IF($A188&lt;'PVC SCH80'!$A$250,VLOOKUP($A188,'PVC SCH80'!$A$8:$M$249,9,FALSE),
IF($A188&lt;'PVC SCH80 Flange'!$A$49,VLOOKUP($A188,'PVC SCH80 Flange'!$A$8:$M$48,9,FALSE),
IF($A188&lt;'PVC SCH80 LD Flange'!$A$17,VLOOKUP($A188,'PVC SCH80 LD Flange'!$A$8:$M$16,9,FALSE),
IF($A188&lt;CPVC!$A$105,VLOOKUP($A188,CPVC!$A$9:$M$104,9,FALSE),
IF($A188&lt;InsertFittings!$A$185,VLOOKUP($A188,InsertFittings!$A$9:$M$184,9,FALSE),
IF($A188&lt;Valves!$A$92,VLOOKUP($A188,Valves!$A$9:$Q$91,13,FALSE),
IF($A188&lt;SDR35SW!$A$133,VLOOKUP($A188,SDR35SW!$A$9:$M$132,9,FALSE),
IF($A188&lt;SDR35G!$A$151,VLOOKUP($A188,SDR35G!$A$9:$M$150,9,FALSE),                                                                                                                                                                                                                                                          IF($A188&lt;SDR26G!$A$67,VLOOKUP($A188,SDR26G!$A$9:$N$66,10,FALSE),                                                                                                                                                                                                                                                       IF($A188&lt;Cements!$A$95,VLOOKUP($A188,Cements!$A$8:$Q$94,13,FALSE),
IF($A188&lt;ValveBox!$A$124,VLOOKUP($A188,ValveBox!$A$9:$O$123,11,FALSE),
IF($A188&lt;'ValveBox Components'!$A$142,VLOOKUP($A188,'ValveBox Components'!$A$9:$N$141,10,FALSE),
IF($A188&lt;Drainage!$A$69,VLOOKUP($A188,Drainage!$A$8:$M$68,9,FALSE),                                                                                                                                                                                                                                                              IF($A188&lt;Nipples!$A$82,VLOOKUP($A188,Nipples!$A$9:$Q$81,13,FALSE),
IF($A188&lt;Manifold!$A$33,VLOOKUP($A188,Manifold!$A$9:$M$32,9,FALSE),
IF($A188&lt;FlexibleRepairCouplings!$A$12,VLOOKUP($A188,FlexibleRepairCouplings!$A$9:$M$11,9,FALSE),
IF($A188&lt;DuraFix!$A$15,VLOOKUP($A188,DuraFix!$A$9:$M$14,9,FALSE),                                                                                                                                                                                                                                                          IF($A188&lt;'Compression Fittings'!$A$16,VLOOKUP($A188,'Compression Fittings'!$A$8:$M$15,9,FALSE),
IF($A188&lt;'Hose Fittings'!$A$30,VLOOKUP($A188,'Hose Fittings'!$A$8:$M$29,9,FALSE),
IF($A188&lt;'Swing Joints'!$A$495,VLOOKUP($A188,'Swing Joints'!$A$9:$M$494,9,FALSE),
IF($A188&lt;'Swing Joints Components'!$A$135,VLOOKUP($A188,'Swing Joints Components'!$A$9:$M$134,9,FALSE),
IF($A188&lt;Nonstandard!$A$42,VLOOKUP($A188,Nonstandard!$A$31:$J$41,8,FALSE),"")))))))))))))))))))))))))))),"")</f>
        <v/>
      </c>
      <c r="G188" s="540" t="str">
        <f>IFERROR(IF($A188&lt;'DWV PVC'!$A$317,VLOOKUP($A188,'DWV PVC'!$A$9:$M$316,11,FALSE),
IF($A188&lt;'DWV ABS'!$A$117,VLOOKUP($A188,'DWV ABS'!$A$8:$M$116,11,FALSE),                                                                                                                                                                                                                                                     IF($A188&lt;'PVC SCH40'!$A$425,VLOOKUP($A188,'PVC SCH40'!$A$8:$M$424,11,FALSE),
IF($A188&lt;'PVC SCH40 LD'!$A$22,VLOOKUP($A188,'PVC SCH40 LD'!$A$8:$M$21,11,FALSE),
IF($A188&lt;'Pool &amp; SPA Sweep Elbows'!$A$12,VLOOKUP($A188,'Pool &amp; SPA Sweep Elbows'!$A$8:$M$11,11,FALSE),
IF($A188&lt;'Pool &amp; SPA Pipe Extender'!$A$11,VLOOKUP($A188,'Pool &amp; SPA Pipe Extender'!$A$8:$M$10,11,FALSE),
IF($A188&lt;'PVC SCH80'!$A$250,VLOOKUP($A188,'PVC SCH80'!$A$8:$M$249,11,FALSE),
IF($A188&lt;'PVC SCH80 Flange'!$A$49,VLOOKUP($A188,'PVC SCH80 Flange'!$A$8:$M$48,11,FALSE),
IF($A188&lt;'PVC SCH80 LD Flange'!$A$17,VLOOKUP($A188,'PVC SCH80 LD Flange'!$A$8:$M$16,11,FALSE),
IF($A188&lt;CPVC!$A$105,VLOOKUP($A188,CPVC!$A$9:$M$104,11,FALSE),
IF($A188&lt;InsertFittings!$A$185,VLOOKUP($A188,InsertFittings!$A$9:$M$184,11,FALSE),
IF($A188&lt;Valves!$A$92,VLOOKUP($A188,Valves!$A$9:$Q$91,15,FALSE),
IF($A188&lt;SDR35SW!$A$133,VLOOKUP($A188,SDR35SW!$A$9:$M$132,11,FALSE),
IF($A188&lt;SDR35G!$A$151,VLOOKUP($A188,SDR35G!$A$9:$M$150,11,FALSE),                                                                                                                                                                                                                                                          IF($A188&lt;SDR26G!$A$67,VLOOKUP($A188,SDR26G!$A$9:$N$66,12,FALSE),                                                                                                                                                                                                                                                       IF($A188&lt;Cements!$A$95,VLOOKUP($A188,Cements!$A$8:$Q$94,15,FALSE),
IF($A188&lt;ValveBox!$A$124,VLOOKUP($A188,ValveBox!$A$9:$O$123,13,FALSE),
IF($A188&lt;'ValveBox Components'!$A$142,VLOOKUP($A188,'ValveBox Components'!$A$9:$N$141,12,FALSE),
IF($A188&lt;Drainage!$A$69,VLOOKUP($A188,Drainage!$A$8:$M$68,11,FALSE),                                                                                                                                                                                                                                                           IF($A188&lt;Nipples!$A$82,VLOOKUP($A188,Nipples!$A$9:$Q$81,15,FALSE),
IF($A188&lt;Manifold!$A$33,VLOOKUP($A188,Manifold!$A$9:$M$32,11,FALSE),
IF($A188&lt;FlexibleRepairCouplings!$A$12,VLOOKUP($A188,FlexibleRepairCouplings!$A$9:$M$11,11,FALSE),
IF($A188&lt;DuraFix!$A$15,VLOOKUP($A188,DuraFix!$A$9:$M$14,11,FALSE),                                                                                                                                                                                                                                                            IF($A188&lt;'Compression Fittings'!$A$16,VLOOKUP($A188,'Compression Fittings'!$A$8:$M$15,11,FALSE),
IF($A188&lt;'Hose Fittings'!$A$30,VLOOKUP($A188,'Hose Fittings'!$A$8:$M$29,11,FALSE),
IF($A188&lt;'Swing Joints'!$A$495,VLOOKUP($A188,'Swing Joints'!$A$9:$M$494,11,FALSE),
IF($A188&lt;'Swing Joints Components'!$A$135,VLOOKUP($A188,'Swing Joints Components'!$A$9:$M$134,11,FALSE),
IF($A188&lt;Nonstandard!$A$42,VLOOKUP($A188,Nonstandard!$A$31:$J$41,10,FALSE),"")))))))))))))))))))))))))))),"")</f>
        <v/>
      </c>
      <c r="H188" s="620" t="str">
        <f>IFERROR(IF($A188&lt;'DWV PVC'!$A$317,VLOOKUP($A188,'DWV PVC'!$A$9:$M$316,7,FALSE),
IF($A188&lt;'DWV ABS'!$A$117,VLOOKUP($A188,'DWV ABS'!$A$8:$M$116,11,FALSE),                                                                                                                                                                                                                                                     IF($A188&lt;'PVC SCH40'!$A$425,VLOOKUP($A188,'PVC SCH40'!$A$8:$M$424,7,FALSE),
IF($A188&lt;'PVC SCH40 LD'!$A$22,VLOOKUP($A188,'PVC SCH40 LD'!$A$8:$M$21,7,FALSE),
IF($A188&lt;'Pool &amp; SPA Sweep Elbows'!$A$12,VLOOKUP($A188,'Pool &amp; SPA Sweep Elbows'!$A$8:$M$11,7,FALSE),
IF($A188&lt;'Pool &amp; SPA Pipe Extender'!$A$11,VLOOKUP($A188,'Pool &amp; SPA Pipe Extender'!$A$8:$M$10,7,FALSE),
IF($A188&lt;'PVC SCH80'!$A$250,VLOOKUP($A188,'PVC SCH80'!$A$8:$M$249,7,FALSE),
IF($A188&lt;'PVC SCH80 Flange'!$A$49,VLOOKUP($A188,'PVC SCH80 Flange'!$A$8:$M$48,7,FALSE),
IF($A188&lt;'PVC SCH80 LD Flange'!$A$17,VLOOKUP($A188,'PVC SCH80 LD Flange'!$A$8:$M$16,7,FALSE),
IF($A188&lt;CPVC!$A$105,VLOOKUP($A188,CPVC!$A$9:$M$104,7,FALSE),
IF($A188&lt;InsertFittings!$A$185,VLOOKUP($A188,InsertFittings!$A$9:$M$184,7,FALSE),
IF($A188&lt;Valves!$A$92,VLOOKUP($A188,Valves!$A$9:$Q$91,11,FALSE),
IF($A188&lt;SDR35SW!$A$133,VLOOKUP($A188,SDR35SW!$A$9:$M$132,7,FALSE),
IF($A188&lt;SDR35G!$A$151,VLOOKUP($A188,SDR35G!$A$9:$M$150,7,FALSE),                                                                                                                                                                                                                                                       IF($A188&lt;SDR26G!$A$67,VLOOKUP($A188,SDR26G!$A$9:$N$66,8,FALSE),                                                                                                                                                                                                                                                     IF($A188&lt;Cements!$A$95,VLOOKUP($A188,Cements!$A$8:$Q$94,11,FALSE),
IF($A188&lt;ValveBox!$A$124,VLOOKUP($A188,ValveBox!$A$9:$O$123,10,FALSE),
IF($A188&lt;'ValveBox Components'!$A$142,VLOOKUP($A188,'ValveBox Components'!$A$9:$N$141,9,FALSE),
IF($A188&lt;Drainage!$A$69,VLOOKUP($A188,Drainage!$A$8:$M$68,7,FALSE),                                                                                                                                                                                                                                                          IF($A188&lt;Nipples!$A$82,VLOOKUP($A188,Nipples!$A$9:$Q$81,11,FALSE),
IF($A188&lt;Manifold!$A$33,VLOOKUP($A188,Manifold!$A$9:$M$32,7,FALSE),
IF($A188&lt;FlexibleRepairCouplings!$A$12,VLOOKUP($A188,FlexibleRepairCouplings!$A$9:$M$11,7,FALSE),
IF($A188&lt;DuraFix!$A$15,VLOOKUP($A188,DuraFix!$A$9:$M$14,7,FALSE),                                                                                                                                                                                                                                                           IF($A188&lt;'Compression Fittings'!$A$16,VLOOKUP($A188,'Compression Fittings'!$A$8:$M$15,7,FALSE),
IF($A188&lt;'Hose Fittings'!$A$30,VLOOKUP($A188,'Hose Fittings'!$A$8:$M$29,7,FALSE),
IF($A188&lt;'Swing Joints'!$A$495,VLOOKUP($A188,'Swing Joints'!$A$9:$M$494,7,FALSE),
IF($A188&lt;'Swing Joints Components'!$A$135,VLOOKUP($A188,'Swing Joints Components'!$A$9:$M$134,7,FALSE),
IF($A188&lt;Nonstandard!$A$42,VLOOKUP($A188,Nonstandard!$A$31:$J$41,10,FALSE),"")))))))))))))))))))))))))))),"")</f>
        <v/>
      </c>
      <c r="I188" s="621"/>
      <c r="J188" s="541" t="str">
        <f t="shared" si="5"/>
        <v/>
      </c>
      <c r="K188" s="599" t="str">
        <f>IFERROR(IF($A188&lt;'DWV PVC'!$A$317,VLOOKUP($A188,'DWV PVC'!$A$9:$M$316,10,FALSE),
IF($A188&lt;'DWV ABS'!$A$117,VLOOKUP($A188,'DWV ABS'!$A$8:$M$116,10,FALSE),
IF($A188&lt;'PVC SCH40'!$A$425,VLOOKUP($A188,'PVC SCH40'!$A$8:$M$424,10,FALSE),
IF($A188&lt;'PVC SCH40 LD'!$A$22,VLOOKUP($A188,'PVC SCH40 LD'!$A$8:$M$21,10,FALSE),
IF($A188&lt;'Pool &amp; SPA Sweep Elbows'!$A$12,VLOOKUP($A188,'Pool &amp; SPA Sweep Elbows'!$A$8:$M$11,10,FALSE),
IF($A188&lt;'Pool &amp; SPA Pipe Extender'!$A$11,VLOOKUP($A188,'Pool &amp; SPA Pipe Extender'!$A$8:$M$10,10,FALSE),
IF($A188&lt;'PVC SCH80'!$A$250,VLOOKUP($A188,'PVC SCH80'!$A$8:$M$249,10,FALSE),
IF($A188&lt;'PVC SCH80 Flange'!$A$49,VLOOKUP($A188,'PVC SCH80 Flange'!$A$8:$M$48,10,FALSE),
IF($A188&lt;'PVC SCH80 LD Flange'!$A$17,VLOOKUP($A188,'PVC SCH80 LD Flange'!$A$8:$M$16,10,FALSE),
IF($A188&lt;CPVC!$A$105,VLOOKUP($A188,CPVC!$A$9:$M$104,10,FALSE),
IF($A188&lt;InsertFittings!$A$185,VLOOKUP($A188,InsertFittings!$A$9:$M$184,10,FALSE),
IF($A188&lt;Valves!$A$92,VLOOKUP($A188,Valves!$A$9:$Q$91,14,FALSE),
IF($A188&lt;SDR35SW!$A$133,VLOOKUP($A188,SDR35SW!$A$9:$M$132,10,FALSE),
IF($A188&lt;SDR35G!$A$151,VLOOKUP($A188,SDR35G!$A$9:$M$150,10,FALSE),
IF($A188&lt;SDR26G!$A$67,VLOOKUP($A188,SDR26G!$A$9:$N$66,11,FALSE),
IF($A188&lt;Cements!$A$95,VLOOKUP($A188,Cements!$A$8:$Q$94,14,FALSE),
IF($A188&lt;ValveBox!$A$124,VLOOKUP($A188,ValveBox!$A$9:$O$123,12,FALSE),
IF($A188&lt;'ValveBox Components'!$A$142,VLOOKUP($A188,'ValveBox Components'!$A$9:$N$141,11,FALSE),
IF($A188&lt;Drainage!$A$69,VLOOKUP($A188,Drainage!$A$8:$M$68,10,FALSE),
IF($A188&lt;Nipples!$A$82,VLOOKUP($A188,Nipples!$A$9:$Q$81,14,FALSE),
IF($A188&lt;Manifold!$A$33,VLOOKUP($A188,Manifold!$A$9:$M$32,10,FALSE),
IF($A188&lt;FlexibleRepairCouplings!$A$12,VLOOKUP($A188,FlexibleRepairCouplings!$A$9:$M$11,10,FALSE),
IF($A188&lt;DuraFix!$A$15,VLOOKUP($A188,DuraFix!$A$9:$M$14,10,FALSE),
IF($A188&lt;'Compression Fittings'!$A$16,VLOOKUP($A188,'Compression Fittings'!$A$8:$M$15,10,FALSE),
IF($A188&lt;'Hose Fittings'!$A$30,VLOOKUP($A188,'Hose Fittings'!$A$8:$M$29,10,FALSE),
IF($A188&lt;'Swing Joints'!$A$495,VLOOKUP($A188,'Swing Joints'!$A$9:$M$494,10,FALSE),
IF($A188&lt;'Swing Joints Components'!$A$135,VLOOKUP($A188,'Swing Joints Components'!$A$9:$M$134,10,FALSE),
IF($A188&lt;Nonstandard!$A$42,VLOOKUP($A188,Nonstandard!$A$31:$J$41,10,FALSE),"")))))))))))))))))))))))))))),"")</f>
        <v/>
      </c>
      <c r="L188" s="539" t="str">
        <f t="shared" si="4"/>
        <v>-</v>
      </c>
      <c r="M188" s="542"/>
    </row>
    <row r="189" spans="1:13" ht="15.6">
      <c r="A189" s="312">
        <v>157</v>
      </c>
      <c r="B189" s="312" t="str">
        <f>IFERROR(IF($A189&lt;'DWV PVC'!$A$317,VLOOKUP($A189,'DWV PVC'!$A$9:$M$316,4,FALSE),
IF($A189&lt;'DWV ABS'!$A$117,VLOOKUP($A189,'DWV ABS'!$A$8:$M$116,4,FALSE),
IF($A189&lt;'PVC SCH40'!$A$425,VLOOKUP($A189,'PVC SCH40'!$A$8:$M$424,4,FALSE),
IF($A189&lt;'PVC SCH40 LD'!$A$22,VLOOKUP($A189,'PVC SCH40 LD'!$A$8:$M$21,4,FALSE),
IF($A189&lt;'Pool &amp; SPA Sweep Elbows'!$A$12,VLOOKUP($A189,'Pool &amp; SPA Sweep Elbows'!$A$8:$M$11,4,FALSE),
IF($A189&lt;'Pool &amp; SPA Pipe Extender'!$A$11,VLOOKUP($A189,'Pool &amp; SPA Pipe Extender'!$A$8:$M$10,4,FALSE),
IF($A189&lt;'PVC SCH80'!$A$250,VLOOKUP($A189,'PVC SCH80'!$A$8:$M$249,4,FALSE),
IF($A189&lt;'PVC SCH80 Flange'!$A$49,VLOOKUP($A189,'PVC SCH80 Flange'!$A$8:$M$48,4,FALSE),
IF($A189&lt;'PVC SCH80 LD Flange'!$A$17,VLOOKUP($A189,'PVC SCH80 LD Flange'!$A$8:$M$16,4,FALSE),
IF($A189&lt;CPVC!$A$105,VLOOKUP($A189,CPVC!$A$9:$M$104,4,FALSE),
IF($A189&lt;InsertFittings!$A$185,VLOOKUP($A189,InsertFittings!$A$9:$M$184,4,FALSE),
IF($A189&lt;Valves!$A$92,VLOOKUP($A189,Valves!$A$9:$Q$91,4,FALSE),
IF($A189&lt;SDR35SW!$A$133,VLOOKUP($A189,SDR35SW!$A$9:$M$132,4,FALSE),
IF($A189&lt;SDR35G!$A$151,VLOOKUP($A189,SDR35G!$A$9:$M$150,4,FALSE),
IF($A189&lt;SDR26G!$A$67,VLOOKUP($A189,SDR26G!$A$9:$N$66,5,FALSE),
IF($A189&lt;Cements!$A$95,VLOOKUP($A189,Cements!$A$8:$Q$94,4,FALSE),
IF($A189&lt;ValveBox!$A$124,VLOOKUP($A189,ValveBox!$A$9:$O$123,4,FALSE),
IF($A189&lt;'ValveBox Components'!$A$142,VLOOKUP($A189,'ValveBox Components'!$A$9:$N$141,4,FALSE),
IF($A189&lt;Drainage!$A$69,VLOOKUP($A189,Drainage!$A$8:$M$68,4,FALSE),
IF($A189&lt;Nipples!$A$82,VLOOKUP($A189,Nipples!$A$9:$Q$81,4,FALSE),
IF($A189&lt;Manifold!$A$33,VLOOKUP($A189,Manifold!$A$9:$M$32,4,FALSE),
IF($A189&lt;FlexibleRepairCouplings!$A$12,VLOOKUP($A189,FlexibleRepairCouplings!$A$9:$M$11,4,FALSE),
IF($A189&lt;DuraFix!$A$15,VLOOKUP($A189,DuraFix!$A$9:$M$14,4,FALSE),
IF($A189&lt;'Compression Fittings'!$A$16,VLOOKUP($A189,'Compression Fittings'!$A$8:$M$15,4,FALSE),
IF($A189&lt;'Hose Fittings'!$A$30,VLOOKUP($A189,'Hose Fittings'!$A$8:$M$29,4,FALSE),
IF($A189&lt;'Swing Joints'!$A$495,VLOOKUP($A189,'Swing Joints'!$A$9:$M$494,4,FALSE),
IF($A189&lt;'Swing Joints Components'!$A$135,VLOOKUP($A189,'Swing Joints Components'!$A$9:$M$134,4,FALSE),
IF($A189&lt;Nonstandard!$A$42,VLOOKUP($A189,Nonstandard!$A$31:$J$41,5,FALSE),"")))))))))))))))))))))))))))),"")</f>
        <v/>
      </c>
      <c r="C189" s="312" t="str">
        <f>IFERROR(IF($A189&lt;'DWV PVC'!$A$317,VLOOKUP($A189,'DWV PVC'!$A$9:$M$316,5,FALSE),
IF($A189&lt;'DWV ABS'!$A$117,VLOOKUP($A189,'DWV ABS'!$A$8:$M$116,5,FALSE),
IF($A189&lt;'PVC SCH40'!$A$425,VLOOKUP($A189,'PVC SCH40'!$A$8:$M$424,5,FALSE),
IF($A189&lt;'PVC SCH40 LD'!$A$22,VLOOKUP($A189,'PVC SCH40 LD'!$A$8:$M$21,5,FALSE),
IF($A189&lt;'Pool &amp; SPA Sweep Elbows'!$A$12,VLOOKUP($A189,'Pool &amp; SPA Sweep Elbows'!$A$8:$M$11,5,FALSE),
IF($A189&lt;'Pool &amp; SPA Pipe Extender'!$A$11,VLOOKUP($A189,'Pool &amp; SPA Pipe Extender'!$A$8:$M$10,5,FALSE),
IF($A189&lt;'PVC SCH80'!$A$250,VLOOKUP($A189,'PVC SCH80'!$A$8:$M$249,5,FALSE),
IF($A189&lt;'PVC SCH80 Flange'!$A$49,VLOOKUP($A189,'PVC SCH80 Flange'!$A$8:$M$48,5,FALSE),
IF($A189&lt;'PVC SCH80 LD Flange'!$A$17,VLOOKUP($A189,'PVC SCH80 LD Flange'!$A$8:$M$16,5,FALSE),
IF($A189&lt;CPVC!$A$105,VLOOKUP($A189,CPVC!$A$9:$M$104,5,FALSE),
IF($A189&lt;InsertFittings!$A$185,VLOOKUP($A189,InsertFittings!$A$9:$M$184,5,FALSE),
IF($A189&lt;Valves!$A$92,VLOOKUP($A189,Valves!$A$9:$Q$91,5,FALSE),
IF($A189&lt;SDR35SW!$A$133,VLOOKUP($A189,SDR35SW!$A$9:$M$132,5,FALSE),
IF($A189&lt;SDR35G!$A$151,VLOOKUP($A189,SDR35G!$A$9:$M$150,5,FALSE),
IF($A189&lt;SDR26G!$A$67,VLOOKUP($A189,SDR26G!$A$9:$N$66,6,FALSE),
IF($A189&lt;Cements!$A$95,VLOOKUP($A189,Cements!$A$8:$Q$94,5,FALSE),
IF($A189&lt;ValveBox!$A$124,VLOOKUP($A189,ValveBox!$A$9:$O$123,5,FALSE),
IF($A189&lt;'ValveBox Components'!$A$142,VLOOKUP($A189,'ValveBox Components'!$A$9:$N$141,5,FALSE),
IF($A189&lt;Drainage!$A$69,VLOOKUP($A189,Drainage!$A$8:$M$68,5,FALSE),
IF($A189&lt;Nipples!$A$82,VLOOKUP($A189,Nipples!$A$9:$Q$81,5,FALSE),
IF($A189&lt;Manifold!$A$33,VLOOKUP($A189,Manifold!$A$9:$M$32,5,FALSE),
IF($A189&lt;FlexibleRepairCouplings!$A$12,VLOOKUP($A189,FlexibleRepairCouplings!$A$9:$M$11,5,FALSE),
IF($A189&lt;DuraFix!$A$15,VLOOKUP($A189,DuraFix!$A$9:$M$14,5,FALSE),
IF($A189&lt;'Compression Fittings'!$A$16,VLOOKUP($A189,'Compression Fittings'!$A$8:$M$15,5,FALSE),
IF($A189&lt;'Hose Fittings'!$A$30,VLOOKUP($A189,'Hose Fittings'!$A$8:$M$29,5,FALSE),
IF($A189&lt;'Swing Joints'!$A$495,VLOOKUP($A189,'Swing Joints'!$A$9:$M$494,5,FALSE),
IF($A189&lt;'Swing Joints Components'!$A$135,VLOOKUP($A189,'Swing Joints Components'!$A$9:$M$134,5,FALSE),
IF($A189&lt;Nonstandard!$A$42,VLOOKUP($A189,Nonstandard!$A$31:$J$41,6,FALSE),"")))))))))))))))))))))))))))),"")</f>
        <v/>
      </c>
      <c r="D189" s="534" t="str">
        <f>IFERROR(IF($A189&lt;'DWV PVC'!$A$317,VLOOKUP($A189,'DWV PVC'!$A$9:$M$316,6,FALSE),
IF($A189&lt;'DWV ABS'!$A$117,VLOOKUP($A189,'DWV ABS'!$A$8:$M$116,6,FALSE),
IF($A189&lt;'PVC SCH40'!$A$425,VLOOKUP($A189,'PVC SCH40'!$A$8:$M$424,6,FALSE),
IF($A189&lt;'PVC SCH40 LD'!$A$22,VLOOKUP($A189,'PVC SCH40 LD'!$A$8:$M$21,6,FALSE),
IF($A189&lt;'Pool &amp; SPA Sweep Elbows'!$A$12,VLOOKUP($A189,'Pool &amp; SPA Sweep Elbows'!$A$8:$M$11,6,FALSE),
IF($A189&lt;'Pool &amp; SPA Pipe Extender'!$A$11,VLOOKUP($A189,'Pool &amp; SPA Pipe Extender'!$A$8:$M$10,6,FALSE),
IF($A189&lt;'PVC SCH80'!$A$250,VLOOKUP($A189,'PVC SCH80'!$A$8:$M$249,6,FALSE),
IF($A189&lt;'PVC SCH80 Flange'!$A$49,VLOOKUP($A189,'PVC SCH80 Flange'!$A$8:$M$48,6,FALSE),
IF($A189&lt;'PVC SCH80 LD Flange'!$A$17,VLOOKUP($A189,'PVC SCH80 LD Flange'!$A$8:$M$16,6,FALSE),
IF($A189&lt;CPVC!$A$105,VLOOKUP($A189,CPVC!$A$9:$M$104,6,FALSE),
IF($A189&lt;InsertFittings!$A$185,VLOOKUP($A189,InsertFittings!$A$9:$M$184,6,FALSE),
IF($A189&lt;Valves!$A$92,VLOOKUP($A189,Valves!$A$9:$Q$91,6,FALSE),
IF($A189&lt;SDR35SW!$A$133,VLOOKUP($A189,SDR35SW!$A$9:$M$132,6,FALSE),
IF($A189&lt;SDR35G!$A$151,VLOOKUP($A189,SDR35G!$A$9:$M$150,6,FALSE),
IF($A189&lt;SDR26G!$A$67,VLOOKUP($A189,SDR26G!$A$9:$N$66,7,FALSE),
IF($A189&lt;Cements!$A$95,VLOOKUP($A189,Cements!$A$8:$Q$94,6,FALSE),
IF($A189&lt;ValveBox!$A$124,VLOOKUP($A189,ValveBox!$A$9:$O$123,6,FALSE),
IF($A189&lt;'ValveBox Components'!$A$142,VLOOKUP($A189,'ValveBox Components'!$A$9:$N$141,6,FALSE),
IF($A189&lt;Drainage!$A$69,VLOOKUP($A189,Drainage!$A$8:$M$68,6,FALSE),
IF($A189&lt;Nipples!$A$82,VLOOKUP($A189,Nipples!$A$9:$Q$81,6,FALSE),
IF($A189&lt;Manifold!$A$33,VLOOKUP($A189,Manifold!$A$9:$M$32,6,FALSE),
IF($A189&lt;FlexibleRepairCouplings!$A$12,VLOOKUP($A189,FlexibleRepairCouplings!$A$9:$M$11,6,FALSE),
IF($A189&lt;DuraFix!$A$15,VLOOKUP($A189,DuraFix!$A$9:$M$14,6,FALSE),
IF($A189&lt;'Compression Fittings'!$A$16,VLOOKUP($A189,'Compression Fittings'!$A$8:$M$15,6,FALSE),
IF($A189&lt;'Hose Fittings'!$A$30,VLOOKUP($A189,'Hose Fittings'!$A$8:$M$29,6,FALSE),
IF($A189&lt;'Swing Joints'!$A$495,VLOOKUP($A189,'Swing Joints'!$A$9:$M$494,6,FALSE),
IF($A189&lt;'Swing Joints Components'!$A$135,VLOOKUP($A189,'Swing Joints Components'!$A$9:$M$134,6,FALSE),
IF($A189&lt;Nonstandard!$A$42,VLOOKUP($A189,Nonstandard!$A$31:$J$41,7,FALSE),"")))))))))))))))))))))))))))),"")</f>
        <v/>
      </c>
      <c r="E189" s="316"/>
      <c r="F189" s="314" t="str">
        <f>IFERROR(IF($A189&lt;'DWV PVC'!$A$317,VLOOKUP($A189,'DWV PVC'!$A$9:$M$316,9,FALSE),
IF($A189&lt;'DWV ABS'!$A$117,VLOOKUP($A189,'DWV ABS'!$A$8:$M$116,9,FALSE),                                                                                                                                                                                                                                                     IF($A189&lt;'PVC SCH40'!$A$425,VLOOKUP($A189,'PVC SCH40'!$A$8:$M$424,9,FALSE),
IF($A189&lt;'PVC SCH40 LD'!$A$22,VLOOKUP($A189,'PVC SCH40 LD'!$A$8:$M$21,9,FALSE),
IF($A189&lt;'Pool &amp; SPA Sweep Elbows'!$A$12,VLOOKUP($A189,'Pool &amp; SPA Sweep Elbows'!$A$8:$M$11,9,FALSE),
IF($A189&lt;'Pool &amp; SPA Pipe Extender'!$A$11,VLOOKUP($A189,'Pool &amp; SPA Pipe Extender'!$A$8:$M$10,9,FALSE),
IF($A189&lt;'PVC SCH80'!$A$250,VLOOKUP($A189,'PVC SCH80'!$A$8:$M$249,9,FALSE),
IF($A189&lt;'PVC SCH80 Flange'!$A$49,VLOOKUP($A189,'PVC SCH80 Flange'!$A$8:$M$48,9,FALSE),
IF($A189&lt;'PVC SCH80 LD Flange'!$A$17,VLOOKUP($A189,'PVC SCH80 LD Flange'!$A$8:$M$16,9,FALSE),
IF($A189&lt;CPVC!$A$105,VLOOKUP($A189,CPVC!$A$9:$M$104,9,FALSE),
IF($A189&lt;InsertFittings!$A$185,VLOOKUP($A189,InsertFittings!$A$9:$M$184,9,FALSE),
IF($A189&lt;Valves!$A$92,VLOOKUP($A189,Valves!$A$9:$Q$91,13,FALSE),
IF($A189&lt;SDR35SW!$A$133,VLOOKUP($A189,SDR35SW!$A$9:$M$132,9,FALSE),
IF($A189&lt;SDR35G!$A$151,VLOOKUP($A189,SDR35G!$A$9:$M$150,9,FALSE),                                                                                                                                                                                                                                                          IF($A189&lt;SDR26G!$A$67,VLOOKUP($A189,SDR26G!$A$9:$N$66,10,FALSE),                                                                                                                                                                                                                                                       IF($A189&lt;Cements!$A$95,VLOOKUP($A189,Cements!$A$8:$Q$94,13,FALSE),
IF($A189&lt;ValveBox!$A$124,VLOOKUP($A189,ValveBox!$A$9:$O$123,11,FALSE),
IF($A189&lt;'ValveBox Components'!$A$142,VLOOKUP($A189,'ValveBox Components'!$A$9:$N$141,10,FALSE),
IF($A189&lt;Drainage!$A$69,VLOOKUP($A189,Drainage!$A$8:$M$68,9,FALSE),                                                                                                                                                                                                                                                              IF($A189&lt;Nipples!$A$82,VLOOKUP($A189,Nipples!$A$9:$Q$81,13,FALSE),
IF($A189&lt;Manifold!$A$33,VLOOKUP($A189,Manifold!$A$9:$M$32,9,FALSE),
IF($A189&lt;FlexibleRepairCouplings!$A$12,VLOOKUP($A189,FlexibleRepairCouplings!$A$9:$M$11,9,FALSE),
IF($A189&lt;DuraFix!$A$15,VLOOKUP($A189,DuraFix!$A$9:$M$14,9,FALSE),                                                                                                                                                                                                                                                          IF($A189&lt;'Compression Fittings'!$A$16,VLOOKUP($A189,'Compression Fittings'!$A$8:$M$15,9,FALSE),
IF($A189&lt;'Hose Fittings'!$A$30,VLOOKUP($A189,'Hose Fittings'!$A$8:$M$29,9,FALSE),
IF($A189&lt;'Swing Joints'!$A$495,VLOOKUP($A189,'Swing Joints'!$A$9:$M$494,9,FALSE),
IF($A189&lt;'Swing Joints Components'!$A$135,VLOOKUP($A189,'Swing Joints Components'!$A$9:$M$134,9,FALSE),
IF($A189&lt;Nonstandard!$A$42,VLOOKUP($A189,Nonstandard!$A$31:$J$41,8,FALSE),"")))))))))))))))))))))))))))),"")</f>
        <v/>
      </c>
      <c r="G189" s="533" t="str">
        <f>IFERROR(IF($A189&lt;'DWV PVC'!$A$317,VLOOKUP($A189,'DWV PVC'!$A$9:$M$316,11,FALSE),
IF($A189&lt;'DWV ABS'!$A$117,VLOOKUP($A189,'DWV ABS'!$A$8:$M$116,11,FALSE),                                                                                                                                                                                                                                                     IF($A189&lt;'PVC SCH40'!$A$425,VLOOKUP($A189,'PVC SCH40'!$A$8:$M$424,11,FALSE),
IF($A189&lt;'PVC SCH40 LD'!$A$22,VLOOKUP($A189,'PVC SCH40 LD'!$A$8:$M$21,11,FALSE),
IF($A189&lt;'Pool &amp; SPA Sweep Elbows'!$A$12,VLOOKUP($A189,'Pool &amp; SPA Sweep Elbows'!$A$8:$M$11,11,FALSE),
IF($A189&lt;'Pool &amp; SPA Pipe Extender'!$A$11,VLOOKUP($A189,'Pool &amp; SPA Pipe Extender'!$A$8:$M$10,11,FALSE),
IF($A189&lt;'PVC SCH80'!$A$250,VLOOKUP($A189,'PVC SCH80'!$A$8:$M$249,11,FALSE),
IF($A189&lt;'PVC SCH80 Flange'!$A$49,VLOOKUP($A189,'PVC SCH80 Flange'!$A$8:$M$48,11,FALSE),
IF($A189&lt;'PVC SCH80 LD Flange'!$A$17,VLOOKUP($A189,'PVC SCH80 LD Flange'!$A$8:$M$16,11,FALSE),
IF($A189&lt;CPVC!$A$105,VLOOKUP($A189,CPVC!$A$9:$M$104,11,FALSE),
IF($A189&lt;InsertFittings!$A$185,VLOOKUP($A189,InsertFittings!$A$9:$M$184,11,FALSE),
IF($A189&lt;Valves!$A$92,VLOOKUP($A189,Valves!$A$9:$Q$91,15,FALSE),
IF($A189&lt;SDR35SW!$A$133,VLOOKUP($A189,SDR35SW!$A$9:$M$132,11,FALSE),
IF($A189&lt;SDR35G!$A$151,VLOOKUP($A189,SDR35G!$A$9:$M$150,11,FALSE),                                                                                                                                                                                                                                                          IF($A189&lt;SDR26G!$A$67,VLOOKUP($A189,SDR26G!$A$9:$N$66,12,FALSE),                                                                                                                                                                                                                                                       IF($A189&lt;Cements!$A$95,VLOOKUP($A189,Cements!$A$8:$Q$94,15,FALSE),
IF($A189&lt;ValveBox!$A$124,VLOOKUP($A189,ValveBox!$A$9:$O$123,13,FALSE),
IF($A189&lt;'ValveBox Components'!$A$142,VLOOKUP($A189,'ValveBox Components'!$A$9:$N$141,12,FALSE),
IF($A189&lt;Drainage!$A$69,VLOOKUP($A189,Drainage!$A$8:$M$68,11,FALSE),                                                                                                                                                                                                                                                           IF($A189&lt;Nipples!$A$82,VLOOKUP($A189,Nipples!$A$9:$Q$81,15,FALSE),
IF($A189&lt;Manifold!$A$33,VLOOKUP($A189,Manifold!$A$9:$M$32,11,FALSE),
IF($A189&lt;FlexibleRepairCouplings!$A$12,VLOOKUP($A189,FlexibleRepairCouplings!$A$9:$M$11,11,FALSE),
IF($A189&lt;DuraFix!$A$15,VLOOKUP($A189,DuraFix!$A$9:$M$14,11,FALSE),                                                                                                                                                                                                                                                            IF($A189&lt;'Compression Fittings'!$A$16,VLOOKUP($A189,'Compression Fittings'!$A$8:$M$15,11,FALSE),
IF($A189&lt;'Hose Fittings'!$A$30,VLOOKUP($A189,'Hose Fittings'!$A$8:$M$29,11,FALSE),
IF($A189&lt;'Swing Joints'!$A$495,VLOOKUP($A189,'Swing Joints'!$A$9:$M$494,11,FALSE),
IF($A189&lt;'Swing Joints Components'!$A$135,VLOOKUP($A189,'Swing Joints Components'!$A$9:$M$134,11,FALSE),
IF($A189&lt;Nonstandard!$A$42,VLOOKUP($A189,Nonstandard!$A$31:$J$41,10,FALSE),"")))))))))))))))))))))))))))),"")</f>
        <v/>
      </c>
      <c r="H189" s="618" t="str">
        <f>IFERROR(IF($A189&lt;'DWV PVC'!$A$317,VLOOKUP($A189,'DWV PVC'!$A$9:$M$316,7,FALSE),
IF($A189&lt;'DWV ABS'!$A$117,VLOOKUP($A189,'DWV ABS'!$A$8:$M$116,11,FALSE),                                                                                                                                                                                                                                                     IF($A189&lt;'PVC SCH40'!$A$425,VLOOKUP($A189,'PVC SCH40'!$A$8:$M$424,7,FALSE),
IF($A189&lt;'PVC SCH40 LD'!$A$22,VLOOKUP($A189,'PVC SCH40 LD'!$A$8:$M$21,7,FALSE),
IF($A189&lt;'Pool &amp; SPA Sweep Elbows'!$A$12,VLOOKUP($A189,'Pool &amp; SPA Sweep Elbows'!$A$8:$M$11,7,FALSE),
IF($A189&lt;'Pool &amp; SPA Pipe Extender'!$A$11,VLOOKUP($A189,'Pool &amp; SPA Pipe Extender'!$A$8:$M$10,7,FALSE),
IF($A189&lt;'PVC SCH80'!$A$250,VLOOKUP($A189,'PVC SCH80'!$A$8:$M$249,7,FALSE),
IF($A189&lt;'PVC SCH80 Flange'!$A$49,VLOOKUP($A189,'PVC SCH80 Flange'!$A$8:$M$48,7,FALSE),
IF($A189&lt;'PVC SCH80 LD Flange'!$A$17,VLOOKUP($A189,'PVC SCH80 LD Flange'!$A$8:$M$16,7,FALSE),
IF($A189&lt;CPVC!$A$105,VLOOKUP($A189,CPVC!$A$9:$M$104,7,FALSE),
IF($A189&lt;InsertFittings!$A$185,VLOOKUP($A189,InsertFittings!$A$9:$M$184,7,FALSE),
IF($A189&lt;Valves!$A$92,VLOOKUP($A189,Valves!$A$9:$Q$91,11,FALSE),
IF($A189&lt;SDR35SW!$A$133,VLOOKUP($A189,SDR35SW!$A$9:$M$132,7,FALSE),
IF($A189&lt;SDR35G!$A$151,VLOOKUP($A189,SDR35G!$A$9:$M$150,7,FALSE),                                                                                                                                                                                                                                                       IF($A189&lt;SDR26G!$A$67,VLOOKUP($A189,SDR26G!$A$9:$N$66,8,FALSE),                                                                                                                                                                                                                                                     IF($A189&lt;Cements!$A$95,VLOOKUP($A189,Cements!$A$8:$Q$94,11,FALSE),
IF($A189&lt;ValveBox!$A$124,VLOOKUP($A189,ValveBox!$A$9:$O$123,10,FALSE),
IF($A189&lt;'ValveBox Components'!$A$142,VLOOKUP($A189,'ValveBox Components'!$A$9:$N$141,9,FALSE),
IF($A189&lt;Drainage!$A$69,VLOOKUP($A189,Drainage!$A$8:$M$68,7,FALSE),                                                                                                                                                                                                                                                          IF($A189&lt;Nipples!$A$82,VLOOKUP($A189,Nipples!$A$9:$Q$81,11,FALSE),
IF($A189&lt;Manifold!$A$33,VLOOKUP($A189,Manifold!$A$9:$M$32,7,FALSE),
IF($A189&lt;FlexibleRepairCouplings!$A$12,VLOOKUP($A189,FlexibleRepairCouplings!$A$9:$M$11,7,FALSE),
IF($A189&lt;DuraFix!$A$15,VLOOKUP($A189,DuraFix!$A$9:$M$14,7,FALSE),                                                                                                                                                                                                                                                           IF($A189&lt;'Compression Fittings'!$A$16,VLOOKUP($A189,'Compression Fittings'!$A$8:$M$15,7,FALSE),
IF($A189&lt;'Hose Fittings'!$A$30,VLOOKUP($A189,'Hose Fittings'!$A$8:$M$29,7,FALSE),
IF($A189&lt;'Swing Joints'!$A$495,VLOOKUP($A189,'Swing Joints'!$A$9:$M$494,7,FALSE),
IF($A189&lt;'Swing Joints Components'!$A$135,VLOOKUP($A189,'Swing Joints Components'!$A$9:$M$134,7,FALSE),
IF($A189&lt;Nonstandard!$A$42,VLOOKUP($A189,Nonstandard!$A$31:$J$41,10,FALSE),"")))))))))))))))))))))))))))),"")</f>
        <v/>
      </c>
      <c r="I189" s="619"/>
      <c r="J189" s="281" t="str">
        <f t="shared" si="5"/>
        <v/>
      </c>
      <c r="K189" s="313" t="str">
        <f>IFERROR(IF($A189&lt;'DWV PVC'!$A$317,VLOOKUP($A189,'DWV PVC'!$A$9:$M$316,10,FALSE),
IF($A189&lt;'DWV ABS'!$A$117,VLOOKUP($A189,'DWV ABS'!$A$8:$M$116,10,FALSE),
IF($A189&lt;'PVC SCH40'!$A$425,VLOOKUP($A189,'PVC SCH40'!$A$8:$M$424,10,FALSE),
IF($A189&lt;'PVC SCH40 LD'!$A$22,VLOOKUP($A189,'PVC SCH40 LD'!$A$8:$M$21,10,FALSE),
IF($A189&lt;'Pool &amp; SPA Sweep Elbows'!$A$12,VLOOKUP($A189,'Pool &amp; SPA Sweep Elbows'!$A$8:$M$11,10,FALSE),
IF($A189&lt;'Pool &amp; SPA Pipe Extender'!$A$11,VLOOKUP($A189,'Pool &amp; SPA Pipe Extender'!$A$8:$M$10,10,FALSE),
IF($A189&lt;'PVC SCH80'!$A$250,VLOOKUP($A189,'PVC SCH80'!$A$8:$M$249,10,FALSE),
IF($A189&lt;'PVC SCH80 Flange'!$A$49,VLOOKUP($A189,'PVC SCH80 Flange'!$A$8:$M$48,10,FALSE),
IF($A189&lt;'PVC SCH80 LD Flange'!$A$17,VLOOKUP($A189,'PVC SCH80 LD Flange'!$A$8:$M$16,10,FALSE),
IF($A189&lt;CPVC!$A$105,VLOOKUP($A189,CPVC!$A$9:$M$104,10,FALSE),
IF($A189&lt;InsertFittings!$A$185,VLOOKUP($A189,InsertFittings!$A$9:$M$184,10,FALSE),
IF($A189&lt;Valves!$A$92,VLOOKUP($A189,Valves!$A$9:$Q$91,14,FALSE),
IF($A189&lt;SDR35SW!$A$133,VLOOKUP($A189,SDR35SW!$A$9:$M$132,10,FALSE),
IF($A189&lt;SDR35G!$A$151,VLOOKUP($A189,SDR35G!$A$9:$M$150,10,FALSE),
IF($A189&lt;SDR26G!$A$67,VLOOKUP($A189,SDR26G!$A$9:$N$66,11,FALSE),
IF($A189&lt;Cements!$A$95,VLOOKUP($A189,Cements!$A$8:$Q$94,14,FALSE),
IF($A189&lt;ValveBox!$A$124,VLOOKUP($A189,ValveBox!$A$9:$O$123,12,FALSE),
IF($A189&lt;'ValveBox Components'!$A$142,VLOOKUP($A189,'ValveBox Components'!$A$9:$N$141,11,FALSE),
IF($A189&lt;Drainage!$A$69,VLOOKUP($A189,Drainage!$A$8:$M$68,10,FALSE),
IF($A189&lt;Nipples!$A$82,VLOOKUP($A189,Nipples!$A$9:$Q$81,14,FALSE),
IF($A189&lt;Manifold!$A$33,VLOOKUP($A189,Manifold!$A$9:$M$32,10,FALSE),
IF($A189&lt;FlexibleRepairCouplings!$A$12,VLOOKUP($A189,FlexibleRepairCouplings!$A$9:$M$11,10,FALSE),
IF($A189&lt;DuraFix!$A$15,VLOOKUP($A189,DuraFix!$A$9:$M$14,10,FALSE),
IF($A189&lt;'Compression Fittings'!$A$16,VLOOKUP($A189,'Compression Fittings'!$A$8:$M$15,10,FALSE),
IF($A189&lt;'Hose Fittings'!$A$30,VLOOKUP($A189,'Hose Fittings'!$A$8:$M$29,10,FALSE),
IF($A189&lt;'Swing Joints'!$A$495,VLOOKUP($A189,'Swing Joints'!$A$9:$M$494,10,FALSE),
IF($A189&lt;'Swing Joints Components'!$A$135,VLOOKUP($A189,'Swing Joints Components'!$A$9:$M$134,10,FALSE),
IF($A189&lt;Nonstandard!$A$42,VLOOKUP($A189,Nonstandard!$A$31:$J$41,10,FALSE),"")))))))))))))))))))))))))))),"")</f>
        <v/>
      </c>
      <c r="L189" s="314" t="str">
        <f t="shared" si="4"/>
        <v>-</v>
      </c>
      <c r="M189" s="315"/>
    </row>
    <row r="190" spans="1:13" ht="15.6">
      <c r="A190" s="536">
        <v>158</v>
      </c>
      <c r="B190" s="536" t="str">
        <f>IFERROR(IF($A190&lt;'DWV PVC'!$A$317,VLOOKUP($A190,'DWV PVC'!$A$9:$M$316,4,FALSE),
IF($A190&lt;'DWV ABS'!$A$117,VLOOKUP($A190,'DWV ABS'!$A$8:$M$116,4,FALSE),
IF($A190&lt;'PVC SCH40'!$A$425,VLOOKUP($A190,'PVC SCH40'!$A$8:$M$424,4,FALSE),
IF($A190&lt;'PVC SCH40 LD'!$A$22,VLOOKUP($A190,'PVC SCH40 LD'!$A$8:$M$21,4,FALSE),
IF($A190&lt;'Pool &amp; SPA Sweep Elbows'!$A$12,VLOOKUP($A190,'Pool &amp; SPA Sweep Elbows'!$A$8:$M$11,4,FALSE),
IF($A190&lt;'Pool &amp; SPA Pipe Extender'!$A$11,VLOOKUP($A190,'Pool &amp; SPA Pipe Extender'!$A$8:$M$10,4,FALSE),
IF($A190&lt;'PVC SCH80'!$A$250,VLOOKUP($A190,'PVC SCH80'!$A$8:$M$249,4,FALSE),
IF($A190&lt;'PVC SCH80 Flange'!$A$49,VLOOKUP($A190,'PVC SCH80 Flange'!$A$8:$M$48,4,FALSE),
IF($A190&lt;'PVC SCH80 LD Flange'!$A$17,VLOOKUP($A190,'PVC SCH80 LD Flange'!$A$8:$M$16,4,FALSE),
IF($A190&lt;CPVC!$A$105,VLOOKUP($A190,CPVC!$A$9:$M$104,4,FALSE),
IF($A190&lt;InsertFittings!$A$185,VLOOKUP($A190,InsertFittings!$A$9:$M$184,4,FALSE),
IF($A190&lt;Valves!$A$92,VLOOKUP($A190,Valves!$A$9:$Q$91,4,FALSE),
IF($A190&lt;SDR35SW!$A$133,VLOOKUP($A190,SDR35SW!$A$9:$M$132,4,FALSE),
IF($A190&lt;SDR35G!$A$151,VLOOKUP($A190,SDR35G!$A$9:$M$150,4,FALSE),
IF($A190&lt;SDR26G!$A$67,VLOOKUP($A190,SDR26G!$A$9:$N$66,5,FALSE),
IF($A190&lt;Cements!$A$95,VLOOKUP($A190,Cements!$A$8:$Q$94,4,FALSE),
IF($A190&lt;ValveBox!$A$124,VLOOKUP($A190,ValveBox!$A$9:$O$123,4,FALSE),
IF($A190&lt;'ValveBox Components'!$A$142,VLOOKUP($A190,'ValveBox Components'!$A$9:$N$141,4,FALSE),
IF($A190&lt;Drainage!$A$69,VLOOKUP($A190,Drainage!$A$8:$M$68,4,FALSE),
IF($A190&lt;Nipples!$A$82,VLOOKUP($A190,Nipples!$A$9:$Q$81,4,FALSE),
IF($A190&lt;Manifold!$A$33,VLOOKUP($A190,Manifold!$A$9:$M$32,4,FALSE),
IF($A190&lt;FlexibleRepairCouplings!$A$12,VLOOKUP($A190,FlexibleRepairCouplings!$A$9:$M$11,4,FALSE),
IF($A190&lt;DuraFix!$A$15,VLOOKUP($A190,DuraFix!$A$9:$M$14,4,FALSE),
IF($A190&lt;'Compression Fittings'!$A$16,VLOOKUP($A190,'Compression Fittings'!$A$8:$M$15,4,FALSE),
IF($A190&lt;'Hose Fittings'!$A$30,VLOOKUP($A190,'Hose Fittings'!$A$8:$M$29,4,FALSE),
IF($A190&lt;'Swing Joints'!$A$495,VLOOKUP($A190,'Swing Joints'!$A$9:$M$494,4,FALSE),
IF($A190&lt;'Swing Joints Components'!$A$135,VLOOKUP($A190,'Swing Joints Components'!$A$9:$M$134,4,FALSE),
IF($A190&lt;Nonstandard!$A$42,VLOOKUP($A190,Nonstandard!$A$31:$J$41,5,FALSE),"")))))))))))))))))))))))))))),"")</f>
        <v/>
      </c>
      <c r="C190" s="536" t="str">
        <f>IFERROR(IF($A190&lt;'DWV PVC'!$A$317,VLOOKUP($A190,'DWV PVC'!$A$9:$M$316,5,FALSE),
IF($A190&lt;'DWV ABS'!$A$117,VLOOKUP($A190,'DWV ABS'!$A$8:$M$116,5,FALSE),
IF($A190&lt;'PVC SCH40'!$A$425,VLOOKUP($A190,'PVC SCH40'!$A$8:$M$424,5,FALSE),
IF($A190&lt;'PVC SCH40 LD'!$A$22,VLOOKUP($A190,'PVC SCH40 LD'!$A$8:$M$21,5,FALSE),
IF($A190&lt;'Pool &amp; SPA Sweep Elbows'!$A$12,VLOOKUP($A190,'Pool &amp; SPA Sweep Elbows'!$A$8:$M$11,5,FALSE),
IF($A190&lt;'Pool &amp; SPA Pipe Extender'!$A$11,VLOOKUP($A190,'Pool &amp; SPA Pipe Extender'!$A$8:$M$10,5,FALSE),
IF($A190&lt;'PVC SCH80'!$A$250,VLOOKUP($A190,'PVC SCH80'!$A$8:$M$249,5,FALSE),
IF($A190&lt;'PVC SCH80 Flange'!$A$49,VLOOKUP($A190,'PVC SCH80 Flange'!$A$8:$M$48,5,FALSE),
IF($A190&lt;'PVC SCH80 LD Flange'!$A$17,VLOOKUP($A190,'PVC SCH80 LD Flange'!$A$8:$M$16,5,FALSE),
IF($A190&lt;CPVC!$A$105,VLOOKUP($A190,CPVC!$A$9:$M$104,5,FALSE),
IF($A190&lt;InsertFittings!$A$185,VLOOKUP($A190,InsertFittings!$A$9:$M$184,5,FALSE),
IF($A190&lt;Valves!$A$92,VLOOKUP($A190,Valves!$A$9:$Q$91,5,FALSE),
IF($A190&lt;SDR35SW!$A$133,VLOOKUP($A190,SDR35SW!$A$9:$M$132,5,FALSE),
IF($A190&lt;SDR35G!$A$151,VLOOKUP($A190,SDR35G!$A$9:$M$150,5,FALSE),
IF($A190&lt;SDR26G!$A$67,VLOOKUP($A190,SDR26G!$A$9:$N$66,6,FALSE),
IF($A190&lt;Cements!$A$95,VLOOKUP($A190,Cements!$A$8:$Q$94,5,FALSE),
IF($A190&lt;ValveBox!$A$124,VLOOKUP($A190,ValveBox!$A$9:$O$123,5,FALSE),
IF($A190&lt;'ValveBox Components'!$A$142,VLOOKUP($A190,'ValveBox Components'!$A$9:$N$141,5,FALSE),
IF($A190&lt;Drainage!$A$69,VLOOKUP($A190,Drainage!$A$8:$M$68,5,FALSE),
IF($A190&lt;Nipples!$A$82,VLOOKUP($A190,Nipples!$A$9:$Q$81,5,FALSE),
IF($A190&lt;Manifold!$A$33,VLOOKUP($A190,Manifold!$A$9:$M$32,5,FALSE),
IF($A190&lt;FlexibleRepairCouplings!$A$12,VLOOKUP($A190,FlexibleRepairCouplings!$A$9:$M$11,5,FALSE),
IF($A190&lt;DuraFix!$A$15,VLOOKUP($A190,DuraFix!$A$9:$M$14,5,FALSE),
IF($A190&lt;'Compression Fittings'!$A$16,VLOOKUP($A190,'Compression Fittings'!$A$8:$M$15,5,FALSE),
IF($A190&lt;'Hose Fittings'!$A$30,VLOOKUP($A190,'Hose Fittings'!$A$8:$M$29,5,FALSE),
IF($A190&lt;'Swing Joints'!$A$495,VLOOKUP($A190,'Swing Joints'!$A$9:$M$494,5,FALSE),
IF($A190&lt;'Swing Joints Components'!$A$135,VLOOKUP($A190,'Swing Joints Components'!$A$9:$M$134,5,FALSE),
IF($A190&lt;Nonstandard!$A$42,VLOOKUP($A190,Nonstandard!$A$31:$J$41,6,FALSE),"")))))))))))))))))))))))))))),"")</f>
        <v/>
      </c>
      <c r="D190" s="537" t="str">
        <f>IFERROR(IF($A190&lt;'DWV PVC'!$A$317,VLOOKUP($A190,'DWV PVC'!$A$9:$M$316,6,FALSE),
IF($A190&lt;'DWV ABS'!$A$117,VLOOKUP($A190,'DWV ABS'!$A$8:$M$116,6,FALSE),
IF($A190&lt;'PVC SCH40'!$A$425,VLOOKUP($A190,'PVC SCH40'!$A$8:$M$424,6,FALSE),
IF($A190&lt;'PVC SCH40 LD'!$A$22,VLOOKUP($A190,'PVC SCH40 LD'!$A$8:$M$21,6,FALSE),
IF($A190&lt;'Pool &amp; SPA Sweep Elbows'!$A$12,VLOOKUP($A190,'Pool &amp; SPA Sweep Elbows'!$A$8:$M$11,6,FALSE),
IF($A190&lt;'Pool &amp; SPA Pipe Extender'!$A$11,VLOOKUP($A190,'Pool &amp; SPA Pipe Extender'!$A$8:$M$10,6,FALSE),
IF($A190&lt;'PVC SCH80'!$A$250,VLOOKUP($A190,'PVC SCH80'!$A$8:$M$249,6,FALSE),
IF($A190&lt;'PVC SCH80 Flange'!$A$49,VLOOKUP($A190,'PVC SCH80 Flange'!$A$8:$M$48,6,FALSE),
IF($A190&lt;'PVC SCH80 LD Flange'!$A$17,VLOOKUP($A190,'PVC SCH80 LD Flange'!$A$8:$M$16,6,FALSE),
IF($A190&lt;CPVC!$A$105,VLOOKUP($A190,CPVC!$A$9:$M$104,6,FALSE),
IF($A190&lt;InsertFittings!$A$185,VLOOKUP($A190,InsertFittings!$A$9:$M$184,6,FALSE),
IF($A190&lt;Valves!$A$92,VLOOKUP($A190,Valves!$A$9:$Q$91,6,FALSE),
IF($A190&lt;SDR35SW!$A$133,VLOOKUP($A190,SDR35SW!$A$9:$M$132,6,FALSE),
IF($A190&lt;SDR35G!$A$151,VLOOKUP($A190,SDR35G!$A$9:$M$150,6,FALSE),
IF($A190&lt;SDR26G!$A$67,VLOOKUP($A190,SDR26G!$A$9:$N$66,7,FALSE),
IF($A190&lt;Cements!$A$95,VLOOKUP($A190,Cements!$A$8:$Q$94,6,FALSE),
IF($A190&lt;ValveBox!$A$124,VLOOKUP($A190,ValveBox!$A$9:$O$123,6,FALSE),
IF($A190&lt;'ValveBox Components'!$A$142,VLOOKUP($A190,'ValveBox Components'!$A$9:$N$141,6,FALSE),
IF($A190&lt;Drainage!$A$69,VLOOKUP($A190,Drainage!$A$8:$M$68,6,FALSE),
IF($A190&lt;Nipples!$A$82,VLOOKUP($A190,Nipples!$A$9:$Q$81,6,FALSE),
IF($A190&lt;Manifold!$A$33,VLOOKUP($A190,Manifold!$A$9:$M$32,6,FALSE),
IF($A190&lt;FlexibleRepairCouplings!$A$12,VLOOKUP($A190,FlexibleRepairCouplings!$A$9:$M$11,6,FALSE),
IF($A190&lt;DuraFix!$A$15,VLOOKUP($A190,DuraFix!$A$9:$M$14,6,FALSE),
IF($A190&lt;'Compression Fittings'!$A$16,VLOOKUP($A190,'Compression Fittings'!$A$8:$M$15,6,FALSE),
IF($A190&lt;'Hose Fittings'!$A$30,VLOOKUP($A190,'Hose Fittings'!$A$8:$M$29,6,FALSE),
IF($A190&lt;'Swing Joints'!$A$495,VLOOKUP($A190,'Swing Joints'!$A$9:$M$494,6,FALSE),
IF($A190&lt;'Swing Joints Components'!$A$135,VLOOKUP($A190,'Swing Joints Components'!$A$9:$M$134,6,FALSE),
IF($A190&lt;Nonstandard!$A$42,VLOOKUP($A190,Nonstandard!$A$31:$J$41,7,FALSE),"")))))))))))))))))))))))))))),"")</f>
        <v/>
      </c>
      <c r="E190" s="538"/>
      <c r="F190" s="539" t="str">
        <f>IFERROR(IF($A190&lt;'DWV PVC'!$A$317,VLOOKUP($A190,'DWV PVC'!$A$9:$M$316,9,FALSE),
IF($A190&lt;'DWV ABS'!$A$117,VLOOKUP($A190,'DWV ABS'!$A$8:$M$116,9,FALSE),                                                                                                                                                                                                                                                     IF($A190&lt;'PVC SCH40'!$A$425,VLOOKUP($A190,'PVC SCH40'!$A$8:$M$424,9,FALSE),
IF($A190&lt;'PVC SCH40 LD'!$A$22,VLOOKUP($A190,'PVC SCH40 LD'!$A$8:$M$21,9,FALSE),
IF($A190&lt;'Pool &amp; SPA Sweep Elbows'!$A$12,VLOOKUP($A190,'Pool &amp; SPA Sweep Elbows'!$A$8:$M$11,9,FALSE),
IF($A190&lt;'Pool &amp; SPA Pipe Extender'!$A$11,VLOOKUP($A190,'Pool &amp; SPA Pipe Extender'!$A$8:$M$10,9,FALSE),
IF($A190&lt;'PVC SCH80'!$A$250,VLOOKUP($A190,'PVC SCH80'!$A$8:$M$249,9,FALSE),
IF($A190&lt;'PVC SCH80 Flange'!$A$49,VLOOKUP($A190,'PVC SCH80 Flange'!$A$8:$M$48,9,FALSE),
IF($A190&lt;'PVC SCH80 LD Flange'!$A$17,VLOOKUP($A190,'PVC SCH80 LD Flange'!$A$8:$M$16,9,FALSE),
IF($A190&lt;CPVC!$A$105,VLOOKUP($A190,CPVC!$A$9:$M$104,9,FALSE),
IF($A190&lt;InsertFittings!$A$185,VLOOKUP($A190,InsertFittings!$A$9:$M$184,9,FALSE),
IF($A190&lt;Valves!$A$92,VLOOKUP($A190,Valves!$A$9:$Q$91,13,FALSE),
IF($A190&lt;SDR35SW!$A$133,VLOOKUP($A190,SDR35SW!$A$9:$M$132,9,FALSE),
IF($A190&lt;SDR35G!$A$151,VLOOKUP($A190,SDR35G!$A$9:$M$150,9,FALSE),                                                                                                                                                                                                                                                          IF($A190&lt;SDR26G!$A$67,VLOOKUP($A190,SDR26G!$A$9:$N$66,10,FALSE),                                                                                                                                                                                                                                                       IF($A190&lt;Cements!$A$95,VLOOKUP($A190,Cements!$A$8:$Q$94,13,FALSE),
IF($A190&lt;ValveBox!$A$124,VLOOKUP($A190,ValveBox!$A$9:$O$123,11,FALSE),
IF($A190&lt;'ValveBox Components'!$A$142,VLOOKUP($A190,'ValveBox Components'!$A$9:$N$141,10,FALSE),
IF($A190&lt;Drainage!$A$69,VLOOKUP($A190,Drainage!$A$8:$M$68,9,FALSE),                                                                                                                                                                                                                                                              IF($A190&lt;Nipples!$A$82,VLOOKUP($A190,Nipples!$A$9:$Q$81,13,FALSE),
IF($A190&lt;Manifold!$A$33,VLOOKUP($A190,Manifold!$A$9:$M$32,9,FALSE),
IF($A190&lt;FlexibleRepairCouplings!$A$12,VLOOKUP($A190,FlexibleRepairCouplings!$A$9:$M$11,9,FALSE),
IF($A190&lt;DuraFix!$A$15,VLOOKUP($A190,DuraFix!$A$9:$M$14,9,FALSE),                                                                                                                                                                                                                                                          IF($A190&lt;'Compression Fittings'!$A$16,VLOOKUP($A190,'Compression Fittings'!$A$8:$M$15,9,FALSE),
IF($A190&lt;'Hose Fittings'!$A$30,VLOOKUP($A190,'Hose Fittings'!$A$8:$M$29,9,FALSE),
IF($A190&lt;'Swing Joints'!$A$495,VLOOKUP($A190,'Swing Joints'!$A$9:$M$494,9,FALSE),
IF($A190&lt;'Swing Joints Components'!$A$135,VLOOKUP($A190,'Swing Joints Components'!$A$9:$M$134,9,FALSE),
IF($A190&lt;Nonstandard!$A$42,VLOOKUP($A190,Nonstandard!$A$31:$J$41,8,FALSE),"")))))))))))))))))))))))))))),"")</f>
        <v/>
      </c>
      <c r="G190" s="540" t="str">
        <f>IFERROR(IF($A190&lt;'DWV PVC'!$A$317,VLOOKUP($A190,'DWV PVC'!$A$9:$M$316,11,FALSE),
IF($A190&lt;'DWV ABS'!$A$117,VLOOKUP($A190,'DWV ABS'!$A$8:$M$116,11,FALSE),                                                                                                                                                                                                                                                     IF($A190&lt;'PVC SCH40'!$A$425,VLOOKUP($A190,'PVC SCH40'!$A$8:$M$424,11,FALSE),
IF($A190&lt;'PVC SCH40 LD'!$A$22,VLOOKUP($A190,'PVC SCH40 LD'!$A$8:$M$21,11,FALSE),
IF($A190&lt;'Pool &amp; SPA Sweep Elbows'!$A$12,VLOOKUP($A190,'Pool &amp; SPA Sweep Elbows'!$A$8:$M$11,11,FALSE),
IF($A190&lt;'Pool &amp; SPA Pipe Extender'!$A$11,VLOOKUP($A190,'Pool &amp; SPA Pipe Extender'!$A$8:$M$10,11,FALSE),
IF($A190&lt;'PVC SCH80'!$A$250,VLOOKUP($A190,'PVC SCH80'!$A$8:$M$249,11,FALSE),
IF($A190&lt;'PVC SCH80 Flange'!$A$49,VLOOKUP($A190,'PVC SCH80 Flange'!$A$8:$M$48,11,FALSE),
IF($A190&lt;'PVC SCH80 LD Flange'!$A$17,VLOOKUP($A190,'PVC SCH80 LD Flange'!$A$8:$M$16,11,FALSE),
IF($A190&lt;CPVC!$A$105,VLOOKUP($A190,CPVC!$A$9:$M$104,11,FALSE),
IF($A190&lt;InsertFittings!$A$185,VLOOKUP($A190,InsertFittings!$A$9:$M$184,11,FALSE),
IF($A190&lt;Valves!$A$92,VLOOKUP($A190,Valves!$A$9:$Q$91,15,FALSE),
IF($A190&lt;SDR35SW!$A$133,VLOOKUP($A190,SDR35SW!$A$9:$M$132,11,FALSE),
IF($A190&lt;SDR35G!$A$151,VLOOKUP($A190,SDR35G!$A$9:$M$150,11,FALSE),                                                                                                                                                                                                                                                          IF($A190&lt;SDR26G!$A$67,VLOOKUP($A190,SDR26G!$A$9:$N$66,12,FALSE),                                                                                                                                                                                                                                                       IF($A190&lt;Cements!$A$95,VLOOKUP($A190,Cements!$A$8:$Q$94,15,FALSE),
IF($A190&lt;ValveBox!$A$124,VLOOKUP($A190,ValveBox!$A$9:$O$123,13,FALSE),
IF($A190&lt;'ValveBox Components'!$A$142,VLOOKUP($A190,'ValveBox Components'!$A$9:$N$141,12,FALSE),
IF($A190&lt;Drainage!$A$69,VLOOKUP($A190,Drainage!$A$8:$M$68,11,FALSE),                                                                                                                                                                                                                                                           IF($A190&lt;Nipples!$A$82,VLOOKUP($A190,Nipples!$A$9:$Q$81,15,FALSE),
IF($A190&lt;Manifold!$A$33,VLOOKUP($A190,Manifold!$A$9:$M$32,11,FALSE),
IF($A190&lt;FlexibleRepairCouplings!$A$12,VLOOKUP($A190,FlexibleRepairCouplings!$A$9:$M$11,11,FALSE),
IF($A190&lt;DuraFix!$A$15,VLOOKUP($A190,DuraFix!$A$9:$M$14,11,FALSE),                                                                                                                                                                                                                                                            IF($A190&lt;'Compression Fittings'!$A$16,VLOOKUP($A190,'Compression Fittings'!$A$8:$M$15,11,FALSE),
IF($A190&lt;'Hose Fittings'!$A$30,VLOOKUP($A190,'Hose Fittings'!$A$8:$M$29,11,FALSE),
IF($A190&lt;'Swing Joints'!$A$495,VLOOKUP($A190,'Swing Joints'!$A$9:$M$494,11,FALSE),
IF($A190&lt;'Swing Joints Components'!$A$135,VLOOKUP($A190,'Swing Joints Components'!$A$9:$M$134,11,FALSE),
IF($A190&lt;Nonstandard!$A$42,VLOOKUP($A190,Nonstandard!$A$31:$J$41,10,FALSE),"")))))))))))))))))))))))))))),"")</f>
        <v/>
      </c>
      <c r="H190" s="620" t="str">
        <f>IFERROR(IF($A190&lt;'DWV PVC'!$A$317,VLOOKUP($A190,'DWV PVC'!$A$9:$M$316,7,FALSE),
IF($A190&lt;'DWV ABS'!$A$117,VLOOKUP($A190,'DWV ABS'!$A$8:$M$116,11,FALSE),                                                                                                                                                                                                                                                     IF($A190&lt;'PVC SCH40'!$A$425,VLOOKUP($A190,'PVC SCH40'!$A$8:$M$424,7,FALSE),
IF($A190&lt;'PVC SCH40 LD'!$A$22,VLOOKUP($A190,'PVC SCH40 LD'!$A$8:$M$21,7,FALSE),
IF($A190&lt;'Pool &amp; SPA Sweep Elbows'!$A$12,VLOOKUP($A190,'Pool &amp; SPA Sweep Elbows'!$A$8:$M$11,7,FALSE),
IF($A190&lt;'Pool &amp; SPA Pipe Extender'!$A$11,VLOOKUP($A190,'Pool &amp; SPA Pipe Extender'!$A$8:$M$10,7,FALSE),
IF($A190&lt;'PVC SCH80'!$A$250,VLOOKUP($A190,'PVC SCH80'!$A$8:$M$249,7,FALSE),
IF($A190&lt;'PVC SCH80 Flange'!$A$49,VLOOKUP($A190,'PVC SCH80 Flange'!$A$8:$M$48,7,FALSE),
IF($A190&lt;'PVC SCH80 LD Flange'!$A$17,VLOOKUP($A190,'PVC SCH80 LD Flange'!$A$8:$M$16,7,FALSE),
IF($A190&lt;CPVC!$A$105,VLOOKUP($A190,CPVC!$A$9:$M$104,7,FALSE),
IF($A190&lt;InsertFittings!$A$185,VLOOKUP($A190,InsertFittings!$A$9:$M$184,7,FALSE),
IF($A190&lt;Valves!$A$92,VLOOKUP($A190,Valves!$A$9:$Q$91,11,FALSE),
IF($A190&lt;SDR35SW!$A$133,VLOOKUP($A190,SDR35SW!$A$9:$M$132,7,FALSE),
IF($A190&lt;SDR35G!$A$151,VLOOKUP($A190,SDR35G!$A$9:$M$150,7,FALSE),                                                                                                                                                                                                                                                       IF($A190&lt;SDR26G!$A$67,VLOOKUP($A190,SDR26G!$A$9:$N$66,8,FALSE),                                                                                                                                                                                                                                                     IF($A190&lt;Cements!$A$95,VLOOKUP($A190,Cements!$A$8:$Q$94,11,FALSE),
IF($A190&lt;ValveBox!$A$124,VLOOKUP($A190,ValveBox!$A$9:$O$123,10,FALSE),
IF($A190&lt;'ValveBox Components'!$A$142,VLOOKUP($A190,'ValveBox Components'!$A$9:$N$141,9,FALSE),
IF($A190&lt;Drainage!$A$69,VLOOKUP($A190,Drainage!$A$8:$M$68,7,FALSE),                                                                                                                                                                                                                                                          IF($A190&lt;Nipples!$A$82,VLOOKUP($A190,Nipples!$A$9:$Q$81,11,FALSE),
IF($A190&lt;Manifold!$A$33,VLOOKUP($A190,Manifold!$A$9:$M$32,7,FALSE),
IF($A190&lt;FlexibleRepairCouplings!$A$12,VLOOKUP($A190,FlexibleRepairCouplings!$A$9:$M$11,7,FALSE),
IF($A190&lt;DuraFix!$A$15,VLOOKUP($A190,DuraFix!$A$9:$M$14,7,FALSE),                                                                                                                                                                                                                                                           IF($A190&lt;'Compression Fittings'!$A$16,VLOOKUP($A190,'Compression Fittings'!$A$8:$M$15,7,FALSE),
IF($A190&lt;'Hose Fittings'!$A$30,VLOOKUP($A190,'Hose Fittings'!$A$8:$M$29,7,FALSE),
IF($A190&lt;'Swing Joints'!$A$495,VLOOKUP($A190,'Swing Joints'!$A$9:$M$494,7,FALSE),
IF($A190&lt;'Swing Joints Components'!$A$135,VLOOKUP($A190,'Swing Joints Components'!$A$9:$M$134,7,FALSE),
IF($A190&lt;Nonstandard!$A$42,VLOOKUP($A190,Nonstandard!$A$31:$J$41,10,FALSE),"")))))))))))))))))))))))))))),"")</f>
        <v/>
      </c>
      <c r="I190" s="621"/>
      <c r="J190" s="541" t="str">
        <f t="shared" si="5"/>
        <v/>
      </c>
      <c r="K190" s="599" t="str">
        <f>IFERROR(IF($A190&lt;'DWV PVC'!$A$317,VLOOKUP($A190,'DWV PVC'!$A$9:$M$316,10,FALSE),
IF($A190&lt;'DWV ABS'!$A$117,VLOOKUP($A190,'DWV ABS'!$A$8:$M$116,10,FALSE),
IF($A190&lt;'PVC SCH40'!$A$425,VLOOKUP($A190,'PVC SCH40'!$A$8:$M$424,10,FALSE),
IF($A190&lt;'PVC SCH40 LD'!$A$22,VLOOKUP($A190,'PVC SCH40 LD'!$A$8:$M$21,10,FALSE),
IF($A190&lt;'Pool &amp; SPA Sweep Elbows'!$A$12,VLOOKUP($A190,'Pool &amp; SPA Sweep Elbows'!$A$8:$M$11,10,FALSE),
IF($A190&lt;'Pool &amp; SPA Pipe Extender'!$A$11,VLOOKUP($A190,'Pool &amp; SPA Pipe Extender'!$A$8:$M$10,10,FALSE),
IF($A190&lt;'PVC SCH80'!$A$250,VLOOKUP($A190,'PVC SCH80'!$A$8:$M$249,10,FALSE),
IF($A190&lt;'PVC SCH80 Flange'!$A$49,VLOOKUP($A190,'PVC SCH80 Flange'!$A$8:$M$48,10,FALSE),
IF($A190&lt;'PVC SCH80 LD Flange'!$A$17,VLOOKUP($A190,'PVC SCH80 LD Flange'!$A$8:$M$16,10,FALSE),
IF($A190&lt;CPVC!$A$105,VLOOKUP($A190,CPVC!$A$9:$M$104,10,FALSE),
IF($A190&lt;InsertFittings!$A$185,VLOOKUP($A190,InsertFittings!$A$9:$M$184,10,FALSE),
IF($A190&lt;Valves!$A$92,VLOOKUP($A190,Valves!$A$9:$Q$91,14,FALSE),
IF($A190&lt;SDR35SW!$A$133,VLOOKUP($A190,SDR35SW!$A$9:$M$132,10,FALSE),
IF($A190&lt;SDR35G!$A$151,VLOOKUP($A190,SDR35G!$A$9:$M$150,10,FALSE),
IF($A190&lt;SDR26G!$A$67,VLOOKUP($A190,SDR26G!$A$9:$N$66,11,FALSE),
IF($A190&lt;Cements!$A$95,VLOOKUP($A190,Cements!$A$8:$Q$94,14,FALSE),
IF($A190&lt;ValveBox!$A$124,VLOOKUP($A190,ValveBox!$A$9:$O$123,12,FALSE),
IF($A190&lt;'ValveBox Components'!$A$142,VLOOKUP($A190,'ValveBox Components'!$A$9:$N$141,11,FALSE),
IF($A190&lt;Drainage!$A$69,VLOOKUP($A190,Drainage!$A$8:$M$68,10,FALSE),
IF($A190&lt;Nipples!$A$82,VLOOKUP($A190,Nipples!$A$9:$Q$81,14,FALSE),
IF($A190&lt;Manifold!$A$33,VLOOKUP($A190,Manifold!$A$9:$M$32,10,FALSE),
IF($A190&lt;FlexibleRepairCouplings!$A$12,VLOOKUP($A190,FlexibleRepairCouplings!$A$9:$M$11,10,FALSE),
IF($A190&lt;DuraFix!$A$15,VLOOKUP($A190,DuraFix!$A$9:$M$14,10,FALSE),
IF($A190&lt;'Compression Fittings'!$A$16,VLOOKUP($A190,'Compression Fittings'!$A$8:$M$15,10,FALSE),
IF($A190&lt;'Hose Fittings'!$A$30,VLOOKUP($A190,'Hose Fittings'!$A$8:$M$29,10,FALSE),
IF($A190&lt;'Swing Joints'!$A$495,VLOOKUP($A190,'Swing Joints'!$A$9:$M$494,10,FALSE),
IF($A190&lt;'Swing Joints Components'!$A$135,VLOOKUP($A190,'Swing Joints Components'!$A$9:$M$134,10,FALSE),
IF($A190&lt;Nonstandard!$A$42,VLOOKUP($A190,Nonstandard!$A$31:$J$41,10,FALSE),"")))))))))))))))))))))))))))),"")</f>
        <v/>
      </c>
      <c r="L190" s="539" t="str">
        <f t="shared" si="4"/>
        <v>-</v>
      </c>
      <c r="M190" s="542"/>
    </row>
    <row r="191" spans="1:13" ht="15.6">
      <c r="A191" s="312">
        <v>159</v>
      </c>
      <c r="B191" s="312" t="str">
        <f>IFERROR(IF($A191&lt;'DWV PVC'!$A$317,VLOOKUP($A191,'DWV PVC'!$A$9:$M$316,4,FALSE),
IF($A191&lt;'DWV ABS'!$A$117,VLOOKUP($A191,'DWV ABS'!$A$8:$M$116,4,FALSE),
IF($A191&lt;'PVC SCH40'!$A$425,VLOOKUP($A191,'PVC SCH40'!$A$8:$M$424,4,FALSE),
IF($A191&lt;'PVC SCH40 LD'!$A$22,VLOOKUP($A191,'PVC SCH40 LD'!$A$8:$M$21,4,FALSE),
IF($A191&lt;'Pool &amp; SPA Sweep Elbows'!$A$12,VLOOKUP($A191,'Pool &amp; SPA Sweep Elbows'!$A$8:$M$11,4,FALSE),
IF($A191&lt;'Pool &amp; SPA Pipe Extender'!$A$11,VLOOKUP($A191,'Pool &amp; SPA Pipe Extender'!$A$8:$M$10,4,FALSE),
IF($A191&lt;'PVC SCH80'!$A$250,VLOOKUP($A191,'PVC SCH80'!$A$8:$M$249,4,FALSE),
IF($A191&lt;'PVC SCH80 Flange'!$A$49,VLOOKUP($A191,'PVC SCH80 Flange'!$A$8:$M$48,4,FALSE),
IF($A191&lt;'PVC SCH80 LD Flange'!$A$17,VLOOKUP($A191,'PVC SCH80 LD Flange'!$A$8:$M$16,4,FALSE),
IF($A191&lt;CPVC!$A$105,VLOOKUP($A191,CPVC!$A$9:$M$104,4,FALSE),
IF($A191&lt;InsertFittings!$A$185,VLOOKUP($A191,InsertFittings!$A$9:$M$184,4,FALSE),
IF($A191&lt;Valves!$A$92,VLOOKUP($A191,Valves!$A$9:$Q$91,4,FALSE),
IF($A191&lt;SDR35SW!$A$133,VLOOKUP($A191,SDR35SW!$A$9:$M$132,4,FALSE),
IF($A191&lt;SDR35G!$A$151,VLOOKUP($A191,SDR35G!$A$9:$M$150,4,FALSE),
IF($A191&lt;SDR26G!$A$67,VLOOKUP($A191,SDR26G!$A$9:$N$66,5,FALSE),
IF($A191&lt;Cements!$A$95,VLOOKUP($A191,Cements!$A$8:$Q$94,4,FALSE),
IF($A191&lt;ValveBox!$A$124,VLOOKUP($A191,ValveBox!$A$9:$O$123,4,FALSE),
IF($A191&lt;'ValveBox Components'!$A$142,VLOOKUP($A191,'ValveBox Components'!$A$9:$N$141,4,FALSE),
IF($A191&lt;Drainage!$A$69,VLOOKUP($A191,Drainage!$A$8:$M$68,4,FALSE),
IF($A191&lt;Nipples!$A$82,VLOOKUP($A191,Nipples!$A$9:$Q$81,4,FALSE),
IF($A191&lt;Manifold!$A$33,VLOOKUP($A191,Manifold!$A$9:$M$32,4,FALSE),
IF($A191&lt;FlexibleRepairCouplings!$A$12,VLOOKUP($A191,FlexibleRepairCouplings!$A$9:$M$11,4,FALSE),
IF($A191&lt;DuraFix!$A$15,VLOOKUP($A191,DuraFix!$A$9:$M$14,4,FALSE),
IF($A191&lt;'Compression Fittings'!$A$16,VLOOKUP($A191,'Compression Fittings'!$A$8:$M$15,4,FALSE),
IF($A191&lt;'Hose Fittings'!$A$30,VLOOKUP($A191,'Hose Fittings'!$A$8:$M$29,4,FALSE),
IF($A191&lt;'Swing Joints'!$A$495,VLOOKUP($A191,'Swing Joints'!$A$9:$M$494,4,FALSE),
IF($A191&lt;'Swing Joints Components'!$A$135,VLOOKUP($A191,'Swing Joints Components'!$A$9:$M$134,4,FALSE),
IF($A191&lt;Nonstandard!$A$42,VLOOKUP($A191,Nonstandard!$A$31:$J$41,5,FALSE),"")))))))))))))))))))))))))))),"")</f>
        <v/>
      </c>
      <c r="C191" s="312" t="str">
        <f>IFERROR(IF($A191&lt;'DWV PVC'!$A$317,VLOOKUP($A191,'DWV PVC'!$A$9:$M$316,5,FALSE),
IF($A191&lt;'DWV ABS'!$A$117,VLOOKUP($A191,'DWV ABS'!$A$8:$M$116,5,FALSE),
IF($A191&lt;'PVC SCH40'!$A$425,VLOOKUP($A191,'PVC SCH40'!$A$8:$M$424,5,FALSE),
IF($A191&lt;'PVC SCH40 LD'!$A$22,VLOOKUP($A191,'PVC SCH40 LD'!$A$8:$M$21,5,FALSE),
IF($A191&lt;'Pool &amp; SPA Sweep Elbows'!$A$12,VLOOKUP($A191,'Pool &amp; SPA Sweep Elbows'!$A$8:$M$11,5,FALSE),
IF($A191&lt;'Pool &amp; SPA Pipe Extender'!$A$11,VLOOKUP($A191,'Pool &amp; SPA Pipe Extender'!$A$8:$M$10,5,FALSE),
IF($A191&lt;'PVC SCH80'!$A$250,VLOOKUP($A191,'PVC SCH80'!$A$8:$M$249,5,FALSE),
IF($A191&lt;'PVC SCH80 Flange'!$A$49,VLOOKUP($A191,'PVC SCH80 Flange'!$A$8:$M$48,5,FALSE),
IF($A191&lt;'PVC SCH80 LD Flange'!$A$17,VLOOKUP($A191,'PVC SCH80 LD Flange'!$A$8:$M$16,5,FALSE),
IF($A191&lt;CPVC!$A$105,VLOOKUP($A191,CPVC!$A$9:$M$104,5,FALSE),
IF($A191&lt;InsertFittings!$A$185,VLOOKUP($A191,InsertFittings!$A$9:$M$184,5,FALSE),
IF($A191&lt;Valves!$A$92,VLOOKUP($A191,Valves!$A$9:$Q$91,5,FALSE),
IF($A191&lt;SDR35SW!$A$133,VLOOKUP($A191,SDR35SW!$A$9:$M$132,5,FALSE),
IF($A191&lt;SDR35G!$A$151,VLOOKUP($A191,SDR35G!$A$9:$M$150,5,FALSE),
IF($A191&lt;SDR26G!$A$67,VLOOKUP($A191,SDR26G!$A$9:$N$66,6,FALSE),
IF($A191&lt;Cements!$A$95,VLOOKUP($A191,Cements!$A$8:$Q$94,5,FALSE),
IF($A191&lt;ValveBox!$A$124,VLOOKUP($A191,ValveBox!$A$9:$O$123,5,FALSE),
IF($A191&lt;'ValveBox Components'!$A$142,VLOOKUP($A191,'ValveBox Components'!$A$9:$N$141,5,FALSE),
IF($A191&lt;Drainage!$A$69,VLOOKUP($A191,Drainage!$A$8:$M$68,5,FALSE),
IF($A191&lt;Nipples!$A$82,VLOOKUP($A191,Nipples!$A$9:$Q$81,5,FALSE),
IF($A191&lt;Manifold!$A$33,VLOOKUP($A191,Manifold!$A$9:$M$32,5,FALSE),
IF($A191&lt;FlexibleRepairCouplings!$A$12,VLOOKUP($A191,FlexibleRepairCouplings!$A$9:$M$11,5,FALSE),
IF($A191&lt;DuraFix!$A$15,VLOOKUP($A191,DuraFix!$A$9:$M$14,5,FALSE),
IF($A191&lt;'Compression Fittings'!$A$16,VLOOKUP($A191,'Compression Fittings'!$A$8:$M$15,5,FALSE),
IF($A191&lt;'Hose Fittings'!$A$30,VLOOKUP($A191,'Hose Fittings'!$A$8:$M$29,5,FALSE),
IF($A191&lt;'Swing Joints'!$A$495,VLOOKUP($A191,'Swing Joints'!$A$9:$M$494,5,FALSE),
IF($A191&lt;'Swing Joints Components'!$A$135,VLOOKUP($A191,'Swing Joints Components'!$A$9:$M$134,5,FALSE),
IF($A191&lt;Nonstandard!$A$42,VLOOKUP($A191,Nonstandard!$A$31:$J$41,6,FALSE),"")))))))))))))))))))))))))))),"")</f>
        <v/>
      </c>
      <c r="D191" s="534" t="str">
        <f>IFERROR(IF($A191&lt;'DWV PVC'!$A$317,VLOOKUP($A191,'DWV PVC'!$A$9:$M$316,6,FALSE),
IF($A191&lt;'DWV ABS'!$A$117,VLOOKUP($A191,'DWV ABS'!$A$8:$M$116,6,FALSE),
IF($A191&lt;'PVC SCH40'!$A$425,VLOOKUP($A191,'PVC SCH40'!$A$8:$M$424,6,FALSE),
IF($A191&lt;'PVC SCH40 LD'!$A$22,VLOOKUP($A191,'PVC SCH40 LD'!$A$8:$M$21,6,FALSE),
IF($A191&lt;'Pool &amp; SPA Sweep Elbows'!$A$12,VLOOKUP($A191,'Pool &amp; SPA Sweep Elbows'!$A$8:$M$11,6,FALSE),
IF($A191&lt;'Pool &amp; SPA Pipe Extender'!$A$11,VLOOKUP($A191,'Pool &amp; SPA Pipe Extender'!$A$8:$M$10,6,FALSE),
IF($A191&lt;'PVC SCH80'!$A$250,VLOOKUP($A191,'PVC SCH80'!$A$8:$M$249,6,FALSE),
IF($A191&lt;'PVC SCH80 Flange'!$A$49,VLOOKUP($A191,'PVC SCH80 Flange'!$A$8:$M$48,6,FALSE),
IF($A191&lt;'PVC SCH80 LD Flange'!$A$17,VLOOKUP($A191,'PVC SCH80 LD Flange'!$A$8:$M$16,6,FALSE),
IF($A191&lt;CPVC!$A$105,VLOOKUP($A191,CPVC!$A$9:$M$104,6,FALSE),
IF($A191&lt;InsertFittings!$A$185,VLOOKUP($A191,InsertFittings!$A$9:$M$184,6,FALSE),
IF($A191&lt;Valves!$A$92,VLOOKUP($A191,Valves!$A$9:$Q$91,6,FALSE),
IF($A191&lt;SDR35SW!$A$133,VLOOKUP($A191,SDR35SW!$A$9:$M$132,6,FALSE),
IF($A191&lt;SDR35G!$A$151,VLOOKUP($A191,SDR35G!$A$9:$M$150,6,FALSE),
IF($A191&lt;SDR26G!$A$67,VLOOKUP($A191,SDR26G!$A$9:$N$66,7,FALSE),
IF($A191&lt;Cements!$A$95,VLOOKUP($A191,Cements!$A$8:$Q$94,6,FALSE),
IF($A191&lt;ValveBox!$A$124,VLOOKUP($A191,ValveBox!$A$9:$O$123,6,FALSE),
IF($A191&lt;'ValveBox Components'!$A$142,VLOOKUP($A191,'ValveBox Components'!$A$9:$N$141,6,FALSE),
IF($A191&lt;Drainage!$A$69,VLOOKUP($A191,Drainage!$A$8:$M$68,6,FALSE),
IF($A191&lt;Nipples!$A$82,VLOOKUP($A191,Nipples!$A$9:$Q$81,6,FALSE),
IF($A191&lt;Manifold!$A$33,VLOOKUP($A191,Manifold!$A$9:$M$32,6,FALSE),
IF($A191&lt;FlexibleRepairCouplings!$A$12,VLOOKUP($A191,FlexibleRepairCouplings!$A$9:$M$11,6,FALSE),
IF($A191&lt;DuraFix!$A$15,VLOOKUP($A191,DuraFix!$A$9:$M$14,6,FALSE),
IF($A191&lt;'Compression Fittings'!$A$16,VLOOKUP($A191,'Compression Fittings'!$A$8:$M$15,6,FALSE),
IF($A191&lt;'Hose Fittings'!$A$30,VLOOKUP($A191,'Hose Fittings'!$A$8:$M$29,6,FALSE),
IF($A191&lt;'Swing Joints'!$A$495,VLOOKUP($A191,'Swing Joints'!$A$9:$M$494,6,FALSE),
IF($A191&lt;'Swing Joints Components'!$A$135,VLOOKUP($A191,'Swing Joints Components'!$A$9:$M$134,6,FALSE),
IF($A191&lt;Nonstandard!$A$42,VLOOKUP($A191,Nonstandard!$A$31:$J$41,7,FALSE),"")))))))))))))))))))))))))))),"")</f>
        <v/>
      </c>
      <c r="E191" s="316"/>
      <c r="F191" s="314" t="str">
        <f>IFERROR(IF($A191&lt;'DWV PVC'!$A$317,VLOOKUP($A191,'DWV PVC'!$A$9:$M$316,9,FALSE),
IF($A191&lt;'DWV ABS'!$A$117,VLOOKUP($A191,'DWV ABS'!$A$8:$M$116,9,FALSE),                                                                                                                                                                                                                                                     IF($A191&lt;'PVC SCH40'!$A$425,VLOOKUP($A191,'PVC SCH40'!$A$8:$M$424,9,FALSE),
IF($A191&lt;'PVC SCH40 LD'!$A$22,VLOOKUP($A191,'PVC SCH40 LD'!$A$8:$M$21,9,FALSE),
IF($A191&lt;'Pool &amp; SPA Sweep Elbows'!$A$12,VLOOKUP($A191,'Pool &amp; SPA Sweep Elbows'!$A$8:$M$11,9,FALSE),
IF($A191&lt;'Pool &amp; SPA Pipe Extender'!$A$11,VLOOKUP($A191,'Pool &amp; SPA Pipe Extender'!$A$8:$M$10,9,FALSE),
IF($A191&lt;'PVC SCH80'!$A$250,VLOOKUP($A191,'PVC SCH80'!$A$8:$M$249,9,FALSE),
IF($A191&lt;'PVC SCH80 Flange'!$A$49,VLOOKUP($A191,'PVC SCH80 Flange'!$A$8:$M$48,9,FALSE),
IF($A191&lt;'PVC SCH80 LD Flange'!$A$17,VLOOKUP($A191,'PVC SCH80 LD Flange'!$A$8:$M$16,9,FALSE),
IF($A191&lt;CPVC!$A$105,VLOOKUP($A191,CPVC!$A$9:$M$104,9,FALSE),
IF($A191&lt;InsertFittings!$A$185,VLOOKUP($A191,InsertFittings!$A$9:$M$184,9,FALSE),
IF($A191&lt;Valves!$A$92,VLOOKUP($A191,Valves!$A$9:$Q$91,13,FALSE),
IF($A191&lt;SDR35SW!$A$133,VLOOKUP($A191,SDR35SW!$A$9:$M$132,9,FALSE),
IF($A191&lt;SDR35G!$A$151,VLOOKUP($A191,SDR35G!$A$9:$M$150,9,FALSE),                                                                                                                                                                                                                                                          IF($A191&lt;SDR26G!$A$67,VLOOKUP($A191,SDR26G!$A$9:$N$66,10,FALSE),                                                                                                                                                                                                                                                       IF($A191&lt;Cements!$A$95,VLOOKUP($A191,Cements!$A$8:$Q$94,13,FALSE),
IF($A191&lt;ValveBox!$A$124,VLOOKUP($A191,ValveBox!$A$9:$O$123,11,FALSE),
IF($A191&lt;'ValveBox Components'!$A$142,VLOOKUP($A191,'ValveBox Components'!$A$9:$N$141,10,FALSE),
IF($A191&lt;Drainage!$A$69,VLOOKUP($A191,Drainage!$A$8:$M$68,9,FALSE),                                                                                                                                                                                                                                                              IF($A191&lt;Nipples!$A$82,VLOOKUP($A191,Nipples!$A$9:$Q$81,13,FALSE),
IF($A191&lt;Manifold!$A$33,VLOOKUP($A191,Manifold!$A$9:$M$32,9,FALSE),
IF($A191&lt;FlexibleRepairCouplings!$A$12,VLOOKUP($A191,FlexibleRepairCouplings!$A$9:$M$11,9,FALSE),
IF($A191&lt;DuraFix!$A$15,VLOOKUP($A191,DuraFix!$A$9:$M$14,9,FALSE),                                                                                                                                                                                                                                                          IF($A191&lt;'Compression Fittings'!$A$16,VLOOKUP($A191,'Compression Fittings'!$A$8:$M$15,9,FALSE),
IF($A191&lt;'Hose Fittings'!$A$30,VLOOKUP($A191,'Hose Fittings'!$A$8:$M$29,9,FALSE),
IF($A191&lt;'Swing Joints'!$A$495,VLOOKUP($A191,'Swing Joints'!$A$9:$M$494,9,FALSE),
IF($A191&lt;'Swing Joints Components'!$A$135,VLOOKUP($A191,'Swing Joints Components'!$A$9:$M$134,9,FALSE),
IF($A191&lt;Nonstandard!$A$42,VLOOKUP($A191,Nonstandard!$A$31:$J$41,8,FALSE),"")))))))))))))))))))))))))))),"")</f>
        <v/>
      </c>
      <c r="G191" s="533" t="str">
        <f>IFERROR(IF($A191&lt;'DWV PVC'!$A$317,VLOOKUP($A191,'DWV PVC'!$A$9:$M$316,11,FALSE),
IF($A191&lt;'DWV ABS'!$A$117,VLOOKUP($A191,'DWV ABS'!$A$8:$M$116,11,FALSE),                                                                                                                                                                                                                                                     IF($A191&lt;'PVC SCH40'!$A$425,VLOOKUP($A191,'PVC SCH40'!$A$8:$M$424,11,FALSE),
IF($A191&lt;'PVC SCH40 LD'!$A$22,VLOOKUP($A191,'PVC SCH40 LD'!$A$8:$M$21,11,FALSE),
IF($A191&lt;'Pool &amp; SPA Sweep Elbows'!$A$12,VLOOKUP($A191,'Pool &amp; SPA Sweep Elbows'!$A$8:$M$11,11,FALSE),
IF($A191&lt;'Pool &amp; SPA Pipe Extender'!$A$11,VLOOKUP($A191,'Pool &amp; SPA Pipe Extender'!$A$8:$M$10,11,FALSE),
IF($A191&lt;'PVC SCH80'!$A$250,VLOOKUP($A191,'PVC SCH80'!$A$8:$M$249,11,FALSE),
IF($A191&lt;'PVC SCH80 Flange'!$A$49,VLOOKUP($A191,'PVC SCH80 Flange'!$A$8:$M$48,11,FALSE),
IF($A191&lt;'PVC SCH80 LD Flange'!$A$17,VLOOKUP($A191,'PVC SCH80 LD Flange'!$A$8:$M$16,11,FALSE),
IF($A191&lt;CPVC!$A$105,VLOOKUP($A191,CPVC!$A$9:$M$104,11,FALSE),
IF($A191&lt;InsertFittings!$A$185,VLOOKUP($A191,InsertFittings!$A$9:$M$184,11,FALSE),
IF($A191&lt;Valves!$A$92,VLOOKUP($A191,Valves!$A$9:$Q$91,15,FALSE),
IF($A191&lt;SDR35SW!$A$133,VLOOKUP($A191,SDR35SW!$A$9:$M$132,11,FALSE),
IF($A191&lt;SDR35G!$A$151,VLOOKUP($A191,SDR35G!$A$9:$M$150,11,FALSE),                                                                                                                                                                                                                                                          IF($A191&lt;SDR26G!$A$67,VLOOKUP($A191,SDR26G!$A$9:$N$66,12,FALSE),                                                                                                                                                                                                                                                       IF($A191&lt;Cements!$A$95,VLOOKUP($A191,Cements!$A$8:$Q$94,15,FALSE),
IF($A191&lt;ValveBox!$A$124,VLOOKUP($A191,ValveBox!$A$9:$O$123,13,FALSE),
IF($A191&lt;'ValveBox Components'!$A$142,VLOOKUP($A191,'ValveBox Components'!$A$9:$N$141,12,FALSE),
IF($A191&lt;Drainage!$A$69,VLOOKUP($A191,Drainage!$A$8:$M$68,11,FALSE),                                                                                                                                                                                                                                                           IF($A191&lt;Nipples!$A$82,VLOOKUP($A191,Nipples!$A$9:$Q$81,15,FALSE),
IF($A191&lt;Manifold!$A$33,VLOOKUP($A191,Manifold!$A$9:$M$32,11,FALSE),
IF($A191&lt;FlexibleRepairCouplings!$A$12,VLOOKUP($A191,FlexibleRepairCouplings!$A$9:$M$11,11,FALSE),
IF($A191&lt;DuraFix!$A$15,VLOOKUP($A191,DuraFix!$A$9:$M$14,11,FALSE),                                                                                                                                                                                                                                                            IF($A191&lt;'Compression Fittings'!$A$16,VLOOKUP($A191,'Compression Fittings'!$A$8:$M$15,11,FALSE),
IF($A191&lt;'Hose Fittings'!$A$30,VLOOKUP($A191,'Hose Fittings'!$A$8:$M$29,11,FALSE),
IF($A191&lt;'Swing Joints'!$A$495,VLOOKUP($A191,'Swing Joints'!$A$9:$M$494,11,FALSE),
IF($A191&lt;'Swing Joints Components'!$A$135,VLOOKUP($A191,'Swing Joints Components'!$A$9:$M$134,11,FALSE),
IF($A191&lt;Nonstandard!$A$42,VLOOKUP($A191,Nonstandard!$A$31:$J$41,10,FALSE),"")))))))))))))))))))))))))))),"")</f>
        <v/>
      </c>
      <c r="H191" s="618" t="str">
        <f>IFERROR(IF($A191&lt;'DWV PVC'!$A$317,VLOOKUP($A191,'DWV PVC'!$A$9:$M$316,7,FALSE),
IF($A191&lt;'DWV ABS'!$A$117,VLOOKUP($A191,'DWV ABS'!$A$8:$M$116,11,FALSE),                                                                                                                                                                                                                                                     IF($A191&lt;'PVC SCH40'!$A$425,VLOOKUP($A191,'PVC SCH40'!$A$8:$M$424,7,FALSE),
IF($A191&lt;'PVC SCH40 LD'!$A$22,VLOOKUP($A191,'PVC SCH40 LD'!$A$8:$M$21,7,FALSE),
IF($A191&lt;'Pool &amp; SPA Sweep Elbows'!$A$12,VLOOKUP($A191,'Pool &amp; SPA Sweep Elbows'!$A$8:$M$11,7,FALSE),
IF($A191&lt;'Pool &amp; SPA Pipe Extender'!$A$11,VLOOKUP($A191,'Pool &amp; SPA Pipe Extender'!$A$8:$M$10,7,FALSE),
IF($A191&lt;'PVC SCH80'!$A$250,VLOOKUP($A191,'PVC SCH80'!$A$8:$M$249,7,FALSE),
IF($A191&lt;'PVC SCH80 Flange'!$A$49,VLOOKUP($A191,'PVC SCH80 Flange'!$A$8:$M$48,7,FALSE),
IF($A191&lt;'PVC SCH80 LD Flange'!$A$17,VLOOKUP($A191,'PVC SCH80 LD Flange'!$A$8:$M$16,7,FALSE),
IF($A191&lt;CPVC!$A$105,VLOOKUP($A191,CPVC!$A$9:$M$104,7,FALSE),
IF($A191&lt;InsertFittings!$A$185,VLOOKUP($A191,InsertFittings!$A$9:$M$184,7,FALSE),
IF($A191&lt;Valves!$A$92,VLOOKUP($A191,Valves!$A$9:$Q$91,11,FALSE),
IF($A191&lt;SDR35SW!$A$133,VLOOKUP($A191,SDR35SW!$A$9:$M$132,7,FALSE),
IF($A191&lt;SDR35G!$A$151,VLOOKUP($A191,SDR35G!$A$9:$M$150,7,FALSE),                                                                                                                                                                                                                                                       IF($A191&lt;SDR26G!$A$67,VLOOKUP($A191,SDR26G!$A$9:$N$66,8,FALSE),                                                                                                                                                                                                                                                     IF($A191&lt;Cements!$A$95,VLOOKUP($A191,Cements!$A$8:$Q$94,11,FALSE),
IF($A191&lt;ValveBox!$A$124,VLOOKUP($A191,ValveBox!$A$9:$O$123,10,FALSE),
IF($A191&lt;'ValveBox Components'!$A$142,VLOOKUP($A191,'ValveBox Components'!$A$9:$N$141,9,FALSE),
IF($A191&lt;Drainage!$A$69,VLOOKUP($A191,Drainage!$A$8:$M$68,7,FALSE),                                                                                                                                                                                                                                                          IF($A191&lt;Nipples!$A$82,VLOOKUP($A191,Nipples!$A$9:$Q$81,11,FALSE),
IF($A191&lt;Manifold!$A$33,VLOOKUP($A191,Manifold!$A$9:$M$32,7,FALSE),
IF($A191&lt;FlexibleRepairCouplings!$A$12,VLOOKUP($A191,FlexibleRepairCouplings!$A$9:$M$11,7,FALSE),
IF($A191&lt;DuraFix!$A$15,VLOOKUP($A191,DuraFix!$A$9:$M$14,7,FALSE),                                                                                                                                                                                                                                                           IF($A191&lt;'Compression Fittings'!$A$16,VLOOKUP($A191,'Compression Fittings'!$A$8:$M$15,7,FALSE),
IF($A191&lt;'Hose Fittings'!$A$30,VLOOKUP($A191,'Hose Fittings'!$A$8:$M$29,7,FALSE),
IF($A191&lt;'Swing Joints'!$A$495,VLOOKUP($A191,'Swing Joints'!$A$9:$M$494,7,FALSE),
IF($A191&lt;'Swing Joints Components'!$A$135,VLOOKUP($A191,'Swing Joints Components'!$A$9:$M$134,7,FALSE),
IF($A191&lt;Nonstandard!$A$42,VLOOKUP($A191,Nonstandard!$A$31:$J$41,10,FALSE),"")))))))))))))))))))))))))))),"")</f>
        <v/>
      </c>
      <c r="I191" s="619"/>
      <c r="J191" s="281" t="str">
        <f t="shared" si="5"/>
        <v/>
      </c>
      <c r="K191" s="313" t="str">
        <f>IFERROR(IF($A191&lt;'DWV PVC'!$A$317,VLOOKUP($A191,'DWV PVC'!$A$9:$M$316,10,FALSE),
IF($A191&lt;'DWV ABS'!$A$117,VLOOKUP($A191,'DWV ABS'!$A$8:$M$116,10,FALSE),
IF($A191&lt;'PVC SCH40'!$A$425,VLOOKUP($A191,'PVC SCH40'!$A$8:$M$424,10,FALSE),
IF($A191&lt;'PVC SCH40 LD'!$A$22,VLOOKUP($A191,'PVC SCH40 LD'!$A$8:$M$21,10,FALSE),
IF($A191&lt;'Pool &amp; SPA Sweep Elbows'!$A$12,VLOOKUP($A191,'Pool &amp; SPA Sweep Elbows'!$A$8:$M$11,10,FALSE),
IF($A191&lt;'Pool &amp; SPA Pipe Extender'!$A$11,VLOOKUP($A191,'Pool &amp; SPA Pipe Extender'!$A$8:$M$10,10,FALSE),
IF($A191&lt;'PVC SCH80'!$A$250,VLOOKUP($A191,'PVC SCH80'!$A$8:$M$249,10,FALSE),
IF($A191&lt;'PVC SCH80 Flange'!$A$49,VLOOKUP($A191,'PVC SCH80 Flange'!$A$8:$M$48,10,FALSE),
IF($A191&lt;'PVC SCH80 LD Flange'!$A$17,VLOOKUP($A191,'PVC SCH80 LD Flange'!$A$8:$M$16,10,FALSE),
IF($A191&lt;CPVC!$A$105,VLOOKUP($A191,CPVC!$A$9:$M$104,10,FALSE),
IF($A191&lt;InsertFittings!$A$185,VLOOKUP($A191,InsertFittings!$A$9:$M$184,10,FALSE),
IF($A191&lt;Valves!$A$92,VLOOKUP($A191,Valves!$A$9:$Q$91,14,FALSE),
IF($A191&lt;SDR35SW!$A$133,VLOOKUP($A191,SDR35SW!$A$9:$M$132,10,FALSE),
IF($A191&lt;SDR35G!$A$151,VLOOKUP($A191,SDR35G!$A$9:$M$150,10,FALSE),
IF($A191&lt;SDR26G!$A$67,VLOOKUP($A191,SDR26G!$A$9:$N$66,11,FALSE),
IF($A191&lt;Cements!$A$95,VLOOKUP($A191,Cements!$A$8:$Q$94,14,FALSE),
IF($A191&lt;ValveBox!$A$124,VLOOKUP($A191,ValveBox!$A$9:$O$123,12,FALSE),
IF($A191&lt;'ValveBox Components'!$A$142,VLOOKUP($A191,'ValveBox Components'!$A$9:$N$141,11,FALSE),
IF($A191&lt;Drainage!$A$69,VLOOKUP($A191,Drainage!$A$8:$M$68,10,FALSE),
IF($A191&lt;Nipples!$A$82,VLOOKUP($A191,Nipples!$A$9:$Q$81,14,FALSE),
IF($A191&lt;Manifold!$A$33,VLOOKUP($A191,Manifold!$A$9:$M$32,10,FALSE),
IF($A191&lt;FlexibleRepairCouplings!$A$12,VLOOKUP($A191,FlexibleRepairCouplings!$A$9:$M$11,10,FALSE),
IF($A191&lt;DuraFix!$A$15,VLOOKUP($A191,DuraFix!$A$9:$M$14,10,FALSE),
IF($A191&lt;'Compression Fittings'!$A$16,VLOOKUP($A191,'Compression Fittings'!$A$8:$M$15,10,FALSE),
IF($A191&lt;'Hose Fittings'!$A$30,VLOOKUP($A191,'Hose Fittings'!$A$8:$M$29,10,FALSE),
IF($A191&lt;'Swing Joints'!$A$495,VLOOKUP($A191,'Swing Joints'!$A$9:$M$494,10,FALSE),
IF($A191&lt;'Swing Joints Components'!$A$135,VLOOKUP($A191,'Swing Joints Components'!$A$9:$M$134,10,FALSE),
IF($A191&lt;Nonstandard!$A$42,VLOOKUP($A191,Nonstandard!$A$31:$J$41,10,FALSE),"")))))))))))))))))))))))))))),"")</f>
        <v/>
      </c>
      <c r="L191" s="314" t="str">
        <f t="shared" si="4"/>
        <v>-</v>
      </c>
      <c r="M191" s="315"/>
    </row>
    <row r="192" spans="1:13" ht="15.6">
      <c r="A192" s="536">
        <v>160</v>
      </c>
      <c r="B192" s="536" t="str">
        <f>IFERROR(IF($A192&lt;'DWV PVC'!$A$317,VLOOKUP($A192,'DWV PVC'!$A$9:$M$316,4,FALSE),
IF($A192&lt;'DWV ABS'!$A$117,VLOOKUP($A192,'DWV ABS'!$A$8:$M$116,4,FALSE),
IF($A192&lt;'PVC SCH40'!$A$425,VLOOKUP($A192,'PVC SCH40'!$A$8:$M$424,4,FALSE),
IF($A192&lt;'PVC SCH40 LD'!$A$22,VLOOKUP($A192,'PVC SCH40 LD'!$A$8:$M$21,4,FALSE),
IF($A192&lt;'Pool &amp; SPA Sweep Elbows'!$A$12,VLOOKUP($A192,'Pool &amp; SPA Sweep Elbows'!$A$8:$M$11,4,FALSE),
IF($A192&lt;'Pool &amp; SPA Pipe Extender'!$A$11,VLOOKUP($A192,'Pool &amp; SPA Pipe Extender'!$A$8:$M$10,4,FALSE),
IF($A192&lt;'PVC SCH80'!$A$250,VLOOKUP($A192,'PVC SCH80'!$A$8:$M$249,4,FALSE),
IF($A192&lt;'PVC SCH80 Flange'!$A$49,VLOOKUP($A192,'PVC SCH80 Flange'!$A$8:$M$48,4,FALSE),
IF($A192&lt;'PVC SCH80 LD Flange'!$A$17,VLOOKUP($A192,'PVC SCH80 LD Flange'!$A$8:$M$16,4,FALSE),
IF($A192&lt;CPVC!$A$105,VLOOKUP($A192,CPVC!$A$9:$M$104,4,FALSE),
IF($A192&lt;InsertFittings!$A$185,VLOOKUP($A192,InsertFittings!$A$9:$M$184,4,FALSE),
IF($A192&lt;Valves!$A$92,VLOOKUP($A192,Valves!$A$9:$Q$91,4,FALSE),
IF($A192&lt;SDR35SW!$A$133,VLOOKUP($A192,SDR35SW!$A$9:$M$132,4,FALSE),
IF($A192&lt;SDR35G!$A$151,VLOOKUP($A192,SDR35G!$A$9:$M$150,4,FALSE),
IF($A192&lt;SDR26G!$A$67,VLOOKUP($A192,SDR26G!$A$9:$N$66,5,FALSE),
IF($A192&lt;Cements!$A$95,VLOOKUP($A192,Cements!$A$8:$Q$94,4,FALSE),
IF($A192&lt;ValveBox!$A$124,VLOOKUP($A192,ValveBox!$A$9:$O$123,4,FALSE),
IF($A192&lt;'ValveBox Components'!$A$142,VLOOKUP($A192,'ValveBox Components'!$A$9:$N$141,4,FALSE),
IF($A192&lt;Drainage!$A$69,VLOOKUP($A192,Drainage!$A$8:$M$68,4,FALSE),
IF($A192&lt;Nipples!$A$82,VLOOKUP($A192,Nipples!$A$9:$Q$81,4,FALSE),
IF($A192&lt;Manifold!$A$33,VLOOKUP($A192,Manifold!$A$9:$M$32,4,FALSE),
IF($A192&lt;FlexibleRepairCouplings!$A$12,VLOOKUP($A192,FlexibleRepairCouplings!$A$9:$M$11,4,FALSE),
IF($A192&lt;DuraFix!$A$15,VLOOKUP($A192,DuraFix!$A$9:$M$14,4,FALSE),
IF($A192&lt;'Compression Fittings'!$A$16,VLOOKUP($A192,'Compression Fittings'!$A$8:$M$15,4,FALSE),
IF($A192&lt;'Hose Fittings'!$A$30,VLOOKUP($A192,'Hose Fittings'!$A$8:$M$29,4,FALSE),
IF($A192&lt;'Swing Joints'!$A$495,VLOOKUP($A192,'Swing Joints'!$A$9:$M$494,4,FALSE),
IF($A192&lt;'Swing Joints Components'!$A$135,VLOOKUP($A192,'Swing Joints Components'!$A$9:$M$134,4,FALSE),
IF($A192&lt;Nonstandard!$A$42,VLOOKUP($A192,Nonstandard!$A$31:$J$41,5,FALSE),"")))))))))))))))))))))))))))),"")</f>
        <v/>
      </c>
      <c r="C192" s="536" t="str">
        <f>IFERROR(IF($A192&lt;'DWV PVC'!$A$317,VLOOKUP($A192,'DWV PVC'!$A$9:$M$316,5,FALSE),
IF($A192&lt;'DWV ABS'!$A$117,VLOOKUP($A192,'DWV ABS'!$A$8:$M$116,5,FALSE),
IF($A192&lt;'PVC SCH40'!$A$425,VLOOKUP($A192,'PVC SCH40'!$A$8:$M$424,5,FALSE),
IF($A192&lt;'PVC SCH40 LD'!$A$22,VLOOKUP($A192,'PVC SCH40 LD'!$A$8:$M$21,5,FALSE),
IF($A192&lt;'Pool &amp; SPA Sweep Elbows'!$A$12,VLOOKUP($A192,'Pool &amp; SPA Sweep Elbows'!$A$8:$M$11,5,FALSE),
IF($A192&lt;'Pool &amp; SPA Pipe Extender'!$A$11,VLOOKUP($A192,'Pool &amp; SPA Pipe Extender'!$A$8:$M$10,5,FALSE),
IF($A192&lt;'PVC SCH80'!$A$250,VLOOKUP($A192,'PVC SCH80'!$A$8:$M$249,5,FALSE),
IF($A192&lt;'PVC SCH80 Flange'!$A$49,VLOOKUP($A192,'PVC SCH80 Flange'!$A$8:$M$48,5,FALSE),
IF($A192&lt;'PVC SCH80 LD Flange'!$A$17,VLOOKUP($A192,'PVC SCH80 LD Flange'!$A$8:$M$16,5,FALSE),
IF($A192&lt;CPVC!$A$105,VLOOKUP($A192,CPVC!$A$9:$M$104,5,FALSE),
IF($A192&lt;InsertFittings!$A$185,VLOOKUP($A192,InsertFittings!$A$9:$M$184,5,FALSE),
IF($A192&lt;Valves!$A$92,VLOOKUP($A192,Valves!$A$9:$Q$91,5,FALSE),
IF($A192&lt;SDR35SW!$A$133,VLOOKUP($A192,SDR35SW!$A$9:$M$132,5,FALSE),
IF($A192&lt;SDR35G!$A$151,VLOOKUP($A192,SDR35G!$A$9:$M$150,5,FALSE),
IF($A192&lt;SDR26G!$A$67,VLOOKUP($A192,SDR26G!$A$9:$N$66,6,FALSE),
IF($A192&lt;Cements!$A$95,VLOOKUP($A192,Cements!$A$8:$Q$94,5,FALSE),
IF($A192&lt;ValveBox!$A$124,VLOOKUP($A192,ValveBox!$A$9:$O$123,5,FALSE),
IF($A192&lt;'ValveBox Components'!$A$142,VLOOKUP($A192,'ValveBox Components'!$A$9:$N$141,5,FALSE),
IF($A192&lt;Drainage!$A$69,VLOOKUP($A192,Drainage!$A$8:$M$68,5,FALSE),
IF($A192&lt;Nipples!$A$82,VLOOKUP($A192,Nipples!$A$9:$Q$81,5,FALSE),
IF($A192&lt;Manifold!$A$33,VLOOKUP($A192,Manifold!$A$9:$M$32,5,FALSE),
IF($A192&lt;FlexibleRepairCouplings!$A$12,VLOOKUP($A192,FlexibleRepairCouplings!$A$9:$M$11,5,FALSE),
IF($A192&lt;DuraFix!$A$15,VLOOKUP($A192,DuraFix!$A$9:$M$14,5,FALSE),
IF($A192&lt;'Compression Fittings'!$A$16,VLOOKUP($A192,'Compression Fittings'!$A$8:$M$15,5,FALSE),
IF($A192&lt;'Hose Fittings'!$A$30,VLOOKUP($A192,'Hose Fittings'!$A$8:$M$29,5,FALSE),
IF($A192&lt;'Swing Joints'!$A$495,VLOOKUP($A192,'Swing Joints'!$A$9:$M$494,5,FALSE),
IF($A192&lt;'Swing Joints Components'!$A$135,VLOOKUP($A192,'Swing Joints Components'!$A$9:$M$134,5,FALSE),
IF($A192&lt;Nonstandard!$A$42,VLOOKUP($A192,Nonstandard!$A$31:$J$41,6,FALSE),"")))))))))))))))))))))))))))),"")</f>
        <v/>
      </c>
      <c r="D192" s="537" t="str">
        <f>IFERROR(IF($A192&lt;'DWV PVC'!$A$317,VLOOKUP($A192,'DWV PVC'!$A$9:$M$316,6,FALSE),
IF($A192&lt;'DWV ABS'!$A$117,VLOOKUP($A192,'DWV ABS'!$A$8:$M$116,6,FALSE),
IF($A192&lt;'PVC SCH40'!$A$425,VLOOKUP($A192,'PVC SCH40'!$A$8:$M$424,6,FALSE),
IF($A192&lt;'PVC SCH40 LD'!$A$22,VLOOKUP($A192,'PVC SCH40 LD'!$A$8:$M$21,6,FALSE),
IF($A192&lt;'Pool &amp; SPA Sweep Elbows'!$A$12,VLOOKUP($A192,'Pool &amp; SPA Sweep Elbows'!$A$8:$M$11,6,FALSE),
IF($A192&lt;'Pool &amp; SPA Pipe Extender'!$A$11,VLOOKUP($A192,'Pool &amp; SPA Pipe Extender'!$A$8:$M$10,6,FALSE),
IF($A192&lt;'PVC SCH80'!$A$250,VLOOKUP($A192,'PVC SCH80'!$A$8:$M$249,6,FALSE),
IF($A192&lt;'PVC SCH80 Flange'!$A$49,VLOOKUP($A192,'PVC SCH80 Flange'!$A$8:$M$48,6,FALSE),
IF($A192&lt;'PVC SCH80 LD Flange'!$A$17,VLOOKUP($A192,'PVC SCH80 LD Flange'!$A$8:$M$16,6,FALSE),
IF($A192&lt;CPVC!$A$105,VLOOKUP($A192,CPVC!$A$9:$M$104,6,FALSE),
IF($A192&lt;InsertFittings!$A$185,VLOOKUP($A192,InsertFittings!$A$9:$M$184,6,FALSE),
IF($A192&lt;Valves!$A$92,VLOOKUP($A192,Valves!$A$9:$Q$91,6,FALSE),
IF($A192&lt;SDR35SW!$A$133,VLOOKUP($A192,SDR35SW!$A$9:$M$132,6,FALSE),
IF($A192&lt;SDR35G!$A$151,VLOOKUP($A192,SDR35G!$A$9:$M$150,6,FALSE),
IF($A192&lt;SDR26G!$A$67,VLOOKUP($A192,SDR26G!$A$9:$N$66,7,FALSE),
IF($A192&lt;Cements!$A$95,VLOOKUP($A192,Cements!$A$8:$Q$94,6,FALSE),
IF($A192&lt;ValveBox!$A$124,VLOOKUP($A192,ValveBox!$A$9:$O$123,6,FALSE),
IF($A192&lt;'ValveBox Components'!$A$142,VLOOKUP($A192,'ValveBox Components'!$A$9:$N$141,6,FALSE),
IF($A192&lt;Drainage!$A$69,VLOOKUP($A192,Drainage!$A$8:$M$68,6,FALSE),
IF($A192&lt;Nipples!$A$82,VLOOKUP($A192,Nipples!$A$9:$Q$81,6,FALSE),
IF($A192&lt;Manifold!$A$33,VLOOKUP($A192,Manifold!$A$9:$M$32,6,FALSE),
IF($A192&lt;FlexibleRepairCouplings!$A$12,VLOOKUP($A192,FlexibleRepairCouplings!$A$9:$M$11,6,FALSE),
IF($A192&lt;DuraFix!$A$15,VLOOKUP($A192,DuraFix!$A$9:$M$14,6,FALSE),
IF($A192&lt;'Compression Fittings'!$A$16,VLOOKUP($A192,'Compression Fittings'!$A$8:$M$15,6,FALSE),
IF($A192&lt;'Hose Fittings'!$A$30,VLOOKUP($A192,'Hose Fittings'!$A$8:$M$29,6,FALSE),
IF($A192&lt;'Swing Joints'!$A$495,VLOOKUP($A192,'Swing Joints'!$A$9:$M$494,6,FALSE),
IF($A192&lt;'Swing Joints Components'!$A$135,VLOOKUP($A192,'Swing Joints Components'!$A$9:$M$134,6,FALSE),
IF($A192&lt;Nonstandard!$A$42,VLOOKUP($A192,Nonstandard!$A$31:$J$41,7,FALSE),"")))))))))))))))))))))))))))),"")</f>
        <v/>
      </c>
      <c r="E192" s="538"/>
      <c r="F192" s="539" t="str">
        <f>IFERROR(IF($A192&lt;'DWV PVC'!$A$317,VLOOKUP($A192,'DWV PVC'!$A$9:$M$316,9,FALSE),
IF($A192&lt;'DWV ABS'!$A$117,VLOOKUP($A192,'DWV ABS'!$A$8:$M$116,9,FALSE),                                                                                                                                                                                                                                                     IF($A192&lt;'PVC SCH40'!$A$425,VLOOKUP($A192,'PVC SCH40'!$A$8:$M$424,9,FALSE),
IF($A192&lt;'PVC SCH40 LD'!$A$22,VLOOKUP($A192,'PVC SCH40 LD'!$A$8:$M$21,9,FALSE),
IF($A192&lt;'Pool &amp; SPA Sweep Elbows'!$A$12,VLOOKUP($A192,'Pool &amp; SPA Sweep Elbows'!$A$8:$M$11,9,FALSE),
IF($A192&lt;'Pool &amp; SPA Pipe Extender'!$A$11,VLOOKUP($A192,'Pool &amp; SPA Pipe Extender'!$A$8:$M$10,9,FALSE),
IF($A192&lt;'PVC SCH80'!$A$250,VLOOKUP($A192,'PVC SCH80'!$A$8:$M$249,9,FALSE),
IF($A192&lt;'PVC SCH80 Flange'!$A$49,VLOOKUP($A192,'PVC SCH80 Flange'!$A$8:$M$48,9,FALSE),
IF($A192&lt;'PVC SCH80 LD Flange'!$A$17,VLOOKUP($A192,'PVC SCH80 LD Flange'!$A$8:$M$16,9,FALSE),
IF($A192&lt;CPVC!$A$105,VLOOKUP($A192,CPVC!$A$9:$M$104,9,FALSE),
IF($A192&lt;InsertFittings!$A$185,VLOOKUP($A192,InsertFittings!$A$9:$M$184,9,FALSE),
IF($A192&lt;Valves!$A$92,VLOOKUP($A192,Valves!$A$9:$Q$91,13,FALSE),
IF($A192&lt;SDR35SW!$A$133,VLOOKUP($A192,SDR35SW!$A$9:$M$132,9,FALSE),
IF($A192&lt;SDR35G!$A$151,VLOOKUP($A192,SDR35G!$A$9:$M$150,9,FALSE),                                                                                                                                                                                                                                                          IF($A192&lt;SDR26G!$A$67,VLOOKUP($A192,SDR26G!$A$9:$N$66,10,FALSE),                                                                                                                                                                                                                                                       IF($A192&lt;Cements!$A$95,VLOOKUP($A192,Cements!$A$8:$Q$94,13,FALSE),
IF($A192&lt;ValveBox!$A$124,VLOOKUP($A192,ValveBox!$A$9:$O$123,11,FALSE),
IF($A192&lt;'ValveBox Components'!$A$142,VLOOKUP($A192,'ValveBox Components'!$A$9:$N$141,10,FALSE),
IF($A192&lt;Drainage!$A$69,VLOOKUP($A192,Drainage!$A$8:$M$68,9,FALSE),                                                                                                                                                                                                                                                              IF($A192&lt;Nipples!$A$82,VLOOKUP($A192,Nipples!$A$9:$Q$81,13,FALSE),
IF($A192&lt;Manifold!$A$33,VLOOKUP($A192,Manifold!$A$9:$M$32,9,FALSE),
IF($A192&lt;FlexibleRepairCouplings!$A$12,VLOOKUP($A192,FlexibleRepairCouplings!$A$9:$M$11,9,FALSE),
IF($A192&lt;DuraFix!$A$15,VLOOKUP($A192,DuraFix!$A$9:$M$14,9,FALSE),                                                                                                                                                                                                                                                          IF($A192&lt;'Compression Fittings'!$A$16,VLOOKUP($A192,'Compression Fittings'!$A$8:$M$15,9,FALSE),
IF($A192&lt;'Hose Fittings'!$A$30,VLOOKUP($A192,'Hose Fittings'!$A$8:$M$29,9,FALSE),
IF($A192&lt;'Swing Joints'!$A$495,VLOOKUP($A192,'Swing Joints'!$A$9:$M$494,9,FALSE),
IF($A192&lt;'Swing Joints Components'!$A$135,VLOOKUP($A192,'Swing Joints Components'!$A$9:$M$134,9,FALSE),
IF($A192&lt;Nonstandard!$A$42,VLOOKUP($A192,Nonstandard!$A$31:$J$41,8,FALSE),"")))))))))))))))))))))))))))),"")</f>
        <v/>
      </c>
      <c r="G192" s="540" t="str">
        <f>IFERROR(IF($A192&lt;'DWV PVC'!$A$317,VLOOKUP($A192,'DWV PVC'!$A$9:$M$316,11,FALSE),
IF($A192&lt;'DWV ABS'!$A$117,VLOOKUP($A192,'DWV ABS'!$A$8:$M$116,11,FALSE),                                                                                                                                                                                                                                                     IF($A192&lt;'PVC SCH40'!$A$425,VLOOKUP($A192,'PVC SCH40'!$A$8:$M$424,11,FALSE),
IF($A192&lt;'PVC SCH40 LD'!$A$22,VLOOKUP($A192,'PVC SCH40 LD'!$A$8:$M$21,11,FALSE),
IF($A192&lt;'Pool &amp; SPA Sweep Elbows'!$A$12,VLOOKUP($A192,'Pool &amp; SPA Sweep Elbows'!$A$8:$M$11,11,FALSE),
IF($A192&lt;'Pool &amp; SPA Pipe Extender'!$A$11,VLOOKUP($A192,'Pool &amp; SPA Pipe Extender'!$A$8:$M$10,11,FALSE),
IF($A192&lt;'PVC SCH80'!$A$250,VLOOKUP($A192,'PVC SCH80'!$A$8:$M$249,11,FALSE),
IF($A192&lt;'PVC SCH80 Flange'!$A$49,VLOOKUP($A192,'PVC SCH80 Flange'!$A$8:$M$48,11,FALSE),
IF($A192&lt;'PVC SCH80 LD Flange'!$A$17,VLOOKUP($A192,'PVC SCH80 LD Flange'!$A$8:$M$16,11,FALSE),
IF($A192&lt;CPVC!$A$105,VLOOKUP($A192,CPVC!$A$9:$M$104,11,FALSE),
IF($A192&lt;InsertFittings!$A$185,VLOOKUP($A192,InsertFittings!$A$9:$M$184,11,FALSE),
IF($A192&lt;Valves!$A$92,VLOOKUP($A192,Valves!$A$9:$Q$91,15,FALSE),
IF($A192&lt;SDR35SW!$A$133,VLOOKUP($A192,SDR35SW!$A$9:$M$132,11,FALSE),
IF($A192&lt;SDR35G!$A$151,VLOOKUP($A192,SDR35G!$A$9:$M$150,11,FALSE),                                                                                                                                                                                                                                                          IF($A192&lt;SDR26G!$A$67,VLOOKUP($A192,SDR26G!$A$9:$N$66,12,FALSE),                                                                                                                                                                                                                                                       IF($A192&lt;Cements!$A$95,VLOOKUP($A192,Cements!$A$8:$Q$94,15,FALSE),
IF($A192&lt;ValveBox!$A$124,VLOOKUP($A192,ValveBox!$A$9:$O$123,13,FALSE),
IF($A192&lt;'ValveBox Components'!$A$142,VLOOKUP($A192,'ValveBox Components'!$A$9:$N$141,12,FALSE),
IF($A192&lt;Drainage!$A$69,VLOOKUP($A192,Drainage!$A$8:$M$68,11,FALSE),                                                                                                                                                                                                                                                           IF($A192&lt;Nipples!$A$82,VLOOKUP($A192,Nipples!$A$9:$Q$81,15,FALSE),
IF($A192&lt;Manifold!$A$33,VLOOKUP($A192,Manifold!$A$9:$M$32,11,FALSE),
IF($A192&lt;FlexibleRepairCouplings!$A$12,VLOOKUP($A192,FlexibleRepairCouplings!$A$9:$M$11,11,FALSE),
IF($A192&lt;DuraFix!$A$15,VLOOKUP($A192,DuraFix!$A$9:$M$14,11,FALSE),                                                                                                                                                                                                                                                            IF($A192&lt;'Compression Fittings'!$A$16,VLOOKUP($A192,'Compression Fittings'!$A$8:$M$15,11,FALSE),
IF($A192&lt;'Hose Fittings'!$A$30,VLOOKUP($A192,'Hose Fittings'!$A$8:$M$29,11,FALSE),
IF($A192&lt;'Swing Joints'!$A$495,VLOOKUP($A192,'Swing Joints'!$A$9:$M$494,11,FALSE),
IF($A192&lt;'Swing Joints Components'!$A$135,VLOOKUP($A192,'Swing Joints Components'!$A$9:$M$134,11,FALSE),
IF($A192&lt;Nonstandard!$A$42,VLOOKUP($A192,Nonstandard!$A$31:$J$41,10,FALSE),"")))))))))))))))))))))))))))),"")</f>
        <v/>
      </c>
      <c r="H192" s="620" t="str">
        <f>IFERROR(IF($A192&lt;'DWV PVC'!$A$317,VLOOKUP($A192,'DWV PVC'!$A$9:$M$316,7,FALSE),
IF($A192&lt;'DWV ABS'!$A$117,VLOOKUP($A192,'DWV ABS'!$A$8:$M$116,11,FALSE),                                                                                                                                                                                                                                                     IF($A192&lt;'PVC SCH40'!$A$425,VLOOKUP($A192,'PVC SCH40'!$A$8:$M$424,7,FALSE),
IF($A192&lt;'PVC SCH40 LD'!$A$22,VLOOKUP($A192,'PVC SCH40 LD'!$A$8:$M$21,7,FALSE),
IF($A192&lt;'Pool &amp; SPA Sweep Elbows'!$A$12,VLOOKUP($A192,'Pool &amp; SPA Sweep Elbows'!$A$8:$M$11,7,FALSE),
IF($A192&lt;'Pool &amp; SPA Pipe Extender'!$A$11,VLOOKUP($A192,'Pool &amp; SPA Pipe Extender'!$A$8:$M$10,7,FALSE),
IF($A192&lt;'PVC SCH80'!$A$250,VLOOKUP($A192,'PVC SCH80'!$A$8:$M$249,7,FALSE),
IF($A192&lt;'PVC SCH80 Flange'!$A$49,VLOOKUP($A192,'PVC SCH80 Flange'!$A$8:$M$48,7,FALSE),
IF($A192&lt;'PVC SCH80 LD Flange'!$A$17,VLOOKUP($A192,'PVC SCH80 LD Flange'!$A$8:$M$16,7,FALSE),
IF($A192&lt;CPVC!$A$105,VLOOKUP($A192,CPVC!$A$9:$M$104,7,FALSE),
IF($A192&lt;InsertFittings!$A$185,VLOOKUP($A192,InsertFittings!$A$9:$M$184,7,FALSE),
IF($A192&lt;Valves!$A$92,VLOOKUP($A192,Valves!$A$9:$Q$91,11,FALSE),
IF($A192&lt;SDR35SW!$A$133,VLOOKUP($A192,SDR35SW!$A$9:$M$132,7,FALSE),
IF($A192&lt;SDR35G!$A$151,VLOOKUP($A192,SDR35G!$A$9:$M$150,7,FALSE),                                                                                                                                                                                                                                                       IF($A192&lt;SDR26G!$A$67,VLOOKUP($A192,SDR26G!$A$9:$N$66,8,FALSE),                                                                                                                                                                                                                                                     IF($A192&lt;Cements!$A$95,VLOOKUP($A192,Cements!$A$8:$Q$94,11,FALSE),
IF($A192&lt;ValveBox!$A$124,VLOOKUP($A192,ValveBox!$A$9:$O$123,10,FALSE),
IF($A192&lt;'ValveBox Components'!$A$142,VLOOKUP($A192,'ValveBox Components'!$A$9:$N$141,9,FALSE),
IF($A192&lt;Drainage!$A$69,VLOOKUP($A192,Drainage!$A$8:$M$68,7,FALSE),                                                                                                                                                                                                                                                          IF($A192&lt;Nipples!$A$82,VLOOKUP($A192,Nipples!$A$9:$Q$81,11,FALSE),
IF($A192&lt;Manifold!$A$33,VLOOKUP($A192,Manifold!$A$9:$M$32,7,FALSE),
IF($A192&lt;FlexibleRepairCouplings!$A$12,VLOOKUP($A192,FlexibleRepairCouplings!$A$9:$M$11,7,FALSE),
IF($A192&lt;DuraFix!$A$15,VLOOKUP($A192,DuraFix!$A$9:$M$14,7,FALSE),                                                                                                                                                                                                                                                           IF($A192&lt;'Compression Fittings'!$A$16,VLOOKUP($A192,'Compression Fittings'!$A$8:$M$15,7,FALSE),
IF($A192&lt;'Hose Fittings'!$A$30,VLOOKUP($A192,'Hose Fittings'!$A$8:$M$29,7,FALSE),
IF($A192&lt;'Swing Joints'!$A$495,VLOOKUP($A192,'Swing Joints'!$A$9:$M$494,7,FALSE),
IF($A192&lt;'Swing Joints Components'!$A$135,VLOOKUP($A192,'Swing Joints Components'!$A$9:$M$134,7,FALSE),
IF($A192&lt;Nonstandard!$A$42,VLOOKUP($A192,Nonstandard!$A$31:$J$41,10,FALSE),"")))))))))))))))))))))))))))),"")</f>
        <v/>
      </c>
      <c r="I192" s="621"/>
      <c r="J192" s="541" t="str">
        <f t="shared" si="5"/>
        <v/>
      </c>
      <c r="K192" s="599" t="str">
        <f>IFERROR(IF($A192&lt;'DWV PVC'!$A$317,VLOOKUP($A192,'DWV PVC'!$A$9:$M$316,10,FALSE),
IF($A192&lt;'DWV ABS'!$A$117,VLOOKUP($A192,'DWV ABS'!$A$8:$M$116,10,FALSE),
IF($A192&lt;'PVC SCH40'!$A$425,VLOOKUP($A192,'PVC SCH40'!$A$8:$M$424,10,FALSE),
IF($A192&lt;'PVC SCH40 LD'!$A$22,VLOOKUP($A192,'PVC SCH40 LD'!$A$8:$M$21,10,FALSE),
IF($A192&lt;'Pool &amp; SPA Sweep Elbows'!$A$12,VLOOKUP($A192,'Pool &amp; SPA Sweep Elbows'!$A$8:$M$11,10,FALSE),
IF($A192&lt;'Pool &amp; SPA Pipe Extender'!$A$11,VLOOKUP($A192,'Pool &amp; SPA Pipe Extender'!$A$8:$M$10,10,FALSE),
IF($A192&lt;'PVC SCH80'!$A$250,VLOOKUP($A192,'PVC SCH80'!$A$8:$M$249,10,FALSE),
IF($A192&lt;'PVC SCH80 Flange'!$A$49,VLOOKUP($A192,'PVC SCH80 Flange'!$A$8:$M$48,10,FALSE),
IF($A192&lt;'PVC SCH80 LD Flange'!$A$17,VLOOKUP($A192,'PVC SCH80 LD Flange'!$A$8:$M$16,10,FALSE),
IF($A192&lt;CPVC!$A$105,VLOOKUP($A192,CPVC!$A$9:$M$104,10,FALSE),
IF($A192&lt;InsertFittings!$A$185,VLOOKUP($A192,InsertFittings!$A$9:$M$184,10,FALSE),
IF($A192&lt;Valves!$A$92,VLOOKUP($A192,Valves!$A$9:$Q$91,14,FALSE),
IF($A192&lt;SDR35SW!$A$133,VLOOKUP($A192,SDR35SW!$A$9:$M$132,10,FALSE),
IF($A192&lt;SDR35G!$A$151,VLOOKUP($A192,SDR35G!$A$9:$M$150,10,FALSE),
IF($A192&lt;SDR26G!$A$67,VLOOKUP($A192,SDR26G!$A$9:$N$66,11,FALSE),
IF($A192&lt;Cements!$A$95,VLOOKUP($A192,Cements!$A$8:$Q$94,14,FALSE),
IF($A192&lt;ValveBox!$A$124,VLOOKUP($A192,ValveBox!$A$9:$O$123,12,FALSE),
IF($A192&lt;'ValveBox Components'!$A$142,VLOOKUP($A192,'ValveBox Components'!$A$9:$N$141,11,FALSE),
IF($A192&lt;Drainage!$A$69,VLOOKUP($A192,Drainage!$A$8:$M$68,10,FALSE),
IF($A192&lt;Nipples!$A$82,VLOOKUP($A192,Nipples!$A$9:$Q$81,14,FALSE),
IF($A192&lt;Manifold!$A$33,VLOOKUP($A192,Manifold!$A$9:$M$32,10,FALSE),
IF($A192&lt;FlexibleRepairCouplings!$A$12,VLOOKUP($A192,FlexibleRepairCouplings!$A$9:$M$11,10,FALSE),
IF($A192&lt;DuraFix!$A$15,VLOOKUP($A192,DuraFix!$A$9:$M$14,10,FALSE),
IF($A192&lt;'Compression Fittings'!$A$16,VLOOKUP($A192,'Compression Fittings'!$A$8:$M$15,10,FALSE),
IF($A192&lt;'Hose Fittings'!$A$30,VLOOKUP($A192,'Hose Fittings'!$A$8:$M$29,10,FALSE),
IF($A192&lt;'Swing Joints'!$A$495,VLOOKUP($A192,'Swing Joints'!$A$9:$M$494,10,FALSE),
IF($A192&lt;'Swing Joints Components'!$A$135,VLOOKUP($A192,'Swing Joints Components'!$A$9:$M$134,10,FALSE),
IF($A192&lt;Nonstandard!$A$42,VLOOKUP($A192,Nonstandard!$A$31:$J$41,10,FALSE),"")))))))))))))))))))))))))))),"")</f>
        <v/>
      </c>
      <c r="L192" s="539" t="str">
        <f t="shared" si="4"/>
        <v>-</v>
      </c>
      <c r="M192" s="542"/>
    </row>
    <row r="193" spans="1:13" ht="15.6">
      <c r="A193" s="312">
        <v>161</v>
      </c>
      <c r="B193" s="312" t="str">
        <f>IFERROR(IF($A193&lt;'DWV PVC'!$A$317,VLOOKUP($A193,'DWV PVC'!$A$9:$M$316,4,FALSE),
IF($A193&lt;'DWV ABS'!$A$117,VLOOKUP($A193,'DWV ABS'!$A$8:$M$116,4,FALSE),
IF($A193&lt;'PVC SCH40'!$A$425,VLOOKUP($A193,'PVC SCH40'!$A$8:$M$424,4,FALSE),
IF($A193&lt;'PVC SCH40 LD'!$A$22,VLOOKUP($A193,'PVC SCH40 LD'!$A$8:$M$21,4,FALSE),
IF($A193&lt;'Pool &amp; SPA Sweep Elbows'!$A$12,VLOOKUP($A193,'Pool &amp; SPA Sweep Elbows'!$A$8:$M$11,4,FALSE),
IF($A193&lt;'Pool &amp; SPA Pipe Extender'!$A$11,VLOOKUP($A193,'Pool &amp; SPA Pipe Extender'!$A$8:$M$10,4,FALSE),
IF($A193&lt;'PVC SCH80'!$A$250,VLOOKUP($A193,'PVC SCH80'!$A$8:$M$249,4,FALSE),
IF($A193&lt;'PVC SCH80 Flange'!$A$49,VLOOKUP($A193,'PVC SCH80 Flange'!$A$8:$M$48,4,FALSE),
IF($A193&lt;'PVC SCH80 LD Flange'!$A$17,VLOOKUP($A193,'PVC SCH80 LD Flange'!$A$8:$M$16,4,FALSE),
IF($A193&lt;CPVC!$A$105,VLOOKUP($A193,CPVC!$A$9:$M$104,4,FALSE),
IF($A193&lt;InsertFittings!$A$185,VLOOKUP($A193,InsertFittings!$A$9:$M$184,4,FALSE),
IF($A193&lt;Valves!$A$92,VLOOKUP($A193,Valves!$A$9:$Q$91,4,FALSE),
IF($A193&lt;SDR35SW!$A$133,VLOOKUP($A193,SDR35SW!$A$9:$M$132,4,FALSE),
IF($A193&lt;SDR35G!$A$151,VLOOKUP($A193,SDR35G!$A$9:$M$150,4,FALSE),
IF($A193&lt;SDR26G!$A$67,VLOOKUP($A193,SDR26G!$A$9:$N$66,5,FALSE),
IF($A193&lt;Cements!$A$95,VLOOKUP($A193,Cements!$A$8:$Q$94,4,FALSE),
IF($A193&lt;ValveBox!$A$124,VLOOKUP($A193,ValveBox!$A$9:$O$123,4,FALSE),
IF($A193&lt;'ValveBox Components'!$A$142,VLOOKUP($A193,'ValveBox Components'!$A$9:$N$141,4,FALSE),
IF($A193&lt;Drainage!$A$69,VLOOKUP($A193,Drainage!$A$8:$M$68,4,FALSE),
IF($A193&lt;Nipples!$A$82,VLOOKUP($A193,Nipples!$A$9:$Q$81,4,FALSE),
IF($A193&lt;Manifold!$A$33,VLOOKUP($A193,Manifold!$A$9:$M$32,4,FALSE),
IF($A193&lt;FlexibleRepairCouplings!$A$12,VLOOKUP($A193,FlexibleRepairCouplings!$A$9:$M$11,4,FALSE),
IF($A193&lt;DuraFix!$A$15,VLOOKUP($A193,DuraFix!$A$9:$M$14,4,FALSE),
IF($A193&lt;'Compression Fittings'!$A$16,VLOOKUP($A193,'Compression Fittings'!$A$8:$M$15,4,FALSE),
IF($A193&lt;'Hose Fittings'!$A$30,VLOOKUP($A193,'Hose Fittings'!$A$8:$M$29,4,FALSE),
IF($A193&lt;'Swing Joints'!$A$495,VLOOKUP($A193,'Swing Joints'!$A$9:$M$494,4,FALSE),
IF($A193&lt;'Swing Joints Components'!$A$135,VLOOKUP($A193,'Swing Joints Components'!$A$9:$M$134,4,FALSE),
IF($A193&lt;Nonstandard!$A$42,VLOOKUP($A193,Nonstandard!$A$31:$J$41,5,FALSE),"")))))))))))))))))))))))))))),"")</f>
        <v/>
      </c>
      <c r="C193" s="312" t="str">
        <f>IFERROR(IF($A193&lt;'DWV PVC'!$A$317,VLOOKUP($A193,'DWV PVC'!$A$9:$M$316,5,FALSE),
IF($A193&lt;'DWV ABS'!$A$117,VLOOKUP($A193,'DWV ABS'!$A$8:$M$116,5,FALSE),
IF($A193&lt;'PVC SCH40'!$A$425,VLOOKUP($A193,'PVC SCH40'!$A$8:$M$424,5,FALSE),
IF($A193&lt;'PVC SCH40 LD'!$A$22,VLOOKUP($A193,'PVC SCH40 LD'!$A$8:$M$21,5,FALSE),
IF($A193&lt;'Pool &amp; SPA Sweep Elbows'!$A$12,VLOOKUP($A193,'Pool &amp; SPA Sweep Elbows'!$A$8:$M$11,5,FALSE),
IF($A193&lt;'Pool &amp; SPA Pipe Extender'!$A$11,VLOOKUP($A193,'Pool &amp; SPA Pipe Extender'!$A$8:$M$10,5,FALSE),
IF($A193&lt;'PVC SCH80'!$A$250,VLOOKUP($A193,'PVC SCH80'!$A$8:$M$249,5,FALSE),
IF($A193&lt;'PVC SCH80 Flange'!$A$49,VLOOKUP($A193,'PVC SCH80 Flange'!$A$8:$M$48,5,FALSE),
IF($A193&lt;'PVC SCH80 LD Flange'!$A$17,VLOOKUP($A193,'PVC SCH80 LD Flange'!$A$8:$M$16,5,FALSE),
IF($A193&lt;CPVC!$A$105,VLOOKUP($A193,CPVC!$A$9:$M$104,5,FALSE),
IF($A193&lt;InsertFittings!$A$185,VLOOKUP($A193,InsertFittings!$A$9:$M$184,5,FALSE),
IF($A193&lt;Valves!$A$92,VLOOKUP($A193,Valves!$A$9:$Q$91,5,FALSE),
IF($A193&lt;SDR35SW!$A$133,VLOOKUP($A193,SDR35SW!$A$9:$M$132,5,FALSE),
IF($A193&lt;SDR35G!$A$151,VLOOKUP($A193,SDR35G!$A$9:$M$150,5,FALSE),
IF($A193&lt;SDR26G!$A$67,VLOOKUP($A193,SDR26G!$A$9:$N$66,6,FALSE),
IF($A193&lt;Cements!$A$95,VLOOKUP($A193,Cements!$A$8:$Q$94,5,FALSE),
IF($A193&lt;ValveBox!$A$124,VLOOKUP($A193,ValveBox!$A$9:$O$123,5,FALSE),
IF($A193&lt;'ValveBox Components'!$A$142,VLOOKUP($A193,'ValveBox Components'!$A$9:$N$141,5,FALSE),
IF($A193&lt;Drainage!$A$69,VLOOKUP($A193,Drainage!$A$8:$M$68,5,FALSE),
IF($A193&lt;Nipples!$A$82,VLOOKUP($A193,Nipples!$A$9:$Q$81,5,FALSE),
IF($A193&lt;Manifold!$A$33,VLOOKUP($A193,Manifold!$A$9:$M$32,5,FALSE),
IF($A193&lt;FlexibleRepairCouplings!$A$12,VLOOKUP($A193,FlexibleRepairCouplings!$A$9:$M$11,5,FALSE),
IF($A193&lt;DuraFix!$A$15,VLOOKUP($A193,DuraFix!$A$9:$M$14,5,FALSE),
IF($A193&lt;'Compression Fittings'!$A$16,VLOOKUP($A193,'Compression Fittings'!$A$8:$M$15,5,FALSE),
IF($A193&lt;'Hose Fittings'!$A$30,VLOOKUP($A193,'Hose Fittings'!$A$8:$M$29,5,FALSE),
IF($A193&lt;'Swing Joints'!$A$495,VLOOKUP($A193,'Swing Joints'!$A$9:$M$494,5,FALSE),
IF($A193&lt;'Swing Joints Components'!$A$135,VLOOKUP($A193,'Swing Joints Components'!$A$9:$M$134,5,FALSE),
IF($A193&lt;Nonstandard!$A$42,VLOOKUP($A193,Nonstandard!$A$31:$J$41,6,FALSE),"")))))))))))))))))))))))))))),"")</f>
        <v/>
      </c>
      <c r="D193" s="534" t="str">
        <f>IFERROR(IF($A193&lt;'DWV PVC'!$A$317,VLOOKUP($A193,'DWV PVC'!$A$9:$M$316,6,FALSE),
IF($A193&lt;'DWV ABS'!$A$117,VLOOKUP($A193,'DWV ABS'!$A$8:$M$116,6,FALSE),
IF($A193&lt;'PVC SCH40'!$A$425,VLOOKUP($A193,'PVC SCH40'!$A$8:$M$424,6,FALSE),
IF($A193&lt;'PVC SCH40 LD'!$A$22,VLOOKUP($A193,'PVC SCH40 LD'!$A$8:$M$21,6,FALSE),
IF($A193&lt;'Pool &amp; SPA Sweep Elbows'!$A$12,VLOOKUP($A193,'Pool &amp; SPA Sweep Elbows'!$A$8:$M$11,6,FALSE),
IF($A193&lt;'Pool &amp; SPA Pipe Extender'!$A$11,VLOOKUP($A193,'Pool &amp; SPA Pipe Extender'!$A$8:$M$10,6,FALSE),
IF($A193&lt;'PVC SCH80'!$A$250,VLOOKUP($A193,'PVC SCH80'!$A$8:$M$249,6,FALSE),
IF($A193&lt;'PVC SCH80 Flange'!$A$49,VLOOKUP($A193,'PVC SCH80 Flange'!$A$8:$M$48,6,FALSE),
IF($A193&lt;'PVC SCH80 LD Flange'!$A$17,VLOOKUP($A193,'PVC SCH80 LD Flange'!$A$8:$M$16,6,FALSE),
IF($A193&lt;CPVC!$A$105,VLOOKUP($A193,CPVC!$A$9:$M$104,6,FALSE),
IF($A193&lt;InsertFittings!$A$185,VLOOKUP($A193,InsertFittings!$A$9:$M$184,6,FALSE),
IF($A193&lt;Valves!$A$92,VLOOKUP($A193,Valves!$A$9:$Q$91,6,FALSE),
IF($A193&lt;SDR35SW!$A$133,VLOOKUP($A193,SDR35SW!$A$9:$M$132,6,FALSE),
IF($A193&lt;SDR35G!$A$151,VLOOKUP($A193,SDR35G!$A$9:$M$150,6,FALSE),
IF($A193&lt;SDR26G!$A$67,VLOOKUP($A193,SDR26G!$A$9:$N$66,7,FALSE),
IF($A193&lt;Cements!$A$95,VLOOKUP($A193,Cements!$A$8:$Q$94,6,FALSE),
IF($A193&lt;ValveBox!$A$124,VLOOKUP($A193,ValveBox!$A$9:$O$123,6,FALSE),
IF($A193&lt;'ValveBox Components'!$A$142,VLOOKUP($A193,'ValveBox Components'!$A$9:$N$141,6,FALSE),
IF($A193&lt;Drainage!$A$69,VLOOKUP($A193,Drainage!$A$8:$M$68,6,FALSE),
IF($A193&lt;Nipples!$A$82,VLOOKUP($A193,Nipples!$A$9:$Q$81,6,FALSE),
IF($A193&lt;Manifold!$A$33,VLOOKUP($A193,Manifold!$A$9:$M$32,6,FALSE),
IF($A193&lt;FlexibleRepairCouplings!$A$12,VLOOKUP($A193,FlexibleRepairCouplings!$A$9:$M$11,6,FALSE),
IF($A193&lt;DuraFix!$A$15,VLOOKUP($A193,DuraFix!$A$9:$M$14,6,FALSE),
IF($A193&lt;'Compression Fittings'!$A$16,VLOOKUP($A193,'Compression Fittings'!$A$8:$M$15,6,FALSE),
IF($A193&lt;'Hose Fittings'!$A$30,VLOOKUP($A193,'Hose Fittings'!$A$8:$M$29,6,FALSE),
IF($A193&lt;'Swing Joints'!$A$495,VLOOKUP($A193,'Swing Joints'!$A$9:$M$494,6,FALSE),
IF($A193&lt;'Swing Joints Components'!$A$135,VLOOKUP($A193,'Swing Joints Components'!$A$9:$M$134,6,FALSE),
IF($A193&lt;Nonstandard!$A$42,VLOOKUP($A193,Nonstandard!$A$31:$J$41,7,FALSE),"")))))))))))))))))))))))))))),"")</f>
        <v/>
      </c>
      <c r="E193" s="316"/>
      <c r="F193" s="314" t="str">
        <f>IFERROR(IF($A193&lt;'DWV PVC'!$A$317,VLOOKUP($A193,'DWV PVC'!$A$9:$M$316,9,FALSE),
IF($A193&lt;'DWV ABS'!$A$117,VLOOKUP($A193,'DWV ABS'!$A$8:$M$116,9,FALSE),                                                                                                                                                                                                                                                     IF($A193&lt;'PVC SCH40'!$A$425,VLOOKUP($A193,'PVC SCH40'!$A$8:$M$424,9,FALSE),
IF($A193&lt;'PVC SCH40 LD'!$A$22,VLOOKUP($A193,'PVC SCH40 LD'!$A$8:$M$21,9,FALSE),
IF($A193&lt;'Pool &amp; SPA Sweep Elbows'!$A$12,VLOOKUP($A193,'Pool &amp; SPA Sweep Elbows'!$A$8:$M$11,9,FALSE),
IF($A193&lt;'Pool &amp; SPA Pipe Extender'!$A$11,VLOOKUP($A193,'Pool &amp; SPA Pipe Extender'!$A$8:$M$10,9,FALSE),
IF($A193&lt;'PVC SCH80'!$A$250,VLOOKUP($A193,'PVC SCH80'!$A$8:$M$249,9,FALSE),
IF($A193&lt;'PVC SCH80 Flange'!$A$49,VLOOKUP($A193,'PVC SCH80 Flange'!$A$8:$M$48,9,FALSE),
IF($A193&lt;'PVC SCH80 LD Flange'!$A$17,VLOOKUP($A193,'PVC SCH80 LD Flange'!$A$8:$M$16,9,FALSE),
IF($A193&lt;CPVC!$A$105,VLOOKUP($A193,CPVC!$A$9:$M$104,9,FALSE),
IF($A193&lt;InsertFittings!$A$185,VLOOKUP($A193,InsertFittings!$A$9:$M$184,9,FALSE),
IF($A193&lt;Valves!$A$92,VLOOKUP($A193,Valves!$A$9:$Q$91,13,FALSE),
IF($A193&lt;SDR35SW!$A$133,VLOOKUP($A193,SDR35SW!$A$9:$M$132,9,FALSE),
IF($A193&lt;SDR35G!$A$151,VLOOKUP($A193,SDR35G!$A$9:$M$150,9,FALSE),                                                                                                                                                                                                                                                          IF($A193&lt;SDR26G!$A$67,VLOOKUP($A193,SDR26G!$A$9:$N$66,10,FALSE),                                                                                                                                                                                                                                                       IF($A193&lt;Cements!$A$95,VLOOKUP($A193,Cements!$A$8:$Q$94,13,FALSE),
IF($A193&lt;ValveBox!$A$124,VLOOKUP($A193,ValveBox!$A$9:$O$123,11,FALSE),
IF($A193&lt;'ValveBox Components'!$A$142,VLOOKUP($A193,'ValveBox Components'!$A$9:$N$141,10,FALSE),
IF($A193&lt;Drainage!$A$69,VLOOKUP($A193,Drainage!$A$8:$M$68,9,FALSE),                                                                                                                                                                                                                                                              IF($A193&lt;Nipples!$A$82,VLOOKUP($A193,Nipples!$A$9:$Q$81,13,FALSE),
IF($A193&lt;Manifold!$A$33,VLOOKUP($A193,Manifold!$A$9:$M$32,9,FALSE),
IF($A193&lt;FlexibleRepairCouplings!$A$12,VLOOKUP($A193,FlexibleRepairCouplings!$A$9:$M$11,9,FALSE),
IF($A193&lt;DuraFix!$A$15,VLOOKUP($A193,DuraFix!$A$9:$M$14,9,FALSE),                                                                                                                                                                                                                                                          IF($A193&lt;'Compression Fittings'!$A$16,VLOOKUP($A193,'Compression Fittings'!$A$8:$M$15,9,FALSE),
IF($A193&lt;'Hose Fittings'!$A$30,VLOOKUP($A193,'Hose Fittings'!$A$8:$M$29,9,FALSE),
IF($A193&lt;'Swing Joints'!$A$495,VLOOKUP($A193,'Swing Joints'!$A$9:$M$494,9,FALSE),
IF($A193&lt;'Swing Joints Components'!$A$135,VLOOKUP($A193,'Swing Joints Components'!$A$9:$M$134,9,FALSE),
IF($A193&lt;Nonstandard!$A$42,VLOOKUP($A193,Nonstandard!$A$31:$J$41,8,FALSE),"")))))))))))))))))))))))))))),"")</f>
        <v/>
      </c>
      <c r="G193" s="533" t="str">
        <f>IFERROR(IF($A193&lt;'DWV PVC'!$A$317,VLOOKUP($A193,'DWV PVC'!$A$9:$M$316,11,FALSE),
IF($A193&lt;'DWV ABS'!$A$117,VLOOKUP($A193,'DWV ABS'!$A$8:$M$116,11,FALSE),                                                                                                                                                                                                                                                     IF($A193&lt;'PVC SCH40'!$A$425,VLOOKUP($A193,'PVC SCH40'!$A$8:$M$424,11,FALSE),
IF($A193&lt;'PVC SCH40 LD'!$A$22,VLOOKUP($A193,'PVC SCH40 LD'!$A$8:$M$21,11,FALSE),
IF($A193&lt;'Pool &amp; SPA Sweep Elbows'!$A$12,VLOOKUP($A193,'Pool &amp; SPA Sweep Elbows'!$A$8:$M$11,11,FALSE),
IF($A193&lt;'Pool &amp; SPA Pipe Extender'!$A$11,VLOOKUP($A193,'Pool &amp; SPA Pipe Extender'!$A$8:$M$10,11,FALSE),
IF($A193&lt;'PVC SCH80'!$A$250,VLOOKUP($A193,'PVC SCH80'!$A$8:$M$249,11,FALSE),
IF($A193&lt;'PVC SCH80 Flange'!$A$49,VLOOKUP($A193,'PVC SCH80 Flange'!$A$8:$M$48,11,FALSE),
IF($A193&lt;'PVC SCH80 LD Flange'!$A$17,VLOOKUP($A193,'PVC SCH80 LD Flange'!$A$8:$M$16,11,FALSE),
IF($A193&lt;CPVC!$A$105,VLOOKUP($A193,CPVC!$A$9:$M$104,11,FALSE),
IF($A193&lt;InsertFittings!$A$185,VLOOKUP($A193,InsertFittings!$A$9:$M$184,11,FALSE),
IF($A193&lt;Valves!$A$92,VLOOKUP($A193,Valves!$A$9:$Q$91,15,FALSE),
IF($A193&lt;SDR35SW!$A$133,VLOOKUP($A193,SDR35SW!$A$9:$M$132,11,FALSE),
IF($A193&lt;SDR35G!$A$151,VLOOKUP($A193,SDR35G!$A$9:$M$150,11,FALSE),                                                                                                                                                                                                                                                          IF($A193&lt;SDR26G!$A$67,VLOOKUP($A193,SDR26G!$A$9:$N$66,12,FALSE),                                                                                                                                                                                                                                                       IF($A193&lt;Cements!$A$95,VLOOKUP($A193,Cements!$A$8:$Q$94,15,FALSE),
IF($A193&lt;ValveBox!$A$124,VLOOKUP($A193,ValveBox!$A$9:$O$123,13,FALSE),
IF($A193&lt;'ValveBox Components'!$A$142,VLOOKUP($A193,'ValveBox Components'!$A$9:$N$141,12,FALSE),
IF($A193&lt;Drainage!$A$69,VLOOKUP($A193,Drainage!$A$8:$M$68,11,FALSE),                                                                                                                                                                                                                                                           IF($A193&lt;Nipples!$A$82,VLOOKUP($A193,Nipples!$A$9:$Q$81,15,FALSE),
IF($A193&lt;Manifold!$A$33,VLOOKUP($A193,Manifold!$A$9:$M$32,11,FALSE),
IF($A193&lt;FlexibleRepairCouplings!$A$12,VLOOKUP($A193,FlexibleRepairCouplings!$A$9:$M$11,11,FALSE),
IF($A193&lt;DuraFix!$A$15,VLOOKUP($A193,DuraFix!$A$9:$M$14,11,FALSE),                                                                                                                                                                                                                                                            IF($A193&lt;'Compression Fittings'!$A$16,VLOOKUP($A193,'Compression Fittings'!$A$8:$M$15,11,FALSE),
IF($A193&lt;'Hose Fittings'!$A$30,VLOOKUP($A193,'Hose Fittings'!$A$8:$M$29,11,FALSE),
IF($A193&lt;'Swing Joints'!$A$495,VLOOKUP($A193,'Swing Joints'!$A$9:$M$494,11,FALSE),
IF($A193&lt;'Swing Joints Components'!$A$135,VLOOKUP($A193,'Swing Joints Components'!$A$9:$M$134,11,FALSE),
IF($A193&lt;Nonstandard!$A$42,VLOOKUP($A193,Nonstandard!$A$31:$J$41,10,FALSE),"")))))))))))))))))))))))))))),"")</f>
        <v/>
      </c>
      <c r="H193" s="618" t="str">
        <f>IFERROR(IF($A193&lt;'DWV PVC'!$A$317,VLOOKUP($A193,'DWV PVC'!$A$9:$M$316,7,FALSE),
IF($A193&lt;'DWV ABS'!$A$117,VLOOKUP($A193,'DWV ABS'!$A$8:$M$116,11,FALSE),                                                                                                                                                                                                                                                     IF($A193&lt;'PVC SCH40'!$A$425,VLOOKUP($A193,'PVC SCH40'!$A$8:$M$424,7,FALSE),
IF($A193&lt;'PVC SCH40 LD'!$A$22,VLOOKUP($A193,'PVC SCH40 LD'!$A$8:$M$21,7,FALSE),
IF($A193&lt;'Pool &amp; SPA Sweep Elbows'!$A$12,VLOOKUP($A193,'Pool &amp; SPA Sweep Elbows'!$A$8:$M$11,7,FALSE),
IF($A193&lt;'Pool &amp; SPA Pipe Extender'!$A$11,VLOOKUP($A193,'Pool &amp; SPA Pipe Extender'!$A$8:$M$10,7,FALSE),
IF($A193&lt;'PVC SCH80'!$A$250,VLOOKUP($A193,'PVC SCH80'!$A$8:$M$249,7,FALSE),
IF($A193&lt;'PVC SCH80 Flange'!$A$49,VLOOKUP($A193,'PVC SCH80 Flange'!$A$8:$M$48,7,FALSE),
IF($A193&lt;'PVC SCH80 LD Flange'!$A$17,VLOOKUP($A193,'PVC SCH80 LD Flange'!$A$8:$M$16,7,FALSE),
IF($A193&lt;CPVC!$A$105,VLOOKUP($A193,CPVC!$A$9:$M$104,7,FALSE),
IF($A193&lt;InsertFittings!$A$185,VLOOKUP($A193,InsertFittings!$A$9:$M$184,7,FALSE),
IF($A193&lt;Valves!$A$92,VLOOKUP($A193,Valves!$A$9:$Q$91,11,FALSE),
IF($A193&lt;SDR35SW!$A$133,VLOOKUP($A193,SDR35SW!$A$9:$M$132,7,FALSE),
IF($A193&lt;SDR35G!$A$151,VLOOKUP($A193,SDR35G!$A$9:$M$150,7,FALSE),                                                                                                                                                                                                                                                       IF($A193&lt;SDR26G!$A$67,VLOOKUP($A193,SDR26G!$A$9:$N$66,8,FALSE),                                                                                                                                                                                                                                                     IF($A193&lt;Cements!$A$95,VLOOKUP($A193,Cements!$A$8:$Q$94,11,FALSE),
IF($A193&lt;ValveBox!$A$124,VLOOKUP($A193,ValveBox!$A$9:$O$123,10,FALSE),
IF($A193&lt;'ValveBox Components'!$A$142,VLOOKUP($A193,'ValveBox Components'!$A$9:$N$141,9,FALSE),
IF($A193&lt;Drainage!$A$69,VLOOKUP($A193,Drainage!$A$8:$M$68,7,FALSE),                                                                                                                                                                                                                                                          IF($A193&lt;Nipples!$A$82,VLOOKUP($A193,Nipples!$A$9:$Q$81,11,FALSE),
IF($A193&lt;Manifold!$A$33,VLOOKUP($A193,Manifold!$A$9:$M$32,7,FALSE),
IF($A193&lt;FlexibleRepairCouplings!$A$12,VLOOKUP($A193,FlexibleRepairCouplings!$A$9:$M$11,7,FALSE),
IF($A193&lt;DuraFix!$A$15,VLOOKUP($A193,DuraFix!$A$9:$M$14,7,FALSE),                                                                                                                                                                                                                                                           IF($A193&lt;'Compression Fittings'!$A$16,VLOOKUP($A193,'Compression Fittings'!$A$8:$M$15,7,FALSE),
IF($A193&lt;'Hose Fittings'!$A$30,VLOOKUP($A193,'Hose Fittings'!$A$8:$M$29,7,FALSE),
IF($A193&lt;'Swing Joints'!$A$495,VLOOKUP($A193,'Swing Joints'!$A$9:$M$494,7,FALSE),
IF($A193&lt;'Swing Joints Components'!$A$135,VLOOKUP($A193,'Swing Joints Components'!$A$9:$M$134,7,FALSE),
IF($A193&lt;Nonstandard!$A$42,VLOOKUP($A193,Nonstandard!$A$31:$J$41,10,FALSE),"")))))))))))))))))))))))))))),"")</f>
        <v/>
      </c>
      <c r="I193" s="619"/>
      <c r="J193" s="281" t="str">
        <f t="shared" si="5"/>
        <v/>
      </c>
      <c r="K193" s="313" t="str">
        <f>IFERROR(IF($A193&lt;'DWV PVC'!$A$317,VLOOKUP($A193,'DWV PVC'!$A$9:$M$316,10,FALSE),
IF($A193&lt;'DWV ABS'!$A$117,VLOOKUP($A193,'DWV ABS'!$A$8:$M$116,10,FALSE),
IF($A193&lt;'PVC SCH40'!$A$425,VLOOKUP($A193,'PVC SCH40'!$A$8:$M$424,10,FALSE),
IF($A193&lt;'PVC SCH40 LD'!$A$22,VLOOKUP($A193,'PVC SCH40 LD'!$A$8:$M$21,10,FALSE),
IF($A193&lt;'Pool &amp; SPA Sweep Elbows'!$A$12,VLOOKUP($A193,'Pool &amp; SPA Sweep Elbows'!$A$8:$M$11,10,FALSE),
IF($A193&lt;'Pool &amp; SPA Pipe Extender'!$A$11,VLOOKUP($A193,'Pool &amp; SPA Pipe Extender'!$A$8:$M$10,10,FALSE),
IF($A193&lt;'PVC SCH80'!$A$250,VLOOKUP($A193,'PVC SCH80'!$A$8:$M$249,10,FALSE),
IF($A193&lt;'PVC SCH80 Flange'!$A$49,VLOOKUP($A193,'PVC SCH80 Flange'!$A$8:$M$48,10,FALSE),
IF($A193&lt;'PVC SCH80 LD Flange'!$A$17,VLOOKUP($A193,'PVC SCH80 LD Flange'!$A$8:$M$16,10,FALSE),
IF($A193&lt;CPVC!$A$105,VLOOKUP($A193,CPVC!$A$9:$M$104,10,FALSE),
IF($A193&lt;InsertFittings!$A$185,VLOOKUP($A193,InsertFittings!$A$9:$M$184,10,FALSE),
IF($A193&lt;Valves!$A$92,VLOOKUP($A193,Valves!$A$9:$Q$91,14,FALSE),
IF($A193&lt;SDR35SW!$A$133,VLOOKUP($A193,SDR35SW!$A$9:$M$132,10,FALSE),
IF($A193&lt;SDR35G!$A$151,VLOOKUP($A193,SDR35G!$A$9:$M$150,10,FALSE),
IF($A193&lt;SDR26G!$A$67,VLOOKUP($A193,SDR26G!$A$9:$N$66,11,FALSE),
IF($A193&lt;Cements!$A$95,VLOOKUP($A193,Cements!$A$8:$Q$94,14,FALSE),
IF($A193&lt;ValveBox!$A$124,VLOOKUP($A193,ValveBox!$A$9:$O$123,12,FALSE),
IF($A193&lt;'ValveBox Components'!$A$142,VLOOKUP($A193,'ValveBox Components'!$A$9:$N$141,11,FALSE),
IF($A193&lt;Drainage!$A$69,VLOOKUP($A193,Drainage!$A$8:$M$68,10,FALSE),
IF($A193&lt;Nipples!$A$82,VLOOKUP($A193,Nipples!$A$9:$Q$81,14,FALSE),
IF($A193&lt;Manifold!$A$33,VLOOKUP($A193,Manifold!$A$9:$M$32,10,FALSE),
IF($A193&lt;FlexibleRepairCouplings!$A$12,VLOOKUP($A193,FlexibleRepairCouplings!$A$9:$M$11,10,FALSE),
IF($A193&lt;DuraFix!$A$15,VLOOKUP($A193,DuraFix!$A$9:$M$14,10,FALSE),
IF($A193&lt;'Compression Fittings'!$A$16,VLOOKUP($A193,'Compression Fittings'!$A$8:$M$15,10,FALSE),
IF($A193&lt;'Hose Fittings'!$A$30,VLOOKUP($A193,'Hose Fittings'!$A$8:$M$29,10,FALSE),
IF($A193&lt;'Swing Joints'!$A$495,VLOOKUP($A193,'Swing Joints'!$A$9:$M$494,10,FALSE),
IF($A193&lt;'Swing Joints Components'!$A$135,VLOOKUP($A193,'Swing Joints Components'!$A$9:$M$134,10,FALSE),
IF($A193&lt;Nonstandard!$A$42,VLOOKUP($A193,Nonstandard!$A$31:$J$41,10,FALSE),"")))))))))))))))))))))))))))),"")</f>
        <v/>
      </c>
      <c r="L193" s="314" t="str">
        <f t="shared" si="4"/>
        <v>-</v>
      </c>
      <c r="M193" s="315"/>
    </row>
    <row r="194" spans="1:13" ht="15.6">
      <c r="A194" s="536">
        <v>162</v>
      </c>
      <c r="B194" s="536" t="str">
        <f>IFERROR(IF($A194&lt;'DWV PVC'!$A$317,VLOOKUP($A194,'DWV PVC'!$A$9:$M$316,4,FALSE),
IF($A194&lt;'DWV ABS'!$A$117,VLOOKUP($A194,'DWV ABS'!$A$8:$M$116,4,FALSE),
IF($A194&lt;'PVC SCH40'!$A$425,VLOOKUP($A194,'PVC SCH40'!$A$8:$M$424,4,FALSE),
IF($A194&lt;'PVC SCH40 LD'!$A$22,VLOOKUP($A194,'PVC SCH40 LD'!$A$8:$M$21,4,FALSE),
IF($A194&lt;'Pool &amp; SPA Sweep Elbows'!$A$12,VLOOKUP($A194,'Pool &amp; SPA Sweep Elbows'!$A$8:$M$11,4,FALSE),
IF($A194&lt;'Pool &amp; SPA Pipe Extender'!$A$11,VLOOKUP($A194,'Pool &amp; SPA Pipe Extender'!$A$8:$M$10,4,FALSE),
IF($A194&lt;'PVC SCH80'!$A$250,VLOOKUP($A194,'PVC SCH80'!$A$8:$M$249,4,FALSE),
IF($A194&lt;'PVC SCH80 Flange'!$A$49,VLOOKUP($A194,'PVC SCH80 Flange'!$A$8:$M$48,4,FALSE),
IF($A194&lt;'PVC SCH80 LD Flange'!$A$17,VLOOKUP($A194,'PVC SCH80 LD Flange'!$A$8:$M$16,4,FALSE),
IF($A194&lt;CPVC!$A$105,VLOOKUP($A194,CPVC!$A$9:$M$104,4,FALSE),
IF($A194&lt;InsertFittings!$A$185,VLOOKUP($A194,InsertFittings!$A$9:$M$184,4,FALSE),
IF($A194&lt;Valves!$A$92,VLOOKUP($A194,Valves!$A$9:$Q$91,4,FALSE),
IF($A194&lt;SDR35SW!$A$133,VLOOKUP($A194,SDR35SW!$A$9:$M$132,4,FALSE),
IF($A194&lt;SDR35G!$A$151,VLOOKUP($A194,SDR35G!$A$9:$M$150,4,FALSE),
IF($A194&lt;SDR26G!$A$67,VLOOKUP($A194,SDR26G!$A$9:$N$66,5,FALSE),
IF($A194&lt;Cements!$A$95,VLOOKUP($A194,Cements!$A$8:$Q$94,4,FALSE),
IF($A194&lt;ValveBox!$A$124,VLOOKUP($A194,ValveBox!$A$9:$O$123,4,FALSE),
IF($A194&lt;'ValveBox Components'!$A$142,VLOOKUP($A194,'ValveBox Components'!$A$9:$N$141,4,FALSE),
IF($A194&lt;Drainage!$A$69,VLOOKUP($A194,Drainage!$A$8:$M$68,4,FALSE),
IF($A194&lt;Nipples!$A$82,VLOOKUP($A194,Nipples!$A$9:$Q$81,4,FALSE),
IF($A194&lt;Manifold!$A$33,VLOOKUP($A194,Manifold!$A$9:$M$32,4,FALSE),
IF($A194&lt;FlexibleRepairCouplings!$A$12,VLOOKUP($A194,FlexibleRepairCouplings!$A$9:$M$11,4,FALSE),
IF($A194&lt;DuraFix!$A$15,VLOOKUP($A194,DuraFix!$A$9:$M$14,4,FALSE),
IF($A194&lt;'Compression Fittings'!$A$16,VLOOKUP($A194,'Compression Fittings'!$A$8:$M$15,4,FALSE),
IF($A194&lt;'Hose Fittings'!$A$30,VLOOKUP($A194,'Hose Fittings'!$A$8:$M$29,4,FALSE),
IF($A194&lt;'Swing Joints'!$A$495,VLOOKUP($A194,'Swing Joints'!$A$9:$M$494,4,FALSE),
IF($A194&lt;'Swing Joints Components'!$A$135,VLOOKUP($A194,'Swing Joints Components'!$A$9:$M$134,4,FALSE),
IF($A194&lt;Nonstandard!$A$42,VLOOKUP($A194,Nonstandard!$A$31:$J$41,5,FALSE),"")))))))))))))))))))))))))))),"")</f>
        <v/>
      </c>
      <c r="C194" s="536" t="str">
        <f>IFERROR(IF($A194&lt;'DWV PVC'!$A$317,VLOOKUP($A194,'DWV PVC'!$A$9:$M$316,5,FALSE),
IF($A194&lt;'DWV ABS'!$A$117,VLOOKUP($A194,'DWV ABS'!$A$8:$M$116,5,FALSE),
IF($A194&lt;'PVC SCH40'!$A$425,VLOOKUP($A194,'PVC SCH40'!$A$8:$M$424,5,FALSE),
IF($A194&lt;'PVC SCH40 LD'!$A$22,VLOOKUP($A194,'PVC SCH40 LD'!$A$8:$M$21,5,FALSE),
IF($A194&lt;'Pool &amp; SPA Sweep Elbows'!$A$12,VLOOKUP($A194,'Pool &amp; SPA Sweep Elbows'!$A$8:$M$11,5,FALSE),
IF($A194&lt;'Pool &amp; SPA Pipe Extender'!$A$11,VLOOKUP($A194,'Pool &amp; SPA Pipe Extender'!$A$8:$M$10,5,FALSE),
IF($A194&lt;'PVC SCH80'!$A$250,VLOOKUP($A194,'PVC SCH80'!$A$8:$M$249,5,FALSE),
IF($A194&lt;'PVC SCH80 Flange'!$A$49,VLOOKUP($A194,'PVC SCH80 Flange'!$A$8:$M$48,5,FALSE),
IF($A194&lt;'PVC SCH80 LD Flange'!$A$17,VLOOKUP($A194,'PVC SCH80 LD Flange'!$A$8:$M$16,5,FALSE),
IF($A194&lt;CPVC!$A$105,VLOOKUP($A194,CPVC!$A$9:$M$104,5,FALSE),
IF($A194&lt;InsertFittings!$A$185,VLOOKUP($A194,InsertFittings!$A$9:$M$184,5,FALSE),
IF($A194&lt;Valves!$A$92,VLOOKUP($A194,Valves!$A$9:$Q$91,5,FALSE),
IF($A194&lt;SDR35SW!$A$133,VLOOKUP($A194,SDR35SW!$A$9:$M$132,5,FALSE),
IF($A194&lt;SDR35G!$A$151,VLOOKUP($A194,SDR35G!$A$9:$M$150,5,FALSE),
IF($A194&lt;SDR26G!$A$67,VLOOKUP($A194,SDR26G!$A$9:$N$66,6,FALSE),
IF($A194&lt;Cements!$A$95,VLOOKUP($A194,Cements!$A$8:$Q$94,5,FALSE),
IF($A194&lt;ValveBox!$A$124,VLOOKUP($A194,ValveBox!$A$9:$O$123,5,FALSE),
IF($A194&lt;'ValveBox Components'!$A$142,VLOOKUP($A194,'ValveBox Components'!$A$9:$N$141,5,FALSE),
IF($A194&lt;Drainage!$A$69,VLOOKUP($A194,Drainage!$A$8:$M$68,5,FALSE),
IF($A194&lt;Nipples!$A$82,VLOOKUP($A194,Nipples!$A$9:$Q$81,5,FALSE),
IF($A194&lt;Manifold!$A$33,VLOOKUP($A194,Manifold!$A$9:$M$32,5,FALSE),
IF($A194&lt;FlexibleRepairCouplings!$A$12,VLOOKUP($A194,FlexibleRepairCouplings!$A$9:$M$11,5,FALSE),
IF($A194&lt;DuraFix!$A$15,VLOOKUP($A194,DuraFix!$A$9:$M$14,5,FALSE),
IF($A194&lt;'Compression Fittings'!$A$16,VLOOKUP($A194,'Compression Fittings'!$A$8:$M$15,5,FALSE),
IF($A194&lt;'Hose Fittings'!$A$30,VLOOKUP($A194,'Hose Fittings'!$A$8:$M$29,5,FALSE),
IF($A194&lt;'Swing Joints'!$A$495,VLOOKUP($A194,'Swing Joints'!$A$9:$M$494,5,FALSE),
IF($A194&lt;'Swing Joints Components'!$A$135,VLOOKUP($A194,'Swing Joints Components'!$A$9:$M$134,5,FALSE),
IF($A194&lt;Nonstandard!$A$42,VLOOKUP($A194,Nonstandard!$A$31:$J$41,6,FALSE),"")))))))))))))))))))))))))))),"")</f>
        <v/>
      </c>
      <c r="D194" s="537" t="str">
        <f>IFERROR(IF($A194&lt;'DWV PVC'!$A$317,VLOOKUP($A194,'DWV PVC'!$A$9:$M$316,6,FALSE),
IF($A194&lt;'DWV ABS'!$A$117,VLOOKUP($A194,'DWV ABS'!$A$8:$M$116,6,FALSE),
IF($A194&lt;'PVC SCH40'!$A$425,VLOOKUP($A194,'PVC SCH40'!$A$8:$M$424,6,FALSE),
IF($A194&lt;'PVC SCH40 LD'!$A$22,VLOOKUP($A194,'PVC SCH40 LD'!$A$8:$M$21,6,FALSE),
IF($A194&lt;'Pool &amp; SPA Sweep Elbows'!$A$12,VLOOKUP($A194,'Pool &amp; SPA Sweep Elbows'!$A$8:$M$11,6,FALSE),
IF($A194&lt;'Pool &amp; SPA Pipe Extender'!$A$11,VLOOKUP($A194,'Pool &amp; SPA Pipe Extender'!$A$8:$M$10,6,FALSE),
IF($A194&lt;'PVC SCH80'!$A$250,VLOOKUP($A194,'PVC SCH80'!$A$8:$M$249,6,FALSE),
IF($A194&lt;'PVC SCH80 Flange'!$A$49,VLOOKUP($A194,'PVC SCH80 Flange'!$A$8:$M$48,6,FALSE),
IF($A194&lt;'PVC SCH80 LD Flange'!$A$17,VLOOKUP($A194,'PVC SCH80 LD Flange'!$A$8:$M$16,6,FALSE),
IF($A194&lt;CPVC!$A$105,VLOOKUP($A194,CPVC!$A$9:$M$104,6,FALSE),
IF($A194&lt;InsertFittings!$A$185,VLOOKUP($A194,InsertFittings!$A$9:$M$184,6,FALSE),
IF($A194&lt;Valves!$A$92,VLOOKUP($A194,Valves!$A$9:$Q$91,6,FALSE),
IF($A194&lt;SDR35SW!$A$133,VLOOKUP($A194,SDR35SW!$A$9:$M$132,6,FALSE),
IF($A194&lt;SDR35G!$A$151,VLOOKUP($A194,SDR35G!$A$9:$M$150,6,FALSE),
IF($A194&lt;SDR26G!$A$67,VLOOKUP($A194,SDR26G!$A$9:$N$66,7,FALSE),
IF($A194&lt;Cements!$A$95,VLOOKUP($A194,Cements!$A$8:$Q$94,6,FALSE),
IF($A194&lt;ValveBox!$A$124,VLOOKUP($A194,ValveBox!$A$9:$O$123,6,FALSE),
IF($A194&lt;'ValveBox Components'!$A$142,VLOOKUP($A194,'ValveBox Components'!$A$9:$N$141,6,FALSE),
IF($A194&lt;Drainage!$A$69,VLOOKUP($A194,Drainage!$A$8:$M$68,6,FALSE),
IF($A194&lt;Nipples!$A$82,VLOOKUP($A194,Nipples!$A$9:$Q$81,6,FALSE),
IF($A194&lt;Manifold!$A$33,VLOOKUP($A194,Manifold!$A$9:$M$32,6,FALSE),
IF($A194&lt;FlexibleRepairCouplings!$A$12,VLOOKUP($A194,FlexibleRepairCouplings!$A$9:$M$11,6,FALSE),
IF($A194&lt;DuraFix!$A$15,VLOOKUP($A194,DuraFix!$A$9:$M$14,6,FALSE),
IF($A194&lt;'Compression Fittings'!$A$16,VLOOKUP($A194,'Compression Fittings'!$A$8:$M$15,6,FALSE),
IF($A194&lt;'Hose Fittings'!$A$30,VLOOKUP($A194,'Hose Fittings'!$A$8:$M$29,6,FALSE),
IF($A194&lt;'Swing Joints'!$A$495,VLOOKUP($A194,'Swing Joints'!$A$9:$M$494,6,FALSE),
IF($A194&lt;'Swing Joints Components'!$A$135,VLOOKUP($A194,'Swing Joints Components'!$A$9:$M$134,6,FALSE),
IF($A194&lt;Nonstandard!$A$42,VLOOKUP($A194,Nonstandard!$A$31:$J$41,7,FALSE),"")))))))))))))))))))))))))))),"")</f>
        <v/>
      </c>
      <c r="E194" s="538"/>
      <c r="F194" s="539" t="str">
        <f>IFERROR(IF($A194&lt;'DWV PVC'!$A$317,VLOOKUP($A194,'DWV PVC'!$A$9:$M$316,9,FALSE),
IF($A194&lt;'DWV ABS'!$A$117,VLOOKUP($A194,'DWV ABS'!$A$8:$M$116,9,FALSE),                                                                                                                                                                                                                                                     IF($A194&lt;'PVC SCH40'!$A$425,VLOOKUP($A194,'PVC SCH40'!$A$8:$M$424,9,FALSE),
IF($A194&lt;'PVC SCH40 LD'!$A$22,VLOOKUP($A194,'PVC SCH40 LD'!$A$8:$M$21,9,FALSE),
IF($A194&lt;'Pool &amp; SPA Sweep Elbows'!$A$12,VLOOKUP($A194,'Pool &amp; SPA Sweep Elbows'!$A$8:$M$11,9,FALSE),
IF($A194&lt;'Pool &amp; SPA Pipe Extender'!$A$11,VLOOKUP($A194,'Pool &amp; SPA Pipe Extender'!$A$8:$M$10,9,FALSE),
IF($A194&lt;'PVC SCH80'!$A$250,VLOOKUP($A194,'PVC SCH80'!$A$8:$M$249,9,FALSE),
IF($A194&lt;'PVC SCH80 Flange'!$A$49,VLOOKUP($A194,'PVC SCH80 Flange'!$A$8:$M$48,9,FALSE),
IF($A194&lt;'PVC SCH80 LD Flange'!$A$17,VLOOKUP($A194,'PVC SCH80 LD Flange'!$A$8:$M$16,9,FALSE),
IF($A194&lt;CPVC!$A$105,VLOOKUP($A194,CPVC!$A$9:$M$104,9,FALSE),
IF($A194&lt;InsertFittings!$A$185,VLOOKUP($A194,InsertFittings!$A$9:$M$184,9,FALSE),
IF($A194&lt;Valves!$A$92,VLOOKUP($A194,Valves!$A$9:$Q$91,13,FALSE),
IF($A194&lt;SDR35SW!$A$133,VLOOKUP($A194,SDR35SW!$A$9:$M$132,9,FALSE),
IF($A194&lt;SDR35G!$A$151,VLOOKUP($A194,SDR35G!$A$9:$M$150,9,FALSE),                                                                                                                                                                                                                                                          IF($A194&lt;SDR26G!$A$67,VLOOKUP($A194,SDR26G!$A$9:$N$66,10,FALSE),                                                                                                                                                                                                                                                       IF($A194&lt;Cements!$A$95,VLOOKUP($A194,Cements!$A$8:$Q$94,13,FALSE),
IF($A194&lt;ValveBox!$A$124,VLOOKUP($A194,ValveBox!$A$9:$O$123,11,FALSE),
IF($A194&lt;'ValveBox Components'!$A$142,VLOOKUP($A194,'ValveBox Components'!$A$9:$N$141,10,FALSE),
IF($A194&lt;Drainage!$A$69,VLOOKUP($A194,Drainage!$A$8:$M$68,9,FALSE),                                                                                                                                                                                                                                                              IF($A194&lt;Nipples!$A$82,VLOOKUP($A194,Nipples!$A$9:$Q$81,13,FALSE),
IF($A194&lt;Manifold!$A$33,VLOOKUP($A194,Manifold!$A$9:$M$32,9,FALSE),
IF($A194&lt;FlexibleRepairCouplings!$A$12,VLOOKUP($A194,FlexibleRepairCouplings!$A$9:$M$11,9,FALSE),
IF($A194&lt;DuraFix!$A$15,VLOOKUP($A194,DuraFix!$A$9:$M$14,9,FALSE),                                                                                                                                                                                                                                                          IF($A194&lt;'Compression Fittings'!$A$16,VLOOKUP($A194,'Compression Fittings'!$A$8:$M$15,9,FALSE),
IF($A194&lt;'Hose Fittings'!$A$30,VLOOKUP($A194,'Hose Fittings'!$A$8:$M$29,9,FALSE),
IF($A194&lt;'Swing Joints'!$A$495,VLOOKUP($A194,'Swing Joints'!$A$9:$M$494,9,FALSE),
IF($A194&lt;'Swing Joints Components'!$A$135,VLOOKUP($A194,'Swing Joints Components'!$A$9:$M$134,9,FALSE),
IF($A194&lt;Nonstandard!$A$42,VLOOKUP($A194,Nonstandard!$A$31:$J$41,8,FALSE),"")))))))))))))))))))))))))))),"")</f>
        <v/>
      </c>
      <c r="G194" s="540" t="str">
        <f>IFERROR(IF($A194&lt;'DWV PVC'!$A$317,VLOOKUP($A194,'DWV PVC'!$A$9:$M$316,11,FALSE),
IF($A194&lt;'DWV ABS'!$A$117,VLOOKUP($A194,'DWV ABS'!$A$8:$M$116,11,FALSE),                                                                                                                                                                                                                                                     IF($A194&lt;'PVC SCH40'!$A$425,VLOOKUP($A194,'PVC SCH40'!$A$8:$M$424,11,FALSE),
IF($A194&lt;'PVC SCH40 LD'!$A$22,VLOOKUP($A194,'PVC SCH40 LD'!$A$8:$M$21,11,FALSE),
IF($A194&lt;'Pool &amp; SPA Sweep Elbows'!$A$12,VLOOKUP($A194,'Pool &amp; SPA Sweep Elbows'!$A$8:$M$11,11,FALSE),
IF($A194&lt;'Pool &amp; SPA Pipe Extender'!$A$11,VLOOKUP($A194,'Pool &amp; SPA Pipe Extender'!$A$8:$M$10,11,FALSE),
IF($A194&lt;'PVC SCH80'!$A$250,VLOOKUP($A194,'PVC SCH80'!$A$8:$M$249,11,FALSE),
IF($A194&lt;'PVC SCH80 Flange'!$A$49,VLOOKUP($A194,'PVC SCH80 Flange'!$A$8:$M$48,11,FALSE),
IF($A194&lt;'PVC SCH80 LD Flange'!$A$17,VLOOKUP($A194,'PVC SCH80 LD Flange'!$A$8:$M$16,11,FALSE),
IF($A194&lt;CPVC!$A$105,VLOOKUP($A194,CPVC!$A$9:$M$104,11,FALSE),
IF($A194&lt;InsertFittings!$A$185,VLOOKUP($A194,InsertFittings!$A$9:$M$184,11,FALSE),
IF($A194&lt;Valves!$A$92,VLOOKUP($A194,Valves!$A$9:$Q$91,15,FALSE),
IF($A194&lt;SDR35SW!$A$133,VLOOKUP($A194,SDR35SW!$A$9:$M$132,11,FALSE),
IF($A194&lt;SDR35G!$A$151,VLOOKUP($A194,SDR35G!$A$9:$M$150,11,FALSE),                                                                                                                                                                                                                                                          IF($A194&lt;SDR26G!$A$67,VLOOKUP($A194,SDR26G!$A$9:$N$66,12,FALSE),                                                                                                                                                                                                                                                       IF($A194&lt;Cements!$A$95,VLOOKUP($A194,Cements!$A$8:$Q$94,15,FALSE),
IF($A194&lt;ValveBox!$A$124,VLOOKUP($A194,ValveBox!$A$9:$O$123,13,FALSE),
IF($A194&lt;'ValveBox Components'!$A$142,VLOOKUP($A194,'ValveBox Components'!$A$9:$N$141,12,FALSE),
IF($A194&lt;Drainage!$A$69,VLOOKUP($A194,Drainage!$A$8:$M$68,11,FALSE),                                                                                                                                                                                                                                                           IF($A194&lt;Nipples!$A$82,VLOOKUP($A194,Nipples!$A$9:$Q$81,15,FALSE),
IF($A194&lt;Manifold!$A$33,VLOOKUP($A194,Manifold!$A$9:$M$32,11,FALSE),
IF($A194&lt;FlexibleRepairCouplings!$A$12,VLOOKUP($A194,FlexibleRepairCouplings!$A$9:$M$11,11,FALSE),
IF($A194&lt;DuraFix!$A$15,VLOOKUP($A194,DuraFix!$A$9:$M$14,11,FALSE),                                                                                                                                                                                                                                                            IF($A194&lt;'Compression Fittings'!$A$16,VLOOKUP($A194,'Compression Fittings'!$A$8:$M$15,11,FALSE),
IF($A194&lt;'Hose Fittings'!$A$30,VLOOKUP($A194,'Hose Fittings'!$A$8:$M$29,11,FALSE),
IF($A194&lt;'Swing Joints'!$A$495,VLOOKUP($A194,'Swing Joints'!$A$9:$M$494,11,FALSE),
IF($A194&lt;'Swing Joints Components'!$A$135,VLOOKUP($A194,'Swing Joints Components'!$A$9:$M$134,11,FALSE),
IF($A194&lt;Nonstandard!$A$42,VLOOKUP($A194,Nonstandard!$A$31:$J$41,10,FALSE),"")))))))))))))))))))))))))))),"")</f>
        <v/>
      </c>
      <c r="H194" s="620" t="str">
        <f>IFERROR(IF($A194&lt;'DWV PVC'!$A$317,VLOOKUP($A194,'DWV PVC'!$A$9:$M$316,7,FALSE),
IF($A194&lt;'DWV ABS'!$A$117,VLOOKUP($A194,'DWV ABS'!$A$8:$M$116,11,FALSE),                                                                                                                                                                                                                                                     IF($A194&lt;'PVC SCH40'!$A$425,VLOOKUP($A194,'PVC SCH40'!$A$8:$M$424,7,FALSE),
IF($A194&lt;'PVC SCH40 LD'!$A$22,VLOOKUP($A194,'PVC SCH40 LD'!$A$8:$M$21,7,FALSE),
IF($A194&lt;'Pool &amp; SPA Sweep Elbows'!$A$12,VLOOKUP($A194,'Pool &amp; SPA Sweep Elbows'!$A$8:$M$11,7,FALSE),
IF($A194&lt;'Pool &amp; SPA Pipe Extender'!$A$11,VLOOKUP($A194,'Pool &amp; SPA Pipe Extender'!$A$8:$M$10,7,FALSE),
IF($A194&lt;'PVC SCH80'!$A$250,VLOOKUP($A194,'PVC SCH80'!$A$8:$M$249,7,FALSE),
IF($A194&lt;'PVC SCH80 Flange'!$A$49,VLOOKUP($A194,'PVC SCH80 Flange'!$A$8:$M$48,7,FALSE),
IF($A194&lt;'PVC SCH80 LD Flange'!$A$17,VLOOKUP($A194,'PVC SCH80 LD Flange'!$A$8:$M$16,7,FALSE),
IF($A194&lt;CPVC!$A$105,VLOOKUP($A194,CPVC!$A$9:$M$104,7,FALSE),
IF($A194&lt;InsertFittings!$A$185,VLOOKUP($A194,InsertFittings!$A$9:$M$184,7,FALSE),
IF($A194&lt;Valves!$A$92,VLOOKUP($A194,Valves!$A$9:$Q$91,11,FALSE),
IF($A194&lt;SDR35SW!$A$133,VLOOKUP($A194,SDR35SW!$A$9:$M$132,7,FALSE),
IF($A194&lt;SDR35G!$A$151,VLOOKUP($A194,SDR35G!$A$9:$M$150,7,FALSE),                                                                                                                                                                                                                                                       IF($A194&lt;SDR26G!$A$67,VLOOKUP($A194,SDR26G!$A$9:$N$66,8,FALSE),                                                                                                                                                                                                                                                     IF($A194&lt;Cements!$A$95,VLOOKUP($A194,Cements!$A$8:$Q$94,11,FALSE),
IF($A194&lt;ValveBox!$A$124,VLOOKUP($A194,ValveBox!$A$9:$O$123,10,FALSE),
IF($A194&lt;'ValveBox Components'!$A$142,VLOOKUP($A194,'ValveBox Components'!$A$9:$N$141,9,FALSE),
IF($A194&lt;Drainage!$A$69,VLOOKUP($A194,Drainage!$A$8:$M$68,7,FALSE),                                                                                                                                                                                                                                                          IF($A194&lt;Nipples!$A$82,VLOOKUP($A194,Nipples!$A$9:$Q$81,11,FALSE),
IF($A194&lt;Manifold!$A$33,VLOOKUP($A194,Manifold!$A$9:$M$32,7,FALSE),
IF($A194&lt;FlexibleRepairCouplings!$A$12,VLOOKUP($A194,FlexibleRepairCouplings!$A$9:$M$11,7,FALSE),
IF($A194&lt;DuraFix!$A$15,VLOOKUP($A194,DuraFix!$A$9:$M$14,7,FALSE),                                                                                                                                                                                                                                                           IF($A194&lt;'Compression Fittings'!$A$16,VLOOKUP($A194,'Compression Fittings'!$A$8:$M$15,7,FALSE),
IF($A194&lt;'Hose Fittings'!$A$30,VLOOKUP($A194,'Hose Fittings'!$A$8:$M$29,7,FALSE),
IF($A194&lt;'Swing Joints'!$A$495,VLOOKUP($A194,'Swing Joints'!$A$9:$M$494,7,FALSE),
IF($A194&lt;'Swing Joints Components'!$A$135,VLOOKUP($A194,'Swing Joints Components'!$A$9:$M$134,7,FALSE),
IF($A194&lt;Nonstandard!$A$42,VLOOKUP($A194,Nonstandard!$A$31:$J$41,10,FALSE),"")))))))))))))))))))))))))))),"")</f>
        <v/>
      </c>
      <c r="I194" s="621"/>
      <c r="J194" s="541" t="str">
        <f t="shared" si="5"/>
        <v/>
      </c>
      <c r="K194" s="599" t="str">
        <f>IFERROR(IF($A194&lt;'DWV PVC'!$A$317,VLOOKUP($A194,'DWV PVC'!$A$9:$M$316,10,FALSE),
IF($A194&lt;'DWV ABS'!$A$117,VLOOKUP($A194,'DWV ABS'!$A$8:$M$116,10,FALSE),
IF($A194&lt;'PVC SCH40'!$A$425,VLOOKUP($A194,'PVC SCH40'!$A$8:$M$424,10,FALSE),
IF($A194&lt;'PVC SCH40 LD'!$A$22,VLOOKUP($A194,'PVC SCH40 LD'!$A$8:$M$21,10,FALSE),
IF($A194&lt;'Pool &amp; SPA Sweep Elbows'!$A$12,VLOOKUP($A194,'Pool &amp; SPA Sweep Elbows'!$A$8:$M$11,10,FALSE),
IF($A194&lt;'Pool &amp; SPA Pipe Extender'!$A$11,VLOOKUP($A194,'Pool &amp; SPA Pipe Extender'!$A$8:$M$10,10,FALSE),
IF($A194&lt;'PVC SCH80'!$A$250,VLOOKUP($A194,'PVC SCH80'!$A$8:$M$249,10,FALSE),
IF($A194&lt;'PVC SCH80 Flange'!$A$49,VLOOKUP($A194,'PVC SCH80 Flange'!$A$8:$M$48,10,FALSE),
IF($A194&lt;'PVC SCH80 LD Flange'!$A$17,VLOOKUP($A194,'PVC SCH80 LD Flange'!$A$8:$M$16,10,FALSE),
IF($A194&lt;CPVC!$A$105,VLOOKUP($A194,CPVC!$A$9:$M$104,10,FALSE),
IF($A194&lt;InsertFittings!$A$185,VLOOKUP($A194,InsertFittings!$A$9:$M$184,10,FALSE),
IF($A194&lt;Valves!$A$92,VLOOKUP($A194,Valves!$A$9:$Q$91,14,FALSE),
IF($A194&lt;SDR35SW!$A$133,VLOOKUP($A194,SDR35SW!$A$9:$M$132,10,FALSE),
IF($A194&lt;SDR35G!$A$151,VLOOKUP($A194,SDR35G!$A$9:$M$150,10,FALSE),
IF($A194&lt;SDR26G!$A$67,VLOOKUP($A194,SDR26G!$A$9:$N$66,11,FALSE),
IF($A194&lt;Cements!$A$95,VLOOKUP($A194,Cements!$A$8:$Q$94,14,FALSE),
IF($A194&lt;ValveBox!$A$124,VLOOKUP($A194,ValveBox!$A$9:$O$123,12,FALSE),
IF($A194&lt;'ValveBox Components'!$A$142,VLOOKUP($A194,'ValveBox Components'!$A$9:$N$141,11,FALSE),
IF($A194&lt;Drainage!$A$69,VLOOKUP($A194,Drainage!$A$8:$M$68,10,FALSE),
IF($A194&lt;Nipples!$A$82,VLOOKUP($A194,Nipples!$A$9:$Q$81,14,FALSE),
IF($A194&lt;Manifold!$A$33,VLOOKUP($A194,Manifold!$A$9:$M$32,10,FALSE),
IF($A194&lt;FlexibleRepairCouplings!$A$12,VLOOKUP($A194,FlexibleRepairCouplings!$A$9:$M$11,10,FALSE),
IF($A194&lt;DuraFix!$A$15,VLOOKUP($A194,DuraFix!$A$9:$M$14,10,FALSE),
IF($A194&lt;'Compression Fittings'!$A$16,VLOOKUP($A194,'Compression Fittings'!$A$8:$M$15,10,FALSE),
IF($A194&lt;'Hose Fittings'!$A$30,VLOOKUP($A194,'Hose Fittings'!$A$8:$M$29,10,FALSE),
IF($A194&lt;'Swing Joints'!$A$495,VLOOKUP($A194,'Swing Joints'!$A$9:$M$494,10,FALSE),
IF($A194&lt;'Swing Joints Components'!$A$135,VLOOKUP($A194,'Swing Joints Components'!$A$9:$M$134,10,FALSE),
IF($A194&lt;Nonstandard!$A$42,VLOOKUP($A194,Nonstandard!$A$31:$J$41,10,FALSE),"")))))))))))))))))))))))))))),"")</f>
        <v/>
      </c>
      <c r="L194" s="539" t="str">
        <f t="shared" si="4"/>
        <v>-</v>
      </c>
      <c r="M194" s="542"/>
    </row>
    <row r="195" spans="1:13" ht="15.6">
      <c r="A195" s="312">
        <v>163</v>
      </c>
      <c r="B195" s="312" t="str">
        <f>IFERROR(IF($A195&lt;'DWV PVC'!$A$317,VLOOKUP($A195,'DWV PVC'!$A$9:$M$316,4,FALSE),
IF($A195&lt;'DWV ABS'!$A$117,VLOOKUP($A195,'DWV ABS'!$A$8:$M$116,4,FALSE),
IF($A195&lt;'PVC SCH40'!$A$425,VLOOKUP($A195,'PVC SCH40'!$A$8:$M$424,4,FALSE),
IF($A195&lt;'PVC SCH40 LD'!$A$22,VLOOKUP($A195,'PVC SCH40 LD'!$A$8:$M$21,4,FALSE),
IF($A195&lt;'Pool &amp; SPA Sweep Elbows'!$A$12,VLOOKUP($A195,'Pool &amp; SPA Sweep Elbows'!$A$8:$M$11,4,FALSE),
IF($A195&lt;'Pool &amp; SPA Pipe Extender'!$A$11,VLOOKUP($A195,'Pool &amp; SPA Pipe Extender'!$A$8:$M$10,4,FALSE),
IF($A195&lt;'PVC SCH80'!$A$250,VLOOKUP($A195,'PVC SCH80'!$A$8:$M$249,4,FALSE),
IF($A195&lt;'PVC SCH80 Flange'!$A$49,VLOOKUP($A195,'PVC SCH80 Flange'!$A$8:$M$48,4,FALSE),
IF($A195&lt;'PVC SCH80 LD Flange'!$A$17,VLOOKUP($A195,'PVC SCH80 LD Flange'!$A$8:$M$16,4,FALSE),
IF($A195&lt;CPVC!$A$105,VLOOKUP($A195,CPVC!$A$9:$M$104,4,FALSE),
IF($A195&lt;InsertFittings!$A$185,VLOOKUP($A195,InsertFittings!$A$9:$M$184,4,FALSE),
IF($A195&lt;Valves!$A$92,VLOOKUP($A195,Valves!$A$9:$Q$91,4,FALSE),
IF($A195&lt;SDR35SW!$A$133,VLOOKUP($A195,SDR35SW!$A$9:$M$132,4,FALSE),
IF($A195&lt;SDR35G!$A$151,VLOOKUP($A195,SDR35G!$A$9:$M$150,4,FALSE),
IF($A195&lt;SDR26G!$A$67,VLOOKUP($A195,SDR26G!$A$9:$N$66,5,FALSE),
IF($A195&lt;Cements!$A$95,VLOOKUP($A195,Cements!$A$8:$Q$94,4,FALSE),
IF($A195&lt;ValveBox!$A$124,VLOOKUP($A195,ValveBox!$A$9:$O$123,4,FALSE),
IF($A195&lt;'ValveBox Components'!$A$142,VLOOKUP($A195,'ValveBox Components'!$A$9:$N$141,4,FALSE),
IF($A195&lt;Drainage!$A$69,VLOOKUP($A195,Drainage!$A$8:$M$68,4,FALSE),
IF($A195&lt;Nipples!$A$82,VLOOKUP($A195,Nipples!$A$9:$Q$81,4,FALSE),
IF($A195&lt;Manifold!$A$33,VLOOKUP($A195,Manifold!$A$9:$M$32,4,FALSE),
IF($A195&lt;FlexibleRepairCouplings!$A$12,VLOOKUP($A195,FlexibleRepairCouplings!$A$9:$M$11,4,FALSE),
IF($A195&lt;DuraFix!$A$15,VLOOKUP($A195,DuraFix!$A$9:$M$14,4,FALSE),
IF($A195&lt;'Compression Fittings'!$A$16,VLOOKUP($A195,'Compression Fittings'!$A$8:$M$15,4,FALSE),
IF($A195&lt;'Hose Fittings'!$A$30,VLOOKUP($A195,'Hose Fittings'!$A$8:$M$29,4,FALSE),
IF($A195&lt;'Swing Joints'!$A$495,VLOOKUP($A195,'Swing Joints'!$A$9:$M$494,4,FALSE),
IF($A195&lt;'Swing Joints Components'!$A$135,VLOOKUP($A195,'Swing Joints Components'!$A$9:$M$134,4,FALSE),
IF($A195&lt;Nonstandard!$A$42,VLOOKUP($A195,Nonstandard!$A$31:$J$41,5,FALSE),"")))))))))))))))))))))))))))),"")</f>
        <v/>
      </c>
      <c r="C195" s="312" t="str">
        <f>IFERROR(IF($A195&lt;'DWV PVC'!$A$317,VLOOKUP($A195,'DWV PVC'!$A$9:$M$316,5,FALSE),
IF($A195&lt;'DWV ABS'!$A$117,VLOOKUP($A195,'DWV ABS'!$A$8:$M$116,5,FALSE),
IF($A195&lt;'PVC SCH40'!$A$425,VLOOKUP($A195,'PVC SCH40'!$A$8:$M$424,5,FALSE),
IF($A195&lt;'PVC SCH40 LD'!$A$22,VLOOKUP($A195,'PVC SCH40 LD'!$A$8:$M$21,5,FALSE),
IF($A195&lt;'Pool &amp; SPA Sweep Elbows'!$A$12,VLOOKUP($A195,'Pool &amp; SPA Sweep Elbows'!$A$8:$M$11,5,FALSE),
IF($A195&lt;'Pool &amp; SPA Pipe Extender'!$A$11,VLOOKUP($A195,'Pool &amp; SPA Pipe Extender'!$A$8:$M$10,5,FALSE),
IF($A195&lt;'PVC SCH80'!$A$250,VLOOKUP($A195,'PVC SCH80'!$A$8:$M$249,5,FALSE),
IF($A195&lt;'PVC SCH80 Flange'!$A$49,VLOOKUP($A195,'PVC SCH80 Flange'!$A$8:$M$48,5,FALSE),
IF($A195&lt;'PVC SCH80 LD Flange'!$A$17,VLOOKUP($A195,'PVC SCH80 LD Flange'!$A$8:$M$16,5,FALSE),
IF($A195&lt;CPVC!$A$105,VLOOKUP($A195,CPVC!$A$9:$M$104,5,FALSE),
IF($A195&lt;InsertFittings!$A$185,VLOOKUP($A195,InsertFittings!$A$9:$M$184,5,FALSE),
IF($A195&lt;Valves!$A$92,VLOOKUP($A195,Valves!$A$9:$Q$91,5,FALSE),
IF($A195&lt;SDR35SW!$A$133,VLOOKUP($A195,SDR35SW!$A$9:$M$132,5,FALSE),
IF($A195&lt;SDR35G!$A$151,VLOOKUP($A195,SDR35G!$A$9:$M$150,5,FALSE),
IF($A195&lt;SDR26G!$A$67,VLOOKUP($A195,SDR26G!$A$9:$N$66,6,FALSE),
IF($A195&lt;Cements!$A$95,VLOOKUP($A195,Cements!$A$8:$Q$94,5,FALSE),
IF($A195&lt;ValveBox!$A$124,VLOOKUP($A195,ValveBox!$A$9:$O$123,5,FALSE),
IF($A195&lt;'ValveBox Components'!$A$142,VLOOKUP($A195,'ValveBox Components'!$A$9:$N$141,5,FALSE),
IF($A195&lt;Drainage!$A$69,VLOOKUP($A195,Drainage!$A$8:$M$68,5,FALSE),
IF($A195&lt;Nipples!$A$82,VLOOKUP($A195,Nipples!$A$9:$Q$81,5,FALSE),
IF($A195&lt;Manifold!$A$33,VLOOKUP($A195,Manifold!$A$9:$M$32,5,FALSE),
IF($A195&lt;FlexibleRepairCouplings!$A$12,VLOOKUP($A195,FlexibleRepairCouplings!$A$9:$M$11,5,FALSE),
IF($A195&lt;DuraFix!$A$15,VLOOKUP($A195,DuraFix!$A$9:$M$14,5,FALSE),
IF($A195&lt;'Compression Fittings'!$A$16,VLOOKUP($A195,'Compression Fittings'!$A$8:$M$15,5,FALSE),
IF($A195&lt;'Hose Fittings'!$A$30,VLOOKUP($A195,'Hose Fittings'!$A$8:$M$29,5,FALSE),
IF($A195&lt;'Swing Joints'!$A$495,VLOOKUP($A195,'Swing Joints'!$A$9:$M$494,5,FALSE),
IF($A195&lt;'Swing Joints Components'!$A$135,VLOOKUP($A195,'Swing Joints Components'!$A$9:$M$134,5,FALSE),
IF($A195&lt;Nonstandard!$A$42,VLOOKUP($A195,Nonstandard!$A$31:$J$41,6,FALSE),"")))))))))))))))))))))))))))),"")</f>
        <v/>
      </c>
      <c r="D195" s="534" t="str">
        <f>IFERROR(IF($A195&lt;'DWV PVC'!$A$317,VLOOKUP($A195,'DWV PVC'!$A$9:$M$316,6,FALSE),
IF($A195&lt;'DWV ABS'!$A$117,VLOOKUP($A195,'DWV ABS'!$A$8:$M$116,6,FALSE),
IF($A195&lt;'PVC SCH40'!$A$425,VLOOKUP($A195,'PVC SCH40'!$A$8:$M$424,6,FALSE),
IF($A195&lt;'PVC SCH40 LD'!$A$22,VLOOKUP($A195,'PVC SCH40 LD'!$A$8:$M$21,6,FALSE),
IF($A195&lt;'Pool &amp; SPA Sweep Elbows'!$A$12,VLOOKUP($A195,'Pool &amp; SPA Sweep Elbows'!$A$8:$M$11,6,FALSE),
IF($A195&lt;'Pool &amp; SPA Pipe Extender'!$A$11,VLOOKUP($A195,'Pool &amp; SPA Pipe Extender'!$A$8:$M$10,6,FALSE),
IF($A195&lt;'PVC SCH80'!$A$250,VLOOKUP($A195,'PVC SCH80'!$A$8:$M$249,6,FALSE),
IF($A195&lt;'PVC SCH80 Flange'!$A$49,VLOOKUP($A195,'PVC SCH80 Flange'!$A$8:$M$48,6,FALSE),
IF($A195&lt;'PVC SCH80 LD Flange'!$A$17,VLOOKUP($A195,'PVC SCH80 LD Flange'!$A$8:$M$16,6,FALSE),
IF($A195&lt;CPVC!$A$105,VLOOKUP($A195,CPVC!$A$9:$M$104,6,FALSE),
IF($A195&lt;InsertFittings!$A$185,VLOOKUP($A195,InsertFittings!$A$9:$M$184,6,FALSE),
IF($A195&lt;Valves!$A$92,VLOOKUP($A195,Valves!$A$9:$Q$91,6,FALSE),
IF($A195&lt;SDR35SW!$A$133,VLOOKUP($A195,SDR35SW!$A$9:$M$132,6,FALSE),
IF($A195&lt;SDR35G!$A$151,VLOOKUP($A195,SDR35G!$A$9:$M$150,6,FALSE),
IF($A195&lt;SDR26G!$A$67,VLOOKUP($A195,SDR26G!$A$9:$N$66,7,FALSE),
IF($A195&lt;Cements!$A$95,VLOOKUP($A195,Cements!$A$8:$Q$94,6,FALSE),
IF($A195&lt;ValveBox!$A$124,VLOOKUP($A195,ValveBox!$A$9:$O$123,6,FALSE),
IF($A195&lt;'ValveBox Components'!$A$142,VLOOKUP($A195,'ValveBox Components'!$A$9:$N$141,6,FALSE),
IF($A195&lt;Drainage!$A$69,VLOOKUP($A195,Drainage!$A$8:$M$68,6,FALSE),
IF($A195&lt;Nipples!$A$82,VLOOKUP($A195,Nipples!$A$9:$Q$81,6,FALSE),
IF($A195&lt;Manifold!$A$33,VLOOKUP($A195,Manifold!$A$9:$M$32,6,FALSE),
IF($A195&lt;FlexibleRepairCouplings!$A$12,VLOOKUP($A195,FlexibleRepairCouplings!$A$9:$M$11,6,FALSE),
IF($A195&lt;DuraFix!$A$15,VLOOKUP($A195,DuraFix!$A$9:$M$14,6,FALSE),
IF($A195&lt;'Compression Fittings'!$A$16,VLOOKUP($A195,'Compression Fittings'!$A$8:$M$15,6,FALSE),
IF($A195&lt;'Hose Fittings'!$A$30,VLOOKUP($A195,'Hose Fittings'!$A$8:$M$29,6,FALSE),
IF($A195&lt;'Swing Joints'!$A$495,VLOOKUP($A195,'Swing Joints'!$A$9:$M$494,6,FALSE),
IF($A195&lt;'Swing Joints Components'!$A$135,VLOOKUP($A195,'Swing Joints Components'!$A$9:$M$134,6,FALSE),
IF($A195&lt;Nonstandard!$A$42,VLOOKUP($A195,Nonstandard!$A$31:$J$41,7,FALSE),"")))))))))))))))))))))))))))),"")</f>
        <v/>
      </c>
      <c r="E195" s="316"/>
      <c r="F195" s="314" t="str">
        <f>IFERROR(IF($A195&lt;'DWV PVC'!$A$317,VLOOKUP($A195,'DWV PVC'!$A$9:$M$316,9,FALSE),
IF($A195&lt;'DWV ABS'!$A$117,VLOOKUP($A195,'DWV ABS'!$A$8:$M$116,9,FALSE),                                                                                                                                                                                                                                                     IF($A195&lt;'PVC SCH40'!$A$425,VLOOKUP($A195,'PVC SCH40'!$A$8:$M$424,9,FALSE),
IF($A195&lt;'PVC SCH40 LD'!$A$22,VLOOKUP($A195,'PVC SCH40 LD'!$A$8:$M$21,9,FALSE),
IF($A195&lt;'Pool &amp; SPA Sweep Elbows'!$A$12,VLOOKUP($A195,'Pool &amp; SPA Sweep Elbows'!$A$8:$M$11,9,FALSE),
IF($A195&lt;'Pool &amp; SPA Pipe Extender'!$A$11,VLOOKUP($A195,'Pool &amp; SPA Pipe Extender'!$A$8:$M$10,9,FALSE),
IF($A195&lt;'PVC SCH80'!$A$250,VLOOKUP($A195,'PVC SCH80'!$A$8:$M$249,9,FALSE),
IF($A195&lt;'PVC SCH80 Flange'!$A$49,VLOOKUP($A195,'PVC SCH80 Flange'!$A$8:$M$48,9,FALSE),
IF($A195&lt;'PVC SCH80 LD Flange'!$A$17,VLOOKUP($A195,'PVC SCH80 LD Flange'!$A$8:$M$16,9,FALSE),
IF($A195&lt;CPVC!$A$105,VLOOKUP($A195,CPVC!$A$9:$M$104,9,FALSE),
IF($A195&lt;InsertFittings!$A$185,VLOOKUP($A195,InsertFittings!$A$9:$M$184,9,FALSE),
IF($A195&lt;Valves!$A$92,VLOOKUP($A195,Valves!$A$9:$Q$91,13,FALSE),
IF($A195&lt;SDR35SW!$A$133,VLOOKUP($A195,SDR35SW!$A$9:$M$132,9,FALSE),
IF($A195&lt;SDR35G!$A$151,VLOOKUP($A195,SDR35G!$A$9:$M$150,9,FALSE),                                                                                                                                                                                                                                                          IF($A195&lt;SDR26G!$A$67,VLOOKUP($A195,SDR26G!$A$9:$N$66,10,FALSE),                                                                                                                                                                                                                                                       IF($A195&lt;Cements!$A$95,VLOOKUP($A195,Cements!$A$8:$Q$94,13,FALSE),
IF($A195&lt;ValveBox!$A$124,VLOOKUP($A195,ValveBox!$A$9:$O$123,11,FALSE),
IF($A195&lt;'ValveBox Components'!$A$142,VLOOKUP($A195,'ValveBox Components'!$A$9:$N$141,10,FALSE),
IF($A195&lt;Drainage!$A$69,VLOOKUP($A195,Drainage!$A$8:$M$68,9,FALSE),                                                                                                                                                                                                                                                              IF($A195&lt;Nipples!$A$82,VLOOKUP($A195,Nipples!$A$9:$Q$81,13,FALSE),
IF($A195&lt;Manifold!$A$33,VLOOKUP($A195,Manifold!$A$9:$M$32,9,FALSE),
IF($A195&lt;FlexibleRepairCouplings!$A$12,VLOOKUP($A195,FlexibleRepairCouplings!$A$9:$M$11,9,FALSE),
IF($A195&lt;DuraFix!$A$15,VLOOKUP($A195,DuraFix!$A$9:$M$14,9,FALSE),                                                                                                                                                                                                                                                          IF($A195&lt;'Compression Fittings'!$A$16,VLOOKUP($A195,'Compression Fittings'!$A$8:$M$15,9,FALSE),
IF($A195&lt;'Hose Fittings'!$A$30,VLOOKUP($A195,'Hose Fittings'!$A$8:$M$29,9,FALSE),
IF($A195&lt;'Swing Joints'!$A$495,VLOOKUP($A195,'Swing Joints'!$A$9:$M$494,9,FALSE),
IF($A195&lt;'Swing Joints Components'!$A$135,VLOOKUP($A195,'Swing Joints Components'!$A$9:$M$134,9,FALSE),
IF($A195&lt;Nonstandard!$A$42,VLOOKUP($A195,Nonstandard!$A$31:$J$41,8,FALSE),"")))))))))))))))))))))))))))),"")</f>
        <v/>
      </c>
      <c r="G195" s="533" t="str">
        <f>IFERROR(IF($A195&lt;'DWV PVC'!$A$317,VLOOKUP($A195,'DWV PVC'!$A$9:$M$316,11,FALSE),
IF($A195&lt;'DWV ABS'!$A$117,VLOOKUP($A195,'DWV ABS'!$A$8:$M$116,11,FALSE),                                                                                                                                                                                                                                                     IF($A195&lt;'PVC SCH40'!$A$425,VLOOKUP($A195,'PVC SCH40'!$A$8:$M$424,11,FALSE),
IF($A195&lt;'PVC SCH40 LD'!$A$22,VLOOKUP($A195,'PVC SCH40 LD'!$A$8:$M$21,11,FALSE),
IF($A195&lt;'Pool &amp; SPA Sweep Elbows'!$A$12,VLOOKUP($A195,'Pool &amp; SPA Sweep Elbows'!$A$8:$M$11,11,FALSE),
IF($A195&lt;'Pool &amp; SPA Pipe Extender'!$A$11,VLOOKUP($A195,'Pool &amp; SPA Pipe Extender'!$A$8:$M$10,11,FALSE),
IF($A195&lt;'PVC SCH80'!$A$250,VLOOKUP($A195,'PVC SCH80'!$A$8:$M$249,11,FALSE),
IF($A195&lt;'PVC SCH80 Flange'!$A$49,VLOOKUP($A195,'PVC SCH80 Flange'!$A$8:$M$48,11,FALSE),
IF($A195&lt;'PVC SCH80 LD Flange'!$A$17,VLOOKUP($A195,'PVC SCH80 LD Flange'!$A$8:$M$16,11,FALSE),
IF($A195&lt;CPVC!$A$105,VLOOKUP($A195,CPVC!$A$9:$M$104,11,FALSE),
IF($A195&lt;InsertFittings!$A$185,VLOOKUP($A195,InsertFittings!$A$9:$M$184,11,FALSE),
IF($A195&lt;Valves!$A$92,VLOOKUP($A195,Valves!$A$9:$Q$91,15,FALSE),
IF($A195&lt;SDR35SW!$A$133,VLOOKUP($A195,SDR35SW!$A$9:$M$132,11,FALSE),
IF($A195&lt;SDR35G!$A$151,VLOOKUP($A195,SDR35G!$A$9:$M$150,11,FALSE),                                                                                                                                                                                                                                                          IF($A195&lt;SDR26G!$A$67,VLOOKUP($A195,SDR26G!$A$9:$N$66,12,FALSE),                                                                                                                                                                                                                                                       IF($A195&lt;Cements!$A$95,VLOOKUP($A195,Cements!$A$8:$Q$94,15,FALSE),
IF($A195&lt;ValveBox!$A$124,VLOOKUP($A195,ValveBox!$A$9:$O$123,13,FALSE),
IF($A195&lt;'ValveBox Components'!$A$142,VLOOKUP($A195,'ValveBox Components'!$A$9:$N$141,12,FALSE),
IF($A195&lt;Drainage!$A$69,VLOOKUP($A195,Drainage!$A$8:$M$68,11,FALSE),                                                                                                                                                                                                                                                           IF($A195&lt;Nipples!$A$82,VLOOKUP($A195,Nipples!$A$9:$Q$81,15,FALSE),
IF($A195&lt;Manifold!$A$33,VLOOKUP($A195,Manifold!$A$9:$M$32,11,FALSE),
IF($A195&lt;FlexibleRepairCouplings!$A$12,VLOOKUP($A195,FlexibleRepairCouplings!$A$9:$M$11,11,FALSE),
IF($A195&lt;DuraFix!$A$15,VLOOKUP($A195,DuraFix!$A$9:$M$14,11,FALSE),                                                                                                                                                                                                                                                            IF($A195&lt;'Compression Fittings'!$A$16,VLOOKUP($A195,'Compression Fittings'!$A$8:$M$15,11,FALSE),
IF($A195&lt;'Hose Fittings'!$A$30,VLOOKUP($A195,'Hose Fittings'!$A$8:$M$29,11,FALSE),
IF($A195&lt;'Swing Joints'!$A$495,VLOOKUP($A195,'Swing Joints'!$A$9:$M$494,11,FALSE),
IF($A195&lt;'Swing Joints Components'!$A$135,VLOOKUP($A195,'Swing Joints Components'!$A$9:$M$134,11,FALSE),
IF($A195&lt;Nonstandard!$A$42,VLOOKUP($A195,Nonstandard!$A$31:$J$41,10,FALSE),"")))))))))))))))))))))))))))),"")</f>
        <v/>
      </c>
      <c r="H195" s="618" t="str">
        <f>IFERROR(IF($A195&lt;'DWV PVC'!$A$317,VLOOKUP($A195,'DWV PVC'!$A$9:$M$316,7,FALSE),
IF($A195&lt;'DWV ABS'!$A$117,VLOOKUP($A195,'DWV ABS'!$A$8:$M$116,11,FALSE),                                                                                                                                                                                                                                                     IF($A195&lt;'PVC SCH40'!$A$425,VLOOKUP($A195,'PVC SCH40'!$A$8:$M$424,7,FALSE),
IF($A195&lt;'PVC SCH40 LD'!$A$22,VLOOKUP($A195,'PVC SCH40 LD'!$A$8:$M$21,7,FALSE),
IF($A195&lt;'Pool &amp; SPA Sweep Elbows'!$A$12,VLOOKUP($A195,'Pool &amp; SPA Sweep Elbows'!$A$8:$M$11,7,FALSE),
IF($A195&lt;'Pool &amp; SPA Pipe Extender'!$A$11,VLOOKUP($A195,'Pool &amp; SPA Pipe Extender'!$A$8:$M$10,7,FALSE),
IF($A195&lt;'PVC SCH80'!$A$250,VLOOKUP($A195,'PVC SCH80'!$A$8:$M$249,7,FALSE),
IF($A195&lt;'PVC SCH80 Flange'!$A$49,VLOOKUP($A195,'PVC SCH80 Flange'!$A$8:$M$48,7,FALSE),
IF($A195&lt;'PVC SCH80 LD Flange'!$A$17,VLOOKUP($A195,'PVC SCH80 LD Flange'!$A$8:$M$16,7,FALSE),
IF($A195&lt;CPVC!$A$105,VLOOKUP($A195,CPVC!$A$9:$M$104,7,FALSE),
IF($A195&lt;InsertFittings!$A$185,VLOOKUP($A195,InsertFittings!$A$9:$M$184,7,FALSE),
IF($A195&lt;Valves!$A$92,VLOOKUP($A195,Valves!$A$9:$Q$91,11,FALSE),
IF($A195&lt;SDR35SW!$A$133,VLOOKUP($A195,SDR35SW!$A$9:$M$132,7,FALSE),
IF($A195&lt;SDR35G!$A$151,VLOOKUP($A195,SDR35G!$A$9:$M$150,7,FALSE),                                                                                                                                                                                                                                                       IF($A195&lt;SDR26G!$A$67,VLOOKUP($A195,SDR26G!$A$9:$N$66,8,FALSE),                                                                                                                                                                                                                                                     IF($A195&lt;Cements!$A$95,VLOOKUP($A195,Cements!$A$8:$Q$94,11,FALSE),
IF($A195&lt;ValveBox!$A$124,VLOOKUP($A195,ValveBox!$A$9:$O$123,10,FALSE),
IF($A195&lt;'ValveBox Components'!$A$142,VLOOKUP($A195,'ValveBox Components'!$A$9:$N$141,9,FALSE),
IF($A195&lt;Drainage!$A$69,VLOOKUP($A195,Drainage!$A$8:$M$68,7,FALSE),                                                                                                                                                                                                                                                          IF($A195&lt;Nipples!$A$82,VLOOKUP($A195,Nipples!$A$9:$Q$81,11,FALSE),
IF($A195&lt;Manifold!$A$33,VLOOKUP($A195,Manifold!$A$9:$M$32,7,FALSE),
IF($A195&lt;FlexibleRepairCouplings!$A$12,VLOOKUP($A195,FlexibleRepairCouplings!$A$9:$M$11,7,FALSE),
IF($A195&lt;DuraFix!$A$15,VLOOKUP($A195,DuraFix!$A$9:$M$14,7,FALSE),                                                                                                                                                                                                                                                           IF($A195&lt;'Compression Fittings'!$A$16,VLOOKUP($A195,'Compression Fittings'!$A$8:$M$15,7,FALSE),
IF($A195&lt;'Hose Fittings'!$A$30,VLOOKUP($A195,'Hose Fittings'!$A$8:$M$29,7,FALSE),
IF($A195&lt;'Swing Joints'!$A$495,VLOOKUP($A195,'Swing Joints'!$A$9:$M$494,7,FALSE),
IF($A195&lt;'Swing Joints Components'!$A$135,VLOOKUP($A195,'Swing Joints Components'!$A$9:$M$134,7,FALSE),
IF($A195&lt;Nonstandard!$A$42,VLOOKUP($A195,Nonstandard!$A$31:$J$41,10,FALSE),"")))))))))))))))))))))))))))),"")</f>
        <v/>
      </c>
      <c r="I195" s="619"/>
      <c r="J195" s="281" t="str">
        <f t="shared" si="5"/>
        <v/>
      </c>
      <c r="K195" s="313" t="str">
        <f>IFERROR(IF($A195&lt;'DWV PVC'!$A$317,VLOOKUP($A195,'DWV PVC'!$A$9:$M$316,10,FALSE),
IF($A195&lt;'DWV ABS'!$A$117,VLOOKUP($A195,'DWV ABS'!$A$8:$M$116,10,FALSE),
IF($A195&lt;'PVC SCH40'!$A$425,VLOOKUP($A195,'PVC SCH40'!$A$8:$M$424,10,FALSE),
IF($A195&lt;'PVC SCH40 LD'!$A$22,VLOOKUP($A195,'PVC SCH40 LD'!$A$8:$M$21,10,FALSE),
IF($A195&lt;'Pool &amp; SPA Sweep Elbows'!$A$12,VLOOKUP($A195,'Pool &amp; SPA Sweep Elbows'!$A$8:$M$11,10,FALSE),
IF($A195&lt;'Pool &amp; SPA Pipe Extender'!$A$11,VLOOKUP($A195,'Pool &amp; SPA Pipe Extender'!$A$8:$M$10,10,FALSE),
IF($A195&lt;'PVC SCH80'!$A$250,VLOOKUP($A195,'PVC SCH80'!$A$8:$M$249,10,FALSE),
IF($A195&lt;'PVC SCH80 Flange'!$A$49,VLOOKUP($A195,'PVC SCH80 Flange'!$A$8:$M$48,10,FALSE),
IF($A195&lt;'PVC SCH80 LD Flange'!$A$17,VLOOKUP($A195,'PVC SCH80 LD Flange'!$A$8:$M$16,10,FALSE),
IF($A195&lt;CPVC!$A$105,VLOOKUP($A195,CPVC!$A$9:$M$104,10,FALSE),
IF($A195&lt;InsertFittings!$A$185,VLOOKUP($A195,InsertFittings!$A$9:$M$184,10,FALSE),
IF($A195&lt;Valves!$A$92,VLOOKUP($A195,Valves!$A$9:$Q$91,14,FALSE),
IF($A195&lt;SDR35SW!$A$133,VLOOKUP($A195,SDR35SW!$A$9:$M$132,10,FALSE),
IF($A195&lt;SDR35G!$A$151,VLOOKUP($A195,SDR35G!$A$9:$M$150,10,FALSE),
IF($A195&lt;SDR26G!$A$67,VLOOKUP($A195,SDR26G!$A$9:$N$66,11,FALSE),
IF($A195&lt;Cements!$A$95,VLOOKUP($A195,Cements!$A$8:$Q$94,14,FALSE),
IF($A195&lt;ValveBox!$A$124,VLOOKUP($A195,ValveBox!$A$9:$O$123,12,FALSE),
IF($A195&lt;'ValveBox Components'!$A$142,VLOOKUP($A195,'ValveBox Components'!$A$9:$N$141,11,FALSE),
IF($A195&lt;Drainage!$A$69,VLOOKUP($A195,Drainage!$A$8:$M$68,10,FALSE),
IF($A195&lt;Nipples!$A$82,VLOOKUP($A195,Nipples!$A$9:$Q$81,14,FALSE),
IF($A195&lt;Manifold!$A$33,VLOOKUP($A195,Manifold!$A$9:$M$32,10,FALSE),
IF($A195&lt;FlexibleRepairCouplings!$A$12,VLOOKUP($A195,FlexibleRepairCouplings!$A$9:$M$11,10,FALSE),
IF($A195&lt;DuraFix!$A$15,VLOOKUP($A195,DuraFix!$A$9:$M$14,10,FALSE),
IF($A195&lt;'Compression Fittings'!$A$16,VLOOKUP($A195,'Compression Fittings'!$A$8:$M$15,10,FALSE),
IF($A195&lt;'Hose Fittings'!$A$30,VLOOKUP($A195,'Hose Fittings'!$A$8:$M$29,10,FALSE),
IF($A195&lt;'Swing Joints'!$A$495,VLOOKUP($A195,'Swing Joints'!$A$9:$M$494,10,FALSE),
IF($A195&lt;'Swing Joints Components'!$A$135,VLOOKUP($A195,'Swing Joints Components'!$A$9:$M$134,10,FALSE),
IF($A195&lt;Nonstandard!$A$42,VLOOKUP($A195,Nonstandard!$A$31:$J$41,10,FALSE),"")))))))))))))))))))))))))))),"")</f>
        <v/>
      </c>
      <c r="L195" s="314" t="str">
        <f t="shared" si="4"/>
        <v>-</v>
      </c>
      <c r="M195" s="315"/>
    </row>
    <row r="196" spans="1:13" ht="15.6">
      <c r="A196" s="536">
        <v>164</v>
      </c>
      <c r="B196" s="536" t="str">
        <f>IFERROR(IF($A196&lt;'DWV PVC'!$A$317,VLOOKUP($A196,'DWV PVC'!$A$9:$M$316,4,FALSE),
IF($A196&lt;'DWV ABS'!$A$117,VLOOKUP($A196,'DWV ABS'!$A$8:$M$116,4,FALSE),
IF($A196&lt;'PVC SCH40'!$A$425,VLOOKUP($A196,'PVC SCH40'!$A$8:$M$424,4,FALSE),
IF($A196&lt;'PVC SCH40 LD'!$A$22,VLOOKUP($A196,'PVC SCH40 LD'!$A$8:$M$21,4,FALSE),
IF($A196&lt;'Pool &amp; SPA Sweep Elbows'!$A$12,VLOOKUP($A196,'Pool &amp; SPA Sweep Elbows'!$A$8:$M$11,4,FALSE),
IF($A196&lt;'Pool &amp; SPA Pipe Extender'!$A$11,VLOOKUP($A196,'Pool &amp; SPA Pipe Extender'!$A$8:$M$10,4,FALSE),
IF($A196&lt;'PVC SCH80'!$A$250,VLOOKUP($A196,'PVC SCH80'!$A$8:$M$249,4,FALSE),
IF($A196&lt;'PVC SCH80 Flange'!$A$49,VLOOKUP($A196,'PVC SCH80 Flange'!$A$8:$M$48,4,FALSE),
IF($A196&lt;'PVC SCH80 LD Flange'!$A$17,VLOOKUP($A196,'PVC SCH80 LD Flange'!$A$8:$M$16,4,FALSE),
IF($A196&lt;CPVC!$A$105,VLOOKUP($A196,CPVC!$A$9:$M$104,4,FALSE),
IF($A196&lt;InsertFittings!$A$185,VLOOKUP($A196,InsertFittings!$A$9:$M$184,4,FALSE),
IF($A196&lt;Valves!$A$92,VLOOKUP($A196,Valves!$A$9:$Q$91,4,FALSE),
IF($A196&lt;SDR35SW!$A$133,VLOOKUP($A196,SDR35SW!$A$9:$M$132,4,FALSE),
IF($A196&lt;SDR35G!$A$151,VLOOKUP($A196,SDR35G!$A$9:$M$150,4,FALSE),
IF($A196&lt;SDR26G!$A$67,VLOOKUP($A196,SDR26G!$A$9:$N$66,5,FALSE),
IF($A196&lt;Cements!$A$95,VLOOKUP($A196,Cements!$A$8:$Q$94,4,FALSE),
IF($A196&lt;ValveBox!$A$124,VLOOKUP($A196,ValveBox!$A$9:$O$123,4,FALSE),
IF($A196&lt;'ValveBox Components'!$A$142,VLOOKUP($A196,'ValveBox Components'!$A$9:$N$141,4,FALSE),
IF($A196&lt;Drainage!$A$69,VLOOKUP($A196,Drainage!$A$8:$M$68,4,FALSE),
IF($A196&lt;Nipples!$A$82,VLOOKUP($A196,Nipples!$A$9:$Q$81,4,FALSE),
IF($A196&lt;Manifold!$A$33,VLOOKUP($A196,Manifold!$A$9:$M$32,4,FALSE),
IF($A196&lt;FlexibleRepairCouplings!$A$12,VLOOKUP($A196,FlexibleRepairCouplings!$A$9:$M$11,4,FALSE),
IF($A196&lt;DuraFix!$A$15,VLOOKUP($A196,DuraFix!$A$9:$M$14,4,FALSE),
IF($A196&lt;'Compression Fittings'!$A$16,VLOOKUP($A196,'Compression Fittings'!$A$8:$M$15,4,FALSE),
IF($A196&lt;'Hose Fittings'!$A$30,VLOOKUP($A196,'Hose Fittings'!$A$8:$M$29,4,FALSE),
IF($A196&lt;'Swing Joints'!$A$495,VLOOKUP($A196,'Swing Joints'!$A$9:$M$494,4,FALSE),
IF($A196&lt;'Swing Joints Components'!$A$135,VLOOKUP($A196,'Swing Joints Components'!$A$9:$M$134,4,FALSE),
IF($A196&lt;Nonstandard!$A$42,VLOOKUP($A196,Nonstandard!$A$31:$J$41,5,FALSE),"")))))))))))))))))))))))))))),"")</f>
        <v/>
      </c>
      <c r="C196" s="536" t="str">
        <f>IFERROR(IF($A196&lt;'DWV PVC'!$A$317,VLOOKUP($A196,'DWV PVC'!$A$9:$M$316,5,FALSE),
IF($A196&lt;'DWV ABS'!$A$117,VLOOKUP($A196,'DWV ABS'!$A$8:$M$116,5,FALSE),
IF($A196&lt;'PVC SCH40'!$A$425,VLOOKUP($A196,'PVC SCH40'!$A$8:$M$424,5,FALSE),
IF($A196&lt;'PVC SCH40 LD'!$A$22,VLOOKUP($A196,'PVC SCH40 LD'!$A$8:$M$21,5,FALSE),
IF($A196&lt;'Pool &amp; SPA Sweep Elbows'!$A$12,VLOOKUP($A196,'Pool &amp; SPA Sweep Elbows'!$A$8:$M$11,5,FALSE),
IF($A196&lt;'Pool &amp; SPA Pipe Extender'!$A$11,VLOOKUP($A196,'Pool &amp; SPA Pipe Extender'!$A$8:$M$10,5,FALSE),
IF($A196&lt;'PVC SCH80'!$A$250,VLOOKUP($A196,'PVC SCH80'!$A$8:$M$249,5,FALSE),
IF($A196&lt;'PVC SCH80 Flange'!$A$49,VLOOKUP($A196,'PVC SCH80 Flange'!$A$8:$M$48,5,FALSE),
IF($A196&lt;'PVC SCH80 LD Flange'!$A$17,VLOOKUP($A196,'PVC SCH80 LD Flange'!$A$8:$M$16,5,FALSE),
IF($A196&lt;CPVC!$A$105,VLOOKUP($A196,CPVC!$A$9:$M$104,5,FALSE),
IF($A196&lt;InsertFittings!$A$185,VLOOKUP($A196,InsertFittings!$A$9:$M$184,5,FALSE),
IF($A196&lt;Valves!$A$92,VLOOKUP($A196,Valves!$A$9:$Q$91,5,FALSE),
IF($A196&lt;SDR35SW!$A$133,VLOOKUP($A196,SDR35SW!$A$9:$M$132,5,FALSE),
IF($A196&lt;SDR35G!$A$151,VLOOKUP($A196,SDR35G!$A$9:$M$150,5,FALSE),
IF($A196&lt;SDR26G!$A$67,VLOOKUP($A196,SDR26G!$A$9:$N$66,6,FALSE),
IF($A196&lt;Cements!$A$95,VLOOKUP($A196,Cements!$A$8:$Q$94,5,FALSE),
IF($A196&lt;ValveBox!$A$124,VLOOKUP($A196,ValveBox!$A$9:$O$123,5,FALSE),
IF($A196&lt;'ValveBox Components'!$A$142,VLOOKUP($A196,'ValveBox Components'!$A$9:$N$141,5,FALSE),
IF($A196&lt;Drainage!$A$69,VLOOKUP($A196,Drainage!$A$8:$M$68,5,FALSE),
IF($A196&lt;Nipples!$A$82,VLOOKUP($A196,Nipples!$A$9:$Q$81,5,FALSE),
IF($A196&lt;Manifold!$A$33,VLOOKUP($A196,Manifold!$A$9:$M$32,5,FALSE),
IF($A196&lt;FlexibleRepairCouplings!$A$12,VLOOKUP($A196,FlexibleRepairCouplings!$A$9:$M$11,5,FALSE),
IF($A196&lt;DuraFix!$A$15,VLOOKUP($A196,DuraFix!$A$9:$M$14,5,FALSE),
IF($A196&lt;'Compression Fittings'!$A$16,VLOOKUP($A196,'Compression Fittings'!$A$8:$M$15,5,FALSE),
IF($A196&lt;'Hose Fittings'!$A$30,VLOOKUP($A196,'Hose Fittings'!$A$8:$M$29,5,FALSE),
IF($A196&lt;'Swing Joints'!$A$495,VLOOKUP($A196,'Swing Joints'!$A$9:$M$494,5,FALSE),
IF($A196&lt;'Swing Joints Components'!$A$135,VLOOKUP($A196,'Swing Joints Components'!$A$9:$M$134,5,FALSE),
IF($A196&lt;Nonstandard!$A$42,VLOOKUP($A196,Nonstandard!$A$31:$J$41,6,FALSE),"")))))))))))))))))))))))))))),"")</f>
        <v/>
      </c>
      <c r="D196" s="537" t="str">
        <f>IFERROR(IF($A196&lt;'DWV PVC'!$A$317,VLOOKUP($A196,'DWV PVC'!$A$9:$M$316,6,FALSE),
IF($A196&lt;'DWV ABS'!$A$117,VLOOKUP($A196,'DWV ABS'!$A$8:$M$116,6,FALSE),
IF($A196&lt;'PVC SCH40'!$A$425,VLOOKUP($A196,'PVC SCH40'!$A$8:$M$424,6,FALSE),
IF($A196&lt;'PVC SCH40 LD'!$A$22,VLOOKUP($A196,'PVC SCH40 LD'!$A$8:$M$21,6,FALSE),
IF($A196&lt;'Pool &amp; SPA Sweep Elbows'!$A$12,VLOOKUP($A196,'Pool &amp; SPA Sweep Elbows'!$A$8:$M$11,6,FALSE),
IF($A196&lt;'Pool &amp; SPA Pipe Extender'!$A$11,VLOOKUP($A196,'Pool &amp; SPA Pipe Extender'!$A$8:$M$10,6,FALSE),
IF($A196&lt;'PVC SCH80'!$A$250,VLOOKUP($A196,'PVC SCH80'!$A$8:$M$249,6,FALSE),
IF($A196&lt;'PVC SCH80 Flange'!$A$49,VLOOKUP($A196,'PVC SCH80 Flange'!$A$8:$M$48,6,FALSE),
IF($A196&lt;'PVC SCH80 LD Flange'!$A$17,VLOOKUP($A196,'PVC SCH80 LD Flange'!$A$8:$M$16,6,FALSE),
IF($A196&lt;CPVC!$A$105,VLOOKUP($A196,CPVC!$A$9:$M$104,6,FALSE),
IF($A196&lt;InsertFittings!$A$185,VLOOKUP($A196,InsertFittings!$A$9:$M$184,6,FALSE),
IF($A196&lt;Valves!$A$92,VLOOKUP($A196,Valves!$A$9:$Q$91,6,FALSE),
IF($A196&lt;SDR35SW!$A$133,VLOOKUP($A196,SDR35SW!$A$9:$M$132,6,FALSE),
IF($A196&lt;SDR35G!$A$151,VLOOKUP($A196,SDR35G!$A$9:$M$150,6,FALSE),
IF($A196&lt;SDR26G!$A$67,VLOOKUP($A196,SDR26G!$A$9:$N$66,7,FALSE),
IF($A196&lt;Cements!$A$95,VLOOKUP($A196,Cements!$A$8:$Q$94,6,FALSE),
IF($A196&lt;ValveBox!$A$124,VLOOKUP($A196,ValveBox!$A$9:$O$123,6,FALSE),
IF($A196&lt;'ValveBox Components'!$A$142,VLOOKUP($A196,'ValveBox Components'!$A$9:$N$141,6,FALSE),
IF($A196&lt;Drainage!$A$69,VLOOKUP($A196,Drainage!$A$8:$M$68,6,FALSE),
IF($A196&lt;Nipples!$A$82,VLOOKUP($A196,Nipples!$A$9:$Q$81,6,FALSE),
IF($A196&lt;Manifold!$A$33,VLOOKUP($A196,Manifold!$A$9:$M$32,6,FALSE),
IF($A196&lt;FlexibleRepairCouplings!$A$12,VLOOKUP($A196,FlexibleRepairCouplings!$A$9:$M$11,6,FALSE),
IF($A196&lt;DuraFix!$A$15,VLOOKUP($A196,DuraFix!$A$9:$M$14,6,FALSE),
IF($A196&lt;'Compression Fittings'!$A$16,VLOOKUP($A196,'Compression Fittings'!$A$8:$M$15,6,FALSE),
IF($A196&lt;'Hose Fittings'!$A$30,VLOOKUP($A196,'Hose Fittings'!$A$8:$M$29,6,FALSE),
IF($A196&lt;'Swing Joints'!$A$495,VLOOKUP($A196,'Swing Joints'!$A$9:$M$494,6,FALSE),
IF($A196&lt;'Swing Joints Components'!$A$135,VLOOKUP($A196,'Swing Joints Components'!$A$9:$M$134,6,FALSE),
IF($A196&lt;Nonstandard!$A$42,VLOOKUP($A196,Nonstandard!$A$31:$J$41,7,FALSE),"")))))))))))))))))))))))))))),"")</f>
        <v/>
      </c>
      <c r="E196" s="538"/>
      <c r="F196" s="539" t="str">
        <f>IFERROR(IF($A196&lt;'DWV PVC'!$A$317,VLOOKUP($A196,'DWV PVC'!$A$9:$M$316,9,FALSE),
IF($A196&lt;'DWV ABS'!$A$117,VLOOKUP($A196,'DWV ABS'!$A$8:$M$116,9,FALSE),                                                                                                                                                                                                                                                     IF($A196&lt;'PVC SCH40'!$A$425,VLOOKUP($A196,'PVC SCH40'!$A$8:$M$424,9,FALSE),
IF($A196&lt;'PVC SCH40 LD'!$A$22,VLOOKUP($A196,'PVC SCH40 LD'!$A$8:$M$21,9,FALSE),
IF($A196&lt;'Pool &amp; SPA Sweep Elbows'!$A$12,VLOOKUP($A196,'Pool &amp; SPA Sweep Elbows'!$A$8:$M$11,9,FALSE),
IF($A196&lt;'Pool &amp; SPA Pipe Extender'!$A$11,VLOOKUP($A196,'Pool &amp; SPA Pipe Extender'!$A$8:$M$10,9,FALSE),
IF($A196&lt;'PVC SCH80'!$A$250,VLOOKUP($A196,'PVC SCH80'!$A$8:$M$249,9,FALSE),
IF($A196&lt;'PVC SCH80 Flange'!$A$49,VLOOKUP($A196,'PVC SCH80 Flange'!$A$8:$M$48,9,FALSE),
IF($A196&lt;'PVC SCH80 LD Flange'!$A$17,VLOOKUP($A196,'PVC SCH80 LD Flange'!$A$8:$M$16,9,FALSE),
IF($A196&lt;CPVC!$A$105,VLOOKUP($A196,CPVC!$A$9:$M$104,9,FALSE),
IF($A196&lt;InsertFittings!$A$185,VLOOKUP($A196,InsertFittings!$A$9:$M$184,9,FALSE),
IF($A196&lt;Valves!$A$92,VLOOKUP($A196,Valves!$A$9:$Q$91,13,FALSE),
IF($A196&lt;SDR35SW!$A$133,VLOOKUP($A196,SDR35SW!$A$9:$M$132,9,FALSE),
IF($A196&lt;SDR35G!$A$151,VLOOKUP($A196,SDR35G!$A$9:$M$150,9,FALSE),                                                                                                                                                                                                                                                          IF($A196&lt;SDR26G!$A$67,VLOOKUP($A196,SDR26G!$A$9:$N$66,10,FALSE),                                                                                                                                                                                                                                                       IF($A196&lt;Cements!$A$95,VLOOKUP($A196,Cements!$A$8:$Q$94,13,FALSE),
IF($A196&lt;ValveBox!$A$124,VLOOKUP($A196,ValveBox!$A$9:$O$123,11,FALSE),
IF($A196&lt;'ValveBox Components'!$A$142,VLOOKUP($A196,'ValveBox Components'!$A$9:$N$141,10,FALSE),
IF($A196&lt;Drainage!$A$69,VLOOKUP($A196,Drainage!$A$8:$M$68,9,FALSE),                                                                                                                                                                                                                                                              IF($A196&lt;Nipples!$A$82,VLOOKUP($A196,Nipples!$A$9:$Q$81,13,FALSE),
IF($A196&lt;Manifold!$A$33,VLOOKUP($A196,Manifold!$A$9:$M$32,9,FALSE),
IF($A196&lt;FlexibleRepairCouplings!$A$12,VLOOKUP($A196,FlexibleRepairCouplings!$A$9:$M$11,9,FALSE),
IF($A196&lt;DuraFix!$A$15,VLOOKUP($A196,DuraFix!$A$9:$M$14,9,FALSE),                                                                                                                                                                                                                                                          IF($A196&lt;'Compression Fittings'!$A$16,VLOOKUP($A196,'Compression Fittings'!$A$8:$M$15,9,FALSE),
IF($A196&lt;'Hose Fittings'!$A$30,VLOOKUP($A196,'Hose Fittings'!$A$8:$M$29,9,FALSE),
IF($A196&lt;'Swing Joints'!$A$495,VLOOKUP($A196,'Swing Joints'!$A$9:$M$494,9,FALSE),
IF($A196&lt;'Swing Joints Components'!$A$135,VLOOKUP($A196,'Swing Joints Components'!$A$9:$M$134,9,FALSE),
IF($A196&lt;Nonstandard!$A$42,VLOOKUP($A196,Nonstandard!$A$31:$J$41,8,FALSE),"")))))))))))))))))))))))))))),"")</f>
        <v/>
      </c>
      <c r="G196" s="540" t="str">
        <f>IFERROR(IF($A196&lt;'DWV PVC'!$A$317,VLOOKUP($A196,'DWV PVC'!$A$9:$M$316,11,FALSE),
IF($A196&lt;'DWV ABS'!$A$117,VLOOKUP($A196,'DWV ABS'!$A$8:$M$116,11,FALSE),                                                                                                                                                                                                                                                     IF($A196&lt;'PVC SCH40'!$A$425,VLOOKUP($A196,'PVC SCH40'!$A$8:$M$424,11,FALSE),
IF($A196&lt;'PVC SCH40 LD'!$A$22,VLOOKUP($A196,'PVC SCH40 LD'!$A$8:$M$21,11,FALSE),
IF($A196&lt;'Pool &amp; SPA Sweep Elbows'!$A$12,VLOOKUP($A196,'Pool &amp; SPA Sweep Elbows'!$A$8:$M$11,11,FALSE),
IF($A196&lt;'Pool &amp; SPA Pipe Extender'!$A$11,VLOOKUP($A196,'Pool &amp; SPA Pipe Extender'!$A$8:$M$10,11,FALSE),
IF($A196&lt;'PVC SCH80'!$A$250,VLOOKUP($A196,'PVC SCH80'!$A$8:$M$249,11,FALSE),
IF($A196&lt;'PVC SCH80 Flange'!$A$49,VLOOKUP($A196,'PVC SCH80 Flange'!$A$8:$M$48,11,FALSE),
IF($A196&lt;'PVC SCH80 LD Flange'!$A$17,VLOOKUP($A196,'PVC SCH80 LD Flange'!$A$8:$M$16,11,FALSE),
IF($A196&lt;CPVC!$A$105,VLOOKUP($A196,CPVC!$A$9:$M$104,11,FALSE),
IF($A196&lt;InsertFittings!$A$185,VLOOKUP($A196,InsertFittings!$A$9:$M$184,11,FALSE),
IF($A196&lt;Valves!$A$92,VLOOKUP($A196,Valves!$A$9:$Q$91,15,FALSE),
IF($A196&lt;SDR35SW!$A$133,VLOOKUP($A196,SDR35SW!$A$9:$M$132,11,FALSE),
IF($A196&lt;SDR35G!$A$151,VLOOKUP($A196,SDR35G!$A$9:$M$150,11,FALSE),                                                                                                                                                                                                                                                          IF($A196&lt;SDR26G!$A$67,VLOOKUP($A196,SDR26G!$A$9:$N$66,12,FALSE),                                                                                                                                                                                                                                                       IF($A196&lt;Cements!$A$95,VLOOKUP($A196,Cements!$A$8:$Q$94,15,FALSE),
IF($A196&lt;ValveBox!$A$124,VLOOKUP($A196,ValveBox!$A$9:$O$123,13,FALSE),
IF($A196&lt;'ValveBox Components'!$A$142,VLOOKUP($A196,'ValveBox Components'!$A$9:$N$141,12,FALSE),
IF($A196&lt;Drainage!$A$69,VLOOKUP($A196,Drainage!$A$8:$M$68,11,FALSE),                                                                                                                                                                                                                                                           IF($A196&lt;Nipples!$A$82,VLOOKUP($A196,Nipples!$A$9:$Q$81,15,FALSE),
IF($A196&lt;Manifold!$A$33,VLOOKUP($A196,Manifold!$A$9:$M$32,11,FALSE),
IF($A196&lt;FlexibleRepairCouplings!$A$12,VLOOKUP($A196,FlexibleRepairCouplings!$A$9:$M$11,11,FALSE),
IF($A196&lt;DuraFix!$A$15,VLOOKUP($A196,DuraFix!$A$9:$M$14,11,FALSE),                                                                                                                                                                                                                                                            IF($A196&lt;'Compression Fittings'!$A$16,VLOOKUP($A196,'Compression Fittings'!$A$8:$M$15,11,FALSE),
IF($A196&lt;'Hose Fittings'!$A$30,VLOOKUP($A196,'Hose Fittings'!$A$8:$M$29,11,FALSE),
IF($A196&lt;'Swing Joints'!$A$495,VLOOKUP($A196,'Swing Joints'!$A$9:$M$494,11,FALSE),
IF($A196&lt;'Swing Joints Components'!$A$135,VLOOKUP($A196,'Swing Joints Components'!$A$9:$M$134,11,FALSE),
IF($A196&lt;Nonstandard!$A$42,VLOOKUP($A196,Nonstandard!$A$31:$J$41,10,FALSE),"")))))))))))))))))))))))))))),"")</f>
        <v/>
      </c>
      <c r="H196" s="620" t="str">
        <f>IFERROR(IF($A196&lt;'DWV PVC'!$A$317,VLOOKUP($A196,'DWV PVC'!$A$9:$M$316,7,FALSE),
IF($A196&lt;'DWV ABS'!$A$117,VLOOKUP($A196,'DWV ABS'!$A$8:$M$116,11,FALSE),                                                                                                                                                                                                                                                     IF($A196&lt;'PVC SCH40'!$A$425,VLOOKUP($A196,'PVC SCH40'!$A$8:$M$424,7,FALSE),
IF($A196&lt;'PVC SCH40 LD'!$A$22,VLOOKUP($A196,'PVC SCH40 LD'!$A$8:$M$21,7,FALSE),
IF($A196&lt;'Pool &amp; SPA Sweep Elbows'!$A$12,VLOOKUP($A196,'Pool &amp; SPA Sweep Elbows'!$A$8:$M$11,7,FALSE),
IF($A196&lt;'Pool &amp; SPA Pipe Extender'!$A$11,VLOOKUP($A196,'Pool &amp; SPA Pipe Extender'!$A$8:$M$10,7,FALSE),
IF($A196&lt;'PVC SCH80'!$A$250,VLOOKUP($A196,'PVC SCH80'!$A$8:$M$249,7,FALSE),
IF($A196&lt;'PVC SCH80 Flange'!$A$49,VLOOKUP($A196,'PVC SCH80 Flange'!$A$8:$M$48,7,FALSE),
IF($A196&lt;'PVC SCH80 LD Flange'!$A$17,VLOOKUP($A196,'PVC SCH80 LD Flange'!$A$8:$M$16,7,FALSE),
IF($A196&lt;CPVC!$A$105,VLOOKUP($A196,CPVC!$A$9:$M$104,7,FALSE),
IF($A196&lt;InsertFittings!$A$185,VLOOKUP($A196,InsertFittings!$A$9:$M$184,7,FALSE),
IF($A196&lt;Valves!$A$92,VLOOKUP($A196,Valves!$A$9:$Q$91,11,FALSE),
IF($A196&lt;SDR35SW!$A$133,VLOOKUP($A196,SDR35SW!$A$9:$M$132,7,FALSE),
IF($A196&lt;SDR35G!$A$151,VLOOKUP($A196,SDR35G!$A$9:$M$150,7,FALSE),                                                                                                                                                                                                                                                       IF($A196&lt;SDR26G!$A$67,VLOOKUP($A196,SDR26G!$A$9:$N$66,8,FALSE),                                                                                                                                                                                                                                                     IF($A196&lt;Cements!$A$95,VLOOKUP($A196,Cements!$A$8:$Q$94,11,FALSE),
IF($A196&lt;ValveBox!$A$124,VLOOKUP($A196,ValveBox!$A$9:$O$123,10,FALSE),
IF($A196&lt;'ValveBox Components'!$A$142,VLOOKUP($A196,'ValveBox Components'!$A$9:$N$141,9,FALSE),
IF($A196&lt;Drainage!$A$69,VLOOKUP($A196,Drainage!$A$8:$M$68,7,FALSE),                                                                                                                                                                                                                                                          IF($A196&lt;Nipples!$A$82,VLOOKUP($A196,Nipples!$A$9:$Q$81,11,FALSE),
IF($A196&lt;Manifold!$A$33,VLOOKUP($A196,Manifold!$A$9:$M$32,7,FALSE),
IF($A196&lt;FlexibleRepairCouplings!$A$12,VLOOKUP($A196,FlexibleRepairCouplings!$A$9:$M$11,7,FALSE),
IF($A196&lt;DuraFix!$A$15,VLOOKUP($A196,DuraFix!$A$9:$M$14,7,FALSE),                                                                                                                                                                                                                                                           IF($A196&lt;'Compression Fittings'!$A$16,VLOOKUP($A196,'Compression Fittings'!$A$8:$M$15,7,FALSE),
IF($A196&lt;'Hose Fittings'!$A$30,VLOOKUP($A196,'Hose Fittings'!$A$8:$M$29,7,FALSE),
IF($A196&lt;'Swing Joints'!$A$495,VLOOKUP($A196,'Swing Joints'!$A$9:$M$494,7,FALSE),
IF($A196&lt;'Swing Joints Components'!$A$135,VLOOKUP($A196,'Swing Joints Components'!$A$9:$M$134,7,FALSE),
IF($A196&lt;Nonstandard!$A$42,VLOOKUP($A196,Nonstandard!$A$31:$J$41,10,FALSE),"")))))))))))))))))))))))))))),"")</f>
        <v/>
      </c>
      <c r="I196" s="621"/>
      <c r="J196" s="541" t="str">
        <f t="shared" si="5"/>
        <v/>
      </c>
      <c r="K196" s="599" t="str">
        <f>IFERROR(IF($A196&lt;'DWV PVC'!$A$317,VLOOKUP($A196,'DWV PVC'!$A$9:$M$316,10,FALSE),
IF($A196&lt;'DWV ABS'!$A$117,VLOOKUP($A196,'DWV ABS'!$A$8:$M$116,10,FALSE),
IF($A196&lt;'PVC SCH40'!$A$425,VLOOKUP($A196,'PVC SCH40'!$A$8:$M$424,10,FALSE),
IF($A196&lt;'PVC SCH40 LD'!$A$22,VLOOKUP($A196,'PVC SCH40 LD'!$A$8:$M$21,10,FALSE),
IF($A196&lt;'Pool &amp; SPA Sweep Elbows'!$A$12,VLOOKUP($A196,'Pool &amp; SPA Sweep Elbows'!$A$8:$M$11,10,FALSE),
IF($A196&lt;'Pool &amp; SPA Pipe Extender'!$A$11,VLOOKUP($A196,'Pool &amp; SPA Pipe Extender'!$A$8:$M$10,10,FALSE),
IF($A196&lt;'PVC SCH80'!$A$250,VLOOKUP($A196,'PVC SCH80'!$A$8:$M$249,10,FALSE),
IF($A196&lt;'PVC SCH80 Flange'!$A$49,VLOOKUP($A196,'PVC SCH80 Flange'!$A$8:$M$48,10,FALSE),
IF($A196&lt;'PVC SCH80 LD Flange'!$A$17,VLOOKUP($A196,'PVC SCH80 LD Flange'!$A$8:$M$16,10,FALSE),
IF($A196&lt;CPVC!$A$105,VLOOKUP($A196,CPVC!$A$9:$M$104,10,FALSE),
IF($A196&lt;InsertFittings!$A$185,VLOOKUP($A196,InsertFittings!$A$9:$M$184,10,FALSE),
IF($A196&lt;Valves!$A$92,VLOOKUP($A196,Valves!$A$9:$Q$91,14,FALSE),
IF($A196&lt;SDR35SW!$A$133,VLOOKUP($A196,SDR35SW!$A$9:$M$132,10,FALSE),
IF($A196&lt;SDR35G!$A$151,VLOOKUP($A196,SDR35G!$A$9:$M$150,10,FALSE),
IF($A196&lt;SDR26G!$A$67,VLOOKUP($A196,SDR26G!$A$9:$N$66,11,FALSE),
IF($A196&lt;Cements!$A$95,VLOOKUP($A196,Cements!$A$8:$Q$94,14,FALSE),
IF($A196&lt;ValveBox!$A$124,VLOOKUP($A196,ValveBox!$A$9:$O$123,12,FALSE),
IF($A196&lt;'ValveBox Components'!$A$142,VLOOKUP($A196,'ValveBox Components'!$A$9:$N$141,11,FALSE),
IF($A196&lt;Drainage!$A$69,VLOOKUP($A196,Drainage!$A$8:$M$68,10,FALSE),
IF($A196&lt;Nipples!$A$82,VLOOKUP($A196,Nipples!$A$9:$Q$81,14,FALSE),
IF($A196&lt;Manifold!$A$33,VLOOKUP($A196,Manifold!$A$9:$M$32,10,FALSE),
IF($A196&lt;FlexibleRepairCouplings!$A$12,VLOOKUP($A196,FlexibleRepairCouplings!$A$9:$M$11,10,FALSE),
IF($A196&lt;DuraFix!$A$15,VLOOKUP($A196,DuraFix!$A$9:$M$14,10,FALSE),
IF($A196&lt;'Compression Fittings'!$A$16,VLOOKUP($A196,'Compression Fittings'!$A$8:$M$15,10,FALSE),
IF($A196&lt;'Hose Fittings'!$A$30,VLOOKUP($A196,'Hose Fittings'!$A$8:$M$29,10,FALSE),
IF($A196&lt;'Swing Joints'!$A$495,VLOOKUP($A196,'Swing Joints'!$A$9:$M$494,10,FALSE),
IF($A196&lt;'Swing Joints Components'!$A$135,VLOOKUP($A196,'Swing Joints Components'!$A$9:$M$134,10,FALSE),
IF($A196&lt;Nonstandard!$A$42,VLOOKUP($A196,Nonstandard!$A$31:$J$41,10,FALSE),"")))))))))))))))))))))))))))),"")</f>
        <v/>
      </c>
      <c r="L196" s="539" t="str">
        <f t="shared" si="4"/>
        <v>-</v>
      </c>
      <c r="M196" s="542"/>
    </row>
    <row r="197" spans="1:13" ht="15.6">
      <c r="A197" s="312">
        <v>165</v>
      </c>
      <c r="B197" s="312" t="str">
        <f>IFERROR(IF($A197&lt;'DWV PVC'!$A$317,VLOOKUP($A197,'DWV PVC'!$A$9:$M$316,4,FALSE),
IF($A197&lt;'DWV ABS'!$A$117,VLOOKUP($A197,'DWV ABS'!$A$8:$M$116,4,FALSE),
IF($A197&lt;'PVC SCH40'!$A$425,VLOOKUP($A197,'PVC SCH40'!$A$8:$M$424,4,FALSE),
IF($A197&lt;'PVC SCH40 LD'!$A$22,VLOOKUP($A197,'PVC SCH40 LD'!$A$8:$M$21,4,FALSE),
IF($A197&lt;'Pool &amp; SPA Sweep Elbows'!$A$12,VLOOKUP($A197,'Pool &amp; SPA Sweep Elbows'!$A$8:$M$11,4,FALSE),
IF($A197&lt;'Pool &amp; SPA Pipe Extender'!$A$11,VLOOKUP($A197,'Pool &amp; SPA Pipe Extender'!$A$8:$M$10,4,FALSE),
IF($A197&lt;'PVC SCH80'!$A$250,VLOOKUP($A197,'PVC SCH80'!$A$8:$M$249,4,FALSE),
IF($A197&lt;'PVC SCH80 Flange'!$A$49,VLOOKUP($A197,'PVC SCH80 Flange'!$A$8:$M$48,4,FALSE),
IF($A197&lt;'PVC SCH80 LD Flange'!$A$17,VLOOKUP($A197,'PVC SCH80 LD Flange'!$A$8:$M$16,4,FALSE),
IF($A197&lt;CPVC!$A$105,VLOOKUP($A197,CPVC!$A$9:$M$104,4,FALSE),
IF($A197&lt;InsertFittings!$A$185,VLOOKUP($A197,InsertFittings!$A$9:$M$184,4,FALSE),
IF($A197&lt;Valves!$A$92,VLOOKUP($A197,Valves!$A$9:$Q$91,4,FALSE),
IF($A197&lt;SDR35SW!$A$133,VLOOKUP($A197,SDR35SW!$A$9:$M$132,4,FALSE),
IF($A197&lt;SDR35G!$A$151,VLOOKUP($A197,SDR35G!$A$9:$M$150,4,FALSE),
IF($A197&lt;SDR26G!$A$67,VLOOKUP($A197,SDR26G!$A$9:$N$66,5,FALSE),
IF($A197&lt;Cements!$A$95,VLOOKUP($A197,Cements!$A$8:$Q$94,4,FALSE),
IF($A197&lt;ValveBox!$A$124,VLOOKUP($A197,ValveBox!$A$9:$O$123,4,FALSE),
IF($A197&lt;'ValveBox Components'!$A$142,VLOOKUP($A197,'ValveBox Components'!$A$9:$N$141,4,FALSE),
IF($A197&lt;Drainage!$A$69,VLOOKUP($A197,Drainage!$A$8:$M$68,4,FALSE),
IF($A197&lt;Nipples!$A$82,VLOOKUP($A197,Nipples!$A$9:$Q$81,4,FALSE),
IF($A197&lt;Manifold!$A$33,VLOOKUP($A197,Manifold!$A$9:$M$32,4,FALSE),
IF($A197&lt;FlexibleRepairCouplings!$A$12,VLOOKUP($A197,FlexibleRepairCouplings!$A$9:$M$11,4,FALSE),
IF($A197&lt;DuraFix!$A$15,VLOOKUP($A197,DuraFix!$A$9:$M$14,4,FALSE),
IF($A197&lt;'Compression Fittings'!$A$16,VLOOKUP($A197,'Compression Fittings'!$A$8:$M$15,4,FALSE),
IF($A197&lt;'Hose Fittings'!$A$30,VLOOKUP($A197,'Hose Fittings'!$A$8:$M$29,4,FALSE),
IF($A197&lt;'Swing Joints'!$A$495,VLOOKUP($A197,'Swing Joints'!$A$9:$M$494,4,FALSE),
IF($A197&lt;'Swing Joints Components'!$A$135,VLOOKUP($A197,'Swing Joints Components'!$A$9:$M$134,4,FALSE),
IF($A197&lt;Nonstandard!$A$42,VLOOKUP($A197,Nonstandard!$A$31:$J$41,5,FALSE),"")))))))))))))))))))))))))))),"")</f>
        <v/>
      </c>
      <c r="C197" s="312" t="str">
        <f>IFERROR(IF($A197&lt;'DWV PVC'!$A$317,VLOOKUP($A197,'DWV PVC'!$A$9:$M$316,5,FALSE),
IF($A197&lt;'DWV ABS'!$A$117,VLOOKUP($A197,'DWV ABS'!$A$8:$M$116,5,FALSE),
IF($A197&lt;'PVC SCH40'!$A$425,VLOOKUP($A197,'PVC SCH40'!$A$8:$M$424,5,FALSE),
IF($A197&lt;'PVC SCH40 LD'!$A$22,VLOOKUP($A197,'PVC SCH40 LD'!$A$8:$M$21,5,FALSE),
IF($A197&lt;'Pool &amp; SPA Sweep Elbows'!$A$12,VLOOKUP($A197,'Pool &amp; SPA Sweep Elbows'!$A$8:$M$11,5,FALSE),
IF($A197&lt;'Pool &amp; SPA Pipe Extender'!$A$11,VLOOKUP($A197,'Pool &amp; SPA Pipe Extender'!$A$8:$M$10,5,FALSE),
IF($A197&lt;'PVC SCH80'!$A$250,VLOOKUP($A197,'PVC SCH80'!$A$8:$M$249,5,FALSE),
IF($A197&lt;'PVC SCH80 Flange'!$A$49,VLOOKUP($A197,'PVC SCH80 Flange'!$A$8:$M$48,5,FALSE),
IF($A197&lt;'PVC SCH80 LD Flange'!$A$17,VLOOKUP($A197,'PVC SCH80 LD Flange'!$A$8:$M$16,5,FALSE),
IF($A197&lt;CPVC!$A$105,VLOOKUP($A197,CPVC!$A$9:$M$104,5,FALSE),
IF($A197&lt;InsertFittings!$A$185,VLOOKUP($A197,InsertFittings!$A$9:$M$184,5,FALSE),
IF($A197&lt;Valves!$A$92,VLOOKUP($A197,Valves!$A$9:$Q$91,5,FALSE),
IF($A197&lt;SDR35SW!$A$133,VLOOKUP($A197,SDR35SW!$A$9:$M$132,5,FALSE),
IF($A197&lt;SDR35G!$A$151,VLOOKUP($A197,SDR35G!$A$9:$M$150,5,FALSE),
IF($A197&lt;SDR26G!$A$67,VLOOKUP($A197,SDR26G!$A$9:$N$66,6,FALSE),
IF($A197&lt;Cements!$A$95,VLOOKUP($A197,Cements!$A$8:$Q$94,5,FALSE),
IF($A197&lt;ValveBox!$A$124,VLOOKUP($A197,ValveBox!$A$9:$O$123,5,FALSE),
IF($A197&lt;'ValveBox Components'!$A$142,VLOOKUP($A197,'ValveBox Components'!$A$9:$N$141,5,FALSE),
IF($A197&lt;Drainage!$A$69,VLOOKUP($A197,Drainage!$A$8:$M$68,5,FALSE),
IF($A197&lt;Nipples!$A$82,VLOOKUP($A197,Nipples!$A$9:$Q$81,5,FALSE),
IF($A197&lt;Manifold!$A$33,VLOOKUP($A197,Manifold!$A$9:$M$32,5,FALSE),
IF($A197&lt;FlexibleRepairCouplings!$A$12,VLOOKUP($A197,FlexibleRepairCouplings!$A$9:$M$11,5,FALSE),
IF($A197&lt;DuraFix!$A$15,VLOOKUP($A197,DuraFix!$A$9:$M$14,5,FALSE),
IF($A197&lt;'Compression Fittings'!$A$16,VLOOKUP($A197,'Compression Fittings'!$A$8:$M$15,5,FALSE),
IF($A197&lt;'Hose Fittings'!$A$30,VLOOKUP($A197,'Hose Fittings'!$A$8:$M$29,5,FALSE),
IF($A197&lt;'Swing Joints'!$A$495,VLOOKUP($A197,'Swing Joints'!$A$9:$M$494,5,FALSE),
IF($A197&lt;'Swing Joints Components'!$A$135,VLOOKUP($A197,'Swing Joints Components'!$A$9:$M$134,5,FALSE),
IF($A197&lt;Nonstandard!$A$42,VLOOKUP($A197,Nonstandard!$A$31:$J$41,6,FALSE),"")))))))))))))))))))))))))))),"")</f>
        <v/>
      </c>
      <c r="D197" s="534" t="str">
        <f>IFERROR(IF($A197&lt;'DWV PVC'!$A$317,VLOOKUP($A197,'DWV PVC'!$A$9:$M$316,6,FALSE),
IF($A197&lt;'DWV ABS'!$A$117,VLOOKUP($A197,'DWV ABS'!$A$8:$M$116,6,FALSE),
IF($A197&lt;'PVC SCH40'!$A$425,VLOOKUP($A197,'PVC SCH40'!$A$8:$M$424,6,FALSE),
IF($A197&lt;'PVC SCH40 LD'!$A$22,VLOOKUP($A197,'PVC SCH40 LD'!$A$8:$M$21,6,FALSE),
IF($A197&lt;'Pool &amp; SPA Sweep Elbows'!$A$12,VLOOKUP($A197,'Pool &amp; SPA Sweep Elbows'!$A$8:$M$11,6,FALSE),
IF($A197&lt;'Pool &amp; SPA Pipe Extender'!$A$11,VLOOKUP($A197,'Pool &amp; SPA Pipe Extender'!$A$8:$M$10,6,FALSE),
IF($A197&lt;'PVC SCH80'!$A$250,VLOOKUP($A197,'PVC SCH80'!$A$8:$M$249,6,FALSE),
IF($A197&lt;'PVC SCH80 Flange'!$A$49,VLOOKUP($A197,'PVC SCH80 Flange'!$A$8:$M$48,6,FALSE),
IF($A197&lt;'PVC SCH80 LD Flange'!$A$17,VLOOKUP($A197,'PVC SCH80 LD Flange'!$A$8:$M$16,6,FALSE),
IF($A197&lt;CPVC!$A$105,VLOOKUP($A197,CPVC!$A$9:$M$104,6,FALSE),
IF($A197&lt;InsertFittings!$A$185,VLOOKUP($A197,InsertFittings!$A$9:$M$184,6,FALSE),
IF($A197&lt;Valves!$A$92,VLOOKUP($A197,Valves!$A$9:$Q$91,6,FALSE),
IF($A197&lt;SDR35SW!$A$133,VLOOKUP($A197,SDR35SW!$A$9:$M$132,6,FALSE),
IF($A197&lt;SDR35G!$A$151,VLOOKUP($A197,SDR35G!$A$9:$M$150,6,FALSE),
IF($A197&lt;SDR26G!$A$67,VLOOKUP($A197,SDR26G!$A$9:$N$66,7,FALSE),
IF($A197&lt;Cements!$A$95,VLOOKUP($A197,Cements!$A$8:$Q$94,6,FALSE),
IF($A197&lt;ValveBox!$A$124,VLOOKUP($A197,ValveBox!$A$9:$O$123,6,FALSE),
IF($A197&lt;'ValveBox Components'!$A$142,VLOOKUP($A197,'ValveBox Components'!$A$9:$N$141,6,FALSE),
IF($A197&lt;Drainage!$A$69,VLOOKUP($A197,Drainage!$A$8:$M$68,6,FALSE),
IF($A197&lt;Nipples!$A$82,VLOOKUP($A197,Nipples!$A$9:$Q$81,6,FALSE),
IF($A197&lt;Manifold!$A$33,VLOOKUP($A197,Manifold!$A$9:$M$32,6,FALSE),
IF($A197&lt;FlexibleRepairCouplings!$A$12,VLOOKUP($A197,FlexibleRepairCouplings!$A$9:$M$11,6,FALSE),
IF($A197&lt;DuraFix!$A$15,VLOOKUP($A197,DuraFix!$A$9:$M$14,6,FALSE),
IF($A197&lt;'Compression Fittings'!$A$16,VLOOKUP($A197,'Compression Fittings'!$A$8:$M$15,6,FALSE),
IF($A197&lt;'Hose Fittings'!$A$30,VLOOKUP($A197,'Hose Fittings'!$A$8:$M$29,6,FALSE),
IF($A197&lt;'Swing Joints'!$A$495,VLOOKUP($A197,'Swing Joints'!$A$9:$M$494,6,FALSE),
IF($A197&lt;'Swing Joints Components'!$A$135,VLOOKUP($A197,'Swing Joints Components'!$A$9:$M$134,6,FALSE),
IF($A197&lt;Nonstandard!$A$42,VLOOKUP($A197,Nonstandard!$A$31:$J$41,7,FALSE),"")))))))))))))))))))))))))))),"")</f>
        <v/>
      </c>
      <c r="E197" s="316"/>
      <c r="F197" s="314" t="str">
        <f>IFERROR(IF($A197&lt;'DWV PVC'!$A$317,VLOOKUP($A197,'DWV PVC'!$A$9:$M$316,9,FALSE),
IF($A197&lt;'DWV ABS'!$A$117,VLOOKUP($A197,'DWV ABS'!$A$8:$M$116,9,FALSE),                                                                                                                                                                                                                                                     IF($A197&lt;'PVC SCH40'!$A$425,VLOOKUP($A197,'PVC SCH40'!$A$8:$M$424,9,FALSE),
IF($A197&lt;'PVC SCH40 LD'!$A$22,VLOOKUP($A197,'PVC SCH40 LD'!$A$8:$M$21,9,FALSE),
IF($A197&lt;'Pool &amp; SPA Sweep Elbows'!$A$12,VLOOKUP($A197,'Pool &amp; SPA Sweep Elbows'!$A$8:$M$11,9,FALSE),
IF($A197&lt;'Pool &amp; SPA Pipe Extender'!$A$11,VLOOKUP($A197,'Pool &amp; SPA Pipe Extender'!$A$8:$M$10,9,FALSE),
IF($A197&lt;'PVC SCH80'!$A$250,VLOOKUP($A197,'PVC SCH80'!$A$8:$M$249,9,FALSE),
IF($A197&lt;'PVC SCH80 Flange'!$A$49,VLOOKUP($A197,'PVC SCH80 Flange'!$A$8:$M$48,9,FALSE),
IF($A197&lt;'PVC SCH80 LD Flange'!$A$17,VLOOKUP($A197,'PVC SCH80 LD Flange'!$A$8:$M$16,9,FALSE),
IF($A197&lt;CPVC!$A$105,VLOOKUP($A197,CPVC!$A$9:$M$104,9,FALSE),
IF($A197&lt;InsertFittings!$A$185,VLOOKUP($A197,InsertFittings!$A$9:$M$184,9,FALSE),
IF($A197&lt;Valves!$A$92,VLOOKUP($A197,Valves!$A$9:$Q$91,13,FALSE),
IF($A197&lt;SDR35SW!$A$133,VLOOKUP($A197,SDR35SW!$A$9:$M$132,9,FALSE),
IF($A197&lt;SDR35G!$A$151,VLOOKUP($A197,SDR35G!$A$9:$M$150,9,FALSE),                                                                                                                                                                                                                                                          IF($A197&lt;SDR26G!$A$67,VLOOKUP($A197,SDR26G!$A$9:$N$66,10,FALSE),                                                                                                                                                                                                                                                       IF($A197&lt;Cements!$A$95,VLOOKUP($A197,Cements!$A$8:$Q$94,13,FALSE),
IF($A197&lt;ValveBox!$A$124,VLOOKUP($A197,ValveBox!$A$9:$O$123,11,FALSE),
IF($A197&lt;'ValveBox Components'!$A$142,VLOOKUP($A197,'ValveBox Components'!$A$9:$N$141,10,FALSE),
IF($A197&lt;Drainage!$A$69,VLOOKUP($A197,Drainage!$A$8:$M$68,9,FALSE),                                                                                                                                                                                                                                                              IF($A197&lt;Nipples!$A$82,VLOOKUP($A197,Nipples!$A$9:$Q$81,13,FALSE),
IF($A197&lt;Manifold!$A$33,VLOOKUP($A197,Manifold!$A$9:$M$32,9,FALSE),
IF($A197&lt;FlexibleRepairCouplings!$A$12,VLOOKUP($A197,FlexibleRepairCouplings!$A$9:$M$11,9,FALSE),
IF($A197&lt;DuraFix!$A$15,VLOOKUP($A197,DuraFix!$A$9:$M$14,9,FALSE),                                                                                                                                                                                                                                                          IF($A197&lt;'Compression Fittings'!$A$16,VLOOKUP($A197,'Compression Fittings'!$A$8:$M$15,9,FALSE),
IF($A197&lt;'Hose Fittings'!$A$30,VLOOKUP($A197,'Hose Fittings'!$A$8:$M$29,9,FALSE),
IF($A197&lt;'Swing Joints'!$A$495,VLOOKUP($A197,'Swing Joints'!$A$9:$M$494,9,FALSE),
IF($A197&lt;'Swing Joints Components'!$A$135,VLOOKUP($A197,'Swing Joints Components'!$A$9:$M$134,9,FALSE),
IF($A197&lt;Nonstandard!$A$42,VLOOKUP($A197,Nonstandard!$A$31:$J$41,8,FALSE),"")))))))))))))))))))))))))))),"")</f>
        <v/>
      </c>
      <c r="G197" s="533" t="str">
        <f>IFERROR(IF($A197&lt;'DWV PVC'!$A$317,VLOOKUP($A197,'DWV PVC'!$A$9:$M$316,11,FALSE),
IF($A197&lt;'DWV ABS'!$A$117,VLOOKUP($A197,'DWV ABS'!$A$8:$M$116,11,FALSE),                                                                                                                                                                                                                                                     IF($A197&lt;'PVC SCH40'!$A$425,VLOOKUP($A197,'PVC SCH40'!$A$8:$M$424,11,FALSE),
IF($A197&lt;'PVC SCH40 LD'!$A$22,VLOOKUP($A197,'PVC SCH40 LD'!$A$8:$M$21,11,FALSE),
IF($A197&lt;'Pool &amp; SPA Sweep Elbows'!$A$12,VLOOKUP($A197,'Pool &amp; SPA Sweep Elbows'!$A$8:$M$11,11,FALSE),
IF($A197&lt;'Pool &amp; SPA Pipe Extender'!$A$11,VLOOKUP($A197,'Pool &amp; SPA Pipe Extender'!$A$8:$M$10,11,FALSE),
IF($A197&lt;'PVC SCH80'!$A$250,VLOOKUP($A197,'PVC SCH80'!$A$8:$M$249,11,FALSE),
IF($A197&lt;'PVC SCH80 Flange'!$A$49,VLOOKUP($A197,'PVC SCH80 Flange'!$A$8:$M$48,11,FALSE),
IF($A197&lt;'PVC SCH80 LD Flange'!$A$17,VLOOKUP($A197,'PVC SCH80 LD Flange'!$A$8:$M$16,11,FALSE),
IF($A197&lt;CPVC!$A$105,VLOOKUP($A197,CPVC!$A$9:$M$104,11,FALSE),
IF($A197&lt;InsertFittings!$A$185,VLOOKUP($A197,InsertFittings!$A$9:$M$184,11,FALSE),
IF($A197&lt;Valves!$A$92,VLOOKUP($A197,Valves!$A$9:$Q$91,15,FALSE),
IF($A197&lt;SDR35SW!$A$133,VLOOKUP($A197,SDR35SW!$A$9:$M$132,11,FALSE),
IF($A197&lt;SDR35G!$A$151,VLOOKUP($A197,SDR35G!$A$9:$M$150,11,FALSE),                                                                                                                                                                                                                                                          IF($A197&lt;SDR26G!$A$67,VLOOKUP($A197,SDR26G!$A$9:$N$66,12,FALSE),                                                                                                                                                                                                                                                       IF($A197&lt;Cements!$A$95,VLOOKUP($A197,Cements!$A$8:$Q$94,15,FALSE),
IF($A197&lt;ValveBox!$A$124,VLOOKUP($A197,ValveBox!$A$9:$O$123,13,FALSE),
IF($A197&lt;'ValveBox Components'!$A$142,VLOOKUP($A197,'ValveBox Components'!$A$9:$N$141,12,FALSE),
IF($A197&lt;Drainage!$A$69,VLOOKUP($A197,Drainage!$A$8:$M$68,11,FALSE),                                                                                                                                                                                                                                                           IF($A197&lt;Nipples!$A$82,VLOOKUP($A197,Nipples!$A$9:$Q$81,15,FALSE),
IF($A197&lt;Manifold!$A$33,VLOOKUP($A197,Manifold!$A$9:$M$32,11,FALSE),
IF($A197&lt;FlexibleRepairCouplings!$A$12,VLOOKUP($A197,FlexibleRepairCouplings!$A$9:$M$11,11,FALSE),
IF($A197&lt;DuraFix!$A$15,VLOOKUP($A197,DuraFix!$A$9:$M$14,11,FALSE),                                                                                                                                                                                                                                                            IF($A197&lt;'Compression Fittings'!$A$16,VLOOKUP($A197,'Compression Fittings'!$A$8:$M$15,11,FALSE),
IF($A197&lt;'Hose Fittings'!$A$30,VLOOKUP($A197,'Hose Fittings'!$A$8:$M$29,11,FALSE),
IF($A197&lt;'Swing Joints'!$A$495,VLOOKUP($A197,'Swing Joints'!$A$9:$M$494,11,FALSE),
IF($A197&lt;'Swing Joints Components'!$A$135,VLOOKUP($A197,'Swing Joints Components'!$A$9:$M$134,11,FALSE),
IF($A197&lt;Nonstandard!$A$42,VLOOKUP($A197,Nonstandard!$A$31:$J$41,10,FALSE),"")))))))))))))))))))))))))))),"")</f>
        <v/>
      </c>
      <c r="H197" s="618" t="str">
        <f>IFERROR(IF($A197&lt;'DWV PVC'!$A$317,VLOOKUP($A197,'DWV PVC'!$A$9:$M$316,7,FALSE),
IF($A197&lt;'DWV ABS'!$A$117,VLOOKUP($A197,'DWV ABS'!$A$8:$M$116,11,FALSE),                                                                                                                                                                                                                                                     IF($A197&lt;'PVC SCH40'!$A$425,VLOOKUP($A197,'PVC SCH40'!$A$8:$M$424,7,FALSE),
IF($A197&lt;'PVC SCH40 LD'!$A$22,VLOOKUP($A197,'PVC SCH40 LD'!$A$8:$M$21,7,FALSE),
IF($A197&lt;'Pool &amp; SPA Sweep Elbows'!$A$12,VLOOKUP($A197,'Pool &amp; SPA Sweep Elbows'!$A$8:$M$11,7,FALSE),
IF($A197&lt;'Pool &amp; SPA Pipe Extender'!$A$11,VLOOKUP($A197,'Pool &amp; SPA Pipe Extender'!$A$8:$M$10,7,FALSE),
IF($A197&lt;'PVC SCH80'!$A$250,VLOOKUP($A197,'PVC SCH80'!$A$8:$M$249,7,FALSE),
IF($A197&lt;'PVC SCH80 Flange'!$A$49,VLOOKUP($A197,'PVC SCH80 Flange'!$A$8:$M$48,7,FALSE),
IF($A197&lt;'PVC SCH80 LD Flange'!$A$17,VLOOKUP($A197,'PVC SCH80 LD Flange'!$A$8:$M$16,7,FALSE),
IF($A197&lt;CPVC!$A$105,VLOOKUP($A197,CPVC!$A$9:$M$104,7,FALSE),
IF($A197&lt;InsertFittings!$A$185,VLOOKUP($A197,InsertFittings!$A$9:$M$184,7,FALSE),
IF($A197&lt;Valves!$A$92,VLOOKUP($A197,Valves!$A$9:$Q$91,11,FALSE),
IF($A197&lt;SDR35SW!$A$133,VLOOKUP($A197,SDR35SW!$A$9:$M$132,7,FALSE),
IF($A197&lt;SDR35G!$A$151,VLOOKUP($A197,SDR35G!$A$9:$M$150,7,FALSE),                                                                                                                                                                                                                                                       IF($A197&lt;SDR26G!$A$67,VLOOKUP($A197,SDR26G!$A$9:$N$66,8,FALSE),                                                                                                                                                                                                                                                     IF($A197&lt;Cements!$A$95,VLOOKUP($A197,Cements!$A$8:$Q$94,11,FALSE),
IF($A197&lt;ValveBox!$A$124,VLOOKUP($A197,ValveBox!$A$9:$O$123,10,FALSE),
IF($A197&lt;'ValveBox Components'!$A$142,VLOOKUP($A197,'ValveBox Components'!$A$9:$N$141,9,FALSE),
IF($A197&lt;Drainage!$A$69,VLOOKUP($A197,Drainage!$A$8:$M$68,7,FALSE),                                                                                                                                                                                                                                                          IF($A197&lt;Nipples!$A$82,VLOOKUP($A197,Nipples!$A$9:$Q$81,11,FALSE),
IF($A197&lt;Manifold!$A$33,VLOOKUP($A197,Manifold!$A$9:$M$32,7,FALSE),
IF($A197&lt;FlexibleRepairCouplings!$A$12,VLOOKUP($A197,FlexibleRepairCouplings!$A$9:$M$11,7,FALSE),
IF($A197&lt;DuraFix!$A$15,VLOOKUP($A197,DuraFix!$A$9:$M$14,7,FALSE),                                                                                                                                                                                                                                                           IF($A197&lt;'Compression Fittings'!$A$16,VLOOKUP($A197,'Compression Fittings'!$A$8:$M$15,7,FALSE),
IF($A197&lt;'Hose Fittings'!$A$30,VLOOKUP($A197,'Hose Fittings'!$A$8:$M$29,7,FALSE),
IF($A197&lt;'Swing Joints'!$A$495,VLOOKUP($A197,'Swing Joints'!$A$9:$M$494,7,FALSE),
IF($A197&lt;'Swing Joints Components'!$A$135,VLOOKUP($A197,'Swing Joints Components'!$A$9:$M$134,7,FALSE),
IF($A197&lt;Nonstandard!$A$42,VLOOKUP($A197,Nonstandard!$A$31:$J$41,10,FALSE),"")))))))))))))))))))))))))))),"")</f>
        <v/>
      </c>
      <c r="I197" s="619"/>
      <c r="J197" s="281" t="str">
        <f t="shared" si="5"/>
        <v/>
      </c>
      <c r="K197" s="313" t="str">
        <f>IFERROR(IF($A197&lt;'DWV PVC'!$A$317,VLOOKUP($A197,'DWV PVC'!$A$9:$M$316,10,FALSE),
IF($A197&lt;'DWV ABS'!$A$117,VLOOKUP($A197,'DWV ABS'!$A$8:$M$116,10,FALSE),
IF($A197&lt;'PVC SCH40'!$A$425,VLOOKUP($A197,'PVC SCH40'!$A$8:$M$424,10,FALSE),
IF($A197&lt;'PVC SCH40 LD'!$A$22,VLOOKUP($A197,'PVC SCH40 LD'!$A$8:$M$21,10,FALSE),
IF($A197&lt;'Pool &amp; SPA Sweep Elbows'!$A$12,VLOOKUP($A197,'Pool &amp; SPA Sweep Elbows'!$A$8:$M$11,10,FALSE),
IF($A197&lt;'Pool &amp; SPA Pipe Extender'!$A$11,VLOOKUP($A197,'Pool &amp; SPA Pipe Extender'!$A$8:$M$10,10,FALSE),
IF($A197&lt;'PVC SCH80'!$A$250,VLOOKUP($A197,'PVC SCH80'!$A$8:$M$249,10,FALSE),
IF($A197&lt;'PVC SCH80 Flange'!$A$49,VLOOKUP($A197,'PVC SCH80 Flange'!$A$8:$M$48,10,FALSE),
IF($A197&lt;'PVC SCH80 LD Flange'!$A$17,VLOOKUP($A197,'PVC SCH80 LD Flange'!$A$8:$M$16,10,FALSE),
IF($A197&lt;CPVC!$A$105,VLOOKUP($A197,CPVC!$A$9:$M$104,10,FALSE),
IF($A197&lt;InsertFittings!$A$185,VLOOKUP($A197,InsertFittings!$A$9:$M$184,10,FALSE),
IF($A197&lt;Valves!$A$92,VLOOKUP($A197,Valves!$A$9:$Q$91,14,FALSE),
IF($A197&lt;SDR35SW!$A$133,VLOOKUP($A197,SDR35SW!$A$9:$M$132,10,FALSE),
IF($A197&lt;SDR35G!$A$151,VLOOKUP($A197,SDR35G!$A$9:$M$150,10,FALSE),
IF($A197&lt;SDR26G!$A$67,VLOOKUP($A197,SDR26G!$A$9:$N$66,11,FALSE),
IF($A197&lt;Cements!$A$95,VLOOKUP($A197,Cements!$A$8:$Q$94,14,FALSE),
IF($A197&lt;ValveBox!$A$124,VLOOKUP($A197,ValveBox!$A$9:$O$123,12,FALSE),
IF($A197&lt;'ValveBox Components'!$A$142,VLOOKUP($A197,'ValveBox Components'!$A$9:$N$141,11,FALSE),
IF($A197&lt;Drainage!$A$69,VLOOKUP($A197,Drainage!$A$8:$M$68,10,FALSE),
IF($A197&lt;Nipples!$A$82,VLOOKUP($A197,Nipples!$A$9:$Q$81,14,FALSE),
IF($A197&lt;Manifold!$A$33,VLOOKUP($A197,Manifold!$A$9:$M$32,10,FALSE),
IF($A197&lt;FlexibleRepairCouplings!$A$12,VLOOKUP($A197,FlexibleRepairCouplings!$A$9:$M$11,10,FALSE),
IF($A197&lt;DuraFix!$A$15,VLOOKUP($A197,DuraFix!$A$9:$M$14,10,FALSE),
IF($A197&lt;'Compression Fittings'!$A$16,VLOOKUP($A197,'Compression Fittings'!$A$8:$M$15,10,FALSE),
IF($A197&lt;'Hose Fittings'!$A$30,VLOOKUP($A197,'Hose Fittings'!$A$8:$M$29,10,FALSE),
IF($A197&lt;'Swing Joints'!$A$495,VLOOKUP($A197,'Swing Joints'!$A$9:$M$494,10,FALSE),
IF($A197&lt;'Swing Joints Components'!$A$135,VLOOKUP($A197,'Swing Joints Components'!$A$9:$M$134,10,FALSE),
IF($A197&lt;Nonstandard!$A$42,VLOOKUP($A197,Nonstandard!$A$31:$J$41,10,FALSE),"")))))))))))))))))))))))))))),"")</f>
        <v/>
      </c>
      <c r="L197" s="314" t="str">
        <f t="shared" si="4"/>
        <v>-</v>
      </c>
      <c r="M197" s="315"/>
    </row>
    <row r="198" spans="1:13" ht="15.6">
      <c r="A198" s="536">
        <v>166</v>
      </c>
      <c r="B198" s="536" t="str">
        <f>IFERROR(IF($A198&lt;'DWV PVC'!$A$317,VLOOKUP($A198,'DWV PVC'!$A$9:$M$316,4,FALSE),
IF($A198&lt;'DWV ABS'!$A$117,VLOOKUP($A198,'DWV ABS'!$A$8:$M$116,4,FALSE),
IF($A198&lt;'PVC SCH40'!$A$425,VLOOKUP($A198,'PVC SCH40'!$A$8:$M$424,4,FALSE),
IF($A198&lt;'PVC SCH40 LD'!$A$22,VLOOKUP($A198,'PVC SCH40 LD'!$A$8:$M$21,4,FALSE),
IF($A198&lt;'Pool &amp; SPA Sweep Elbows'!$A$12,VLOOKUP($A198,'Pool &amp; SPA Sweep Elbows'!$A$8:$M$11,4,FALSE),
IF($A198&lt;'Pool &amp; SPA Pipe Extender'!$A$11,VLOOKUP($A198,'Pool &amp; SPA Pipe Extender'!$A$8:$M$10,4,FALSE),
IF($A198&lt;'PVC SCH80'!$A$250,VLOOKUP($A198,'PVC SCH80'!$A$8:$M$249,4,FALSE),
IF($A198&lt;'PVC SCH80 Flange'!$A$49,VLOOKUP($A198,'PVC SCH80 Flange'!$A$8:$M$48,4,FALSE),
IF($A198&lt;'PVC SCH80 LD Flange'!$A$17,VLOOKUP($A198,'PVC SCH80 LD Flange'!$A$8:$M$16,4,FALSE),
IF($A198&lt;CPVC!$A$105,VLOOKUP($A198,CPVC!$A$9:$M$104,4,FALSE),
IF($A198&lt;InsertFittings!$A$185,VLOOKUP($A198,InsertFittings!$A$9:$M$184,4,FALSE),
IF($A198&lt;Valves!$A$92,VLOOKUP($A198,Valves!$A$9:$Q$91,4,FALSE),
IF($A198&lt;SDR35SW!$A$133,VLOOKUP($A198,SDR35SW!$A$9:$M$132,4,FALSE),
IF($A198&lt;SDR35G!$A$151,VLOOKUP($A198,SDR35G!$A$9:$M$150,4,FALSE),
IF($A198&lt;SDR26G!$A$67,VLOOKUP($A198,SDR26G!$A$9:$N$66,5,FALSE),
IF($A198&lt;Cements!$A$95,VLOOKUP($A198,Cements!$A$8:$Q$94,4,FALSE),
IF($A198&lt;ValveBox!$A$124,VLOOKUP($A198,ValveBox!$A$9:$O$123,4,FALSE),
IF($A198&lt;'ValveBox Components'!$A$142,VLOOKUP($A198,'ValveBox Components'!$A$9:$N$141,4,FALSE),
IF($A198&lt;Drainage!$A$69,VLOOKUP($A198,Drainage!$A$8:$M$68,4,FALSE),
IF($A198&lt;Nipples!$A$82,VLOOKUP($A198,Nipples!$A$9:$Q$81,4,FALSE),
IF($A198&lt;Manifold!$A$33,VLOOKUP($A198,Manifold!$A$9:$M$32,4,FALSE),
IF($A198&lt;FlexibleRepairCouplings!$A$12,VLOOKUP($A198,FlexibleRepairCouplings!$A$9:$M$11,4,FALSE),
IF($A198&lt;DuraFix!$A$15,VLOOKUP($A198,DuraFix!$A$9:$M$14,4,FALSE),
IF($A198&lt;'Compression Fittings'!$A$16,VLOOKUP($A198,'Compression Fittings'!$A$8:$M$15,4,FALSE),
IF($A198&lt;'Hose Fittings'!$A$30,VLOOKUP($A198,'Hose Fittings'!$A$8:$M$29,4,FALSE),
IF($A198&lt;'Swing Joints'!$A$495,VLOOKUP($A198,'Swing Joints'!$A$9:$M$494,4,FALSE),
IF($A198&lt;'Swing Joints Components'!$A$135,VLOOKUP($A198,'Swing Joints Components'!$A$9:$M$134,4,FALSE),
IF($A198&lt;Nonstandard!$A$42,VLOOKUP($A198,Nonstandard!$A$31:$J$41,5,FALSE),"")))))))))))))))))))))))))))),"")</f>
        <v/>
      </c>
      <c r="C198" s="536" t="str">
        <f>IFERROR(IF($A198&lt;'DWV PVC'!$A$317,VLOOKUP($A198,'DWV PVC'!$A$9:$M$316,5,FALSE),
IF($A198&lt;'DWV ABS'!$A$117,VLOOKUP($A198,'DWV ABS'!$A$8:$M$116,5,FALSE),
IF($A198&lt;'PVC SCH40'!$A$425,VLOOKUP($A198,'PVC SCH40'!$A$8:$M$424,5,FALSE),
IF($A198&lt;'PVC SCH40 LD'!$A$22,VLOOKUP($A198,'PVC SCH40 LD'!$A$8:$M$21,5,FALSE),
IF($A198&lt;'Pool &amp; SPA Sweep Elbows'!$A$12,VLOOKUP($A198,'Pool &amp; SPA Sweep Elbows'!$A$8:$M$11,5,FALSE),
IF($A198&lt;'Pool &amp; SPA Pipe Extender'!$A$11,VLOOKUP($A198,'Pool &amp; SPA Pipe Extender'!$A$8:$M$10,5,FALSE),
IF($A198&lt;'PVC SCH80'!$A$250,VLOOKUP($A198,'PVC SCH80'!$A$8:$M$249,5,FALSE),
IF($A198&lt;'PVC SCH80 Flange'!$A$49,VLOOKUP($A198,'PVC SCH80 Flange'!$A$8:$M$48,5,FALSE),
IF($A198&lt;'PVC SCH80 LD Flange'!$A$17,VLOOKUP($A198,'PVC SCH80 LD Flange'!$A$8:$M$16,5,FALSE),
IF($A198&lt;CPVC!$A$105,VLOOKUP($A198,CPVC!$A$9:$M$104,5,FALSE),
IF($A198&lt;InsertFittings!$A$185,VLOOKUP($A198,InsertFittings!$A$9:$M$184,5,FALSE),
IF($A198&lt;Valves!$A$92,VLOOKUP($A198,Valves!$A$9:$Q$91,5,FALSE),
IF($A198&lt;SDR35SW!$A$133,VLOOKUP($A198,SDR35SW!$A$9:$M$132,5,FALSE),
IF($A198&lt;SDR35G!$A$151,VLOOKUP($A198,SDR35G!$A$9:$M$150,5,FALSE),
IF($A198&lt;SDR26G!$A$67,VLOOKUP($A198,SDR26G!$A$9:$N$66,6,FALSE),
IF($A198&lt;Cements!$A$95,VLOOKUP($A198,Cements!$A$8:$Q$94,5,FALSE),
IF($A198&lt;ValveBox!$A$124,VLOOKUP($A198,ValveBox!$A$9:$O$123,5,FALSE),
IF($A198&lt;'ValveBox Components'!$A$142,VLOOKUP($A198,'ValveBox Components'!$A$9:$N$141,5,FALSE),
IF($A198&lt;Drainage!$A$69,VLOOKUP($A198,Drainage!$A$8:$M$68,5,FALSE),
IF($A198&lt;Nipples!$A$82,VLOOKUP($A198,Nipples!$A$9:$Q$81,5,FALSE),
IF($A198&lt;Manifold!$A$33,VLOOKUP($A198,Manifold!$A$9:$M$32,5,FALSE),
IF($A198&lt;FlexibleRepairCouplings!$A$12,VLOOKUP($A198,FlexibleRepairCouplings!$A$9:$M$11,5,FALSE),
IF($A198&lt;DuraFix!$A$15,VLOOKUP($A198,DuraFix!$A$9:$M$14,5,FALSE),
IF($A198&lt;'Compression Fittings'!$A$16,VLOOKUP($A198,'Compression Fittings'!$A$8:$M$15,5,FALSE),
IF($A198&lt;'Hose Fittings'!$A$30,VLOOKUP($A198,'Hose Fittings'!$A$8:$M$29,5,FALSE),
IF($A198&lt;'Swing Joints'!$A$495,VLOOKUP($A198,'Swing Joints'!$A$9:$M$494,5,FALSE),
IF($A198&lt;'Swing Joints Components'!$A$135,VLOOKUP($A198,'Swing Joints Components'!$A$9:$M$134,5,FALSE),
IF($A198&lt;Nonstandard!$A$42,VLOOKUP($A198,Nonstandard!$A$31:$J$41,6,FALSE),"")))))))))))))))))))))))))))),"")</f>
        <v/>
      </c>
      <c r="D198" s="537" t="str">
        <f>IFERROR(IF($A198&lt;'DWV PVC'!$A$317,VLOOKUP($A198,'DWV PVC'!$A$9:$M$316,6,FALSE),
IF($A198&lt;'DWV ABS'!$A$117,VLOOKUP($A198,'DWV ABS'!$A$8:$M$116,6,FALSE),
IF($A198&lt;'PVC SCH40'!$A$425,VLOOKUP($A198,'PVC SCH40'!$A$8:$M$424,6,FALSE),
IF($A198&lt;'PVC SCH40 LD'!$A$22,VLOOKUP($A198,'PVC SCH40 LD'!$A$8:$M$21,6,FALSE),
IF($A198&lt;'Pool &amp; SPA Sweep Elbows'!$A$12,VLOOKUP($A198,'Pool &amp; SPA Sweep Elbows'!$A$8:$M$11,6,FALSE),
IF($A198&lt;'Pool &amp; SPA Pipe Extender'!$A$11,VLOOKUP($A198,'Pool &amp; SPA Pipe Extender'!$A$8:$M$10,6,FALSE),
IF($A198&lt;'PVC SCH80'!$A$250,VLOOKUP($A198,'PVC SCH80'!$A$8:$M$249,6,FALSE),
IF($A198&lt;'PVC SCH80 Flange'!$A$49,VLOOKUP($A198,'PVC SCH80 Flange'!$A$8:$M$48,6,FALSE),
IF($A198&lt;'PVC SCH80 LD Flange'!$A$17,VLOOKUP($A198,'PVC SCH80 LD Flange'!$A$8:$M$16,6,FALSE),
IF($A198&lt;CPVC!$A$105,VLOOKUP($A198,CPVC!$A$9:$M$104,6,FALSE),
IF($A198&lt;InsertFittings!$A$185,VLOOKUP($A198,InsertFittings!$A$9:$M$184,6,FALSE),
IF($A198&lt;Valves!$A$92,VLOOKUP($A198,Valves!$A$9:$Q$91,6,FALSE),
IF($A198&lt;SDR35SW!$A$133,VLOOKUP($A198,SDR35SW!$A$9:$M$132,6,FALSE),
IF($A198&lt;SDR35G!$A$151,VLOOKUP($A198,SDR35G!$A$9:$M$150,6,FALSE),
IF($A198&lt;SDR26G!$A$67,VLOOKUP($A198,SDR26G!$A$9:$N$66,7,FALSE),
IF($A198&lt;Cements!$A$95,VLOOKUP($A198,Cements!$A$8:$Q$94,6,FALSE),
IF($A198&lt;ValveBox!$A$124,VLOOKUP($A198,ValveBox!$A$9:$O$123,6,FALSE),
IF($A198&lt;'ValveBox Components'!$A$142,VLOOKUP($A198,'ValveBox Components'!$A$9:$N$141,6,FALSE),
IF($A198&lt;Drainage!$A$69,VLOOKUP($A198,Drainage!$A$8:$M$68,6,FALSE),
IF($A198&lt;Nipples!$A$82,VLOOKUP($A198,Nipples!$A$9:$Q$81,6,FALSE),
IF($A198&lt;Manifold!$A$33,VLOOKUP($A198,Manifold!$A$9:$M$32,6,FALSE),
IF($A198&lt;FlexibleRepairCouplings!$A$12,VLOOKUP($A198,FlexibleRepairCouplings!$A$9:$M$11,6,FALSE),
IF($A198&lt;DuraFix!$A$15,VLOOKUP($A198,DuraFix!$A$9:$M$14,6,FALSE),
IF($A198&lt;'Compression Fittings'!$A$16,VLOOKUP($A198,'Compression Fittings'!$A$8:$M$15,6,FALSE),
IF($A198&lt;'Hose Fittings'!$A$30,VLOOKUP($A198,'Hose Fittings'!$A$8:$M$29,6,FALSE),
IF($A198&lt;'Swing Joints'!$A$495,VLOOKUP($A198,'Swing Joints'!$A$9:$M$494,6,FALSE),
IF($A198&lt;'Swing Joints Components'!$A$135,VLOOKUP($A198,'Swing Joints Components'!$A$9:$M$134,6,FALSE),
IF($A198&lt;Nonstandard!$A$42,VLOOKUP($A198,Nonstandard!$A$31:$J$41,7,FALSE),"")))))))))))))))))))))))))))),"")</f>
        <v/>
      </c>
      <c r="E198" s="538"/>
      <c r="F198" s="539" t="str">
        <f>IFERROR(IF($A198&lt;'DWV PVC'!$A$317,VLOOKUP($A198,'DWV PVC'!$A$9:$M$316,9,FALSE),
IF($A198&lt;'DWV ABS'!$A$117,VLOOKUP($A198,'DWV ABS'!$A$8:$M$116,9,FALSE),                                                                                                                                                                                                                                                     IF($A198&lt;'PVC SCH40'!$A$425,VLOOKUP($A198,'PVC SCH40'!$A$8:$M$424,9,FALSE),
IF($A198&lt;'PVC SCH40 LD'!$A$22,VLOOKUP($A198,'PVC SCH40 LD'!$A$8:$M$21,9,FALSE),
IF($A198&lt;'Pool &amp; SPA Sweep Elbows'!$A$12,VLOOKUP($A198,'Pool &amp; SPA Sweep Elbows'!$A$8:$M$11,9,FALSE),
IF($A198&lt;'Pool &amp; SPA Pipe Extender'!$A$11,VLOOKUP($A198,'Pool &amp; SPA Pipe Extender'!$A$8:$M$10,9,FALSE),
IF($A198&lt;'PVC SCH80'!$A$250,VLOOKUP($A198,'PVC SCH80'!$A$8:$M$249,9,FALSE),
IF($A198&lt;'PVC SCH80 Flange'!$A$49,VLOOKUP($A198,'PVC SCH80 Flange'!$A$8:$M$48,9,FALSE),
IF($A198&lt;'PVC SCH80 LD Flange'!$A$17,VLOOKUP($A198,'PVC SCH80 LD Flange'!$A$8:$M$16,9,FALSE),
IF($A198&lt;CPVC!$A$105,VLOOKUP($A198,CPVC!$A$9:$M$104,9,FALSE),
IF($A198&lt;InsertFittings!$A$185,VLOOKUP($A198,InsertFittings!$A$9:$M$184,9,FALSE),
IF($A198&lt;Valves!$A$92,VLOOKUP($A198,Valves!$A$9:$Q$91,13,FALSE),
IF($A198&lt;SDR35SW!$A$133,VLOOKUP($A198,SDR35SW!$A$9:$M$132,9,FALSE),
IF($A198&lt;SDR35G!$A$151,VLOOKUP($A198,SDR35G!$A$9:$M$150,9,FALSE),                                                                                                                                                                                                                                                          IF($A198&lt;SDR26G!$A$67,VLOOKUP($A198,SDR26G!$A$9:$N$66,10,FALSE),                                                                                                                                                                                                                                                       IF($A198&lt;Cements!$A$95,VLOOKUP($A198,Cements!$A$8:$Q$94,13,FALSE),
IF($A198&lt;ValveBox!$A$124,VLOOKUP($A198,ValveBox!$A$9:$O$123,11,FALSE),
IF($A198&lt;'ValveBox Components'!$A$142,VLOOKUP($A198,'ValveBox Components'!$A$9:$N$141,10,FALSE),
IF($A198&lt;Drainage!$A$69,VLOOKUP($A198,Drainage!$A$8:$M$68,9,FALSE),                                                                                                                                                                                                                                                              IF($A198&lt;Nipples!$A$82,VLOOKUP($A198,Nipples!$A$9:$Q$81,13,FALSE),
IF($A198&lt;Manifold!$A$33,VLOOKUP($A198,Manifold!$A$9:$M$32,9,FALSE),
IF($A198&lt;FlexibleRepairCouplings!$A$12,VLOOKUP($A198,FlexibleRepairCouplings!$A$9:$M$11,9,FALSE),
IF($A198&lt;DuraFix!$A$15,VLOOKUP($A198,DuraFix!$A$9:$M$14,9,FALSE),                                                                                                                                                                                                                                                          IF($A198&lt;'Compression Fittings'!$A$16,VLOOKUP($A198,'Compression Fittings'!$A$8:$M$15,9,FALSE),
IF($A198&lt;'Hose Fittings'!$A$30,VLOOKUP($A198,'Hose Fittings'!$A$8:$M$29,9,FALSE),
IF($A198&lt;'Swing Joints'!$A$495,VLOOKUP($A198,'Swing Joints'!$A$9:$M$494,9,FALSE),
IF($A198&lt;'Swing Joints Components'!$A$135,VLOOKUP($A198,'Swing Joints Components'!$A$9:$M$134,9,FALSE),
IF($A198&lt;Nonstandard!$A$42,VLOOKUP($A198,Nonstandard!$A$31:$J$41,8,FALSE),"")))))))))))))))))))))))))))),"")</f>
        <v/>
      </c>
      <c r="G198" s="540" t="str">
        <f>IFERROR(IF($A198&lt;'DWV PVC'!$A$317,VLOOKUP($A198,'DWV PVC'!$A$9:$M$316,11,FALSE),
IF($A198&lt;'DWV ABS'!$A$117,VLOOKUP($A198,'DWV ABS'!$A$8:$M$116,11,FALSE),                                                                                                                                                                                                                                                     IF($A198&lt;'PVC SCH40'!$A$425,VLOOKUP($A198,'PVC SCH40'!$A$8:$M$424,11,FALSE),
IF($A198&lt;'PVC SCH40 LD'!$A$22,VLOOKUP($A198,'PVC SCH40 LD'!$A$8:$M$21,11,FALSE),
IF($A198&lt;'Pool &amp; SPA Sweep Elbows'!$A$12,VLOOKUP($A198,'Pool &amp; SPA Sweep Elbows'!$A$8:$M$11,11,FALSE),
IF($A198&lt;'Pool &amp; SPA Pipe Extender'!$A$11,VLOOKUP($A198,'Pool &amp; SPA Pipe Extender'!$A$8:$M$10,11,FALSE),
IF($A198&lt;'PVC SCH80'!$A$250,VLOOKUP($A198,'PVC SCH80'!$A$8:$M$249,11,FALSE),
IF($A198&lt;'PVC SCH80 Flange'!$A$49,VLOOKUP($A198,'PVC SCH80 Flange'!$A$8:$M$48,11,FALSE),
IF($A198&lt;'PVC SCH80 LD Flange'!$A$17,VLOOKUP($A198,'PVC SCH80 LD Flange'!$A$8:$M$16,11,FALSE),
IF($A198&lt;CPVC!$A$105,VLOOKUP($A198,CPVC!$A$9:$M$104,11,FALSE),
IF($A198&lt;InsertFittings!$A$185,VLOOKUP($A198,InsertFittings!$A$9:$M$184,11,FALSE),
IF($A198&lt;Valves!$A$92,VLOOKUP($A198,Valves!$A$9:$Q$91,15,FALSE),
IF($A198&lt;SDR35SW!$A$133,VLOOKUP($A198,SDR35SW!$A$9:$M$132,11,FALSE),
IF($A198&lt;SDR35G!$A$151,VLOOKUP($A198,SDR35G!$A$9:$M$150,11,FALSE),                                                                                                                                                                                                                                                          IF($A198&lt;SDR26G!$A$67,VLOOKUP($A198,SDR26G!$A$9:$N$66,12,FALSE),                                                                                                                                                                                                                                                       IF($A198&lt;Cements!$A$95,VLOOKUP($A198,Cements!$A$8:$Q$94,15,FALSE),
IF($A198&lt;ValveBox!$A$124,VLOOKUP($A198,ValveBox!$A$9:$O$123,13,FALSE),
IF($A198&lt;'ValveBox Components'!$A$142,VLOOKUP($A198,'ValveBox Components'!$A$9:$N$141,12,FALSE),
IF($A198&lt;Drainage!$A$69,VLOOKUP($A198,Drainage!$A$8:$M$68,11,FALSE),                                                                                                                                                                                                                                                           IF($A198&lt;Nipples!$A$82,VLOOKUP($A198,Nipples!$A$9:$Q$81,15,FALSE),
IF($A198&lt;Manifold!$A$33,VLOOKUP($A198,Manifold!$A$9:$M$32,11,FALSE),
IF($A198&lt;FlexibleRepairCouplings!$A$12,VLOOKUP($A198,FlexibleRepairCouplings!$A$9:$M$11,11,FALSE),
IF($A198&lt;DuraFix!$A$15,VLOOKUP($A198,DuraFix!$A$9:$M$14,11,FALSE),                                                                                                                                                                                                                                                            IF($A198&lt;'Compression Fittings'!$A$16,VLOOKUP($A198,'Compression Fittings'!$A$8:$M$15,11,FALSE),
IF($A198&lt;'Hose Fittings'!$A$30,VLOOKUP($A198,'Hose Fittings'!$A$8:$M$29,11,FALSE),
IF($A198&lt;'Swing Joints'!$A$495,VLOOKUP($A198,'Swing Joints'!$A$9:$M$494,11,FALSE),
IF($A198&lt;'Swing Joints Components'!$A$135,VLOOKUP($A198,'Swing Joints Components'!$A$9:$M$134,11,FALSE),
IF($A198&lt;Nonstandard!$A$42,VLOOKUP($A198,Nonstandard!$A$31:$J$41,10,FALSE),"")))))))))))))))))))))))))))),"")</f>
        <v/>
      </c>
      <c r="H198" s="620" t="str">
        <f>IFERROR(IF($A198&lt;'DWV PVC'!$A$317,VLOOKUP($A198,'DWV PVC'!$A$9:$M$316,7,FALSE),
IF($A198&lt;'DWV ABS'!$A$117,VLOOKUP($A198,'DWV ABS'!$A$8:$M$116,11,FALSE),                                                                                                                                                                                                                                                     IF($A198&lt;'PVC SCH40'!$A$425,VLOOKUP($A198,'PVC SCH40'!$A$8:$M$424,7,FALSE),
IF($A198&lt;'PVC SCH40 LD'!$A$22,VLOOKUP($A198,'PVC SCH40 LD'!$A$8:$M$21,7,FALSE),
IF($A198&lt;'Pool &amp; SPA Sweep Elbows'!$A$12,VLOOKUP($A198,'Pool &amp; SPA Sweep Elbows'!$A$8:$M$11,7,FALSE),
IF($A198&lt;'Pool &amp; SPA Pipe Extender'!$A$11,VLOOKUP($A198,'Pool &amp; SPA Pipe Extender'!$A$8:$M$10,7,FALSE),
IF($A198&lt;'PVC SCH80'!$A$250,VLOOKUP($A198,'PVC SCH80'!$A$8:$M$249,7,FALSE),
IF($A198&lt;'PVC SCH80 Flange'!$A$49,VLOOKUP($A198,'PVC SCH80 Flange'!$A$8:$M$48,7,FALSE),
IF($A198&lt;'PVC SCH80 LD Flange'!$A$17,VLOOKUP($A198,'PVC SCH80 LD Flange'!$A$8:$M$16,7,FALSE),
IF($A198&lt;CPVC!$A$105,VLOOKUP($A198,CPVC!$A$9:$M$104,7,FALSE),
IF($A198&lt;InsertFittings!$A$185,VLOOKUP($A198,InsertFittings!$A$9:$M$184,7,FALSE),
IF($A198&lt;Valves!$A$92,VLOOKUP($A198,Valves!$A$9:$Q$91,11,FALSE),
IF($A198&lt;SDR35SW!$A$133,VLOOKUP($A198,SDR35SW!$A$9:$M$132,7,FALSE),
IF($A198&lt;SDR35G!$A$151,VLOOKUP($A198,SDR35G!$A$9:$M$150,7,FALSE),                                                                                                                                                                                                                                                       IF($A198&lt;SDR26G!$A$67,VLOOKUP($A198,SDR26G!$A$9:$N$66,8,FALSE),                                                                                                                                                                                                                                                     IF($A198&lt;Cements!$A$95,VLOOKUP($A198,Cements!$A$8:$Q$94,11,FALSE),
IF($A198&lt;ValveBox!$A$124,VLOOKUP($A198,ValveBox!$A$9:$O$123,10,FALSE),
IF($A198&lt;'ValveBox Components'!$A$142,VLOOKUP($A198,'ValveBox Components'!$A$9:$N$141,9,FALSE),
IF($A198&lt;Drainage!$A$69,VLOOKUP($A198,Drainage!$A$8:$M$68,7,FALSE),                                                                                                                                                                                                                                                          IF($A198&lt;Nipples!$A$82,VLOOKUP($A198,Nipples!$A$9:$Q$81,11,FALSE),
IF($A198&lt;Manifold!$A$33,VLOOKUP($A198,Manifold!$A$9:$M$32,7,FALSE),
IF($A198&lt;FlexibleRepairCouplings!$A$12,VLOOKUP($A198,FlexibleRepairCouplings!$A$9:$M$11,7,FALSE),
IF($A198&lt;DuraFix!$A$15,VLOOKUP($A198,DuraFix!$A$9:$M$14,7,FALSE),                                                                                                                                                                                                                                                           IF($A198&lt;'Compression Fittings'!$A$16,VLOOKUP($A198,'Compression Fittings'!$A$8:$M$15,7,FALSE),
IF($A198&lt;'Hose Fittings'!$A$30,VLOOKUP($A198,'Hose Fittings'!$A$8:$M$29,7,FALSE),
IF($A198&lt;'Swing Joints'!$A$495,VLOOKUP($A198,'Swing Joints'!$A$9:$M$494,7,FALSE),
IF($A198&lt;'Swing Joints Components'!$A$135,VLOOKUP($A198,'Swing Joints Components'!$A$9:$M$134,7,FALSE),
IF($A198&lt;Nonstandard!$A$42,VLOOKUP($A198,Nonstandard!$A$31:$J$41,10,FALSE),"")))))))))))))))))))))))))))),"")</f>
        <v/>
      </c>
      <c r="I198" s="621"/>
      <c r="J198" s="541" t="str">
        <f t="shared" si="5"/>
        <v/>
      </c>
      <c r="K198" s="599" t="str">
        <f>IFERROR(IF($A198&lt;'DWV PVC'!$A$317,VLOOKUP($A198,'DWV PVC'!$A$9:$M$316,10,FALSE),
IF($A198&lt;'DWV ABS'!$A$117,VLOOKUP($A198,'DWV ABS'!$A$8:$M$116,10,FALSE),
IF($A198&lt;'PVC SCH40'!$A$425,VLOOKUP($A198,'PVC SCH40'!$A$8:$M$424,10,FALSE),
IF($A198&lt;'PVC SCH40 LD'!$A$22,VLOOKUP($A198,'PVC SCH40 LD'!$A$8:$M$21,10,FALSE),
IF($A198&lt;'Pool &amp; SPA Sweep Elbows'!$A$12,VLOOKUP($A198,'Pool &amp; SPA Sweep Elbows'!$A$8:$M$11,10,FALSE),
IF($A198&lt;'Pool &amp; SPA Pipe Extender'!$A$11,VLOOKUP($A198,'Pool &amp; SPA Pipe Extender'!$A$8:$M$10,10,FALSE),
IF($A198&lt;'PVC SCH80'!$A$250,VLOOKUP($A198,'PVC SCH80'!$A$8:$M$249,10,FALSE),
IF($A198&lt;'PVC SCH80 Flange'!$A$49,VLOOKUP($A198,'PVC SCH80 Flange'!$A$8:$M$48,10,FALSE),
IF($A198&lt;'PVC SCH80 LD Flange'!$A$17,VLOOKUP($A198,'PVC SCH80 LD Flange'!$A$8:$M$16,10,FALSE),
IF($A198&lt;CPVC!$A$105,VLOOKUP($A198,CPVC!$A$9:$M$104,10,FALSE),
IF($A198&lt;InsertFittings!$A$185,VLOOKUP($A198,InsertFittings!$A$9:$M$184,10,FALSE),
IF($A198&lt;Valves!$A$92,VLOOKUP($A198,Valves!$A$9:$Q$91,14,FALSE),
IF($A198&lt;SDR35SW!$A$133,VLOOKUP($A198,SDR35SW!$A$9:$M$132,10,FALSE),
IF($A198&lt;SDR35G!$A$151,VLOOKUP($A198,SDR35G!$A$9:$M$150,10,FALSE),
IF($A198&lt;SDR26G!$A$67,VLOOKUP($A198,SDR26G!$A$9:$N$66,11,FALSE),
IF($A198&lt;Cements!$A$95,VLOOKUP($A198,Cements!$A$8:$Q$94,14,FALSE),
IF($A198&lt;ValveBox!$A$124,VLOOKUP($A198,ValveBox!$A$9:$O$123,12,FALSE),
IF($A198&lt;'ValveBox Components'!$A$142,VLOOKUP($A198,'ValveBox Components'!$A$9:$N$141,11,FALSE),
IF($A198&lt;Drainage!$A$69,VLOOKUP($A198,Drainage!$A$8:$M$68,10,FALSE),
IF($A198&lt;Nipples!$A$82,VLOOKUP($A198,Nipples!$A$9:$Q$81,14,FALSE),
IF($A198&lt;Manifold!$A$33,VLOOKUP($A198,Manifold!$A$9:$M$32,10,FALSE),
IF($A198&lt;FlexibleRepairCouplings!$A$12,VLOOKUP($A198,FlexibleRepairCouplings!$A$9:$M$11,10,FALSE),
IF($A198&lt;DuraFix!$A$15,VLOOKUP($A198,DuraFix!$A$9:$M$14,10,FALSE),
IF($A198&lt;'Compression Fittings'!$A$16,VLOOKUP($A198,'Compression Fittings'!$A$8:$M$15,10,FALSE),
IF($A198&lt;'Hose Fittings'!$A$30,VLOOKUP($A198,'Hose Fittings'!$A$8:$M$29,10,FALSE),
IF($A198&lt;'Swing Joints'!$A$495,VLOOKUP($A198,'Swing Joints'!$A$9:$M$494,10,FALSE),
IF($A198&lt;'Swing Joints Components'!$A$135,VLOOKUP($A198,'Swing Joints Components'!$A$9:$M$134,10,FALSE),
IF($A198&lt;Nonstandard!$A$42,VLOOKUP($A198,Nonstandard!$A$31:$J$41,10,FALSE),"")))))))))))))))))))))))))))),"")</f>
        <v/>
      </c>
      <c r="L198" s="539" t="str">
        <f t="shared" si="4"/>
        <v>-</v>
      </c>
      <c r="M198" s="542"/>
    </row>
    <row r="199" spans="1:13" ht="15.6">
      <c r="A199" s="312">
        <v>167</v>
      </c>
      <c r="B199" s="312" t="str">
        <f>IFERROR(IF($A199&lt;'DWV PVC'!$A$317,VLOOKUP($A199,'DWV PVC'!$A$9:$M$316,4,FALSE),
IF($A199&lt;'DWV ABS'!$A$117,VLOOKUP($A199,'DWV ABS'!$A$8:$M$116,4,FALSE),
IF($A199&lt;'PVC SCH40'!$A$425,VLOOKUP($A199,'PVC SCH40'!$A$8:$M$424,4,FALSE),
IF($A199&lt;'PVC SCH40 LD'!$A$22,VLOOKUP($A199,'PVC SCH40 LD'!$A$8:$M$21,4,FALSE),
IF($A199&lt;'Pool &amp; SPA Sweep Elbows'!$A$12,VLOOKUP($A199,'Pool &amp; SPA Sweep Elbows'!$A$8:$M$11,4,FALSE),
IF($A199&lt;'Pool &amp; SPA Pipe Extender'!$A$11,VLOOKUP($A199,'Pool &amp; SPA Pipe Extender'!$A$8:$M$10,4,FALSE),
IF($A199&lt;'PVC SCH80'!$A$250,VLOOKUP($A199,'PVC SCH80'!$A$8:$M$249,4,FALSE),
IF($A199&lt;'PVC SCH80 Flange'!$A$49,VLOOKUP($A199,'PVC SCH80 Flange'!$A$8:$M$48,4,FALSE),
IF($A199&lt;'PVC SCH80 LD Flange'!$A$17,VLOOKUP($A199,'PVC SCH80 LD Flange'!$A$8:$M$16,4,FALSE),
IF($A199&lt;CPVC!$A$105,VLOOKUP($A199,CPVC!$A$9:$M$104,4,FALSE),
IF($A199&lt;InsertFittings!$A$185,VLOOKUP($A199,InsertFittings!$A$9:$M$184,4,FALSE),
IF($A199&lt;Valves!$A$92,VLOOKUP($A199,Valves!$A$9:$Q$91,4,FALSE),
IF($A199&lt;SDR35SW!$A$133,VLOOKUP($A199,SDR35SW!$A$9:$M$132,4,FALSE),
IF($A199&lt;SDR35G!$A$151,VLOOKUP($A199,SDR35G!$A$9:$M$150,4,FALSE),
IF($A199&lt;SDR26G!$A$67,VLOOKUP($A199,SDR26G!$A$9:$N$66,5,FALSE),
IF($A199&lt;Cements!$A$95,VLOOKUP($A199,Cements!$A$8:$Q$94,4,FALSE),
IF($A199&lt;ValveBox!$A$124,VLOOKUP($A199,ValveBox!$A$9:$O$123,4,FALSE),
IF($A199&lt;'ValveBox Components'!$A$142,VLOOKUP($A199,'ValveBox Components'!$A$9:$N$141,4,FALSE),
IF($A199&lt;Drainage!$A$69,VLOOKUP($A199,Drainage!$A$8:$M$68,4,FALSE),
IF($A199&lt;Nipples!$A$82,VLOOKUP($A199,Nipples!$A$9:$Q$81,4,FALSE),
IF($A199&lt;Manifold!$A$33,VLOOKUP($A199,Manifold!$A$9:$M$32,4,FALSE),
IF($A199&lt;FlexibleRepairCouplings!$A$12,VLOOKUP($A199,FlexibleRepairCouplings!$A$9:$M$11,4,FALSE),
IF($A199&lt;DuraFix!$A$15,VLOOKUP($A199,DuraFix!$A$9:$M$14,4,FALSE),
IF($A199&lt;'Compression Fittings'!$A$16,VLOOKUP($A199,'Compression Fittings'!$A$8:$M$15,4,FALSE),
IF($A199&lt;'Hose Fittings'!$A$30,VLOOKUP($A199,'Hose Fittings'!$A$8:$M$29,4,FALSE),
IF($A199&lt;'Swing Joints'!$A$495,VLOOKUP($A199,'Swing Joints'!$A$9:$M$494,4,FALSE),
IF($A199&lt;'Swing Joints Components'!$A$135,VLOOKUP($A199,'Swing Joints Components'!$A$9:$M$134,4,FALSE),
IF($A199&lt;Nonstandard!$A$42,VLOOKUP($A199,Nonstandard!$A$31:$J$41,5,FALSE),"")))))))))))))))))))))))))))),"")</f>
        <v/>
      </c>
      <c r="C199" s="312" t="str">
        <f>IFERROR(IF($A199&lt;'DWV PVC'!$A$317,VLOOKUP($A199,'DWV PVC'!$A$9:$M$316,5,FALSE),
IF($A199&lt;'DWV ABS'!$A$117,VLOOKUP($A199,'DWV ABS'!$A$8:$M$116,5,FALSE),
IF($A199&lt;'PVC SCH40'!$A$425,VLOOKUP($A199,'PVC SCH40'!$A$8:$M$424,5,FALSE),
IF($A199&lt;'PVC SCH40 LD'!$A$22,VLOOKUP($A199,'PVC SCH40 LD'!$A$8:$M$21,5,FALSE),
IF($A199&lt;'Pool &amp; SPA Sweep Elbows'!$A$12,VLOOKUP($A199,'Pool &amp; SPA Sweep Elbows'!$A$8:$M$11,5,FALSE),
IF($A199&lt;'Pool &amp; SPA Pipe Extender'!$A$11,VLOOKUP($A199,'Pool &amp; SPA Pipe Extender'!$A$8:$M$10,5,FALSE),
IF($A199&lt;'PVC SCH80'!$A$250,VLOOKUP($A199,'PVC SCH80'!$A$8:$M$249,5,FALSE),
IF($A199&lt;'PVC SCH80 Flange'!$A$49,VLOOKUP($A199,'PVC SCH80 Flange'!$A$8:$M$48,5,FALSE),
IF($A199&lt;'PVC SCH80 LD Flange'!$A$17,VLOOKUP($A199,'PVC SCH80 LD Flange'!$A$8:$M$16,5,FALSE),
IF($A199&lt;CPVC!$A$105,VLOOKUP($A199,CPVC!$A$9:$M$104,5,FALSE),
IF($A199&lt;InsertFittings!$A$185,VLOOKUP($A199,InsertFittings!$A$9:$M$184,5,FALSE),
IF($A199&lt;Valves!$A$92,VLOOKUP($A199,Valves!$A$9:$Q$91,5,FALSE),
IF($A199&lt;SDR35SW!$A$133,VLOOKUP($A199,SDR35SW!$A$9:$M$132,5,FALSE),
IF($A199&lt;SDR35G!$A$151,VLOOKUP($A199,SDR35G!$A$9:$M$150,5,FALSE),
IF($A199&lt;SDR26G!$A$67,VLOOKUP($A199,SDR26G!$A$9:$N$66,6,FALSE),
IF($A199&lt;Cements!$A$95,VLOOKUP($A199,Cements!$A$8:$Q$94,5,FALSE),
IF($A199&lt;ValveBox!$A$124,VLOOKUP($A199,ValveBox!$A$9:$O$123,5,FALSE),
IF($A199&lt;'ValveBox Components'!$A$142,VLOOKUP($A199,'ValveBox Components'!$A$9:$N$141,5,FALSE),
IF($A199&lt;Drainage!$A$69,VLOOKUP($A199,Drainage!$A$8:$M$68,5,FALSE),
IF($A199&lt;Nipples!$A$82,VLOOKUP($A199,Nipples!$A$9:$Q$81,5,FALSE),
IF($A199&lt;Manifold!$A$33,VLOOKUP($A199,Manifold!$A$9:$M$32,5,FALSE),
IF($A199&lt;FlexibleRepairCouplings!$A$12,VLOOKUP($A199,FlexibleRepairCouplings!$A$9:$M$11,5,FALSE),
IF($A199&lt;DuraFix!$A$15,VLOOKUP($A199,DuraFix!$A$9:$M$14,5,FALSE),
IF($A199&lt;'Compression Fittings'!$A$16,VLOOKUP($A199,'Compression Fittings'!$A$8:$M$15,5,FALSE),
IF($A199&lt;'Hose Fittings'!$A$30,VLOOKUP($A199,'Hose Fittings'!$A$8:$M$29,5,FALSE),
IF($A199&lt;'Swing Joints'!$A$495,VLOOKUP($A199,'Swing Joints'!$A$9:$M$494,5,FALSE),
IF($A199&lt;'Swing Joints Components'!$A$135,VLOOKUP($A199,'Swing Joints Components'!$A$9:$M$134,5,FALSE),
IF($A199&lt;Nonstandard!$A$42,VLOOKUP($A199,Nonstandard!$A$31:$J$41,6,FALSE),"")))))))))))))))))))))))))))),"")</f>
        <v/>
      </c>
      <c r="D199" s="534" t="str">
        <f>IFERROR(IF($A199&lt;'DWV PVC'!$A$317,VLOOKUP($A199,'DWV PVC'!$A$9:$M$316,6,FALSE),
IF($A199&lt;'DWV ABS'!$A$117,VLOOKUP($A199,'DWV ABS'!$A$8:$M$116,6,FALSE),
IF($A199&lt;'PVC SCH40'!$A$425,VLOOKUP($A199,'PVC SCH40'!$A$8:$M$424,6,FALSE),
IF($A199&lt;'PVC SCH40 LD'!$A$22,VLOOKUP($A199,'PVC SCH40 LD'!$A$8:$M$21,6,FALSE),
IF($A199&lt;'Pool &amp; SPA Sweep Elbows'!$A$12,VLOOKUP($A199,'Pool &amp; SPA Sweep Elbows'!$A$8:$M$11,6,FALSE),
IF($A199&lt;'Pool &amp; SPA Pipe Extender'!$A$11,VLOOKUP($A199,'Pool &amp; SPA Pipe Extender'!$A$8:$M$10,6,FALSE),
IF($A199&lt;'PVC SCH80'!$A$250,VLOOKUP($A199,'PVC SCH80'!$A$8:$M$249,6,FALSE),
IF($A199&lt;'PVC SCH80 Flange'!$A$49,VLOOKUP($A199,'PVC SCH80 Flange'!$A$8:$M$48,6,FALSE),
IF($A199&lt;'PVC SCH80 LD Flange'!$A$17,VLOOKUP($A199,'PVC SCH80 LD Flange'!$A$8:$M$16,6,FALSE),
IF($A199&lt;CPVC!$A$105,VLOOKUP($A199,CPVC!$A$9:$M$104,6,FALSE),
IF($A199&lt;InsertFittings!$A$185,VLOOKUP($A199,InsertFittings!$A$9:$M$184,6,FALSE),
IF($A199&lt;Valves!$A$92,VLOOKUP($A199,Valves!$A$9:$Q$91,6,FALSE),
IF($A199&lt;SDR35SW!$A$133,VLOOKUP($A199,SDR35SW!$A$9:$M$132,6,FALSE),
IF($A199&lt;SDR35G!$A$151,VLOOKUP($A199,SDR35G!$A$9:$M$150,6,FALSE),
IF($A199&lt;SDR26G!$A$67,VLOOKUP($A199,SDR26G!$A$9:$N$66,7,FALSE),
IF($A199&lt;Cements!$A$95,VLOOKUP($A199,Cements!$A$8:$Q$94,6,FALSE),
IF($A199&lt;ValveBox!$A$124,VLOOKUP($A199,ValveBox!$A$9:$O$123,6,FALSE),
IF($A199&lt;'ValveBox Components'!$A$142,VLOOKUP($A199,'ValveBox Components'!$A$9:$N$141,6,FALSE),
IF($A199&lt;Drainage!$A$69,VLOOKUP($A199,Drainage!$A$8:$M$68,6,FALSE),
IF($A199&lt;Nipples!$A$82,VLOOKUP($A199,Nipples!$A$9:$Q$81,6,FALSE),
IF($A199&lt;Manifold!$A$33,VLOOKUP($A199,Manifold!$A$9:$M$32,6,FALSE),
IF($A199&lt;FlexibleRepairCouplings!$A$12,VLOOKUP($A199,FlexibleRepairCouplings!$A$9:$M$11,6,FALSE),
IF($A199&lt;DuraFix!$A$15,VLOOKUP($A199,DuraFix!$A$9:$M$14,6,FALSE),
IF($A199&lt;'Compression Fittings'!$A$16,VLOOKUP($A199,'Compression Fittings'!$A$8:$M$15,6,FALSE),
IF($A199&lt;'Hose Fittings'!$A$30,VLOOKUP($A199,'Hose Fittings'!$A$8:$M$29,6,FALSE),
IF($A199&lt;'Swing Joints'!$A$495,VLOOKUP($A199,'Swing Joints'!$A$9:$M$494,6,FALSE),
IF($A199&lt;'Swing Joints Components'!$A$135,VLOOKUP($A199,'Swing Joints Components'!$A$9:$M$134,6,FALSE),
IF($A199&lt;Nonstandard!$A$42,VLOOKUP($A199,Nonstandard!$A$31:$J$41,7,FALSE),"")))))))))))))))))))))))))))),"")</f>
        <v/>
      </c>
      <c r="E199" s="316"/>
      <c r="F199" s="314" t="str">
        <f>IFERROR(IF($A199&lt;'DWV PVC'!$A$317,VLOOKUP($A199,'DWV PVC'!$A$9:$M$316,9,FALSE),
IF($A199&lt;'DWV ABS'!$A$117,VLOOKUP($A199,'DWV ABS'!$A$8:$M$116,9,FALSE),                                                                                                                                                                                                                                                     IF($A199&lt;'PVC SCH40'!$A$425,VLOOKUP($A199,'PVC SCH40'!$A$8:$M$424,9,FALSE),
IF($A199&lt;'PVC SCH40 LD'!$A$22,VLOOKUP($A199,'PVC SCH40 LD'!$A$8:$M$21,9,FALSE),
IF($A199&lt;'Pool &amp; SPA Sweep Elbows'!$A$12,VLOOKUP($A199,'Pool &amp; SPA Sweep Elbows'!$A$8:$M$11,9,FALSE),
IF($A199&lt;'Pool &amp; SPA Pipe Extender'!$A$11,VLOOKUP($A199,'Pool &amp; SPA Pipe Extender'!$A$8:$M$10,9,FALSE),
IF($A199&lt;'PVC SCH80'!$A$250,VLOOKUP($A199,'PVC SCH80'!$A$8:$M$249,9,FALSE),
IF($A199&lt;'PVC SCH80 Flange'!$A$49,VLOOKUP($A199,'PVC SCH80 Flange'!$A$8:$M$48,9,FALSE),
IF($A199&lt;'PVC SCH80 LD Flange'!$A$17,VLOOKUP($A199,'PVC SCH80 LD Flange'!$A$8:$M$16,9,FALSE),
IF($A199&lt;CPVC!$A$105,VLOOKUP($A199,CPVC!$A$9:$M$104,9,FALSE),
IF($A199&lt;InsertFittings!$A$185,VLOOKUP($A199,InsertFittings!$A$9:$M$184,9,FALSE),
IF($A199&lt;Valves!$A$92,VLOOKUP($A199,Valves!$A$9:$Q$91,13,FALSE),
IF($A199&lt;SDR35SW!$A$133,VLOOKUP($A199,SDR35SW!$A$9:$M$132,9,FALSE),
IF($A199&lt;SDR35G!$A$151,VLOOKUP($A199,SDR35G!$A$9:$M$150,9,FALSE),                                                                                                                                                                                                                                                          IF($A199&lt;SDR26G!$A$67,VLOOKUP($A199,SDR26G!$A$9:$N$66,10,FALSE),                                                                                                                                                                                                                                                       IF($A199&lt;Cements!$A$95,VLOOKUP($A199,Cements!$A$8:$Q$94,13,FALSE),
IF($A199&lt;ValveBox!$A$124,VLOOKUP($A199,ValveBox!$A$9:$O$123,11,FALSE),
IF($A199&lt;'ValveBox Components'!$A$142,VLOOKUP($A199,'ValveBox Components'!$A$9:$N$141,10,FALSE),
IF($A199&lt;Drainage!$A$69,VLOOKUP($A199,Drainage!$A$8:$M$68,9,FALSE),                                                                                                                                                                                                                                                              IF($A199&lt;Nipples!$A$82,VLOOKUP($A199,Nipples!$A$9:$Q$81,13,FALSE),
IF($A199&lt;Manifold!$A$33,VLOOKUP($A199,Manifold!$A$9:$M$32,9,FALSE),
IF($A199&lt;FlexibleRepairCouplings!$A$12,VLOOKUP($A199,FlexibleRepairCouplings!$A$9:$M$11,9,FALSE),
IF($A199&lt;DuraFix!$A$15,VLOOKUP($A199,DuraFix!$A$9:$M$14,9,FALSE),                                                                                                                                                                                                                                                          IF($A199&lt;'Compression Fittings'!$A$16,VLOOKUP($A199,'Compression Fittings'!$A$8:$M$15,9,FALSE),
IF($A199&lt;'Hose Fittings'!$A$30,VLOOKUP($A199,'Hose Fittings'!$A$8:$M$29,9,FALSE),
IF($A199&lt;'Swing Joints'!$A$495,VLOOKUP($A199,'Swing Joints'!$A$9:$M$494,9,FALSE),
IF($A199&lt;'Swing Joints Components'!$A$135,VLOOKUP($A199,'Swing Joints Components'!$A$9:$M$134,9,FALSE),
IF($A199&lt;Nonstandard!$A$42,VLOOKUP($A199,Nonstandard!$A$31:$J$41,8,FALSE),"")))))))))))))))))))))))))))),"")</f>
        <v/>
      </c>
      <c r="G199" s="533" t="str">
        <f>IFERROR(IF($A199&lt;'DWV PVC'!$A$317,VLOOKUP($A199,'DWV PVC'!$A$9:$M$316,11,FALSE),
IF($A199&lt;'DWV ABS'!$A$117,VLOOKUP($A199,'DWV ABS'!$A$8:$M$116,11,FALSE),                                                                                                                                                                                                                                                     IF($A199&lt;'PVC SCH40'!$A$425,VLOOKUP($A199,'PVC SCH40'!$A$8:$M$424,11,FALSE),
IF($A199&lt;'PVC SCH40 LD'!$A$22,VLOOKUP($A199,'PVC SCH40 LD'!$A$8:$M$21,11,FALSE),
IF($A199&lt;'Pool &amp; SPA Sweep Elbows'!$A$12,VLOOKUP($A199,'Pool &amp; SPA Sweep Elbows'!$A$8:$M$11,11,FALSE),
IF($A199&lt;'Pool &amp; SPA Pipe Extender'!$A$11,VLOOKUP($A199,'Pool &amp; SPA Pipe Extender'!$A$8:$M$10,11,FALSE),
IF($A199&lt;'PVC SCH80'!$A$250,VLOOKUP($A199,'PVC SCH80'!$A$8:$M$249,11,FALSE),
IF($A199&lt;'PVC SCH80 Flange'!$A$49,VLOOKUP($A199,'PVC SCH80 Flange'!$A$8:$M$48,11,FALSE),
IF($A199&lt;'PVC SCH80 LD Flange'!$A$17,VLOOKUP($A199,'PVC SCH80 LD Flange'!$A$8:$M$16,11,FALSE),
IF($A199&lt;CPVC!$A$105,VLOOKUP($A199,CPVC!$A$9:$M$104,11,FALSE),
IF($A199&lt;InsertFittings!$A$185,VLOOKUP($A199,InsertFittings!$A$9:$M$184,11,FALSE),
IF($A199&lt;Valves!$A$92,VLOOKUP($A199,Valves!$A$9:$Q$91,15,FALSE),
IF($A199&lt;SDR35SW!$A$133,VLOOKUP($A199,SDR35SW!$A$9:$M$132,11,FALSE),
IF($A199&lt;SDR35G!$A$151,VLOOKUP($A199,SDR35G!$A$9:$M$150,11,FALSE),                                                                                                                                                                                                                                                          IF($A199&lt;SDR26G!$A$67,VLOOKUP($A199,SDR26G!$A$9:$N$66,12,FALSE),                                                                                                                                                                                                                                                       IF($A199&lt;Cements!$A$95,VLOOKUP($A199,Cements!$A$8:$Q$94,15,FALSE),
IF($A199&lt;ValveBox!$A$124,VLOOKUP($A199,ValveBox!$A$9:$O$123,13,FALSE),
IF($A199&lt;'ValveBox Components'!$A$142,VLOOKUP($A199,'ValveBox Components'!$A$9:$N$141,12,FALSE),
IF($A199&lt;Drainage!$A$69,VLOOKUP($A199,Drainage!$A$8:$M$68,11,FALSE),                                                                                                                                                                                                                                                           IF($A199&lt;Nipples!$A$82,VLOOKUP($A199,Nipples!$A$9:$Q$81,15,FALSE),
IF($A199&lt;Manifold!$A$33,VLOOKUP($A199,Manifold!$A$9:$M$32,11,FALSE),
IF($A199&lt;FlexibleRepairCouplings!$A$12,VLOOKUP($A199,FlexibleRepairCouplings!$A$9:$M$11,11,FALSE),
IF($A199&lt;DuraFix!$A$15,VLOOKUP($A199,DuraFix!$A$9:$M$14,11,FALSE),                                                                                                                                                                                                                                                            IF($A199&lt;'Compression Fittings'!$A$16,VLOOKUP($A199,'Compression Fittings'!$A$8:$M$15,11,FALSE),
IF($A199&lt;'Hose Fittings'!$A$30,VLOOKUP($A199,'Hose Fittings'!$A$8:$M$29,11,FALSE),
IF($A199&lt;'Swing Joints'!$A$495,VLOOKUP($A199,'Swing Joints'!$A$9:$M$494,11,FALSE),
IF($A199&lt;'Swing Joints Components'!$A$135,VLOOKUP($A199,'Swing Joints Components'!$A$9:$M$134,11,FALSE),
IF($A199&lt;Nonstandard!$A$42,VLOOKUP($A199,Nonstandard!$A$31:$J$41,10,FALSE),"")))))))))))))))))))))))))))),"")</f>
        <v/>
      </c>
      <c r="H199" s="618" t="str">
        <f>IFERROR(IF($A199&lt;'DWV PVC'!$A$317,VLOOKUP($A199,'DWV PVC'!$A$9:$M$316,7,FALSE),
IF($A199&lt;'DWV ABS'!$A$117,VLOOKUP($A199,'DWV ABS'!$A$8:$M$116,11,FALSE),                                                                                                                                                                                                                                                     IF($A199&lt;'PVC SCH40'!$A$425,VLOOKUP($A199,'PVC SCH40'!$A$8:$M$424,7,FALSE),
IF($A199&lt;'PVC SCH40 LD'!$A$22,VLOOKUP($A199,'PVC SCH40 LD'!$A$8:$M$21,7,FALSE),
IF($A199&lt;'Pool &amp; SPA Sweep Elbows'!$A$12,VLOOKUP($A199,'Pool &amp; SPA Sweep Elbows'!$A$8:$M$11,7,FALSE),
IF($A199&lt;'Pool &amp; SPA Pipe Extender'!$A$11,VLOOKUP($A199,'Pool &amp; SPA Pipe Extender'!$A$8:$M$10,7,FALSE),
IF($A199&lt;'PVC SCH80'!$A$250,VLOOKUP($A199,'PVC SCH80'!$A$8:$M$249,7,FALSE),
IF($A199&lt;'PVC SCH80 Flange'!$A$49,VLOOKUP($A199,'PVC SCH80 Flange'!$A$8:$M$48,7,FALSE),
IF($A199&lt;'PVC SCH80 LD Flange'!$A$17,VLOOKUP($A199,'PVC SCH80 LD Flange'!$A$8:$M$16,7,FALSE),
IF($A199&lt;CPVC!$A$105,VLOOKUP($A199,CPVC!$A$9:$M$104,7,FALSE),
IF($A199&lt;InsertFittings!$A$185,VLOOKUP($A199,InsertFittings!$A$9:$M$184,7,FALSE),
IF($A199&lt;Valves!$A$92,VLOOKUP($A199,Valves!$A$9:$Q$91,11,FALSE),
IF($A199&lt;SDR35SW!$A$133,VLOOKUP($A199,SDR35SW!$A$9:$M$132,7,FALSE),
IF($A199&lt;SDR35G!$A$151,VLOOKUP($A199,SDR35G!$A$9:$M$150,7,FALSE),                                                                                                                                                                                                                                                       IF($A199&lt;SDR26G!$A$67,VLOOKUP($A199,SDR26G!$A$9:$N$66,8,FALSE),                                                                                                                                                                                                                                                     IF($A199&lt;Cements!$A$95,VLOOKUP($A199,Cements!$A$8:$Q$94,11,FALSE),
IF($A199&lt;ValveBox!$A$124,VLOOKUP($A199,ValveBox!$A$9:$O$123,10,FALSE),
IF($A199&lt;'ValveBox Components'!$A$142,VLOOKUP($A199,'ValveBox Components'!$A$9:$N$141,9,FALSE),
IF($A199&lt;Drainage!$A$69,VLOOKUP($A199,Drainage!$A$8:$M$68,7,FALSE),                                                                                                                                                                                                                                                          IF($A199&lt;Nipples!$A$82,VLOOKUP($A199,Nipples!$A$9:$Q$81,11,FALSE),
IF($A199&lt;Manifold!$A$33,VLOOKUP($A199,Manifold!$A$9:$M$32,7,FALSE),
IF($A199&lt;FlexibleRepairCouplings!$A$12,VLOOKUP($A199,FlexibleRepairCouplings!$A$9:$M$11,7,FALSE),
IF($A199&lt;DuraFix!$A$15,VLOOKUP($A199,DuraFix!$A$9:$M$14,7,FALSE),                                                                                                                                                                                                                                                           IF($A199&lt;'Compression Fittings'!$A$16,VLOOKUP($A199,'Compression Fittings'!$A$8:$M$15,7,FALSE),
IF($A199&lt;'Hose Fittings'!$A$30,VLOOKUP($A199,'Hose Fittings'!$A$8:$M$29,7,FALSE),
IF($A199&lt;'Swing Joints'!$A$495,VLOOKUP($A199,'Swing Joints'!$A$9:$M$494,7,FALSE),
IF($A199&lt;'Swing Joints Components'!$A$135,VLOOKUP($A199,'Swing Joints Components'!$A$9:$M$134,7,FALSE),
IF($A199&lt;Nonstandard!$A$42,VLOOKUP($A199,Nonstandard!$A$31:$J$41,10,FALSE),"")))))))))))))))))))))))))))),"")</f>
        <v/>
      </c>
      <c r="I199" s="619"/>
      <c r="J199" s="281" t="str">
        <f t="shared" si="5"/>
        <v/>
      </c>
      <c r="K199" s="313" t="str">
        <f>IFERROR(IF($A199&lt;'DWV PVC'!$A$317,VLOOKUP($A199,'DWV PVC'!$A$9:$M$316,10,FALSE),
IF($A199&lt;'DWV ABS'!$A$117,VLOOKUP($A199,'DWV ABS'!$A$8:$M$116,10,FALSE),
IF($A199&lt;'PVC SCH40'!$A$425,VLOOKUP($A199,'PVC SCH40'!$A$8:$M$424,10,FALSE),
IF($A199&lt;'PVC SCH40 LD'!$A$22,VLOOKUP($A199,'PVC SCH40 LD'!$A$8:$M$21,10,FALSE),
IF($A199&lt;'Pool &amp; SPA Sweep Elbows'!$A$12,VLOOKUP($A199,'Pool &amp; SPA Sweep Elbows'!$A$8:$M$11,10,FALSE),
IF($A199&lt;'Pool &amp; SPA Pipe Extender'!$A$11,VLOOKUP($A199,'Pool &amp; SPA Pipe Extender'!$A$8:$M$10,10,FALSE),
IF($A199&lt;'PVC SCH80'!$A$250,VLOOKUP($A199,'PVC SCH80'!$A$8:$M$249,10,FALSE),
IF($A199&lt;'PVC SCH80 Flange'!$A$49,VLOOKUP($A199,'PVC SCH80 Flange'!$A$8:$M$48,10,FALSE),
IF($A199&lt;'PVC SCH80 LD Flange'!$A$17,VLOOKUP($A199,'PVC SCH80 LD Flange'!$A$8:$M$16,10,FALSE),
IF($A199&lt;CPVC!$A$105,VLOOKUP($A199,CPVC!$A$9:$M$104,10,FALSE),
IF($A199&lt;InsertFittings!$A$185,VLOOKUP($A199,InsertFittings!$A$9:$M$184,10,FALSE),
IF($A199&lt;Valves!$A$92,VLOOKUP($A199,Valves!$A$9:$Q$91,14,FALSE),
IF($A199&lt;SDR35SW!$A$133,VLOOKUP($A199,SDR35SW!$A$9:$M$132,10,FALSE),
IF($A199&lt;SDR35G!$A$151,VLOOKUP($A199,SDR35G!$A$9:$M$150,10,FALSE),
IF($A199&lt;SDR26G!$A$67,VLOOKUP($A199,SDR26G!$A$9:$N$66,11,FALSE),
IF($A199&lt;Cements!$A$95,VLOOKUP($A199,Cements!$A$8:$Q$94,14,FALSE),
IF($A199&lt;ValveBox!$A$124,VLOOKUP($A199,ValveBox!$A$9:$O$123,12,FALSE),
IF($A199&lt;'ValveBox Components'!$A$142,VLOOKUP($A199,'ValveBox Components'!$A$9:$N$141,11,FALSE),
IF($A199&lt;Drainage!$A$69,VLOOKUP($A199,Drainage!$A$8:$M$68,10,FALSE),
IF($A199&lt;Nipples!$A$82,VLOOKUP($A199,Nipples!$A$9:$Q$81,14,FALSE),
IF($A199&lt;Manifold!$A$33,VLOOKUP($A199,Manifold!$A$9:$M$32,10,FALSE),
IF($A199&lt;FlexibleRepairCouplings!$A$12,VLOOKUP($A199,FlexibleRepairCouplings!$A$9:$M$11,10,FALSE),
IF($A199&lt;DuraFix!$A$15,VLOOKUP($A199,DuraFix!$A$9:$M$14,10,FALSE),
IF($A199&lt;'Compression Fittings'!$A$16,VLOOKUP($A199,'Compression Fittings'!$A$8:$M$15,10,FALSE),
IF($A199&lt;'Hose Fittings'!$A$30,VLOOKUP($A199,'Hose Fittings'!$A$8:$M$29,10,FALSE),
IF($A199&lt;'Swing Joints'!$A$495,VLOOKUP($A199,'Swing Joints'!$A$9:$M$494,10,FALSE),
IF($A199&lt;'Swing Joints Components'!$A$135,VLOOKUP($A199,'Swing Joints Components'!$A$9:$M$134,10,FALSE),
IF($A199&lt;Nonstandard!$A$42,VLOOKUP($A199,Nonstandard!$A$31:$J$41,10,FALSE),"")))))))))))))))))))))))))))),"")</f>
        <v/>
      </c>
      <c r="L199" s="314" t="str">
        <f t="shared" si="4"/>
        <v>-</v>
      </c>
      <c r="M199" s="315"/>
    </row>
    <row r="200" spans="1:13" ht="15.6">
      <c r="A200" s="536">
        <v>168</v>
      </c>
      <c r="B200" s="536" t="str">
        <f>IFERROR(IF($A200&lt;'DWV PVC'!$A$317,VLOOKUP($A200,'DWV PVC'!$A$9:$M$316,4,FALSE),
IF($A200&lt;'DWV ABS'!$A$117,VLOOKUP($A200,'DWV ABS'!$A$8:$M$116,4,FALSE),
IF($A200&lt;'PVC SCH40'!$A$425,VLOOKUP($A200,'PVC SCH40'!$A$8:$M$424,4,FALSE),
IF($A200&lt;'PVC SCH40 LD'!$A$22,VLOOKUP($A200,'PVC SCH40 LD'!$A$8:$M$21,4,FALSE),
IF($A200&lt;'Pool &amp; SPA Sweep Elbows'!$A$12,VLOOKUP($A200,'Pool &amp; SPA Sweep Elbows'!$A$8:$M$11,4,FALSE),
IF($A200&lt;'Pool &amp; SPA Pipe Extender'!$A$11,VLOOKUP($A200,'Pool &amp; SPA Pipe Extender'!$A$8:$M$10,4,FALSE),
IF($A200&lt;'PVC SCH80'!$A$250,VLOOKUP($A200,'PVC SCH80'!$A$8:$M$249,4,FALSE),
IF($A200&lt;'PVC SCH80 Flange'!$A$49,VLOOKUP($A200,'PVC SCH80 Flange'!$A$8:$M$48,4,FALSE),
IF($A200&lt;'PVC SCH80 LD Flange'!$A$17,VLOOKUP($A200,'PVC SCH80 LD Flange'!$A$8:$M$16,4,FALSE),
IF($A200&lt;CPVC!$A$105,VLOOKUP($A200,CPVC!$A$9:$M$104,4,FALSE),
IF($A200&lt;InsertFittings!$A$185,VLOOKUP($A200,InsertFittings!$A$9:$M$184,4,FALSE),
IF($A200&lt;Valves!$A$92,VLOOKUP($A200,Valves!$A$9:$Q$91,4,FALSE),
IF($A200&lt;SDR35SW!$A$133,VLOOKUP($A200,SDR35SW!$A$9:$M$132,4,FALSE),
IF($A200&lt;SDR35G!$A$151,VLOOKUP($A200,SDR35G!$A$9:$M$150,4,FALSE),
IF($A200&lt;SDR26G!$A$67,VLOOKUP($A200,SDR26G!$A$9:$N$66,5,FALSE),
IF($A200&lt;Cements!$A$95,VLOOKUP($A200,Cements!$A$8:$Q$94,4,FALSE),
IF($A200&lt;ValveBox!$A$124,VLOOKUP($A200,ValveBox!$A$9:$O$123,4,FALSE),
IF($A200&lt;'ValveBox Components'!$A$142,VLOOKUP($A200,'ValveBox Components'!$A$9:$N$141,4,FALSE),
IF($A200&lt;Drainage!$A$69,VLOOKUP($A200,Drainage!$A$8:$M$68,4,FALSE),
IF($A200&lt;Nipples!$A$82,VLOOKUP($A200,Nipples!$A$9:$Q$81,4,FALSE),
IF($A200&lt;Manifold!$A$33,VLOOKUP($A200,Manifold!$A$9:$M$32,4,FALSE),
IF($A200&lt;FlexibleRepairCouplings!$A$12,VLOOKUP($A200,FlexibleRepairCouplings!$A$9:$M$11,4,FALSE),
IF($A200&lt;DuraFix!$A$15,VLOOKUP($A200,DuraFix!$A$9:$M$14,4,FALSE),
IF($A200&lt;'Compression Fittings'!$A$16,VLOOKUP($A200,'Compression Fittings'!$A$8:$M$15,4,FALSE),
IF($A200&lt;'Hose Fittings'!$A$30,VLOOKUP($A200,'Hose Fittings'!$A$8:$M$29,4,FALSE),
IF($A200&lt;'Swing Joints'!$A$495,VLOOKUP($A200,'Swing Joints'!$A$9:$M$494,4,FALSE),
IF($A200&lt;'Swing Joints Components'!$A$135,VLOOKUP($A200,'Swing Joints Components'!$A$9:$M$134,4,FALSE),
IF($A200&lt;Nonstandard!$A$42,VLOOKUP($A200,Nonstandard!$A$31:$J$41,5,FALSE),"")))))))))))))))))))))))))))),"")</f>
        <v/>
      </c>
      <c r="C200" s="536" t="str">
        <f>IFERROR(IF($A200&lt;'DWV PVC'!$A$317,VLOOKUP($A200,'DWV PVC'!$A$9:$M$316,5,FALSE),
IF($A200&lt;'DWV ABS'!$A$117,VLOOKUP($A200,'DWV ABS'!$A$8:$M$116,5,FALSE),
IF($A200&lt;'PVC SCH40'!$A$425,VLOOKUP($A200,'PVC SCH40'!$A$8:$M$424,5,FALSE),
IF($A200&lt;'PVC SCH40 LD'!$A$22,VLOOKUP($A200,'PVC SCH40 LD'!$A$8:$M$21,5,FALSE),
IF($A200&lt;'Pool &amp; SPA Sweep Elbows'!$A$12,VLOOKUP($A200,'Pool &amp; SPA Sweep Elbows'!$A$8:$M$11,5,FALSE),
IF($A200&lt;'Pool &amp; SPA Pipe Extender'!$A$11,VLOOKUP($A200,'Pool &amp; SPA Pipe Extender'!$A$8:$M$10,5,FALSE),
IF($A200&lt;'PVC SCH80'!$A$250,VLOOKUP($A200,'PVC SCH80'!$A$8:$M$249,5,FALSE),
IF($A200&lt;'PVC SCH80 Flange'!$A$49,VLOOKUP($A200,'PVC SCH80 Flange'!$A$8:$M$48,5,FALSE),
IF($A200&lt;'PVC SCH80 LD Flange'!$A$17,VLOOKUP($A200,'PVC SCH80 LD Flange'!$A$8:$M$16,5,FALSE),
IF($A200&lt;CPVC!$A$105,VLOOKUP($A200,CPVC!$A$9:$M$104,5,FALSE),
IF($A200&lt;InsertFittings!$A$185,VLOOKUP($A200,InsertFittings!$A$9:$M$184,5,FALSE),
IF($A200&lt;Valves!$A$92,VLOOKUP($A200,Valves!$A$9:$Q$91,5,FALSE),
IF($A200&lt;SDR35SW!$A$133,VLOOKUP($A200,SDR35SW!$A$9:$M$132,5,FALSE),
IF($A200&lt;SDR35G!$A$151,VLOOKUP($A200,SDR35G!$A$9:$M$150,5,FALSE),
IF($A200&lt;SDR26G!$A$67,VLOOKUP($A200,SDR26G!$A$9:$N$66,6,FALSE),
IF($A200&lt;Cements!$A$95,VLOOKUP($A200,Cements!$A$8:$Q$94,5,FALSE),
IF($A200&lt;ValveBox!$A$124,VLOOKUP($A200,ValveBox!$A$9:$O$123,5,FALSE),
IF($A200&lt;'ValveBox Components'!$A$142,VLOOKUP($A200,'ValveBox Components'!$A$9:$N$141,5,FALSE),
IF($A200&lt;Drainage!$A$69,VLOOKUP($A200,Drainage!$A$8:$M$68,5,FALSE),
IF($A200&lt;Nipples!$A$82,VLOOKUP($A200,Nipples!$A$9:$Q$81,5,FALSE),
IF($A200&lt;Manifold!$A$33,VLOOKUP($A200,Manifold!$A$9:$M$32,5,FALSE),
IF($A200&lt;FlexibleRepairCouplings!$A$12,VLOOKUP($A200,FlexibleRepairCouplings!$A$9:$M$11,5,FALSE),
IF($A200&lt;DuraFix!$A$15,VLOOKUP($A200,DuraFix!$A$9:$M$14,5,FALSE),
IF($A200&lt;'Compression Fittings'!$A$16,VLOOKUP($A200,'Compression Fittings'!$A$8:$M$15,5,FALSE),
IF($A200&lt;'Hose Fittings'!$A$30,VLOOKUP($A200,'Hose Fittings'!$A$8:$M$29,5,FALSE),
IF($A200&lt;'Swing Joints'!$A$495,VLOOKUP($A200,'Swing Joints'!$A$9:$M$494,5,FALSE),
IF($A200&lt;'Swing Joints Components'!$A$135,VLOOKUP($A200,'Swing Joints Components'!$A$9:$M$134,5,FALSE),
IF($A200&lt;Nonstandard!$A$42,VLOOKUP($A200,Nonstandard!$A$31:$J$41,6,FALSE),"")))))))))))))))))))))))))))),"")</f>
        <v/>
      </c>
      <c r="D200" s="537" t="str">
        <f>IFERROR(IF($A200&lt;'DWV PVC'!$A$317,VLOOKUP($A200,'DWV PVC'!$A$9:$M$316,6,FALSE),
IF($A200&lt;'DWV ABS'!$A$117,VLOOKUP($A200,'DWV ABS'!$A$8:$M$116,6,FALSE),
IF($A200&lt;'PVC SCH40'!$A$425,VLOOKUP($A200,'PVC SCH40'!$A$8:$M$424,6,FALSE),
IF($A200&lt;'PVC SCH40 LD'!$A$22,VLOOKUP($A200,'PVC SCH40 LD'!$A$8:$M$21,6,FALSE),
IF($A200&lt;'Pool &amp; SPA Sweep Elbows'!$A$12,VLOOKUP($A200,'Pool &amp; SPA Sweep Elbows'!$A$8:$M$11,6,FALSE),
IF($A200&lt;'Pool &amp; SPA Pipe Extender'!$A$11,VLOOKUP($A200,'Pool &amp; SPA Pipe Extender'!$A$8:$M$10,6,FALSE),
IF($A200&lt;'PVC SCH80'!$A$250,VLOOKUP($A200,'PVC SCH80'!$A$8:$M$249,6,FALSE),
IF($A200&lt;'PVC SCH80 Flange'!$A$49,VLOOKUP($A200,'PVC SCH80 Flange'!$A$8:$M$48,6,FALSE),
IF($A200&lt;'PVC SCH80 LD Flange'!$A$17,VLOOKUP($A200,'PVC SCH80 LD Flange'!$A$8:$M$16,6,FALSE),
IF($A200&lt;CPVC!$A$105,VLOOKUP($A200,CPVC!$A$9:$M$104,6,FALSE),
IF($A200&lt;InsertFittings!$A$185,VLOOKUP($A200,InsertFittings!$A$9:$M$184,6,FALSE),
IF($A200&lt;Valves!$A$92,VLOOKUP($A200,Valves!$A$9:$Q$91,6,FALSE),
IF($A200&lt;SDR35SW!$A$133,VLOOKUP($A200,SDR35SW!$A$9:$M$132,6,FALSE),
IF($A200&lt;SDR35G!$A$151,VLOOKUP($A200,SDR35G!$A$9:$M$150,6,FALSE),
IF($A200&lt;SDR26G!$A$67,VLOOKUP($A200,SDR26G!$A$9:$N$66,7,FALSE),
IF($A200&lt;Cements!$A$95,VLOOKUP($A200,Cements!$A$8:$Q$94,6,FALSE),
IF($A200&lt;ValveBox!$A$124,VLOOKUP($A200,ValveBox!$A$9:$O$123,6,FALSE),
IF($A200&lt;'ValveBox Components'!$A$142,VLOOKUP($A200,'ValveBox Components'!$A$9:$N$141,6,FALSE),
IF($A200&lt;Drainage!$A$69,VLOOKUP($A200,Drainage!$A$8:$M$68,6,FALSE),
IF($A200&lt;Nipples!$A$82,VLOOKUP($A200,Nipples!$A$9:$Q$81,6,FALSE),
IF($A200&lt;Manifold!$A$33,VLOOKUP($A200,Manifold!$A$9:$M$32,6,FALSE),
IF($A200&lt;FlexibleRepairCouplings!$A$12,VLOOKUP($A200,FlexibleRepairCouplings!$A$9:$M$11,6,FALSE),
IF($A200&lt;DuraFix!$A$15,VLOOKUP($A200,DuraFix!$A$9:$M$14,6,FALSE),
IF($A200&lt;'Compression Fittings'!$A$16,VLOOKUP($A200,'Compression Fittings'!$A$8:$M$15,6,FALSE),
IF($A200&lt;'Hose Fittings'!$A$30,VLOOKUP($A200,'Hose Fittings'!$A$8:$M$29,6,FALSE),
IF($A200&lt;'Swing Joints'!$A$495,VLOOKUP($A200,'Swing Joints'!$A$9:$M$494,6,FALSE),
IF($A200&lt;'Swing Joints Components'!$A$135,VLOOKUP($A200,'Swing Joints Components'!$A$9:$M$134,6,FALSE),
IF($A200&lt;Nonstandard!$A$42,VLOOKUP($A200,Nonstandard!$A$31:$J$41,7,FALSE),"")))))))))))))))))))))))))))),"")</f>
        <v/>
      </c>
      <c r="E200" s="538"/>
      <c r="F200" s="539" t="str">
        <f>IFERROR(IF($A200&lt;'DWV PVC'!$A$317,VLOOKUP($A200,'DWV PVC'!$A$9:$M$316,9,FALSE),
IF($A200&lt;'DWV ABS'!$A$117,VLOOKUP($A200,'DWV ABS'!$A$8:$M$116,9,FALSE),                                                                                                                                                                                                                                                     IF($A200&lt;'PVC SCH40'!$A$425,VLOOKUP($A200,'PVC SCH40'!$A$8:$M$424,9,FALSE),
IF($A200&lt;'PVC SCH40 LD'!$A$22,VLOOKUP($A200,'PVC SCH40 LD'!$A$8:$M$21,9,FALSE),
IF($A200&lt;'Pool &amp; SPA Sweep Elbows'!$A$12,VLOOKUP($A200,'Pool &amp; SPA Sweep Elbows'!$A$8:$M$11,9,FALSE),
IF($A200&lt;'Pool &amp; SPA Pipe Extender'!$A$11,VLOOKUP($A200,'Pool &amp; SPA Pipe Extender'!$A$8:$M$10,9,FALSE),
IF($A200&lt;'PVC SCH80'!$A$250,VLOOKUP($A200,'PVC SCH80'!$A$8:$M$249,9,FALSE),
IF($A200&lt;'PVC SCH80 Flange'!$A$49,VLOOKUP($A200,'PVC SCH80 Flange'!$A$8:$M$48,9,FALSE),
IF($A200&lt;'PVC SCH80 LD Flange'!$A$17,VLOOKUP($A200,'PVC SCH80 LD Flange'!$A$8:$M$16,9,FALSE),
IF($A200&lt;CPVC!$A$105,VLOOKUP($A200,CPVC!$A$9:$M$104,9,FALSE),
IF($A200&lt;InsertFittings!$A$185,VLOOKUP($A200,InsertFittings!$A$9:$M$184,9,FALSE),
IF($A200&lt;Valves!$A$92,VLOOKUP($A200,Valves!$A$9:$Q$91,13,FALSE),
IF($A200&lt;SDR35SW!$A$133,VLOOKUP($A200,SDR35SW!$A$9:$M$132,9,FALSE),
IF($A200&lt;SDR35G!$A$151,VLOOKUP($A200,SDR35G!$A$9:$M$150,9,FALSE),                                                                                                                                                                                                                                                          IF($A200&lt;SDR26G!$A$67,VLOOKUP($A200,SDR26G!$A$9:$N$66,10,FALSE),                                                                                                                                                                                                                                                       IF($A200&lt;Cements!$A$95,VLOOKUP($A200,Cements!$A$8:$Q$94,13,FALSE),
IF($A200&lt;ValveBox!$A$124,VLOOKUP($A200,ValveBox!$A$9:$O$123,11,FALSE),
IF($A200&lt;'ValveBox Components'!$A$142,VLOOKUP($A200,'ValveBox Components'!$A$9:$N$141,10,FALSE),
IF($A200&lt;Drainage!$A$69,VLOOKUP($A200,Drainage!$A$8:$M$68,9,FALSE),                                                                                                                                                                                                                                                              IF($A200&lt;Nipples!$A$82,VLOOKUP($A200,Nipples!$A$9:$Q$81,13,FALSE),
IF($A200&lt;Manifold!$A$33,VLOOKUP($A200,Manifold!$A$9:$M$32,9,FALSE),
IF($A200&lt;FlexibleRepairCouplings!$A$12,VLOOKUP($A200,FlexibleRepairCouplings!$A$9:$M$11,9,FALSE),
IF($A200&lt;DuraFix!$A$15,VLOOKUP($A200,DuraFix!$A$9:$M$14,9,FALSE),                                                                                                                                                                                                                                                          IF($A200&lt;'Compression Fittings'!$A$16,VLOOKUP($A200,'Compression Fittings'!$A$8:$M$15,9,FALSE),
IF($A200&lt;'Hose Fittings'!$A$30,VLOOKUP($A200,'Hose Fittings'!$A$8:$M$29,9,FALSE),
IF($A200&lt;'Swing Joints'!$A$495,VLOOKUP($A200,'Swing Joints'!$A$9:$M$494,9,FALSE),
IF($A200&lt;'Swing Joints Components'!$A$135,VLOOKUP($A200,'Swing Joints Components'!$A$9:$M$134,9,FALSE),
IF($A200&lt;Nonstandard!$A$42,VLOOKUP($A200,Nonstandard!$A$31:$J$41,8,FALSE),"")))))))))))))))))))))))))))),"")</f>
        <v/>
      </c>
      <c r="G200" s="540" t="str">
        <f>IFERROR(IF($A200&lt;'DWV PVC'!$A$317,VLOOKUP($A200,'DWV PVC'!$A$9:$M$316,11,FALSE),
IF($A200&lt;'DWV ABS'!$A$117,VLOOKUP($A200,'DWV ABS'!$A$8:$M$116,11,FALSE),                                                                                                                                                                                                                                                     IF($A200&lt;'PVC SCH40'!$A$425,VLOOKUP($A200,'PVC SCH40'!$A$8:$M$424,11,FALSE),
IF($A200&lt;'PVC SCH40 LD'!$A$22,VLOOKUP($A200,'PVC SCH40 LD'!$A$8:$M$21,11,FALSE),
IF($A200&lt;'Pool &amp; SPA Sweep Elbows'!$A$12,VLOOKUP($A200,'Pool &amp; SPA Sweep Elbows'!$A$8:$M$11,11,FALSE),
IF($A200&lt;'Pool &amp; SPA Pipe Extender'!$A$11,VLOOKUP($A200,'Pool &amp; SPA Pipe Extender'!$A$8:$M$10,11,FALSE),
IF($A200&lt;'PVC SCH80'!$A$250,VLOOKUP($A200,'PVC SCH80'!$A$8:$M$249,11,FALSE),
IF($A200&lt;'PVC SCH80 Flange'!$A$49,VLOOKUP($A200,'PVC SCH80 Flange'!$A$8:$M$48,11,FALSE),
IF($A200&lt;'PVC SCH80 LD Flange'!$A$17,VLOOKUP($A200,'PVC SCH80 LD Flange'!$A$8:$M$16,11,FALSE),
IF($A200&lt;CPVC!$A$105,VLOOKUP($A200,CPVC!$A$9:$M$104,11,FALSE),
IF($A200&lt;InsertFittings!$A$185,VLOOKUP($A200,InsertFittings!$A$9:$M$184,11,FALSE),
IF($A200&lt;Valves!$A$92,VLOOKUP($A200,Valves!$A$9:$Q$91,15,FALSE),
IF($A200&lt;SDR35SW!$A$133,VLOOKUP($A200,SDR35SW!$A$9:$M$132,11,FALSE),
IF($A200&lt;SDR35G!$A$151,VLOOKUP($A200,SDR35G!$A$9:$M$150,11,FALSE),                                                                                                                                                                                                                                                          IF($A200&lt;SDR26G!$A$67,VLOOKUP($A200,SDR26G!$A$9:$N$66,12,FALSE),                                                                                                                                                                                                                                                       IF($A200&lt;Cements!$A$95,VLOOKUP($A200,Cements!$A$8:$Q$94,15,FALSE),
IF($A200&lt;ValveBox!$A$124,VLOOKUP($A200,ValveBox!$A$9:$O$123,13,FALSE),
IF($A200&lt;'ValveBox Components'!$A$142,VLOOKUP($A200,'ValveBox Components'!$A$9:$N$141,12,FALSE),
IF($A200&lt;Drainage!$A$69,VLOOKUP($A200,Drainage!$A$8:$M$68,11,FALSE),                                                                                                                                                                                                                                                           IF($A200&lt;Nipples!$A$82,VLOOKUP($A200,Nipples!$A$9:$Q$81,15,FALSE),
IF($A200&lt;Manifold!$A$33,VLOOKUP($A200,Manifold!$A$9:$M$32,11,FALSE),
IF($A200&lt;FlexibleRepairCouplings!$A$12,VLOOKUP($A200,FlexibleRepairCouplings!$A$9:$M$11,11,FALSE),
IF($A200&lt;DuraFix!$A$15,VLOOKUP($A200,DuraFix!$A$9:$M$14,11,FALSE),                                                                                                                                                                                                                                                            IF($A200&lt;'Compression Fittings'!$A$16,VLOOKUP($A200,'Compression Fittings'!$A$8:$M$15,11,FALSE),
IF($A200&lt;'Hose Fittings'!$A$30,VLOOKUP($A200,'Hose Fittings'!$A$8:$M$29,11,FALSE),
IF($A200&lt;'Swing Joints'!$A$495,VLOOKUP($A200,'Swing Joints'!$A$9:$M$494,11,FALSE),
IF($A200&lt;'Swing Joints Components'!$A$135,VLOOKUP($A200,'Swing Joints Components'!$A$9:$M$134,11,FALSE),
IF($A200&lt;Nonstandard!$A$42,VLOOKUP($A200,Nonstandard!$A$31:$J$41,10,FALSE),"")))))))))))))))))))))))))))),"")</f>
        <v/>
      </c>
      <c r="H200" s="620" t="str">
        <f>IFERROR(IF($A200&lt;'DWV PVC'!$A$317,VLOOKUP($A200,'DWV PVC'!$A$9:$M$316,7,FALSE),
IF($A200&lt;'DWV ABS'!$A$117,VLOOKUP($A200,'DWV ABS'!$A$8:$M$116,11,FALSE),                                                                                                                                                                                                                                                     IF($A200&lt;'PVC SCH40'!$A$425,VLOOKUP($A200,'PVC SCH40'!$A$8:$M$424,7,FALSE),
IF($A200&lt;'PVC SCH40 LD'!$A$22,VLOOKUP($A200,'PVC SCH40 LD'!$A$8:$M$21,7,FALSE),
IF($A200&lt;'Pool &amp; SPA Sweep Elbows'!$A$12,VLOOKUP($A200,'Pool &amp; SPA Sweep Elbows'!$A$8:$M$11,7,FALSE),
IF($A200&lt;'Pool &amp; SPA Pipe Extender'!$A$11,VLOOKUP($A200,'Pool &amp; SPA Pipe Extender'!$A$8:$M$10,7,FALSE),
IF($A200&lt;'PVC SCH80'!$A$250,VLOOKUP($A200,'PVC SCH80'!$A$8:$M$249,7,FALSE),
IF($A200&lt;'PVC SCH80 Flange'!$A$49,VLOOKUP($A200,'PVC SCH80 Flange'!$A$8:$M$48,7,FALSE),
IF($A200&lt;'PVC SCH80 LD Flange'!$A$17,VLOOKUP($A200,'PVC SCH80 LD Flange'!$A$8:$M$16,7,FALSE),
IF($A200&lt;CPVC!$A$105,VLOOKUP($A200,CPVC!$A$9:$M$104,7,FALSE),
IF($A200&lt;InsertFittings!$A$185,VLOOKUP($A200,InsertFittings!$A$9:$M$184,7,FALSE),
IF($A200&lt;Valves!$A$92,VLOOKUP($A200,Valves!$A$9:$Q$91,11,FALSE),
IF($A200&lt;SDR35SW!$A$133,VLOOKUP($A200,SDR35SW!$A$9:$M$132,7,FALSE),
IF($A200&lt;SDR35G!$A$151,VLOOKUP($A200,SDR35G!$A$9:$M$150,7,FALSE),                                                                                                                                                                                                                                                       IF($A200&lt;SDR26G!$A$67,VLOOKUP($A200,SDR26G!$A$9:$N$66,8,FALSE),                                                                                                                                                                                                                                                     IF($A200&lt;Cements!$A$95,VLOOKUP($A200,Cements!$A$8:$Q$94,11,FALSE),
IF($A200&lt;ValveBox!$A$124,VLOOKUP($A200,ValveBox!$A$9:$O$123,10,FALSE),
IF($A200&lt;'ValveBox Components'!$A$142,VLOOKUP($A200,'ValveBox Components'!$A$9:$N$141,9,FALSE),
IF($A200&lt;Drainage!$A$69,VLOOKUP($A200,Drainage!$A$8:$M$68,7,FALSE),                                                                                                                                                                                                                                                          IF($A200&lt;Nipples!$A$82,VLOOKUP($A200,Nipples!$A$9:$Q$81,11,FALSE),
IF($A200&lt;Manifold!$A$33,VLOOKUP($A200,Manifold!$A$9:$M$32,7,FALSE),
IF($A200&lt;FlexibleRepairCouplings!$A$12,VLOOKUP($A200,FlexibleRepairCouplings!$A$9:$M$11,7,FALSE),
IF($A200&lt;DuraFix!$A$15,VLOOKUP($A200,DuraFix!$A$9:$M$14,7,FALSE),                                                                                                                                                                                                                                                           IF($A200&lt;'Compression Fittings'!$A$16,VLOOKUP($A200,'Compression Fittings'!$A$8:$M$15,7,FALSE),
IF($A200&lt;'Hose Fittings'!$A$30,VLOOKUP($A200,'Hose Fittings'!$A$8:$M$29,7,FALSE),
IF($A200&lt;'Swing Joints'!$A$495,VLOOKUP($A200,'Swing Joints'!$A$9:$M$494,7,FALSE),
IF($A200&lt;'Swing Joints Components'!$A$135,VLOOKUP($A200,'Swing Joints Components'!$A$9:$M$134,7,FALSE),
IF($A200&lt;Nonstandard!$A$42,VLOOKUP($A200,Nonstandard!$A$31:$J$41,10,FALSE),"")))))))))))))))))))))))))))),"")</f>
        <v/>
      </c>
      <c r="I200" s="621"/>
      <c r="J200" s="541" t="str">
        <f t="shared" si="5"/>
        <v/>
      </c>
      <c r="K200" s="599" t="str">
        <f>IFERROR(IF($A200&lt;'DWV PVC'!$A$317,VLOOKUP($A200,'DWV PVC'!$A$9:$M$316,10,FALSE),
IF($A200&lt;'DWV ABS'!$A$117,VLOOKUP($A200,'DWV ABS'!$A$8:$M$116,10,FALSE),
IF($A200&lt;'PVC SCH40'!$A$425,VLOOKUP($A200,'PVC SCH40'!$A$8:$M$424,10,FALSE),
IF($A200&lt;'PVC SCH40 LD'!$A$22,VLOOKUP($A200,'PVC SCH40 LD'!$A$8:$M$21,10,FALSE),
IF($A200&lt;'Pool &amp; SPA Sweep Elbows'!$A$12,VLOOKUP($A200,'Pool &amp; SPA Sweep Elbows'!$A$8:$M$11,10,FALSE),
IF($A200&lt;'Pool &amp; SPA Pipe Extender'!$A$11,VLOOKUP($A200,'Pool &amp; SPA Pipe Extender'!$A$8:$M$10,10,FALSE),
IF($A200&lt;'PVC SCH80'!$A$250,VLOOKUP($A200,'PVC SCH80'!$A$8:$M$249,10,FALSE),
IF($A200&lt;'PVC SCH80 Flange'!$A$49,VLOOKUP($A200,'PVC SCH80 Flange'!$A$8:$M$48,10,FALSE),
IF($A200&lt;'PVC SCH80 LD Flange'!$A$17,VLOOKUP($A200,'PVC SCH80 LD Flange'!$A$8:$M$16,10,FALSE),
IF($A200&lt;CPVC!$A$105,VLOOKUP($A200,CPVC!$A$9:$M$104,10,FALSE),
IF($A200&lt;InsertFittings!$A$185,VLOOKUP($A200,InsertFittings!$A$9:$M$184,10,FALSE),
IF($A200&lt;Valves!$A$92,VLOOKUP($A200,Valves!$A$9:$Q$91,14,FALSE),
IF($A200&lt;SDR35SW!$A$133,VLOOKUP($A200,SDR35SW!$A$9:$M$132,10,FALSE),
IF($A200&lt;SDR35G!$A$151,VLOOKUP($A200,SDR35G!$A$9:$M$150,10,FALSE),
IF($A200&lt;SDR26G!$A$67,VLOOKUP($A200,SDR26G!$A$9:$N$66,11,FALSE),
IF($A200&lt;Cements!$A$95,VLOOKUP($A200,Cements!$A$8:$Q$94,14,FALSE),
IF($A200&lt;ValveBox!$A$124,VLOOKUP($A200,ValveBox!$A$9:$O$123,12,FALSE),
IF($A200&lt;'ValveBox Components'!$A$142,VLOOKUP($A200,'ValveBox Components'!$A$9:$N$141,11,FALSE),
IF($A200&lt;Drainage!$A$69,VLOOKUP($A200,Drainage!$A$8:$M$68,10,FALSE),
IF($A200&lt;Nipples!$A$82,VLOOKUP($A200,Nipples!$A$9:$Q$81,14,FALSE),
IF($A200&lt;Manifold!$A$33,VLOOKUP($A200,Manifold!$A$9:$M$32,10,FALSE),
IF($A200&lt;FlexibleRepairCouplings!$A$12,VLOOKUP($A200,FlexibleRepairCouplings!$A$9:$M$11,10,FALSE),
IF($A200&lt;DuraFix!$A$15,VLOOKUP($A200,DuraFix!$A$9:$M$14,10,FALSE),
IF($A200&lt;'Compression Fittings'!$A$16,VLOOKUP($A200,'Compression Fittings'!$A$8:$M$15,10,FALSE),
IF($A200&lt;'Hose Fittings'!$A$30,VLOOKUP($A200,'Hose Fittings'!$A$8:$M$29,10,FALSE),
IF($A200&lt;'Swing Joints'!$A$495,VLOOKUP($A200,'Swing Joints'!$A$9:$M$494,10,FALSE),
IF($A200&lt;'Swing Joints Components'!$A$135,VLOOKUP($A200,'Swing Joints Components'!$A$9:$M$134,10,FALSE),
IF($A200&lt;Nonstandard!$A$42,VLOOKUP($A200,Nonstandard!$A$31:$J$41,10,FALSE),"")))))))))))))))))))))))))))),"")</f>
        <v/>
      </c>
      <c r="L200" s="539" t="str">
        <f t="shared" si="4"/>
        <v>-</v>
      </c>
      <c r="M200" s="542"/>
    </row>
    <row r="201" spans="1:13" ht="15.6">
      <c r="A201" s="312">
        <v>169</v>
      </c>
      <c r="B201" s="312" t="str">
        <f>IFERROR(IF($A201&lt;'DWV PVC'!$A$317,VLOOKUP($A201,'DWV PVC'!$A$9:$M$316,4,FALSE),
IF($A201&lt;'DWV ABS'!$A$117,VLOOKUP($A201,'DWV ABS'!$A$8:$M$116,4,FALSE),
IF($A201&lt;'PVC SCH40'!$A$425,VLOOKUP($A201,'PVC SCH40'!$A$8:$M$424,4,FALSE),
IF($A201&lt;'PVC SCH40 LD'!$A$22,VLOOKUP($A201,'PVC SCH40 LD'!$A$8:$M$21,4,FALSE),
IF($A201&lt;'Pool &amp; SPA Sweep Elbows'!$A$12,VLOOKUP($A201,'Pool &amp; SPA Sweep Elbows'!$A$8:$M$11,4,FALSE),
IF($A201&lt;'Pool &amp; SPA Pipe Extender'!$A$11,VLOOKUP($A201,'Pool &amp; SPA Pipe Extender'!$A$8:$M$10,4,FALSE),
IF($A201&lt;'PVC SCH80'!$A$250,VLOOKUP($A201,'PVC SCH80'!$A$8:$M$249,4,FALSE),
IF($A201&lt;'PVC SCH80 Flange'!$A$49,VLOOKUP($A201,'PVC SCH80 Flange'!$A$8:$M$48,4,FALSE),
IF($A201&lt;'PVC SCH80 LD Flange'!$A$17,VLOOKUP($A201,'PVC SCH80 LD Flange'!$A$8:$M$16,4,FALSE),
IF($A201&lt;CPVC!$A$105,VLOOKUP($A201,CPVC!$A$9:$M$104,4,FALSE),
IF($A201&lt;InsertFittings!$A$185,VLOOKUP($A201,InsertFittings!$A$9:$M$184,4,FALSE),
IF($A201&lt;Valves!$A$92,VLOOKUP($A201,Valves!$A$9:$Q$91,4,FALSE),
IF($A201&lt;SDR35SW!$A$133,VLOOKUP($A201,SDR35SW!$A$9:$M$132,4,FALSE),
IF($A201&lt;SDR35G!$A$151,VLOOKUP($A201,SDR35G!$A$9:$M$150,4,FALSE),
IF($A201&lt;SDR26G!$A$67,VLOOKUP($A201,SDR26G!$A$9:$N$66,5,FALSE),
IF($A201&lt;Cements!$A$95,VLOOKUP($A201,Cements!$A$8:$Q$94,4,FALSE),
IF($A201&lt;ValveBox!$A$124,VLOOKUP($A201,ValveBox!$A$9:$O$123,4,FALSE),
IF($A201&lt;'ValveBox Components'!$A$142,VLOOKUP($A201,'ValveBox Components'!$A$9:$N$141,4,FALSE),
IF($A201&lt;Drainage!$A$69,VLOOKUP($A201,Drainage!$A$8:$M$68,4,FALSE),
IF($A201&lt;Nipples!$A$82,VLOOKUP($A201,Nipples!$A$9:$Q$81,4,FALSE),
IF($A201&lt;Manifold!$A$33,VLOOKUP($A201,Manifold!$A$9:$M$32,4,FALSE),
IF($A201&lt;FlexibleRepairCouplings!$A$12,VLOOKUP($A201,FlexibleRepairCouplings!$A$9:$M$11,4,FALSE),
IF($A201&lt;DuraFix!$A$15,VLOOKUP($A201,DuraFix!$A$9:$M$14,4,FALSE),
IF($A201&lt;'Compression Fittings'!$A$16,VLOOKUP($A201,'Compression Fittings'!$A$8:$M$15,4,FALSE),
IF($A201&lt;'Hose Fittings'!$A$30,VLOOKUP($A201,'Hose Fittings'!$A$8:$M$29,4,FALSE),
IF($A201&lt;'Swing Joints'!$A$495,VLOOKUP($A201,'Swing Joints'!$A$9:$M$494,4,FALSE),
IF($A201&lt;'Swing Joints Components'!$A$135,VLOOKUP($A201,'Swing Joints Components'!$A$9:$M$134,4,FALSE),
IF($A201&lt;Nonstandard!$A$42,VLOOKUP($A201,Nonstandard!$A$31:$J$41,5,FALSE),"")))))))))))))))))))))))))))),"")</f>
        <v/>
      </c>
      <c r="C201" s="312" t="str">
        <f>IFERROR(IF($A201&lt;'DWV PVC'!$A$317,VLOOKUP($A201,'DWV PVC'!$A$9:$M$316,5,FALSE),
IF($A201&lt;'DWV ABS'!$A$117,VLOOKUP($A201,'DWV ABS'!$A$8:$M$116,5,FALSE),
IF($A201&lt;'PVC SCH40'!$A$425,VLOOKUP($A201,'PVC SCH40'!$A$8:$M$424,5,FALSE),
IF($A201&lt;'PVC SCH40 LD'!$A$22,VLOOKUP($A201,'PVC SCH40 LD'!$A$8:$M$21,5,FALSE),
IF($A201&lt;'Pool &amp; SPA Sweep Elbows'!$A$12,VLOOKUP($A201,'Pool &amp; SPA Sweep Elbows'!$A$8:$M$11,5,FALSE),
IF($A201&lt;'Pool &amp; SPA Pipe Extender'!$A$11,VLOOKUP($A201,'Pool &amp; SPA Pipe Extender'!$A$8:$M$10,5,FALSE),
IF($A201&lt;'PVC SCH80'!$A$250,VLOOKUP($A201,'PVC SCH80'!$A$8:$M$249,5,FALSE),
IF($A201&lt;'PVC SCH80 Flange'!$A$49,VLOOKUP($A201,'PVC SCH80 Flange'!$A$8:$M$48,5,FALSE),
IF($A201&lt;'PVC SCH80 LD Flange'!$A$17,VLOOKUP($A201,'PVC SCH80 LD Flange'!$A$8:$M$16,5,FALSE),
IF($A201&lt;CPVC!$A$105,VLOOKUP($A201,CPVC!$A$9:$M$104,5,FALSE),
IF($A201&lt;InsertFittings!$A$185,VLOOKUP($A201,InsertFittings!$A$9:$M$184,5,FALSE),
IF($A201&lt;Valves!$A$92,VLOOKUP($A201,Valves!$A$9:$Q$91,5,FALSE),
IF($A201&lt;SDR35SW!$A$133,VLOOKUP($A201,SDR35SW!$A$9:$M$132,5,FALSE),
IF($A201&lt;SDR35G!$A$151,VLOOKUP($A201,SDR35G!$A$9:$M$150,5,FALSE),
IF($A201&lt;SDR26G!$A$67,VLOOKUP($A201,SDR26G!$A$9:$N$66,6,FALSE),
IF($A201&lt;Cements!$A$95,VLOOKUP($A201,Cements!$A$8:$Q$94,5,FALSE),
IF($A201&lt;ValveBox!$A$124,VLOOKUP($A201,ValveBox!$A$9:$O$123,5,FALSE),
IF($A201&lt;'ValveBox Components'!$A$142,VLOOKUP($A201,'ValveBox Components'!$A$9:$N$141,5,FALSE),
IF($A201&lt;Drainage!$A$69,VLOOKUP($A201,Drainage!$A$8:$M$68,5,FALSE),
IF($A201&lt;Nipples!$A$82,VLOOKUP($A201,Nipples!$A$9:$Q$81,5,FALSE),
IF($A201&lt;Manifold!$A$33,VLOOKUP($A201,Manifold!$A$9:$M$32,5,FALSE),
IF($A201&lt;FlexibleRepairCouplings!$A$12,VLOOKUP($A201,FlexibleRepairCouplings!$A$9:$M$11,5,FALSE),
IF($A201&lt;DuraFix!$A$15,VLOOKUP($A201,DuraFix!$A$9:$M$14,5,FALSE),
IF($A201&lt;'Compression Fittings'!$A$16,VLOOKUP($A201,'Compression Fittings'!$A$8:$M$15,5,FALSE),
IF($A201&lt;'Hose Fittings'!$A$30,VLOOKUP($A201,'Hose Fittings'!$A$8:$M$29,5,FALSE),
IF($A201&lt;'Swing Joints'!$A$495,VLOOKUP($A201,'Swing Joints'!$A$9:$M$494,5,FALSE),
IF($A201&lt;'Swing Joints Components'!$A$135,VLOOKUP($A201,'Swing Joints Components'!$A$9:$M$134,5,FALSE),
IF($A201&lt;Nonstandard!$A$42,VLOOKUP($A201,Nonstandard!$A$31:$J$41,6,FALSE),"")))))))))))))))))))))))))))),"")</f>
        <v/>
      </c>
      <c r="D201" s="534" t="str">
        <f>IFERROR(IF($A201&lt;'DWV PVC'!$A$317,VLOOKUP($A201,'DWV PVC'!$A$9:$M$316,6,FALSE),
IF($A201&lt;'DWV ABS'!$A$117,VLOOKUP($A201,'DWV ABS'!$A$8:$M$116,6,FALSE),
IF($A201&lt;'PVC SCH40'!$A$425,VLOOKUP($A201,'PVC SCH40'!$A$8:$M$424,6,FALSE),
IF($A201&lt;'PVC SCH40 LD'!$A$22,VLOOKUP($A201,'PVC SCH40 LD'!$A$8:$M$21,6,FALSE),
IF($A201&lt;'Pool &amp; SPA Sweep Elbows'!$A$12,VLOOKUP($A201,'Pool &amp; SPA Sweep Elbows'!$A$8:$M$11,6,FALSE),
IF($A201&lt;'Pool &amp; SPA Pipe Extender'!$A$11,VLOOKUP($A201,'Pool &amp; SPA Pipe Extender'!$A$8:$M$10,6,FALSE),
IF($A201&lt;'PVC SCH80'!$A$250,VLOOKUP($A201,'PVC SCH80'!$A$8:$M$249,6,FALSE),
IF($A201&lt;'PVC SCH80 Flange'!$A$49,VLOOKUP($A201,'PVC SCH80 Flange'!$A$8:$M$48,6,FALSE),
IF($A201&lt;'PVC SCH80 LD Flange'!$A$17,VLOOKUP($A201,'PVC SCH80 LD Flange'!$A$8:$M$16,6,FALSE),
IF($A201&lt;CPVC!$A$105,VLOOKUP($A201,CPVC!$A$9:$M$104,6,FALSE),
IF($A201&lt;InsertFittings!$A$185,VLOOKUP($A201,InsertFittings!$A$9:$M$184,6,FALSE),
IF($A201&lt;Valves!$A$92,VLOOKUP($A201,Valves!$A$9:$Q$91,6,FALSE),
IF($A201&lt;SDR35SW!$A$133,VLOOKUP($A201,SDR35SW!$A$9:$M$132,6,FALSE),
IF($A201&lt;SDR35G!$A$151,VLOOKUP($A201,SDR35G!$A$9:$M$150,6,FALSE),
IF($A201&lt;SDR26G!$A$67,VLOOKUP($A201,SDR26G!$A$9:$N$66,7,FALSE),
IF($A201&lt;Cements!$A$95,VLOOKUP($A201,Cements!$A$8:$Q$94,6,FALSE),
IF($A201&lt;ValveBox!$A$124,VLOOKUP($A201,ValveBox!$A$9:$O$123,6,FALSE),
IF($A201&lt;'ValveBox Components'!$A$142,VLOOKUP($A201,'ValveBox Components'!$A$9:$N$141,6,FALSE),
IF($A201&lt;Drainage!$A$69,VLOOKUP($A201,Drainage!$A$8:$M$68,6,FALSE),
IF($A201&lt;Nipples!$A$82,VLOOKUP($A201,Nipples!$A$9:$Q$81,6,FALSE),
IF($A201&lt;Manifold!$A$33,VLOOKUP($A201,Manifold!$A$9:$M$32,6,FALSE),
IF($A201&lt;FlexibleRepairCouplings!$A$12,VLOOKUP($A201,FlexibleRepairCouplings!$A$9:$M$11,6,FALSE),
IF($A201&lt;DuraFix!$A$15,VLOOKUP($A201,DuraFix!$A$9:$M$14,6,FALSE),
IF($A201&lt;'Compression Fittings'!$A$16,VLOOKUP($A201,'Compression Fittings'!$A$8:$M$15,6,FALSE),
IF($A201&lt;'Hose Fittings'!$A$30,VLOOKUP($A201,'Hose Fittings'!$A$8:$M$29,6,FALSE),
IF($A201&lt;'Swing Joints'!$A$495,VLOOKUP($A201,'Swing Joints'!$A$9:$M$494,6,FALSE),
IF($A201&lt;'Swing Joints Components'!$A$135,VLOOKUP($A201,'Swing Joints Components'!$A$9:$M$134,6,FALSE),
IF($A201&lt;Nonstandard!$A$42,VLOOKUP($A201,Nonstandard!$A$31:$J$41,7,FALSE),"")))))))))))))))))))))))))))),"")</f>
        <v/>
      </c>
      <c r="E201" s="316"/>
      <c r="F201" s="314" t="str">
        <f>IFERROR(IF($A201&lt;'DWV PVC'!$A$317,VLOOKUP($A201,'DWV PVC'!$A$9:$M$316,9,FALSE),
IF($A201&lt;'DWV ABS'!$A$117,VLOOKUP($A201,'DWV ABS'!$A$8:$M$116,9,FALSE),                                                                                                                                                                                                                                                     IF($A201&lt;'PVC SCH40'!$A$425,VLOOKUP($A201,'PVC SCH40'!$A$8:$M$424,9,FALSE),
IF($A201&lt;'PVC SCH40 LD'!$A$22,VLOOKUP($A201,'PVC SCH40 LD'!$A$8:$M$21,9,FALSE),
IF($A201&lt;'Pool &amp; SPA Sweep Elbows'!$A$12,VLOOKUP($A201,'Pool &amp; SPA Sweep Elbows'!$A$8:$M$11,9,FALSE),
IF($A201&lt;'Pool &amp; SPA Pipe Extender'!$A$11,VLOOKUP($A201,'Pool &amp; SPA Pipe Extender'!$A$8:$M$10,9,FALSE),
IF($A201&lt;'PVC SCH80'!$A$250,VLOOKUP($A201,'PVC SCH80'!$A$8:$M$249,9,FALSE),
IF($A201&lt;'PVC SCH80 Flange'!$A$49,VLOOKUP($A201,'PVC SCH80 Flange'!$A$8:$M$48,9,FALSE),
IF($A201&lt;'PVC SCH80 LD Flange'!$A$17,VLOOKUP($A201,'PVC SCH80 LD Flange'!$A$8:$M$16,9,FALSE),
IF($A201&lt;CPVC!$A$105,VLOOKUP($A201,CPVC!$A$9:$M$104,9,FALSE),
IF($A201&lt;InsertFittings!$A$185,VLOOKUP($A201,InsertFittings!$A$9:$M$184,9,FALSE),
IF($A201&lt;Valves!$A$92,VLOOKUP($A201,Valves!$A$9:$Q$91,13,FALSE),
IF($A201&lt;SDR35SW!$A$133,VLOOKUP($A201,SDR35SW!$A$9:$M$132,9,FALSE),
IF($A201&lt;SDR35G!$A$151,VLOOKUP($A201,SDR35G!$A$9:$M$150,9,FALSE),                                                                                                                                                                                                                                                          IF($A201&lt;SDR26G!$A$67,VLOOKUP($A201,SDR26G!$A$9:$N$66,10,FALSE),                                                                                                                                                                                                                                                       IF($A201&lt;Cements!$A$95,VLOOKUP($A201,Cements!$A$8:$Q$94,13,FALSE),
IF($A201&lt;ValveBox!$A$124,VLOOKUP($A201,ValveBox!$A$9:$O$123,11,FALSE),
IF($A201&lt;'ValveBox Components'!$A$142,VLOOKUP($A201,'ValveBox Components'!$A$9:$N$141,10,FALSE),
IF($A201&lt;Drainage!$A$69,VLOOKUP($A201,Drainage!$A$8:$M$68,9,FALSE),                                                                                                                                                                                                                                                              IF($A201&lt;Nipples!$A$82,VLOOKUP($A201,Nipples!$A$9:$Q$81,13,FALSE),
IF($A201&lt;Manifold!$A$33,VLOOKUP($A201,Manifold!$A$9:$M$32,9,FALSE),
IF($A201&lt;FlexibleRepairCouplings!$A$12,VLOOKUP($A201,FlexibleRepairCouplings!$A$9:$M$11,9,FALSE),
IF($A201&lt;DuraFix!$A$15,VLOOKUP($A201,DuraFix!$A$9:$M$14,9,FALSE),                                                                                                                                                                                                                                                          IF($A201&lt;'Compression Fittings'!$A$16,VLOOKUP($A201,'Compression Fittings'!$A$8:$M$15,9,FALSE),
IF($A201&lt;'Hose Fittings'!$A$30,VLOOKUP($A201,'Hose Fittings'!$A$8:$M$29,9,FALSE),
IF($A201&lt;'Swing Joints'!$A$495,VLOOKUP($A201,'Swing Joints'!$A$9:$M$494,9,FALSE),
IF($A201&lt;'Swing Joints Components'!$A$135,VLOOKUP($A201,'Swing Joints Components'!$A$9:$M$134,9,FALSE),
IF($A201&lt;Nonstandard!$A$42,VLOOKUP($A201,Nonstandard!$A$31:$J$41,8,FALSE),"")))))))))))))))))))))))))))),"")</f>
        <v/>
      </c>
      <c r="G201" s="533" t="str">
        <f>IFERROR(IF($A201&lt;'DWV PVC'!$A$317,VLOOKUP($A201,'DWV PVC'!$A$9:$M$316,11,FALSE),
IF($A201&lt;'DWV ABS'!$A$117,VLOOKUP($A201,'DWV ABS'!$A$8:$M$116,11,FALSE),                                                                                                                                                                                                                                                     IF($A201&lt;'PVC SCH40'!$A$425,VLOOKUP($A201,'PVC SCH40'!$A$8:$M$424,11,FALSE),
IF($A201&lt;'PVC SCH40 LD'!$A$22,VLOOKUP($A201,'PVC SCH40 LD'!$A$8:$M$21,11,FALSE),
IF($A201&lt;'Pool &amp; SPA Sweep Elbows'!$A$12,VLOOKUP($A201,'Pool &amp; SPA Sweep Elbows'!$A$8:$M$11,11,FALSE),
IF($A201&lt;'Pool &amp; SPA Pipe Extender'!$A$11,VLOOKUP($A201,'Pool &amp; SPA Pipe Extender'!$A$8:$M$10,11,FALSE),
IF($A201&lt;'PVC SCH80'!$A$250,VLOOKUP($A201,'PVC SCH80'!$A$8:$M$249,11,FALSE),
IF($A201&lt;'PVC SCH80 Flange'!$A$49,VLOOKUP($A201,'PVC SCH80 Flange'!$A$8:$M$48,11,FALSE),
IF($A201&lt;'PVC SCH80 LD Flange'!$A$17,VLOOKUP($A201,'PVC SCH80 LD Flange'!$A$8:$M$16,11,FALSE),
IF($A201&lt;CPVC!$A$105,VLOOKUP($A201,CPVC!$A$9:$M$104,11,FALSE),
IF($A201&lt;InsertFittings!$A$185,VLOOKUP($A201,InsertFittings!$A$9:$M$184,11,FALSE),
IF($A201&lt;Valves!$A$92,VLOOKUP($A201,Valves!$A$9:$Q$91,15,FALSE),
IF($A201&lt;SDR35SW!$A$133,VLOOKUP($A201,SDR35SW!$A$9:$M$132,11,FALSE),
IF($A201&lt;SDR35G!$A$151,VLOOKUP($A201,SDR35G!$A$9:$M$150,11,FALSE),                                                                                                                                                                                                                                                          IF($A201&lt;SDR26G!$A$67,VLOOKUP($A201,SDR26G!$A$9:$N$66,12,FALSE),                                                                                                                                                                                                                                                       IF($A201&lt;Cements!$A$95,VLOOKUP($A201,Cements!$A$8:$Q$94,15,FALSE),
IF($A201&lt;ValveBox!$A$124,VLOOKUP($A201,ValveBox!$A$9:$O$123,13,FALSE),
IF($A201&lt;'ValveBox Components'!$A$142,VLOOKUP($A201,'ValveBox Components'!$A$9:$N$141,12,FALSE),
IF($A201&lt;Drainage!$A$69,VLOOKUP($A201,Drainage!$A$8:$M$68,11,FALSE),                                                                                                                                                                                                                                                           IF($A201&lt;Nipples!$A$82,VLOOKUP($A201,Nipples!$A$9:$Q$81,15,FALSE),
IF($A201&lt;Manifold!$A$33,VLOOKUP($A201,Manifold!$A$9:$M$32,11,FALSE),
IF($A201&lt;FlexibleRepairCouplings!$A$12,VLOOKUP($A201,FlexibleRepairCouplings!$A$9:$M$11,11,FALSE),
IF($A201&lt;DuraFix!$A$15,VLOOKUP($A201,DuraFix!$A$9:$M$14,11,FALSE),                                                                                                                                                                                                                                                            IF($A201&lt;'Compression Fittings'!$A$16,VLOOKUP($A201,'Compression Fittings'!$A$8:$M$15,11,FALSE),
IF($A201&lt;'Hose Fittings'!$A$30,VLOOKUP($A201,'Hose Fittings'!$A$8:$M$29,11,FALSE),
IF($A201&lt;'Swing Joints'!$A$495,VLOOKUP($A201,'Swing Joints'!$A$9:$M$494,11,FALSE),
IF($A201&lt;'Swing Joints Components'!$A$135,VLOOKUP($A201,'Swing Joints Components'!$A$9:$M$134,11,FALSE),
IF($A201&lt;Nonstandard!$A$42,VLOOKUP($A201,Nonstandard!$A$31:$J$41,10,FALSE),"")))))))))))))))))))))))))))),"")</f>
        <v/>
      </c>
      <c r="H201" s="618" t="str">
        <f>IFERROR(IF($A201&lt;'DWV PVC'!$A$317,VLOOKUP($A201,'DWV PVC'!$A$9:$M$316,7,FALSE),
IF($A201&lt;'DWV ABS'!$A$117,VLOOKUP($A201,'DWV ABS'!$A$8:$M$116,11,FALSE),                                                                                                                                                                                                                                                     IF($A201&lt;'PVC SCH40'!$A$425,VLOOKUP($A201,'PVC SCH40'!$A$8:$M$424,7,FALSE),
IF($A201&lt;'PVC SCH40 LD'!$A$22,VLOOKUP($A201,'PVC SCH40 LD'!$A$8:$M$21,7,FALSE),
IF($A201&lt;'Pool &amp; SPA Sweep Elbows'!$A$12,VLOOKUP($A201,'Pool &amp; SPA Sweep Elbows'!$A$8:$M$11,7,FALSE),
IF($A201&lt;'Pool &amp; SPA Pipe Extender'!$A$11,VLOOKUP($A201,'Pool &amp; SPA Pipe Extender'!$A$8:$M$10,7,FALSE),
IF($A201&lt;'PVC SCH80'!$A$250,VLOOKUP($A201,'PVC SCH80'!$A$8:$M$249,7,FALSE),
IF($A201&lt;'PVC SCH80 Flange'!$A$49,VLOOKUP($A201,'PVC SCH80 Flange'!$A$8:$M$48,7,FALSE),
IF($A201&lt;'PVC SCH80 LD Flange'!$A$17,VLOOKUP($A201,'PVC SCH80 LD Flange'!$A$8:$M$16,7,FALSE),
IF($A201&lt;CPVC!$A$105,VLOOKUP($A201,CPVC!$A$9:$M$104,7,FALSE),
IF($A201&lt;InsertFittings!$A$185,VLOOKUP($A201,InsertFittings!$A$9:$M$184,7,FALSE),
IF($A201&lt;Valves!$A$92,VLOOKUP($A201,Valves!$A$9:$Q$91,11,FALSE),
IF($A201&lt;SDR35SW!$A$133,VLOOKUP($A201,SDR35SW!$A$9:$M$132,7,FALSE),
IF($A201&lt;SDR35G!$A$151,VLOOKUP($A201,SDR35G!$A$9:$M$150,7,FALSE),                                                                                                                                                                                                                                                       IF($A201&lt;SDR26G!$A$67,VLOOKUP($A201,SDR26G!$A$9:$N$66,8,FALSE),                                                                                                                                                                                                                                                     IF($A201&lt;Cements!$A$95,VLOOKUP($A201,Cements!$A$8:$Q$94,11,FALSE),
IF($A201&lt;ValveBox!$A$124,VLOOKUP($A201,ValveBox!$A$9:$O$123,10,FALSE),
IF($A201&lt;'ValveBox Components'!$A$142,VLOOKUP($A201,'ValveBox Components'!$A$9:$N$141,9,FALSE),
IF($A201&lt;Drainage!$A$69,VLOOKUP($A201,Drainage!$A$8:$M$68,7,FALSE),                                                                                                                                                                                                                                                          IF($A201&lt;Nipples!$A$82,VLOOKUP($A201,Nipples!$A$9:$Q$81,11,FALSE),
IF($A201&lt;Manifold!$A$33,VLOOKUP($A201,Manifold!$A$9:$M$32,7,FALSE),
IF($A201&lt;FlexibleRepairCouplings!$A$12,VLOOKUP($A201,FlexibleRepairCouplings!$A$9:$M$11,7,FALSE),
IF($A201&lt;DuraFix!$A$15,VLOOKUP($A201,DuraFix!$A$9:$M$14,7,FALSE),                                                                                                                                                                                                                                                           IF($A201&lt;'Compression Fittings'!$A$16,VLOOKUP($A201,'Compression Fittings'!$A$8:$M$15,7,FALSE),
IF($A201&lt;'Hose Fittings'!$A$30,VLOOKUP($A201,'Hose Fittings'!$A$8:$M$29,7,FALSE),
IF($A201&lt;'Swing Joints'!$A$495,VLOOKUP($A201,'Swing Joints'!$A$9:$M$494,7,FALSE),
IF($A201&lt;'Swing Joints Components'!$A$135,VLOOKUP($A201,'Swing Joints Components'!$A$9:$M$134,7,FALSE),
IF($A201&lt;Nonstandard!$A$42,VLOOKUP($A201,Nonstandard!$A$31:$J$41,10,FALSE),"")))))))))))))))))))))))))))),"")</f>
        <v/>
      </c>
      <c r="I201" s="619"/>
      <c r="J201" s="281" t="str">
        <f t="shared" si="5"/>
        <v/>
      </c>
      <c r="K201" s="313" t="str">
        <f>IFERROR(IF($A201&lt;'DWV PVC'!$A$317,VLOOKUP($A201,'DWV PVC'!$A$9:$M$316,10,FALSE),
IF($A201&lt;'DWV ABS'!$A$117,VLOOKUP($A201,'DWV ABS'!$A$8:$M$116,10,FALSE),
IF($A201&lt;'PVC SCH40'!$A$425,VLOOKUP($A201,'PVC SCH40'!$A$8:$M$424,10,FALSE),
IF($A201&lt;'PVC SCH40 LD'!$A$22,VLOOKUP($A201,'PVC SCH40 LD'!$A$8:$M$21,10,FALSE),
IF($A201&lt;'Pool &amp; SPA Sweep Elbows'!$A$12,VLOOKUP($A201,'Pool &amp; SPA Sweep Elbows'!$A$8:$M$11,10,FALSE),
IF($A201&lt;'Pool &amp; SPA Pipe Extender'!$A$11,VLOOKUP($A201,'Pool &amp; SPA Pipe Extender'!$A$8:$M$10,10,FALSE),
IF($A201&lt;'PVC SCH80'!$A$250,VLOOKUP($A201,'PVC SCH80'!$A$8:$M$249,10,FALSE),
IF($A201&lt;'PVC SCH80 Flange'!$A$49,VLOOKUP($A201,'PVC SCH80 Flange'!$A$8:$M$48,10,FALSE),
IF($A201&lt;'PVC SCH80 LD Flange'!$A$17,VLOOKUP($A201,'PVC SCH80 LD Flange'!$A$8:$M$16,10,FALSE),
IF($A201&lt;CPVC!$A$105,VLOOKUP($A201,CPVC!$A$9:$M$104,10,FALSE),
IF($A201&lt;InsertFittings!$A$185,VLOOKUP($A201,InsertFittings!$A$9:$M$184,10,FALSE),
IF($A201&lt;Valves!$A$92,VLOOKUP($A201,Valves!$A$9:$Q$91,14,FALSE),
IF($A201&lt;SDR35SW!$A$133,VLOOKUP($A201,SDR35SW!$A$9:$M$132,10,FALSE),
IF($A201&lt;SDR35G!$A$151,VLOOKUP($A201,SDR35G!$A$9:$M$150,10,FALSE),
IF($A201&lt;SDR26G!$A$67,VLOOKUP($A201,SDR26G!$A$9:$N$66,11,FALSE),
IF($A201&lt;Cements!$A$95,VLOOKUP($A201,Cements!$A$8:$Q$94,14,FALSE),
IF($A201&lt;ValveBox!$A$124,VLOOKUP($A201,ValveBox!$A$9:$O$123,12,FALSE),
IF($A201&lt;'ValveBox Components'!$A$142,VLOOKUP($A201,'ValveBox Components'!$A$9:$N$141,11,FALSE),
IF($A201&lt;Drainage!$A$69,VLOOKUP($A201,Drainage!$A$8:$M$68,10,FALSE),
IF($A201&lt;Nipples!$A$82,VLOOKUP($A201,Nipples!$A$9:$Q$81,14,FALSE),
IF($A201&lt;Manifold!$A$33,VLOOKUP($A201,Manifold!$A$9:$M$32,10,FALSE),
IF($A201&lt;FlexibleRepairCouplings!$A$12,VLOOKUP($A201,FlexibleRepairCouplings!$A$9:$M$11,10,FALSE),
IF($A201&lt;DuraFix!$A$15,VLOOKUP($A201,DuraFix!$A$9:$M$14,10,FALSE),
IF($A201&lt;'Compression Fittings'!$A$16,VLOOKUP($A201,'Compression Fittings'!$A$8:$M$15,10,FALSE),
IF($A201&lt;'Hose Fittings'!$A$30,VLOOKUP($A201,'Hose Fittings'!$A$8:$M$29,10,FALSE),
IF($A201&lt;'Swing Joints'!$A$495,VLOOKUP($A201,'Swing Joints'!$A$9:$M$494,10,FALSE),
IF($A201&lt;'Swing Joints Components'!$A$135,VLOOKUP($A201,'Swing Joints Components'!$A$9:$M$134,10,FALSE),
IF($A201&lt;Nonstandard!$A$42,VLOOKUP($A201,Nonstandard!$A$31:$J$41,10,FALSE),"")))))))))))))))))))))))))))),"")</f>
        <v/>
      </c>
      <c r="L201" s="314" t="str">
        <f t="shared" si="4"/>
        <v>-</v>
      </c>
      <c r="M201" s="315"/>
    </row>
    <row r="202" spans="1:13" ht="15.6">
      <c r="A202" s="536">
        <v>170</v>
      </c>
      <c r="B202" s="536" t="str">
        <f>IFERROR(IF($A202&lt;'DWV PVC'!$A$317,VLOOKUP($A202,'DWV PVC'!$A$9:$M$316,4,FALSE),
IF($A202&lt;'DWV ABS'!$A$117,VLOOKUP($A202,'DWV ABS'!$A$8:$M$116,4,FALSE),
IF($A202&lt;'PVC SCH40'!$A$425,VLOOKUP($A202,'PVC SCH40'!$A$8:$M$424,4,FALSE),
IF($A202&lt;'PVC SCH40 LD'!$A$22,VLOOKUP($A202,'PVC SCH40 LD'!$A$8:$M$21,4,FALSE),
IF($A202&lt;'Pool &amp; SPA Sweep Elbows'!$A$12,VLOOKUP($A202,'Pool &amp; SPA Sweep Elbows'!$A$8:$M$11,4,FALSE),
IF($A202&lt;'Pool &amp; SPA Pipe Extender'!$A$11,VLOOKUP($A202,'Pool &amp; SPA Pipe Extender'!$A$8:$M$10,4,FALSE),
IF($A202&lt;'PVC SCH80'!$A$250,VLOOKUP($A202,'PVC SCH80'!$A$8:$M$249,4,FALSE),
IF($A202&lt;'PVC SCH80 Flange'!$A$49,VLOOKUP($A202,'PVC SCH80 Flange'!$A$8:$M$48,4,FALSE),
IF($A202&lt;'PVC SCH80 LD Flange'!$A$17,VLOOKUP($A202,'PVC SCH80 LD Flange'!$A$8:$M$16,4,FALSE),
IF($A202&lt;CPVC!$A$105,VLOOKUP($A202,CPVC!$A$9:$M$104,4,FALSE),
IF($A202&lt;InsertFittings!$A$185,VLOOKUP($A202,InsertFittings!$A$9:$M$184,4,FALSE),
IF($A202&lt;Valves!$A$92,VLOOKUP($A202,Valves!$A$9:$Q$91,4,FALSE),
IF($A202&lt;SDR35SW!$A$133,VLOOKUP($A202,SDR35SW!$A$9:$M$132,4,FALSE),
IF($A202&lt;SDR35G!$A$151,VLOOKUP($A202,SDR35G!$A$9:$M$150,4,FALSE),
IF($A202&lt;SDR26G!$A$67,VLOOKUP($A202,SDR26G!$A$9:$N$66,5,FALSE),
IF($A202&lt;Cements!$A$95,VLOOKUP($A202,Cements!$A$8:$Q$94,4,FALSE),
IF($A202&lt;ValveBox!$A$124,VLOOKUP($A202,ValveBox!$A$9:$O$123,4,FALSE),
IF($A202&lt;'ValveBox Components'!$A$142,VLOOKUP($A202,'ValveBox Components'!$A$9:$N$141,4,FALSE),
IF($A202&lt;Drainage!$A$69,VLOOKUP($A202,Drainage!$A$8:$M$68,4,FALSE),
IF($A202&lt;Nipples!$A$82,VLOOKUP($A202,Nipples!$A$9:$Q$81,4,FALSE),
IF($A202&lt;Manifold!$A$33,VLOOKUP($A202,Manifold!$A$9:$M$32,4,FALSE),
IF($A202&lt;FlexibleRepairCouplings!$A$12,VLOOKUP($A202,FlexibleRepairCouplings!$A$9:$M$11,4,FALSE),
IF($A202&lt;DuraFix!$A$15,VLOOKUP($A202,DuraFix!$A$9:$M$14,4,FALSE),
IF($A202&lt;'Compression Fittings'!$A$16,VLOOKUP($A202,'Compression Fittings'!$A$8:$M$15,4,FALSE),
IF($A202&lt;'Hose Fittings'!$A$30,VLOOKUP($A202,'Hose Fittings'!$A$8:$M$29,4,FALSE),
IF($A202&lt;'Swing Joints'!$A$495,VLOOKUP($A202,'Swing Joints'!$A$9:$M$494,4,FALSE),
IF($A202&lt;'Swing Joints Components'!$A$135,VLOOKUP($A202,'Swing Joints Components'!$A$9:$M$134,4,FALSE),
IF($A202&lt;Nonstandard!$A$42,VLOOKUP($A202,Nonstandard!$A$31:$J$41,5,FALSE),"")))))))))))))))))))))))))))),"")</f>
        <v/>
      </c>
      <c r="C202" s="536" t="str">
        <f>IFERROR(IF($A202&lt;'DWV PVC'!$A$317,VLOOKUP($A202,'DWV PVC'!$A$9:$M$316,5,FALSE),
IF($A202&lt;'DWV ABS'!$A$117,VLOOKUP($A202,'DWV ABS'!$A$8:$M$116,5,FALSE),
IF($A202&lt;'PVC SCH40'!$A$425,VLOOKUP($A202,'PVC SCH40'!$A$8:$M$424,5,FALSE),
IF($A202&lt;'PVC SCH40 LD'!$A$22,VLOOKUP($A202,'PVC SCH40 LD'!$A$8:$M$21,5,FALSE),
IF($A202&lt;'Pool &amp; SPA Sweep Elbows'!$A$12,VLOOKUP($A202,'Pool &amp; SPA Sweep Elbows'!$A$8:$M$11,5,FALSE),
IF($A202&lt;'Pool &amp; SPA Pipe Extender'!$A$11,VLOOKUP($A202,'Pool &amp; SPA Pipe Extender'!$A$8:$M$10,5,FALSE),
IF($A202&lt;'PVC SCH80'!$A$250,VLOOKUP($A202,'PVC SCH80'!$A$8:$M$249,5,FALSE),
IF($A202&lt;'PVC SCH80 Flange'!$A$49,VLOOKUP($A202,'PVC SCH80 Flange'!$A$8:$M$48,5,FALSE),
IF($A202&lt;'PVC SCH80 LD Flange'!$A$17,VLOOKUP($A202,'PVC SCH80 LD Flange'!$A$8:$M$16,5,FALSE),
IF($A202&lt;CPVC!$A$105,VLOOKUP($A202,CPVC!$A$9:$M$104,5,FALSE),
IF($A202&lt;InsertFittings!$A$185,VLOOKUP($A202,InsertFittings!$A$9:$M$184,5,FALSE),
IF($A202&lt;Valves!$A$92,VLOOKUP($A202,Valves!$A$9:$Q$91,5,FALSE),
IF($A202&lt;SDR35SW!$A$133,VLOOKUP($A202,SDR35SW!$A$9:$M$132,5,FALSE),
IF($A202&lt;SDR35G!$A$151,VLOOKUP($A202,SDR35G!$A$9:$M$150,5,FALSE),
IF($A202&lt;SDR26G!$A$67,VLOOKUP($A202,SDR26G!$A$9:$N$66,6,FALSE),
IF($A202&lt;Cements!$A$95,VLOOKUP($A202,Cements!$A$8:$Q$94,5,FALSE),
IF($A202&lt;ValveBox!$A$124,VLOOKUP($A202,ValveBox!$A$9:$O$123,5,FALSE),
IF($A202&lt;'ValveBox Components'!$A$142,VLOOKUP($A202,'ValveBox Components'!$A$9:$N$141,5,FALSE),
IF($A202&lt;Drainage!$A$69,VLOOKUP($A202,Drainage!$A$8:$M$68,5,FALSE),
IF($A202&lt;Nipples!$A$82,VLOOKUP($A202,Nipples!$A$9:$Q$81,5,FALSE),
IF($A202&lt;Manifold!$A$33,VLOOKUP($A202,Manifold!$A$9:$M$32,5,FALSE),
IF($A202&lt;FlexibleRepairCouplings!$A$12,VLOOKUP($A202,FlexibleRepairCouplings!$A$9:$M$11,5,FALSE),
IF($A202&lt;DuraFix!$A$15,VLOOKUP($A202,DuraFix!$A$9:$M$14,5,FALSE),
IF($A202&lt;'Compression Fittings'!$A$16,VLOOKUP($A202,'Compression Fittings'!$A$8:$M$15,5,FALSE),
IF($A202&lt;'Hose Fittings'!$A$30,VLOOKUP($A202,'Hose Fittings'!$A$8:$M$29,5,FALSE),
IF($A202&lt;'Swing Joints'!$A$495,VLOOKUP($A202,'Swing Joints'!$A$9:$M$494,5,FALSE),
IF($A202&lt;'Swing Joints Components'!$A$135,VLOOKUP($A202,'Swing Joints Components'!$A$9:$M$134,5,FALSE),
IF($A202&lt;Nonstandard!$A$42,VLOOKUP($A202,Nonstandard!$A$31:$J$41,6,FALSE),"")))))))))))))))))))))))))))),"")</f>
        <v/>
      </c>
      <c r="D202" s="537" t="str">
        <f>IFERROR(IF($A202&lt;'DWV PVC'!$A$317,VLOOKUP($A202,'DWV PVC'!$A$9:$M$316,6,FALSE),
IF($A202&lt;'DWV ABS'!$A$117,VLOOKUP($A202,'DWV ABS'!$A$8:$M$116,6,FALSE),
IF($A202&lt;'PVC SCH40'!$A$425,VLOOKUP($A202,'PVC SCH40'!$A$8:$M$424,6,FALSE),
IF($A202&lt;'PVC SCH40 LD'!$A$22,VLOOKUP($A202,'PVC SCH40 LD'!$A$8:$M$21,6,FALSE),
IF($A202&lt;'Pool &amp; SPA Sweep Elbows'!$A$12,VLOOKUP($A202,'Pool &amp; SPA Sweep Elbows'!$A$8:$M$11,6,FALSE),
IF($A202&lt;'Pool &amp; SPA Pipe Extender'!$A$11,VLOOKUP($A202,'Pool &amp; SPA Pipe Extender'!$A$8:$M$10,6,FALSE),
IF($A202&lt;'PVC SCH80'!$A$250,VLOOKUP($A202,'PVC SCH80'!$A$8:$M$249,6,FALSE),
IF($A202&lt;'PVC SCH80 Flange'!$A$49,VLOOKUP($A202,'PVC SCH80 Flange'!$A$8:$M$48,6,FALSE),
IF($A202&lt;'PVC SCH80 LD Flange'!$A$17,VLOOKUP($A202,'PVC SCH80 LD Flange'!$A$8:$M$16,6,FALSE),
IF($A202&lt;CPVC!$A$105,VLOOKUP($A202,CPVC!$A$9:$M$104,6,FALSE),
IF($A202&lt;InsertFittings!$A$185,VLOOKUP($A202,InsertFittings!$A$9:$M$184,6,FALSE),
IF($A202&lt;Valves!$A$92,VLOOKUP($A202,Valves!$A$9:$Q$91,6,FALSE),
IF($A202&lt;SDR35SW!$A$133,VLOOKUP($A202,SDR35SW!$A$9:$M$132,6,FALSE),
IF($A202&lt;SDR35G!$A$151,VLOOKUP($A202,SDR35G!$A$9:$M$150,6,FALSE),
IF($A202&lt;SDR26G!$A$67,VLOOKUP($A202,SDR26G!$A$9:$N$66,7,FALSE),
IF($A202&lt;Cements!$A$95,VLOOKUP($A202,Cements!$A$8:$Q$94,6,FALSE),
IF($A202&lt;ValveBox!$A$124,VLOOKUP($A202,ValveBox!$A$9:$O$123,6,FALSE),
IF($A202&lt;'ValveBox Components'!$A$142,VLOOKUP($A202,'ValveBox Components'!$A$9:$N$141,6,FALSE),
IF($A202&lt;Drainage!$A$69,VLOOKUP($A202,Drainage!$A$8:$M$68,6,FALSE),
IF($A202&lt;Nipples!$A$82,VLOOKUP($A202,Nipples!$A$9:$Q$81,6,FALSE),
IF($A202&lt;Manifold!$A$33,VLOOKUP($A202,Manifold!$A$9:$M$32,6,FALSE),
IF($A202&lt;FlexibleRepairCouplings!$A$12,VLOOKUP($A202,FlexibleRepairCouplings!$A$9:$M$11,6,FALSE),
IF($A202&lt;DuraFix!$A$15,VLOOKUP($A202,DuraFix!$A$9:$M$14,6,FALSE),
IF($A202&lt;'Compression Fittings'!$A$16,VLOOKUP($A202,'Compression Fittings'!$A$8:$M$15,6,FALSE),
IF($A202&lt;'Hose Fittings'!$A$30,VLOOKUP($A202,'Hose Fittings'!$A$8:$M$29,6,FALSE),
IF($A202&lt;'Swing Joints'!$A$495,VLOOKUP($A202,'Swing Joints'!$A$9:$M$494,6,FALSE),
IF($A202&lt;'Swing Joints Components'!$A$135,VLOOKUP($A202,'Swing Joints Components'!$A$9:$M$134,6,FALSE),
IF($A202&lt;Nonstandard!$A$42,VLOOKUP($A202,Nonstandard!$A$31:$J$41,7,FALSE),"")))))))))))))))))))))))))))),"")</f>
        <v/>
      </c>
      <c r="E202" s="538"/>
      <c r="F202" s="539" t="str">
        <f>IFERROR(IF($A202&lt;'DWV PVC'!$A$317,VLOOKUP($A202,'DWV PVC'!$A$9:$M$316,9,FALSE),
IF($A202&lt;'DWV ABS'!$A$117,VLOOKUP($A202,'DWV ABS'!$A$8:$M$116,9,FALSE),                                                                                                                                                                                                                                                     IF($A202&lt;'PVC SCH40'!$A$425,VLOOKUP($A202,'PVC SCH40'!$A$8:$M$424,9,FALSE),
IF($A202&lt;'PVC SCH40 LD'!$A$22,VLOOKUP($A202,'PVC SCH40 LD'!$A$8:$M$21,9,FALSE),
IF($A202&lt;'Pool &amp; SPA Sweep Elbows'!$A$12,VLOOKUP($A202,'Pool &amp; SPA Sweep Elbows'!$A$8:$M$11,9,FALSE),
IF($A202&lt;'Pool &amp; SPA Pipe Extender'!$A$11,VLOOKUP($A202,'Pool &amp; SPA Pipe Extender'!$A$8:$M$10,9,FALSE),
IF($A202&lt;'PVC SCH80'!$A$250,VLOOKUP($A202,'PVC SCH80'!$A$8:$M$249,9,FALSE),
IF($A202&lt;'PVC SCH80 Flange'!$A$49,VLOOKUP($A202,'PVC SCH80 Flange'!$A$8:$M$48,9,FALSE),
IF($A202&lt;'PVC SCH80 LD Flange'!$A$17,VLOOKUP($A202,'PVC SCH80 LD Flange'!$A$8:$M$16,9,FALSE),
IF($A202&lt;CPVC!$A$105,VLOOKUP($A202,CPVC!$A$9:$M$104,9,FALSE),
IF($A202&lt;InsertFittings!$A$185,VLOOKUP($A202,InsertFittings!$A$9:$M$184,9,FALSE),
IF($A202&lt;Valves!$A$92,VLOOKUP($A202,Valves!$A$9:$Q$91,13,FALSE),
IF($A202&lt;SDR35SW!$A$133,VLOOKUP($A202,SDR35SW!$A$9:$M$132,9,FALSE),
IF($A202&lt;SDR35G!$A$151,VLOOKUP($A202,SDR35G!$A$9:$M$150,9,FALSE),                                                                                                                                                                                                                                                          IF($A202&lt;SDR26G!$A$67,VLOOKUP($A202,SDR26G!$A$9:$N$66,10,FALSE),                                                                                                                                                                                                                                                       IF($A202&lt;Cements!$A$95,VLOOKUP($A202,Cements!$A$8:$Q$94,13,FALSE),
IF($A202&lt;ValveBox!$A$124,VLOOKUP($A202,ValveBox!$A$9:$O$123,11,FALSE),
IF($A202&lt;'ValveBox Components'!$A$142,VLOOKUP($A202,'ValveBox Components'!$A$9:$N$141,10,FALSE),
IF($A202&lt;Drainage!$A$69,VLOOKUP($A202,Drainage!$A$8:$M$68,9,FALSE),                                                                                                                                                                                                                                                              IF($A202&lt;Nipples!$A$82,VLOOKUP($A202,Nipples!$A$9:$Q$81,13,FALSE),
IF($A202&lt;Manifold!$A$33,VLOOKUP($A202,Manifold!$A$9:$M$32,9,FALSE),
IF($A202&lt;FlexibleRepairCouplings!$A$12,VLOOKUP($A202,FlexibleRepairCouplings!$A$9:$M$11,9,FALSE),
IF($A202&lt;DuraFix!$A$15,VLOOKUP($A202,DuraFix!$A$9:$M$14,9,FALSE),                                                                                                                                                                                                                                                          IF($A202&lt;'Compression Fittings'!$A$16,VLOOKUP($A202,'Compression Fittings'!$A$8:$M$15,9,FALSE),
IF($A202&lt;'Hose Fittings'!$A$30,VLOOKUP($A202,'Hose Fittings'!$A$8:$M$29,9,FALSE),
IF($A202&lt;'Swing Joints'!$A$495,VLOOKUP($A202,'Swing Joints'!$A$9:$M$494,9,FALSE),
IF($A202&lt;'Swing Joints Components'!$A$135,VLOOKUP($A202,'Swing Joints Components'!$A$9:$M$134,9,FALSE),
IF($A202&lt;Nonstandard!$A$42,VLOOKUP($A202,Nonstandard!$A$31:$J$41,8,FALSE),"")))))))))))))))))))))))))))),"")</f>
        <v/>
      </c>
      <c r="G202" s="540" t="str">
        <f>IFERROR(IF($A202&lt;'DWV PVC'!$A$317,VLOOKUP($A202,'DWV PVC'!$A$9:$M$316,11,FALSE),
IF($A202&lt;'DWV ABS'!$A$117,VLOOKUP($A202,'DWV ABS'!$A$8:$M$116,11,FALSE),                                                                                                                                                                                                                                                     IF($A202&lt;'PVC SCH40'!$A$425,VLOOKUP($A202,'PVC SCH40'!$A$8:$M$424,11,FALSE),
IF($A202&lt;'PVC SCH40 LD'!$A$22,VLOOKUP($A202,'PVC SCH40 LD'!$A$8:$M$21,11,FALSE),
IF($A202&lt;'Pool &amp; SPA Sweep Elbows'!$A$12,VLOOKUP($A202,'Pool &amp; SPA Sweep Elbows'!$A$8:$M$11,11,FALSE),
IF($A202&lt;'Pool &amp; SPA Pipe Extender'!$A$11,VLOOKUP($A202,'Pool &amp; SPA Pipe Extender'!$A$8:$M$10,11,FALSE),
IF($A202&lt;'PVC SCH80'!$A$250,VLOOKUP($A202,'PVC SCH80'!$A$8:$M$249,11,FALSE),
IF($A202&lt;'PVC SCH80 Flange'!$A$49,VLOOKUP($A202,'PVC SCH80 Flange'!$A$8:$M$48,11,FALSE),
IF($A202&lt;'PVC SCH80 LD Flange'!$A$17,VLOOKUP($A202,'PVC SCH80 LD Flange'!$A$8:$M$16,11,FALSE),
IF($A202&lt;CPVC!$A$105,VLOOKUP($A202,CPVC!$A$9:$M$104,11,FALSE),
IF($A202&lt;InsertFittings!$A$185,VLOOKUP($A202,InsertFittings!$A$9:$M$184,11,FALSE),
IF($A202&lt;Valves!$A$92,VLOOKUP($A202,Valves!$A$9:$Q$91,15,FALSE),
IF($A202&lt;SDR35SW!$A$133,VLOOKUP($A202,SDR35SW!$A$9:$M$132,11,FALSE),
IF($A202&lt;SDR35G!$A$151,VLOOKUP($A202,SDR35G!$A$9:$M$150,11,FALSE),                                                                                                                                                                                                                                                          IF($A202&lt;SDR26G!$A$67,VLOOKUP($A202,SDR26G!$A$9:$N$66,12,FALSE),                                                                                                                                                                                                                                                       IF($A202&lt;Cements!$A$95,VLOOKUP($A202,Cements!$A$8:$Q$94,15,FALSE),
IF($A202&lt;ValveBox!$A$124,VLOOKUP($A202,ValveBox!$A$9:$O$123,13,FALSE),
IF($A202&lt;'ValveBox Components'!$A$142,VLOOKUP($A202,'ValveBox Components'!$A$9:$N$141,12,FALSE),
IF($A202&lt;Drainage!$A$69,VLOOKUP($A202,Drainage!$A$8:$M$68,11,FALSE),                                                                                                                                                                                                                                                           IF($A202&lt;Nipples!$A$82,VLOOKUP($A202,Nipples!$A$9:$Q$81,15,FALSE),
IF($A202&lt;Manifold!$A$33,VLOOKUP($A202,Manifold!$A$9:$M$32,11,FALSE),
IF($A202&lt;FlexibleRepairCouplings!$A$12,VLOOKUP($A202,FlexibleRepairCouplings!$A$9:$M$11,11,FALSE),
IF($A202&lt;DuraFix!$A$15,VLOOKUP($A202,DuraFix!$A$9:$M$14,11,FALSE),                                                                                                                                                                                                                                                            IF($A202&lt;'Compression Fittings'!$A$16,VLOOKUP($A202,'Compression Fittings'!$A$8:$M$15,11,FALSE),
IF($A202&lt;'Hose Fittings'!$A$30,VLOOKUP($A202,'Hose Fittings'!$A$8:$M$29,11,FALSE),
IF($A202&lt;'Swing Joints'!$A$495,VLOOKUP($A202,'Swing Joints'!$A$9:$M$494,11,FALSE),
IF($A202&lt;'Swing Joints Components'!$A$135,VLOOKUP($A202,'Swing Joints Components'!$A$9:$M$134,11,FALSE),
IF($A202&lt;Nonstandard!$A$42,VLOOKUP($A202,Nonstandard!$A$31:$J$41,10,FALSE),"")))))))))))))))))))))))))))),"")</f>
        <v/>
      </c>
      <c r="H202" s="620" t="str">
        <f>IFERROR(IF($A202&lt;'DWV PVC'!$A$317,VLOOKUP($A202,'DWV PVC'!$A$9:$M$316,7,FALSE),
IF($A202&lt;'DWV ABS'!$A$117,VLOOKUP($A202,'DWV ABS'!$A$8:$M$116,11,FALSE),                                                                                                                                                                                                                                                     IF($A202&lt;'PVC SCH40'!$A$425,VLOOKUP($A202,'PVC SCH40'!$A$8:$M$424,7,FALSE),
IF($A202&lt;'PVC SCH40 LD'!$A$22,VLOOKUP($A202,'PVC SCH40 LD'!$A$8:$M$21,7,FALSE),
IF($A202&lt;'Pool &amp; SPA Sweep Elbows'!$A$12,VLOOKUP($A202,'Pool &amp; SPA Sweep Elbows'!$A$8:$M$11,7,FALSE),
IF($A202&lt;'Pool &amp; SPA Pipe Extender'!$A$11,VLOOKUP($A202,'Pool &amp; SPA Pipe Extender'!$A$8:$M$10,7,FALSE),
IF($A202&lt;'PVC SCH80'!$A$250,VLOOKUP($A202,'PVC SCH80'!$A$8:$M$249,7,FALSE),
IF($A202&lt;'PVC SCH80 Flange'!$A$49,VLOOKUP($A202,'PVC SCH80 Flange'!$A$8:$M$48,7,FALSE),
IF($A202&lt;'PVC SCH80 LD Flange'!$A$17,VLOOKUP($A202,'PVC SCH80 LD Flange'!$A$8:$M$16,7,FALSE),
IF($A202&lt;CPVC!$A$105,VLOOKUP($A202,CPVC!$A$9:$M$104,7,FALSE),
IF($A202&lt;InsertFittings!$A$185,VLOOKUP($A202,InsertFittings!$A$9:$M$184,7,FALSE),
IF($A202&lt;Valves!$A$92,VLOOKUP($A202,Valves!$A$9:$Q$91,11,FALSE),
IF($A202&lt;SDR35SW!$A$133,VLOOKUP($A202,SDR35SW!$A$9:$M$132,7,FALSE),
IF($A202&lt;SDR35G!$A$151,VLOOKUP($A202,SDR35G!$A$9:$M$150,7,FALSE),                                                                                                                                                                                                                                                       IF($A202&lt;SDR26G!$A$67,VLOOKUP($A202,SDR26G!$A$9:$N$66,8,FALSE),                                                                                                                                                                                                                                                     IF($A202&lt;Cements!$A$95,VLOOKUP($A202,Cements!$A$8:$Q$94,11,FALSE),
IF($A202&lt;ValveBox!$A$124,VLOOKUP($A202,ValveBox!$A$9:$O$123,10,FALSE),
IF($A202&lt;'ValveBox Components'!$A$142,VLOOKUP($A202,'ValveBox Components'!$A$9:$N$141,9,FALSE),
IF($A202&lt;Drainage!$A$69,VLOOKUP($A202,Drainage!$A$8:$M$68,7,FALSE),                                                                                                                                                                                                                                                          IF($A202&lt;Nipples!$A$82,VLOOKUP($A202,Nipples!$A$9:$Q$81,11,FALSE),
IF($A202&lt;Manifold!$A$33,VLOOKUP($A202,Manifold!$A$9:$M$32,7,FALSE),
IF($A202&lt;FlexibleRepairCouplings!$A$12,VLOOKUP($A202,FlexibleRepairCouplings!$A$9:$M$11,7,FALSE),
IF($A202&lt;DuraFix!$A$15,VLOOKUP($A202,DuraFix!$A$9:$M$14,7,FALSE),                                                                                                                                                                                                                                                           IF($A202&lt;'Compression Fittings'!$A$16,VLOOKUP($A202,'Compression Fittings'!$A$8:$M$15,7,FALSE),
IF($A202&lt;'Hose Fittings'!$A$30,VLOOKUP($A202,'Hose Fittings'!$A$8:$M$29,7,FALSE),
IF($A202&lt;'Swing Joints'!$A$495,VLOOKUP($A202,'Swing Joints'!$A$9:$M$494,7,FALSE),
IF($A202&lt;'Swing Joints Components'!$A$135,VLOOKUP($A202,'Swing Joints Components'!$A$9:$M$134,7,FALSE),
IF($A202&lt;Nonstandard!$A$42,VLOOKUP($A202,Nonstandard!$A$31:$J$41,10,FALSE),"")))))))))))))))))))))))))))),"")</f>
        <v/>
      </c>
      <c r="I202" s="621"/>
      <c r="J202" s="541" t="str">
        <f t="shared" si="5"/>
        <v/>
      </c>
      <c r="K202" s="599" t="str">
        <f>IFERROR(IF($A202&lt;'DWV PVC'!$A$317,VLOOKUP($A202,'DWV PVC'!$A$9:$M$316,10,FALSE),
IF($A202&lt;'DWV ABS'!$A$117,VLOOKUP($A202,'DWV ABS'!$A$8:$M$116,10,FALSE),
IF($A202&lt;'PVC SCH40'!$A$425,VLOOKUP($A202,'PVC SCH40'!$A$8:$M$424,10,FALSE),
IF($A202&lt;'PVC SCH40 LD'!$A$22,VLOOKUP($A202,'PVC SCH40 LD'!$A$8:$M$21,10,FALSE),
IF($A202&lt;'Pool &amp; SPA Sweep Elbows'!$A$12,VLOOKUP($A202,'Pool &amp; SPA Sweep Elbows'!$A$8:$M$11,10,FALSE),
IF($A202&lt;'Pool &amp; SPA Pipe Extender'!$A$11,VLOOKUP($A202,'Pool &amp; SPA Pipe Extender'!$A$8:$M$10,10,FALSE),
IF($A202&lt;'PVC SCH80'!$A$250,VLOOKUP($A202,'PVC SCH80'!$A$8:$M$249,10,FALSE),
IF($A202&lt;'PVC SCH80 Flange'!$A$49,VLOOKUP($A202,'PVC SCH80 Flange'!$A$8:$M$48,10,FALSE),
IF($A202&lt;'PVC SCH80 LD Flange'!$A$17,VLOOKUP($A202,'PVC SCH80 LD Flange'!$A$8:$M$16,10,FALSE),
IF($A202&lt;CPVC!$A$105,VLOOKUP($A202,CPVC!$A$9:$M$104,10,FALSE),
IF($A202&lt;InsertFittings!$A$185,VLOOKUP($A202,InsertFittings!$A$9:$M$184,10,FALSE),
IF($A202&lt;Valves!$A$92,VLOOKUP($A202,Valves!$A$9:$Q$91,14,FALSE),
IF($A202&lt;SDR35SW!$A$133,VLOOKUP($A202,SDR35SW!$A$9:$M$132,10,FALSE),
IF($A202&lt;SDR35G!$A$151,VLOOKUP($A202,SDR35G!$A$9:$M$150,10,FALSE),
IF($A202&lt;SDR26G!$A$67,VLOOKUP($A202,SDR26G!$A$9:$N$66,11,FALSE),
IF($A202&lt;Cements!$A$95,VLOOKUP($A202,Cements!$A$8:$Q$94,14,FALSE),
IF($A202&lt;ValveBox!$A$124,VLOOKUP($A202,ValveBox!$A$9:$O$123,12,FALSE),
IF($A202&lt;'ValveBox Components'!$A$142,VLOOKUP($A202,'ValveBox Components'!$A$9:$N$141,11,FALSE),
IF($A202&lt;Drainage!$A$69,VLOOKUP($A202,Drainage!$A$8:$M$68,10,FALSE),
IF($A202&lt;Nipples!$A$82,VLOOKUP($A202,Nipples!$A$9:$Q$81,14,FALSE),
IF($A202&lt;Manifold!$A$33,VLOOKUP($A202,Manifold!$A$9:$M$32,10,FALSE),
IF($A202&lt;FlexibleRepairCouplings!$A$12,VLOOKUP($A202,FlexibleRepairCouplings!$A$9:$M$11,10,FALSE),
IF($A202&lt;DuraFix!$A$15,VLOOKUP($A202,DuraFix!$A$9:$M$14,10,FALSE),
IF($A202&lt;'Compression Fittings'!$A$16,VLOOKUP($A202,'Compression Fittings'!$A$8:$M$15,10,FALSE),
IF($A202&lt;'Hose Fittings'!$A$30,VLOOKUP($A202,'Hose Fittings'!$A$8:$M$29,10,FALSE),
IF($A202&lt;'Swing Joints'!$A$495,VLOOKUP($A202,'Swing Joints'!$A$9:$M$494,10,FALSE),
IF($A202&lt;'Swing Joints Components'!$A$135,VLOOKUP($A202,'Swing Joints Components'!$A$9:$M$134,10,FALSE),
IF($A202&lt;Nonstandard!$A$42,VLOOKUP($A202,Nonstandard!$A$31:$J$41,10,FALSE),"")))))))))))))))))))))))))))),"")</f>
        <v/>
      </c>
      <c r="L202" s="539" t="str">
        <f t="shared" si="4"/>
        <v>-</v>
      </c>
      <c r="M202" s="542"/>
    </row>
    <row r="203" spans="1:13" ht="15.6">
      <c r="A203" s="312">
        <v>171</v>
      </c>
      <c r="B203" s="312" t="str">
        <f>IFERROR(IF($A203&lt;'DWV PVC'!$A$317,VLOOKUP($A203,'DWV PVC'!$A$9:$M$316,4,FALSE),
IF($A203&lt;'DWV ABS'!$A$117,VLOOKUP($A203,'DWV ABS'!$A$8:$M$116,4,FALSE),
IF($A203&lt;'PVC SCH40'!$A$425,VLOOKUP($A203,'PVC SCH40'!$A$8:$M$424,4,FALSE),
IF($A203&lt;'PVC SCH40 LD'!$A$22,VLOOKUP($A203,'PVC SCH40 LD'!$A$8:$M$21,4,FALSE),
IF($A203&lt;'Pool &amp; SPA Sweep Elbows'!$A$12,VLOOKUP($A203,'Pool &amp; SPA Sweep Elbows'!$A$8:$M$11,4,FALSE),
IF($A203&lt;'Pool &amp; SPA Pipe Extender'!$A$11,VLOOKUP($A203,'Pool &amp; SPA Pipe Extender'!$A$8:$M$10,4,FALSE),
IF($A203&lt;'PVC SCH80'!$A$250,VLOOKUP($A203,'PVC SCH80'!$A$8:$M$249,4,FALSE),
IF($A203&lt;'PVC SCH80 Flange'!$A$49,VLOOKUP($A203,'PVC SCH80 Flange'!$A$8:$M$48,4,FALSE),
IF($A203&lt;'PVC SCH80 LD Flange'!$A$17,VLOOKUP($A203,'PVC SCH80 LD Flange'!$A$8:$M$16,4,FALSE),
IF($A203&lt;CPVC!$A$105,VLOOKUP($A203,CPVC!$A$9:$M$104,4,FALSE),
IF($A203&lt;InsertFittings!$A$185,VLOOKUP($A203,InsertFittings!$A$9:$M$184,4,FALSE),
IF($A203&lt;Valves!$A$92,VLOOKUP($A203,Valves!$A$9:$Q$91,4,FALSE),
IF($A203&lt;SDR35SW!$A$133,VLOOKUP($A203,SDR35SW!$A$9:$M$132,4,FALSE),
IF($A203&lt;SDR35G!$A$151,VLOOKUP($A203,SDR35G!$A$9:$M$150,4,FALSE),
IF($A203&lt;SDR26G!$A$67,VLOOKUP($A203,SDR26G!$A$9:$N$66,5,FALSE),
IF($A203&lt;Cements!$A$95,VLOOKUP($A203,Cements!$A$8:$Q$94,4,FALSE),
IF($A203&lt;ValveBox!$A$124,VLOOKUP($A203,ValveBox!$A$9:$O$123,4,FALSE),
IF($A203&lt;'ValveBox Components'!$A$142,VLOOKUP($A203,'ValveBox Components'!$A$9:$N$141,4,FALSE),
IF($A203&lt;Drainage!$A$69,VLOOKUP($A203,Drainage!$A$8:$M$68,4,FALSE),
IF($A203&lt;Nipples!$A$82,VLOOKUP($A203,Nipples!$A$9:$Q$81,4,FALSE),
IF($A203&lt;Manifold!$A$33,VLOOKUP($A203,Manifold!$A$9:$M$32,4,FALSE),
IF($A203&lt;FlexibleRepairCouplings!$A$12,VLOOKUP($A203,FlexibleRepairCouplings!$A$9:$M$11,4,FALSE),
IF($A203&lt;DuraFix!$A$15,VLOOKUP($A203,DuraFix!$A$9:$M$14,4,FALSE),
IF($A203&lt;'Compression Fittings'!$A$16,VLOOKUP($A203,'Compression Fittings'!$A$8:$M$15,4,FALSE),
IF($A203&lt;'Hose Fittings'!$A$30,VLOOKUP($A203,'Hose Fittings'!$A$8:$M$29,4,FALSE),
IF($A203&lt;'Swing Joints'!$A$495,VLOOKUP($A203,'Swing Joints'!$A$9:$M$494,4,FALSE),
IF($A203&lt;'Swing Joints Components'!$A$135,VLOOKUP($A203,'Swing Joints Components'!$A$9:$M$134,4,FALSE),
IF($A203&lt;Nonstandard!$A$42,VLOOKUP($A203,Nonstandard!$A$31:$J$41,5,FALSE),"")))))))))))))))))))))))))))),"")</f>
        <v/>
      </c>
      <c r="C203" s="312" t="str">
        <f>IFERROR(IF($A203&lt;'DWV PVC'!$A$317,VLOOKUP($A203,'DWV PVC'!$A$9:$M$316,5,FALSE),
IF($A203&lt;'DWV ABS'!$A$117,VLOOKUP($A203,'DWV ABS'!$A$8:$M$116,5,FALSE),
IF($A203&lt;'PVC SCH40'!$A$425,VLOOKUP($A203,'PVC SCH40'!$A$8:$M$424,5,FALSE),
IF($A203&lt;'PVC SCH40 LD'!$A$22,VLOOKUP($A203,'PVC SCH40 LD'!$A$8:$M$21,5,FALSE),
IF($A203&lt;'Pool &amp; SPA Sweep Elbows'!$A$12,VLOOKUP($A203,'Pool &amp; SPA Sweep Elbows'!$A$8:$M$11,5,FALSE),
IF($A203&lt;'Pool &amp; SPA Pipe Extender'!$A$11,VLOOKUP($A203,'Pool &amp; SPA Pipe Extender'!$A$8:$M$10,5,FALSE),
IF($A203&lt;'PVC SCH80'!$A$250,VLOOKUP($A203,'PVC SCH80'!$A$8:$M$249,5,FALSE),
IF($A203&lt;'PVC SCH80 Flange'!$A$49,VLOOKUP($A203,'PVC SCH80 Flange'!$A$8:$M$48,5,FALSE),
IF($A203&lt;'PVC SCH80 LD Flange'!$A$17,VLOOKUP($A203,'PVC SCH80 LD Flange'!$A$8:$M$16,5,FALSE),
IF($A203&lt;CPVC!$A$105,VLOOKUP($A203,CPVC!$A$9:$M$104,5,FALSE),
IF($A203&lt;InsertFittings!$A$185,VLOOKUP($A203,InsertFittings!$A$9:$M$184,5,FALSE),
IF($A203&lt;Valves!$A$92,VLOOKUP($A203,Valves!$A$9:$Q$91,5,FALSE),
IF($A203&lt;SDR35SW!$A$133,VLOOKUP($A203,SDR35SW!$A$9:$M$132,5,FALSE),
IF($A203&lt;SDR35G!$A$151,VLOOKUP($A203,SDR35G!$A$9:$M$150,5,FALSE),
IF($A203&lt;SDR26G!$A$67,VLOOKUP($A203,SDR26G!$A$9:$N$66,6,FALSE),
IF($A203&lt;Cements!$A$95,VLOOKUP($A203,Cements!$A$8:$Q$94,5,FALSE),
IF($A203&lt;ValveBox!$A$124,VLOOKUP($A203,ValveBox!$A$9:$O$123,5,FALSE),
IF($A203&lt;'ValveBox Components'!$A$142,VLOOKUP($A203,'ValveBox Components'!$A$9:$N$141,5,FALSE),
IF($A203&lt;Drainage!$A$69,VLOOKUP($A203,Drainage!$A$8:$M$68,5,FALSE),
IF($A203&lt;Nipples!$A$82,VLOOKUP($A203,Nipples!$A$9:$Q$81,5,FALSE),
IF($A203&lt;Manifold!$A$33,VLOOKUP($A203,Manifold!$A$9:$M$32,5,FALSE),
IF($A203&lt;FlexibleRepairCouplings!$A$12,VLOOKUP($A203,FlexibleRepairCouplings!$A$9:$M$11,5,FALSE),
IF($A203&lt;DuraFix!$A$15,VLOOKUP($A203,DuraFix!$A$9:$M$14,5,FALSE),
IF($A203&lt;'Compression Fittings'!$A$16,VLOOKUP($A203,'Compression Fittings'!$A$8:$M$15,5,FALSE),
IF($A203&lt;'Hose Fittings'!$A$30,VLOOKUP($A203,'Hose Fittings'!$A$8:$M$29,5,FALSE),
IF($A203&lt;'Swing Joints'!$A$495,VLOOKUP($A203,'Swing Joints'!$A$9:$M$494,5,FALSE),
IF($A203&lt;'Swing Joints Components'!$A$135,VLOOKUP($A203,'Swing Joints Components'!$A$9:$M$134,5,FALSE),
IF($A203&lt;Nonstandard!$A$42,VLOOKUP($A203,Nonstandard!$A$31:$J$41,6,FALSE),"")))))))))))))))))))))))))))),"")</f>
        <v/>
      </c>
      <c r="D203" s="534" t="str">
        <f>IFERROR(IF($A203&lt;'DWV PVC'!$A$317,VLOOKUP($A203,'DWV PVC'!$A$9:$M$316,6,FALSE),
IF($A203&lt;'DWV ABS'!$A$117,VLOOKUP($A203,'DWV ABS'!$A$8:$M$116,6,FALSE),
IF($A203&lt;'PVC SCH40'!$A$425,VLOOKUP($A203,'PVC SCH40'!$A$8:$M$424,6,FALSE),
IF($A203&lt;'PVC SCH40 LD'!$A$22,VLOOKUP($A203,'PVC SCH40 LD'!$A$8:$M$21,6,FALSE),
IF($A203&lt;'Pool &amp; SPA Sweep Elbows'!$A$12,VLOOKUP($A203,'Pool &amp; SPA Sweep Elbows'!$A$8:$M$11,6,FALSE),
IF($A203&lt;'Pool &amp; SPA Pipe Extender'!$A$11,VLOOKUP($A203,'Pool &amp; SPA Pipe Extender'!$A$8:$M$10,6,FALSE),
IF($A203&lt;'PVC SCH80'!$A$250,VLOOKUP($A203,'PVC SCH80'!$A$8:$M$249,6,FALSE),
IF($A203&lt;'PVC SCH80 Flange'!$A$49,VLOOKUP($A203,'PVC SCH80 Flange'!$A$8:$M$48,6,FALSE),
IF($A203&lt;'PVC SCH80 LD Flange'!$A$17,VLOOKUP($A203,'PVC SCH80 LD Flange'!$A$8:$M$16,6,FALSE),
IF($A203&lt;CPVC!$A$105,VLOOKUP($A203,CPVC!$A$9:$M$104,6,FALSE),
IF($A203&lt;InsertFittings!$A$185,VLOOKUP($A203,InsertFittings!$A$9:$M$184,6,FALSE),
IF($A203&lt;Valves!$A$92,VLOOKUP($A203,Valves!$A$9:$Q$91,6,FALSE),
IF($A203&lt;SDR35SW!$A$133,VLOOKUP($A203,SDR35SW!$A$9:$M$132,6,FALSE),
IF($A203&lt;SDR35G!$A$151,VLOOKUP($A203,SDR35G!$A$9:$M$150,6,FALSE),
IF($A203&lt;SDR26G!$A$67,VLOOKUP($A203,SDR26G!$A$9:$N$66,7,FALSE),
IF($A203&lt;Cements!$A$95,VLOOKUP($A203,Cements!$A$8:$Q$94,6,FALSE),
IF($A203&lt;ValveBox!$A$124,VLOOKUP($A203,ValveBox!$A$9:$O$123,6,FALSE),
IF($A203&lt;'ValveBox Components'!$A$142,VLOOKUP($A203,'ValveBox Components'!$A$9:$N$141,6,FALSE),
IF($A203&lt;Drainage!$A$69,VLOOKUP($A203,Drainage!$A$8:$M$68,6,FALSE),
IF($A203&lt;Nipples!$A$82,VLOOKUP($A203,Nipples!$A$9:$Q$81,6,FALSE),
IF($A203&lt;Manifold!$A$33,VLOOKUP($A203,Manifold!$A$9:$M$32,6,FALSE),
IF($A203&lt;FlexibleRepairCouplings!$A$12,VLOOKUP($A203,FlexibleRepairCouplings!$A$9:$M$11,6,FALSE),
IF($A203&lt;DuraFix!$A$15,VLOOKUP($A203,DuraFix!$A$9:$M$14,6,FALSE),
IF($A203&lt;'Compression Fittings'!$A$16,VLOOKUP($A203,'Compression Fittings'!$A$8:$M$15,6,FALSE),
IF($A203&lt;'Hose Fittings'!$A$30,VLOOKUP($A203,'Hose Fittings'!$A$8:$M$29,6,FALSE),
IF($A203&lt;'Swing Joints'!$A$495,VLOOKUP($A203,'Swing Joints'!$A$9:$M$494,6,FALSE),
IF($A203&lt;'Swing Joints Components'!$A$135,VLOOKUP($A203,'Swing Joints Components'!$A$9:$M$134,6,FALSE),
IF($A203&lt;Nonstandard!$A$42,VLOOKUP($A203,Nonstandard!$A$31:$J$41,7,FALSE),"")))))))))))))))))))))))))))),"")</f>
        <v/>
      </c>
      <c r="E203" s="316"/>
      <c r="F203" s="314" t="str">
        <f>IFERROR(IF($A203&lt;'DWV PVC'!$A$317,VLOOKUP($A203,'DWV PVC'!$A$9:$M$316,9,FALSE),
IF($A203&lt;'DWV ABS'!$A$117,VLOOKUP($A203,'DWV ABS'!$A$8:$M$116,9,FALSE),                                                                                                                                                                                                                                                     IF($A203&lt;'PVC SCH40'!$A$425,VLOOKUP($A203,'PVC SCH40'!$A$8:$M$424,9,FALSE),
IF($A203&lt;'PVC SCH40 LD'!$A$22,VLOOKUP($A203,'PVC SCH40 LD'!$A$8:$M$21,9,FALSE),
IF($A203&lt;'Pool &amp; SPA Sweep Elbows'!$A$12,VLOOKUP($A203,'Pool &amp; SPA Sweep Elbows'!$A$8:$M$11,9,FALSE),
IF($A203&lt;'Pool &amp; SPA Pipe Extender'!$A$11,VLOOKUP($A203,'Pool &amp; SPA Pipe Extender'!$A$8:$M$10,9,FALSE),
IF($A203&lt;'PVC SCH80'!$A$250,VLOOKUP($A203,'PVC SCH80'!$A$8:$M$249,9,FALSE),
IF($A203&lt;'PVC SCH80 Flange'!$A$49,VLOOKUP($A203,'PVC SCH80 Flange'!$A$8:$M$48,9,FALSE),
IF($A203&lt;'PVC SCH80 LD Flange'!$A$17,VLOOKUP($A203,'PVC SCH80 LD Flange'!$A$8:$M$16,9,FALSE),
IF($A203&lt;CPVC!$A$105,VLOOKUP($A203,CPVC!$A$9:$M$104,9,FALSE),
IF($A203&lt;InsertFittings!$A$185,VLOOKUP($A203,InsertFittings!$A$9:$M$184,9,FALSE),
IF($A203&lt;Valves!$A$92,VLOOKUP($A203,Valves!$A$9:$Q$91,13,FALSE),
IF($A203&lt;SDR35SW!$A$133,VLOOKUP($A203,SDR35SW!$A$9:$M$132,9,FALSE),
IF($A203&lt;SDR35G!$A$151,VLOOKUP($A203,SDR35G!$A$9:$M$150,9,FALSE),                                                                                                                                                                                                                                                          IF($A203&lt;SDR26G!$A$67,VLOOKUP($A203,SDR26G!$A$9:$N$66,10,FALSE),                                                                                                                                                                                                                                                       IF($A203&lt;Cements!$A$95,VLOOKUP($A203,Cements!$A$8:$Q$94,13,FALSE),
IF($A203&lt;ValveBox!$A$124,VLOOKUP($A203,ValveBox!$A$9:$O$123,11,FALSE),
IF($A203&lt;'ValveBox Components'!$A$142,VLOOKUP($A203,'ValveBox Components'!$A$9:$N$141,10,FALSE),
IF($A203&lt;Drainage!$A$69,VLOOKUP($A203,Drainage!$A$8:$M$68,9,FALSE),                                                                                                                                                                                                                                                              IF($A203&lt;Nipples!$A$82,VLOOKUP($A203,Nipples!$A$9:$Q$81,13,FALSE),
IF($A203&lt;Manifold!$A$33,VLOOKUP($A203,Manifold!$A$9:$M$32,9,FALSE),
IF($A203&lt;FlexibleRepairCouplings!$A$12,VLOOKUP($A203,FlexibleRepairCouplings!$A$9:$M$11,9,FALSE),
IF($A203&lt;DuraFix!$A$15,VLOOKUP($A203,DuraFix!$A$9:$M$14,9,FALSE),                                                                                                                                                                                                                                                          IF($A203&lt;'Compression Fittings'!$A$16,VLOOKUP($A203,'Compression Fittings'!$A$8:$M$15,9,FALSE),
IF($A203&lt;'Hose Fittings'!$A$30,VLOOKUP($A203,'Hose Fittings'!$A$8:$M$29,9,FALSE),
IF($A203&lt;'Swing Joints'!$A$495,VLOOKUP($A203,'Swing Joints'!$A$9:$M$494,9,FALSE),
IF($A203&lt;'Swing Joints Components'!$A$135,VLOOKUP($A203,'Swing Joints Components'!$A$9:$M$134,9,FALSE),
IF($A203&lt;Nonstandard!$A$42,VLOOKUP($A203,Nonstandard!$A$31:$J$41,8,FALSE),"")))))))))))))))))))))))))))),"")</f>
        <v/>
      </c>
      <c r="G203" s="533" t="str">
        <f>IFERROR(IF($A203&lt;'DWV PVC'!$A$317,VLOOKUP($A203,'DWV PVC'!$A$9:$M$316,11,FALSE),
IF($A203&lt;'DWV ABS'!$A$117,VLOOKUP($A203,'DWV ABS'!$A$8:$M$116,11,FALSE),                                                                                                                                                                                                                                                     IF($A203&lt;'PVC SCH40'!$A$425,VLOOKUP($A203,'PVC SCH40'!$A$8:$M$424,11,FALSE),
IF($A203&lt;'PVC SCH40 LD'!$A$22,VLOOKUP($A203,'PVC SCH40 LD'!$A$8:$M$21,11,FALSE),
IF($A203&lt;'Pool &amp; SPA Sweep Elbows'!$A$12,VLOOKUP($A203,'Pool &amp; SPA Sweep Elbows'!$A$8:$M$11,11,FALSE),
IF($A203&lt;'Pool &amp; SPA Pipe Extender'!$A$11,VLOOKUP($A203,'Pool &amp; SPA Pipe Extender'!$A$8:$M$10,11,FALSE),
IF($A203&lt;'PVC SCH80'!$A$250,VLOOKUP($A203,'PVC SCH80'!$A$8:$M$249,11,FALSE),
IF($A203&lt;'PVC SCH80 Flange'!$A$49,VLOOKUP($A203,'PVC SCH80 Flange'!$A$8:$M$48,11,FALSE),
IF($A203&lt;'PVC SCH80 LD Flange'!$A$17,VLOOKUP($A203,'PVC SCH80 LD Flange'!$A$8:$M$16,11,FALSE),
IF($A203&lt;CPVC!$A$105,VLOOKUP($A203,CPVC!$A$9:$M$104,11,FALSE),
IF($A203&lt;InsertFittings!$A$185,VLOOKUP($A203,InsertFittings!$A$9:$M$184,11,FALSE),
IF($A203&lt;Valves!$A$92,VLOOKUP($A203,Valves!$A$9:$Q$91,15,FALSE),
IF($A203&lt;SDR35SW!$A$133,VLOOKUP($A203,SDR35SW!$A$9:$M$132,11,FALSE),
IF($A203&lt;SDR35G!$A$151,VLOOKUP($A203,SDR35G!$A$9:$M$150,11,FALSE),                                                                                                                                                                                                                                                          IF($A203&lt;SDR26G!$A$67,VLOOKUP($A203,SDR26G!$A$9:$N$66,12,FALSE),                                                                                                                                                                                                                                                       IF($A203&lt;Cements!$A$95,VLOOKUP($A203,Cements!$A$8:$Q$94,15,FALSE),
IF($A203&lt;ValveBox!$A$124,VLOOKUP($A203,ValveBox!$A$9:$O$123,13,FALSE),
IF($A203&lt;'ValveBox Components'!$A$142,VLOOKUP($A203,'ValveBox Components'!$A$9:$N$141,12,FALSE),
IF($A203&lt;Drainage!$A$69,VLOOKUP($A203,Drainage!$A$8:$M$68,11,FALSE),                                                                                                                                                                                                                                                           IF($A203&lt;Nipples!$A$82,VLOOKUP($A203,Nipples!$A$9:$Q$81,15,FALSE),
IF($A203&lt;Manifold!$A$33,VLOOKUP($A203,Manifold!$A$9:$M$32,11,FALSE),
IF($A203&lt;FlexibleRepairCouplings!$A$12,VLOOKUP($A203,FlexibleRepairCouplings!$A$9:$M$11,11,FALSE),
IF($A203&lt;DuraFix!$A$15,VLOOKUP($A203,DuraFix!$A$9:$M$14,11,FALSE),                                                                                                                                                                                                                                                            IF($A203&lt;'Compression Fittings'!$A$16,VLOOKUP($A203,'Compression Fittings'!$A$8:$M$15,11,FALSE),
IF($A203&lt;'Hose Fittings'!$A$30,VLOOKUP($A203,'Hose Fittings'!$A$8:$M$29,11,FALSE),
IF($A203&lt;'Swing Joints'!$A$495,VLOOKUP($A203,'Swing Joints'!$A$9:$M$494,11,FALSE),
IF($A203&lt;'Swing Joints Components'!$A$135,VLOOKUP($A203,'Swing Joints Components'!$A$9:$M$134,11,FALSE),
IF($A203&lt;Nonstandard!$A$42,VLOOKUP($A203,Nonstandard!$A$31:$J$41,10,FALSE),"")))))))))))))))))))))))))))),"")</f>
        <v/>
      </c>
      <c r="H203" s="618" t="str">
        <f>IFERROR(IF($A203&lt;'DWV PVC'!$A$317,VLOOKUP($A203,'DWV PVC'!$A$9:$M$316,7,FALSE),
IF($A203&lt;'DWV ABS'!$A$117,VLOOKUP($A203,'DWV ABS'!$A$8:$M$116,11,FALSE),                                                                                                                                                                                                                                                     IF($A203&lt;'PVC SCH40'!$A$425,VLOOKUP($A203,'PVC SCH40'!$A$8:$M$424,7,FALSE),
IF($A203&lt;'PVC SCH40 LD'!$A$22,VLOOKUP($A203,'PVC SCH40 LD'!$A$8:$M$21,7,FALSE),
IF($A203&lt;'Pool &amp; SPA Sweep Elbows'!$A$12,VLOOKUP($A203,'Pool &amp; SPA Sweep Elbows'!$A$8:$M$11,7,FALSE),
IF($A203&lt;'Pool &amp; SPA Pipe Extender'!$A$11,VLOOKUP($A203,'Pool &amp; SPA Pipe Extender'!$A$8:$M$10,7,FALSE),
IF($A203&lt;'PVC SCH80'!$A$250,VLOOKUP($A203,'PVC SCH80'!$A$8:$M$249,7,FALSE),
IF($A203&lt;'PVC SCH80 Flange'!$A$49,VLOOKUP($A203,'PVC SCH80 Flange'!$A$8:$M$48,7,FALSE),
IF($A203&lt;'PVC SCH80 LD Flange'!$A$17,VLOOKUP($A203,'PVC SCH80 LD Flange'!$A$8:$M$16,7,FALSE),
IF($A203&lt;CPVC!$A$105,VLOOKUP($A203,CPVC!$A$9:$M$104,7,FALSE),
IF($A203&lt;InsertFittings!$A$185,VLOOKUP($A203,InsertFittings!$A$9:$M$184,7,FALSE),
IF($A203&lt;Valves!$A$92,VLOOKUP($A203,Valves!$A$9:$Q$91,11,FALSE),
IF($A203&lt;SDR35SW!$A$133,VLOOKUP($A203,SDR35SW!$A$9:$M$132,7,FALSE),
IF($A203&lt;SDR35G!$A$151,VLOOKUP($A203,SDR35G!$A$9:$M$150,7,FALSE),                                                                                                                                                                                                                                                       IF($A203&lt;SDR26G!$A$67,VLOOKUP($A203,SDR26G!$A$9:$N$66,8,FALSE),                                                                                                                                                                                                                                                     IF($A203&lt;Cements!$A$95,VLOOKUP($A203,Cements!$A$8:$Q$94,11,FALSE),
IF($A203&lt;ValveBox!$A$124,VLOOKUP($A203,ValveBox!$A$9:$O$123,10,FALSE),
IF($A203&lt;'ValveBox Components'!$A$142,VLOOKUP($A203,'ValveBox Components'!$A$9:$N$141,9,FALSE),
IF($A203&lt;Drainage!$A$69,VLOOKUP($A203,Drainage!$A$8:$M$68,7,FALSE),                                                                                                                                                                                                                                                          IF($A203&lt;Nipples!$A$82,VLOOKUP($A203,Nipples!$A$9:$Q$81,11,FALSE),
IF($A203&lt;Manifold!$A$33,VLOOKUP($A203,Manifold!$A$9:$M$32,7,FALSE),
IF($A203&lt;FlexibleRepairCouplings!$A$12,VLOOKUP($A203,FlexibleRepairCouplings!$A$9:$M$11,7,FALSE),
IF($A203&lt;DuraFix!$A$15,VLOOKUP($A203,DuraFix!$A$9:$M$14,7,FALSE),                                                                                                                                                                                                                                                           IF($A203&lt;'Compression Fittings'!$A$16,VLOOKUP($A203,'Compression Fittings'!$A$8:$M$15,7,FALSE),
IF($A203&lt;'Hose Fittings'!$A$30,VLOOKUP($A203,'Hose Fittings'!$A$8:$M$29,7,FALSE),
IF($A203&lt;'Swing Joints'!$A$495,VLOOKUP($A203,'Swing Joints'!$A$9:$M$494,7,FALSE),
IF($A203&lt;'Swing Joints Components'!$A$135,VLOOKUP($A203,'Swing Joints Components'!$A$9:$M$134,7,FALSE),
IF($A203&lt;Nonstandard!$A$42,VLOOKUP($A203,Nonstandard!$A$31:$J$41,10,FALSE),"")))))))))))))))))))))))))))),"")</f>
        <v/>
      </c>
      <c r="I203" s="619"/>
      <c r="J203" s="281" t="str">
        <f t="shared" si="5"/>
        <v/>
      </c>
      <c r="K203" s="313" t="str">
        <f>IFERROR(IF($A203&lt;'DWV PVC'!$A$317,VLOOKUP($A203,'DWV PVC'!$A$9:$M$316,10,FALSE),
IF($A203&lt;'DWV ABS'!$A$117,VLOOKUP($A203,'DWV ABS'!$A$8:$M$116,10,FALSE),
IF($A203&lt;'PVC SCH40'!$A$425,VLOOKUP($A203,'PVC SCH40'!$A$8:$M$424,10,FALSE),
IF($A203&lt;'PVC SCH40 LD'!$A$22,VLOOKUP($A203,'PVC SCH40 LD'!$A$8:$M$21,10,FALSE),
IF($A203&lt;'Pool &amp; SPA Sweep Elbows'!$A$12,VLOOKUP($A203,'Pool &amp; SPA Sweep Elbows'!$A$8:$M$11,10,FALSE),
IF($A203&lt;'Pool &amp; SPA Pipe Extender'!$A$11,VLOOKUP($A203,'Pool &amp; SPA Pipe Extender'!$A$8:$M$10,10,FALSE),
IF($A203&lt;'PVC SCH80'!$A$250,VLOOKUP($A203,'PVC SCH80'!$A$8:$M$249,10,FALSE),
IF($A203&lt;'PVC SCH80 Flange'!$A$49,VLOOKUP($A203,'PVC SCH80 Flange'!$A$8:$M$48,10,FALSE),
IF($A203&lt;'PVC SCH80 LD Flange'!$A$17,VLOOKUP($A203,'PVC SCH80 LD Flange'!$A$8:$M$16,10,FALSE),
IF($A203&lt;CPVC!$A$105,VLOOKUP($A203,CPVC!$A$9:$M$104,10,FALSE),
IF($A203&lt;InsertFittings!$A$185,VLOOKUP($A203,InsertFittings!$A$9:$M$184,10,FALSE),
IF($A203&lt;Valves!$A$92,VLOOKUP($A203,Valves!$A$9:$Q$91,14,FALSE),
IF($A203&lt;SDR35SW!$A$133,VLOOKUP($A203,SDR35SW!$A$9:$M$132,10,FALSE),
IF($A203&lt;SDR35G!$A$151,VLOOKUP($A203,SDR35G!$A$9:$M$150,10,FALSE),
IF($A203&lt;SDR26G!$A$67,VLOOKUP($A203,SDR26G!$A$9:$N$66,11,FALSE),
IF($A203&lt;Cements!$A$95,VLOOKUP($A203,Cements!$A$8:$Q$94,14,FALSE),
IF($A203&lt;ValveBox!$A$124,VLOOKUP($A203,ValveBox!$A$9:$O$123,12,FALSE),
IF($A203&lt;'ValveBox Components'!$A$142,VLOOKUP($A203,'ValveBox Components'!$A$9:$N$141,11,FALSE),
IF($A203&lt;Drainage!$A$69,VLOOKUP($A203,Drainage!$A$8:$M$68,10,FALSE),
IF($A203&lt;Nipples!$A$82,VLOOKUP($A203,Nipples!$A$9:$Q$81,14,FALSE),
IF($A203&lt;Manifold!$A$33,VLOOKUP($A203,Manifold!$A$9:$M$32,10,FALSE),
IF($A203&lt;FlexibleRepairCouplings!$A$12,VLOOKUP($A203,FlexibleRepairCouplings!$A$9:$M$11,10,FALSE),
IF($A203&lt;DuraFix!$A$15,VLOOKUP($A203,DuraFix!$A$9:$M$14,10,FALSE),
IF($A203&lt;'Compression Fittings'!$A$16,VLOOKUP($A203,'Compression Fittings'!$A$8:$M$15,10,FALSE),
IF($A203&lt;'Hose Fittings'!$A$30,VLOOKUP($A203,'Hose Fittings'!$A$8:$M$29,10,FALSE),
IF($A203&lt;'Swing Joints'!$A$495,VLOOKUP($A203,'Swing Joints'!$A$9:$M$494,10,FALSE),
IF($A203&lt;'Swing Joints Components'!$A$135,VLOOKUP($A203,'Swing Joints Components'!$A$9:$M$134,10,FALSE),
IF($A203&lt;Nonstandard!$A$42,VLOOKUP($A203,Nonstandard!$A$31:$J$41,10,FALSE),"")))))))))))))))))))))))))))),"")</f>
        <v/>
      </c>
      <c r="L203" s="314" t="str">
        <f t="shared" si="4"/>
        <v>-</v>
      </c>
      <c r="M203" s="315"/>
    </row>
    <row r="204" spans="1:13" ht="15.6">
      <c r="A204" s="536">
        <v>172</v>
      </c>
      <c r="B204" s="536" t="str">
        <f>IFERROR(IF($A204&lt;'DWV PVC'!$A$317,VLOOKUP($A204,'DWV PVC'!$A$9:$M$316,4,FALSE),
IF($A204&lt;'DWV ABS'!$A$117,VLOOKUP($A204,'DWV ABS'!$A$8:$M$116,4,FALSE),
IF($A204&lt;'PVC SCH40'!$A$425,VLOOKUP($A204,'PVC SCH40'!$A$8:$M$424,4,FALSE),
IF($A204&lt;'PVC SCH40 LD'!$A$22,VLOOKUP($A204,'PVC SCH40 LD'!$A$8:$M$21,4,FALSE),
IF($A204&lt;'Pool &amp; SPA Sweep Elbows'!$A$12,VLOOKUP($A204,'Pool &amp; SPA Sweep Elbows'!$A$8:$M$11,4,FALSE),
IF($A204&lt;'Pool &amp; SPA Pipe Extender'!$A$11,VLOOKUP($A204,'Pool &amp; SPA Pipe Extender'!$A$8:$M$10,4,FALSE),
IF($A204&lt;'PVC SCH80'!$A$250,VLOOKUP($A204,'PVC SCH80'!$A$8:$M$249,4,FALSE),
IF($A204&lt;'PVC SCH80 Flange'!$A$49,VLOOKUP($A204,'PVC SCH80 Flange'!$A$8:$M$48,4,FALSE),
IF($A204&lt;'PVC SCH80 LD Flange'!$A$17,VLOOKUP($A204,'PVC SCH80 LD Flange'!$A$8:$M$16,4,FALSE),
IF($A204&lt;CPVC!$A$105,VLOOKUP($A204,CPVC!$A$9:$M$104,4,FALSE),
IF($A204&lt;InsertFittings!$A$185,VLOOKUP($A204,InsertFittings!$A$9:$M$184,4,FALSE),
IF($A204&lt;Valves!$A$92,VLOOKUP($A204,Valves!$A$9:$Q$91,4,FALSE),
IF($A204&lt;SDR35SW!$A$133,VLOOKUP($A204,SDR35SW!$A$9:$M$132,4,FALSE),
IF($A204&lt;SDR35G!$A$151,VLOOKUP($A204,SDR35G!$A$9:$M$150,4,FALSE),
IF($A204&lt;SDR26G!$A$67,VLOOKUP($A204,SDR26G!$A$9:$N$66,5,FALSE),
IF($A204&lt;Cements!$A$95,VLOOKUP($A204,Cements!$A$8:$Q$94,4,FALSE),
IF($A204&lt;ValveBox!$A$124,VLOOKUP($A204,ValveBox!$A$9:$O$123,4,FALSE),
IF($A204&lt;'ValveBox Components'!$A$142,VLOOKUP($A204,'ValveBox Components'!$A$9:$N$141,4,FALSE),
IF($A204&lt;Drainage!$A$69,VLOOKUP($A204,Drainage!$A$8:$M$68,4,FALSE),
IF($A204&lt;Nipples!$A$82,VLOOKUP($A204,Nipples!$A$9:$Q$81,4,FALSE),
IF($A204&lt;Manifold!$A$33,VLOOKUP($A204,Manifold!$A$9:$M$32,4,FALSE),
IF($A204&lt;FlexibleRepairCouplings!$A$12,VLOOKUP($A204,FlexibleRepairCouplings!$A$9:$M$11,4,FALSE),
IF($A204&lt;DuraFix!$A$15,VLOOKUP($A204,DuraFix!$A$9:$M$14,4,FALSE),
IF($A204&lt;'Compression Fittings'!$A$16,VLOOKUP($A204,'Compression Fittings'!$A$8:$M$15,4,FALSE),
IF($A204&lt;'Hose Fittings'!$A$30,VLOOKUP($A204,'Hose Fittings'!$A$8:$M$29,4,FALSE),
IF($A204&lt;'Swing Joints'!$A$495,VLOOKUP($A204,'Swing Joints'!$A$9:$M$494,4,FALSE),
IF($A204&lt;'Swing Joints Components'!$A$135,VLOOKUP($A204,'Swing Joints Components'!$A$9:$M$134,4,FALSE),
IF($A204&lt;Nonstandard!$A$42,VLOOKUP($A204,Nonstandard!$A$31:$J$41,5,FALSE),"")))))))))))))))))))))))))))),"")</f>
        <v/>
      </c>
      <c r="C204" s="536" t="str">
        <f>IFERROR(IF($A204&lt;'DWV PVC'!$A$317,VLOOKUP($A204,'DWV PVC'!$A$9:$M$316,5,FALSE),
IF($A204&lt;'DWV ABS'!$A$117,VLOOKUP($A204,'DWV ABS'!$A$8:$M$116,5,FALSE),
IF($A204&lt;'PVC SCH40'!$A$425,VLOOKUP($A204,'PVC SCH40'!$A$8:$M$424,5,FALSE),
IF($A204&lt;'PVC SCH40 LD'!$A$22,VLOOKUP($A204,'PVC SCH40 LD'!$A$8:$M$21,5,FALSE),
IF($A204&lt;'Pool &amp; SPA Sweep Elbows'!$A$12,VLOOKUP($A204,'Pool &amp; SPA Sweep Elbows'!$A$8:$M$11,5,FALSE),
IF($A204&lt;'Pool &amp; SPA Pipe Extender'!$A$11,VLOOKUP($A204,'Pool &amp; SPA Pipe Extender'!$A$8:$M$10,5,FALSE),
IF($A204&lt;'PVC SCH80'!$A$250,VLOOKUP($A204,'PVC SCH80'!$A$8:$M$249,5,FALSE),
IF($A204&lt;'PVC SCH80 Flange'!$A$49,VLOOKUP($A204,'PVC SCH80 Flange'!$A$8:$M$48,5,FALSE),
IF($A204&lt;'PVC SCH80 LD Flange'!$A$17,VLOOKUP($A204,'PVC SCH80 LD Flange'!$A$8:$M$16,5,FALSE),
IF($A204&lt;CPVC!$A$105,VLOOKUP($A204,CPVC!$A$9:$M$104,5,FALSE),
IF($A204&lt;InsertFittings!$A$185,VLOOKUP($A204,InsertFittings!$A$9:$M$184,5,FALSE),
IF($A204&lt;Valves!$A$92,VLOOKUP($A204,Valves!$A$9:$Q$91,5,FALSE),
IF($A204&lt;SDR35SW!$A$133,VLOOKUP($A204,SDR35SW!$A$9:$M$132,5,FALSE),
IF($A204&lt;SDR35G!$A$151,VLOOKUP($A204,SDR35G!$A$9:$M$150,5,FALSE),
IF($A204&lt;SDR26G!$A$67,VLOOKUP($A204,SDR26G!$A$9:$N$66,6,FALSE),
IF($A204&lt;Cements!$A$95,VLOOKUP($A204,Cements!$A$8:$Q$94,5,FALSE),
IF($A204&lt;ValveBox!$A$124,VLOOKUP($A204,ValveBox!$A$9:$O$123,5,FALSE),
IF($A204&lt;'ValveBox Components'!$A$142,VLOOKUP($A204,'ValveBox Components'!$A$9:$N$141,5,FALSE),
IF($A204&lt;Drainage!$A$69,VLOOKUP($A204,Drainage!$A$8:$M$68,5,FALSE),
IF($A204&lt;Nipples!$A$82,VLOOKUP($A204,Nipples!$A$9:$Q$81,5,FALSE),
IF($A204&lt;Manifold!$A$33,VLOOKUP($A204,Manifold!$A$9:$M$32,5,FALSE),
IF($A204&lt;FlexibleRepairCouplings!$A$12,VLOOKUP($A204,FlexibleRepairCouplings!$A$9:$M$11,5,FALSE),
IF($A204&lt;DuraFix!$A$15,VLOOKUP($A204,DuraFix!$A$9:$M$14,5,FALSE),
IF($A204&lt;'Compression Fittings'!$A$16,VLOOKUP($A204,'Compression Fittings'!$A$8:$M$15,5,FALSE),
IF($A204&lt;'Hose Fittings'!$A$30,VLOOKUP($A204,'Hose Fittings'!$A$8:$M$29,5,FALSE),
IF($A204&lt;'Swing Joints'!$A$495,VLOOKUP($A204,'Swing Joints'!$A$9:$M$494,5,FALSE),
IF($A204&lt;'Swing Joints Components'!$A$135,VLOOKUP($A204,'Swing Joints Components'!$A$9:$M$134,5,FALSE),
IF($A204&lt;Nonstandard!$A$42,VLOOKUP($A204,Nonstandard!$A$31:$J$41,6,FALSE),"")))))))))))))))))))))))))))),"")</f>
        <v/>
      </c>
      <c r="D204" s="537" t="str">
        <f>IFERROR(IF($A204&lt;'DWV PVC'!$A$317,VLOOKUP($A204,'DWV PVC'!$A$9:$M$316,6,FALSE),
IF($A204&lt;'DWV ABS'!$A$117,VLOOKUP($A204,'DWV ABS'!$A$8:$M$116,6,FALSE),
IF($A204&lt;'PVC SCH40'!$A$425,VLOOKUP($A204,'PVC SCH40'!$A$8:$M$424,6,FALSE),
IF($A204&lt;'PVC SCH40 LD'!$A$22,VLOOKUP($A204,'PVC SCH40 LD'!$A$8:$M$21,6,FALSE),
IF($A204&lt;'Pool &amp; SPA Sweep Elbows'!$A$12,VLOOKUP($A204,'Pool &amp; SPA Sweep Elbows'!$A$8:$M$11,6,FALSE),
IF($A204&lt;'Pool &amp; SPA Pipe Extender'!$A$11,VLOOKUP($A204,'Pool &amp; SPA Pipe Extender'!$A$8:$M$10,6,FALSE),
IF($A204&lt;'PVC SCH80'!$A$250,VLOOKUP($A204,'PVC SCH80'!$A$8:$M$249,6,FALSE),
IF($A204&lt;'PVC SCH80 Flange'!$A$49,VLOOKUP($A204,'PVC SCH80 Flange'!$A$8:$M$48,6,FALSE),
IF($A204&lt;'PVC SCH80 LD Flange'!$A$17,VLOOKUP($A204,'PVC SCH80 LD Flange'!$A$8:$M$16,6,FALSE),
IF($A204&lt;CPVC!$A$105,VLOOKUP($A204,CPVC!$A$9:$M$104,6,FALSE),
IF($A204&lt;InsertFittings!$A$185,VLOOKUP($A204,InsertFittings!$A$9:$M$184,6,FALSE),
IF($A204&lt;Valves!$A$92,VLOOKUP($A204,Valves!$A$9:$Q$91,6,FALSE),
IF($A204&lt;SDR35SW!$A$133,VLOOKUP($A204,SDR35SW!$A$9:$M$132,6,FALSE),
IF($A204&lt;SDR35G!$A$151,VLOOKUP($A204,SDR35G!$A$9:$M$150,6,FALSE),
IF($A204&lt;SDR26G!$A$67,VLOOKUP($A204,SDR26G!$A$9:$N$66,7,FALSE),
IF($A204&lt;Cements!$A$95,VLOOKUP($A204,Cements!$A$8:$Q$94,6,FALSE),
IF($A204&lt;ValveBox!$A$124,VLOOKUP($A204,ValveBox!$A$9:$O$123,6,FALSE),
IF($A204&lt;'ValveBox Components'!$A$142,VLOOKUP($A204,'ValveBox Components'!$A$9:$N$141,6,FALSE),
IF($A204&lt;Drainage!$A$69,VLOOKUP($A204,Drainage!$A$8:$M$68,6,FALSE),
IF($A204&lt;Nipples!$A$82,VLOOKUP($A204,Nipples!$A$9:$Q$81,6,FALSE),
IF($A204&lt;Manifold!$A$33,VLOOKUP($A204,Manifold!$A$9:$M$32,6,FALSE),
IF($A204&lt;FlexibleRepairCouplings!$A$12,VLOOKUP($A204,FlexibleRepairCouplings!$A$9:$M$11,6,FALSE),
IF($A204&lt;DuraFix!$A$15,VLOOKUP($A204,DuraFix!$A$9:$M$14,6,FALSE),
IF($A204&lt;'Compression Fittings'!$A$16,VLOOKUP($A204,'Compression Fittings'!$A$8:$M$15,6,FALSE),
IF($A204&lt;'Hose Fittings'!$A$30,VLOOKUP($A204,'Hose Fittings'!$A$8:$M$29,6,FALSE),
IF($A204&lt;'Swing Joints'!$A$495,VLOOKUP($A204,'Swing Joints'!$A$9:$M$494,6,FALSE),
IF($A204&lt;'Swing Joints Components'!$A$135,VLOOKUP($A204,'Swing Joints Components'!$A$9:$M$134,6,FALSE),
IF($A204&lt;Nonstandard!$A$42,VLOOKUP($A204,Nonstandard!$A$31:$J$41,7,FALSE),"")))))))))))))))))))))))))))),"")</f>
        <v/>
      </c>
      <c r="E204" s="538"/>
      <c r="F204" s="539" t="str">
        <f>IFERROR(IF($A204&lt;'DWV PVC'!$A$317,VLOOKUP($A204,'DWV PVC'!$A$9:$M$316,9,FALSE),
IF($A204&lt;'DWV ABS'!$A$117,VLOOKUP($A204,'DWV ABS'!$A$8:$M$116,9,FALSE),                                                                                                                                                                                                                                                     IF($A204&lt;'PVC SCH40'!$A$425,VLOOKUP($A204,'PVC SCH40'!$A$8:$M$424,9,FALSE),
IF($A204&lt;'PVC SCH40 LD'!$A$22,VLOOKUP($A204,'PVC SCH40 LD'!$A$8:$M$21,9,FALSE),
IF($A204&lt;'Pool &amp; SPA Sweep Elbows'!$A$12,VLOOKUP($A204,'Pool &amp; SPA Sweep Elbows'!$A$8:$M$11,9,FALSE),
IF($A204&lt;'Pool &amp; SPA Pipe Extender'!$A$11,VLOOKUP($A204,'Pool &amp; SPA Pipe Extender'!$A$8:$M$10,9,FALSE),
IF($A204&lt;'PVC SCH80'!$A$250,VLOOKUP($A204,'PVC SCH80'!$A$8:$M$249,9,FALSE),
IF($A204&lt;'PVC SCH80 Flange'!$A$49,VLOOKUP($A204,'PVC SCH80 Flange'!$A$8:$M$48,9,FALSE),
IF($A204&lt;'PVC SCH80 LD Flange'!$A$17,VLOOKUP($A204,'PVC SCH80 LD Flange'!$A$8:$M$16,9,FALSE),
IF($A204&lt;CPVC!$A$105,VLOOKUP($A204,CPVC!$A$9:$M$104,9,FALSE),
IF($A204&lt;InsertFittings!$A$185,VLOOKUP($A204,InsertFittings!$A$9:$M$184,9,FALSE),
IF($A204&lt;Valves!$A$92,VLOOKUP($A204,Valves!$A$9:$Q$91,13,FALSE),
IF($A204&lt;SDR35SW!$A$133,VLOOKUP($A204,SDR35SW!$A$9:$M$132,9,FALSE),
IF($A204&lt;SDR35G!$A$151,VLOOKUP($A204,SDR35G!$A$9:$M$150,9,FALSE),                                                                                                                                                                                                                                                          IF($A204&lt;SDR26G!$A$67,VLOOKUP($A204,SDR26G!$A$9:$N$66,10,FALSE),                                                                                                                                                                                                                                                       IF($A204&lt;Cements!$A$95,VLOOKUP($A204,Cements!$A$8:$Q$94,13,FALSE),
IF($A204&lt;ValveBox!$A$124,VLOOKUP($A204,ValveBox!$A$9:$O$123,11,FALSE),
IF($A204&lt;'ValveBox Components'!$A$142,VLOOKUP($A204,'ValveBox Components'!$A$9:$N$141,10,FALSE),
IF($A204&lt;Drainage!$A$69,VLOOKUP($A204,Drainage!$A$8:$M$68,9,FALSE),                                                                                                                                                                                                                                                              IF($A204&lt;Nipples!$A$82,VLOOKUP($A204,Nipples!$A$9:$Q$81,13,FALSE),
IF($A204&lt;Manifold!$A$33,VLOOKUP($A204,Manifold!$A$9:$M$32,9,FALSE),
IF($A204&lt;FlexibleRepairCouplings!$A$12,VLOOKUP($A204,FlexibleRepairCouplings!$A$9:$M$11,9,FALSE),
IF($A204&lt;DuraFix!$A$15,VLOOKUP($A204,DuraFix!$A$9:$M$14,9,FALSE),                                                                                                                                                                                                                                                          IF($A204&lt;'Compression Fittings'!$A$16,VLOOKUP($A204,'Compression Fittings'!$A$8:$M$15,9,FALSE),
IF($A204&lt;'Hose Fittings'!$A$30,VLOOKUP($A204,'Hose Fittings'!$A$8:$M$29,9,FALSE),
IF($A204&lt;'Swing Joints'!$A$495,VLOOKUP($A204,'Swing Joints'!$A$9:$M$494,9,FALSE),
IF($A204&lt;'Swing Joints Components'!$A$135,VLOOKUP($A204,'Swing Joints Components'!$A$9:$M$134,9,FALSE),
IF($A204&lt;Nonstandard!$A$42,VLOOKUP($A204,Nonstandard!$A$31:$J$41,8,FALSE),"")))))))))))))))))))))))))))),"")</f>
        <v/>
      </c>
      <c r="G204" s="540" t="str">
        <f>IFERROR(IF($A204&lt;'DWV PVC'!$A$317,VLOOKUP($A204,'DWV PVC'!$A$9:$M$316,11,FALSE),
IF($A204&lt;'DWV ABS'!$A$117,VLOOKUP($A204,'DWV ABS'!$A$8:$M$116,11,FALSE),                                                                                                                                                                                                                                                     IF($A204&lt;'PVC SCH40'!$A$425,VLOOKUP($A204,'PVC SCH40'!$A$8:$M$424,11,FALSE),
IF($A204&lt;'PVC SCH40 LD'!$A$22,VLOOKUP($A204,'PVC SCH40 LD'!$A$8:$M$21,11,FALSE),
IF($A204&lt;'Pool &amp; SPA Sweep Elbows'!$A$12,VLOOKUP($A204,'Pool &amp; SPA Sweep Elbows'!$A$8:$M$11,11,FALSE),
IF($A204&lt;'Pool &amp; SPA Pipe Extender'!$A$11,VLOOKUP($A204,'Pool &amp; SPA Pipe Extender'!$A$8:$M$10,11,FALSE),
IF($A204&lt;'PVC SCH80'!$A$250,VLOOKUP($A204,'PVC SCH80'!$A$8:$M$249,11,FALSE),
IF($A204&lt;'PVC SCH80 Flange'!$A$49,VLOOKUP($A204,'PVC SCH80 Flange'!$A$8:$M$48,11,FALSE),
IF($A204&lt;'PVC SCH80 LD Flange'!$A$17,VLOOKUP($A204,'PVC SCH80 LD Flange'!$A$8:$M$16,11,FALSE),
IF($A204&lt;CPVC!$A$105,VLOOKUP($A204,CPVC!$A$9:$M$104,11,FALSE),
IF($A204&lt;InsertFittings!$A$185,VLOOKUP($A204,InsertFittings!$A$9:$M$184,11,FALSE),
IF($A204&lt;Valves!$A$92,VLOOKUP($A204,Valves!$A$9:$Q$91,15,FALSE),
IF($A204&lt;SDR35SW!$A$133,VLOOKUP($A204,SDR35SW!$A$9:$M$132,11,FALSE),
IF($A204&lt;SDR35G!$A$151,VLOOKUP($A204,SDR35G!$A$9:$M$150,11,FALSE),                                                                                                                                                                                                                                                          IF($A204&lt;SDR26G!$A$67,VLOOKUP($A204,SDR26G!$A$9:$N$66,12,FALSE),                                                                                                                                                                                                                                                       IF($A204&lt;Cements!$A$95,VLOOKUP($A204,Cements!$A$8:$Q$94,15,FALSE),
IF($A204&lt;ValveBox!$A$124,VLOOKUP($A204,ValveBox!$A$9:$O$123,13,FALSE),
IF($A204&lt;'ValveBox Components'!$A$142,VLOOKUP($A204,'ValveBox Components'!$A$9:$N$141,12,FALSE),
IF($A204&lt;Drainage!$A$69,VLOOKUP($A204,Drainage!$A$8:$M$68,11,FALSE),                                                                                                                                                                                                                                                           IF($A204&lt;Nipples!$A$82,VLOOKUP($A204,Nipples!$A$9:$Q$81,15,FALSE),
IF($A204&lt;Manifold!$A$33,VLOOKUP($A204,Manifold!$A$9:$M$32,11,FALSE),
IF($A204&lt;FlexibleRepairCouplings!$A$12,VLOOKUP($A204,FlexibleRepairCouplings!$A$9:$M$11,11,FALSE),
IF($A204&lt;DuraFix!$A$15,VLOOKUP($A204,DuraFix!$A$9:$M$14,11,FALSE),                                                                                                                                                                                                                                                            IF($A204&lt;'Compression Fittings'!$A$16,VLOOKUP($A204,'Compression Fittings'!$A$8:$M$15,11,FALSE),
IF($A204&lt;'Hose Fittings'!$A$30,VLOOKUP($A204,'Hose Fittings'!$A$8:$M$29,11,FALSE),
IF($A204&lt;'Swing Joints'!$A$495,VLOOKUP($A204,'Swing Joints'!$A$9:$M$494,11,FALSE),
IF($A204&lt;'Swing Joints Components'!$A$135,VLOOKUP($A204,'Swing Joints Components'!$A$9:$M$134,11,FALSE),
IF($A204&lt;Nonstandard!$A$42,VLOOKUP($A204,Nonstandard!$A$31:$J$41,10,FALSE),"")))))))))))))))))))))))))))),"")</f>
        <v/>
      </c>
      <c r="H204" s="620" t="str">
        <f>IFERROR(IF($A204&lt;'DWV PVC'!$A$317,VLOOKUP($A204,'DWV PVC'!$A$9:$M$316,7,FALSE),
IF($A204&lt;'DWV ABS'!$A$117,VLOOKUP($A204,'DWV ABS'!$A$8:$M$116,11,FALSE),                                                                                                                                                                                                                                                     IF($A204&lt;'PVC SCH40'!$A$425,VLOOKUP($A204,'PVC SCH40'!$A$8:$M$424,7,FALSE),
IF($A204&lt;'PVC SCH40 LD'!$A$22,VLOOKUP($A204,'PVC SCH40 LD'!$A$8:$M$21,7,FALSE),
IF($A204&lt;'Pool &amp; SPA Sweep Elbows'!$A$12,VLOOKUP($A204,'Pool &amp; SPA Sweep Elbows'!$A$8:$M$11,7,FALSE),
IF($A204&lt;'Pool &amp; SPA Pipe Extender'!$A$11,VLOOKUP($A204,'Pool &amp; SPA Pipe Extender'!$A$8:$M$10,7,FALSE),
IF($A204&lt;'PVC SCH80'!$A$250,VLOOKUP($A204,'PVC SCH80'!$A$8:$M$249,7,FALSE),
IF($A204&lt;'PVC SCH80 Flange'!$A$49,VLOOKUP($A204,'PVC SCH80 Flange'!$A$8:$M$48,7,FALSE),
IF($A204&lt;'PVC SCH80 LD Flange'!$A$17,VLOOKUP($A204,'PVC SCH80 LD Flange'!$A$8:$M$16,7,FALSE),
IF($A204&lt;CPVC!$A$105,VLOOKUP($A204,CPVC!$A$9:$M$104,7,FALSE),
IF($A204&lt;InsertFittings!$A$185,VLOOKUP($A204,InsertFittings!$A$9:$M$184,7,FALSE),
IF($A204&lt;Valves!$A$92,VLOOKUP($A204,Valves!$A$9:$Q$91,11,FALSE),
IF($A204&lt;SDR35SW!$A$133,VLOOKUP($A204,SDR35SW!$A$9:$M$132,7,FALSE),
IF($A204&lt;SDR35G!$A$151,VLOOKUP($A204,SDR35G!$A$9:$M$150,7,FALSE),                                                                                                                                                                                                                                                       IF($A204&lt;SDR26G!$A$67,VLOOKUP($A204,SDR26G!$A$9:$N$66,8,FALSE),                                                                                                                                                                                                                                                     IF($A204&lt;Cements!$A$95,VLOOKUP($A204,Cements!$A$8:$Q$94,11,FALSE),
IF($A204&lt;ValveBox!$A$124,VLOOKUP($A204,ValveBox!$A$9:$O$123,10,FALSE),
IF($A204&lt;'ValveBox Components'!$A$142,VLOOKUP($A204,'ValveBox Components'!$A$9:$N$141,9,FALSE),
IF($A204&lt;Drainage!$A$69,VLOOKUP($A204,Drainage!$A$8:$M$68,7,FALSE),                                                                                                                                                                                                                                                          IF($A204&lt;Nipples!$A$82,VLOOKUP($A204,Nipples!$A$9:$Q$81,11,FALSE),
IF($A204&lt;Manifold!$A$33,VLOOKUP($A204,Manifold!$A$9:$M$32,7,FALSE),
IF($A204&lt;FlexibleRepairCouplings!$A$12,VLOOKUP($A204,FlexibleRepairCouplings!$A$9:$M$11,7,FALSE),
IF($A204&lt;DuraFix!$A$15,VLOOKUP($A204,DuraFix!$A$9:$M$14,7,FALSE),                                                                                                                                                                                                                                                           IF($A204&lt;'Compression Fittings'!$A$16,VLOOKUP($A204,'Compression Fittings'!$A$8:$M$15,7,FALSE),
IF($A204&lt;'Hose Fittings'!$A$30,VLOOKUP($A204,'Hose Fittings'!$A$8:$M$29,7,FALSE),
IF($A204&lt;'Swing Joints'!$A$495,VLOOKUP($A204,'Swing Joints'!$A$9:$M$494,7,FALSE),
IF($A204&lt;'Swing Joints Components'!$A$135,VLOOKUP($A204,'Swing Joints Components'!$A$9:$M$134,7,FALSE),
IF($A204&lt;Nonstandard!$A$42,VLOOKUP($A204,Nonstandard!$A$31:$J$41,10,FALSE),"")))))))))))))))))))))))))))),"")</f>
        <v/>
      </c>
      <c r="I204" s="621"/>
      <c r="J204" s="541" t="str">
        <f t="shared" si="5"/>
        <v/>
      </c>
      <c r="K204" s="599" t="str">
        <f>IFERROR(IF($A204&lt;'DWV PVC'!$A$317,VLOOKUP($A204,'DWV PVC'!$A$9:$M$316,10,FALSE),
IF($A204&lt;'DWV ABS'!$A$117,VLOOKUP($A204,'DWV ABS'!$A$8:$M$116,10,FALSE),
IF($A204&lt;'PVC SCH40'!$A$425,VLOOKUP($A204,'PVC SCH40'!$A$8:$M$424,10,FALSE),
IF($A204&lt;'PVC SCH40 LD'!$A$22,VLOOKUP($A204,'PVC SCH40 LD'!$A$8:$M$21,10,FALSE),
IF($A204&lt;'Pool &amp; SPA Sweep Elbows'!$A$12,VLOOKUP($A204,'Pool &amp; SPA Sweep Elbows'!$A$8:$M$11,10,FALSE),
IF($A204&lt;'Pool &amp; SPA Pipe Extender'!$A$11,VLOOKUP($A204,'Pool &amp; SPA Pipe Extender'!$A$8:$M$10,10,FALSE),
IF($A204&lt;'PVC SCH80'!$A$250,VLOOKUP($A204,'PVC SCH80'!$A$8:$M$249,10,FALSE),
IF($A204&lt;'PVC SCH80 Flange'!$A$49,VLOOKUP($A204,'PVC SCH80 Flange'!$A$8:$M$48,10,FALSE),
IF($A204&lt;'PVC SCH80 LD Flange'!$A$17,VLOOKUP($A204,'PVC SCH80 LD Flange'!$A$8:$M$16,10,FALSE),
IF($A204&lt;CPVC!$A$105,VLOOKUP($A204,CPVC!$A$9:$M$104,10,FALSE),
IF($A204&lt;InsertFittings!$A$185,VLOOKUP($A204,InsertFittings!$A$9:$M$184,10,FALSE),
IF($A204&lt;Valves!$A$92,VLOOKUP($A204,Valves!$A$9:$Q$91,14,FALSE),
IF($A204&lt;SDR35SW!$A$133,VLOOKUP($A204,SDR35SW!$A$9:$M$132,10,FALSE),
IF($A204&lt;SDR35G!$A$151,VLOOKUP($A204,SDR35G!$A$9:$M$150,10,FALSE),
IF($A204&lt;SDR26G!$A$67,VLOOKUP($A204,SDR26G!$A$9:$N$66,11,FALSE),
IF($A204&lt;Cements!$A$95,VLOOKUP($A204,Cements!$A$8:$Q$94,14,FALSE),
IF($A204&lt;ValveBox!$A$124,VLOOKUP($A204,ValveBox!$A$9:$O$123,12,FALSE),
IF($A204&lt;'ValveBox Components'!$A$142,VLOOKUP($A204,'ValveBox Components'!$A$9:$N$141,11,FALSE),
IF($A204&lt;Drainage!$A$69,VLOOKUP($A204,Drainage!$A$8:$M$68,10,FALSE),
IF($A204&lt;Nipples!$A$82,VLOOKUP($A204,Nipples!$A$9:$Q$81,14,FALSE),
IF($A204&lt;Manifold!$A$33,VLOOKUP($A204,Manifold!$A$9:$M$32,10,FALSE),
IF($A204&lt;FlexibleRepairCouplings!$A$12,VLOOKUP($A204,FlexibleRepairCouplings!$A$9:$M$11,10,FALSE),
IF($A204&lt;DuraFix!$A$15,VLOOKUP($A204,DuraFix!$A$9:$M$14,10,FALSE),
IF($A204&lt;'Compression Fittings'!$A$16,VLOOKUP($A204,'Compression Fittings'!$A$8:$M$15,10,FALSE),
IF($A204&lt;'Hose Fittings'!$A$30,VLOOKUP($A204,'Hose Fittings'!$A$8:$M$29,10,FALSE),
IF($A204&lt;'Swing Joints'!$A$495,VLOOKUP($A204,'Swing Joints'!$A$9:$M$494,10,FALSE),
IF($A204&lt;'Swing Joints Components'!$A$135,VLOOKUP($A204,'Swing Joints Components'!$A$9:$M$134,10,FALSE),
IF($A204&lt;Nonstandard!$A$42,VLOOKUP($A204,Nonstandard!$A$31:$J$41,10,FALSE),"")))))))))))))))))))))))))))),"")</f>
        <v/>
      </c>
      <c r="L204" s="539" t="str">
        <f t="shared" si="4"/>
        <v>-</v>
      </c>
      <c r="M204" s="542"/>
    </row>
    <row r="205" spans="1:13" ht="15.6">
      <c r="A205" s="312">
        <v>173</v>
      </c>
      <c r="B205" s="312" t="str">
        <f>IFERROR(IF($A205&lt;'DWV PVC'!$A$317,VLOOKUP($A205,'DWV PVC'!$A$9:$M$316,4,FALSE),
IF($A205&lt;'DWV ABS'!$A$117,VLOOKUP($A205,'DWV ABS'!$A$8:$M$116,4,FALSE),
IF($A205&lt;'PVC SCH40'!$A$425,VLOOKUP($A205,'PVC SCH40'!$A$8:$M$424,4,FALSE),
IF($A205&lt;'PVC SCH40 LD'!$A$22,VLOOKUP($A205,'PVC SCH40 LD'!$A$8:$M$21,4,FALSE),
IF($A205&lt;'Pool &amp; SPA Sweep Elbows'!$A$12,VLOOKUP($A205,'Pool &amp; SPA Sweep Elbows'!$A$8:$M$11,4,FALSE),
IF($A205&lt;'Pool &amp; SPA Pipe Extender'!$A$11,VLOOKUP($A205,'Pool &amp; SPA Pipe Extender'!$A$8:$M$10,4,FALSE),
IF($A205&lt;'PVC SCH80'!$A$250,VLOOKUP($A205,'PVC SCH80'!$A$8:$M$249,4,FALSE),
IF($A205&lt;'PVC SCH80 Flange'!$A$49,VLOOKUP($A205,'PVC SCH80 Flange'!$A$8:$M$48,4,FALSE),
IF($A205&lt;'PVC SCH80 LD Flange'!$A$17,VLOOKUP($A205,'PVC SCH80 LD Flange'!$A$8:$M$16,4,FALSE),
IF($A205&lt;CPVC!$A$105,VLOOKUP($A205,CPVC!$A$9:$M$104,4,FALSE),
IF($A205&lt;InsertFittings!$A$185,VLOOKUP($A205,InsertFittings!$A$9:$M$184,4,FALSE),
IF($A205&lt;Valves!$A$92,VLOOKUP($A205,Valves!$A$9:$Q$91,4,FALSE),
IF($A205&lt;SDR35SW!$A$133,VLOOKUP($A205,SDR35SW!$A$9:$M$132,4,FALSE),
IF($A205&lt;SDR35G!$A$151,VLOOKUP($A205,SDR35G!$A$9:$M$150,4,FALSE),
IF($A205&lt;SDR26G!$A$67,VLOOKUP($A205,SDR26G!$A$9:$N$66,5,FALSE),
IF($A205&lt;Cements!$A$95,VLOOKUP($A205,Cements!$A$8:$Q$94,4,FALSE),
IF($A205&lt;ValveBox!$A$124,VLOOKUP($A205,ValveBox!$A$9:$O$123,4,FALSE),
IF($A205&lt;'ValveBox Components'!$A$142,VLOOKUP($A205,'ValveBox Components'!$A$9:$N$141,4,FALSE),
IF($A205&lt;Drainage!$A$69,VLOOKUP($A205,Drainage!$A$8:$M$68,4,FALSE),
IF($A205&lt;Nipples!$A$82,VLOOKUP($A205,Nipples!$A$9:$Q$81,4,FALSE),
IF($A205&lt;Manifold!$A$33,VLOOKUP($A205,Manifold!$A$9:$M$32,4,FALSE),
IF($A205&lt;FlexibleRepairCouplings!$A$12,VLOOKUP($A205,FlexibleRepairCouplings!$A$9:$M$11,4,FALSE),
IF($A205&lt;DuraFix!$A$15,VLOOKUP($A205,DuraFix!$A$9:$M$14,4,FALSE),
IF($A205&lt;'Compression Fittings'!$A$16,VLOOKUP($A205,'Compression Fittings'!$A$8:$M$15,4,FALSE),
IF($A205&lt;'Hose Fittings'!$A$30,VLOOKUP($A205,'Hose Fittings'!$A$8:$M$29,4,FALSE),
IF($A205&lt;'Swing Joints'!$A$495,VLOOKUP($A205,'Swing Joints'!$A$9:$M$494,4,FALSE),
IF($A205&lt;'Swing Joints Components'!$A$135,VLOOKUP($A205,'Swing Joints Components'!$A$9:$M$134,4,FALSE),
IF($A205&lt;Nonstandard!$A$42,VLOOKUP($A205,Nonstandard!$A$31:$J$41,5,FALSE),"")))))))))))))))))))))))))))),"")</f>
        <v/>
      </c>
      <c r="C205" s="312" t="str">
        <f>IFERROR(IF($A205&lt;'DWV PVC'!$A$317,VLOOKUP($A205,'DWV PVC'!$A$9:$M$316,5,FALSE),
IF($A205&lt;'DWV ABS'!$A$117,VLOOKUP($A205,'DWV ABS'!$A$8:$M$116,5,FALSE),
IF($A205&lt;'PVC SCH40'!$A$425,VLOOKUP($A205,'PVC SCH40'!$A$8:$M$424,5,FALSE),
IF($A205&lt;'PVC SCH40 LD'!$A$22,VLOOKUP($A205,'PVC SCH40 LD'!$A$8:$M$21,5,FALSE),
IF($A205&lt;'Pool &amp; SPA Sweep Elbows'!$A$12,VLOOKUP($A205,'Pool &amp; SPA Sweep Elbows'!$A$8:$M$11,5,FALSE),
IF($A205&lt;'Pool &amp; SPA Pipe Extender'!$A$11,VLOOKUP($A205,'Pool &amp; SPA Pipe Extender'!$A$8:$M$10,5,FALSE),
IF($A205&lt;'PVC SCH80'!$A$250,VLOOKUP($A205,'PVC SCH80'!$A$8:$M$249,5,FALSE),
IF($A205&lt;'PVC SCH80 Flange'!$A$49,VLOOKUP($A205,'PVC SCH80 Flange'!$A$8:$M$48,5,FALSE),
IF($A205&lt;'PVC SCH80 LD Flange'!$A$17,VLOOKUP($A205,'PVC SCH80 LD Flange'!$A$8:$M$16,5,FALSE),
IF($A205&lt;CPVC!$A$105,VLOOKUP($A205,CPVC!$A$9:$M$104,5,FALSE),
IF($A205&lt;InsertFittings!$A$185,VLOOKUP($A205,InsertFittings!$A$9:$M$184,5,FALSE),
IF($A205&lt;Valves!$A$92,VLOOKUP($A205,Valves!$A$9:$Q$91,5,FALSE),
IF($A205&lt;SDR35SW!$A$133,VLOOKUP($A205,SDR35SW!$A$9:$M$132,5,FALSE),
IF($A205&lt;SDR35G!$A$151,VLOOKUP($A205,SDR35G!$A$9:$M$150,5,FALSE),
IF($A205&lt;SDR26G!$A$67,VLOOKUP($A205,SDR26G!$A$9:$N$66,6,FALSE),
IF($A205&lt;Cements!$A$95,VLOOKUP($A205,Cements!$A$8:$Q$94,5,FALSE),
IF($A205&lt;ValveBox!$A$124,VLOOKUP($A205,ValveBox!$A$9:$O$123,5,FALSE),
IF($A205&lt;'ValveBox Components'!$A$142,VLOOKUP($A205,'ValveBox Components'!$A$9:$N$141,5,FALSE),
IF($A205&lt;Drainage!$A$69,VLOOKUP($A205,Drainage!$A$8:$M$68,5,FALSE),
IF($A205&lt;Nipples!$A$82,VLOOKUP($A205,Nipples!$A$9:$Q$81,5,FALSE),
IF($A205&lt;Manifold!$A$33,VLOOKUP($A205,Manifold!$A$9:$M$32,5,FALSE),
IF($A205&lt;FlexibleRepairCouplings!$A$12,VLOOKUP($A205,FlexibleRepairCouplings!$A$9:$M$11,5,FALSE),
IF($A205&lt;DuraFix!$A$15,VLOOKUP($A205,DuraFix!$A$9:$M$14,5,FALSE),
IF($A205&lt;'Compression Fittings'!$A$16,VLOOKUP($A205,'Compression Fittings'!$A$8:$M$15,5,FALSE),
IF($A205&lt;'Hose Fittings'!$A$30,VLOOKUP($A205,'Hose Fittings'!$A$8:$M$29,5,FALSE),
IF($A205&lt;'Swing Joints'!$A$495,VLOOKUP($A205,'Swing Joints'!$A$9:$M$494,5,FALSE),
IF($A205&lt;'Swing Joints Components'!$A$135,VLOOKUP($A205,'Swing Joints Components'!$A$9:$M$134,5,FALSE),
IF($A205&lt;Nonstandard!$A$42,VLOOKUP($A205,Nonstandard!$A$31:$J$41,6,FALSE),"")))))))))))))))))))))))))))),"")</f>
        <v/>
      </c>
      <c r="D205" s="534" t="str">
        <f>IFERROR(IF($A205&lt;'DWV PVC'!$A$317,VLOOKUP($A205,'DWV PVC'!$A$9:$M$316,6,FALSE),
IF($A205&lt;'DWV ABS'!$A$117,VLOOKUP($A205,'DWV ABS'!$A$8:$M$116,6,FALSE),
IF($A205&lt;'PVC SCH40'!$A$425,VLOOKUP($A205,'PVC SCH40'!$A$8:$M$424,6,FALSE),
IF($A205&lt;'PVC SCH40 LD'!$A$22,VLOOKUP($A205,'PVC SCH40 LD'!$A$8:$M$21,6,FALSE),
IF($A205&lt;'Pool &amp; SPA Sweep Elbows'!$A$12,VLOOKUP($A205,'Pool &amp; SPA Sweep Elbows'!$A$8:$M$11,6,FALSE),
IF($A205&lt;'Pool &amp; SPA Pipe Extender'!$A$11,VLOOKUP($A205,'Pool &amp; SPA Pipe Extender'!$A$8:$M$10,6,FALSE),
IF($A205&lt;'PVC SCH80'!$A$250,VLOOKUP($A205,'PVC SCH80'!$A$8:$M$249,6,FALSE),
IF($A205&lt;'PVC SCH80 Flange'!$A$49,VLOOKUP($A205,'PVC SCH80 Flange'!$A$8:$M$48,6,FALSE),
IF($A205&lt;'PVC SCH80 LD Flange'!$A$17,VLOOKUP($A205,'PVC SCH80 LD Flange'!$A$8:$M$16,6,FALSE),
IF($A205&lt;CPVC!$A$105,VLOOKUP($A205,CPVC!$A$9:$M$104,6,FALSE),
IF($A205&lt;InsertFittings!$A$185,VLOOKUP($A205,InsertFittings!$A$9:$M$184,6,FALSE),
IF($A205&lt;Valves!$A$92,VLOOKUP($A205,Valves!$A$9:$Q$91,6,FALSE),
IF($A205&lt;SDR35SW!$A$133,VLOOKUP($A205,SDR35SW!$A$9:$M$132,6,FALSE),
IF($A205&lt;SDR35G!$A$151,VLOOKUP($A205,SDR35G!$A$9:$M$150,6,FALSE),
IF($A205&lt;SDR26G!$A$67,VLOOKUP($A205,SDR26G!$A$9:$N$66,7,FALSE),
IF($A205&lt;Cements!$A$95,VLOOKUP($A205,Cements!$A$8:$Q$94,6,FALSE),
IF($A205&lt;ValveBox!$A$124,VLOOKUP($A205,ValveBox!$A$9:$O$123,6,FALSE),
IF($A205&lt;'ValveBox Components'!$A$142,VLOOKUP($A205,'ValveBox Components'!$A$9:$N$141,6,FALSE),
IF($A205&lt;Drainage!$A$69,VLOOKUP($A205,Drainage!$A$8:$M$68,6,FALSE),
IF($A205&lt;Nipples!$A$82,VLOOKUP($A205,Nipples!$A$9:$Q$81,6,FALSE),
IF($A205&lt;Manifold!$A$33,VLOOKUP($A205,Manifold!$A$9:$M$32,6,FALSE),
IF($A205&lt;FlexibleRepairCouplings!$A$12,VLOOKUP($A205,FlexibleRepairCouplings!$A$9:$M$11,6,FALSE),
IF($A205&lt;DuraFix!$A$15,VLOOKUP($A205,DuraFix!$A$9:$M$14,6,FALSE),
IF($A205&lt;'Compression Fittings'!$A$16,VLOOKUP($A205,'Compression Fittings'!$A$8:$M$15,6,FALSE),
IF($A205&lt;'Hose Fittings'!$A$30,VLOOKUP($A205,'Hose Fittings'!$A$8:$M$29,6,FALSE),
IF($A205&lt;'Swing Joints'!$A$495,VLOOKUP($A205,'Swing Joints'!$A$9:$M$494,6,FALSE),
IF($A205&lt;'Swing Joints Components'!$A$135,VLOOKUP($A205,'Swing Joints Components'!$A$9:$M$134,6,FALSE),
IF($A205&lt;Nonstandard!$A$42,VLOOKUP($A205,Nonstandard!$A$31:$J$41,7,FALSE),"")))))))))))))))))))))))))))),"")</f>
        <v/>
      </c>
      <c r="E205" s="316"/>
      <c r="F205" s="314" t="str">
        <f>IFERROR(IF($A205&lt;'DWV PVC'!$A$317,VLOOKUP($A205,'DWV PVC'!$A$9:$M$316,9,FALSE),
IF($A205&lt;'DWV ABS'!$A$117,VLOOKUP($A205,'DWV ABS'!$A$8:$M$116,9,FALSE),                                                                                                                                                                                                                                                     IF($A205&lt;'PVC SCH40'!$A$425,VLOOKUP($A205,'PVC SCH40'!$A$8:$M$424,9,FALSE),
IF($A205&lt;'PVC SCH40 LD'!$A$22,VLOOKUP($A205,'PVC SCH40 LD'!$A$8:$M$21,9,FALSE),
IF($A205&lt;'Pool &amp; SPA Sweep Elbows'!$A$12,VLOOKUP($A205,'Pool &amp; SPA Sweep Elbows'!$A$8:$M$11,9,FALSE),
IF($A205&lt;'Pool &amp; SPA Pipe Extender'!$A$11,VLOOKUP($A205,'Pool &amp; SPA Pipe Extender'!$A$8:$M$10,9,FALSE),
IF($A205&lt;'PVC SCH80'!$A$250,VLOOKUP($A205,'PVC SCH80'!$A$8:$M$249,9,FALSE),
IF($A205&lt;'PVC SCH80 Flange'!$A$49,VLOOKUP($A205,'PVC SCH80 Flange'!$A$8:$M$48,9,FALSE),
IF($A205&lt;'PVC SCH80 LD Flange'!$A$17,VLOOKUP($A205,'PVC SCH80 LD Flange'!$A$8:$M$16,9,FALSE),
IF($A205&lt;CPVC!$A$105,VLOOKUP($A205,CPVC!$A$9:$M$104,9,FALSE),
IF($A205&lt;InsertFittings!$A$185,VLOOKUP($A205,InsertFittings!$A$9:$M$184,9,FALSE),
IF($A205&lt;Valves!$A$92,VLOOKUP($A205,Valves!$A$9:$Q$91,13,FALSE),
IF($A205&lt;SDR35SW!$A$133,VLOOKUP($A205,SDR35SW!$A$9:$M$132,9,FALSE),
IF($A205&lt;SDR35G!$A$151,VLOOKUP($A205,SDR35G!$A$9:$M$150,9,FALSE),                                                                                                                                                                                                                                                          IF($A205&lt;SDR26G!$A$67,VLOOKUP($A205,SDR26G!$A$9:$N$66,10,FALSE),                                                                                                                                                                                                                                                       IF($A205&lt;Cements!$A$95,VLOOKUP($A205,Cements!$A$8:$Q$94,13,FALSE),
IF($A205&lt;ValveBox!$A$124,VLOOKUP($A205,ValveBox!$A$9:$O$123,11,FALSE),
IF($A205&lt;'ValveBox Components'!$A$142,VLOOKUP($A205,'ValveBox Components'!$A$9:$N$141,10,FALSE),
IF($A205&lt;Drainage!$A$69,VLOOKUP($A205,Drainage!$A$8:$M$68,9,FALSE),                                                                                                                                                                                                                                                              IF($A205&lt;Nipples!$A$82,VLOOKUP($A205,Nipples!$A$9:$Q$81,13,FALSE),
IF($A205&lt;Manifold!$A$33,VLOOKUP($A205,Manifold!$A$9:$M$32,9,FALSE),
IF($A205&lt;FlexibleRepairCouplings!$A$12,VLOOKUP($A205,FlexibleRepairCouplings!$A$9:$M$11,9,FALSE),
IF($A205&lt;DuraFix!$A$15,VLOOKUP($A205,DuraFix!$A$9:$M$14,9,FALSE),                                                                                                                                                                                                                                                          IF($A205&lt;'Compression Fittings'!$A$16,VLOOKUP($A205,'Compression Fittings'!$A$8:$M$15,9,FALSE),
IF($A205&lt;'Hose Fittings'!$A$30,VLOOKUP($A205,'Hose Fittings'!$A$8:$M$29,9,FALSE),
IF($A205&lt;'Swing Joints'!$A$495,VLOOKUP($A205,'Swing Joints'!$A$9:$M$494,9,FALSE),
IF($A205&lt;'Swing Joints Components'!$A$135,VLOOKUP($A205,'Swing Joints Components'!$A$9:$M$134,9,FALSE),
IF($A205&lt;Nonstandard!$A$42,VLOOKUP($A205,Nonstandard!$A$31:$J$41,8,FALSE),"")))))))))))))))))))))))))))),"")</f>
        <v/>
      </c>
      <c r="G205" s="533" t="str">
        <f>IFERROR(IF($A205&lt;'DWV PVC'!$A$317,VLOOKUP($A205,'DWV PVC'!$A$9:$M$316,11,FALSE),
IF($A205&lt;'DWV ABS'!$A$117,VLOOKUP($A205,'DWV ABS'!$A$8:$M$116,11,FALSE),                                                                                                                                                                                                                                                     IF($A205&lt;'PVC SCH40'!$A$425,VLOOKUP($A205,'PVC SCH40'!$A$8:$M$424,11,FALSE),
IF($A205&lt;'PVC SCH40 LD'!$A$22,VLOOKUP($A205,'PVC SCH40 LD'!$A$8:$M$21,11,FALSE),
IF($A205&lt;'Pool &amp; SPA Sweep Elbows'!$A$12,VLOOKUP($A205,'Pool &amp; SPA Sweep Elbows'!$A$8:$M$11,11,FALSE),
IF($A205&lt;'Pool &amp; SPA Pipe Extender'!$A$11,VLOOKUP($A205,'Pool &amp; SPA Pipe Extender'!$A$8:$M$10,11,FALSE),
IF($A205&lt;'PVC SCH80'!$A$250,VLOOKUP($A205,'PVC SCH80'!$A$8:$M$249,11,FALSE),
IF($A205&lt;'PVC SCH80 Flange'!$A$49,VLOOKUP($A205,'PVC SCH80 Flange'!$A$8:$M$48,11,FALSE),
IF($A205&lt;'PVC SCH80 LD Flange'!$A$17,VLOOKUP($A205,'PVC SCH80 LD Flange'!$A$8:$M$16,11,FALSE),
IF($A205&lt;CPVC!$A$105,VLOOKUP($A205,CPVC!$A$9:$M$104,11,FALSE),
IF($A205&lt;InsertFittings!$A$185,VLOOKUP($A205,InsertFittings!$A$9:$M$184,11,FALSE),
IF($A205&lt;Valves!$A$92,VLOOKUP($A205,Valves!$A$9:$Q$91,15,FALSE),
IF($A205&lt;SDR35SW!$A$133,VLOOKUP($A205,SDR35SW!$A$9:$M$132,11,FALSE),
IF($A205&lt;SDR35G!$A$151,VLOOKUP($A205,SDR35G!$A$9:$M$150,11,FALSE),                                                                                                                                                                                                                                                          IF($A205&lt;SDR26G!$A$67,VLOOKUP($A205,SDR26G!$A$9:$N$66,12,FALSE),                                                                                                                                                                                                                                                       IF($A205&lt;Cements!$A$95,VLOOKUP($A205,Cements!$A$8:$Q$94,15,FALSE),
IF($A205&lt;ValveBox!$A$124,VLOOKUP($A205,ValveBox!$A$9:$O$123,13,FALSE),
IF($A205&lt;'ValveBox Components'!$A$142,VLOOKUP($A205,'ValveBox Components'!$A$9:$N$141,12,FALSE),
IF($A205&lt;Drainage!$A$69,VLOOKUP($A205,Drainage!$A$8:$M$68,11,FALSE),                                                                                                                                                                                                                                                           IF($A205&lt;Nipples!$A$82,VLOOKUP($A205,Nipples!$A$9:$Q$81,15,FALSE),
IF($A205&lt;Manifold!$A$33,VLOOKUP($A205,Manifold!$A$9:$M$32,11,FALSE),
IF($A205&lt;FlexibleRepairCouplings!$A$12,VLOOKUP($A205,FlexibleRepairCouplings!$A$9:$M$11,11,FALSE),
IF($A205&lt;DuraFix!$A$15,VLOOKUP($A205,DuraFix!$A$9:$M$14,11,FALSE),                                                                                                                                                                                                                                                            IF($A205&lt;'Compression Fittings'!$A$16,VLOOKUP($A205,'Compression Fittings'!$A$8:$M$15,11,FALSE),
IF($A205&lt;'Hose Fittings'!$A$30,VLOOKUP($A205,'Hose Fittings'!$A$8:$M$29,11,FALSE),
IF($A205&lt;'Swing Joints'!$A$495,VLOOKUP($A205,'Swing Joints'!$A$9:$M$494,11,FALSE),
IF($A205&lt;'Swing Joints Components'!$A$135,VLOOKUP($A205,'Swing Joints Components'!$A$9:$M$134,11,FALSE),
IF($A205&lt;Nonstandard!$A$42,VLOOKUP($A205,Nonstandard!$A$31:$J$41,10,FALSE),"")))))))))))))))))))))))))))),"")</f>
        <v/>
      </c>
      <c r="H205" s="618" t="str">
        <f>IFERROR(IF($A205&lt;'DWV PVC'!$A$317,VLOOKUP($A205,'DWV PVC'!$A$9:$M$316,7,FALSE),
IF($A205&lt;'DWV ABS'!$A$117,VLOOKUP($A205,'DWV ABS'!$A$8:$M$116,11,FALSE),                                                                                                                                                                                                                                                     IF($A205&lt;'PVC SCH40'!$A$425,VLOOKUP($A205,'PVC SCH40'!$A$8:$M$424,7,FALSE),
IF($A205&lt;'PVC SCH40 LD'!$A$22,VLOOKUP($A205,'PVC SCH40 LD'!$A$8:$M$21,7,FALSE),
IF($A205&lt;'Pool &amp; SPA Sweep Elbows'!$A$12,VLOOKUP($A205,'Pool &amp; SPA Sweep Elbows'!$A$8:$M$11,7,FALSE),
IF($A205&lt;'Pool &amp; SPA Pipe Extender'!$A$11,VLOOKUP($A205,'Pool &amp; SPA Pipe Extender'!$A$8:$M$10,7,FALSE),
IF($A205&lt;'PVC SCH80'!$A$250,VLOOKUP($A205,'PVC SCH80'!$A$8:$M$249,7,FALSE),
IF($A205&lt;'PVC SCH80 Flange'!$A$49,VLOOKUP($A205,'PVC SCH80 Flange'!$A$8:$M$48,7,FALSE),
IF($A205&lt;'PVC SCH80 LD Flange'!$A$17,VLOOKUP($A205,'PVC SCH80 LD Flange'!$A$8:$M$16,7,FALSE),
IF($A205&lt;CPVC!$A$105,VLOOKUP($A205,CPVC!$A$9:$M$104,7,FALSE),
IF($A205&lt;InsertFittings!$A$185,VLOOKUP($A205,InsertFittings!$A$9:$M$184,7,FALSE),
IF($A205&lt;Valves!$A$92,VLOOKUP($A205,Valves!$A$9:$Q$91,11,FALSE),
IF($A205&lt;SDR35SW!$A$133,VLOOKUP($A205,SDR35SW!$A$9:$M$132,7,FALSE),
IF($A205&lt;SDR35G!$A$151,VLOOKUP($A205,SDR35G!$A$9:$M$150,7,FALSE),                                                                                                                                                                                                                                                       IF($A205&lt;SDR26G!$A$67,VLOOKUP($A205,SDR26G!$A$9:$N$66,8,FALSE),                                                                                                                                                                                                                                                     IF($A205&lt;Cements!$A$95,VLOOKUP($A205,Cements!$A$8:$Q$94,11,FALSE),
IF($A205&lt;ValveBox!$A$124,VLOOKUP($A205,ValveBox!$A$9:$O$123,10,FALSE),
IF($A205&lt;'ValveBox Components'!$A$142,VLOOKUP($A205,'ValveBox Components'!$A$9:$N$141,9,FALSE),
IF($A205&lt;Drainage!$A$69,VLOOKUP($A205,Drainage!$A$8:$M$68,7,FALSE),                                                                                                                                                                                                                                                          IF($A205&lt;Nipples!$A$82,VLOOKUP($A205,Nipples!$A$9:$Q$81,11,FALSE),
IF($A205&lt;Manifold!$A$33,VLOOKUP($A205,Manifold!$A$9:$M$32,7,FALSE),
IF($A205&lt;FlexibleRepairCouplings!$A$12,VLOOKUP($A205,FlexibleRepairCouplings!$A$9:$M$11,7,FALSE),
IF($A205&lt;DuraFix!$A$15,VLOOKUP($A205,DuraFix!$A$9:$M$14,7,FALSE),                                                                                                                                                                                                                                                           IF($A205&lt;'Compression Fittings'!$A$16,VLOOKUP($A205,'Compression Fittings'!$A$8:$M$15,7,FALSE),
IF($A205&lt;'Hose Fittings'!$A$30,VLOOKUP($A205,'Hose Fittings'!$A$8:$M$29,7,FALSE),
IF($A205&lt;'Swing Joints'!$A$495,VLOOKUP($A205,'Swing Joints'!$A$9:$M$494,7,FALSE),
IF($A205&lt;'Swing Joints Components'!$A$135,VLOOKUP($A205,'Swing Joints Components'!$A$9:$M$134,7,FALSE),
IF($A205&lt;Nonstandard!$A$42,VLOOKUP($A205,Nonstandard!$A$31:$J$41,10,FALSE),"")))))))))))))))))))))))))))),"")</f>
        <v/>
      </c>
      <c r="I205" s="619"/>
      <c r="J205" s="281" t="str">
        <f t="shared" si="5"/>
        <v/>
      </c>
      <c r="K205" s="313" t="str">
        <f>IFERROR(IF($A205&lt;'DWV PVC'!$A$317,VLOOKUP($A205,'DWV PVC'!$A$9:$M$316,10,FALSE),
IF($A205&lt;'DWV ABS'!$A$117,VLOOKUP($A205,'DWV ABS'!$A$8:$M$116,10,FALSE),
IF($A205&lt;'PVC SCH40'!$A$425,VLOOKUP($A205,'PVC SCH40'!$A$8:$M$424,10,FALSE),
IF($A205&lt;'PVC SCH40 LD'!$A$22,VLOOKUP($A205,'PVC SCH40 LD'!$A$8:$M$21,10,FALSE),
IF($A205&lt;'Pool &amp; SPA Sweep Elbows'!$A$12,VLOOKUP($A205,'Pool &amp; SPA Sweep Elbows'!$A$8:$M$11,10,FALSE),
IF($A205&lt;'Pool &amp; SPA Pipe Extender'!$A$11,VLOOKUP($A205,'Pool &amp; SPA Pipe Extender'!$A$8:$M$10,10,FALSE),
IF($A205&lt;'PVC SCH80'!$A$250,VLOOKUP($A205,'PVC SCH80'!$A$8:$M$249,10,FALSE),
IF($A205&lt;'PVC SCH80 Flange'!$A$49,VLOOKUP($A205,'PVC SCH80 Flange'!$A$8:$M$48,10,FALSE),
IF($A205&lt;'PVC SCH80 LD Flange'!$A$17,VLOOKUP($A205,'PVC SCH80 LD Flange'!$A$8:$M$16,10,FALSE),
IF($A205&lt;CPVC!$A$105,VLOOKUP($A205,CPVC!$A$9:$M$104,10,FALSE),
IF($A205&lt;InsertFittings!$A$185,VLOOKUP($A205,InsertFittings!$A$9:$M$184,10,FALSE),
IF($A205&lt;Valves!$A$92,VLOOKUP($A205,Valves!$A$9:$Q$91,14,FALSE),
IF($A205&lt;SDR35SW!$A$133,VLOOKUP($A205,SDR35SW!$A$9:$M$132,10,FALSE),
IF($A205&lt;SDR35G!$A$151,VLOOKUP($A205,SDR35G!$A$9:$M$150,10,FALSE),
IF($A205&lt;SDR26G!$A$67,VLOOKUP($A205,SDR26G!$A$9:$N$66,11,FALSE),
IF($A205&lt;Cements!$A$95,VLOOKUP($A205,Cements!$A$8:$Q$94,14,FALSE),
IF($A205&lt;ValveBox!$A$124,VLOOKUP($A205,ValveBox!$A$9:$O$123,12,FALSE),
IF($A205&lt;'ValveBox Components'!$A$142,VLOOKUP($A205,'ValveBox Components'!$A$9:$N$141,11,FALSE),
IF($A205&lt;Drainage!$A$69,VLOOKUP($A205,Drainage!$A$8:$M$68,10,FALSE),
IF($A205&lt;Nipples!$A$82,VLOOKUP($A205,Nipples!$A$9:$Q$81,14,FALSE),
IF($A205&lt;Manifold!$A$33,VLOOKUP($A205,Manifold!$A$9:$M$32,10,FALSE),
IF($A205&lt;FlexibleRepairCouplings!$A$12,VLOOKUP($A205,FlexibleRepairCouplings!$A$9:$M$11,10,FALSE),
IF($A205&lt;DuraFix!$A$15,VLOOKUP($A205,DuraFix!$A$9:$M$14,10,FALSE),
IF($A205&lt;'Compression Fittings'!$A$16,VLOOKUP($A205,'Compression Fittings'!$A$8:$M$15,10,FALSE),
IF($A205&lt;'Hose Fittings'!$A$30,VLOOKUP($A205,'Hose Fittings'!$A$8:$M$29,10,FALSE),
IF($A205&lt;'Swing Joints'!$A$495,VLOOKUP($A205,'Swing Joints'!$A$9:$M$494,10,FALSE),
IF($A205&lt;'Swing Joints Components'!$A$135,VLOOKUP($A205,'Swing Joints Components'!$A$9:$M$134,10,FALSE),
IF($A205&lt;Nonstandard!$A$42,VLOOKUP($A205,Nonstandard!$A$31:$J$41,10,FALSE),"")))))))))))))))))))))))))))),"")</f>
        <v/>
      </c>
      <c r="L205" s="314" t="str">
        <f t="shared" si="4"/>
        <v>-</v>
      </c>
      <c r="M205" s="315"/>
    </row>
    <row r="206" spans="1:13" ht="15.6">
      <c r="A206" s="536">
        <v>174</v>
      </c>
      <c r="B206" s="536" t="str">
        <f>IFERROR(IF($A206&lt;'DWV PVC'!$A$317,VLOOKUP($A206,'DWV PVC'!$A$9:$M$316,4,FALSE),
IF($A206&lt;'DWV ABS'!$A$117,VLOOKUP($A206,'DWV ABS'!$A$8:$M$116,4,FALSE),
IF($A206&lt;'PVC SCH40'!$A$425,VLOOKUP($A206,'PVC SCH40'!$A$8:$M$424,4,FALSE),
IF($A206&lt;'PVC SCH40 LD'!$A$22,VLOOKUP($A206,'PVC SCH40 LD'!$A$8:$M$21,4,FALSE),
IF($A206&lt;'Pool &amp; SPA Sweep Elbows'!$A$12,VLOOKUP($A206,'Pool &amp; SPA Sweep Elbows'!$A$8:$M$11,4,FALSE),
IF($A206&lt;'Pool &amp; SPA Pipe Extender'!$A$11,VLOOKUP($A206,'Pool &amp; SPA Pipe Extender'!$A$8:$M$10,4,FALSE),
IF($A206&lt;'PVC SCH80'!$A$250,VLOOKUP($A206,'PVC SCH80'!$A$8:$M$249,4,FALSE),
IF($A206&lt;'PVC SCH80 Flange'!$A$49,VLOOKUP($A206,'PVC SCH80 Flange'!$A$8:$M$48,4,FALSE),
IF($A206&lt;'PVC SCH80 LD Flange'!$A$17,VLOOKUP($A206,'PVC SCH80 LD Flange'!$A$8:$M$16,4,FALSE),
IF($A206&lt;CPVC!$A$105,VLOOKUP($A206,CPVC!$A$9:$M$104,4,FALSE),
IF($A206&lt;InsertFittings!$A$185,VLOOKUP($A206,InsertFittings!$A$9:$M$184,4,FALSE),
IF($A206&lt;Valves!$A$92,VLOOKUP($A206,Valves!$A$9:$Q$91,4,FALSE),
IF($A206&lt;SDR35SW!$A$133,VLOOKUP($A206,SDR35SW!$A$9:$M$132,4,FALSE),
IF($A206&lt;SDR35G!$A$151,VLOOKUP($A206,SDR35G!$A$9:$M$150,4,FALSE),
IF($A206&lt;SDR26G!$A$67,VLOOKUP($A206,SDR26G!$A$9:$N$66,5,FALSE),
IF($A206&lt;Cements!$A$95,VLOOKUP($A206,Cements!$A$8:$Q$94,4,FALSE),
IF($A206&lt;ValveBox!$A$124,VLOOKUP($A206,ValveBox!$A$9:$O$123,4,FALSE),
IF($A206&lt;'ValveBox Components'!$A$142,VLOOKUP($A206,'ValveBox Components'!$A$9:$N$141,4,FALSE),
IF($A206&lt;Drainage!$A$69,VLOOKUP($A206,Drainage!$A$8:$M$68,4,FALSE),
IF($A206&lt;Nipples!$A$82,VLOOKUP($A206,Nipples!$A$9:$Q$81,4,FALSE),
IF($A206&lt;Manifold!$A$33,VLOOKUP($A206,Manifold!$A$9:$M$32,4,FALSE),
IF($A206&lt;FlexibleRepairCouplings!$A$12,VLOOKUP($A206,FlexibleRepairCouplings!$A$9:$M$11,4,FALSE),
IF($A206&lt;DuraFix!$A$15,VLOOKUP($A206,DuraFix!$A$9:$M$14,4,FALSE),
IF($A206&lt;'Compression Fittings'!$A$16,VLOOKUP($A206,'Compression Fittings'!$A$8:$M$15,4,FALSE),
IF($A206&lt;'Hose Fittings'!$A$30,VLOOKUP($A206,'Hose Fittings'!$A$8:$M$29,4,FALSE),
IF($A206&lt;'Swing Joints'!$A$495,VLOOKUP($A206,'Swing Joints'!$A$9:$M$494,4,FALSE),
IF($A206&lt;'Swing Joints Components'!$A$135,VLOOKUP($A206,'Swing Joints Components'!$A$9:$M$134,4,FALSE),
IF($A206&lt;Nonstandard!$A$42,VLOOKUP($A206,Nonstandard!$A$31:$J$41,5,FALSE),"")))))))))))))))))))))))))))),"")</f>
        <v/>
      </c>
      <c r="C206" s="536" t="str">
        <f>IFERROR(IF($A206&lt;'DWV PVC'!$A$317,VLOOKUP($A206,'DWV PVC'!$A$9:$M$316,5,FALSE),
IF($A206&lt;'DWV ABS'!$A$117,VLOOKUP($A206,'DWV ABS'!$A$8:$M$116,5,FALSE),
IF($A206&lt;'PVC SCH40'!$A$425,VLOOKUP($A206,'PVC SCH40'!$A$8:$M$424,5,FALSE),
IF($A206&lt;'PVC SCH40 LD'!$A$22,VLOOKUP($A206,'PVC SCH40 LD'!$A$8:$M$21,5,FALSE),
IF($A206&lt;'Pool &amp; SPA Sweep Elbows'!$A$12,VLOOKUP($A206,'Pool &amp; SPA Sweep Elbows'!$A$8:$M$11,5,FALSE),
IF($A206&lt;'Pool &amp; SPA Pipe Extender'!$A$11,VLOOKUP($A206,'Pool &amp; SPA Pipe Extender'!$A$8:$M$10,5,FALSE),
IF($A206&lt;'PVC SCH80'!$A$250,VLOOKUP($A206,'PVC SCH80'!$A$8:$M$249,5,FALSE),
IF($A206&lt;'PVC SCH80 Flange'!$A$49,VLOOKUP($A206,'PVC SCH80 Flange'!$A$8:$M$48,5,FALSE),
IF($A206&lt;'PVC SCH80 LD Flange'!$A$17,VLOOKUP($A206,'PVC SCH80 LD Flange'!$A$8:$M$16,5,FALSE),
IF($A206&lt;CPVC!$A$105,VLOOKUP($A206,CPVC!$A$9:$M$104,5,FALSE),
IF($A206&lt;InsertFittings!$A$185,VLOOKUP($A206,InsertFittings!$A$9:$M$184,5,FALSE),
IF($A206&lt;Valves!$A$92,VLOOKUP($A206,Valves!$A$9:$Q$91,5,FALSE),
IF($A206&lt;SDR35SW!$A$133,VLOOKUP($A206,SDR35SW!$A$9:$M$132,5,FALSE),
IF($A206&lt;SDR35G!$A$151,VLOOKUP($A206,SDR35G!$A$9:$M$150,5,FALSE),
IF($A206&lt;SDR26G!$A$67,VLOOKUP($A206,SDR26G!$A$9:$N$66,6,FALSE),
IF($A206&lt;Cements!$A$95,VLOOKUP($A206,Cements!$A$8:$Q$94,5,FALSE),
IF($A206&lt;ValveBox!$A$124,VLOOKUP($A206,ValveBox!$A$9:$O$123,5,FALSE),
IF($A206&lt;'ValveBox Components'!$A$142,VLOOKUP($A206,'ValveBox Components'!$A$9:$N$141,5,FALSE),
IF($A206&lt;Drainage!$A$69,VLOOKUP($A206,Drainage!$A$8:$M$68,5,FALSE),
IF($A206&lt;Nipples!$A$82,VLOOKUP($A206,Nipples!$A$9:$Q$81,5,FALSE),
IF($A206&lt;Manifold!$A$33,VLOOKUP($A206,Manifold!$A$9:$M$32,5,FALSE),
IF($A206&lt;FlexibleRepairCouplings!$A$12,VLOOKUP($A206,FlexibleRepairCouplings!$A$9:$M$11,5,FALSE),
IF($A206&lt;DuraFix!$A$15,VLOOKUP($A206,DuraFix!$A$9:$M$14,5,FALSE),
IF($A206&lt;'Compression Fittings'!$A$16,VLOOKUP($A206,'Compression Fittings'!$A$8:$M$15,5,FALSE),
IF($A206&lt;'Hose Fittings'!$A$30,VLOOKUP($A206,'Hose Fittings'!$A$8:$M$29,5,FALSE),
IF($A206&lt;'Swing Joints'!$A$495,VLOOKUP($A206,'Swing Joints'!$A$9:$M$494,5,FALSE),
IF($A206&lt;'Swing Joints Components'!$A$135,VLOOKUP($A206,'Swing Joints Components'!$A$9:$M$134,5,FALSE),
IF($A206&lt;Nonstandard!$A$42,VLOOKUP($A206,Nonstandard!$A$31:$J$41,6,FALSE),"")))))))))))))))))))))))))))),"")</f>
        <v/>
      </c>
      <c r="D206" s="537" t="str">
        <f>IFERROR(IF($A206&lt;'DWV PVC'!$A$317,VLOOKUP($A206,'DWV PVC'!$A$9:$M$316,6,FALSE),
IF($A206&lt;'DWV ABS'!$A$117,VLOOKUP($A206,'DWV ABS'!$A$8:$M$116,6,FALSE),
IF($A206&lt;'PVC SCH40'!$A$425,VLOOKUP($A206,'PVC SCH40'!$A$8:$M$424,6,FALSE),
IF($A206&lt;'PVC SCH40 LD'!$A$22,VLOOKUP($A206,'PVC SCH40 LD'!$A$8:$M$21,6,FALSE),
IF($A206&lt;'Pool &amp; SPA Sweep Elbows'!$A$12,VLOOKUP($A206,'Pool &amp; SPA Sweep Elbows'!$A$8:$M$11,6,FALSE),
IF($A206&lt;'Pool &amp; SPA Pipe Extender'!$A$11,VLOOKUP($A206,'Pool &amp; SPA Pipe Extender'!$A$8:$M$10,6,FALSE),
IF($A206&lt;'PVC SCH80'!$A$250,VLOOKUP($A206,'PVC SCH80'!$A$8:$M$249,6,FALSE),
IF($A206&lt;'PVC SCH80 Flange'!$A$49,VLOOKUP($A206,'PVC SCH80 Flange'!$A$8:$M$48,6,FALSE),
IF($A206&lt;'PVC SCH80 LD Flange'!$A$17,VLOOKUP($A206,'PVC SCH80 LD Flange'!$A$8:$M$16,6,FALSE),
IF($A206&lt;CPVC!$A$105,VLOOKUP($A206,CPVC!$A$9:$M$104,6,FALSE),
IF($A206&lt;InsertFittings!$A$185,VLOOKUP($A206,InsertFittings!$A$9:$M$184,6,FALSE),
IF($A206&lt;Valves!$A$92,VLOOKUP($A206,Valves!$A$9:$Q$91,6,FALSE),
IF($A206&lt;SDR35SW!$A$133,VLOOKUP($A206,SDR35SW!$A$9:$M$132,6,FALSE),
IF($A206&lt;SDR35G!$A$151,VLOOKUP($A206,SDR35G!$A$9:$M$150,6,FALSE),
IF($A206&lt;SDR26G!$A$67,VLOOKUP($A206,SDR26G!$A$9:$N$66,7,FALSE),
IF($A206&lt;Cements!$A$95,VLOOKUP($A206,Cements!$A$8:$Q$94,6,FALSE),
IF($A206&lt;ValveBox!$A$124,VLOOKUP($A206,ValveBox!$A$9:$O$123,6,FALSE),
IF($A206&lt;'ValveBox Components'!$A$142,VLOOKUP($A206,'ValveBox Components'!$A$9:$N$141,6,FALSE),
IF($A206&lt;Drainage!$A$69,VLOOKUP($A206,Drainage!$A$8:$M$68,6,FALSE),
IF($A206&lt;Nipples!$A$82,VLOOKUP($A206,Nipples!$A$9:$Q$81,6,FALSE),
IF($A206&lt;Manifold!$A$33,VLOOKUP($A206,Manifold!$A$9:$M$32,6,FALSE),
IF($A206&lt;FlexibleRepairCouplings!$A$12,VLOOKUP($A206,FlexibleRepairCouplings!$A$9:$M$11,6,FALSE),
IF($A206&lt;DuraFix!$A$15,VLOOKUP($A206,DuraFix!$A$9:$M$14,6,FALSE),
IF($A206&lt;'Compression Fittings'!$A$16,VLOOKUP($A206,'Compression Fittings'!$A$8:$M$15,6,FALSE),
IF($A206&lt;'Hose Fittings'!$A$30,VLOOKUP($A206,'Hose Fittings'!$A$8:$M$29,6,FALSE),
IF($A206&lt;'Swing Joints'!$A$495,VLOOKUP($A206,'Swing Joints'!$A$9:$M$494,6,FALSE),
IF($A206&lt;'Swing Joints Components'!$A$135,VLOOKUP($A206,'Swing Joints Components'!$A$9:$M$134,6,FALSE),
IF($A206&lt;Nonstandard!$A$42,VLOOKUP($A206,Nonstandard!$A$31:$J$41,7,FALSE),"")))))))))))))))))))))))))))),"")</f>
        <v/>
      </c>
      <c r="E206" s="538"/>
      <c r="F206" s="539" t="str">
        <f>IFERROR(IF($A206&lt;'DWV PVC'!$A$317,VLOOKUP($A206,'DWV PVC'!$A$9:$M$316,9,FALSE),
IF($A206&lt;'DWV ABS'!$A$117,VLOOKUP($A206,'DWV ABS'!$A$8:$M$116,9,FALSE),                                                                                                                                                                                                                                                     IF($A206&lt;'PVC SCH40'!$A$425,VLOOKUP($A206,'PVC SCH40'!$A$8:$M$424,9,FALSE),
IF($A206&lt;'PVC SCH40 LD'!$A$22,VLOOKUP($A206,'PVC SCH40 LD'!$A$8:$M$21,9,FALSE),
IF($A206&lt;'Pool &amp; SPA Sweep Elbows'!$A$12,VLOOKUP($A206,'Pool &amp; SPA Sweep Elbows'!$A$8:$M$11,9,FALSE),
IF($A206&lt;'Pool &amp; SPA Pipe Extender'!$A$11,VLOOKUP($A206,'Pool &amp; SPA Pipe Extender'!$A$8:$M$10,9,FALSE),
IF($A206&lt;'PVC SCH80'!$A$250,VLOOKUP($A206,'PVC SCH80'!$A$8:$M$249,9,FALSE),
IF($A206&lt;'PVC SCH80 Flange'!$A$49,VLOOKUP($A206,'PVC SCH80 Flange'!$A$8:$M$48,9,FALSE),
IF($A206&lt;'PVC SCH80 LD Flange'!$A$17,VLOOKUP($A206,'PVC SCH80 LD Flange'!$A$8:$M$16,9,FALSE),
IF($A206&lt;CPVC!$A$105,VLOOKUP($A206,CPVC!$A$9:$M$104,9,FALSE),
IF($A206&lt;InsertFittings!$A$185,VLOOKUP($A206,InsertFittings!$A$9:$M$184,9,FALSE),
IF($A206&lt;Valves!$A$92,VLOOKUP($A206,Valves!$A$9:$Q$91,13,FALSE),
IF($A206&lt;SDR35SW!$A$133,VLOOKUP($A206,SDR35SW!$A$9:$M$132,9,FALSE),
IF($A206&lt;SDR35G!$A$151,VLOOKUP($A206,SDR35G!$A$9:$M$150,9,FALSE),                                                                                                                                                                                                                                                          IF($A206&lt;SDR26G!$A$67,VLOOKUP($A206,SDR26G!$A$9:$N$66,10,FALSE),                                                                                                                                                                                                                                                       IF($A206&lt;Cements!$A$95,VLOOKUP($A206,Cements!$A$8:$Q$94,13,FALSE),
IF($A206&lt;ValveBox!$A$124,VLOOKUP($A206,ValveBox!$A$9:$O$123,11,FALSE),
IF($A206&lt;'ValveBox Components'!$A$142,VLOOKUP($A206,'ValveBox Components'!$A$9:$N$141,10,FALSE),
IF($A206&lt;Drainage!$A$69,VLOOKUP($A206,Drainage!$A$8:$M$68,9,FALSE),                                                                                                                                                                                                                                                              IF($A206&lt;Nipples!$A$82,VLOOKUP($A206,Nipples!$A$9:$Q$81,13,FALSE),
IF($A206&lt;Manifold!$A$33,VLOOKUP($A206,Manifold!$A$9:$M$32,9,FALSE),
IF($A206&lt;FlexibleRepairCouplings!$A$12,VLOOKUP($A206,FlexibleRepairCouplings!$A$9:$M$11,9,FALSE),
IF($A206&lt;DuraFix!$A$15,VLOOKUP($A206,DuraFix!$A$9:$M$14,9,FALSE),                                                                                                                                                                                                                                                          IF($A206&lt;'Compression Fittings'!$A$16,VLOOKUP($A206,'Compression Fittings'!$A$8:$M$15,9,FALSE),
IF($A206&lt;'Hose Fittings'!$A$30,VLOOKUP($A206,'Hose Fittings'!$A$8:$M$29,9,FALSE),
IF($A206&lt;'Swing Joints'!$A$495,VLOOKUP($A206,'Swing Joints'!$A$9:$M$494,9,FALSE),
IF($A206&lt;'Swing Joints Components'!$A$135,VLOOKUP($A206,'Swing Joints Components'!$A$9:$M$134,9,FALSE),
IF($A206&lt;Nonstandard!$A$42,VLOOKUP($A206,Nonstandard!$A$31:$J$41,8,FALSE),"")))))))))))))))))))))))))))),"")</f>
        <v/>
      </c>
      <c r="G206" s="540" t="str">
        <f>IFERROR(IF($A206&lt;'DWV PVC'!$A$317,VLOOKUP($A206,'DWV PVC'!$A$9:$M$316,11,FALSE),
IF($A206&lt;'DWV ABS'!$A$117,VLOOKUP($A206,'DWV ABS'!$A$8:$M$116,11,FALSE),                                                                                                                                                                                                                                                     IF($A206&lt;'PVC SCH40'!$A$425,VLOOKUP($A206,'PVC SCH40'!$A$8:$M$424,11,FALSE),
IF($A206&lt;'PVC SCH40 LD'!$A$22,VLOOKUP($A206,'PVC SCH40 LD'!$A$8:$M$21,11,FALSE),
IF($A206&lt;'Pool &amp; SPA Sweep Elbows'!$A$12,VLOOKUP($A206,'Pool &amp; SPA Sweep Elbows'!$A$8:$M$11,11,FALSE),
IF($A206&lt;'Pool &amp; SPA Pipe Extender'!$A$11,VLOOKUP($A206,'Pool &amp; SPA Pipe Extender'!$A$8:$M$10,11,FALSE),
IF($A206&lt;'PVC SCH80'!$A$250,VLOOKUP($A206,'PVC SCH80'!$A$8:$M$249,11,FALSE),
IF($A206&lt;'PVC SCH80 Flange'!$A$49,VLOOKUP($A206,'PVC SCH80 Flange'!$A$8:$M$48,11,FALSE),
IF($A206&lt;'PVC SCH80 LD Flange'!$A$17,VLOOKUP($A206,'PVC SCH80 LD Flange'!$A$8:$M$16,11,FALSE),
IF($A206&lt;CPVC!$A$105,VLOOKUP($A206,CPVC!$A$9:$M$104,11,FALSE),
IF($A206&lt;InsertFittings!$A$185,VLOOKUP($A206,InsertFittings!$A$9:$M$184,11,FALSE),
IF($A206&lt;Valves!$A$92,VLOOKUP($A206,Valves!$A$9:$Q$91,15,FALSE),
IF($A206&lt;SDR35SW!$A$133,VLOOKUP($A206,SDR35SW!$A$9:$M$132,11,FALSE),
IF($A206&lt;SDR35G!$A$151,VLOOKUP($A206,SDR35G!$A$9:$M$150,11,FALSE),                                                                                                                                                                                                                                                          IF($A206&lt;SDR26G!$A$67,VLOOKUP($A206,SDR26G!$A$9:$N$66,12,FALSE),                                                                                                                                                                                                                                                       IF($A206&lt;Cements!$A$95,VLOOKUP($A206,Cements!$A$8:$Q$94,15,FALSE),
IF($A206&lt;ValveBox!$A$124,VLOOKUP($A206,ValveBox!$A$9:$O$123,13,FALSE),
IF($A206&lt;'ValveBox Components'!$A$142,VLOOKUP($A206,'ValveBox Components'!$A$9:$N$141,12,FALSE),
IF($A206&lt;Drainage!$A$69,VLOOKUP($A206,Drainage!$A$8:$M$68,11,FALSE),                                                                                                                                                                                                                                                           IF($A206&lt;Nipples!$A$82,VLOOKUP($A206,Nipples!$A$9:$Q$81,15,FALSE),
IF($A206&lt;Manifold!$A$33,VLOOKUP($A206,Manifold!$A$9:$M$32,11,FALSE),
IF($A206&lt;FlexibleRepairCouplings!$A$12,VLOOKUP($A206,FlexibleRepairCouplings!$A$9:$M$11,11,FALSE),
IF($A206&lt;DuraFix!$A$15,VLOOKUP($A206,DuraFix!$A$9:$M$14,11,FALSE),                                                                                                                                                                                                                                                            IF($A206&lt;'Compression Fittings'!$A$16,VLOOKUP($A206,'Compression Fittings'!$A$8:$M$15,11,FALSE),
IF($A206&lt;'Hose Fittings'!$A$30,VLOOKUP($A206,'Hose Fittings'!$A$8:$M$29,11,FALSE),
IF($A206&lt;'Swing Joints'!$A$495,VLOOKUP($A206,'Swing Joints'!$A$9:$M$494,11,FALSE),
IF($A206&lt;'Swing Joints Components'!$A$135,VLOOKUP($A206,'Swing Joints Components'!$A$9:$M$134,11,FALSE),
IF($A206&lt;Nonstandard!$A$42,VLOOKUP($A206,Nonstandard!$A$31:$J$41,10,FALSE),"")))))))))))))))))))))))))))),"")</f>
        <v/>
      </c>
      <c r="H206" s="620" t="str">
        <f>IFERROR(IF($A206&lt;'DWV PVC'!$A$317,VLOOKUP($A206,'DWV PVC'!$A$9:$M$316,7,FALSE),
IF($A206&lt;'DWV ABS'!$A$117,VLOOKUP($A206,'DWV ABS'!$A$8:$M$116,11,FALSE),                                                                                                                                                                                                                                                     IF($A206&lt;'PVC SCH40'!$A$425,VLOOKUP($A206,'PVC SCH40'!$A$8:$M$424,7,FALSE),
IF($A206&lt;'PVC SCH40 LD'!$A$22,VLOOKUP($A206,'PVC SCH40 LD'!$A$8:$M$21,7,FALSE),
IF($A206&lt;'Pool &amp; SPA Sweep Elbows'!$A$12,VLOOKUP($A206,'Pool &amp; SPA Sweep Elbows'!$A$8:$M$11,7,FALSE),
IF($A206&lt;'Pool &amp; SPA Pipe Extender'!$A$11,VLOOKUP($A206,'Pool &amp; SPA Pipe Extender'!$A$8:$M$10,7,FALSE),
IF($A206&lt;'PVC SCH80'!$A$250,VLOOKUP($A206,'PVC SCH80'!$A$8:$M$249,7,FALSE),
IF($A206&lt;'PVC SCH80 Flange'!$A$49,VLOOKUP($A206,'PVC SCH80 Flange'!$A$8:$M$48,7,FALSE),
IF($A206&lt;'PVC SCH80 LD Flange'!$A$17,VLOOKUP($A206,'PVC SCH80 LD Flange'!$A$8:$M$16,7,FALSE),
IF($A206&lt;CPVC!$A$105,VLOOKUP($A206,CPVC!$A$9:$M$104,7,FALSE),
IF($A206&lt;InsertFittings!$A$185,VLOOKUP($A206,InsertFittings!$A$9:$M$184,7,FALSE),
IF($A206&lt;Valves!$A$92,VLOOKUP($A206,Valves!$A$9:$Q$91,11,FALSE),
IF($A206&lt;SDR35SW!$A$133,VLOOKUP($A206,SDR35SW!$A$9:$M$132,7,FALSE),
IF($A206&lt;SDR35G!$A$151,VLOOKUP($A206,SDR35G!$A$9:$M$150,7,FALSE),                                                                                                                                                                                                                                                       IF($A206&lt;SDR26G!$A$67,VLOOKUP($A206,SDR26G!$A$9:$N$66,8,FALSE),                                                                                                                                                                                                                                                     IF($A206&lt;Cements!$A$95,VLOOKUP($A206,Cements!$A$8:$Q$94,11,FALSE),
IF($A206&lt;ValveBox!$A$124,VLOOKUP($A206,ValveBox!$A$9:$O$123,10,FALSE),
IF($A206&lt;'ValveBox Components'!$A$142,VLOOKUP($A206,'ValveBox Components'!$A$9:$N$141,9,FALSE),
IF($A206&lt;Drainage!$A$69,VLOOKUP($A206,Drainage!$A$8:$M$68,7,FALSE),                                                                                                                                                                                                                                                          IF($A206&lt;Nipples!$A$82,VLOOKUP($A206,Nipples!$A$9:$Q$81,11,FALSE),
IF($A206&lt;Manifold!$A$33,VLOOKUP($A206,Manifold!$A$9:$M$32,7,FALSE),
IF($A206&lt;FlexibleRepairCouplings!$A$12,VLOOKUP($A206,FlexibleRepairCouplings!$A$9:$M$11,7,FALSE),
IF($A206&lt;DuraFix!$A$15,VLOOKUP($A206,DuraFix!$A$9:$M$14,7,FALSE),                                                                                                                                                                                                                                                           IF($A206&lt;'Compression Fittings'!$A$16,VLOOKUP($A206,'Compression Fittings'!$A$8:$M$15,7,FALSE),
IF($A206&lt;'Hose Fittings'!$A$30,VLOOKUP($A206,'Hose Fittings'!$A$8:$M$29,7,FALSE),
IF($A206&lt;'Swing Joints'!$A$495,VLOOKUP($A206,'Swing Joints'!$A$9:$M$494,7,FALSE),
IF($A206&lt;'Swing Joints Components'!$A$135,VLOOKUP($A206,'Swing Joints Components'!$A$9:$M$134,7,FALSE),
IF($A206&lt;Nonstandard!$A$42,VLOOKUP($A206,Nonstandard!$A$31:$J$41,10,FALSE),"")))))))))))))))))))))))))))),"")</f>
        <v/>
      </c>
      <c r="I206" s="621"/>
      <c r="J206" s="541" t="str">
        <f t="shared" si="5"/>
        <v/>
      </c>
      <c r="K206" s="599" t="str">
        <f>IFERROR(IF($A206&lt;'DWV PVC'!$A$317,VLOOKUP($A206,'DWV PVC'!$A$9:$M$316,10,FALSE),
IF($A206&lt;'DWV ABS'!$A$117,VLOOKUP($A206,'DWV ABS'!$A$8:$M$116,10,FALSE),
IF($A206&lt;'PVC SCH40'!$A$425,VLOOKUP($A206,'PVC SCH40'!$A$8:$M$424,10,FALSE),
IF($A206&lt;'PVC SCH40 LD'!$A$22,VLOOKUP($A206,'PVC SCH40 LD'!$A$8:$M$21,10,FALSE),
IF($A206&lt;'Pool &amp; SPA Sweep Elbows'!$A$12,VLOOKUP($A206,'Pool &amp; SPA Sweep Elbows'!$A$8:$M$11,10,FALSE),
IF($A206&lt;'Pool &amp; SPA Pipe Extender'!$A$11,VLOOKUP($A206,'Pool &amp; SPA Pipe Extender'!$A$8:$M$10,10,FALSE),
IF($A206&lt;'PVC SCH80'!$A$250,VLOOKUP($A206,'PVC SCH80'!$A$8:$M$249,10,FALSE),
IF($A206&lt;'PVC SCH80 Flange'!$A$49,VLOOKUP($A206,'PVC SCH80 Flange'!$A$8:$M$48,10,FALSE),
IF($A206&lt;'PVC SCH80 LD Flange'!$A$17,VLOOKUP($A206,'PVC SCH80 LD Flange'!$A$8:$M$16,10,FALSE),
IF($A206&lt;CPVC!$A$105,VLOOKUP($A206,CPVC!$A$9:$M$104,10,FALSE),
IF($A206&lt;InsertFittings!$A$185,VLOOKUP($A206,InsertFittings!$A$9:$M$184,10,FALSE),
IF($A206&lt;Valves!$A$92,VLOOKUP($A206,Valves!$A$9:$Q$91,14,FALSE),
IF($A206&lt;SDR35SW!$A$133,VLOOKUP($A206,SDR35SW!$A$9:$M$132,10,FALSE),
IF($A206&lt;SDR35G!$A$151,VLOOKUP($A206,SDR35G!$A$9:$M$150,10,FALSE),
IF($A206&lt;SDR26G!$A$67,VLOOKUP($A206,SDR26G!$A$9:$N$66,11,FALSE),
IF($A206&lt;Cements!$A$95,VLOOKUP($A206,Cements!$A$8:$Q$94,14,FALSE),
IF($A206&lt;ValveBox!$A$124,VLOOKUP($A206,ValveBox!$A$9:$O$123,12,FALSE),
IF($A206&lt;'ValveBox Components'!$A$142,VLOOKUP($A206,'ValveBox Components'!$A$9:$N$141,11,FALSE),
IF($A206&lt;Drainage!$A$69,VLOOKUP($A206,Drainage!$A$8:$M$68,10,FALSE),
IF($A206&lt;Nipples!$A$82,VLOOKUP($A206,Nipples!$A$9:$Q$81,14,FALSE),
IF($A206&lt;Manifold!$A$33,VLOOKUP($A206,Manifold!$A$9:$M$32,10,FALSE),
IF($A206&lt;FlexibleRepairCouplings!$A$12,VLOOKUP($A206,FlexibleRepairCouplings!$A$9:$M$11,10,FALSE),
IF($A206&lt;DuraFix!$A$15,VLOOKUP($A206,DuraFix!$A$9:$M$14,10,FALSE),
IF($A206&lt;'Compression Fittings'!$A$16,VLOOKUP($A206,'Compression Fittings'!$A$8:$M$15,10,FALSE),
IF($A206&lt;'Hose Fittings'!$A$30,VLOOKUP($A206,'Hose Fittings'!$A$8:$M$29,10,FALSE),
IF($A206&lt;'Swing Joints'!$A$495,VLOOKUP($A206,'Swing Joints'!$A$9:$M$494,10,FALSE),
IF($A206&lt;'Swing Joints Components'!$A$135,VLOOKUP($A206,'Swing Joints Components'!$A$9:$M$134,10,FALSE),
IF($A206&lt;Nonstandard!$A$42,VLOOKUP($A206,Nonstandard!$A$31:$J$41,10,FALSE),"")))))))))))))))))))))))))))),"")</f>
        <v/>
      </c>
      <c r="L206" s="539" t="str">
        <f t="shared" si="4"/>
        <v>-</v>
      </c>
      <c r="M206" s="542"/>
    </row>
    <row r="207" spans="1:13" ht="15.6">
      <c r="A207" s="312">
        <v>175</v>
      </c>
      <c r="B207" s="312" t="str">
        <f>IFERROR(IF($A207&lt;'DWV PVC'!$A$317,VLOOKUP($A207,'DWV PVC'!$A$9:$M$316,4,FALSE),
IF($A207&lt;'DWV ABS'!$A$117,VLOOKUP($A207,'DWV ABS'!$A$8:$M$116,4,FALSE),
IF($A207&lt;'PVC SCH40'!$A$425,VLOOKUP($A207,'PVC SCH40'!$A$8:$M$424,4,FALSE),
IF($A207&lt;'PVC SCH40 LD'!$A$22,VLOOKUP($A207,'PVC SCH40 LD'!$A$8:$M$21,4,FALSE),
IF($A207&lt;'Pool &amp; SPA Sweep Elbows'!$A$12,VLOOKUP($A207,'Pool &amp; SPA Sweep Elbows'!$A$8:$M$11,4,FALSE),
IF($A207&lt;'Pool &amp; SPA Pipe Extender'!$A$11,VLOOKUP($A207,'Pool &amp; SPA Pipe Extender'!$A$8:$M$10,4,FALSE),
IF($A207&lt;'PVC SCH80'!$A$250,VLOOKUP($A207,'PVC SCH80'!$A$8:$M$249,4,FALSE),
IF($A207&lt;'PVC SCH80 Flange'!$A$49,VLOOKUP($A207,'PVC SCH80 Flange'!$A$8:$M$48,4,FALSE),
IF($A207&lt;'PVC SCH80 LD Flange'!$A$17,VLOOKUP($A207,'PVC SCH80 LD Flange'!$A$8:$M$16,4,FALSE),
IF($A207&lt;CPVC!$A$105,VLOOKUP($A207,CPVC!$A$9:$M$104,4,FALSE),
IF($A207&lt;InsertFittings!$A$185,VLOOKUP($A207,InsertFittings!$A$9:$M$184,4,FALSE),
IF($A207&lt;Valves!$A$92,VLOOKUP($A207,Valves!$A$9:$Q$91,4,FALSE),
IF($A207&lt;SDR35SW!$A$133,VLOOKUP($A207,SDR35SW!$A$9:$M$132,4,FALSE),
IF($A207&lt;SDR35G!$A$151,VLOOKUP($A207,SDR35G!$A$9:$M$150,4,FALSE),
IF($A207&lt;SDR26G!$A$67,VLOOKUP($A207,SDR26G!$A$9:$N$66,5,FALSE),
IF($A207&lt;Cements!$A$95,VLOOKUP($A207,Cements!$A$8:$Q$94,4,FALSE),
IF($A207&lt;ValveBox!$A$124,VLOOKUP($A207,ValveBox!$A$9:$O$123,4,FALSE),
IF($A207&lt;'ValveBox Components'!$A$142,VLOOKUP($A207,'ValveBox Components'!$A$9:$N$141,4,FALSE),
IF($A207&lt;Drainage!$A$69,VLOOKUP($A207,Drainage!$A$8:$M$68,4,FALSE),
IF($A207&lt;Nipples!$A$82,VLOOKUP($A207,Nipples!$A$9:$Q$81,4,FALSE),
IF($A207&lt;Manifold!$A$33,VLOOKUP($A207,Manifold!$A$9:$M$32,4,FALSE),
IF($A207&lt;FlexibleRepairCouplings!$A$12,VLOOKUP($A207,FlexibleRepairCouplings!$A$9:$M$11,4,FALSE),
IF($A207&lt;DuraFix!$A$15,VLOOKUP($A207,DuraFix!$A$9:$M$14,4,FALSE),
IF($A207&lt;'Compression Fittings'!$A$16,VLOOKUP($A207,'Compression Fittings'!$A$8:$M$15,4,FALSE),
IF($A207&lt;'Hose Fittings'!$A$30,VLOOKUP($A207,'Hose Fittings'!$A$8:$M$29,4,FALSE),
IF($A207&lt;'Swing Joints'!$A$495,VLOOKUP($A207,'Swing Joints'!$A$9:$M$494,4,FALSE),
IF($A207&lt;'Swing Joints Components'!$A$135,VLOOKUP($A207,'Swing Joints Components'!$A$9:$M$134,4,FALSE),
IF($A207&lt;Nonstandard!$A$42,VLOOKUP($A207,Nonstandard!$A$31:$J$41,5,FALSE),"")))))))))))))))))))))))))))),"")</f>
        <v/>
      </c>
      <c r="C207" s="312" t="str">
        <f>IFERROR(IF($A207&lt;'DWV PVC'!$A$317,VLOOKUP($A207,'DWV PVC'!$A$9:$M$316,5,FALSE),
IF($A207&lt;'DWV ABS'!$A$117,VLOOKUP($A207,'DWV ABS'!$A$8:$M$116,5,FALSE),
IF($A207&lt;'PVC SCH40'!$A$425,VLOOKUP($A207,'PVC SCH40'!$A$8:$M$424,5,FALSE),
IF($A207&lt;'PVC SCH40 LD'!$A$22,VLOOKUP($A207,'PVC SCH40 LD'!$A$8:$M$21,5,FALSE),
IF($A207&lt;'Pool &amp; SPA Sweep Elbows'!$A$12,VLOOKUP($A207,'Pool &amp; SPA Sweep Elbows'!$A$8:$M$11,5,FALSE),
IF($A207&lt;'Pool &amp; SPA Pipe Extender'!$A$11,VLOOKUP($A207,'Pool &amp; SPA Pipe Extender'!$A$8:$M$10,5,FALSE),
IF($A207&lt;'PVC SCH80'!$A$250,VLOOKUP($A207,'PVC SCH80'!$A$8:$M$249,5,FALSE),
IF($A207&lt;'PVC SCH80 Flange'!$A$49,VLOOKUP($A207,'PVC SCH80 Flange'!$A$8:$M$48,5,FALSE),
IF($A207&lt;'PVC SCH80 LD Flange'!$A$17,VLOOKUP($A207,'PVC SCH80 LD Flange'!$A$8:$M$16,5,FALSE),
IF($A207&lt;CPVC!$A$105,VLOOKUP($A207,CPVC!$A$9:$M$104,5,FALSE),
IF($A207&lt;InsertFittings!$A$185,VLOOKUP($A207,InsertFittings!$A$9:$M$184,5,FALSE),
IF($A207&lt;Valves!$A$92,VLOOKUP($A207,Valves!$A$9:$Q$91,5,FALSE),
IF($A207&lt;SDR35SW!$A$133,VLOOKUP($A207,SDR35SW!$A$9:$M$132,5,FALSE),
IF($A207&lt;SDR35G!$A$151,VLOOKUP($A207,SDR35G!$A$9:$M$150,5,FALSE),
IF($A207&lt;SDR26G!$A$67,VLOOKUP($A207,SDR26G!$A$9:$N$66,6,FALSE),
IF($A207&lt;Cements!$A$95,VLOOKUP($A207,Cements!$A$8:$Q$94,5,FALSE),
IF($A207&lt;ValveBox!$A$124,VLOOKUP($A207,ValveBox!$A$9:$O$123,5,FALSE),
IF($A207&lt;'ValveBox Components'!$A$142,VLOOKUP($A207,'ValveBox Components'!$A$9:$N$141,5,FALSE),
IF($A207&lt;Drainage!$A$69,VLOOKUP($A207,Drainage!$A$8:$M$68,5,FALSE),
IF($A207&lt;Nipples!$A$82,VLOOKUP($A207,Nipples!$A$9:$Q$81,5,FALSE),
IF($A207&lt;Manifold!$A$33,VLOOKUP($A207,Manifold!$A$9:$M$32,5,FALSE),
IF($A207&lt;FlexibleRepairCouplings!$A$12,VLOOKUP($A207,FlexibleRepairCouplings!$A$9:$M$11,5,FALSE),
IF($A207&lt;DuraFix!$A$15,VLOOKUP($A207,DuraFix!$A$9:$M$14,5,FALSE),
IF($A207&lt;'Compression Fittings'!$A$16,VLOOKUP($A207,'Compression Fittings'!$A$8:$M$15,5,FALSE),
IF($A207&lt;'Hose Fittings'!$A$30,VLOOKUP($A207,'Hose Fittings'!$A$8:$M$29,5,FALSE),
IF($A207&lt;'Swing Joints'!$A$495,VLOOKUP($A207,'Swing Joints'!$A$9:$M$494,5,FALSE),
IF($A207&lt;'Swing Joints Components'!$A$135,VLOOKUP($A207,'Swing Joints Components'!$A$9:$M$134,5,FALSE),
IF($A207&lt;Nonstandard!$A$42,VLOOKUP($A207,Nonstandard!$A$31:$J$41,6,FALSE),"")))))))))))))))))))))))))))),"")</f>
        <v/>
      </c>
      <c r="D207" s="534" t="str">
        <f>IFERROR(IF($A207&lt;'DWV PVC'!$A$317,VLOOKUP($A207,'DWV PVC'!$A$9:$M$316,6,FALSE),
IF($A207&lt;'DWV ABS'!$A$117,VLOOKUP($A207,'DWV ABS'!$A$8:$M$116,6,FALSE),
IF($A207&lt;'PVC SCH40'!$A$425,VLOOKUP($A207,'PVC SCH40'!$A$8:$M$424,6,FALSE),
IF($A207&lt;'PVC SCH40 LD'!$A$22,VLOOKUP($A207,'PVC SCH40 LD'!$A$8:$M$21,6,FALSE),
IF($A207&lt;'Pool &amp; SPA Sweep Elbows'!$A$12,VLOOKUP($A207,'Pool &amp; SPA Sweep Elbows'!$A$8:$M$11,6,FALSE),
IF($A207&lt;'Pool &amp; SPA Pipe Extender'!$A$11,VLOOKUP($A207,'Pool &amp; SPA Pipe Extender'!$A$8:$M$10,6,FALSE),
IF($A207&lt;'PVC SCH80'!$A$250,VLOOKUP($A207,'PVC SCH80'!$A$8:$M$249,6,FALSE),
IF($A207&lt;'PVC SCH80 Flange'!$A$49,VLOOKUP($A207,'PVC SCH80 Flange'!$A$8:$M$48,6,FALSE),
IF($A207&lt;'PVC SCH80 LD Flange'!$A$17,VLOOKUP($A207,'PVC SCH80 LD Flange'!$A$8:$M$16,6,FALSE),
IF($A207&lt;CPVC!$A$105,VLOOKUP($A207,CPVC!$A$9:$M$104,6,FALSE),
IF($A207&lt;InsertFittings!$A$185,VLOOKUP($A207,InsertFittings!$A$9:$M$184,6,FALSE),
IF($A207&lt;Valves!$A$92,VLOOKUP($A207,Valves!$A$9:$Q$91,6,FALSE),
IF($A207&lt;SDR35SW!$A$133,VLOOKUP($A207,SDR35SW!$A$9:$M$132,6,FALSE),
IF($A207&lt;SDR35G!$A$151,VLOOKUP($A207,SDR35G!$A$9:$M$150,6,FALSE),
IF($A207&lt;SDR26G!$A$67,VLOOKUP($A207,SDR26G!$A$9:$N$66,7,FALSE),
IF($A207&lt;Cements!$A$95,VLOOKUP($A207,Cements!$A$8:$Q$94,6,FALSE),
IF($A207&lt;ValveBox!$A$124,VLOOKUP($A207,ValveBox!$A$9:$O$123,6,FALSE),
IF($A207&lt;'ValveBox Components'!$A$142,VLOOKUP($A207,'ValveBox Components'!$A$9:$N$141,6,FALSE),
IF($A207&lt;Drainage!$A$69,VLOOKUP($A207,Drainage!$A$8:$M$68,6,FALSE),
IF($A207&lt;Nipples!$A$82,VLOOKUP($A207,Nipples!$A$9:$Q$81,6,FALSE),
IF($A207&lt;Manifold!$A$33,VLOOKUP($A207,Manifold!$A$9:$M$32,6,FALSE),
IF($A207&lt;FlexibleRepairCouplings!$A$12,VLOOKUP($A207,FlexibleRepairCouplings!$A$9:$M$11,6,FALSE),
IF($A207&lt;DuraFix!$A$15,VLOOKUP($A207,DuraFix!$A$9:$M$14,6,FALSE),
IF($A207&lt;'Compression Fittings'!$A$16,VLOOKUP($A207,'Compression Fittings'!$A$8:$M$15,6,FALSE),
IF($A207&lt;'Hose Fittings'!$A$30,VLOOKUP($A207,'Hose Fittings'!$A$8:$M$29,6,FALSE),
IF($A207&lt;'Swing Joints'!$A$495,VLOOKUP($A207,'Swing Joints'!$A$9:$M$494,6,FALSE),
IF($A207&lt;'Swing Joints Components'!$A$135,VLOOKUP($A207,'Swing Joints Components'!$A$9:$M$134,6,FALSE),
IF($A207&lt;Nonstandard!$A$42,VLOOKUP($A207,Nonstandard!$A$31:$J$41,7,FALSE),"")))))))))))))))))))))))))))),"")</f>
        <v/>
      </c>
      <c r="E207" s="316"/>
      <c r="F207" s="314" t="str">
        <f>IFERROR(IF($A207&lt;'DWV PVC'!$A$317,VLOOKUP($A207,'DWV PVC'!$A$9:$M$316,9,FALSE),
IF($A207&lt;'DWV ABS'!$A$117,VLOOKUP($A207,'DWV ABS'!$A$8:$M$116,9,FALSE),                                                                                                                                                                                                                                                     IF($A207&lt;'PVC SCH40'!$A$425,VLOOKUP($A207,'PVC SCH40'!$A$8:$M$424,9,FALSE),
IF($A207&lt;'PVC SCH40 LD'!$A$22,VLOOKUP($A207,'PVC SCH40 LD'!$A$8:$M$21,9,FALSE),
IF($A207&lt;'Pool &amp; SPA Sweep Elbows'!$A$12,VLOOKUP($A207,'Pool &amp; SPA Sweep Elbows'!$A$8:$M$11,9,FALSE),
IF($A207&lt;'Pool &amp; SPA Pipe Extender'!$A$11,VLOOKUP($A207,'Pool &amp; SPA Pipe Extender'!$A$8:$M$10,9,FALSE),
IF($A207&lt;'PVC SCH80'!$A$250,VLOOKUP($A207,'PVC SCH80'!$A$8:$M$249,9,FALSE),
IF($A207&lt;'PVC SCH80 Flange'!$A$49,VLOOKUP($A207,'PVC SCH80 Flange'!$A$8:$M$48,9,FALSE),
IF($A207&lt;'PVC SCH80 LD Flange'!$A$17,VLOOKUP($A207,'PVC SCH80 LD Flange'!$A$8:$M$16,9,FALSE),
IF($A207&lt;CPVC!$A$105,VLOOKUP($A207,CPVC!$A$9:$M$104,9,FALSE),
IF($A207&lt;InsertFittings!$A$185,VLOOKUP($A207,InsertFittings!$A$9:$M$184,9,FALSE),
IF($A207&lt;Valves!$A$92,VLOOKUP($A207,Valves!$A$9:$Q$91,13,FALSE),
IF($A207&lt;SDR35SW!$A$133,VLOOKUP($A207,SDR35SW!$A$9:$M$132,9,FALSE),
IF($A207&lt;SDR35G!$A$151,VLOOKUP($A207,SDR35G!$A$9:$M$150,9,FALSE),                                                                                                                                                                                                                                                          IF($A207&lt;SDR26G!$A$67,VLOOKUP($A207,SDR26G!$A$9:$N$66,10,FALSE),                                                                                                                                                                                                                                                       IF($A207&lt;Cements!$A$95,VLOOKUP($A207,Cements!$A$8:$Q$94,13,FALSE),
IF($A207&lt;ValveBox!$A$124,VLOOKUP($A207,ValveBox!$A$9:$O$123,11,FALSE),
IF($A207&lt;'ValveBox Components'!$A$142,VLOOKUP($A207,'ValveBox Components'!$A$9:$N$141,10,FALSE),
IF($A207&lt;Drainage!$A$69,VLOOKUP($A207,Drainage!$A$8:$M$68,9,FALSE),                                                                                                                                                                                                                                                              IF($A207&lt;Nipples!$A$82,VLOOKUP($A207,Nipples!$A$9:$Q$81,13,FALSE),
IF($A207&lt;Manifold!$A$33,VLOOKUP($A207,Manifold!$A$9:$M$32,9,FALSE),
IF($A207&lt;FlexibleRepairCouplings!$A$12,VLOOKUP($A207,FlexibleRepairCouplings!$A$9:$M$11,9,FALSE),
IF($A207&lt;DuraFix!$A$15,VLOOKUP($A207,DuraFix!$A$9:$M$14,9,FALSE),                                                                                                                                                                                                                                                          IF($A207&lt;'Compression Fittings'!$A$16,VLOOKUP($A207,'Compression Fittings'!$A$8:$M$15,9,FALSE),
IF($A207&lt;'Hose Fittings'!$A$30,VLOOKUP($A207,'Hose Fittings'!$A$8:$M$29,9,FALSE),
IF($A207&lt;'Swing Joints'!$A$495,VLOOKUP($A207,'Swing Joints'!$A$9:$M$494,9,FALSE),
IF($A207&lt;'Swing Joints Components'!$A$135,VLOOKUP($A207,'Swing Joints Components'!$A$9:$M$134,9,FALSE),
IF($A207&lt;Nonstandard!$A$42,VLOOKUP($A207,Nonstandard!$A$31:$J$41,8,FALSE),"")))))))))))))))))))))))))))),"")</f>
        <v/>
      </c>
      <c r="G207" s="533" t="str">
        <f>IFERROR(IF($A207&lt;'DWV PVC'!$A$317,VLOOKUP($A207,'DWV PVC'!$A$9:$M$316,11,FALSE),
IF($A207&lt;'DWV ABS'!$A$117,VLOOKUP($A207,'DWV ABS'!$A$8:$M$116,11,FALSE),                                                                                                                                                                                                                                                     IF($A207&lt;'PVC SCH40'!$A$425,VLOOKUP($A207,'PVC SCH40'!$A$8:$M$424,11,FALSE),
IF($A207&lt;'PVC SCH40 LD'!$A$22,VLOOKUP($A207,'PVC SCH40 LD'!$A$8:$M$21,11,FALSE),
IF($A207&lt;'Pool &amp; SPA Sweep Elbows'!$A$12,VLOOKUP($A207,'Pool &amp; SPA Sweep Elbows'!$A$8:$M$11,11,FALSE),
IF($A207&lt;'Pool &amp; SPA Pipe Extender'!$A$11,VLOOKUP($A207,'Pool &amp; SPA Pipe Extender'!$A$8:$M$10,11,FALSE),
IF($A207&lt;'PVC SCH80'!$A$250,VLOOKUP($A207,'PVC SCH80'!$A$8:$M$249,11,FALSE),
IF($A207&lt;'PVC SCH80 Flange'!$A$49,VLOOKUP($A207,'PVC SCH80 Flange'!$A$8:$M$48,11,FALSE),
IF($A207&lt;'PVC SCH80 LD Flange'!$A$17,VLOOKUP($A207,'PVC SCH80 LD Flange'!$A$8:$M$16,11,FALSE),
IF($A207&lt;CPVC!$A$105,VLOOKUP($A207,CPVC!$A$9:$M$104,11,FALSE),
IF($A207&lt;InsertFittings!$A$185,VLOOKUP($A207,InsertFittings!$A$9:$M$184,11,FALSE),
IF($A207&lt;Valves!$A$92,VLOOKUP($A207,Valves!$A$9:$Q$91,15,FALSE),
IF($A207&lt;SDR35SW!$A$133,VLOOKUP($A207,SDR35SW!$A$9:$M$132,11,FALSE),
IF($A207&lt;SDR35G!$A$151,VLOOKUP($A207,SDR35G!$A$9:$M$150,11,FALSE),                                                                                                                                                                                                                                                          IF($A207&lt;SDR26G!$A$67,VLOOKUP($A207,SDR26G!$A$9:$N$66,12,FALSE),                                                                                                                                                                                                                                                       IF($A207&lt;Cements!$A$95,VLOOKUP($A207,Cements!$A$8:$Q$94,15,FALSE),
IF($A207&lt;ValveBox!$A$124,VLOOKUP($A207,ValveBox!$A$9:$O$123,13,FALSE),
IF($A207&lt;'ValveBox Components'!$A$142,VLOOKUP($A207,'ValveBox Components'!$A$9:$N$141,12,FALSE),
IF($A207&lt;Drainage!$A$69,VLOOKUP($A207,Drainage!$A$8:$M$68,11,FALSE),                                                                                                                                                                                                                                                           IF($A207&lt;Nipples!$A$82,VLOOKUP($A207,Nipples!$A$9:$Q$81,15,FALSE),
IF($A207&lt;Manifold!$A$33,VLOOKUP($A207,Manifold!$A$9:$M$32,11,FALSE),
IF($A207&lt;FlexibleRepairCouplings!$A$12,VLOOKUP($A207,FlexibleRepairCouplings!$A$9:$M$11,11,FALSE),
IF($A207&lt;DuraFix!$A$15,VLOOKUP($A207,DuraFix!$A$9:$M$14,11,FALSE),                                                                                                                                                                                                                                                            IF($A207&lt;'Compression Fittings'!$A$16,VLOOKUP($A207,'Compression Fittings'!$A$8:$M$15,11,FALSE),
IF($A207&lt;'Hose Fittings'!$A$30,VLOOKUP($A207,'Hose Fittings'!$A$8:$M$29,11,FALSE),
IF($A207&lt;'Swing Joints'!$A$495,VLOOKUP($A207,'Swing Joints'!$A$9:$M$494,11,FALSE),
IF($A207&lt;'Swing Joints Components'!$A$135,VLOOKUP($A207,'Swing Joints Components'!$A$9:$M$134,11,FALSE),
IF($A207&lt;Nonstandard!$A$42,VLOOKUP($A207,Nonstandard!$A$31:$J$41,10,FALSE),"")))))))))))))))))))))))))))),"")</f>
        <v/>
      </c>
      <c r="H207" s="618" t="str">
        <f>IFERROR(IF($A207&lt;'DWV PVC'!$A$317,VLOOKUP($A207,'DWV PVC'!$A$9:$M$316,7,FALSE),
IF($A207&lt;'DWV ABS'!$A$117,VLOOKUP($A207,'DWV ABS'!$A$8:$M$116,11,FALSE),                                                                                                                                                                                                                                                     IF($A207&lt;'PVC SCH40'!$A$425,VLOOKUP($A207,'PVC SCH40'!$A$8:$M$424,7,FALSE),
IF($A207&lt;'PVC SCH40 LD'!$A$22,VLOOKUP($A207,'PVC SCH40 LD'!$A$8:$M$21,7,FALSE),
IF($A207&lt;'Pool &amp; SPA Sweep Elbows'!$A$12,VLOOKUP($A207,'Pool &amp; SPA Sweep Elbows'!$A$8:$M$11,7,FALSE),
IF($A207&lt;'Pool &amp; SPA Pipe Extender'!$A$11,VLOOKUP($A207,'Pool &amp; SPA Pipe Extender'!$A$8:$M$10,7,FALSE),
IF($A207&lt;'PVC SCH80'!$A$250,VLOOKUP($A207,'PVC SCH80'!$A$8:$M$249,7,FALSE),
IF($A207&lt;'PVC SCH80 Flange'!$A$49,VLOOKUP($A207,'PVC SCH80 Flange'!$A$8:$M$48,7,FALSE),
IF($A207&lt;'PVC SCH80 LD Flange'!$A$17,VLOOKUP($A207,'PVC SCH80 LD Flange'!$A$8:$M$16,7,FALSE),
IF($A207&lt;CPVC!$A$105,VLOOKUP($A207,CPVC!$A$9:$M$104,7,FALSE),
IF($A207&lt;InsertFittings!$A$185,VLOOKUP($A207,InsertFittings!$A$9:$M$184,7,FALSE),
IF($A207&lt;Valves!$A$92,VLOOKUP($A207,Valves!$A$9:$Q$91,11,FALSE),
IF($A207&lt;SDR35SW!$A$133,VLOOKUP($A207,SDR35SW!$A$9:$M$132,7,FALSE),
IF($A207&lt;SDR35G!$A$151,VLOOKUP($A207,SDR35G!$A$9:$M$150,7,FALSE),                                                                                                                                                                                                                                                       IF($A207&lt;SDR26G!$A$67,VLOOKUP($A207,SDR26G!$A$9:$N$66,8,FALSE),                                                                                                                                                                                                                                                     IF($A207&lt;Cements!$A$95,VLOOKUP($A207,Cements!$A$8:$Q$94,11,FALSE),
IF($A207&lt;ValveBox!$A$124,VLOOKUP($A207,ValveBox!$A$9:$O$123,10,FALSE),
IF($A207&lt;'ValveBox Components'!$A$142,VLOOKUP($A207,'ValveBox Components'!$A$9:$N$141,9,FALSE),
IF($A207&lt;Drainage!$A$69,VLOOKUP($A207,Drainage!$A$8:$M$68,7,FALSE),                                                                                                                                                                                                                                                          IF($A207&lt;Nipples!$A$82,VLOOKUP($A207,Nipples!$A$9:$Q$81,11,FALSE),
IF($A207&lt;Manifold!$A$33,VLOOKUP($A207,Manifold!$A$9:$M$32,7,FALSE),
IF($A207&lt;FlexibleRepairCouplings!$A$12,VLOOKUP($A207,FlexibleRepairCouplings!$A$9:$M$11,7,FALSE),
IF($A207&lt;DuraFix!$A$15,VLOOKUP($A207,DuraFix!$A$9:$M$14,7,FALSE),                                                                                                                                                                                                                                                           IF($A207&lt;'Compression Fittings'!$A$16,VLOOKUP($A207,'Compression Fittings'!$A$8:$M$15,7,FALSE),
IF($A207&lt;'Hose Fittings'!$A$30,VLOOKUP($A207,'Hose Fittings'!$A$8:$M$29,7,FALSE),
IF($A207&lt;'Swing Joints'!$A$495,VLOOKUP($A207,'Swing Joints'!$A$9:$M$494,7,FALSE),
IF($A207&lt;'Swing Joints Components'!$A$135,VLOOKUP($A207,'Swing Joints Components'!$A$9:$M$134,7,FALSE),
IF($A207&lt;Nonstandard!$A$42,VLOOKUP($A207,Nonstandard!$A$31:$J$41,10,FALSE),"")))))))))))))))))))))))))))),"")</f>
        <v/>
      </c>
      <c r="I207" s="619"/>
      <c r="J207" s="281" t="str">
        <f t="shared" si="5"/>
        <v/>
      </c>
      <c r="K207" s="313" t="str">
        <f>IFERROR(IF($A207&lt;'DWV PVC'!$A$317,VLOOKUP($A207,'DWV PVC'!$A$9:$M$316,10,FALSE),
IF($A207&lt;'DWV ABS'!$A$117,VLOOKUP($A207,'DWV ABS'!$A$8:$M$116,10,FALSE),
IF($A207&lt;'PVC SCH40'!$A$425,VLOOKUP($A207,'PVC SCH40'!$A$8:$M$424,10,FALSE),
IF($A207&lt;'PVC SCH40 LD'!$A$22,VLOOKUP($A207,'PVC SCH40 LD'!$A$8:$M$21,10,FALSE),
IF($A207&lt;'Pool &amp; SPA Sweep Elbows'!$A$12,VLOOKUP($A207,'Pool &amp; SPA Sweep Elbows'!$A$8:$M$11,10,FALSE),
IF($A207&lt;'Pool &amp; SPA Pipe Extender'!$A$11,VLOOKUP($A207,'Pool &amp; SPA Pipe Extender'!$A$8:$M$10,10,FALSE),
IF($A207&lt;'PVC SCH80'!$A$250,VLOOKUP($A207,'PVC SCH80'!$A$8:$M$249,10,FALSE),
IF($A207&lt;'PVC SCH80 Flange'!$A$49,VLOOKUP($A207,'PVC SCH80 Flange'!$A$8:$M$48,10,FALSE),
IF($A207&lt;'PVC SCH80 LD Flange'!$A$17,VLOOKUP($A207,'PVC SCH80 LD Flange'!$A$8:$M$16,10,FALSE),
IF($A207&lt;CPVC!$A$105,VLOOKUP($A207,CPVC!$A$9:$M$104,10,FALSE),
IF($A207&lt;InsertFittings!$A$185,VLOOKUP($A207,InsertFittings!$A$9:$M$184,10,FALSE),
IF($A207&lt;Valves!$A$92,VLOOKUP($A207,Valves!$A$9:$Q$91,14,FALSE),
IF($A207&lt;SDR35SW!$A$133,VLOOKUP($A207,SDR35SW!$A$9:$M$132,10,FALSE),
IF($A207&lt;SDR35G!$A$151,VLOOKUP($A207,SDR35G!$A$9:$M$150,10,FALSE),
IF($A207&lt;SDR26G!$A$67,VLOOKUP($A207,SDR26G!$A$9:$N$66,11,FALSE),
IF($A207&lt;Cements!$A$95,VLOOKUP($A207,Cements!$A$8:$Q$94,14,FALSE),
IF($A207&lt;ValveBox!$A$124,VLOOKUP($A207,ValveBox!$A$9:$O$123,12,FALSE),
IF($A207&lt;'ValveBox Components'!$A$142,VLOOKUP($A207,'ValveBox Components'!$A$9:$N$141,11,FALSE),
IF($A207&lt;Drainage!$A$69,VLOOKUP($A207,Drainage!$A$8:$M$68,10,FALSE),
IF($A207&lt;Nipples!$A$82,VLOOKUP($A207,Nipples!$A$9:$Q$81,14,FALSE),
IF($A207&lt;Manifold!$A$33,VLOOKUP($A207,Manifold!$A$9:$M$32,10,FALSE),
IF($A207&lt;FlexibleRepairCouplings!$A$12,VLOOKUP($A207,FlexibleRepairCouplings!$A$9:$M$11,10,FALSE),
IF($A207&lt;DuraFix!$A$15,VLOOKUP($A207,DuraFix!$A$9:$M$14,10,FALSE),
IF($A207&lt;'Compression Fittings'!$A$16,VLOOKUP($A207,'Compression Fittings'!$A$8:$M$15,10,FALSE),
IF($A207&lt;'Hose Fittings'!$A$30,VLOOKUP($A207,'Hose Fittings'!$A$8:$M$29,10,FALSE),
IF($A207&lt;'Swing Joints'!$A$495,VLOOKUP($A207,'Swing Joints'!$A$9:$M$494,10,FALSE),
IF($A207&lt;'Swing Joints Components'!$A$135,VLOOKUP($A207,'Swing Joints Components'!$A$9:$M$134,10,FALSE),
IF($A207&lt;Nonstandard!$A$42,VLOOKUP($A207,Nonstandard!$A$31:$J$41,10,FALSE),"")))))))))))))))))))))))))))),"")</f>
        <v/>
      </c>
      <c r="L207" s="314" t="str">
        <f t="shared" si="4"/>
        <v>-</v>
      </c>
      <c r="M207" s="315"/>
    </row>
    <row r="208" spans="1:13" ht="15.6">
      <c r="A208" s="536">
        <v>176</v>
      </c>
      <c r="B208" s="536" t="str">
        <f>IFERROR(IF($A208&lt;'DWV PVC'!$A$317,VLOOKUP($A208,'DWV PVC'!$A$9:$M$316,4,FALSE),
IF($A208&lt;'DWV ABS'!$A$117,VLOOKUP($A208,'DWV ABS'!$A$8:$M$116,4,FALSE),
IF($A208&lt;'PVC SCH40'!$A$425,VLOOKUP($A208,'PVC SCH40'!$A$8:$M$424,4,FALSE),
IF($A208&lt;'PVC SCH40 LD'!$A$22,VLOOKUP($A208,'PVC SCH40 LD'!$A$8:$M$21,4,FALSE),
IF($A208&lt;'Pool &amp; SPA Sweep Elbows'!$A$12,VLOOKUP($A208,'Pool &amp; SPA Sweep Elbows'!$A$8:$M$11,4,FALSE),
IF($A208&lt;'Pool &amp; SPA Pipe Extender'!$A$11,VLOOKUP($A208,'Pool &amp; SPA Pipe Extender'!$A$8:$M$10,4,FALSE),
IF($A208&lt;'PVC SCH80'!$A$250,VLOOKUP($A208,'PVC SCH80'!$A$8:$M$249,4,FALSE),
IF($A208&lt;'PVC SCH80 Flange'!$A$49,VLOOKUP($A208,'PVC SCH80 Flange'!$A$8:$M$48,4,FALSE),
IF($A208&lt;'PVC SCH80 LD Flange'!$A$17,VLOOKUP($A208,'PVC SCH80 LD Flange'!$A$8:$M$16,4,FALSE),
IF($A208&lt;CPVC!$A$105,VLOOKUP($A208,CPVC!$A$9:$M$104,4,FALSE),
IF($A208&lt;InsertFittings!$A$185,VLOOKUP($A208,InsertFittings!$A$9:$M$184,4,FALSE),
IF($A208&lt;Valves!$A$92,VLOOKUP($A208,Valves!$A$9:$Q$91,4,FALSE),
IF($A208&lt;SDR35SW!$A$133,VLOOKUP($A208,SDR35SW!$A$9:$M$132,4,FALSE),
IF($A208&lt;SDR35G!$A$151,VLOOKUP($A208,SDR35G!$A$9:$M$150,4,FALSE),
IF($A208&lt;SDR26G!$A$67,VLOOKUP($A208,SDR26G!$A$9:$N$66,5,FALSE),
IF($A208&lt;Cements!$A$95,VLOOKUP($A208,Cements!$A$8:$Q$94,4,FALSE),
IF($A208&lt;ValveBox!$A$124,VLOOKUP($A208,ValveBox!$A$9:$O$123,4,FALSE),
IF($A208&lt;'ValveBox Components'!$A$142,VLOOKUP($A208,'ValveBox Components'!$A$9:$N$141,4,FALSE),
IF($A208&lt;Drainage!$A$69,VLOOKUP($A208,Drainage!$A$8:$M$68,4,FALSE),
IF($A208&lt;Nipples!$A$82,VLOOKUP($A208,Nipples!$A$9:$Q$81,4,FALSE),
IF($A208&lt;Manifold!$A$33,VLOOKUP($A208,Manifold!$A$9:$M$32,4,FALSE),
IF($A208&lt;FlexibleRepairCouplings!$A$12,VLOOKUP($A208,FlexibleRepairCouplings!$A$9:$M$11,4,FALSE),
IF($A208&lt;DuraFix!$A$15,VLOOKUP($A208,DuraFix!$A$9:$M$14,4,FALSE),
IF($A208&lt;'Compression Fittings'!$A$16,VLOOKUP($A208,'Compression Fittings'!$A$8:$M$15,4,FALSE),
IF($A208&lt;'Hose Fittings'!$A$30,VLOOKUP($A208,'Hose Fittings'!$A$8:$M$29,4,FALSE),
IF($A208&lt;'Swing Joints'!$A$495,VLOOKUP($A208,'Swing Joints'!$A$9:$M$494,4,FALSE),
IF($A208&lt;'Swing Joints Components'!$A$135,VLOOKUP($A208,'Swing Joints Components'!$A$9:$M$134,4,FALSE),
IF($A208&lt;Nonstandard!$A$42,VLOOKUP($A208,Nonstandard!$A$31:$J$41,5,FALSE),"")))))))))))))))))))))))))))),"")</f>
        <v/>
      </c>
      <c r="C208" s="536" t="str">
        <f>IFERROR(IF($A208&lt;'DWV PVC'!$A$317,VLOOKUP($A208,'DWV PVC'!$A$9:$M$316,5,FALSE),
IF($A208&lt;'DWV ABS'!$A$117,VLOOKUP($A208,'DWV ABS'!$A$8:$M$116,5,FALSE),
IF($A208&lt;'PVC SCH40'!$A$425,VLOOKUP($A208,'PVC SCH40'!$A$8:$M$424,5,FALSE),
IF($A208&lt;'PVC SCH40 LD'!$A$22,VLOOKUP($A208,'PVC SCH40 LD'!$A$8:$M$21,5,FALSE),
IF($A208&lt;'Pool &amp; SPA Sweep Elbows'!$A$12,VLOOKUP($A208,'Pool &amp; SPA Sweep Elbows'!$A$8:$M$11,5,FALSE),
IF($A208&lt;'Pool &amp; SPA Pipe Extender'!$A$11,VLOOKUP($A208,'Pool &amp; SPA Pipe Extender'!$A$8:$M$10,5,FALSE),
IF($A208&lt;'PVC SCH80'!$A$250,VLOOKUP($A208,'PVC SCH80'!$A$8:$M$249,5,FALSE),
IF($A208&lt;'PVC SCH80 Flange'!$A$49,VLOOKUP($A208,'PVC SCH80 Flange'!$A$8:$M$48,5,FALSE),
IF($A208&lt;'PVC SCH80 LD Flange'!$A$17,VLOOKUP($A208,'PVC SCH80 LD Flange'!$A$8:$M$16,5,FALSE),
IF($A208&lt;CPVC!$A$105,VLOOKUP($A208,CPVC!$A$9:$M$104,5,FALSE),
IF($A208&lt;InsertFittings!$A$185,VLOOKUP($A208,InsertFittings!$A$9:$M$184,5,FALSE),
IF($A208&lt;Valves!$A$92,VLOOKUP($A208,Valves!$A$9:$Q$91,5,FALSE),
IF($A208&lt;SDR35SW!$A$133,VLOOKUP($A208,SDR35SW!$A$9:$M$132,5,FALSE),
IF($A208&lt;SDR35G!$A$151,VLOOKUP($A208,SDR35G!$A$9:$M$150,5,FALSE),
IF($A208&lt;SDR26G!$A$67,VLOOKUP($A208,SDR26G!$A$9:$N$66,6,FALSE),
IF($A208&lt;Cements!$A$95,VLOOKUP($A208,Cements!$A$8:$Q$94,5,FALSE),
IF($A208&lt;ValveBox!$A$124,VLOOKUP($A208,ValveBox!$A$9:$O$123,5,FALSE),
IF($A208&lt;'ValveBox Components'!$A$142,VLOOKUP($A208,'ValveBox Components'!$A$9:$N$141,5,FALSE),
IF($A208&lt;Drainage!$A$69,VLOOKUP($A208,Drainage!$A$8:$M$68,5,FALSE),
IF($A208&lt;Nipples!$A$82,VLOOKUP($A208,Nipples!$A$9:$Q$81,5,FALSE),
IF($A208&lt;Manifold!$A$33,VLOOKUP($A208,Manifold!$A$9:$M$32,5,FALSE),
IF($A208&lt;FlexibleRepairCouplings!$A$12,VLOOKUP($A208,FlexibleRepairCouplings!$A$9:$M$11,5,FALSE),
IF($A208&lt;DuraFix!$A$15,VLOOKUP($A208,DuraFix!$A$9:$M$14,5,FALSE),
IF($A208&lt;'Compression Fittings'!$A$16,VLOOKUP($A208,'Compression Fittings'!$A$8:$M$15,5,FALSE),
IF($A208&lt;'Hose Fittings'!$A$30,VLOOKUP($A208,'Hose Fittings'!$A$8:$M$29,5,FALSE),
IF($A208&lt;'Swing Joints'!$A$495,VLOOKUP($A208,'Swing Joints'!$A$9:$M$494,5,FALSE),
IF($A208&lt;'Swing Joints Components'!$A$135,VLOOKUP($A208,'Swing Joints Components'!$A$9:$M$134,5,FALSE),
IF($A208&lt;Nonstandard!$A$42,VLOOKUP($A208,Nonstandard!$A$31:$J$41,6,FALSE),"")))))))))))))))))))))))))))),"")</f>
        <v/>
      </c>
      <c r="D208" s="537" t="str">
        <f>IFERROR(IF($A208&lt;'DWV PVC'!$A$317,VLOOKUP($A208,'DWV PVC'!$A$9:$M$316,6,FALSE),
IF($A208&lt;'DWV ABS'!$A$117,VLOOKUP($A208,'DWV ABS'!$A$8:$M$116,6,FALSE),
IF($A208&lt;'PVC SCH40'!$A$425,VLOOKUP($A208,'PVC SCH40'!$A$8:$M$424,6,FALSE),
IF($A208&lt;'PVC SCH40 LD'!$A$22,VLOOKUP($A208,'PVC SCH40 LD'!$A$8:$M$21,6,FALSE),
IF($A208&lt;'Pool &amp; SPA Sweep Elbows'!$A$12,VLOOKUP($A208,'Pool &amp; SPA Sweep Elbows'!$A$8:$M$11,6,FALSE),
IF($A208&lt;'Pool &amp; SPA Pipe Extender'!$A$11,VLOOKUP($A208,'Pool &amp; SPA Pipe Extender'!$A$8:$M$10,6,FALSE),
IF($A208&lt;'PVC SCH80'!$A$250,VLOOKUP($A208,'PVC SCH80'!$A$8:$M$249,6,FALSE),
IF($A208&lt;'PVC SCH80 Flange'!$A$49,VLOOKUP($A208,'PVC SCH80 Flange'!$A$8:$M$48,6,FALSE),
IF($A208&lt;'PVC SCH80 LD Flange'!$A$17,VLOOKUP($A208,'PVC SCH80 LD Flange'!$A$8:$M$16,6,FALSE),
IF($A208&lt;CPVC!$A$105,VLOOKUP($A208,CPVC!$A$9:$M$104,6,FALSE),
IF($A208&lt;InsertFittings!$A$185,VLOOKUP($A208,InsertFittings!$A$9:$M$184,6,FALSE),
IF($A208&lt;Valves!$A$92,VLOOKUP($A208,Valves!$A$9:$Q$91,6,FALSE),
IF($A208&lt;SDR35SW!$A$133,VLOOKUP($A208,SDR35SW!$A$9:$M$132,6,FALSE),
IF($A208&lt;SDR35G!$A$151,VLOOKUP($A208,SDR35G!$A$9:$M$150,6,FALSE),
IF($A208&lt;SDR26G!$A$67,VLOOKUP($A208,SDR26G!$A$9:$N$66,7,FALSE),
IF($A208&lt;Cements!$A$95,VLOOKUP($A208,Cements!$A$8:$Q$94,6,FALSE),
IF($A208&lt;ValveBox!$A$124,VLOOKUP($A208,ValveBox!$A$9:$O$123,6,FALSE),
IF($A208&lt;'ValveBox Components'!$A$142,VLOOKUP($A208,'ValveBox Components'!$A$9:$N$141,6,FALSE),
IF($A208&lt;Drainage!$A$69,VLOOKUP($A208,Drainage!$A$8:$M$68,6,FALSE),
IF($A208&lt;Nipples!$A$82,VLOOKUP($A208,Nipples!$A$9:$Q$81,6,FALSE),
IF($A208&lt;Manifold!$A$33,VLOOKUP($A208,Manifold!$A$9:$M$32,6,FALSE),
IF($A208&lt;FlexibleRepairCouplings!$A$12,VLOOKUP($A208,FlexibleRepairCouplings!$A$9:$M$11,6,FALSE),
IF($A208&lt;DuraFix!$A$15,VLOOKUP($A208,DuraFix!$A$9:$M$14,6,FALSE),
IF($A208&lt;'Compression Fittings'!$A$16,VLOOKUP($A208,'Compression Fittings'!$A$8:$M$15,6,FALSE),
IF($A208&lt;'Hose Fittings'!$A$30,VLOOKUP($A208,'Hose Fittings'!$A$8:$M$29,6,FALSE),
IF($A208&lt;'Swing Joints'!$A$495,VLOOKUP($A208,'Swing Joints'!$A$9:$M$494,6,FALSE),
IF($A208&lt;'Swing Joints Components'!$A$135,VLOOKUP($A208,'Swing Joints Components'!$A$9:$M$134,6,FALSE),
IF($A208&lt;Nonstandard!$A$42,VLOOKUP($A208,Nonstandard!$A$31:$J$41,7,FALSE),"")))))))))))))))))))))))))))),"")</f>
        <v/>
      </c>
      <c r="E208" s="538"/>
      <c r="F208" s="539" t="str">
        <f>IFERROR(IF($A208&lt;'DWV PVC'!$A$317,VLOOKUP($A208,'DWV PVC'!$A$9:$M$316,9,FALSE),
IF($A208&lt;'DWV ABS'!$A$117,VLOOKUP($A208,'DWV ABS'!$A$8:$M$116,9,FALSE),                                                                                                                                                                                                                                                     IF($A208&lt;'PVC SCH40'!$A$425,VLOOKUP($A208,'PVC SCH40'!$A$8:$M$424,9,FALSE),
IF($A208&lt;'PVC SCH40 LD'!$A$22,VLOOKUP($A208,'PVC SCH40 LD'!$A$8:$M$21,9,FALSE),
IF($A208&lt;'Pool &amp; SPA Sweep Elbows'!$A$12,VLOOKUP($A208,'Pool &amp; SPA Sweep Elbows'!$A$8:$M$11,9,FALSE),
IF($A208&lt;'Pool &amp; SPA Pipe Extender'!$A$11,VLOOKUP($A208,'Pool &amp; SPA Pipe Extender'!$A$8:$M$10,9,FALSE),
IF($A208&lt;'PVC SCH80'!$A$250,VLOOKUP($A208,'PVC SCH80'!$A$8:$M$249,9,FALSE),
IF($A208&lt;'PVC SCH80 Flange'!$A$49,VLOOKUP($A208,'PVC SCH80 Flange'!$A$8:$M$48,9,FALSE),
IF($A208&lt;'PVC SCH80 LD Flange'!$A$17,VLOOKUP($A208,'PVC SCH80 LD Flange'!$A$8:$M$16,9,FALSE),
IF($A208&lt;CPVC!$A$105,VLOOKUP($A208,CPVC!$A$9:$M$104,9,FALSE),
IF($A208&lt;InsertFittings!$A$185,VLOOKUP($A208,InsertFittings!$A$9:$M$184,9,FALSE),
IF($A208&lt;Valves!$A$92,VLOOKUP($A208,Valves!$A$9:$Q$91,13,FALSE),
IF($A208&lt;SDR35SW!$A$133,VLOOKUP($A208,SDR35SW!$A$9:$M$132,9,FALSE),
IF($A208&lt;SDR35G!$A$151,VLOOKUP($A208,SDR35G!$A$9:$M$150,9,FALSE),                                                                                                                                                                                                                                                          IF($A208&lt;SDR26G!$A$67,VLOOKUP($A208,SDR26G!$A$9:$N$66,10,FALSE),                                                                                                                                                                                                                                                       IF($A208&lt;Cements!$A$95,VLOOKUP($A208,Cements!$A$8:$Q$94,13,FALSE),
IF($A208&lt;ValveBox!$A$124,VLOOKUP($A208,ValveBox!$A$9:$O$123,11,FALSE),
IF($A208&lt;'ValveBox Components'!$A$142,VLOOKUP($A208,'ValveBox Components'!$A$9:$N$141,10,FALSE),
IF($A208&lt;Drainage!$A$69,VLOOKUP($A208,Drainage!$A$8:$M$68,9,FALSE),                                                                                                                                                                                                                                                              IF($A208&lt;Nipples!$A$82,VLOOKUP($A208,Nipples!$A$9:$Q$81,13,FALSE),
IF($A208&lt;Manifold!$A$33,VLOOKUP($A208,Manifold!$A$9:$M$32,9,FALSE),
IF($A208&lt;FlexibleRepairCouplings!$A$12,VLOOKUP($A208,FlexibleRepairCouplings!$A$9:$M$11,9,FALSE),
IF($A208&lt;DuraFix!$A$15,VLOOKUP($A208,DuraFix!$A$9:$M$14,9,FALSE),                                                                                                                                                                                                                                                          IF($A208&lt;'Compression Fittings'!$A$16,VLOOKUP($A208,'Compression Fittings'!$A$8:$M$15,9,FALSE),
IF($A208&lt;'Hose Fittings'!$A$30,VLOOKUP($A208,'Hose Fittings'!$A$8:$M$29,9,FALSE),
IF($A208&lt;'Swing Joints'!$A$495,VLOOKUP($A208,'Swing Joints'!$A$9:$M$494,9,FALSE),
IF($A208&lt;'Swing Joints Components'!$A$135,VLOOKUP($A208,'Swing Joints Components'!$A$9:$M$134,9,FALSE),
IF($A208&lt;Nonstandard!$A$42,VLOOKUP($A208,Nonstandard!$A$31:$J$41,8,FALSE),"")))))))))))))))))))))))))))),"")</f>
        <v/>
      </c>
      <c r="G208" s="540" t="str">
        <f>IFERROR(IF($A208&lt;'DWV PVC'!$A$317,VLOOKUP($A208,'DWV PVC'!$A$9:$M$316,11,FALSE),
IF($A208&lt;'DWV ABS'!$A$117,VLOOKUP($A208,'DWV ABS'!$A$8:$M$116,11,FALSE),                                                                                                                                                                                                                                                     IF($A208&lt;'PVC SCH40'!$A$425,VLOOKUP($A208,'PVC SCH40'!$A$8:$M$424,11,FALSE),
IF($A208&lt;'PVC SCH40 LD'!$A$22,VLOOKUP($A208,'PVC SCH40 LD'!$A$8:$M$21,11,FALSE),
IF($A208&lt;'Pool &amp; SPA Sweep Elbows'!$A$12,VLOOKUP($A208,'Pool &amp; SPA Sweep Elbows'!$A$8:$M$11,11,FALSE),
IF($A208&lt;'Pool &amp; SPA Pipe Extender'!$A$11,VLOOKUP($A208,'Pool &amp; SPA Pipe Extender'!$A$8:$M$10,11,FALSE),
IF($A208&lt;'PVC SCH80'!$A$250,VLOOKUP($A208,'PVC SCH80'!$A$8:$M$249,11,FALSE),
IF($A208&lt;'PVC SCH80 Flange'!$A$49,VLOOKUP($A208,'PVC SCH80 Flange'!$A$8:$M$48,11,FALSE),
IF($A208&lt;'PVC SCH80 LD Flange'!$A$17,VLOOKUP($A208,'PVC SCH80 LD Flange'!$A$8:$M$16,11,FALSE),
IF($A208&lt;CPVC!$A$105,VLOOKUP($A208,CPVC!$A$9:$M$104,11,FALSE),
IF($A208&lt;InsertFittings!$A$185,VLOOKUP($A208,InsertFittings!$A$9:$M$184,11,FALSE),
IF($A208&lt;Valves!$A$92,VLOOKUP($A208,Valves!$A$9:$Q$91,15,FALSE),
IF($A208&lt;SDR35SW!$A$133,VLOOKUP($A208,SDR35SW!$A$9:$M$132,11,FALSE),
IF($A208&lt;SDR35G!$A$151,VLOOKUP($A208,SDR35G!$A$9:$M$150,11,FALSE),                                                                                                                                                                                                                                                          IF($A208&lt;SDR26G!$A$67,VLOOKUP($A208,SDR26G!$A$9:$N$66,12,FALSE),                                                                                                                                                                                                                                                       IF($A208&lt;Cements!$A$95,VLOOKUP($A208,Cements!$A$8:$Q$94,15,FALSE),
IF($A208&lt;ValveBox!$A$124,VLOOKUP($A208,ValveBox!$A$9:$O$123,13,FALSE),
IF($A208&lt;'ValveBox Components'!$A$142,VLOOKUP($A208,'ValveBox Components'!$A$9:$N$141,12,FALSE),
IF($A208&lt;Drainage!$A$69,VLOOKUP($A208,Drainage!$A$8:$M$68,11,FALSE),                                                                                                                                                                                                                                                           IF($A208&lt;Nipples!$A$82,VLOOKUP($A208,Nipples!$A$9:$Q$81,15,FALSE),
IF($A208&lt;Manifold!$A$33,VLOOKUP($A208,Manifold!$A$9:$M$32,11,FALSE),
IF($A208&lt;FlexibleRepairCouplings!$A$12,VLOOKUP($A208,FlexibleRepairCouplings!$A$9:$M$11,11,FALSE),
IF($A208&lt;DuraFix!$A$15,VLOOKUP($A208,DuraFix!$A$9:$M$14,11,FALSE),                                                                                                                                                                                                                                                            IF($A208&lt;'Compression Fittings'!$A$16,VLOOKUP($A208,'Compression Fittings'!$A$8:$M$15,11,FALSE),
IF($A208&lt;'Hose Fittings'!$A$30,VLOOKUP($A208,'Hose Fittings'!$A$8:$M$29,11,FALSE),
IF($A208&lt;'Swing Joints'!$A$495,VLOOKUP($A208,'Swing Joints'!$A$9:$M$494,11,FALSE),
IF($A208&lt;'Swing Joints Components'!$A$135,VLOOKUP($A208,'Swing Joints Components'!$A$9:$M$134,11,FALSE),
IF($A208&lt;Nonstandard!$A$42,VLOOKUP($A208,Nonstandard!$A$31:$J$41,10,FALSE),"")))))))))))))))))))))))))))),"")</f>
        <v/>
      </c>
      <c r="H208" s="620" t="str">
        <f>IFERROR(IF($A208&lt;'DWV PVC'!$A$317,VLOOKUP($A208,'DWV PVC'!$A$9:$M$316,7,FALSE),
IF($A208&lt;'DWV ABS'!$A$117,VLOOKUP($A208,'DWV ABS'!$A$8:$M$116,11,FALSE),                                                                                                                                                                                                                                                     IF($A208&lt;'PVC SCH40'!$A$425,VLOOKUP($A208,'PVC SCH40'!$A$8:$M$424,7,FALSE),
IF($A208&lt;'PVC SCH40 LD'!$A$22,VLOOKUP($A208,'PVC SCH40 LD'!$A$8:$M$21,7,FALSE),
IF($A208&lt;'Pool &amp; SPA Sweep Elbows'!$A$12,VLOOKUP($A208,'Pool &amp; SPA Sweep Elbows'!$A$8:$M$11,7,FALSE),
IF($A208&lt;'Pool &amp; SPA Pipe Extender'!$A$11,VLOOKUP($A208,'Pool &amp; SPA Pipe Extender'!$A$8:$M$10,7,FALSE),
IF($A208&lt;'PVC SCH80'!$A$250,VLOOKUP($A208,'PVC SCH80'!$A$8:$M$249,7,FALSE),
IF($A208&lt;'PVC SCH80 Flange'!$A$49,VLOOKUP($A208,'PVC SCH80 Flange'!$A$8:$M$48,7,FALSE),
IF($A208&lt;'PVC SCH80 LD Flange'!$A$17,VLOOKUP($A208,'PVC SCH80 LD Flange'!$A$8:$M$16,7,FALSE),
IF($A208&lt;CPVC!$A$105,VLOOKUP($A208,CPVC!$A$9:$M$104,7,FALSE),
IF($A208&lt;InsertFittings!$A$185,VLOOKUP($A208,InsertFittings!$A$9:$M$184,7,FALSE),
IF($A208&lt;Valves!$A$92,VLOOKUP($A208,Valves!$A$9:$Q$91,11,FALSE),
IF($A208&lt;SDR35SW!$A$133,VLOOKUP($A208,SDR35SW!$A$9:$M$132,7,FALSE),
IF($A208&lt;SDR35G!$A$151,VLOOKUP($A208,SDR35G!$A$9:$M$150,7,FALSE),                                                                                                                                                                                                                                                       IF($A208&lt;SDR26G!$A$67,VLOOKUP($A208,SDR26G!$A$9:$N$66,8,FALSE),                                                                                                                                                                                                                                                     IF($A208&lt;Cements!$A$95,VLOOKUP($A208,Cements!$A$8:$Q$94,11,FALSE),
IF($A208&lt;ValveBox!$A$124,VLOOKUP($A208,ValveBox!$A$9:$O$123,10,FALSE),
IF($A208&lt;'ValveBox Components'!$A$142,VLOOKUP($A208,'ValveBox Components'!$A$9:$N$141,9,FALSE),
IF($A208&lt;Drainage!$A$69,VLOOKUP($A208,Drainage!$A$8:$M$68,7,FALSE),                                                                                                                                                                                                                                                          IF($A208&lt;Nipples!$A$82,VLOOKUP($A208,Nipples!$A$9:$Q$81,11,FALSE),
IF($A208&lt;Manifold!$A$33,VLOOKUP($A208,Manifold!$A$9:$M$32,7,FALSE),
IF($A208&lt;FlexibleRepairCouplings!$A$12,VLOOKUP($A208,FlexibleRepairCouplings!$A$9:$M$11,7,FALSE),
IF($A208&lt;DuraFix!$A$15,VLOOKUP($A208,DuraFix!$A$9:$M$14,7,FALSE),                                                                                                                                                                                                                                                           IF($A208&lt;'Compression Fittings'!$A$16,VLOOKUP($A208,'Compression Fittings'!$A$8:$M$15,7,FALSE),
IF($A208&lt;'Hose Fittings'!$A$30,VLOOKUP($A208,'Hose Fittings'!$A$8:$M$29,7,FALSE),
IF($A208&lt;'Swing Joints'!$A$495,VLOOKUP($A208,'Swing Joints'!$A$9:$M$494,7,FALSE),
IF($A208&lt;'Swing Joints Components'!$A$135,VLOOKUP($A208,'Swing Joints Components'!$A$9:$M$134,7,FALSE),
IF($A208&lt;Nonstandard!$A$42,VLOOKUP($A208,Nonstandard!$A$31:$J$41,10,FALSE),"")))))))))))))))))))))))))))),"")</f>
        <v/>
      </c>
      <c r="I208" s="621"/>
      <c r="J208" s="541" t="str">
        <f t="shared" si="5"/>
        <v/>
      </c>
      <c r="K208" s="599" t="str">
        <f>IFERROR(IF($A208&lt;'DWV PVC'!$A$317,VLOOKUP($A208,'DWV PVC'!$A$9:$M$316,10,FALSE),
IF($A208&lt;'DWV ABS'!$A$117,VLOOKUP($A208,'DWV ABS'!$A$8:$M$116,10,FALSE),
IF($A208&lt;'PVC SCH40'!$A$425,VLOOKUP($A208,'PVC SCH40'!$A$8:$M$424,10,FALSE),
IF($A208&lt;'PVC SCH40 LD'!$A$22,VLOOKUP($A208,'PVC SCH40 LD'!$A$8:$M$21,10,FALSE),
IF($A208&lt;'Pool &amp; SPA Sweep Elbows'!$A$12,VLOOKUP($A208,'Pool &amp; SPA Sweep Elbows'!$A$8:$M$11,10,FALSE),
IF($A208&lt;'Pool &amp; SPA Pipe Extender'!$A$11,VLOOKUP($A208,'Pool &amp; SPA Pipe Extender'!$A$8:$M$10,10,FALSE),
IF($A208&lt;'PVC SCH80'!$A$250,VLOOKUP($A208,'PVC SCH80'!$A$8:$M$249,10,FALSE),
IF($A208&lt;'PVC SCH80 Flange'!$A$49,VLOOKUP($A208,'PVC SCH80 Flange'!$A$8:$M$48,10,FALSE),
IF($A208&lt;'PVC SCH80 LD Flange'!$A$17,VLOOKUP($A208,'PVC SCH80 LD Flange'!$A$8:$M$16,10,FALSE),
IF($A208&lt;CPVC!$A$105,VLOOKUP($A208,CPVC!$A$9:$M$104,10,FALSE),
IF($A208&lt;InsertFittings!$A$185,VLOOKUP($A208,InsertFittings!$A$9:$M$184,10,FALSE),
IF($A208&lt;Valves!$A$92,VLOOKUP($A208,Valves!$A$9:$Q$91,14,FALSE),
IF($A208&lt;SDR35SW!$A$133,VLOOKUP($A208,SDR35SW!$A$9:$M$132,10,FALSE),
IF($A208&lt;SDR35G!$A$151,VLOOKUP($A208,SDR35G!$A$9:$M$150,10,FALSE),
IF($A208&lt;SDR26G!$A$67,VLOOKUP($A208,SDR26G!$A$9:$N$66,11,FALSE),
IF($A208&lt;Cements!$A$95,VLOOKUP($A208,Cements!$A$8:$Q$94,14,FALSE),
IF($A208&lt;ValveBox!$A$124,VLOOKUP($A208,ValveBox!$A$9:$O$123,12,FALSE),
IF($A208&lt;'ValveBox Components'!$A$142,VLOOKUP($A208,'ValveBox Components'!$A$9:$N$141,11,FALSE),
IF($A208&lt;Drainage!$A$69,VLOOKUP($A208,Drainage!$A$8:$M$68,10,FALSE),
IF($A208&lt;Nipples!$A$82,VLOOKUP($A208,Nipples!$A$9:$Q$81,14,FALSE),
IF($A208&lt;Manifold!$A$33,VLOOKUP($A208,Manifold!$A$9:$M$32,10,FALSE),
IF($A208&lt;FlexibleRepairCouplings!$A$12,VLOOKUP($A208,FlexibleRepairCouplings!$A$9:$M$11,10,FALSE),
IF($A208&lt;DuraFix!$A$15,VLOOKUP($A208,DuraFix!$A$9:$M$14,10,FALSE),
IF($A208&lt;'Compression Fittings'!$A$16,VLOOKUP($A208,'Compression Fittings'!$A$8:$M$15,10,FALSE),
IF($A208&lt;'Hose Fittings'!$A$30,VLOOKUP($A208,'Hose Fittings'!$A$8:$M$29,10,FALSE),
IF($A208&lt;'Swing Joints'!$A$495,VLOOKUP($A208,'Swing Joints'!$A$9:$M$494,10,FALSE),
IF($A208&lt;'Swing Joints Components'!$A$135,VLOOKUP($A208,'Swing Joints Components'!$A$9:$M$134,10,FALSE),
IF($A208&lt;Nonstandard!$A$42,VLOOKUP($A208,Nonstandard!$A$31:$J$41,10,FALSE),"")))))))))))))))))))))))))))),"")</f>
        <v/>
      </c>
      <c r="L208" s="539" t="str">
        <f t="shared" si="4"/>
        <v>-</v>
      </c>
      <c r="M208" s="542"/>
    </row>
    <row r="209" spans="1:13" ht="15.6">
      <c r="A209" s="312">
        <v>177</v>
      </c>
      <c r="B209" s="312" t="str">
        <f>IFERROR(IF($A209&lt;'DWV PVC'!$A$317,VLOOKUP($A209,'DWV PVC'!$A$9:$M$316,4,FALSE),
IF($A209&lt;'DWV ABS'!$A$117,VLOOKUP($A209,'DWV ABS'!$A$8:$M$116,4,FALSE),
IF($A209&lt;'PVC SCH40'!$A$425,VLOOKUP($A209,'PVC SCH40'!$A$8:$M$424,4,FALSE),
IF($A209&lt;'PVC SCH40 LD'!$A$22,VLOOKUP($A209,'PVC SCH40 LD'!$A$8:$M$21,4,FALSE),
IF($A209&lt;'Pool &amp; SPA Sweep Elbows'!$A$12,VLOOKUP($A209,'Pool &amp; SPA Sweep Elbows'!$A$8:$M$11,4,FALSE),
IF($A209&lt;'Pool &amp; SPA Pipe Extender'!$A$11,VLOOKUP($A209,'Pool &amp; SPA Pipe Extender'!$A$8:$M$10,4,FALSE),
IF($A209&lt;'PVC SCH80'!$A$250,VLOOKUP($A209,'PVC SCH80'!$A$8:$M$249,4,FALSE),
IF($A209&lt;'PVC SCH80 Flange'!$A$49,VLOOKUP($A209,'PVC SCH80 Flange'!$A$8:$M$48,4,FALSE),
IF($A209&lt;'PVC SCH80 LD Flange'!$A$17,VLOOKUP($A209,'PVC SCH80 LD Flange'!$A$8:$M$16,4,FALSE),
IF($A209&lt;CPVC!$A$105,VLOOKUP($A209,CPVC!$A$9:$M$104,4,FALSE),
IF($A209&lt;InsertFittings!$A$185,VLOOKUP($A209,InsertFittings!$A$9:$M$184,4,FALSE),
IF($A209&lt;Valves!$A$92,VLOOKUP($A209,Valves!$A$9:$Q$91,4,FALSE),
IF($A209&lt;SDR35SW!$A$133,VLOOKUP($A209,SDR35SW!$A$9:$M$132,4,FALSE),
IF($A209&lt;SDR35G!$A$151,VLOOKUP($A209,SDR35G!$A$9:$M$150,4,FALSE),
IF($A209&lt;SDR26G!$A$67,VLOOKUP($A209,SDR26G!$A$9:$N$66,5,FALSE),
IF($A209&lt;Cements!$A$95,VLOOKUP($A209,Cements!$A$8:$Q$94,4,FALSE),
IF($A209&lt;ValveBox!$A$124,VLOOKUP($A209,ValveBox!$A$9:$O$123,4,FALSE),
IF($A209&lt;'ValveBox Components'!$A$142,VLOOKUP($A209,'ValveBox Components'!$A$9:$N$141,4,FALSE),
IF($A209&lt;Drainage!$A$69,VLOOKUP($A209,Drainage!$A$8:$M$68,4,FALSE),
IF($A209&lt;Nipples!$A$82,VLOOKUP($A209,Nipples!$A$9:$Q$81,4,FALSE),
IF($A209&lt;Manifold!$A$33,VLOOKUP($A209,Manifold!$A$9:$M$32,4,FALSE),
IF($A209&lt;FlexibleRepairCouplings!$A$12,VLOOKUP($A209,FlexibleRepairCouplings!$A$9:$M$11,4,FALSE),
IF($A209&lt;DuraFix!$A$15,VLOOKUP($A209,DuraFix!$A$9:$M$14,4,FALSE),
IF($A209&lt;'Compression Fittings'!$A$16,VLOOKUP($A209,'Compression Fittings'!$A$8:$M$15,4,FALSE),
IF($A209&lt;'Hose Fittings'!$A$30,VLOOKUP($A209,'Hose Fittings'!$A$8:$M$29,4,FALSE),
IF($A209&lt;'Swing Joints'!$A$495,VLOOKUP($A209,'Swing Joints'!$A$9:$M$494,4,FALSE),
IF($A209&lt;'Swing Joints Components'!$A$135,VLOOKUP($A209,'Swing Joints Components'!$A$9:$M$134,4,FALSE),
IF($A209&lt;Nonstandard!$A$42,VLOOKUP($A209,Nonstandard!$A$31:$J$41,5,FALSE),"")))))))))))))))))))))))))))),"")</f>
        <v/>
      </c>
      <c r="C209" s="312" t="str">
        <f>IFERROR(IF($A209&lt;'DWV PVC'!$A$317,VLOOKUP($A209,'DWV PVC'!$A$9:$M$316,5,FALSE),
IF($A209&lt;'DWV ABS'!$A$117,VLOOKUP($A209,'DWV ABS'!$A$8:$M$116,5,FALSE),
IF($A209&lt;'PVC SCH40'!$A$425,VLOOKUP($A209,'PVC SCH40'!$A$8:$M$424,5,FALSE),
IF($A209&lt;'PVC SCH40 LD'!$A$22,VLOOKUP($A209,'PVC SCH40 LD'!$A$8:$M$21,5,FALSE),
IF($A209&lt;'Pool &amp; SPA Sweep Elbows'!$A$12,VLOOKUP($A209,'Pool &amp; SPA Sweep Elbows'!$A$8:$M$11,5,FALSE),
IF($A209&lt;'Pool &amp; SPA Pipe Extender'!$A$11,VLOOKUP($A209,'Pool &amp; SPA Pipe Extender'!$A$8:$M$10,5,FALSE),
IF($A209&lt;'PVC SCH80'!$A$250,VLOOKUP($A209,'PVC SCH80'!$A$8:$M$249,5,FALSE),
IF($A209&lt;'PVC SCH80 Flange'!$A$49,VLOOKUP($A209,'PVC SCH80 Flange'!$A$8:$M$48,5,FALSE),
IF($A209&lt;'PVC SCH80 LD Flange'!$A$17,VLOOKUP($A209,'PVC SCH80 LD Flange'!$A$8:$M$16,5,FALSE),
IF($A209&lt;CPVC!$A$105,VLOOKUP($A209,CPVC!$A$9:$M$104,5,FALSE),
IF($A209&lt;InsertFittings!$A$185,VLOOKUP($A209,InsertFittings!$A$9:$M$184,5,FALSE),
IF($A209&lt;Valves!$A$92,VLOOKUP($A209,Valves!$A$9:$Q$91,5,FALSE),
IF($A209&lt;SDR35SW!$A$133,VLOOKUP($A209,SDR35SW!$A$9:$M$132,5,FALSE),
IF($A209&lt;SDR35G!$A$151,VLOOKUP($A209,SDR35G!$A$9:$M$150,5,FALSE),
IF($A209&lt;SDR26G!$A$67,VLOOKUP($A209,SDR26G!$A$9:$N$66,6,FALSE),
IF($A209&lt;Cements!$A$95,VLOOKUP($A209,Cements!$A$8:$Q$94,5,FALSE),
IF($A209&lt;ValveBox!$A$124,VLOOKUP($A209,ValveBox!$A$9:$O$123,5,FALSE),
IF($A209&lt;'ValveBox Components'!$A$142,VLOOKUP($A209,'ValveBox Components'!$A$9:$N$141,5,FALSE),
IF($A209&lt;Drainage!$A$69,VLOOKUP($A209,Drainage!$A$8:$M$68,5,FALSE),
IF($A209&lt;Nipples!$A$82,VLOOKUP($A209,Nipples!$A$9:$Q$81,5,FALSE),
IF($A209&lt;Manifold!$A$33,VLOOKUP($A209,Manifold!$A$9:$M$32,5,FALSE),
IF($A209&lt;FlexibleRepairCouplings!$A$12,VLOOKUP($A209,FlexibleRepairCouplings!$A$9:$M$11,5,FALSE),
IF($A209&lt;DuraFix!$A$15,VLOOKUP($A209,DuraFix!$A$9:$M$14,5,FALSE),
IF($A209&lt;'Compression Fittings'!$A$16,VLOOKUP($A209,'Compression Fittings'!$A$8:$M$15,5,FALSE),
IF($A209&lt;'Hose Fittings'!$A$30,VLOOKUP($A209,'Hose Fittings'!$A$8:$M$29,5,FALSE),
IF($A209&lt;'Swing Joints'!$A$495,VLOOKUP($A209,'Swing Joints'!$A$9:$M$494,5,FALSE),
IF($A209&lt;'Swing Joints Components'!$A$135,VLOOKUP($A209,'Swing Joints Components'!$A$9:$M$134,5,FALSE),
IF($A209&lt;Nonstandard!$A$42,VLOOKUP($A209,Nonstandard!$A$31:$J$41,6,FALSE),"")))))))))))))))))))))))))))),"")</f>
        <v/>
      </c>
      <c r="D209" s="534" t="str">
        <f>IFERROR(IF($A209&lt;'DWV PVC'!$A$317,VLOOKUP($A209,'DWV PVC'!$A$9:$M$316,6,FALSE),
IF($A209&lt;'DWV ABS'!$A$117,VLOOKUP($A209,'DWV ABS'!$A$8:$M$116,6,FALSE),
IF($A209&lt;'PVC SCH40'!$A$425,VLOOKUP($A209,'PVC SCH40'!$A$8:$M$424,6,FALSE),
IF($A209&lt;'PVC SCH40 LD'!$A$22,VLOOKUP($A209,'PVC SCH40 LD'!$A$8:$M$21,6,FALSE),
IF($A209&lt;'Pool &amp; SPA Sweep Elbows'!$A$12,VLOOKUP($A209,'Pool &amp; SPA Sweep Elbows'!$A$8:$M$11,6,FALSE),
IF($A209&lt;'Pool &amp; SPA Pipe Extender'!$A$11,VLOOKUP($A209,'Pool &amp; SPA Pipe Extender'!$A$8:$M$10,6,FALSE),
IF($A209&lt;'PVC SCH80'!$A$250,VLOOKUP($A209,'PVC SCH80'!$A$8:$M$249,6,FALSE),
IF($A209&lt;'PVC SCH80 Flange'!$A$49,VLOOKUP($A209,'PVC SCH80 Flange'!$A$8:$M$48,6,FALSE),
IF($A209&lt;'PVC SCH80 LD Flange'!$A$17,VLOOKUP($A209,'PVC SCH80 LD Flange'!$A$8:$M$16,6,FALSE),
IF($A209&lt;CPVC!$A$105,VLOOKUP($A209,CPVC!$A$9:$M$104,6,FALSE),
IF($A209&lt;InsertFittings!$A$185,VLOOKUP($A209,InsertFittings!$A$9:$M$184,6,FALSE),
IF($A209&lt;Valves!$A$92,VLOOKUP($A209,Valves!$A$9:$Q$91,6,FALSE),
IF($A209&lt;SDR35SW!$A$133,VLOOKUP($A209,SDR35SW!$A$9:$M$132,6,FALSE),
IF($A209&lt;SDR35G!$A$151,VLOOKUP($A209,SDR35G!$A$9:$M$150,6,FALSE),
IF($A209&lt;SDR26G!$A$67,VLOOKUP($A209,SDR26G!$A$9:$N$66,7,FALSE),
IF($A209&lt;Cements!$A$95,VLOOKUP($A209,Cements!$A$8:$Q$94,6,FALSE),
IF($A209&lt;ValveBox!$A$124,VLOOKUP($A209,ValveBox!$A$9:$O$123,6,FALSE),
IF($A209&lt;'ValveBox Components'!$A$142,VLOOKUP($A209,'ValveBox Components'!$A$9:$N$141,6,FALSE),
IF($A209&lt;Drainage!$A$69,VLOOKUP($A209,Drainage!$A$8:$M$68,6,FALSE),
IF($A209&lt;Nipples!$A$82,VLOOKUP($A209,Nipples!$A$9:$Q$81,6,FALSE),
IF($A209&lt;Manifold!$A$33,VLOOKUP($A209,Manifold!$A$9:$M$32,6,FALSE),
IF($A209&lt;FlexibleRepairCouplings!$A$12,VLOOKUP($A209,FlexibleRepairCouplings!$A$9:$M$11,6,FALSE),
IF($A209&lt;DuraFix!$A$15,VLOOKUP($A209,DuraFix!$A$9:$M$14,6,FALSE),
IF($A209&lt;'Compression Fittings'!$A$16,VLOOKUP($A209,'Compression Fittings'!$A$8:$M$15,6,FALSE),
IF($A209&lt;'Hose Fittings'!$A$30,VLOOKUP($A209,'Hose Fittings'!$A$8:$M$29,6,FALSE),
IF($A209&lt;'Swing Joints'!$A$495,VLOOKUP($A209,'Swing Joints'!$A$9:$M$494,6,FALSE),
IF($A209&lt;'Swing Joints Components'!$A$135,VLOOKUP($A209,'Swing Joints Components'!$A$9:$M$134,6,FALSE),
IF($A209&lt;Nonstandard!$A$42,VLOOKUP($A209,Nonstandard!$A$31:$J$41,7,FALSE),"")))))))))))))))))))))))))))),"")</f>
        <v/>
      </c>
      <c r="E209" s="316"/>
      <c r="F209" s="314" t="str">
        <f>IFERROR(IF($A209&lt;'DWV PVC'!$A$317,VLOOKUP($A209,'DWV PVC'!$A$9:$M$316,9,FALSE),
IF($A209&lt;'DWV ABS'!$A$117,VLOOKUP($A209,'DWV ABS'!$A$8:$M$116,9,FALSE),                                                                                                                                                                                                                                                     IF($A209&lt;'PVC SCH40'!$A$425,VLOOKUP($A209,'PVC SCH40'!$A$8:$M$424,9,FALSE),
IF($A209&lt;'PVC SCH40 LD'!$A$22,VLOOKUP($A209,'PVC SCH40 LD'!$A$8:$M$21,9,FALSE),
IF($A209&lt;'Pool &amp; SPA Sweep Elbows'!$A$12,VLOOKUP($A209,'Pool &amp; SPA Sweep Elbows'!$A$8:$M$11,9,FALSE),
IF($A209&lt;'Pool &amp; SPA Pipe Extender'!$A$11,VLOOKUP($A209,'Pool &amp; SPA Pipe Extender'!$A$8:$M$10,9,FALSE),
IF($A209&lt;'PVC SCH80'!$A$250,VLOOKUP($A209,'PVC SCH80'!$A$8:$M$249,9,FALSE),
IF($A209&lt;'PVC SCH80 Flange'!$A$49,VLOOKUP($A209,'PVC SCH80 Flange'!$A$8:$M$48,9,FALSE),
IF($A209&lt;'PVC SCH80 LD Flange'!$A$17,VLOOKUP($A209,'PVC SCH80 LD Flange'!$A$8:$M$16,9,FALSE),
IF($A209&lt;CPVC!$A$105,VLOOKUP($A209,CPVC!$A$9:$M$104,9,FALSE),
IF($A209&lt;InsertFittings!$A$185,VLOOKUP($A209,InsertFittings!$A$9:$M$184,9,FALSE),
IF($A209&lt;Valves!$A$92,VLOOKUP($A209,Valves!$A$9:$Q$91,13,FALSE),
IF($A209&lt;SDR35SW!$A$133,VLOOKUP($A209,SDR35SW!$A$9:$M$132,9,FALSE),
IF($A209&lt;SDR35G!$A$151,VLOOKUP($A209,SDR35G!$A$9:$M$150,9,FALSE),                                                                                                                                                                                                                                                          IF($A209&lt;SDR26G!$A$67,VLOOKUP($A209,SDR26G!$A$9:$N$66,10,FALSE),                                                                                                                                                                                                                                                       IF($A209&lt;Cements!$A$95,VLOOKUP($A209,Cements!$A$8:$Q$94,13,FALSE),
IF($A209&lt;ValveBox!$A$124,VLOOKUP($A209,ValveBox!$A$9:$O$123,11,FALSE),
IF($A209&lt;'ValveBox Components'!$A$142,VLOOKUP($A209,'ValveBox Components'!$A$9:$N$141,10,FALSE),
IF($A209&lt;Drainage!$A$69,VLOOKUP($A209,Drainage!$A$8:$M$68,9,FALSE),                                                                                                                                                                                                                                                              IF($A209&lt;Nipples!$A$82,VLOOKUP($A209,Nipples!$A$9:$Q$81,13,FALSE),
IF($A209&lt;Manifold!$A$33,VLOOKUP($A209,Manifold!$A$9:$M$32,9,FALSE),
IF($A209&lt;FlexibleRepairCouplings!$A$12,VLOOKUP($A209,FlexibleRepairCouplings!$A$9:$M$11,9,FALSE),
IF($A209&lt;DuraFix!$A$15,VLOOKUP($A209,DuraFix!$A$9:$M$14,9,FALSE),                                                                                                                                                                                                                                                          IF($A209&lt;'Compression Fittings'!$A$16,VLOOKUP($A209,'Compression Fittings'!$A$8:$M$15,9,FALSE),
IF($A209&lt;'Hose Fittings'!$A$30,VLOOKUP($A209,'Hose Fittings'!$A$8:$M$29,9,FALSE),
IF($A209&lt;'Swing Joints'!$A$495,VLOOKUP($A209,'Swing Joints'!$A$9:$M$494,9,FALSE),
IF($A209&lt;'Swing Joints Components'!$A$135,VLOOKUP($A209,'Swing Joints Components'!$A$9:$M$134,9,FALSE),
IF($A209&lt;Nonstandard!$A$42,VLOOKUP($A209,Nonstandard!$A$31:$J$41,8,FALSE),"")))))))))))))))))))))))))))),"")</f>
        <v/>
      </c>
      <c r="G209" s="533" t="str">
        <f>IFERROR(IF($A209&lt;'DWV PVC'!$A$317,VLOOKUP($A209,'DWV PVC'!$A$9:$M$316,11,FALSE),
IF($A209&lt;'DWV ABS'!$A$117,VLOOKUP($A209,'DWV ABS'!$A$8:$M$116,11,FALSE),                                                                                                                                                                                                                                                     IF($A209&lt;'PVC SCH40'!$A$425,VLOOKUP($A209,'PVC SCH40'!$A$8:$M$424,11,FALSE),
IF($A209&lt;'PVC SCH40 LD'!$A$22,VLOOKUP($A209,'PVC SCH40 LD'!$A$8:$M$21,11,FALSE),
IF($A209&lt;'Pool &amp; SPA Sweep Elbows'!$A$12,VLOOKUP($A209,'Pool &amp; SPA Sweep Elbows'!$A$8:$M$11,11,FALSE),
IF($A209&lt;'Pool &amp; SPA Pipe Extender'!$A$11,VLOOKUP($A209,'Pool &amp; SPA Pipe Extender'!$A$8:$M$10,11,FALSE),
IF($A209&lt;'PVC SCH80'!$A$250,VLOOKUP($A209,'PVC SCH80'!$A$8:$M$249,11,FALSE),
IF($A209&lt;'PVC SCH80 Flange'!$A$49,VLOOKUP($A209,'PVC SCH80 Flange'!$A$8:$M$48,11,FALSE),
IF($A209&lt;'PVC SCH80 LD Flange'!$A$17,VLOOKUP($A209,'PVC SCH80 LD Flange'!$A$8:$M$16,11,FALSE),
IF($A209&lt;CPVC!$A$105,VLOOKUP($A209,CPVC!$A$9:$M$104,11,FALSE),
IF($A209&lt;InsertFittings!$A$185,VLOOKUP($A209,InsertFittings!$A$9:$M$184,11,FALSE),
IF($A209&lt;Valves!$A$92,VLOOKUP($A209,Valves!$A$9:$Q$91,15,FALSE),
IF($A209&lt;SDR35SW!$A$133,VLOOKUP($A209,SDR35SW!$A$9:$M$132,11,FALSE),
IF($A209&lt;SDR35G!$A$151,VLOOKUP($A209,SDR35G!$A$9:$M$150,11,FALSE),                                                                                                                                                                                                                                                          IF($A209&lt;SDR26G!$A$67,VLOOKUP($A209,SDR26G!$A$9:$N$66,12,FALSE),                                                                                                                                                                                                                                                       IF($A209&lt;Cements!$A$95,VLOOKUP($A209,Cements!$A$8:$Q$94,15,FALSE),
IF($A209&lt;ValveBox!$A$124,VLOOKUP($A209,ValveBox!$A$9:$O$123,13,FALSE),
IF($A209&lt;'ValveBox Components'!$A$142,VLOOKUP($A209,'ValveBox Components'!$A$9:$N$141,12,FALSE),
IF($A209&lt;Drainage!$A$69,VLOOKUP($A209,Drainage!$A$8:$M$68,11,FALSE),                                                                                                                                                                                                                                                           IF($A209&lt;Nipples!$A$82,VLOOKUP($A209,Nipples!$A$9:$Q$81,15,FALSE),
IF($A209&lt;Manifold!$A$33,VLOOKUP($A209,Manifold!$A$9:$M$32,11,FALSE),
IF($A209&lt;FlexibleRepairCouplings!$A$12,VLOOKUP($A209,FlexibleRepairCouplings!$A$9:$M$11,11,FALSE),
IF($A209&lt;DuraFix!$A$15,VLOOKUP($A209,DuraFix!$A$9:$M$14,11,FALSE),                                                                                                                                                                                                                                                            IF($A209&lt;'Compression Fittings'!$A$16,VLOOKUP($A209,'Compression Fittings'!$A$8:$M$15,11,FALSE),
IF($A209&lt;'Hose Fittings'!$A$30,VLOOKUP($A209,'Hose Fittings'!$A$8:$M$29,11,FALSE),
IF($A209&lt;'Swing Joints'!$A$495,VLOOKUP($A209,'Swing Joints'!$A$9:$M$494,11,FALSE),
IF($A209&lt;'Swing Joints Components'!$A$135,VLOOKUP($A209,'Swing Joints Components'!$A$9:$M$134,11,FALSE),
IF($A209&lt;Nonstandard!$A$42,VLOOKUP($A209,Nonstandard!$A$31:$J$41,10,FALSE),"")))))))))))))))))))))))))))),"")</f>
        <v/>
      </c>
      <c r="H209" s="618" t="str">
        <f>IFERROR(IF($A209&lt;'DWV PVC'!$A$317,VLOOKUP($A209,'DWV PVC'!$A$9:$M$316,7,FALSE),
IF($A209&lt;'DWV ABS'!$A$117,VLOOKUP($A209,'DWV ABS'!$A$8:$M$116,11,FALSE),                                                                                                                                                                                                                                                     IF($A209&lt;'PVC SCH40'!$A$425,VLOOKUP($A209,'PVC SCH40'!$A$8:$M$424,7,FALSE),
IF($A209&lt;'PVC SCH40 LD'!$A$22,VLOOKUP($A209,'PVC SCH40 LD'!$A$8:$M$21,7,FALSE),
IF($A209&lt;'Pool &amp; SPA Sweep Elbows'!$A$12,VLOOKUP($A209,'Pool &amp; SPA Sweep Elbows'!$A$8:$M$11,7,FALSE),
IF($A209&lt;'Pool &amp; SPA Pipe Extender'!$A$11,VLOOKUP($A209,'Pool &amp; SPA Pipe Extender'!$A$8:$M$10,7,FALSE),
IF($A209&lt;'PVC SCH80'!$A$250,VLOOKUP($A209,'PVC SCH80'!$A$8:$M$249,7,FALSE),
IF($A209&lt;'PVC SCH80 Flange'!$A$49,VLOOKUP($A209,'PVC SCH80 Flange'!$A$8:$M$48,7,FALSE),
IF($A209&lt;'PVC SCH80 LD Flange'!$A$17,VLOOKUP($A209,'PVC SCH80 LD Flange'!$A$8:$M$16,7,FALSE),
IF($A209&lt;CPVC!$A$105,VLOOKUP($A209,CPVC!$A$9:$M$104,7,FALSE),
IF($A209&lt;InsertFittings!$A$185,VLOOKUP($A209,InsertFittings!$A$9:$M$184,7,FALSE),
IF($A209&lt;Valves!$A$92,VLOOKUP($A209,Valves!$A$9:$Q$91,11,FALSE),
IF($A209&lt;SDR35SW!$A$133,VLOOKUP($A209,SDR35SW!$A$9:$M$132,7,FALSE),
IF($A209&lt;SDR35G!$A$151,VLOOKUP($A209,SDR35G!$A$9:$M$150,7,FALSE),                                                                                                                                                                                                                                                       IF($A209&lt;SDR26G!$A$67,VLOOKUP($A209,SDR26G!$A$9:$N$66,8,FALSE),                                                                                                                                                                                                                                                     IF($A209&lt;Cements!$A$95,VLOOKUP($A209,Cements!$A$8:$Q$94,11,FALSE),
IF($A209&lt;ValveBox!$A$124,VLOOKUP($A209,ValveBox!$A$9:$O$123,10,FALSE),
IF($A209&lt;'ValveBox Components'!$A$142,VLOOKUP($A209,'ValveBox Components'!$A$9:$N$141,9,FALSE),
IF($A209&lt;Drainage!$A$69,VLOOKUP($A209,Drainage!$A$8:$M$68,7,FALSE),                                                                                                                                                                                                                                                          IF($A209&lt;Nipples!$A$82,VLOOKUP($A209,Nipples!$A$9:$Q$81,11,FALSE),
IF($A209&lt;Manifold!$A$33,VLOOKUP($A209,Manifold!$A$9:$M$32,7,FALSE),
IF($A209&lt;FlexibleRepairCouplings!$A$12,VLOOKUP($A209,FlexibleRepairCouplings!$A$9:$M$11,7,FALSE),
IF($A209&lt;DuraFix!$A$15,VLOOKUP($A209,DuraFix!$A$9:$M$14,7,FALSE),                                                                                                                                                                                                                                                           IF($A209&lt;'Compression Fittings'!$A$16,VLOOKUP($A209,'Compression Fittings'!$A$8:$M$15,7,FALSE),
IF($A209&lt;'Hose Fittings'!$A$30,VLOOKUP($A209,'Hose Fittings'!$A$8:$M$29,7,FALSE),
IF($A209&lt;'Swing Joints'!$A$495,VLOOKUP($A209,'Swing Joints'!$A$9:$M$494,7,FALSE),
IF($A209&lt;'Swing Joints Components'!$A$135,VLOOKUP($A209,'Swing Joints Components'!$A$9:$M$134,7,FALSE),
IF($A209&lt;Nonstandard!$A$42,VLOOKUP($A209,Nonstandard!$A$31:$J$41,10,FALSE),"")))))))))))))))))))))))))))),"")</f>
        <v/>
      </c>
      <c r="I209" s="619"/>
      <c r="J209" s="281" t="str">
        <f t="shared" si="5"/>
        <v/>
      </c>
      <c r="K209" s="313" t="str">
        <f>IFERROR(IF($A209&lt;'DWV PVC'!$A$317,VLOOKUP($A209,'DWV PVC'!$A$9:$M$316,10,FALSE),
IF($A209&lt;'DWV ABS'!$A$117,VLOOKUP($A209,'DWV ABS'!$A$8:$M$116,10,FALSE),
IF($A209&lt;'PVC SCH40'!$A$425,VLOOKUP($A209,'PVC SCH40'!$A$8:$M$424,10,FALSE),
IF($A209&lt;'PVC SCH40 LD'!$A$22,VLOOKUP($A209,'PVC SCH40 LD'!$A$8:$M$21,10,FALSE),
IF($A209&lt;'Pool &amp; SPA Sweep Elbows'!$A$12,VLOOKUP($A209,'Pool &amp; SPA Sweep Elbows'!$A$8:$M$11,10,FALSE),
IF($A209&lt;'Pool &amp; SPA Pipe Extender'!$A$11,VLOOKUP($A209,'Pool &amp; SPA Pipe Extender'!$A$8:$M$10,10,FALSE),
IF($A209&lt;'PVC SCH80'!$A$250,VLOOKUP($A209,'PVC SCH80'!$A$8:$M$249,10,FALSE),
IF($A209&lt;'PVC SCH80 Flange'!$A$49,VLOOKUP($A209,'PVC SCH80 Flange'!$A$8:$M$48,10,FALSE),
IF($A209&lt;'PVC SCH80 LD Flange'!$A$17,VLOOKUP($A209,'PVC SCH80 LD Flange'!$A$8:$M$16,10,FALSE),
IF($A209&lt;CPVC!$A$105,VLOOKUP($A209,CPVC!$A$9:$M$104,10,FALSE),
IF($A209&lt;InsertFittings!$A$185,VLOOKUP($A209,InsertFittings!$A$9:$M$184,10,FALSE),
IF($A209&lt;Valves!$A$92,VLOOKUP($A209,Valves!$A$9:$Q$91,14,FALSE),
IF($A209&lt;SDR35SW!$A$133,VLOOKUP($A209,SDR35SW!$A$9:$M$132,10,FALSE),
IF($A209&lt;SDR35G!$A$151,VLOOKUP($A209,SDR35G!$A$9:$M$150,10,FALSE),
IF($A209&lt;SDR26G!$A$67,VLOOKUP($A209,SDR26G!$A$9:$N$66,11,FALSE),
IF($A209&lt;Cements!$A$95,VLOOKUP($A209,Cements!$A$8:$Q$94,14,FALSE),
IF($A209&lt;ValveBox!$A$124,VLOOKUP($A209,ValveBox!$A$9:$O$123,12,FALSE),
IF($A209&lt;'ValveBox Components'!$A$142,VLOOKUP($A209,'ValveBox Components'!$A$9:$N$141,11,FALSE),
IF($A209&lt;Drainage!$A$69,VLOOKUP($A209,Drainage!$A$8:$M$68,10,FALSE),
IF($A209&lt;Nipples!$A$82,VLOOKUP($A209,Nipples!$A$9:$Q$81,14,FALSE),
IF($A209&lt;Manifold!$A$33,VLOOKUP($A209,Manifold!$A$9:$M$32,10,FALSE),
IF($A209&lt;FlexibleRepairCouplings!$A$12,VLOOKUP($A209,FlexibleRepairCouplings!$A$9:$M$11,10,FALSE),
IF($A209&lt;DuraFix!$A$15,VLOOKUP($A209,DuraFix!$A$9:$M$14,10,FALSE),
IF($A209&lt;'Compression Fittings'!$A$16,VLOOKUP($A209,'Compression Fittings'!$A$8:$M$15,10,FALSE),
IF($A209&lt;'Hose Fittings'!$A$30,VLOOKUP($A209,'Hose Fittings'!$A$8:$M$29,10,FALSE),
IF($A209&lt;'Swing Joints'!$A$495,VLOOKUP($A209,'Swing Joints'!$A$9:$M$494,10,FALSE),
IF($A209&lt;'Swing Joints Components'!$A$135,VLOOKUP($A209,'Swing Joints Components'!$A$9:$M$134,10,FALSE),
IF($A209&lt;Nonstandard!$A$42,VLOOKUP($A209,Nonstandard!$A$31:$J$41,10,FALSE),"")))))))))))))))))))))))))))),"")</f>
        <v/>
      </c>
      <c r="L209" s="314" t="str">
        <f t="shared" si="4"/>
        <v>-</v>
      </c>
      <c r="M209" s="315"/>
    </row>
    <row r="210" spans="1:13" ht="15.6">
      <c r="A210" s="536">
        <v>178</v>
      </c>
      <c r="B210" s="536" t="str">
        <f>IFERROR(IF($A210&lt;'DWV PVC'!$A$317,VLOOKUP($A210,'DWV PVC'!$A$9:$M$316,4,FALSE),
IF($A210&lt;'DWV ABS'!$A$117,VLOOKUP($A210,'DWV ABS'!$A$8:$M$116,4,FALSE),
IF($A210&lt;'PVC SCH40'!$A$425,VLOOKUP($A210,'PVC SCH40'!$A$8:$M$424,4,FALSE),
IF($A210&lt;'PVC SCH40 LD'!$A$22,VLOOKUP($A210,'PVC SCH40 LD'!$A$8:$M$21,4,FALSE),
IF($A210&lt;'Pool &amp; SPA Sweep Elbows'!$A$12,VLOOKUP($A210,'Pool &amp; SPA Sweep Elbows'!$A$8:$M$11,4,FALSE),
IF($A210&lt;'Pool &amp; SPA Pipe Extender'!$A$11,VLOOKUP($A210,'Pool &amp; SPA Pipe Extender'!$A$8:$M$10,4,FALSE),
IF($A210&lt;'PVC SCH80'!$A$250,VLOOKUP($A210,'PVC SCH80'!$A$8:$M$249,4,FALSE),
IF($A210&lt;'PVC SCH80 Flange'!$A$49,VLOOKUP($A210,'PVC SCH80 Flange'!$A$8:$M$48,4,FALSE),
IF($A210&lt;'PVC SCH80 LD Flange'!$A$17,VLOOKUP($A210,'PVC SCH80 LD Flange'!$A$8:$M$16,4,FALSE),
IF($A210&lt;CPVC!$A$105,VLOOKUP($A210,CPVC!$A$9:$M$104,4,FALSE),
IF($A210&lt;InsertFittings!$A$185,VLOOKUP($A210,InsertFittings!$A$9:$M$184,4,FALSE),
IF($A210&lt;Valves!$A$92,VLOOKUP($A210,Valves!$A$9:$Q$91,4,FALSE),
IF($A210&lt;SDR35SW!$A$133,VLOOKUP($A210,SDR35SW!$A$9:$M$132,4,FALSE),
IF($A210&lt;SDR35G!$A$151,VLOOKUP($A210,SDR35G!$A$9:$M$150,4,FALSE),
IF($A210&lt;SDR26G!$A$67,VLOOKUP($A210,SDR26G!$A$9:$N$66,5,FALSE),
IF($A210&lt;Cements!$A$95,VLOOKUP($A210,Cements!$A$8:$Q$94,4,FALSE),
IF($A210&lt;ValveBox!$A$124,VLOOKUP($A210,ValveBox!$A$9:$O$123,4,FALSE),
IF($A210&lt;'ValveBox Components'!$A$142,VLOOKUP($A210,'ValveBox Components'!$A$9:$N$141,4,FALSE),
IF($A210&lt;Drainage!$A$69,VLOOKUP($A210,Drainage!$A$8:$M$68,4,FALSE),
IF($A210&lt;Nipples!$A$82,VLOOKUP($A210,Nipples!$A$9:$Q$81,4,FALSE),
IF($A210&lt;Manifold!$A$33,VLOOKUP($A210,Manifold!$A$9:$M$32,4,FALSE),
IF($A210&lt;FlexibleRepairCouplings!$A$12,VLOOKUP($A210,FlexibleRepairCouplings!$A$9:$M$11,4,FALSE),
IF($A210&lt;DuraFix!$A$15,VLOOKUP($A210,DuraFix!$A$9:$M$14,4,FALSE),
IF($A210&lt;'Compression Fittings'!$A$16,VLOOKUP($A210,'Compression Fittings'!$A$8:$M$15,4,FALSE),
IF($A210&lt;'Hose Fittings'!$A$30,VLOOKUP($A210,'Hose Fittings'!$A$8:$M$29,4,FALSE),
IF($A210&lt;'Swing Joints'!$A$495,VLOOKUP($A210,'Swing Joints'!$A$9:$M$494,4,FALSE),
IF($A210&lt;'Swing Joints Components'!$A$135,VLOOKUP($A210,'Swing Joints Components'!$A$9:$M$134,4,FALSE),
IF($A210&lt;Nonstandard!$A$42,VLOOKUP($A210,Nonstandard!$A$31:$J$41,5,FALSE),"")))))))))))))))))))))))))))),"")</f>
        <v/>
      </c>
      <c r="C210" s="536" t="str">
        <f>IFERROR(IF($A210&lt;'DWV PVC'!$A$317,VLOOKUP($A210,'DWV PVC'!$A$9:$M$316,5,FALSE),
IF($A210&lt;'DWV ABS'!$A$117,VLOOKUP($A210,'DWV ABS'!$A$8:$M$116,5,FALSE),
IF($A210&lt;'PVC SCH40'!$A$425,VLOOKUP($A210,'PVC SCH40'!$A$8:$M$424,5,FALSE),
IF($A210&lt;'PVC SCH40 LD'!$A$22,VLOOKUP($A210,'PVC SCH40 LD'!$A$8:$M$21,5,FALSE),
IF($A210&lt;'Pool &amp; SPA Sweep Elbows'!$A$12,VLOOKUP($A210,'Pool &amp; SPA Sweep Elbows'!$A$8:$M$11,5,FALSE),
IF($A210&lt;'Pool &amp; SPA Pipe Extender'!$A$11,VLOOKUP($A210,'Pool &amp; SPA Pipe Extender'!$A$8:$M$10,5,FALSE),
IF($A210&lt;'PVC SCH80'!$A$250,VLOOKUP($A210,'PVC SCH80'!$A$8:$M$249,5,FALSE),
IF($A210&lt;'PVC SCH80 Flange'!$A$49,VLOOKUP($A210,'PVC SCH80 Flange'!$A$8:$M$48,5,FALSE),
IF($A210&lt;'PVC SCH80 LD Flange'!$A$17,VLOOKUP($A210,'PVC SCH80 LD Flange'!$A$8:$M$16,5,FALSE),
IF($A210&lt;CPVC!$A$105,VLOOKUP($A210,CPVC!$A$9:$M$104,5,FALSE),
IF($A210&lt;InsertFittings!$A$185,VLOOKUP($A210,InsertFittings!$A$9:$M$184,5,FALSE),
IF($A210&lt;Valves!$A$92,VLOOKUP($A210,Valves!$A$9:$Q$91,5,FALSE),
IF($A210&lt;SDR35SW!$A$133,VLOOKUP($A210,SDR35SW!$A$9:$M$132,5,FALSE),
IF($A210&lt;SDR35G!$A$151,VLOOKUP($A210,SDR35G!$A$9:$M$150,5,FALSE),
IF($A210&lt;SDR26G!$A$67,VLOOKUP($A210,SDR26G!$A$9:$N$66,6,FALSE),
IF($A210&lt;Cements!$A$95,VLOOKUP($A210,Cements!$A$8:$Q$94,5,FALSE),
IF($A210&lt;ValveBox!$A$124,VLOOKUP($A210,ValveBox!$A$9:$O$123,5,FALSE),
IF($A210&lt;'ValveBox Components'!$A$142,VLOOKUP($A210,'ValveBox Components'!$A$9:$N$141,5,FALSE),
IF($A210&lt;Drainage!$A$69,VLOOKUP($A210,Drainage!$A$8:$M$68,5,FALSE),
IF($A210&lt;Nipples!$A$82,VLOOKUP($A210,Nipples!$A$9:$Q$81,5,FALSE),
IF($A210&lt;Manifold!$A$33,VLOOKUP($A210,Manifold!$A$9:$M$32,5,FALSE),
IF($A210&lt;FlexibleRepairCouplings!$A$12,VLOOKUP($A210,FlexibleRepairCouplings!$A$9:$M$11,5,FALSE),
IF($A210&lt;DuraFix!$A$15,VLOOKUP($A210,DuraFix!$A$9:$M$14,5,FALSE),
IF($A210&lt;'Compression Fittings'!$A$16,VLOOKUP($A210,'Compression Fittings'!$A$8:$M$15,5,FALSE),
IF($A210&lt;'Hose Fittings'!$A$30,VLOOKUP($A210,'Hose Fittings'!$A$8:$M$29,5,FALSE),
IF($A210&lt;'Swing Joints'!$A$495,VLOOKUP($A210,'Swing Joints'!$A$9:$M$494,5,FALSE),
IF($A210&lt;'Swing Joints Components'!$A$135,VLOOKUP($A210,'Swing Joints Components'!$A$9:$M$134,5,FALSE),
IF($A210&lt;Nonstandard!$A$42,VLOOKUP($A210,Nonstandard!$A$31:$J$41,6,FALSE),"")))))))))))))))))))))))))))),"")</f>
        <v/>
      </c>
      <c r="D210" s="537" t="str">
        <f>IFERROR(IF($A210&lt;'DWV PVC'!$A$317,VLOOKUP($A210,'DWV PVC'!$A$9:$M$316,6,FALSE),
IF($A210&lt;'DWV ABS'!$A$117,VLOOKUP($A210,'DWV ABS'!$A$8:$M$116,6,FALSE),
IF($A210&lt;'PVC SCH40'!$A$425,VLOOKUP($A210,'PVC SCH40'!$A$8:$M$424,6,FALSE),
IF($A210&lt;'PVC SCH40 LD'!$A$22,VLOOKUP($A210,'PVC SCH40 LD'!$A$8:$M$21,6,FALSE),
IF($A210&lt;'Pool &amp; SPA Sweep Elbows'!$A$12,VLOOKUP($A210,'Pool &amp; SPA Sweep Elbows'!$A$8:$M$11,6,FALSE),
IF($A210&lt;'Pool &amp; SPA Pipe Extender'!$A$11,VLOOKUP($A210,'Pool &amp; SPA Pipe Extender'!$A$8:$M$10,6,FALSE),
IF($A210&lt;'PVC SCH80'!$A$250,VLOOKUP($A210,'PVC SCH80'!$A$8:$M$249,6,FALSE),
IF($A210&lt;'PVC SCH80 Flange'!$A$49,VLOOKUP($A210,'PVC SCH80 Flange'!$A$8:$M$48,6,FALSE),
IF($A210&lt;'PVC SCH80 LD Flange'!$A$17,VLOOKUP($A210,'PVC SCH80 LD Flange'!$A$8:$M$16,6,FALSE),
IF($A210&lt;CPVC!$A$105,VLOOKUP($A210,CPVC!$A$9:$M$104,6,FALSE),
IF($A210&lt;InsertFittings!$A$185,VLOOKUP($A210,InsertFittings!$A$9:$M$184,6,FALSE),
IF($A210&lt;Valves!$A$92,VLOOKUP($A210,Valves!$A$9:$Q$91,6,FALSE),
IF($A210&lt;SDR35SW!$A$133,VLOOKUP($A210,SDR35SW!$A$9:$M$132,6,FALSE),
IF($A210&lt;SDR35G!$A$151,VLOOKUP($A210,SDR35G!$A$9:$M$150,6,FALSE),
IF($A210&lt;SDR26G!$A$67,VLOOKUP($A210,SDR26G!$A$9:$N$66,7,FALSE),
IF($A210&lt;Cements!$A$95,VLOOKUP($A210,Cements!$A$8:$Q$94,6,FALSE),
IF($A210&lt;ValveBox!$A$124,VLOOKUP($A210,ValveBox!$A$9:$O$123,6,FALSE),
IF($A210&lt;'ValveBox Components'!$A$142,VLOOKUP($A210,'ValveBox Components'!$A$9:$N$141,6,FALSE),
IF($A210&lt;Drainage!$A$69,VLOOKUP($A210,Drainage!$A$8:$M$68,6,FALSE),
IF($A210&lt;Nipples!$A$82,VLOOKUP($A210,Nipples!$A$9:$Q$81,6,FALSE),
IF($A210&lt;Manifold!$A$33,VLOOKUP($A210,Manifold!$A$9:$M$32,6,FALSE),
IF($A210&lt;FlexibleRepairCouplings!$A$12,VLOOKUP($A210,FlexibleRepairCouplings!$A$9:$M$11,6,FALSE),
IF($A210&lt;DuraFix!$A$15,VLOOKUP($A210,DuraFix!$A$9:$M$14,6,FALSE),
IF($A210&lt;'Compression Fittings'!$A$16,VLOOKUP($A210,'Compression Fittings'!$A$8:$M$15,6,FALSE),
IF($A210&lt;'Hose Fittings'!$A$30,VLOOKUP($A210,'Hose Fittings'!$A$8:$M$29,6,FALSE),
IF($A210&lt;'Swing Joints'!$A$495,VLOOKUP($A210,'Swing Joints'!$A$9:$M$494,6,FALSE),
IF($A210&lt;'Swing Joints Components'!$A$135,VLOOKUP($A210,'Swing Joints Components'!$A$9:$M$134,6,FALSE),
IF($A210&lt;Nonstandard!$A$42,VLOOKUP($A210,Nonstandard!$A$31:$J$41,7,FALSE),"")))))))))))))))))))))))))))),"")</f>
        <v/>
      </c>
      <c r="E210" s="538"/>
      <c r="F210" s="539" t="str">
        <f>IFERROR(IF($A210&lt;'DWV PVC'!$A$317,VLOOKUP($A210,'DWV PVC'!$A$9:$M$316,9,FALSE),
IF($A210&lt;'DWV ABS'!$A$117,VLOOKUP($A210,'DWV ABS'!$A$8:$M$116,9,FALSE),                                                                                                                                                                                                                                                     IF($A210&lt;'PVC SCH40'!$A$425,VLOOKUP($A210,'PVC SCH40'!$A$8:$M$424,9,FALSE),
IF($A210&lt;'PVC SCH40 LD'!$A$22,VLOOKUP($A210,'PVC SCH40 LD'!$A$8:$M$21,9,FALSE),
IF($A210&lt;'Pool &amp; SPA Sweep Elbows'!$A$12,VLOOKUP($A210,'Pool &amp; SPA Sweep Elbows'!$A$8:$M$11,9,FALSE),
IF($A210&lt;'Pool &amp; SPA Pipe Extender'!$A$11,VLOOKUP($A210,'Pool &amp; SPA Pipe Extender'!$A$8:$M$10,9,FALSE),
IF($A210&lt;'PVC SCH80'!$A$250,VLOOKUP($A210,'PVC SCH80'!$A$8:$M$249,9,FALSE),
IF($A210&lt;'PVC SCH80 Flange'!$A$49,VLOOKUP($A210,'PVC SCH80 Flange'!$A$8:$M$48,9,FALSE),
IF($A210&lt;'PVC SCH80 LD Flange'!$A$17,VLOOKUP($A210,'PVC SCH80 LD Flange'!$A$8:$M$16,9,FALSE),
IF($A210&lt;CPVC!$A$105,VLOOKUP($A210,CPVC!$A$9:$M$104,9,FALSE),
IF($A210&lt;InsertFittings!$A$185,VLOOKUP($A210,InsertFittings!$A$9:$M$184,9,FALSE),
IF($A210&lt;Valves!$A$92,VLOOKUP($A210,Valves!$A$9:$Q$91,13,FALSE),
IF($A210&lt;SDR35SW!$A$133,VLOOKUP($A210,SDR35SW!$A$9:$M$132,9,FALSE),
IF($A210&lt;SDR35G!$A$151,VLOOKUP($A210,SDR35G!$A$9:$M$150,9,FALSE),                                                                                                                                                                                                                                                          IF($A210&lt;SDR26G!$A$67,VLOOKUP($A210,SDR26G!$A$9:$N$66,10,FALSE),                                                                                                                                                                                                                                                       IF($A210&lt;Cements!$A$95,VLOOKUP($A210,Cements!$A$8:$Q$94,13,FALSE),
IF($A210&lt;ValveBox!$A$124,VLOOKUP($A210,ValveBox!$A$9:$O$123,11,FALSE),
IF($A210&lt;'ValveBox Components'!$A$142,VLOOKUP($A210,'ValveBox Components'!$A$9:$N$141,10,FALSE),
IF($A210&lt;Drainage!$A$69,VLOOKUP($A210,Drainage!$A$8:$M$68,9,FALSE),                                                                                                                                                                                                                                                              IF($A210&lt;Nipples!$A$82,VLOOKUP($A210,Nipples!$A$9:$Q$81,13,FALSE),
IF($A210&lt;Manifold!$A$33,VLOOKUP($A210,Manifold!$A$9:$M$32,9,FALSE),
IF($A210&lt;FlexibleRepairCouplings!$A$12,VLOOKUP($A210,FlexibleRepairCouplings!$A$9:$M$11,9,FALSE),
IF($A210&lt;DuraFix!$A$15,VLOOKUP($A210,DuraFix!$A$9:$M$14,9,FALSE),                                                                                                                                                                                                                                                          IF($A210&lt;'Compression Fittings'!$A$16,VLOOKUP($A210,'Compression Fittings'!$A$8:$M$15,9,FALSE),
IF($A210&lt;'Hose Fittings'!$A$30,VLOOKUP($A210,'Hose Fittings'!$A$8:$M$29,9,FALSE),
IF($A210&lt;'Swing Joints'!$A$495,VLOOKUP($A210,'Swing Joints'!$A$9:$M$494,9,FALSE),
IF($A210&lt;'Swing Joints Components'!$A$135,VLOOKUP($A210,'Swing Joints Components'!$A$9:$M$134,9,FALSE),
IF($A210&lt;Nonstandard!$A$42,VLOOKUP($A210,Nonstandard!$A$31:$J$41,8,FALSE),"")))))))))))))))))))))))))))),"")</f>
        <v/>
      </c>
      <c r="G210" s="540" t="str">
        <f>IFERROR(IF($A210&lt;'DWV PVC'!$A$317,VLOOKUP($A210,'DWV PVC'!$A$9:$M$316,11,FALSE),
IF($A210&lt;'DWV ABS'!$A$117,VLOOKUP($A210,'DWV ABS'!$A$8:$M$116,11,FALSE),                                                                                                                                                                                                                                                     IF($A210&lt;'PVC SCH40'!$A$425,VLOOKUP($A210,'PVC SCH40'!$A$8:$M$424,11,FALSE),
IF($A210&lt;'PVC SCH40 LD'!$A$22,VLOOKUP($A210,'PVC SCH40 LD'!$A$8:$M$21,11,FALSE),
IF($A210&lt;'Pool &amp; SPA Sweep Elbows'!$A$12,VLOOKUP($A210,'Pool &amp; SPA Sweep Elbows'!$A$8:$M$11,11,FALSE),
IF($A210&lt;'Pool &amp; SPA Pipe Extender'!$A$11,VLOOKUP($A210,'Pool &amp; SPA Pipe Extender'!$A$8:$M$10,11,FALSE),
IF($A210&lt;'PVC SCH80'!$A$250,VLOOKUP($A210,'PVC SCH80'!$A$8:$M$249,11,FALSE),
IF($A210&lt;'PVC SCH80 Flange'!$A$49,VLOOKUP($A210,'PVC SCH80 Flange'!$A$8:$M$48,11,FALSE),
IF($A210&lt;'PVC SCH80 LD Flange'!$A$17,VLOOKUP($A210,'PVC SCH80 LD Flange'!$A$8:$M$16,11,FALSE),
IF($A210&lt;CPVC!$A$105,VLOOKUP($A210,CPVC!$A$9:$M$104,11,FALSE),
IF($A210&lt;InsertFittings!$A$185,VLOOKUP($A210,InsertFittings!$A$9:$M$184,11,FALSE),
IF($A210&lt;Valves!$A$92,VLOOKUP($A210,Valves!$A$9:$Q$91,15,FALSE),
IF($A210&lt;SDR35SW!$A$133,VLOOKUP($A210,SDR35SW!$A$9:$M$132,11,FALSE),
IF($A210&lt;SDR35G!$A$151,VLOOKUP($A210,SDR35G!$A$9:$M$150,11,FALSE),                                                                                                                                                                                                                                                          IF($A210&lt;SDR26G!$A$67,VLOOKUP($A210,SDR26G!$A$9:$N$66,12,FALSE),                                                                                                                                                                                                                                                       IF($A210&lt;Cements!$A$95,VLOOKUP($A210,Cements!$A$8:$Q$94,15,FALSE),
IF($A210&lt;ValveBox!$A$124,VLOOKUP($A210,ValveBox!$A$9:$O$123,13,FALSE),
IF($A210&lt;'ValveBox Components'!$A$142,VLOOKUP($A210,'ValveBox Components'!$A$9:$N$141,12,FALSE),
IF($A210&lt;Drainage!$A$69,VLOOKUP($A210,Drainage!$A$8:$M$68,11,FALSE),                                                                                                                                                                                                                                                           IF($A210&lt;Nipples!$A$82,VLOOKUP($A210,Nipples!$A$9:$Q$81,15,FALSE),
IF($A210&lt;Manifold!$A$33,VLOOKUP($A210,Manifold!$A$9:$M$32,11,FALSE),
IF($A210&lt;FlexibleRepairCouplings!$A$12,VLOOKUP($A210,FlexibleRepairCouplings!$A$9:$M$11,11,FALSE),
IF($A210&lt;DuraFix!$A$15,VLOOKUP($A210,DuraFix!$A$9:$M$14,11,FALSE),                                                                                                                                                                                                                                                            IF($A210&lt;'Compression Fittings'!$A$16,VLOOKUP($A210,'Compression Fittings'!$A$8:$M$15,11,FALSE),
IF($A210&lt;'Hose Fittings'!$A$30,VLOOKUP($A210,'Hose Fittings'!$A$8:$M$29,11,FALSE),
IF($A210&lt;'Swing Joints'!$A$495,VLOOKUP($A210,'Swing Joints'!$A$9:$M$494,11,FALSE),
IF($A210&lt;'Swing Joints Components'!$A$135,VLOOKUP($A210,'Swing Joints Components'!$A$9:$M$134,11,FALSE),
IF($A210&lt;Nonstandard!$A$42,VLOOKUP($A210,Nonstandard!$A$31:$J$41,10,FALSE),"")))))))))))))))))))))))))))),"")</f>
        <v/>
      </c>
      <c r="H210" s="620" t="str">
        <f>IFERROR(IF($A210&lt;'DWV PVC'!$A$317,VLOOKUP($A210,'DWV PVC'!$A$9:$M$316,7,FALSE),
IF($A210&lt;'DWV ABS'!$A$117,VLOOKUP($A210,'DWV ABS'!$A$8:$M$116,11,FALSE),                                                                                                                                                                                                                                                     IF($A210&lt;'PVC SCH40'!$A$425,VLOOKUP($A210,'PVC SCH40'!$A$8:$M$424,7,FALSE),
IF($A210&lt;'PVC SCH40 LD'!$A$22,VLOOKUP($A210,'PVC SCH40 LD'!$A$8:$M$21,7,FALSE),
IF($A210&lt;'Pool &amp; SPA Sweep Elbows'!$A$12,VLOOKUP($A210,'Pool &amp; SPA Sweep Elbows'!$A$8:$M$11,7,FALSE),
IF($A210&lt;'Pool &amp; SPA Pipe Extender'!$A$11,VLOOKUP($A210,'Pool &amp; SPA Pipe Extender'!$A$8:$M$10,7,FALSE),
IF($A210&lt;'PVC SCH80'!$A$250,VLOOKUP($A210,'PVC SCH80'!$A$8:$M$249,7,FALSE),
IF($A210&lt;'PVC SCH80 Flange'!$A$49,VLOOKUP($A210,'PVC SCH80 Flange'!$A$8:$M$48,7,FALSE),
IF($A210&lt;'PVC SCH80 LD Flange'!$A$17,VLOOKUP($A210,'PVC SCH80 LD Flange'!$A$8:$M$16,7,FALSE),
IF($A210&lt;CPVC!$A$105,VLOOKUP($A210,CPVC!$A$9:$M$104,7,FALSE),
IF($A210&lt;InsertFittings!$A$185,VLOOKUP($A210,InsertFittings!$A$9:$M$184,7,FALSE),
IF($A210&lt;Valves!$A$92,VLOOKUP($A210,Valves!$A$9:$Q$91,11,FALSE),
IF($A210&lt;SDR35SW!$A$133,VLOOKUP($A210,SDR35SW!$A$9:$M$132,7,FALSE),
IF($A210&lt;SDR35G!$A$151,VLOOKUP($A210,SDR35G!$A$9:$M$150,7,FALSE),                                                                                                                                                                                                                                                       IF($A210&lt;SDR26G!$A$67,VLOOKUP($A210,SDR26G!$A$9:$N$66,8,FALSE),                                                                                                                                                                                                                                                     IF($A210&lt;Cements!$A$95,VLOOKUP($A210,Cements!$A$8:$Q$94,11,FALSE),
IF($A210&lt;ValveBox!$A$124,VLOOKUP($A210,ValveBox!$A$9:$O$123,10,FALSE),
IF($A210&lt;'ValveBox Components'!$A$142,VLOOKUP($A210,'ValveBox Components'!$A$9:$N$141,9,FALSE),
IF($A210&lt;Drainage!$A$69,VLOOKUP($A210,Drainage!$A$8:$M$68,7,FALSE),                                                                                                                                                                                                                                                          IF($A210&lt;Nipples!$A$82,VLOOKUP($A210,Nipples!$A$9:$Q$81,11,FALSE),
IF($A210&lt;Manifold!$A$33,VLOOKUP($A210,Manifold!$A$9:$M$32,7,FALSE),
IF($A210&lt;FlexibleRepairCouplings!$A$12,VLOOKUP($A210,FlexibleRepairCouplings!$A$9:$M$11,7,FALSE),
IF($A210&lt;DuraFix!$A$15,VLOOKUP($A210,DuraFix!$A$9:$M$14,7,FALSE),                                                                                                                                                                                                                                                           IF($A210&lt;'Compression Fittings'!$A$16,VLOOKUP($A210,'Compression Fittings'!$A$8:$M$15,7,FALSE),
IF($A210&lt;'Hose Fittings'!$A$30,VLOOKUP($A210,'Hose Fittings'!$A$8:$M$29,7,FALSE),
IF($A210&lt;'Swing Joints'!$A$495,VLOOKUP($A210,'Swing Joints'!$A$9:$M$494,7,FALSE),
IF($A210&lt;'Swing Joints Components'!$A$135,VLOOKUP($A210,'Swing Joints Components'!$A$9:$M$134,7,FALSE),
IF($A210&lt;Nonstandard!$A$42,VLOOKUP($A210,Nonstandard!$A$31:$J$41,10,FALSE),"")))))))))))))))))))))))))))),"")</f>
        <v/>
      </c>
      <c r="I210" s="621"/>
      <c r="J210" s="541" t="str">
        <f t="shared" si="5"/>
        <v/>
      </c>
      <c r="K210" s="599" t="str">
        <f>IFERROR(IF($A210&lt;'DWV PVC'!$A$317,VLOOKUP($A210,'DWV PVC'!$A$9:$M$316,10,FALSE),
IF($A210&lt;'DWV ABS'!$A$117,VLOOKUP($A210,'DWV ABS'!$A$8:$M$116,10,FALSE),
IF($A210&lt;'PVC SCH40'!$A$425,VLOOKUP($A210,'PVC SCH40'!$A$8:$M$424,10,FALSE),
IF($A210&lt;'PVC SCH40 LD'!$A$22,VLOOKUP($A210,'PVC SCH40 LD'!$A$8:$M$21,10,FALSE),
IF($A210&lt;'Pool &amp; SPA Sweep Elbows'!$A$12,VLOOKUP($A210,'Pool &amp; SPA Sweep Elbows'!$A$8:$M$11,10,FALSE),
IF($A210&lt;'Pool &amp; SPA Pipe Extender'!$A$11,VLOOKUP($A210,'Pool &amp; SPA Pipe Extender'!$A$8:$M$10,10,FALSE),
IF($A210&lt;'PVC SCH80'!$A$250,VLOOKUP($A210,'PVC SCH80'!$A$8:$M$249,10,FALSE),
IF($A210&lt;'PVC SCH80 Flange'!$A$49,VLOOKUP($A210,'PVC SCH80 Flange'!$A$8:$M$48,10,FALSE),
IF($A210&lt;'PVC SCH80 LD Flange'!$A$17,VLOOKUP($A210,'PVC SCH80 LD Flange'!$A$8:$M$16,10,FALSE),
IF($A210&lt;CPVC!$A$105,VLOOKUP($A210,CPVC!$A$9:$M$104,10,FALSE),
IF($A210&lt;InsertFittings!$A$185,VLOOKUP($A210,InsertFittings!$A$9:$M$184,10,FALSE),
IF($A210&lt;Valves!$A$92,VLOOKUP($A210,Valves!$A$9:$Q$91,14,FALSE),
IF($A210&lt;SDR35SW!$A$133,VLOOKUP($A210,SDR35SW!$A$9:$M$132,10,FALSE),
IF($A210&lt;SDR35G!$A$151,VLOOKUP($A210,SDR35G!$A$9:$M$150,10,FALSE),
IF($A210&lt;SDR26G!$A$67,VLOOKUP($A210,SDR26G!$A$9:$N$66,11,FALSE),
IF($A210&lt;Cements!$A$95,VLOOKUP($A210,Cements!$A$8:$Q$94,14,FALSE),
IF($A210&lt;ValveBox!$A$124,VLOOKUP($A210,ValveBox!$A$9:$O$123,12,FALSE),
IF($A210&lt;'ValveBox Components'!$A$142,VLOOKUP($A210,'ValveBox Components'!$A$9:$N$141,11,FALSE),
IF($A210&lt;Drainage!$A$69,VLOOKUP($A210,Drainage!$A$8:$M$68,10,FALSE),
IF($A210&lt;Nipples!$A$82,VLOOKUP($A210,Nipples!$A$9:$Q$81,14,FALSE),
IF($A210&lt;Manifold!$A$33,VLOOKUP($A210,Manifold!$A$9:$M$32,10,FALSE),
IF($A210&lt;FlexibleRepairCouplings!$A$12,VLOOKUP($A210,FlexibleRepairCouplings!$A$9:$M$11,10,FALSE),
IF($A210&lt;DuraFix!$A$15,VLOOKUP($A210,DuraFix!$A$9:$M$14,10,FALSE),
IF($A210&lt;'Compression Fittings'!$A$16,VLOOKUP($A210,'Compression Fittings'!$A$8:$M$15,10,FALSE),
IF($A210&lt;'Hose Fittings'!$A$30,VLOOKUP($A210,'Hose Fittings'!$A$8:$M$29,10,FALSE),
IF($A210&lt;'Swing Joints'!$A$495,VLOOKUP($A210,'Swing Joints'!$A$9:$M$494,10,FALSE),
IF($A210&lt;'Swing Joints Components'!$A$135,VLOOKUP($A210,'Swing Joints Components'!$A$9:$M$134,10,FALSE),
IF($A210&lt;Nonstandard!$A$42,VLOOKUP($A210,Nonstandard!$A$31:$J$41,10,FALSE),"")))))))))))))))))))))))))))),"")</f>
        <v/>
      </c>
      <c r="L210" s="539" t="str">
        <f t="shared" si="4"/>
        <v>-</v>
      </c>
      <c r="M210" s="542"/>
    </row>
    <row r="211" spans="1:13" ht="15.6">
      <c r="A211" s="312">
        <v>179</v>
      </c>
      <c r="B211" s="312" t="str">
        <f>IFERROR(IF($A211&lt;'DWV PVC'!$A$317,VLOOKUP($A211,'DWV PVC'!$A$9:$M$316,4,FALSE),
IF($A211&lt;'DWV ABS'!$A$117,VLOOKUP($A211,'DWV ABS'!$A$8:$M$116,4,FALSE),
IF($A211&lt;'PVC SCH40'!$A$425,VLOOKUP($A211,'PVC SCH40'!$A$8:$M$424,4,FALSE),
IF($A211&lt;'PVC SCH40 LD'!$A$22,VLOOKUP($A211,'PVC SCH40 LD'!$A$8:$M$21,4,FALSE),
IF($A211&lt;'Pool &amp; SPA Sweep Elbows'!$A$12,VLOOKUP($A211,'Pool &amp; SPA Sweep Elbows'!$A$8:$M$11,4,FALSE),
IF($A211&lt;'Pool &amp; SPA Pipe Extender'!$A$11,VLOOKUP($A211,'Pool &amp; SPA Pipe Extender'!$A$8:$M$10,4,FALSE),
IF($A211&lt;'PVC SCH80'!$A$250,VLOOKUP($A211,'PVC SCH80'!$A$8:$M$249,4,FALSE),
IF($A211&lt;'PVC SCH80 Flange'!$A$49,VLOOKUP($A211,'PVC SCH80 Flange'!$A$8:$M$48,4,FALSE),
IF($A211&lt;'PVC SCH80 LD Flange'!$A$17,VLOOKUP($A211,'PVC SCH80 LD Flange'!$A$8:$M$16,4,FALSE),
IF($A211&lt;CPVC!$A$105,VLOOKUP($A211,CPVC!$A$9:$M$104,4,FALSE),
IF($A211&lt;InsertFittings!$A$185,VLOOKUP($A211,InsertFittings!$A$9:$M$184,4,FALSE),
IF($A211&lt;Valves!$A$92,VLOOKUP($A211,Valves!$A$9:$Q$91,4,FALSE),
IF($A211&lt;SDR35SW!$A$133,VLOOKUP($A211,SDR35SW!$A$9:$M$132,4,FALSE),
IF($A211&lt;SDR35G!$A$151,VLOOKUP($A211,SDR35G!$A$9:$M$150,4,FALSE),
IF($A211&lt;SDR26G!$A$67,VLOOKUP($A211,SDR26G!$A$9:$N$66,5,FALSE),
IF($A211&lt;Cements!$A$95,VLOOKUP($A211,Cements!$A$8:$Q$94,4,FALSE),
IF($A211&lt;ValveBox!$A$124,VLOOKUP($A211,ValveBox!$A$9:$O$123,4,FALSE),
IF($A211&lt;'ValveBox Components'!$A$142,VLOOKUP($A211,'ValveBox Components'!$A$9:$N$141,4,FALSE),
IF($A211&lt;Drainage!$A$69,VLOOKUP($A211,Drainage!$A$8:$M$68,4,FALSE),
IF($A211&lt;Nipples!$A$82,VLOOKUP($A211,Nipples!$A$9:$Q$81,4,FALSE),
IF($A211&lt;Manifold!$A$33,VLOOKUP($A211,Manifold!$A$9:$M$32,4,FALSE),
IF($A211&lt;FlexibleRepairCouplings!$A$12,VLOOKUP($A211,FlexibleRepairCouplings!$A$9:$M$11,4,FALSE),
IF($A211&lt;DuraFix!$A$15,VLOOKUP($A211,DuraFix!$A$9:$M$14,4,FALSE),
IF($A211&lt;'Compression Fittings'!$A$16,VLOOKUP($A211,'Compression Fittings'!$A$8:$M$15,4,FALSE),
IF($A211&lt;'Hose Fittings'!$A$30,VLOOKUP($A211,'Hose Fittings'!$A$8:$M$29,4,FALSE),
IF($A211&lt;'Swing Joints'!$A$495,VLOOKUP($A211,'Swing Joints'!$A$9:$M$494,4,FALSE),
IF($A211&lt;'Swing Joints Components'!$A$135,VLOOKUP($A211,'Swing Joints Components'!$A$9:$M$134,4,FALSE),
IF($A211&lt;Nonstandard!$A$42,VLOOKUP($A211,Nonstandard!$A$31:$J$41,5,FALSE),"")))))))))))))))))))))))))))),"")</f>
        <v/>
      </c>
      <c r="C211" s="312" t="str">
        <f>IFERROR(IF($A211&lt;'DWV PVC'!$A$317,VLOOKUP($A211,'DWV PVC'!$A$9:$M$316,5,FALSE),
IF($A211&lt;'DWV ABS'!$A$117,VLOOKUP($A211,'DWV ABS'!$A$8:$M$116,5,FALSE),
IF($A211&lt;'PVC SCH40'!$A$425,VLOOKUP($A211,'PVC SCH40'!$A$8:$M$424,5,FALSE),
IF($A211&lt;'PVC SCH40 LD'!$A$22,VLOOKUP($A211,'PVC SCH40 LD'!$A$8:$M$21,5,FALSE),
IF($A211&lt;'Pool &amp; SPA Sweep Elbows'!$A$12,VLOOKUP($A211,'Pool &amp; SPA Sweep Elbows'!$A$8:$M$11,5,FALSE),
IF($A211&lt;'Pool &amp; SPA Pipe Extender'!$A$11,VLOOKUP($A211,'Pool &amp; SPA Pipe Extender'!$A$8:$M$10,5,FALSE),
IF($A211&lt;'PVC SCH80'!$A$250,VLOOKUP($A211,'PVC SCH80'!$A$8:$M$249,5,FALSE),
IF($A211&lt;'PVC SCH80 Flange'!$A$49,VLOOKUP($A211,'PVC SCH80 Flange'!$A$8:$M$48,5,FALSE),
IF($A211&lt;'PVC SCH80 LD Flange'!$A$17,VLOOKUP($A211,'PVC SCH80 LD Flange'!$A$8:$M$16,5,FALSE),
IF($A211&lt;CPVC!$A$105,VLOOKUP($A211,CPVC!$A$9:$M$104,5,FALSE),
IF($A211&lt;InsertFittings!$A$185,VLOOKUP($A211,InsertFittings!$A$9:$M$184,5,FALSE),
IF($A211&lt;Valves!$A$92,VLOOKUP($A211,Valves!$A$9:$Q$91,5,FALSE),
IF($A211&lt;SDR35SW!$A$133,VLOOKUP($A211,SDR35SW!$A$9:$M$132,5,FALSE),
IF($A211&lt;SDR35G!$A$151,VLOOKUP($A211,SDR35G!$A$9:$M$150,5,FALSE),
IF($A211&lt;SDR26G!$A$67,VLOOKUP($A211,SDR26G!$A$9:$N$66,6,FALSE),
IF($A211&lt;Cements!$A$95,VLOOKUP($A211,Cements!$A$8:$Q$94,5,FALSE),
IF($A211&lt;ValveBox!$A$124,VLOOKUP($A211,ValveBox!$A$9:$O$123,5,FALSE),
IF($A211&lt;'ValveBox Components'!$A$142,VLOOKUP($A211,'ValveBox Components'!$A$9:$N$141,5,FALSE),
IF($A211&lt;Drainage!$A$69,VLOOKUP($A211,Drainage!$A$8:$M$68,5,FALSE),
IF($A211&lt;Nipples!$A$82,VLOOKUP($A211,Nipples!$A$9:$Q$81,5,FALSE),
IF($A211&lt;Manifold!$A$33,VLOOKUP($A211,Manifold!$A$9:$M$32,5,FALSE),
IF($A211&lt;FlexibleRepairCouplings!$A$12,VLOOKUP($A211,FlexibleRepairCouplings!$A$9:$M$11,5,FALSE),
IF($A211&lt;DuraFix!$A$15,VLOOKUP($A211,DuraFix!$A$9:$M$14,5,FALSE),
IF($A211&lt;'Compression Fittings'!$A$16,VLOOKUP($A211,'Compression Fittings'!$A$8:$M$15,5,FALSE),
IF($A211&lt;'Hose Fittings'!$A$30,VLOOKUP($A211,'Hose Fittings'!$A$8:$M$29,5,FALSE),
IF($A211&lt;'Swing Joints'!$A$495,VLOOKUP($A211,'Swing Joints'!$A$9:$M$494,5,FALSE),
IF($A211&lt;'Swing Joints Components'!$A$135,VLOOKUP($A211,'Swing Joints Components'!$A$9:$M$134,5,FALSE),
IF($A211&lt;Nonstandard!$A$42,VLOOKUP($A211,Nonstandard!$A$31:$J$41,6,FALSE),"")))))))))))))))))))))))))))),"")</f>
        <v/>
      </c>
      <c r="D211" s="534" t="str">
        <f>IFERROR(IF($A211&lt;'DWV PVC'!$A$317,VLOOKUP($A211,'DWV PVC'!$A$9:$M$316,6,FALSE),
IF($A211&lt;'DWV ABS'!$A$117,VLOOKUP($A211,'DWV ABS'!$A$8:$M$116,6,FALSE),
IF($A211&lt;'PVC SCH40'!$A$425,VLOOKUP($A211,'PVC SCH40'!$A$8:$M$424,6,FALSE),
IF($A211&lt;'PVC SCH40 LD'!$A$22,VLOOKUP($A211,'PVC SCH40 LD'!$A$8:$M$21,6,FALSE),
IF($A211&lt;'Pool &amp; SPA Sweep Elbows'!$A$12,VLOOKUP($A211,'Pool &amp; SPA Sweep Elbows'!$A$8:$M$11,6,FALSE),
IF($A211&lt;'Pool &amp; SPA Pipe Extender'!$A$11,VLOOKUP($A211,'Pool &amp; SPA Pipe Extender'!$A$8:$M$10,6,FALSE),
IF($A211&lt;'PVC SCH80'!$A$250,VLOOKUP($A211,'PVC SCH80'!$A$8:$M$249,6,FALSE),
IF($A211&lt;'PVC SCH80 Flange'!$A$49,VLOOKUP($A211,'PVC SCH80 Flange'!$A$8:$M$48,6,FALSE),
IF($A211&lt;'PVC SCH80 LD Flange'!$A$17,VLOOKUP($A211,'PVC SCH80 LD Flange'!$A$8:$M$16,6,FALSE),
IF($A211&lt;CPVC!$A$105,VLOOKUP($A211,CPVC!$A$9:$M$104,6,FALSE),
IF($A211&lt;InsertFittings!$A$185,VLOOKUP($A211,InsertFittings!$A$9:$M$184,6,FALSE),
IF($A211&lt;Valves!$A$92,VLOOKUP($A211,Valves!$A$9:$Q$91,6,FALSE),
IF($A211&lt;SDR35SW!$A$133,VLOOKUP($A211,SDR35SW!$A$9:$M$132,6,FALSE),
IF($A211&lt;SDR35G!$A$151,VLOOKUP($A211,SDR35G!$A$9:$M$150,6,FALSE),
IF($A211&lt;SDR26G!$A$67,VLOOKUP($A211,SDR26G!$A$9:$N$66,7,FALSE),
IF($A211&lt;Cements!$A$95,VLOOKUP($A211,Cements!$A$8:$Q$94,6,FALSE),
IF($A211&lt;ValveBox!$A$124,VLOOKUP($A211,ValveBox!$A$9:$O$123,6,FALSE),
IF($A211&lt;'ValveBox Components'!$A$142,VLOOKUP($A211,'ValveBox Components'!$A$9:$N$141,6,FALSE),
IF($A211&lt;Drainage!$A$69,VLOOKUP($A211,Drainage!$A$8:$M$68,6,FALSE),
IF($A211&lt;Nipples!$A$82,VLOOKUP($A211,Nipples!$A$9:$Q$81,6,FALSE),
IF($A211&lt;Manifold!$A$33,VLOOKUP($A211,Manifold!$A$9:$M$32,6,FALSE),
IF($A211&lt;FlexibleRepairCouplings!$A$12,VLOOKUP($A211,FlexibleRepairCouplings!$A$9:$M$11,6,FALSE),
IF($A211&lt;DuraFix!$A$15,VLOOKUP($A211,DuraFix!$A$9:$M$14,6,FALSE),
IF($A211&lt;'Compression Fittings'!$A$16,VLOOKUP($A211,'Compression Fittings'!$A$8:$M$15,6,FALSE),
IF($A211&lt;'Hose Fittings'!$A$30,VLOOKUP($A211,'Hose Fittings'!$A$8:$M$29,6,FALSE),
IF($A211&lt;'Swing Joints'!$A$495,VLOOKUP($A211,'Swing Joints'!$A$9:$M$494,6,FALSE),
IF($A211&lt;'Swing Joints Components'!$A$135,VLOOKUP($A211,'Swing Joints Components'!$A$9:$M$134,6,FALSE),
IF($A211&lt;Nonstandard!$A$42,VLOOKUP($A211,Nonstandard!$A$31:$J$41,7,FALSE),"")))))))))))))))))))))))))))),"")</f>
        <v/>
      </c>
      <c r="E211" s="316"/>
      <c r="F211" s="314" t="str">
        <f>IFERROR(IF($A211&lt;'DWV PVC'!$A$317,VLOOKUP($A211,'DWV PVC'!$A$9:$M$316,9,FALSE),
IF($A211&lt;'DWV ABS'!$A$117,VLOOKUP($A211,'DWV ABS'!$A$8:$M$116,9,FALSE),                                                                                                                                                                                                                                                     IF($A211&lt;'PVC SCH40'!$A$425,VLOOKUP($A211,'PVC SCH40'!$A$8:$M$424,9,FALSE),
IF($A211&lt;'PVC SCH40 LD'!$A$22,VLOOKUP($A211,'PVC SCH40 LD'!$A$8:$M$21,9,FALSE),
IF($A211&lt;'Pool &amp; SPA Sweep Elbows'!$A$12,VLOOKUP($A211,'Pool &amp; SPA Sweep Elbows'!$A$8:$M$11,9,FALSE),
IF($A211&lt;'Pool &amp; SPA Pipe Extender'!$A$11,VLOOKUP($A211,'Pool &amp; SPA Pipe Extender'!$A$8:$M$10,9,FALSE),
IF($A211&lt;'PVC SCH80'!$A$250,VLOOKUP($A211,'PVC SCH80'!$A$8:$M$249,9,FALSE),
IF($A211&lt;'PVC SCH80 Flange'!$A$49,VLOOKUP($A211,'PVC SCH80 Flange'!$A$8:$M$48,9,FALSE),
IF($A211&lt;'PVC SCH80 LD Flange'!$A$17,VLOOKUP($A211,'PVC SCH80 LD Flange'!$A$8:$M$16,9,FALSE),
IF($A211&lt;CPVC!$A$105,VLOOKUP($A211,CPVC!$A$9:$M$104,9,FALSE),
IF($A211&lt;InsertFittings!$A$185,VLOOKUP($A211,InsertFittings!$A$9:$M$184,9,FALSE),
IF($A211&lt;Valves!$A$92,VLOOKUP($A211,Valves!$A$9:$Q$91,13,FALSE),
IF($A211&lt;SDR35SW!$A$133,VLOOKUP($A211,SDR35SW!$A$9:$M$132,9,FALSE),
IF($A211&lt;SDR35G!$A$151,VLOOKUP($A211,SDR35G!$A$9:$M$150,9,FALSE),                                                                                                                                                                                                                                                          IF($A211&lt;SDR26G!$A$67,VLOOKUP($A211,SDR26G!$A$9:$N$66,10,FALSE),                                                                                                                                                                                                                                                       IF($A211&lt;Cements!$A$95,VLOOKUP($A211,Cements!$A$8:$Q$94,13,FALSE),
IF($A211&lt;ValveBox!$A$124,VLOOKUP($A211,ValveBox!$A$9:$O$123,11,FALSE),
IF($A211&lt;'ValveBox Components'!$A$142,VLOOKUP($A211,'ValveBox Components'!$A$9:$N$141,10,FALSE),
IF($A211&lt;Drainage!$A$69,VLOOKUP($A211,Drainage!$A$8:$M$68,9,FALSE),                                                                                                                                                                                                                                                              IF($A211&lt;Nipples!$A$82,VLOOKUP($A211,Nipples!$A$9:$Q$81,13,FALSE),
IF($A211&lt;Manifold!$A$33,VLOOKUP($A211,Manifold!$A$9:$M$32,9,FALSE),
IF($A211&lt;FlexibleRepairCouplings!$A$12,VLOOKUP($A211,FlexibleRepairCouplings!$A$9:$M$11,9,FALSE),
IF($A211&lt;DuraFix!$A$15,VLOOKUP($A211,DuraFix!$A$9:$M$14,9,FALSE),                                                                                                                                                                                                                                                          IF($A211&lt;'Compression Fittings'!$A$16,VLOOKUP($A211,'Compression Fittings'!$A$8:$M$15,9,FALSE),
IF($A211&lt;'Hose Fittings'!$A$30,VLOOKUP($A211,'Hose Fittings'!$A$8:$M$29,9,FALSE),
IF($A211&lt;'Swing Joints'!$A$495,VLOOKUP($A211,'Swing Joints'!$A$9:$M$494,9,FALSE),
IF($A211&lt;'Swing Joints Components'!$A$135,VLOOKUP($A211,'Swing Joints Components'!$A$9:$M$134,9,FALSE),
IF($A211&lt;Nonstandard!$A$42,VLOOKUP($A211,Nonstandard!$A$31:$J$41,8,FALSE),"")))))))))))))))))))))))))))),"")</f>
        <v/>
      </c>
      <c r="G211" s="533" t="str">
        <f>IFERROR(IF($A211&lt;'DWV PVC'!$A$317,VLOOKUP($A211,'DWV PVC'!$A$9:$M$316,11,FALSE),
IF($A211&lt;'DWV ABS'!$A$117,VLOOKUP($A211,'DWV ABS'!$A$8:$M$116,11,FALSE),                                                                                                                                                                                                                                                     IF($A211&lt;'PVC SCH40'!$A$425,VLOOKUP($A211,'PVC SCH40'!$A$8:$M$424,11,FALSE),
IF($A211&lt;'PVC SCH40 LD'!$A$22,VLOOKUP($A211,'PVC SCH40 LD'!$A$8:$M$21,11,FALSE),
IF($A211&lt;'Pool &amp; SPA Sweep Elbows'!$A$12,VLOOKUP($A211,'Pool &amp; SPA Sweep Elbows'!$A$8:$M$11,11,FALSE),
IF($A211&lt;'Pool &amp; SPA Pipe Extender'!$A$11,VLOOKUP($A211,'Pool &amp; SPA Pipe Extender'!$A$8:$M$10,11,FALSE),
IF($A211&lt;'PVC SCH80'!$A$250,VLOOKUP($A211,'PVC SCH80'!$A$8:$M$249,11,FALSE),
IF($A211&lt;'PVC SCH80 Flange'!$A$49,VLOOKUP($A211,'PVC SCH80 Flange'!$A$8:$M$48,11,FALSE),
IF($A211&lt;'PVC SCH80 LD Flange'!$A$17,VLOOKUP($A211,'PVC SCH80 LD Flange'!$A$8:$M$16,11,FALSE),
IF($A211&lt;CPVC!$A$105,VLOOKUP($A211,CPVC!$A$9:$M$104,11,FALSE),
IF($A211&lt;InsertFittings!$A$185,VLOOKUP($A211,InsertFittings!$A$9:$M$184,11,FALSE),
IF($A211&lt;Valves!$A$92,VLOOKUP($A211,Valves!$A$9:$Q$91,15,FALSE),
IF($A211&lt;SDR35SW!$A$133,VLOOKUP($A211,SDR35SW!$A$9:$M$132,11,FALSE),
IF($A211&lt;SDR35G!$A$151,VLOOKUP($A211,SDR35G!$A$9:$M$150,11,FALSE),                                                                                                                                                                                                                                                          IF($A211&lt;SDR26G!$A$67,VLOOKUP($A211,SDR26G!$A$9:$N$66,12,FALSE),                                                                                                                                                                                                                                                       IF($A211&lt;Cements!$A$95,VLOOKUP($A211,Cements!$A$8:$Q$94,15,FALSE),
IF($A211&lt;ValveBox!$A$124,VLOOKUP($A211,ValveBox!$A$9:$O$123,13,FALSE),
IF($A211&lt;'ValveBox Components'!$A$142,VLOOKUP($A211,'ValveBox Components'!$A$9:$N$141,12,FALSE),
IF($A211&lt;Drainage!$A$69,VLOOKUP($A211,Drainage!$A$8:$M$68,11,FALSE),                                                                                                                                                                                                                                                           IF($A211&lt;Nipples!$A$82,VLOOKUP($A211,Nipples!$A$9:$Q$81,15,FALSE),
IF($A211&lt;Manifold!$A$33,VLOOKUP($A211,Manifold!$A$9:$M$32,11,FALSE),
IF($A211&lt;FlexibleRepairCouplings!$A$12,VLOOKUP($A211,FlexibleRepairCouplings!$A$9:$M$11,11,FALSE),
IF($A211&lt;DuraFix!$A$15,VLOOKUP($A211,DuraFix!$A$9:$M$14,11,FALSE),                                                                                                                                                                                                                                                            IF($A211&lt;'Compression Fittings'!$A$16,VLOOKUP($A211,'Compression Fittings'!$A$8:$M$15,11,FALSE),
IF($A211&lt;'Hose Fittings'!$A$30,VLOOKUP($A211,'Hose Fittings'!$A$8:$M$29,11,FALSE),
IF($A211&lt;'Swing Joints'!$A$495,VLOOKUP($A211,'Swing Joints'!$A$9:$M$494,11,FALSE),
IF($A211&lt;'Swing Joints Components'!$A$135,VLOOKUP($A211,'Swing Joints Components'!$A$9:$M$134,11,FALSE),
IF($A211&lt;Nonstandard!$A$42,VLOOKUP($A211,Nonstandard!$A$31:$J$41,10,FALSE),"")))))))))))))))))))))))))))),"")</f>
        <v/>
      </c>
      <c r="H211" s="618" t="str">
        <f>IFERROR(IF($A211&lt;'DWV PVC'!$A$317,VLOOKUP($A211,'DWV PVC'!$A$9:$M$316,7,FALSE),
IF($A211&lt;'DWV ABS'!$A$117,VLOOKUP($A211,'DWV ABS'!$A$8:$M$116,11,FALSE),                                                                                                                                                                                                                                                     IF($A211&lt;'PVC SCH40'!$A$425,VLOOKUP($A211,'PVC SCH40'!$A$8:$M$424,7,FALSE),
IF($A211&lt;'PVC SCH40 LD'!$A$22,VLOOKUP($A211,'PVC SCH40 LD'!$A$8:$M$21,7,FALSE),
IF($A211&lt;'Pool &amp; SPA Sweep Elbows'!$A$12,VLOOKUP($A211,'Pool &amp; SPA Sweep Elbows'!$A$8:$M$11,7,FALSE),
IF($A211&lt;'Pool &amp; SPA Pipe Extender'!$A$11,VLOOKUP($A211,'Pool &amp; SPA Pipe Extender'!$A$8:$M$10,7,FALSE),
IF($A211&lt;'PVC SCH80'!$A$250,VLOOKUP($A211,'PVC SCH80'!$A$8:$M$249,7,FALSE),
IF($A211&lt;'PVC SCH80 Flange'!$A$49,VLOOKUP($A211,'PVC SCH80 Flange'!$A$8:$M$48,7,FALSE),
IF($A211&lt;'PVC SCH80 LD Flange'!$A$17,VLOOKUP($A211,'PVC SCH80 LD Flange'!$A$8:$M$16,7,FALSE),
IF($A211&lt;CPVC!$A$105,VLOOKUP($A211,CPVC!$A$9:$M$104,7,FALSE),
IF($A211&lt;InsertFittings!$A$185,VLOOKUP($A211,InsertFittings!$A$9:$M$184,7,FALSE),
IF($A211&lt;Valves!$A$92,VLOOKUP($A211,Valves!$A$9:$Q$91,11,FALSE),
IF($A211&lt;SDR35SW!$A$133,VLOOKUP($A211,SDR35SW!$A$9:$M$132,7,FALSE),
IF($A211&lt;SDR35G!$A$151,VLOOKUP($A211,SDR35G!$A$9:$M$150,7,FALSE),                                                                                                                                                                                                                                                       IF($A211&lt;SDR26G!$A$67,VLOOKUP($A211,SDR26G!$A$9:$N$66,8,FALSE),                                                                                                                                                                                                                                                     IF($A211&lt;Cements!$A$95,VLOOKUP($A211,Cements!$A$8:$Q$94,11,FALSE),
IF($A211&lt;ValveBox!$A$124,VLOOKUP($A211,ValveBox!$A$9:$O$123,10,FALSE),
IF($A211&lt;'ValveBox Components'!$A$142,VLOOKUP($A211,'ValveBox Components'!$A$9:$N$141,9,FALSE),
IF($A211&lt;Drainage!$A$69,VLOOKUP($A211,Drainage!$A$8:$M$68,7,FALSE),                                                                                                                                                                                                                                                          IF($A211&lt;Nipples!$A$82,VLOOKUP($A211,Nipples!$A$9:$Q$81,11,FALSE),
IF($A211&lt;Manifold!$A$33,VLOOKUP($A211,Manifold!$A$9:$M$32,7,FALSE),
IF($A211&lt;FlexibleRepairCouplings!$A$12,VLOOKUP($A211,FlexibleRepairCouplings!$A$9:$M$11,7,FALSE),
IF($A211&lt;DuraFix!$A$15,VLOOKUP($A211,DuraFix!$A$9:$M$14,7,FALSE),                                                                                                                                                                                                                                                           IF($A211&lt;'Compression Fittings'!$A$16,VLOOKUP($A211,'Compression Fittings'!$A$8:$M$15,7,FALSE),
IF($A211&lt;'Hose Fittings'!$A$30,VLOOKUP($A211,'Hose Fittings'!$A$8:$M$29,7,FALSE),
IF($A211&lt;'Swing Joints'!$A$495,VLOOKUP($A211,'Swing Joints'!$A$9:$M$494,7,FALSE),
IF($A211&lt;'Swing Joints Components'!$A$135,VLOOKUP($A211,'Swing Joints Components'!$A$9:$M$134,7,FALSE),
IF($A211&lt;Nonstandard!$A$42,VLOOKUP($A211,Nonstandard!$A$31:$J$41,10,FALSE),"")))))))))))))))))))))))))))),"")</f>
        <v/>
      </c>
      <c r="I211" s="619"/>
      <c r="J211" s="281" t="str">
        <f t="shared" si="5"/>
        <v/>
      </c>
      <c r="K211" s="313" t="str">
        <f>IFERROR(IF($A211&lt;'DWV PVC'!$A$317,VLOOKUP($A211,'DWV PVC'!$A$9:$M$316,10,FALSE),
IF($A211&lt;'DWV ABS'!$A$117,VLOOKUP($A211,'DWV ABS'!$A$8:$M$116,10,FALSE),
IF($A211&lt;'PVC SCH40'!$A$425,VLOOKUP($A211,'PVC SCH40'!$A$8:$M$424,10,FALSE),
IF($A211&lt;'PVC SCH40 LD'!$A$22,VLOOKUP($A211,'PVC SCH40 LD'!$A$8:$M$21,10,FALSE),
IF($A211&lt;'Pool &amp; SPA Sweep Elbows'!$A$12,VLOOKUP($A211,'Pool &amp; SPA Sweep Elbows'!$A$8:$M$11,10,FALSE),
IF($A211&lt;'Pool &amp; SPA Pipe Extender'!$A$11,VLOOKUP($A211,'Pool &amp; SPA Pipe Extender'!$A$8:$M$10,10,FALSE),
IF($A211&lt;'PVC SCH80'!$A$250,VLOOKUP($A211,'PVC SCH80'!$A$8:$M$249,10,FALSE),
IF($A211&lt;'PVC SCH80 Flange'!$A$49,VLOOKUP($A211,'PVC SCH80 Flange'!$A$8:$M$48,10,FALSE),
IF($A211&lt;'PVC SCH80 LD Flange'!$A$17,VLOOKUP($A211,'PVC SCH80 LD Flange'!$A$8:$M$16,10,FALSE),
IF($A211&lt;CPVC!$A$105,VLOOKUP($A211,CPVC!$A$9:$M$104,10,FALSE),
IF($A211&lt;InsertFittings!$A$185,VLOOKUP($A211,InsertFittings!$A$9:$M$184,10,FALSE),
IF($A211&lt;Valves!$A$92,VLOOKUP($A211,Valves!$A$9:$Q$91,14,FALSE),
IF($A211&lt;SDR35SW!$A$133,VLOOKUP($A211,SDR35SW!$A$9:$M$132,10,FALSE),
IF($A211&lt;SDR35G!$A$151,VLOOKUP($A211,SDR35G!$A$9:$M$150,10,FALSE),
IF($A211&lt;SDR26G!$A$67,VLOOKUP($A211,SDR26G!$A$9:$N$66,11,FALSE),
IF($A211&lt;Cements!$A$95,VLOOKUP($A211,Cements!$A$8:$Q$94,14,FALSE),
IF($A211&lt;ValveBox!$A$124,VLOOKUP($A211,ValveBox!$A$9:$O$123,12,FALSE),
IF($A211&lt;'ValveBox Components'!$A$142,VLOOKUP($A211,'ValveBox Components'!$A$9:$N$141,11,FALSE),
IF($A211&lt;Drainage!$A$69,VLOOKUP($A211,Drainage!$A$8:$M$68,10,FALSE),
IF($A211&lt;Nipples!$A$82,VLOOKUP($A211,Nipples!$A$9:$Q$81,14,FALSE),
IF($A211&lt;Manifold!$A$33,VLOOKUP($A211,Manifold!$A$9:$M$32,10,FALSE),
IF($A211&lt;FlexibleRepairCouplings!$A$12,VLOOKUP($A211,FlexibleRepairCouplings!$A$9:$M$11,10,FALSE),
IF($A211&lt;DuraFix!$A$15,VLOOKUP($A211,DuraFix!$A$9:$M$14,10,FALSE),
IF($A211&lt;'Compression Fittings'!$A$16,VLOOKUP($A211,'Compression Fittings'!$A$8:$M$15,10,FALSE),
IF($A211&lt;'Hose Fittings'!$A$30,VLOOKUP($A211,'Hose Fittings'!$A$8:$M$29,10,FALSE),
IF($A211&lt;'Swing Joints'!$A$495,VLOOKUP($A211,'Swing Joints'!$A$9:$M$494,10,FALSE),
IF($A211&lt;'Swing Joints Components'!$A$135,VLOOKUP($A211,'Swing Joints Components'!$A$9:$M$134,10,FALSE),
IF($A211&lt;Nonstandard!$A$42,VLOOKUP($A211,Nonstandard!$A$31:$J$41,10,FALSE),"")))))))))))))))))))))))))))),"")</f>
        <v/>
      </c>
      <c r="L211" s="314" t="str">
        <f t="shared" si="4"/>
        <v>-</v>
      </c>
      <c r="M211" s="315"/>
    </row>
    <row r="212" spans="1:13" ht="15.6">
      <c r="A212" s="536">
        <v>180</v>
      </c>
      <c r="B212" s="536" t="str">
        <f>IFERROR(IF($A212&lt;'DWV PVC'!$A$317,VLOOKUP($A212,'DWV PVC'!$A$9:$M$316,4,FALSE),
IF($A212&lt;'DWV ABS'!$A$117,VLOOKUP($A212,'DWV ABS'!$A$8:$M$116,4,FALSE),
IF($A212&lt;'PVC SCH40'!$A$425,VLOOKUP($A212,'PVC SCH40'!$A$8:$M$424,4,FALSE),
IF($A212&lt;'PVC SCH40 LD'!$A$22,VLOOKUP($A212,'PVC SCH40 LD'!$A$8:$M$21,4,FALSE),
IF($A212&lt;'Pool &amp; SPA Sweep Elbows'!$A$12,VLOOKUP($A212,'Pool &amp; SPA Sweep Elbows'!$A$8:$M$11,4,FALSE),
IF($A212&lt;'Pool &amp; SPA Pipe Extender'!$A$11,VLOOKUP($A212,'Pool &amp; SPA Pipe Extender'!$A$8:$M$10,4,FALSE),
IF($A212&lt;'PVC SCH80'!$A$250,VLOOKUP($A212,'PVC SCH80'!$A$8:$M$249,4,FALSE),
IF($A212&lt;'PVC SCH80 Flange'!$A$49,VLOOKUP($A212,'PVC SCH80 Flange'!$A$8:$M$48,4,FALSE),
IF($A212&lt;'PVC SCH80 LD Flange'!$A$17,VLOOKUP($A212,'PVC SCH80 LD Flange'!$A$8:$M$16,4,FALSE),
IF($A212&lt;CPVC!$A$105,VLOOKUP($A212,CPVC!$A$9:$M$104,4,FALSE),
IF($A212&lt;InsertFittings!$A$185,VLOOKUP($A212,InsertFittings!$A$9:$M$184,4,FALSE),
IF($A212&lt;Valves!$A$92,VLOOKUP($A212,Valves!$A$9:$Q$91,4,FALSE),
IF($A212&lt;SDR35SW!$A$133,VLOOKUP($A212,SDR35SW!$A$9:$M$132,4,FALSE),
IF($A212&lt;SDR35G!$A$151,VLOOKUP($A212,SDR35G!$A$9:$M$150,4,FALSE),
IF($A212&lt;SDR26G!$A$67,VLOOKUP($A212,SDR26G!$A$9:$N$66,5,FALSE),
IF($A212&lt;Cements!$A$95,VLOOKUP($A212,Cements!$A$8:$Q$94,4,FALSE),
IF($A212&lt;ValveBox!$A$124,VLOOKUP($A212,ValveBox!$A$9:$O$123,4,FALSE),
IF($A212&lt;'ValveBox Components'!$A$142,VLOOKUP($A212,'ValveBox Components'!$A$9:$N$141,4,FALSE),
IF($A212&lt;Drainage!$A$69,VLOOKUP($A212,Drainage!$A$8:$M$68,4,FALSE),
IF($A212&lt;Nipples!$A$82,VLOOKUP($A212,Nipples!$A$9:$Q$81,4,FALSE),
IF($A212&lt;Manifold!$A$33,VLOOKUP($A212,Manifold!$A$9:$M$32,4,FALSE),
IF($A212&lt;FlexibleRepairCouplings!$A$12,VLOOKUP($A212,FlexibleRepairCouplings!$A$9:$M$11,4,FALSE),
IF($A212&lt;DuraFix!$A$15,VLOOKUP($A212,DuraFix!$A$9:$M$14,4,FALSE),
IF($A212&lt;'Compression Fittings'!$A$16,VLOOKUP($A212,'Compression Fittings'!$A$8:$M$15,4,FALSE),
IF($A212&lt;'Hose Fittings'!$A$30,VLOOKUP($A212,'Hose Fittings'!$A$8:$M$29,4,FALSE),
IF($A212&lt;'Swing Joints'!$A$495,VLOOKUP($A212,'Swing Joints'!$A$9:$M$494,4,FALSE),
IF($A212&lt;'Swing Joints Components'!$A$135,VLOOKUP($A212,'Swing Joints Components'!$A$9:$M$134,4,FALSE),
IF($A212&lt;Nonstandard!$A$42,VLOOKUP($A212,Nonstandard!$A$31:$J$41,5,FALSE),"")))))))))))))))))))))))))))),"")</f>
        <v/>
      </c>
      <c r="C212" s="536" t="str">
        <f>IFERROR(IF($A212&lt;'DWV PVC'!$A$317,VLOOKUP($A212,'DWV PVC'!$A$9:$M$316,5,FALSE),
IF($A212&lt;'DWV ABS'!$A$117,VLOOKUP($A212,'DWV ABS'!$A$8:$M$116,5,FALSE),
IF($A212&lt;'PVC SCH40'!$A$425,VLOOKUP($A212,'PVC SCH40'!$A$8:$M$424,5,FALSE),
IF($A212&lt;'PVC SCH40 LD'!$A$22,VLOOKUP($A212,'PVC SCH40 LD'!$A$8:$M$21,5,FALSE),
IF($A212&lt;'Pool &amp; SPA Sweep Elbows'!$A$12,VLOOKUP($A212,'Pool &amp; SPA Sweep Elbows'!$A$8:$M$11,5,FALSE),
IF($A212&lt;'Pool &amp; SPA Pipe Extender'!$A$11,VLOOKUP($A212,'Pool &amp; SPA Pipe Extender'!$A$8:$M$10,5,FALSE),
IF($A212&lt;'PVC SCH80'!$A$250,VLOOKUP($A212,'PVC SCH80'!$A$8:$M$249,5,FALSE),
IF($A212&lt;'PVC SCH80 Flange'!$A$49,VLOOKUP($A212,'PVC SCH80 Flange'!$A$8:$M$48,5,FALSE),
IF($A212&lt;'PVC SCH80 LD Flange'!$A$17,VLOOKUP($A212,'PVC SCH80 LD Flange'!$A$8:$M$16,5,FALSE),
IF($A212&lt;CPVC!$A$105,VLOOKUP($A212,CPVC!$A$9:$M$104,5,FALSE),
IF($A212&lt;InsertFittings!$A$185,VLOOKUP($A212,InsertFittings!$A$9:$M$184,5,FALSE),
IF($A212&lt;Valves!$A$92,VLOOKUP($A212,Valves!$A$9:$Q$91,5,FALSE),
IF($A212&lt;SDR35SW!$A$133,VLOOKUP($A212,SDR35SW!$A$9:$M$132,5,FALSE),
IF($A212&lt;SDR35G!$A$151,VLOOKUP($A212,SDR35G!$A$9:$M$150,5,FALSE),
IF($A212&lt;SDR26G!$A$67,VLOOKUP($A212,SDR26G!$A$9:$N$66,6,FALSE),
IF($A212&lt;Cements!$A$95,VLOOKUP($A212,Cements!$A$8:$Q$94,5,FALSE),
IF($A212&lt;ValveBox!$A$124,VLOOKUP($A212,ValveBox!$A$9:$O$123,5,FALSE),
IF($A212&lt;'ValveBox Components'!$A$142,VLOOKUP($A212,'ValveBox Components'!$A$9:$N$141,5,FALSE),
IF($A212&lt;Drainage!$A$69,VLOOKUP($A212,Drainage!$A$8:$M$68,5,FALSE),
IF($A212&lt;Nipples!$A$82,VLOOKUP($A212,Nipples!$A$9:$Q$81,5,FALSE),
IF($A212&lt;Manifold!$A$33,VLOOKUP($A212,Manifold!$A$9:$M$32,5,FALSE),
IF($A212&lt;FlexibleRepairCouplings!$A$12,VLOOKUP($A212,FlexibleRepairCouplings!$A$9:$M$11,5,FALSE),
IF($A212&lt;DuraFix!$A$15,VLOOKUP($A212,DuraFix!$A$9:$M$14,5,FALSE),
IF($A212&lt;'Compression Fittings'!$A$16,VLOOKUP($A212,'Compression Fittings'!$A$8:$M$15,5,FALSE),
IF($A212&lt;'Hose Fittings'!$A$30,VLOOKUP($A212,'Hose Fittings'!$A$8:$M$29,5,FALSE),
IF($A212&lt;'Swing Joints'!$A$495,VLOOKUP($A212,'Swing Joints'!$A$9:$M$494,5,FALSE),
IF($A212&lt;'Swing Joints Components'!$A$135,VLOOKUP($A212,'Swing Joints Components'!$A$9:$M$134,5,FALSE),
IF($A212&lt;Nonstandard!$A$42,VLOOKUP($A212,Nonstandard!$A$31:$J$41,6,FALSE),"")))))))))))))))))))))))))))),"")</f>
        <v/>
      </c>
      <c r="D212" s="537" t="str">
        <f>IFERROR(IF($A212&lt;'DWV PVC'!$A$317,VLOOKUP($A212,'DWV PVC'!$A$9:$M$316,6,FALSE),
IF($A212&lt;'DWV ABS'!$A$117,VLOOKUP($A212,'DWV ABS'!$A$8:$M$116,6,FALSE),
IF($A212&lt;'PVC SCH40'!$A$425,VLOOKUP($A212,'PVC SCH40'!$A$8:$M$424,6,FALSE),
IF($A212&lt;'PVC SCH40 LD'!$A$22,VLOOKUP($A212,'PVC SCH40 LD'!$A$8:$M$21,6,FALSE),
IF($A212&lt;'Pool &amp; SPA Sweep Elbows'!$A$12,VLOOKUP($A212,'Pool &amp; SPA Sweep Elbows'!$A$8:$M$11,6,FALSE),
IF($A212&lt;'Pool &amp; SPA Pipe Extender'!$A$11,VLOOKUP($A212,'Pool &amp; SPA Pipe Extender'!$A$8:$M$10,6,FALSE),
IF($A212&lt;'PVC SCH80'!$A$250,VLOOKUP($A212,'PVC SCH80'!$A$8:$M$249,6,FALSE),
IF($A212&lt;'PVC SCH80 Flange'!$A$49,VLOOKUP($A212,'PVC SCH80 Flange'!$A$8:$M$48,6,FALSE),
IF($A212&lt;'PVC SCH80 LD Flange'!$A$17,VLOOKUP($A212,'PVC SCH80 LD Flange'!$A$8:$M$16,6,FALSE),
IF($A212&lt;CPVC!$A$105,VLOOKUP($A212,CPVC!$A$9:$M$104,6,FALSE),
IF($A212&lt;InsertFittings!$A$185,VLOOKUP($A212,InsertFittings!$A$9:$M$184,6,FALSE),
IF($A212&lt;Valves!$A$92,VLOOKUP($A212,Valves!$A$9:$Q$91,6,FALSE),
IF($A212&lt;SDR35SW!$A$133,VLOOKUP($A212,SDR35SW!$A$9:$M$132,6,FALSE),
IF($A212&lt;SDR35G!$A$151,VLOOKUP($A212,SDR35G!$A$9:$M$150,6,FALSE),
IF($A212&lt;SDR26G!$A$67,VLOOKUP($A212,SDR26G!$A$9:$N$66,7,FALSE),
IF($A212&lt;Cements!$A$95,VLOOKUP($A212,Cements!$A$8:$Q$94,6,FALSE),
IF($A212&lt;ValveBox!$A$124,VLOOKUP($A212,ValveBox!$A$9:$O$123,6,FALSE),
IF($A212&lt;'ValveBox Components'!$A$142,VLOOKUP($A212,'ValveBox Components'!$A$9:$N$141,6,FALSE),
IF($A212&lt;Drainage!$A$69,VLOOKUP($A212,Drainage!$A$8:$M$68,6,FALSE),
IF($A212&lt;Nipples!$A$82,VLOOKUP($A212,Nipples!$A$9:$Q$81,6,FALSE),
IF($A212&lt;Manifold!$A$33,VLOOKUP($A212,Manifold!$A$9:$M$32,6,FALSE),
IF($A212&lt;FlexibleRepairCouplings!$A$12,VLOOKUP($A212,FlexibleRepairCouplings!$A$9:$M$11,6,FALSE),
IF($A212&lt;DuraFix!$A$15,VLOOKUP($A212,DuraFix!$A$9:$M$14,6,FALSE),
IF($A212&lt;'Compression Fittings'!$A$16,VLOOKUP($A212,'Compression Fittings'!$A$8:$M$15,6,FALSE),
IF($A212&lt;'Hose Fittings'!$A$30,VLOOKUP($A212,'Hose Fittings'!$A$8:$M$29,6,FALSE),
IF($A212&lt;'Swing Joints'!$A$495,VLOOKUP($A212,'Swing Joints'!$A$9:$M$494,6,FALSE),
IF($A212&lt;'Swing Joints Components'!$A$135,VLOOKUP($A212,'Swing Joints Components'!$A$9:$M$134,6,FALSE),
IF($A212&lt;Nonstandard!$A$42,VLOOKUP($A212,Nonstandard!$A$31:$J$41,7,FALSE),"")))))))))))))))))))))))))))),"")</f>
        <v/>
      </c>
      <c r="E212" s="538"/>
      <c r="F212" s="539" t="str">
        <f>IFERROR(IF($A212&lt;'DWV PVC'!$A$317,VLOOKUP($A212,'DWV PVC'!$A$9:$M$316,9,FALSE),
IF($A212&lt;'DWV ABS'!$A$117,VLOOKUP($A212,'DWV ABS'!$A$8:$M$116,9,FALSE),                                                                                                                                                                                                                                                     IF($A212&lt;'PVC SCH40'!$A$425,VLOOKUP($A212,'PVC SCH40'!$A$8:$M$424,9,FALSE),
IF($A212&lt;'PVC SCH40 LD'!$A$22,VLOOKUP($A212,'PVC SCH40 LD'!$A$8:$M$21,9,FALSE),
IF($A212&lt;'Pool &amp; SPA Sweep Elbows'!$A$12,VLOOKUP($A212,'Pool &amp; SPA Sweep Elbows'!$A$8:$M$11,9,FALSE),
IF($A212&lt;'Pool &amp; SPA Pipe Extender'!$A$11,VLOOKUP($A212,'Pool &amp; SPA Pipe Extender'!$A$8:$M$10,9,FALSE),
IF($A212&lt;'PVC SCH80'!$A$250,VLOOKUP($A212,'PVC SCH80'!$A$8:$M$249,9,FALSE),
IF($A212&lt;'PVC SCH80 Flange'!$A$49,VLOOKUP($A212,'PVC SCH80 Flange'!$A$8:$M$48,9,FALSE),
IF($A212&lt;'PVC SCH80 LD Flange'!$A$17,VLOOKUP($A212,'PVC SCH80 LD Flange'!$A$8:$M$16,9,FALSE),
IF($A212&lt;CPVC!$A$105,VLOOKUP($A212,CPVC!$A$9:$M$104,9,FALSE),
IF($A212&lt;InsertFittings!$A$185,VLOOKUP($A212,InsertFittings!$A$9:$M$184,9,FALSE),
IF($A212&lt;Valves!$A$92,VLOOKUP($A212,Valves!$A$9:$Q$91,13,FALSE),
IF($A212&lt;SDR35SW!$A$133,VLOOKUP($A212,SDR35SW!$A$9:$M$132,9,FALSE),
IF($A212&lt;SDR35G!$A$151,VLOOKUP($A212,SDR35G!$A$9:$M$150,9,FALSE),                                                                                                                                                                                                                                                          IF($A212&lt;SDR26G!$A$67,VLOOKUP($A212,SDR26G!$A$9:$N$66,10,FALSE),                                                                                                                                                                                                                                                       IF($A212&lt;Cements!$A$95,VLOOKUP($A212,Cements!$A$8:$Q$94,13,FALSE),
IF($A212&lt;ValveBox!$A$124,VLOOKUP($A212,ValveBox!$A$9:$O$123,11,FALSE),
IF($A212&lt;'ValveBox Components'!$A$142,VLOOKUP($A212,'ValveBox Components'!$A$9:$N$141,10,FALSE),
IF($A212&lt;Drainage!$A$69,VLOOKUP($A212,Drainage!$A$8:$M$68,9,FALSE),                                                                                                                                                                                                                                                              IF($A212&lt;Nipples!$A$82,VLOOKUP($A212,Nipples!$A$9:$Q$81,13,FALSE),
IF($A212&lt;Manifold!$A$33,VLOOKUP($A212,Manifold!$A$9:$M$32,9,FALSE),
IF($A212&lt;FlexibleRepairCouplings!$A$12,VLOOKUP($A212,FlexibleRepairCouplings!$A$9:$M$11,9,FALSE),
IF($A212&lt;DuraFix!$A$15,VLOOKUP($A212,DuraFix!$A$9:$M$14,9,FALSE),                                                                                                                                                                                                                                                          IF($A212&lt;'Compression Fittings'!$A$16,VLOOKUP($A212,'Compression Fittings'!$A$8:$M$15,9,FALSE),
IF($A212&lt;'Hose Fittings'!$A$30,VLOOKUP($A212,'Hose Fittings'!$A$8:$M$29,9,FALSE),
IF($A212&lt;'Swing Joints'!$A$495,VLOOKUP($A212,'Swing Joints'!$A$9:$M$494,9,FALSE),
IF($A212&lt;'Swing Joints Components'!$A$135,VLOOKUP($A212,'Swing Joints Components'!$A$9:$M$134,9,FALSE),
IF($A212&lt;Nonstandard!$A$42,VLOOKUP($A212,Nonstandard!$A$31:$J$41,8,FALSE),"")))))))))))))))))))))))))))),"")</f>
        <v/>
      </c>
      <c r="G212" s="540" t="str">
        <f>IFERROR(IF($A212&lt;'DWV PVC'!$A$317,VLOOKUP($A212,'DWV PVC'!$A$9:$M$316,11,FALSE),
IF($A212&lt;'DWV ABS'!$A$117,VLOOKUP($A212,'DWV ABS'!$A$8:$M$116,11,FALSE),                                                                                                                                                                                                                                                     IF($A212&lt;'PVC SCH40'!$A$425,VLOOKUP($A212,'PVC SCH40'!$A$8:$M$424,11,FALSE),
IF($A212&lt;'PVC SCH40 LD'!$A$22,VLOOKUP($A212,'PVC SCH40 LD'!$A$8:$M$21,11,FALSE),
IF($A212&lt;'Pool &amp; SPA Sweep Elbows'!$A$12,VLOOKUP($A212,'Pool &amp; SPA Sweep Elbows'!$A$8:$M$11,11,FALSE),
IF($A212&lt;'Pool &amp; SPA Pipe Extender'!$A$11,VLOOKUP($A212,'Pool &amp; SPA Pipe Extender'!$A$8:$M$10,11,FALSE),
IF($A212&lt;'PVC SCH80'!$A$250,VLOOKUP($A212,'PVC SCH80'!$A$8:$M$249,11,FALSE),
IF($A212&lt;'PVC SCH80 Flange'!$A$49,VLOOKUP($A212,'PVC SCH80 Flange'!$A$8:$M$48,11,FALSE),
IF($A212&lt;'PVC SCH80 LD Flange'!$A$17,VLOOKUP($A212,'PVC SCH80 LD Flange'!$A$8:$M$16,11,FALSE),
IF($A212&lt;CPVC!$A$105,VLOOKUP($A212,CPVC!$A$9:$M$104,11,FALSE),
IF($A212&lt;InsertFittings!$A$185,VLOOKUP($A212,InsertFittings!$A$9:$M$184,11,FALSE),
IF($A212&lt;Valves!$A$92,VLOOKUP($A212,Valves!$A$9:$Q$91,15,FALSE),
IF($A212&lt;SDR35SW!$A$133,VLOOKUP($A212,SDR35SW!$A$9:$M$132,11,FALSE),
IF($A212&lt;SDR35G!$A$151,VLOOKUP($A212,SDR35G!$A$9:$M$150,11,FALSE),                                                                                                                                                                                                                                                          IF($A212&lt;SDR26G!$A$67,VLOOKUP($A212,SDR26G!$A$9:$N$66,12,FALSE),                                                                                                                                                                                                                                                       IF($A212&lt;Cements!$A$95,VLOOKUP($A212,Cements!$A$8:$Q$94,15,FALSE),
IF($A212&lt;ValveBox!$A$124,VLOOKUP($A212,ValveBox!$A$9:$O$123,13,FALSE),
IF($A212&lt;'ValveBox Components'!$A$142,VLOOKUP($A212,'ValveBox Components'!$A$9:$N$141,12,FALSE),
IF($A212&lt;Drainage!$A$69,VLOOKUP($A212,Drainage!$A$8:$M$68,11,FALSE),                                                                                                                                                                                                                                                           IF($A212&lt;Nipples!$A$82,VLOOKUP($A212,Nipples!$A$9:$Q$81,15,FALSE),
IF($A212&lt;Manifold!$A$33,VLOOKUP($A212,Manifold!$A$9:$M$32,11,FALSE),
IF($A212&lt;FlexibleRepairCouplings!$A$12,VLOOKUP($A212,FlexibleRepairCouplings!$A$9:$M$11,11,FALSE),
IF($A212&lt;DuraFix!$A$15,VLOOKUP($A212,DuraFix!$A$9:$M$14,11,FALSE),                                                                                                                                                                                                                                                            IF($A212&lt;'Compression Fittings'!$A$16,VLOOKUP($A212,'Compression Fittings'!$A$8:$M$15,11,FALSE),
IF($A212&lt;'Hose Fittings'!$A$30,VLOOKUP($A212,'Hose Fittings'!$A$8:$M$29,11,FALSE),
IF($A212&lt;'Swing Joints'!$A$495,VLOOKUP($A212,'Swing Joints'!$A$9:$M$494,11,FALSE),
IF($A212&lt;'Swing Joints Components'!$A$135,VLOOKUP($A212,'Swing Joints Components'!$A$9:$M$134,11,FALSE),
IF($A212&lt;Nonstandard!$A$42,VLOOKUP($A212,Nonstandard!$A$31:$J$41,10,FALSE),"")))))))))))))))))))))))))))),"")</f>
        <v/>
      </c>
      <c r="H212" s="620" t="str">
        <f>IFERROR(IF($A212&lt;'DWV PVC'!$A$317,VLOOKUP($A212,'DWV PVC'!$A$9:$M$316,7,FALSE),
IF($A212&lt;'DWV ABS'!$A$117,VLOOKUP($A212,'DWV ABS'!$A$8:$M$116,11,FALSE),                                                                                                                                                                                                                                                     IF($A212&lt;'PVC SCH40'!$A$425,VLOOKUP($A212,'PVC SCH40'!$A$8:$M$424,7,FALSE),
IF($A212&lt;'PVC SCH40 LD'!$A$22,VLOOKUP($A212,'PVC SCH40 LD'!$A$8:$M$21,7,FALSE),
IF($A212&lt;'Pool &amp; SPA Sweep Elbows'!$A$12,VLOOKUP($A212,'Pool &amp; SPA Sweep Elbows'!$A$8:$M$11,7,FALSE),
IF($A212&lt;'Pool &amp; SPA Pipe Extender'!$A$11,VLOOKUP($A212,'Pool &amp; SPA Pipe Extender'!$A$8:$M$10,7,FALSE),
IF($A212&lt;'PVC SCH80'!$A$250,VLOOKUP($A212,'PVC SCH80'!$A$8:$M$249,7,FALSE),
IF($A212&lt;'PVC SCH80 Flange'!$A$49,VLOOKUP($A212,'PVC SCH80 Flange'!$A$8:$M$48,7,FALSE),
IF($A212&lt;'PVC SCH80 LD Flange'!$A$17,VLOOKUP($A212,'PVC SCH80 LD Flange'!$A$8:$M$16,7,FALSE),
IF($A212&lt;CPVC!$A$105,VLOOKUP($A212,CPVC!$A$9:$M$104,7,FALSE),
IF($A212&lt;InsertFittings!$A$185,VLOOKUP($A212,InsertFittings!$A$9:$M$184,7,FALSE),
IF($A212&lt;Valves!$A$92,VLOOKUP($A212,Valves!$A$9:$Q$91,11,FALSE),
IF($A212&lt;SDR35SW!$A$133,VLOOKUP($A212,SDR35SW!$A$9:$M$132,7,FALSE),
IF($A212&lt;SDR35G!$A$151,VLOOKUP($A212,SDR35G!$A$9:$M$150,7,FALSE),                                                                                                                                                                                                                                                       IF($A212&lt;SDR26G!$A$67,VLOOKUP($A212,SDR26G!$A$9:$N$66,8,FALSE),                                                                                                                                                                                                                                                     IF($A212&lt;Cements!$A$95,VLOOKUP($A212,Cements!$A$8:$Q$94,11,FALSE),
IF($A212&lt;ValveBox!$A$124,VLOOKUP($A212,ValveBox!$A$9:$O$123,10,FALSE),
IF($A212&lt;'ValveBox Components'!$A$142,VLOOKUP($A212,'ValveBox Components'!$A$9:$N$141,9,FALSE),
IF($A212&lt;Drainage!$A$69,VLOOKUP($A212,Drainage!$A$8:$M$68,7,FALSE),                                                                                                                                                                                                                                                          IF($A212&lt;Nipples!$A$82,VLOOKUP($A212,Nipples!$A$9:$Q$81,11,FALSE),
IF($A212&lt;Manifold!$A$33,VLOOKUP($A212,Manifold!$A$9:$M$32,7,FALSE),
IF($A212&lt;FlexibleRepairCouplings!$A$12,VLOOKUP($A212,FlexibleRepairCouplings!$A$9:$M$11,7,FALSE),
IF($A212&lt;DuraFix!$A$15,VLOOKUP($A212,DuraFix!$A$9:$M$14,7,FALSE),                                                                                                                                                                                                                                                           IF($A212&lt;'Compression Fittings'!$A$16,VLOOKUP($A212,'Compression Fittings'!$A$8:$M$15,7,FALSE),
IF($A212&lt;'Hose Fittings'!$A$30,VLOOKUP($A212,'Hose Fittings'!$A$8:$M$29,7,FALSE),
IF($A212&lt;'Swing Joints'!$A$495,VLOOKUP($A212,'Swing Joints'!$A$9:$M$494,7,FALSE),
IF($A212&lt;'Swing Joints Components'!$A$135,VLOOKUP($A212,'Swing Joints Components'!$A$9:$M$134,7,FALSE),
IF($A212&lt;Nonstandard!$A$42,VLOOKUP($A212,Nonstandard!$A$31:$J$41,10,FALSE),"")))))))))))))))))))))))))))),"")</f>
        <v/>
      </c>
      <c r="I212" s="621"/>
      <c r="J212" s="541" t="str">
        <f t="shared" si="5"/>
        <v/>
      </c>
      <c r="K212" s="599" t="str">
        <f>IFERROR(IF($A212&lt;'DWV PVC'!$A$317,VLOOKUP($A212,'DWV PVC'!$A$9:$M$316,10,FALSE),
IF($A212&lt;'DWV ABS'!$A$117,VLOOKUP($A212,'DWV ABS'!$A$8:$M$116,10,FALSE),
IF($A212&lt;'PVC SCH40'!$A$425,VLOOKUP($A212,'PVC SCH40'!$A$8:$M$424,10,FALSE),
IF($A212&lt;'PVC SCH40 LD'!$A$22,VLOOKUP($A212,'PVC SCH40 LD'!$A$8:$M$21,10,FALSE),
IF($A212&lt;'Pool &amp; SPA Sweep Elbows'!$A$12,VLOOKUP($A212,'Pool &amp; SPA Sweep Elbows'!$A$8:$M$11,10,FALSE),
IF($A212&lt;'Pool &amp; SPA Pipe Extender'!$A$11,VLOOKUP($A212,'Pool &amp; SPA Pipe Extender'!$A$8:$M$10,10,FALSE),
IF($A212&lt;'PVC SCH80'!$A$250,VLOOKUP($A212,'PVC SCH80'!$A$8:$M$249,10,FALSE),
IF($A212&lt;'PVC SCH80 Flange'!$A$49,VLOOKUP($A212,'PVC SCH80 Flange'!$A$8:$M$48,10,FALSE),
IF($A212&lt;'PVC SCH80 LD Flange'!$A$17,VLOOKUP($A212,'PVC SCH80 LD Flange'!$A$8:$M$16,10,FALSE),
IF($A212&lt;CPVC!$A$105,VLOOKUP($A212,CPVC!$A$9:$M$104,10,FALSE),
IF($A212&lt;InsertFittings!$A$185,VLOOKUP($A212,InsertFittings!$A$9:$M$184,10,FALSE),
IF($A212&lt;Valves!$A$92,VLOOKUP($A212,Valves!$A$9:$Q$91,14,FALSE),
IF($A212&lt;SDR35SW!$A$133,VLOOKUP($A212,SDR35SW!$A$9:$M$132,10,FALSE),
IF($A212&lt;SDR35G!$A$151,VLOOKUP($A212,SDR35G!$A$9:$M$150,10,FALSE),
IF($A212&lt;SDR26G!$A$67,VLOOKUP($A212,SDR26G!$A$9:$N$66,11,FALSE),
IF($A212&lt;Cements!$A$95,VLOOKUP($A212,Cements!$A$8:$Q$94,14,FALSE),
IF($A212&lt;ValveBox!$A$124,VLOOKUP($A212,ValveBox!$A$9:$O$123,12,FALSE),
IF($A212&lt;'ValveBox Components'!$A$142,VLOOKUP($A212,'ValveBox Components'!$A$9:$N$141,11,FALSE),
IF($A212&lt;Drainage!$A$69,VLOOKUP($A212,Drainage!$A$8:$M$68,10,FALSE),
IF($A212&lt;Nipples!$A$82,VLOOKUP($A212,Nipples!$A$9:$Q$81,14,FALSE),
IF($A212&lt;Manifold!$A$33,VLOOKUP($A212,Manifold!$A$9:$M$32,10,FALSE),
IF($A212&lt;FlexibleRepairCouplings!$A$12,VLOOKUP($A212,FlexibleRepairCouplings!$A$9:$M$11,10,FALSE),
IF($A212&lt;DuraFix!$A$15,VLOOKUP($A212,DuraFix!$A$9:$M$14,10,FALSE),
IF($A212&lt;'Compression Fittings'!$A$16,VLOOKUP($A212,'Compression Fittings'!$A$8:$M$15,10,FALSE),
IF($A212&lt;'Hose Fittings'!$A$30,VLOOKUP($A212,'Hose Fittings'!$A$8:$M$29,10,FALSE),
IF($A212&lt;'Swing Joints'!$A$495,VLOOKUP($A212,'Swing Joints'!$A$9:$M$494,10,FALSE),
IF($A212&lt;'Swing Joints Components'!$A$135,VLOOKUP($A212,'Swing Joints Components'!$A$9:$M$134,10,FALSE),
IF($A212&lt;Nonstandard!$A$42,VLOOKUP($A212,Nonstandard!$A$31:$J$41,10,FALSE),"")))))))))))))))))))))))))))),"")</f>
        <v/>
      </c>
      <c r="L212" s="539" t="str">
        <f t="shared" si="4"/>
        <v>-</v>
      </c>
      <c r="M212" s="542"/>
    </row>
    <row r="213" spans="1:13" ht="15.6">
      <c r="A213" s="312">
        <v>181</v>
      </c>
      <c r="B213" s="312" t="str">
        <f>IFERROR(IF($A213&lt;'DWV PVC'!$A$317,VLOOKUP($A213,'DWV PVC'!$A$9:$M$316,4,FALSE),
IF($A213&lt;'DWV ABS'!$A$117,VLOOKUP($A213,'DWV ABS'!$A$8:$M$116,4,FALSE),
IF($A213&lt;'PVC SCH40'!$A$425,VLOOKUP($A213,'PVC SCH40'!$A$8:$M$424,4,FALSE),
IF($A213&lt;'PVC SCH40 LD'!$A$22,VLOOKUP($A213,'PVC SCH40 LD'!$A$8:$M$21,4,FALSE),
IF($A213&lt;'Pool &amp; SPA Sweep Elbows'!$A$12,VLOOKUP($A213,'Pool &amp; SPA Sweep Elbows'!$A$8:$M$11,4,FALSE),
IF($A213&lt;'Pool &amp; SPA Pipe Extender'!$A$11,VLOOKUP($A213,'Pool &amp; SPA Pipe Extender'!$A$8:$M$10,4,FALSE),
IF($A213&lt;'PVC SCH80'!$A$250,VLOOKUP($A213,'PVC SCH80'!$A$8:$M$249,4,FALSE),
IF($A213&lt;'PVC SCH80 Flange'!$A$49,VLOOKUP($A213,'PVC SCH80 Flange'!$A$8:$M$48,4,FALSE),
IF($A213&lt;'PVC SCH80 LD Flange'!$A$17,VLOOKUP($A213,'PVC SCH80 LD Flange'!$A$8:$M$16,4,FALSE),
IF($A213&lt;CPVC!$A$105,VLOOKUP($A213,CPVC!$A$9:$M$104,4,FALSE),
IF($A213&lt;InsertFittings!$A$185,VLOOKUP($A213,InsertFittings!$A$9:$M$184,4,FALSE),
IF($A213&lt;Valves!$A$92,VLOOKUP($A213,Valves!$A$9:$Q$91,4,FALSE),
IF($A213&lt;SDR35SW!$A$133,VLOOKUP($A213,SDR35SW!$A$9:$M$132,4,FALSE),
IF($A213&lt;SDR35G!$A$151,VLOOKUP($A213,SDR35G!$A$9:$M$150,4,FALSE),
IF($A213&lt;SDR26G!$A$67,VLOOKUP($A213,SDR26G!$A$9:$N$66,5,FALSE),
IF($A213&lt;Cements!$A$95,VLOOKUP($A213,Cements!$A$8:$Q$94,4,FALSE),
IF($A213&lt;ValveBox!$A$124,VLOOKUP($A213,ValveBox!$A$9:$O$123,4,FALSE),
IF($A213&lt;'ValveBox Components'!$A$142,VLOOKUP($A213,'ValveBox Components'!$A$9:$N$141,4,FALSE),
IF($A213&lt;Drainage!$A$69,VLOOKUP($A213,Drainage!$A$8:$M$68,4,FALSE),
IF($A213&lt;Nipples!$A$82,VLOOKUP($A213,Nipples!$A$9:$Q$81,4,FALSE),
IF($A213&lt;Manifold!$A$33,VLOOKUP($A213,Manifold!$A$9:$M$32,4,FALSE),
IF($A213&lt;FlexibleRepairCouplings!$A$12,VLOOKUP($A213,FlexibleRepairCouplings!$A$9:$M$11,4,FALSE),
IF($A213&lt;DuraFix!$A$15,VLOOKUP($A213,DuraFix!$A$9:$M$14,4,FALSE),
IF($A213&lt;'Compression Fittings'!$A$16,VLOOKUP($A213,'Compression Fittings'!$A$8:$M$15,4,FALSE),
IF($A213&lt;'Hose Fittings'!$A$30,VLOOKUP($A213,'Hose Fittings'!$A$8:$M$29,4,FALSE),
IF($A213&lt;'Swing Joints'!$A$495,VLOOKUP($A213,'Swing Joints'!$A$9:$M$494,4,FALSE),
IF($A213&lt;'Swing Joints Components'!$A$135,VLOOKUP($A213,'Swing Joints Components'!$A$9:$M$134,4,FALSE),
IF($A213&lt;Nonstandard!$A$42,VLOOKUP($A213,Nonstandard!$A$31:$J$41,5,FALSE),"")))))))))))))))))))))))))))),"")</f>
        <v/>
      </c>
      <c r="C213" s="312" t="str">
        <f>IFERROR(IF($A213&lt;'DWV PVC'!$A$317,VLOOKUP($A213,'DWV PVC'!$A$9:$M$316,5,FALSE),
IF($A213&lt;'DWV ABS'!$A$117,VLOOKUP($A213,'DWV ABS'!$A$8:$M$116,5,FALSE),
IF($A213&lt;'PVC SCH40'!$A$425,VLOOKUP($A213,'PVC SCH40'!$A$8:$M$424,5,FALSE),
IF($A213&lt;'PVC SCH40 LD'!$A$22,VLOOKUP($A213,'PVC SCH40 LD'!$A$8:$M$21,5,FALSE),
IF($A213&lt;'Pool &amp; SPA Sweep Elbows'!$A$12,VLOOKUP($A213,'Pool &amp; SPA Sweep Elbows'!$A$8:$M$11,5,FALSE),
IF($A213&lt;'Pool &amp; SPA Pipe Extender'!$A$11,VLOOKUP($A213,'Pool &amp; SPA Pipe Extender'!$A$8:$M$10,5,FALSE),
IF($A213&lt;'PVC SCH80'!$A$250,VLOOKUP($A213,'PVC SCH80'!$A$8:$M$249,5,FALSE),
IF($A213&lt;'PVC SCH80 Flange'!$A$49,VLOOKUP($A213,'PVC SCH80 Flange'!$A$8:$M$48,5,FALSE),
IF($A213&lt;'PVC SCH80 LD Flange'!$A$17,VLOOKUP($A213,'PVC SCH80 LD Flange'!$A$8:$M$16,5,FALSE),
IF($A213&lt;CPVC!$A$105,VLOOKUP($A213,CPVC!$A$9:$M$104,5,FALSE),
IF($A213&lt;InsertFittings!$A$185,VLOOKUP($A213,InsertFittings!$A$9:$M$184,5,FALSE),
IF($A213&lt;Valves!$A$92,VLOOKUP($A213,Valves!$A$9:$Q$91,5,FALSE),
IF($A213&lt;SDR35SW!$A$133,VLOOKUP($A213,SDR35SW!$A$9:$M$132,5,FALSE),
IF($A213&lt;SDR35G!$A$151,VLOOKUP($A213,SDR35G!$A$9:$M$150,5,FALSE),
IF($A213&lt;SDR26G!$A$67,VLOOKUP($A213,SDR26G!$A$9:$N$66,6,FALSE),
IF($A213&lt;Cements!$A$95,VLOOKUP($A213,Cements!$A$8:$Q$94,5,FALSE),
IF($A213&lt;ValveBox!$A$124,VLOOKUP($A213,ValveBox!$A$9:$O$123,5,FALSE),
IF($A213&lt;'ValveBox Components'!$A$142,VLOOKUP($A213,'ValveBox Components'!$A$9:$N$141,5,FALSE),
IF($A213&lt;Drainage!$A$69,VLOOKUP($A213,Drainage!$A$8:$M$68,5,FALSE),
IF($A213&lt;Nipples!$A$82,VLOOKUP($A213,Nipples!$A$9:$Q$81,5,FALSE),
IF($A213&lt;Manifold!$A$33,VLOOKUP($A213,Manifold!$A$9:$M$32,5,FALSE),
IF($A213&lt;FlexibleRepairCouplings!$A$12,VLOOKUP($A213,FlexibleRepairCouplings!$A$9:$M$11,5,FALSE),
IF($A213&lt;DuraFix!$A$15,VLOOKUP($A213,DuraFix!$A$9:$M$14,5,FALSE),
IF($A213&lt;'Compression Fittings'!$A$16,VLOOKUP($A213,'Compression Fittings'!$A$8:$M$15,5,FALSE),
IF($A213&lt;'Hose Fittings'!$A$30,VLOOKUP($A213,'Hose Fittings'!$A$8:$M$29,5,FALSE),
IF($A213&lt;'Swing Joints'!$A$495,VLOOKUP($A213,'Swing Joints'!$A$9:$M$494,5,FALSE),
IF($A213&lt;'Swing Joints Components'!$A$135,VLOOKUP($A213,'Swing Joints Components'!$A$9:$M$134,5,FALSE),
IF($A213&lt;Nonstandard!$A$42,VLOOKUP($A213,Nonstandard!$A$31:$J$41,6,FALSE),"")))))))))))))))))))))))))))),"")</f>
        <v/>
      </c>
      <c r="D213" s="534" t="str">
        <f>IFERROR(IF($A213&lt;'DWV PVC'!$A$317,VLOOKUP($A213,'DWV PVC'!$A$9:$M$316,6,FALSE),
IF($A213&lt;'DWV ABS'!$A$117,VLOOKUP($A213,'DWV ABS'!$A$8:$M$116,6,FALSE),
IF($A213&lt;'PVC SCH40'!$A$425,VLOOKUP($A213,'PVC SCH40'!$A$8:$M$424,6,FALSE),
IF($A213&lt;'PVC SCH40 LD'!$A$22,VLOOKUP($A213,'PVC SCH40 LD'!$A$8:$M$21,6,FALSE),
IF($A213&lt;'Pool &amp; SPA Sweep Elbows'!$A$12,VLOOKUP($A213,'Pool &amp; SPA Sweep Elbows'!$A$8:$M$11,6,FALSE),
IF($A213&lt;'Pool &amp; SPA Pipe Extender'!$A$11,VLOOKUP($A213,'Pool &amp; SPA Pipe Extender'!$A$8:$M$10,6,FALSE),
IF($A213&lt;'PVC SCH80'!$A$250,VLOOKUP($A213,'PVC SCH80'!$A$8:$M$249,6,FALSE),
IF($A213&lt;'PVC SCH80 Flange'!$A$49,VLOOKUP($A213,'PVC SCH80 Flange'!$A$8:$M$48,6,FALSE),
IF($A213&lt;'PVC SCH80 LD Flange'!$A$17,VLOOKUP($A213,'PVC SCH80 LD Flange'!$A$8:$M$16,6,FALSE),
IF($A213&lt;CPVC!$A$105,VLOOKUP($A213,CPVC!$A$9:$M$104,6,FALSE),
IF($A213&lt;InsertFittings!$A$185,VLOOKUP($A213,InsertFittings!$A$9:$M$184,6,FALSE),
IF($A213&lt;Valves!$A$92,VLOOKUP($A213,Valves!$A$9:$Q$91,6,FALSE),
IF($A213&lt;SDR35SW!$A$133,VLOOKUP($A213,SDR35SW!$A$9:$M$132,6,FALSE),
IF($A213&lt;SDR35G!$A$151,VLOOKUP($A213,SDR35G!$A$9:$M$150,6,FALSE),
IF($A213&lt;SDR26G!$A$67,VLOOKUP($A213,SDR26G!$A$9:$N$66,7,FALSE),
IF($A213&lt;Cements!$A$95,VLOOKUP($A213,Cements!$A$8:$Q$94,6,FALSE),
IF($A213&lt;ValveBox!$A$124,VLOOKUP($A213,ValveBox!$A$9:$O$123,6,FALSE),
IF($A213&lt;'ValveBox Components'!$A$142,VLOOKUP($A213,'ValveBox Components'!$A$9:$N$141,6,FALSE),
IF($A213&lt;Drainage!$A$69,VLOOKUP($A213,Drainage!$A$8:$M$68,6,FALSE),
IF($A213&lt;Nipples!$A$82,VLOOKUP($A213,Nipples!$A$9:$Q$81,6,FALSE),
IF($A213&lt;Manifold!$A$33,VLOOKUP($A213,Manifold!$A$9:$M$32,6,FALSE),
IF($A213&lt;FlexibleRepairCouplings!$A$12,VLOOKUP($A213,FlexibleRepairCouplings!$A$9:$M$11,6,FALSE),
IF($A213&lt;DuraFix!$A$15,VLOOKUP($A213,DuraFix!$A$9:$M$14,6,FALSE),
IF($A213&lt;'Compression Fittings'!$A$16,VLOOKUP($A213,'Compression Fittings'!$A$8:$M$15,6,FALSE),
IF($A213&lt;'Hose Fittings'!$A$30,VLOOKUP($A213,'Hose Fittings'!$A$8:$M$29,6,FALSE),
IF($A213&lt;'Swing Joints'!$A$495,VLOOKUP($A213,'Swing Joints'!$A$9:$M$494,6,FALSE),
IF($A213&lt;'Swing Joints Components'!$A$135,VLOOKUP($A213,'Swing Joints Components'!$A$9:$M$134,6,FALSE),
IF($A213&lt;Nonstandard!$A$42,VLOOKUP($A213,Nonstandard!$A$31:$J$41,7,FALSE),"")))))))))))))))))))))))))))),"")</f>
        <v/>
      </c>
      <c r="E213" s="316"/>
      <c r="F213" s="314" t="str">
        <f>IFERROR(IF($A213&lt;'DWV PVC'!$A$317,VLOOKUP($A213,'DWV PVC'!$A$9:$M$316,9,FALSE),
IF($A213&lt;'DWV ABS'!$A$117,VLOOKUP($A213,'DWV ABS'!$A$8:$M$116,9,FALSE),                                                                                                                                                                                                                                                     IF($A213&lt;'PVC SCH40'!$A$425,VLOOKUP($A213,'PVC SCH40'!$A$8:$M$424,9,FALSE),
IF($A213&lt;'PVC SCH40 LD'!$A$22,VLOOKUP($A213,'PVC SCH40 LD'!$A$8:$M$21,9,FALSE),
IF($A213&lt;'Pool &amp; SPA Sweep Elbows'!$A$12,VLOOKUP($A213,'Pool &amp; SPA Sweep Elbows'!$A$8:$M$11,9,FALSE),
IF($A213&lt;'Pool &amp; SPA Pipe Extender'!$A$11,VLOOKUP($A213,'Pool &amp; SPA Pipe Extender'!$A$8:$M$10,9,FALSE),
IF($A213&lt;'PVC SCH80'!$A$250,VLOOKUP($A213,'PVC SCH80'!$A$8:$M$249,9,FALSE),
IF($A213&lt;'PVC SCH80 Flange'!$A$49,VLOOKUP($A213,'PVC SCH80 Flange'!$A$8:$M$48,9,FALSE),
IF($A213&lt;'PVC SCH80 LD Flange'!$A$17,VLOOKUP($A213,'PVC SCH80 LD Flange'!$A$8:$M$16,9,FALSE),
IF($A213&lt;CPVC!$A$105,VLOOKUP($A213,CPVC!$A$9:$M$104,9,FALSE),
IF($A213&lt;InsertFittings!$A$185,VLOOKUP($A213,InsertFittings!$A$9:$M$184,9,FALSE),
IF($A213&lt;Valves!$A$92,VLOOKUP($A213,Valves!$A$9:$Q$91,13,FALSE),
IF($A213&lt;SDR35SW!$A$133,VLOOKUP($A213,SDR35SW!$A$9:$M$132,9,FALSE),
IF($A213&lt;SDR35G!$A$151,VLOOKUP($A213,SDR35G!$A$9:$M$150,9,FALSE),                                                                                                                                                                                                                                                          IF($A213&lt;SDR26G!$A$67,VLOOKUP($A213,SDR26G!$A$9:$N$66,10,FALSE),                                                                                                                                                                                                                                                       IF($A213&lt;Cements!$A$95,VLOOKUP($A213,Cements!$A$8:$Q$94,13,FALSE),
IF($A213&lt;ValveBox!$A$124,VLOOKUP($A213,ValveBox!$A$9:$O$123,11,FALSE),
IF($A213&lt;'ValveBox Components'!$A$142,VLOOKUP($A213,'ValveBox Components'!$A$9:$N$141,10,FALSE),
IF($A213&lt;Drainage!$A$69,VLOOKUP($A213,Drainage!$A$8:$M$68,9,FALSE),                                                                                                                                                                                                                                                              IF($A213&lt;Nipples!$A$82,VLOOKUP($A213,Nipples!$A$9:$Q$81,13,FALSE),
IF($A213&lt;Manifold!$A$33,VLOOKUP($A213,Manifold!$A$9:$M$32,9,FALSE),
IF($A213&lt;FlexibleRepairCouplings!$A$12,VLOOKUP($A213,FlexibleRepairCouplings!$A$9:$M$11,9,FALSE),
IF($A213&lt;DuraFix!$A$15,VLOOKUP($A213,DuraFix!$A$9:$M$14,9,FALSE),                                                                                                                                                                                                                                                          IF($A213&lt;'Compression Fittings'!$A$16,VLOOKUP($A213,'Compression Fittings'!$A$8:$M$15,9,FALSE),
IF($A213&lt;'Hose Fittings'!$A$30,VLOOKUP($A213,'Hose Fittings'!$A$8:$M$29,9,FALSE),
IF($A213&lt;'Swing Joints'!$A$495,VLOOKUP($A213,'Swing Joints'!$A$9:$M$494,9,FALSE),
IF($A213&lt;'Swing Joints Components'!$A$135,VLOOKUP($A213,'Swing Joints Components'!$A$9:$M$134,9,FALSE),
IF($A213&lt;Nonstandard!$A$42,VLOOKUP($A213,Nonstandard!$A$31:$J$41,8,FALSE),"")))))))))))))))))))))))))))),"")</f>
        <v/>
      </c>
      <c r="G213" s="533" t="str">
        <f>IFERROR(IF($A213&lt;'DWV PVC'!$A$317,VLOOKUP($A213,'DWV PVC'!$A$9:$M$316,11,FALSE),
IF($A213&lt;'DWV ABS'!$A$117,VLOOKUP($A213,'DWV ABS'!$A$8:$M$116,11,FALSE),                                                                                                                                                                                                                                                     IF($A213&lt;'PVC SCH40'!$A$425,VLOOKUP($A213,'PVC SCH40'!$A$8:$M$424,11,FALSE),
IF($A213&lt;'PVC SCH40 LD'!$A$22,VLOOKUP($A213,'PVC SCH40 LD'!$A$8:$M$21,11,FALSE),
IF($A213&lt;'Pool &amp; SPA Sweep Elbows'!$A$12,VLOOKUP($A213,'Pool &amp; SPA Sweep Elbows'!$A$8:$M$11,11,FALSE),
IF($A213&lt;'Pool &amp; SPA Pipe Extender'!$A$11,VLOOKUP($A213,'Pool &amp; SPA Pipe Extender'!$A$8:$M$10,11,FALSE),
IF($A213&lt;'PVC SCH80'!$A$250,VLOOKUP($A213,'PVC SCH80'!$A$8:$M$249,11,FALSE),
IF($A213&lt;'PVC SCH80 Flange'!$A$49,VLOOKUP($A213,'PVC SCH80 Flange'!$A$8:$M$48,11,FALSE),
IF($A213&lt;'PVC SCH80 LD Flange'!$A$17,VLOOKUP($A213,'PVC SCH80 LD Flange'!$A$8:$M$16,11,FALSE),
IF($A213&lt;CPVC!$A$105,VLOOKUP($A213,CPVC!$A$9:$M$104,11,FALSE),
IF($A213&lt;InsertFittings!$A$185,VLOOKUP($A213,InsertFittings!$A$9:$M$184,11,FALSE),
IF($A213&lt;Valves!$A$92,VLOOKUP($A213,Valves!$A$9:$Q$91,15,FALSE),
IF($A213&lt;SDR35SW!$A$133,VLOOKUP($A213,SDR35SW!$A$9:$M$132,11,FALSE),
IF($A213&lt;SDR35G!$A$151,VLOOKUP($A213,SDR35G!$A$9:$M$150,11,FALSE),                                                                                                                                                                                                                                                          IF($A213&lt;SDR26G!$A$67,VLOOKUP($A213,SDR26G!$A$9:$N$66,12,FALSE),                                                                                                                                                                                                                                                       IF($A213&lt;Cements!$A$95,VLOOKUP($A213,Cements!$A$8:$Q$94,15,FALSE),
IF($A213&lt;ValveBox!$A$124,VLOOKUP($A213,ValveBox!$A$9:$O$123,13,FALSE),
IF($A213&lt;'ValveBox Components'!$A$142,VLOOKUP($A213,'ValveBox Components'!$A$9:$N$141,12,FALSE),
IF($A213&lt;Drainage!$A$69,VLOOKUP($A213,Drainage!$A$8:$M$68,11,FALSE),                                                                                                                                                                                                                                                           IF($A213&lt;Nipples!$A$82,VLOOKUP($A213,Nipples!$A$9:$Q$81,15,FALSE),
IF($A213&lt;Manifold!$A$33,VLOOKUP($A213,Manifold!$A$9:$M$32,11,FALSE),
IF($A213&lt;FlexibleRepairCouplings!$A$12,VLOOKUP($A213,FlexibleRepairCouplings!$A$9:$M$11,11,FALSE),
IF($A213&lt;DuraFix!$A$15,VLOOKUP($A213,DuraFix!$A$9:$M$14,11,FALSE),                                                                                                                                                                                                                                                            IF($A213&lt;'Compression Fittings'!$A$16,VLOOKUP($A213,'Compression Fittings'!$A$8:$M$15,11,FALSE),
IF($A213&lt;'Hose Fittings'!$A$30,VLOOKUP($A213,'Hose Fittings'!$A$8:$M$29,11,FALSE),
IF($A213&lt;'Swing Joints'!$A$495,VLOOKUP($A213,'Swing Joints'!$A$9:$M$494,11,FALSE),
IF($A213&lt;'Swing Joints Components'!$A$135,VLOOKUP($A213,'Swing Joints Components'!$A$9:$M$134,11,FALSE),
IF($A213&lt;Nonstandard!$A$42,VLOOKUP($A213,Nonstandard!$A$31:$J$41,10,FALSE),"")))))))))))))))))))))))))))),"")</f>
        <v/>
      </c>
      <c r="H213" s="618" t="str">
        <f>IFERROR(IF($A213&lt;'DWV PVC'!$A$317,VLOOKUP($A213,'DWV PVC'!$A$9:$M$316,7,FALSE),
IF($A213&lt;'DWV ABS'!$A$117,VLOOKUP($A213,'DWV ABS'!$A$8:$M$116,11,FALSE),                                                                                                                                                                                                                                                     IF($A213&lt;'PVC SCH40'!$A$425,VLOOKUP($A213,'PVC SCH40'!$A$8:$M$424,7,FALSE),
IF($A213&lt;'PVC SCH40 LD'!$A$22,VLOOKUP($A213,'PVC SCH40 LD'!$A$8:$M$21,7,FALSE),
IF($A213&lt;'Pool &amp; SPA Sweep Elbows'!$A$12,VLOOKUP($A213,'Pool &amp; SPA Sweep Elbows'!$A$8:$M$11,7,FALSE),
IF($A213&lt;'Pool &amp; SPA Pipe Extender'!$A$11,VLOOKUP($A213,'Pool &amp; SPA Pipe Extender'!$A$8:$M$10,7,FALSE),
IF($A213&lt;'PVC SCH80'!$A$250,VLOOKUP($A213,'PVC SCH80'!$A$8:$M$249,7,FALSE),
IF($A213&lt;'PVC SCH80 Flange'!$A$49,VLOOKUP($A213,'PVC SCH80 Flange'!$A$8:$M$48,7,FALSE),
IF($A213&lt;'PVC SCH80 LD Flange'!$A$17,VLOOKUP($A213,'PVC SCH80 LD Flange'!$A$8:$M$16,7,FALSE),
IF($A213&lt;CPVC!$A$105,VLOOKUP($A213,CPVC!$A$9:$M$104,7,FALSE),
IF($A213&lt;InsertFittings!$A$185,VLOOKUP($A213,InsertFittings!$A$9:$M$184,7,FALSE),
IF($A213&lt;Valves!$A$92,VLOOKUP($A213,Valves!$A$9:$Q$91,11,FALSE),
IF($A213&lt;SDR35SW!$A$133,VLOOKUP($A213,SDR35SW!$A$9:$M$132,7,FALSE),
IF($A213&lt;SDR35G!$A$151,VLOOKUP($A213,SDR35G!$A$9:$M$150,7,FALSE),                                                                                                                                                                                                                                                       IF($A213&lt;SDR26G!$A$67,VLOOKUP($A213,SDR26G!$A$9:$N$66,8,FALSE),                                                                                                                                                                                                                                                     IF($A213&lt;Cements!$A$95,VLOOKUP($A213,Cements!$A$8:$Q$94,11,FALSE),
IF($A213&lt;ValveBox!$A$124,VLOOKUP($A213,ValveBox!$A$9:$O$123,10,FALSE),
IF($A213&lt;'ValveBox Components'!$A$142,VLOOKUP($A213,'ValveBox Components'!$A$9:$N$141,9,FALSE),
IF($A213&lt;Drainage!$A$69,VLOOKUP($A213,Drainage!$A$8:$M$68,7,FALSE),                                                                                                                                                                                                                                                          IF($A213&lt;Nipples!$A$82,VLOOKUP($A213,Nipples!$A$9:$Q$81,11,FALSE),
IF($A213&lt;Manifold!$A$33,VLOOKUP($A213,Manifold!$A$9:$M$32,7,FALSE),
IF($A213&lt;FlexibleRepairCouplings!$A$12,VLOOKUP($A213,FlexibleRepairCouplings!$A$9:$M$11,7,FALSE),
IF($A213&lt;DuraFix!$A$15,VLOOKUP($A213,DuraFix!$A$9:$M$14,7,FALSE),                                                                                                                                                                                                                                                           IF($A213&lt;'Compression Fittings'!$A$16,VLOOKUP($A213,'Compression Fittings'!$A$8:$M$15,7,FALSE),
IF($A213&lt;'Hose Fittings'!$A$30,VLOOKUP($A213,'Hose Fittings'!$A$8:$M$29,7,FALSE),
IF($A213&lt;'Swing Joints'!$A$495,VLOOKUP($A213,'Swing Joints'!$A$9:$M$494,7,FALSE),
IF($A213&lt;'Swing Joints Components'!$A$135,VLOOKUP($A213,'Swing Joints Components'!$A$9:$M$134,7,FALSE),
IF($A213&lt;Nonstandard!$A$42,VLOOKUP($A213,Nonstandard!$A$31:$J$41,10,FALSE),"")))))))))))))))))))))))))))),"")</f>
        <v/>
      </c>
      <c r="I213" s="619"/>
      <c r="J213" s="281" t="str">
        <f t="shared" si="5"/>
        <v/>
      </c>
      <c r="K213" s="313" t="str">
        <f>IFERROR(IF($A213&lt;'DWV PVC'!$A$317,VLOOKUP($A213,'DWV PVC'!$A$9:$M$316,10,FALSE),
IF($A213&lt;'DWV ABS'!$A$117,VLOOKUP($A213,'DWV ABS'!$A$8:$M$116,10,FALSE),
IF($A213&lt;'PVC SCH40'!$A$425,VLOOKUP($A213,'PVC SCH40'!$A$8:$M$424,10,FALSE),
IF($A213&lt;'PVC SCH40 LD'!$A$22,VLOOKUP($A213,'PVC SCH40 LD'!$A$8:$M$21,10,FALSE),
IF($A213&lt;'Pool &amp; SPA Sweep Elbows'!$A$12,VLOOKUP($A213,'Pool &amp; SPA Sweep Elbows'!$A$8:$M$11,10,FALSE),
IF($A213&lt;'Pool &amp; SPA Pipe Extender'!$A$11,VLOOKUP($A213,'Pool &amp; SPA Pipe Extender'!$A$8:$M$10,10,FALSE),
IF($A213&lt;'PVC SCH80'!$A$250,VLOOKUP($A213,'PVC SCH80'!$A$8:$M$249,10,FALSE),
IF($A213&lt;'PVC SCH80 Flange'!$A$49,VLOOKUP($A213,'PVC SCH80 Flange'!$A$8:$M$48,10,FALSE),
IF($A213&lt;'PVC SCH80 LD Flange'!$A$17,VLOOKUP($A213,'PVC SCH80 LD Flange'!$A$8:$M$16,10,FALSE),
IF($A213&lt;CPVC!$A$105,VLOOKUP($A213,CPVC!$A$9:$M$104,10,FALSE),
IF($A213&lt;InsertFittings!$A$185,VLOOKUP($A213,InsertFittings!$A$9:$M$184,10,FALSE),
IF($A213&lt;Valves!$A$92,VLOOKUP($A213,Valves!$A$9:$Q$91,14,FALSE),
IF($A213&lt;SDR35SW!$A$133,VLOOKUP($A213,SDR35SW!$A$9:$M$132,10,FALSE),
IF($A213&lt;SDR35G!$A$151,VLOOKUP($A213,SDR35G!$A$9:$M$150,10,FALSE),
IF($A213&lt;SDR26G!$A$67,VLOOKUP($A213,SDR26G!$A$9:$N$66,11,FALSE),
IF($A213&lt;Cements!$A$95,VLOOKUP($A213,Cements!$A$8:$Q$94,14,FALSE),
IF($A213&lt;ValveBox!$A$124,VLOOKUP($A213,ValveBox!$A$9:$O$123,12,FALSE),
IF($A213&lt;'ValveBox Components'!$A$142,VLOOKUP($A213,'ValveBox Components'!$A$9:$N$141,11,FALSE),
IF($A213&lt;Drainage!$A$69,VLOOKUP($A213,Drainage!$A$8:$M$68,10,FALSE),
IF($A213&lt;Nipples!$A$82,VLOOKUP($A213,Nipples!$A$9:$Q$81,14,FALSE),
IF($A213&lt;Manifold!$A$33,VLOOKUP($A213,Manifold!$A$9:$M$32,10,FALSE),
IF($A213&lt;FlexibleRepairCouplings!$A$12,VLOOKUP($A213,FlexibleRepairCouplings!$A$9:$M$11,10,FALSE),
IF($A213&lt;DuraFix!$A$15,VLOOKUP($A213,DuraFix!$A$9:$M$14,10,FALSE),
IF($A213&lt;'Compression Fittings'!$A$16,VLOOKUP($A213,'Compression Fittings'!$A$8:$M$15,10,FALSE),
IF($A213&lt;'Hose Fittings'!$A$30,VLOOKUP($A213,'Hose Fittings'!$A$8:$M$29,10,FALSE),
IF($A213&lt;'Swing Joints'!$A$495,VLOOKUP($A213,'Swing Joints'!$A$9:$M$494,10,FALSE),
IF($A213&lt;'Swing Joints Components'!$A$135,VLOOKUP($A213,'Swing Joints Components'!$A$9:$M$134,10,FALSE),
IF($A213&lt;Nonstandard!$A$42,VLOOKUP($A213,Nonstandard!$A$31:$J$41,10,FALSE),"")))))))))))))))))))))))))))),"")</f>
        <v/>
      </c>
      <c r="L213" s="314" t="str">
        <f t="shared" si="4"/>
        <v>-</v>
      </c>
      <c r="M213" s="315"/>
    </row>
    <row r="214" spans="1:13" ht="15.6">
      <c r="A214" s="536">
        <v>182</v>
      </c>
      <c r="B214" s="536" t="str">
        <f>IFERROR(IF($A214&lt;'DWV PVC'!$A$317,VLOOKUP($A214,'DWV PVC'!$A$9:$M$316,4,FALSE),
IF($A214&lt;'DWV ABS'!$A$117,VLOOKUP($A214,'DWV ABS'!$A$8:$M$116,4,FALSE),
IF($A214&lt;'PVC SCH40'!$A$425,VLOOKUP($A214,'PVC SCH40'!$A$8:$M$424,4,FALSE),
IF($A214&lt;'PVC SCH40 LD'!$A$22,VLOOKUP($A214,'PVC SCH40 LD'!$A$8:$M$21,4,FALSE),
IF($A214&lt;'Pool &amp; SPA Sweep Elbows'!$A$12,VLOOKUP($A214,'Pool &amp; SPA Sweep Elbows'!$A$8:$M$11,4,FALSE),
IF($A214&lt;'Pool &amp; SPA Pipe Extender'!$A$11,VLOOKUP($A214,'Pool &amp; SPA Pipe Extender'!$A$8:$M$10,4,FALSE),
IF($A214&lt;'PVC SCH80'!$A$250,VLOOKUP($A214,'PVC SCH80'!$A$8:$M$249,4,FALSE),
IF($A214&lt;'PVC SCH80 Flange'!$A$49,VLOOKUP($A214,'PVC SCH80 Flange'!$A$8:$M$48,4,FALSE),
IF($A214&lt;'PVC SCH80 LD Flange'!$A$17,VLOOKUP($A214,'PVC SCH80 LD Flange'!$A$8:$M$16,4,FALSE),
IF($A214&lt;CPVC!$A$105,VLOOKUP($A214,CPVC!$A$9:$M$104,4,FALSE),
IF($A214&lt;InsertFittings!$A$185,VLOOKUP($A214,InsertFittings!$A$9:$M$184,4,FALSE),
IF($A214&lt;Valves!$A$92,VLOOKUP($A214,Valves!$A$9:$Q$91,4,FALSE),
IF($A214&lt;SDR35SW!$A$133,VLOOKUP($A214,SDR35SW!$A$9:$M$132,4,FALSE),
IF($A214&lt;SDR35G!$A$151,VLOOKUP($A214,SDR35G!$A$9:$M$150,4,FALSE),
IF($A214&lt;SDR26G!$A$67,VLOOKUP($A214,SDR26G!$A$9:$N$66,5,FALSE),
IF($A214&lt;Cements!$A$95,VLOOKUP($A214,Cements!$A$8:$Q$94,4,FALSE),
IF($A214&lt;ValveBox!$A$124,VLOOKUP($A214,ValveBox!$A$9:$O$123,4,FALSE),
IF($A214&lt;'ValveBox Components'!$A$142,VLOOKUP($A214,'ValveBox Components'!$A$9:$N$141,4,FALSE),
IF($A214&lt;Drainage!$A$69,VLOOKUP($A214,Drainage!$A$8:$M$68,4,FALSE),
IF($A214&lt;Nipples!$A$82,VLOOKUP($A214,Nipples!$A$9:$Q$81,4,FALSE),
IF($A214&lt;Manifold!$A$33,VLOOKUP($A214,Manifold!$A$9:$M$32,4,FALSE),
IF($A214&lt;FlexibleRepairCouplings!$A$12,VLOOKUP($A214,FlexibleRepairCouplings!$A$9:$M$11,4,FALSE),
IF($A214&lt;DuraFix!$A$15,VLOOKUP($A214,DuraFix!$A$9:$M$14,4,FALSE),
IF($A214&lt;'Compression Fittings'!$A$16,VLOOKUP($A214,'Compression Fittings'!$A$8:$M$15,4,FALSE),
IF($A214&lt;'Hose Fittings'!$A$30,VLOOKUP($A214,'Hose Fittings'!$A$8:$M$29,4,FALSE),
IF($A214&lt;'Swing Joints'!$A$495,VLOOKUP($A214,'Swing Joints'!$A$9:$M$494,4,FALSE),
IF($A214&lt;'Swing Joints Components'!$A$135,VLOOKUP($A214,'Swing Joints Components'!$A$9:$M$134,4,FALSE),
IF($A214&lt;Nonstandard!$A$42,VLOOKUP($A214,Nonstandard!$A$31:$J$41,5,FALSE),"")))))))))))))))))))))))))))),"")</f>
        <v/>
      </c>
      <c r="C214" s="536" t="str">
        <f>IFERROR(IF($A214&lt;'DWV PVC'!$A$317,VLOOKUP($A214,'DWV PVC'!$A$9:$M$316,5,FALSE),
IF($A214&lt;'DWV ABS'!$A$117,VLOOKUP($A214,'DWV ABS'!$A$8:$M$116,5,FALSE),
IF($A214&lt;'PVC SCH40'!$A$425,VLOOKUP($A214,'PVC SCH40'!$A$8:$M$424,5,FALSE),
IF($A214&lt;'PVC SCH40 LD'!$A$22,VLOOKUP($A214,'PVC SCH40 LD'!$A$8:$M$21,5,FALSE),
IF($A214&lt;'Pool &amp; SPA Sweep Elbows'!$A$12,VLOOKUP($A214,'Pool &amp; SPA Sweep Elbows'!$A$8:$M$11,5,FALSE),
IF($A214&lt;'Pool &amp; SPA Pipe Extender'!$A$11,VLOOKUP($A214,'Pool &amp; SPA Pipe Extender'!$A$8:$M$10,5,FALSE),
IF($A214&lt;'PVC SCH80'!$A$250,VLOOKUP($A214,'PVC SCH80'!$A$8:$M$249,5,FALSE),
IF($A214&lt;'PVC SCH80 Flange'!$A$49,VLOOKUP($A214,'PVC SCH80 Flange'!$A$8:$M$48,5,FALSE),
IF($A214&lt;'PVC SCH80 LD Flange'!$A$17,VLOOKUP($A214,'PVC SCH80 LD Flange'!$A$8:$M$16,5,FALSE),
IF($A214&lt;CPVC!$A$105,VLOOKUP($A214,CPVC!$A$9:$M$104,5,FALSE),
IF($A214&lt;InsertFittings!$A$185,VLOOKUP($A214,InsertFittings!$A$9:$M$184,5,FALSE),
IF($A214&lt;Valves!$A$92,VLOOKUP($A214,Valves!$A$9:$Q$91,5,FALSE),
IF($A214&lt;SDR35SW!$A$133,VLOOKUP($A214,SDR35SW!$A$9:$M$132,5,FALSE),
IF($A214&lt;SDR35G!$A$151,VLOOKUP($A214,SDR35G!$A$9:$M$150,5,FALSE),
IF($A214&lt;SDR26G!$A$67,VLOOKUP($A214,SDR26G!$A$9:$N$66,6,FALSE),
IF($A214&lt;Cements!$A$95,VLOOKUP($A214,Cements!$A$8:$Q$94,5,FALSE),
IF($A214&lt;ValveBox!$A$124,VLOOKUP($A214,ValveBox!$A$9:$O$123,5,FALSE),
IF($A214&lt;'ValveBox Components'!$A$142,VLOOKUP($A214,'ValveBox Components'!$A$9:$N$141,5,FALSE),
IF($A214&lt;Drainage!$A$69,VLOOKUP($A214,Drainage!$A$8:$M$68,5,FALSE),
IF($A214&lt;Nipples!$A$82,VLOOKUP($A214,Nipples!$A$9:$Q$81,5,FALSE),
IF($A214&lt;Manifold!$A$33,VLOOKUP($A214,Manifold!$A$9:$M$32,5,FALSE),
IF($A214&lt;FlexibleRepairCouplings!$A$12,VLOOKUP($A214,FlexibleRepairCouplings!$A$9:$M$11,5,FALSE),
IF($A214&lt;DuraFix!$A$15,VLOOKUP($A214,DuraFix!$A$9:$M$14,5,FALSE),
IF($A214&lt;'Compression Fittings'!$A$16,VLOOKUP($A214,'Compression Fittings'!$A$8:$M$15,5,FALSE),
IF($A214&lt;'Hose Fittings'!$A$30,VLOOKUP($A214,'Hose Fittings'!$A$8:$M$29,5,FALSE),
IF($A214&lt;'Swing Joints'!$A$495,VLOOKUP($A214,'Swing Joints'!$A$9:$M$494,5,FALSE),
IF($A214&lt;'Swing Joints Components'!$A$135,VLOOKUP($A214,'Swing Joints Components'!$A$9:$M$134,5,FALSE),
IF($A214&lt;Nonstandard!$A$42,VLOOKUP($A214,Nonstandard!$A$31:$J$41,6,FALSE),"")))))))))))))))))))))))))))),"")</f>
        <v/>
      </c>
      <c r="D214" s="537" t="str">
        <f>IFERROR(IF($A214&lt;'DWV PVC'!$A$317,VLOOKUP($A214,'DWV PVC'!$A$9:$M$316,6,FALSE),
IF($A214&lt;'DWV ABS'!$A$117,VLOOKUP($A214,'DWV ABS'!$A$8:$M$116,6,FALSE),
IF($A214&lt;'PVC SCH40'!$A$425,VLOOKUP($A214,'PVC SCH40'!$A$8:$M$424,6,FALSE),
IF($A214&lt;'PVC SCH40 LD'!$A$22,VLOOKUP($A214,'PVC SCH40 LD'!$A$8:$M$21,6,FALSE),
IF($A214&lt;'Pool &amp; SPA Sweep Elbows'!$A$12,VLOOKUP($A214,'Pool &amp; SPA Sweep Elbows'!$A$8:$M$11,6,FALSE),
IF($A214&lt;'Pool &amp; SPA Pipe Extender'!$A$11,VLOOKUP($A214,'Pool &amp; SPA Pipe Extender'!$A$8:$M$10,6,FALSE),
IF($A214&lt;'PVC SCH80'!$A$250,VLOOKUP($A214,'PVC SCH80'!$A$8:$M$249,6,FALSE),
IF($A214&lt;'PVC SCH80 Flange'!$A$49,VLOOKUP($A214,'PVC SCH80 Flange'!$A$8:$M$48,6,FALSE),
IF($A214&lt;'PVC SCH80 LD Flange'!$A$17,VLOOKUP($A214,'PVC SCH80 LD Flange'!$A$8:$M$16,6,FALSE),
IF($A214&lt;CPVC!$A$105,VLOOKUP($A214,CPVC!$A$9:$M$104,6,FALSE),
IF($A214&lt;InsertFittings!$A$185,VLOOKUP($A214,InsertFittings!$A$9:$M$184,6,FALSE),
IF($A214&lt;Valves!$A$92,VLOOKUP($A214,Valves!$A$9:$Q$91,6,FALSE),
IF($A214&lt;SDR35SW!$A$133,VLOOKUP($A214,SDR35SW!$A$9:$M$132,6,FALSE),
IF($A214&lt;SDR35G!$A$151,VLOOKUP($A214,SDR35G!$A$9:$M$150,6,FALSE),
IF($A214&lt;SDR26G!$A$67,VLOOKUP($A214,SDR26G!$A$9:$N$66,7,FALSE),
IF($A214&lt;Cements!$A$95,VLOOKUP($A214,Cements!$A$8:$Q$94,6,FALSE),
IF($A214&lt;ValveBox!$A$124,VLOOKUP($A214,ValveBox!$A$9:$O$123,6,FALSE),
IF($A214&lt;'ValveBox Components'!$A$142,VLOOKUP($A214,'ValveBox Components'!$A$9:$N$141,6,FALSE),
IF($A214&lt;Drainage!$A$69,VLOOKUP($A214,Drainage!$A$8:$M$68,6,FALSE),
IF($A214&lt;Nipples!$A$82,VLOOKUP($A214,Nipples!$A$9:$Q$81,6,FALSE),
IF($A214&lt;Manifold!$A$33,VLOOKUP($A214,Manifold!$A$9:$M$32,6,FALSE),
IF($A214&lt;FlexibleRepairCouplings!$A$12,VLOOKUP($A214,FlexibleRepairCouplings!$A$9:$M$11,6,FALSE),
IF($A214&lt;DuraFix!$A$15,VLOOKUP($A214,DuraFix!$A$9:$M$14,6,FALSE),
IF($A214&lt;'Compression Fittings'!$A$16,VLOOKUP($A214,'Compression Fittings'!$A$8:$M$15,6,FALSE),
IF($A214&lt;'Hose Fittings'!$A$30,VLOOKUP($A214,'Hose Fittings'!$A$8:$M$29,6,FALSE),
IF($A214&lt;'Swing Joints'!$A$495,VLOOKUP($A214,'Swing Joints'!$A$9:$M$494,6,FALSE),
IF($A214&lt;'Swing Joints Components'!$A$135,VLOOKUP($A214,'Swing Joints Components'!$A$9:$M$134,6,FALSE),
IF($A214&lt;Nonstandard!$A$42,VLOOKUP($A214,Nonstandard!$A$31:$J$41,7,FALSE),"")))))))))))))))))))))))))))),"")</f>
        <v/>
      </c>
      <c r="E214" s="538"/>
      <c r="F214" s="539" t="str">
        <f>IFERROR(IF($A214&lt;'DWV PVC'!$A$317,VLOOKUP($A214,'DWV PVC'!$A$9:$M$316,9,FALSE),
IF($A214&lt;'DWV ABS'!$A$117,VLOOKUP($A214,'DWV ABS'!$A$8:$M$116,9,FALSE),                                                                                                                                                                                                                                                     IF($A214&lt;'PVC SCH40'!$A$425,VLOOKUP($A214,'PVC SCH40'!$A$8:$M$424,9,FALSE),
IF($A214&lt;'PVC SCH40 LD'!$A$22,VLOOKUP($A214,'PVC SCH40 LD'!$A$8:$M$21,9,FALSE),
IF($A214&lt;'Pool &amp; SPA Sweep Elbows'!$A$12,VLOOKUP($A214,'Pool &amp; SPA Sweep Elbows'!$A$8:$M$11,9,FALSE),
IF($A214&lt;'Pool &amp; SPA Pipe Extender'!$A$11,VLOOKUP($A214,'Pool &amp; SPA Pipe Extender'!$A$8:$M$10,9,FALSE),
IF($A214&lt;'PVC SCH80'!$A$250,VLOOKUP($A214,'PVC SCH80'!$A$8:$M$249,9,FALSE),
IF($A214&lt;'PVC SCH80 Flange'!$A$49,VLOOKUP($A214,'PVC SCH80 Flange'!$A$8:$M$48,9,FALSE),
IF($A214&lt;'PVC SCH80 LD Flange'!$A$17,VLOOKUP($A214,'PVC SCH80 LD Flange'!$A$8:$M$16,9,FALSE),
IF($A214&lt;CPVC!$A$105,VLOOKUP($A214,CPVC!$A$9:$M$104,9,FALSE),
IF($A214&lt;InsertFittings!$A$185,VLOOKUP($A214,InsertFittings!$A$9:$M$184,9,FALSE),
IF($A214&lt;Valves!$A$92,VLOOKUP($A214,Valves!$A$9:$Q$91,13,FALSE),
IF($A214&lt;SDR35SW!$A$133,VLOOKUP($A214,SDR35SW!$A$9:$M$132,9,FALSE),
IF($A214&lt;SDR35G!$A$151,VLOOKUP($A214,SDR35G!$A$9:$M$150,9,FALSE),                                                                                                                                                                                                                                                          IF($A214&lt;SDR26G!$A$67,VLOOKUP($A214,SDR26G!$A$9:$N$66,10,FALSE),                                                                                                                                                                                                                                                       IF($A214&lt;Cements!$A$95,VLOOKUP($A214,Cements!$A$8:$Q$94,13,FALSE),
IF($A214&lt;ValveBox!$A$124,VLOOKUP($A214,ValveBox!$A$9:$O$123,11,FALSE),
IF($A214&lt;'ValveBox Components'!$A$142,VLOOKUP($A214,'ValveBox Components'!$A$9:$N$141,10,FALSE),
IF($A214&lt;Drainage!$A$69,VLOOKUP($A214,Drainage!$A$8:$M$68,9,FALSE),                                                                                                                                                                                                                                                              IF($A214&lt;Nipples!$A$82,VLOOKUP($A214,Nipples!$A$9:$Q$81,13,FALSE),
IF($A214&lt;Manifold!$A$33,VLOOKUP($A214,Manifold!$A$9:$M$32,9,FALSE),
IF($A214&lt;FlexibleRepairCouplings!$A$12,VLOOKUP($A214,FlexibleRepairCouplings!$A$9:$M$11,9,FALSE),
IF($A214&lt;DuraFix!$A$15,VLOOKUP($A214,DuraFix!$A$9:$M$14,9,FALSE),                                                                                                                                                                                                                                                          IF($A214&lt;'Compression Fittings'!$A$16,VLOOKUP($A214,'Compression Fittings'!$A$8:$M$15,9,FALSE),
IF($A214&lt;'Hose Fittings'!$A$30,VLOOKUP($A214,'Hose Fittings'!$A$8:$M$29,9,FALSE),
IF($A214&lt;'Swing Joints'!$A$495,VLOOKUP($A214,'Swing Joints'!$A$9:$M$494,9,FALSE),
IF($A214&lt;'Swing Joints Components'!$A$135,VLOOKUP($A214,'Swing Joints Components'!$A$9:$M$134,9,FALSE),
IF($A214&lt;Nonstandard!$A$42,VLOOKUP($A214,Nonstandard!$A$31:$J$41,8,FALSE),"")))))))))))))))))))))))))))),"")</f>
        <v/>
      </c>
      <c r="G214" s="540" t="str">
        <f>IFERROR(IF($A214&lt;'DWV PVC'!$A$317,VLOOKUP($A214,'DWV PVC'!$A$9:$M$316,11,FALSE),
IF($A214&lt;'DWV ABS'!$A$117,VLOOKUP($A214,'DWV ABS'!$A$8:$M$116,11,FALSE),                                                                                                                                                                                                                                                     IF($A214&lt;'PVC SCH40'!$A$425,VLOOKUP($A214,'PVC SCH40'!$A$8:$M$424,11,FALSE),
IF($A214&lt;'PVC SCH40 LD'!$A$22,VLOOKUP($A214,'PVC SCH40 LD'!$A$8:$M$21,11,FALSE),
IF($A214&lt;'Pool &amp; SPA Sweep Elbows'!$A$12,VLOOKUP($A214,'Pool &amp; SPA Sweep Elbows'!$A$8:$M$11,11,FALSE),
IF($A214&lt;'Pool &amp; SPA Pipe Extender'!$A$11,VLOOKUP($A214,'Pool &amp; SPA Pipe Extender'!$A$8:$M$10,11,FALSE),
IF($A214&lt;'PVC SCH80'!$A$250,VLOOKUP($A214,'PVC SCH80'!$A$8:$M$249,11,FALSE),
IF($A214&lt;'PVC SCH80 Flange'!$A$49,VLOOKUP($A214,'PVC SCH80 Flange'!$A$8:$M$48,11,FALSE),
IF($A214&lt;'PVC SCH80 LD Flange'!$A$17,VLOOKUP($A214,'PVC SCH80 LD Flange'!$A$8:$M$16,11,FALSE),
IF($A214&lt;CPVC!$A$105,VLOOKUP($A214,CPVC!$A$9:$M$104,11,FALSE),
IF($A214&lt;InsertFittings!$A$185,VLOOKUP($A214,InsertFittings!$A$9:$M$184,11,FALSE),
IF($A214&lt;Valves!$A$92,VLOOKUP($A214,Valves!$A$9:$Q$91,15,FALSE),
IF($A214&lt;SDR35SW!$A$133,VLOOKUP($A214,SDR35SW!$A$9:$M$132,11,FALSE),
IF($A214&lt;SDR35G!$A$151,VLOOKUP($A214,SDR35G!$A$9:$M$150,11,FALSE),                                                                                                                                                                                                                                                          IF($A214&lt;SDR26G!$A$67,VLOOKUP($A214,SDR26G!$A$9:$N$66,12,FALSE),                                                                                                                                                                                                                                                       IF($A214&lt;Cements!$A$95,VLOOKUP($A214,Cements!$A$8:$Q$94,15,FALSE),
IF($A214&lt;ValveBox!$A$124,VLOOKUP($A214,ValveBox!$A$9:$O$123,13,FALSE),
IF($A214&lt;'ValveBox Components'!$A$142,VLOOKUP($A214,'ValveBox Components'!$A$9:$N$141,12,FALSE),
IF($A214&lt;Drainage!$A$69,VLOOKUP($A214,Drainage!$A$8:$M$68,11,FALSE),                                                                                                                                                                                                                                                           IF($A214&lt;Nipples!$A$82,VLOOKUP($A214,Nipples!$A$9:$Q$81,15,FALSE),
IF($A214&lt;Manifold!$A$33,VLOOKUP($A214,Manifold!$A$9:$M$32,11,FALSE),
IF($A214&lt;FlexibleRepairCouplings!$A$12,VLOOKUP($A214,FlexibleRepairCouplings!$A$9:$M$11,11,FALSE),
IF($A214&lt;DuraFix!$A$15,VLOOKUP($A214,DuraFix!$A$9:$M$14,11,FALSE),                                                                                                                                                                                                                                                            IF($A214&lt;'Compression Fittings'!$A$16,VLOOKUP($A214,'Compression Fittings'!$A$8:$M$15,11,FALSE),
IF($A214&lt;'Hose Fittings'!$A$30,VLOOKUP($A214,'Hose Fittings'!$A$8:$M$29,11,FALSE),
IF($A214&lt;'Swing Joints'!$A$495,VLOOKUP($A214,'Swing Joints'!$A$9:$M$494,11,FALSE),
IF($A214&lt;'Swing Joints Components'!$A$135,VLOOKUP($A214,'Swing Joints Components'!$A$9:$M$134,11,FALSE),
IF($A214&lt;Nonstandard!$A$42,VLOOKUP($A214,Nonstandard!$A$31:$J$41,10,FALSE),"")))))))))))))))))))))))))))),"")</f>
        <v/>
      </c>
      <c r="H214" s="620" t="str">
        <f>IFERROR(IF($A214&lt;'DWV PVC'!$A$317,VLOOKUP($A214,'DWV PVC'!$A$9:$M$316,7,FALSE),
IF($A214&lt;'DWV ABS'!$A$117,VLOOKUP($A214,'DWV ABS'!$A$8:$M$116,11,FALSE),                                                                                                                                                                                                                                                     IF($A214&lt;'PVC SCH40'!$A$425,VLOOKUP($A214,'PVC SCH40'!$A$8:$M$424,7,FALSE),
IF($A214&lt;'PVC SCH40 LD'!$A$22,VLOOKUP($A214,'PVC SCH40 LD'!$A$8:$M$21,7,FALSE),
IF($A214&lt;'Pool &amp; SPA Sweep Elbows'!$A$12,VLOOKUP($A214,'Pool &amp; SPA Sweep Elbows'!$A$8:$M$11,7,FALSE),
IF($A214&lt;'Pool &amp; SPA Pipe Extender'!$A$11,VLOOKUP($A214,'Pool &amp; SPA Pipe Extender'!$A$8:$M$10,7,FALSE),
IF($A214&lt;'PVC SCH80'!$A$250,VLOOKUP($A214,'PVC SCH80'!$A$8:$M$249,7,FALSE),
IF($A214&lt;'PVC SCH80 Flange'!$A$49,VLOOKUP($A214,'PVC SCH80 Flange'!$A$8:$M$48,7,FALSE),
IF($A214&lt;'PVC SCH80 LD Flange'!$A$17,VLOOKUP($A214,'PVC SCH80 LD Flange'!$A$8:$M$16,7,FALSE),
IF($A214&lt;CPVC!$A$105,VLOOKUP($A214,CPVC!$A$9:$M$104,7,FALSE),
IF($A214&lt;InsertFittings!$A$185,VLOOKUP($A214,InsertFittings!$A$9:$M$184,7,FALSE),
IF($A214&lt;Valves!$A$92,VLOOKUP($A214,Valves!$A$9:$Q$91,11,FALSE),
IF($A214&lt;SDR35SW!$A$133,VLOOKUP($A214,SDR35SW!$A$9:$M$132,7,FALSE),
IF($A214&lt;SDR35G!$A$151,VLOOKUP($A214,SDR35G!$A$9:$M$150,7,FALSE),                                                                                                                                                                                                                                                       IF($A214&lt;SDR26G!$A$67,VLOOKUP($A214,SDR26G!$A$9:$N$66,8,FALSE),                                                                                                                                                                                                                                                     IF($A214&lt;Cements!$A$95,VLOOKUP($A214,Cements!$A$8:$Q$94,11,FALSE),
IF($A214&lt;ValveBox!$A$124,VLOOKUP($A214,ValveBox!$A$9:$O$123,10,FALSE),
IF($A214&lt;'ValveBox Components'!$A$142,VLOOKUP($A214,'ValveBox Components'!$A$9:$N$141,9,FALSE),
IF($A214&lt;Drainage!$A$69,VLOOKUP($A214,Drainage!$A$8:$M$68,7,FALSE),                                                                                                                                                                                                                                                          IF($A214&lt;Nipples!$A$82,VLOOKUP($A214,Nipples!$A$9:$Q$81,11,FALSE),
IF($A214&lt;Manifold!$A$33,VLOOKUP($A214,Manifold!$A$9:$M$32,7,FALSE),
IF($A214&lt;FlexibleRepairCouplings!$A$12,VLOOKUP($A214,FlexibleRepairCouplings!$A$9:$M$11,7,FALSE),
IF($A214&lt;DuraFix!$A$15,VLOOKUP($A214,DuraFix!$A$9:$M$14,7,FALSE),                                                                                                                                                                                                                                                           IF($A214&lt;'Compression Fittings'!$A$16,VLOOKUP($A214,'Compression Fittings'!$A$8:$M$15,7,FALSE),
IF($A214&lt;'Hose Fittings'!$A$30,VLOOKUP($A214,'Hose Fittings'!$A$8:$M$29,7,FALSE),
IF($A214&lt;'Swing Joints'!$A$495,VLOOKUP($A214,'Swing Joints'!$A$9:$M$494,7,FALSE),
IF($A214&lt;'Swing Joints Components'!$A$135,VLOOKUP($A214,'Swing Joints Components'!$A$9:$M$134,7,FALSE),
IF($A214&lt;Nonstandard!$A$42,VLOOKUP($A214,Nonstandard!$A$31:$J$41,10,FALSE),"")))))))))))))))))))))))))))),"")</f>
        <v/>
      </c>
      <c r="I214" s="621"/>
      <c r="J214" s="541" t="str">
        <f t="shared" si="5"/>
        <v/>
      </c>
      <c r="K214" s="599" t="str">
        <f>IFERROR(IF($A214&lt;'DWV PVC'!$A$317,VLOOKUP($A214,'DWV PVC'!$A$9:$M$316,10,FALSE),
IF($A214&lt;'DWV ABS'!$A$117,VLOOKUP($A214,'DWV ABS'!$A$8:$M$116,10,FALSE),
IF($A214&lt;'PVC SCH40'!$A$425,VLOOKUP($A214,'PVC SCH40'!$A$8:$M$424,10,FALSE),
IF($A214&lt;'PVC SCH40 LD'!$A$22,VLOOKUP($A214,'PVC SCH40 LD'!$A$8:$M$21,10,FALSE),
IF($A214&lt;'Pool &amp; SPA Sweep Elbows'!$A$12,VLOOKUP($A214,'Pool &amp; SPA Sweep Elbows'!$A$8:$M$11,10,FALSE),
IF($A214&lt;'Pool &amp; SPA Pipe Extender'!$A$11,VLOOKUP($A214,'Pool &amp; SPA Pipe Extender'!$A$8:$M$10,10,FALSE),
IF($A214&lt;'PVC SCH80'!$A$250,VLOOKUP($A214,'PVC SCH80'!$A$8:$M$249,10,FALSE),
IF($A214&lt;'PVC SCH80 Flange'!$A$49,VLOOKUP($A214,'PVC SCH80 Flange'!$A$8:$M$48,10,FALSE),
IF($A214&lt;'PVC SCH80 LD Flange'!$A$17,VLOOKUP($A214,'PVC SCH80 LD Flange'!$A$8:$M$16,10,FALSE),
IF($A214&lt;CPVC!$A$105,VLOOKUP($A214,CPVC!$A$9:$M$104,10,FALSE),
IF($A214&lt;InsertFittings!$A$185,VLOOKUP($A214,InsertFittings!$A$9:$M$184,10,FALSE),
IF($A214&lt;Valves!$A$92,VLOOKUP($A214,Valves!$A$9:$Q$91,14,FALSE),
IF($A214&lt;SDR35SW!$A$133,VLOOKUP($A214,SDR35SW!$A$9:$M$132,10,FALSE),
IF($A214&lt;SDR35G!$A$151,VLOOKUP($A214,SDR35G!$A$9:$M$150,10,FALSE),
IF($A214&lt;SDR26G!$A$67,VLOOKUP($A214,SDR26G!$A$9:$N$66,11,FALSE),
IF($A214&lt;Cements!$A$95,VLOOKUP($A214,Cements!$A$8:$Q$94,14,FALSE),
IF($A214&lt;ValveBox!$A$124,VLOOKUP($A214,ValveBox!$A$9:$O$123,12,FALSE),
IF($A214&lt;'ValveBox Components'!$A$142,VLOOKUP($A214,'ValveBox Components'!$A$9:$N$141,11,FALSE),
IF($A214&lt;Drainage!$A$69,VLOOKUP($A214,Drainage!$A$8:$M$68,10,FALSE),
IF($A214&lt;Nipples!$A$82,VLOOKUP($A214,Nipples!$A$9:$Q$81,14,FALSE),
IF($A214&lt;Manifold!$A$33,VLOOKUP($A214,Manifold!$A$9:$M$32,10,FALSE),
IF($A214&lt;FlexibleRepairCouplings!$A$12,VLOOKUP($A214,FlexibleRepairCouplings!$A$9:$M$11,10,FALSE),
IF($A214&lt;DuraFix!$A$15,VLOOKUP($A214,DuraFix!$A$9:$M$14,10,FALSE),
IF($A214&lt;'Compression Fittings'!$A$16,VLOOKUP($A214,'Compression Fittings'!$A$8:$M$15,10,FALSE),
IF($A214&lt;'Hose Fittings'!$A$30,VLOOKUP($A214,'Hose Fittings'!$A$8:$M$29,10,FALSE),
IF($A214&lt;'Swing Joints'!$A$495,VLOOKUP($A214,'Swing Joints'!$A$9:$M$494,10,FALSE),
IF($A214&lt;'Swing Joints Components'!$A$135,VLOOKUP($A214,'Swing Joints Components'!$A$9:$M$134,10,FALSE),
IF($A214&lt;Nonstandard!$A$42,VLOOKUP($A214,Nonstandard!$A$31:$J$41,10,FALSE),"")))))))))))))))))))))))))))),"")</f>
        <v/>
      </c>
      <c r="L214" s="539" t="str">
        <f t="shared" si="4"/>
        <v>-</v>
      </c>
      <c r="M214" s="542"/>
    </row>
    <row r="215" spans="1:13" ht="15.6">
      <c r="A215" s="312">
        <v>183</v>
      </c>
      <c r="B215" s="312" t="str">
        <f>IFERROR(IF($A215&lt;'DWV PVC'!$A$317,VLOOKUP($A215,'DWV PVC'!$A$9:$M$316,4,FALSE),
IF($A215&lt;'DWV ABS'!$A$117,VLOOKUP($A215,'DWV ABS'!$A$8:$M$116,4,FALSE),
IF($A215&lt;'PVC SCH40'!$A$425,VLOOKUP($A215,'PVC SCH40'!$A$8:$M$424,4,FALSE),
IF($A215&lt;'PVC SCH40 LD'!$A$22,VLOOKUP($A215,'PVC SCH40 LD'!$A$8:$M$21,4,FALSE),
IF($A215&lt;'Pool &amp; SPA Sweep Elbows'!$A$12,VLOOKUP($A215,'Pool &amp; SPA Sweep Elbows'!$A$8:$M$11,4,FALSE),
IF($A215&lt;'Pool &amp; SPA Pipe Extender'!$A$11,VLOOKUP($A215,'Pool &amp; SPA Pipe Extender'!$A$8:$M$10,4,FALSE),
IF($A215&lt;'PVC SCH80'!$A$250,VLOOKUP($A215,'PVC SCH80'!$A$8:$M$249,4,FALSE),
IF($A215&lt;'PVC SCH80 Flange'!$A$49,VLOOKUP($A215,'PVC SCH80 Flange'!$A$8:$M$48,4,FALSE),
IF($A215&lt;'PVC SCH80 LD Flange'!$A$17,VLOOKUP($A215,'PVC SCH80 LD Flange'!$A$8:$M$16,4,FALSE),
IF($A215&lt;CPVC!$A$105,VLOOKUP($A215,CPVC!$A$9:$M$104,4,FALSE),
IF($A215&lt;InsertFittings!$A$185,VLOOKUP($A215,InsertFittings!$A$9:$M$184,4,FALSE),
IF($A215&lt;Valves!$A$92,VLOOKUP($A215,Valves!$A$9:$Q$91,4,FALSE),
IF($A215&lt;SDR35SW!$A$133,VLOOKUP($A215,SDR35SW!$A$9:$M$132,4,FALSE),
IF($A215&lt;SDR35G!$A$151,VLOOKUP($A215,SDR35G!$A$9:$M$150,4,FALSE),
IF($A215&lt;SDR26G!$A$67,VLOOKUP($A215,SDR26G!$A$9:$N$66,5,FALSE),
IF($A215&lt;Cements!$A$95,VLOOKUP($A215,Cements!$A$8:$Q$94,4,FALSE),
IF($A215&lt;ValveBox!$A$124,VLOOKUP($A215,ValveBox!$A$9:$O$123,4,FALSE),
IF($A215&lt;'ValveBox Components'!$A$142,VLOOKUP($A215,'ValveBox Components'!$A$9:$N$141,4,FALSE),
IF($A215&lt;Drainage!$A$69,VLOOKUP($A215,Drainage!$A$8:$M$68,4,FALSE),
IF($A215&lt;Nipples!$A$82,VLOOKUP($A215,Nipples!$A$9:$Q$81,4,FALSE),
IF($A215&lt;Manifold!$A$33,VLOOKUP($A215,Manifold!$A$9:$M$32,4,FALSE),
IF($A215&lt;FlexibleRepairCouplings!$A$12,VLOOKUP($A215,FlexibleRepairCouplings!$A$9:$M$11,4,FALSE),
IF($A215&lt;DuraFix!$A$15,VLOOKUP($A215,DuraFix!$A$9:$M$14,4,FALSE),
IF($A215&lt;'Compression Fittings'!$A$16,VLOOKUP($A215,'Compression Fittings'!$A$8:$M$15,4,FALSE),
IF($A215&lt;'Hose Fittings'!$A$30,VLOOKUP($A215,'Hose Fittings'!$A$8:$M$29,4,FALSE),
IF($A215&lt;'Swing Joints'!$A$495,VLOOKUP($A215,'Swing Joints'!$A$9:$M$494,4,FALSE),
IF($A215&lt;'Swing Joints Components'!$A$135,VLOOKUP($A215,'Swing Joints Components'!$A$9:$M$134,4,FALSE),
IF($A215&lt;Nonstandard!$A$42,VLOOKUP($A215,Nonstandard!$A$31:$J$41,5,FALSE),"")))))))))))))))))))))))))))),"")</f>
        <v/>
      </c>
      <c r="C215" s="312" t="str">
        <f>IFERROR(IF($A215&lt;'DWV PVC'!$A$317,VLOOKUP($A215,'DWV PVC'!$A$9:$M$316,5,FALSE),
IF($A215&lt;'DWV ABS'!$A$117,VLOOKUP($A215,'DWV ABS'!$A$8:$M$116,5,FALSE),
IF($A215&lt;'PVC SCH40'!$A$425,VLOOKUP($A215,'PVC SCH40'!$A$8:$M$424,5,FALSE),
IF($A215&lt;'PVC SCH40 LD'!$A$22,VLOOKUP($A215,'PVC SCH40 LD'!$A$8:$M$21,5,FALSE),
IF($A215&lt;'Pool &amp; SPA Sweep Elbows'!$A$12,VLOOKUP($A215,'Pool &amp; SPA Sweep Elbows'!$A$8:$M$11,5,FALSE),
IF($A215&lt;'Pool &amp; SPA Pipe Extender'!$A$11,VLOOKUP($A215,'Pool &amp; SPA Pipe Extender'!$A$8:$M$10,5,FALSE),
IF($A215&lt;'PVC SCH80'!$A$250,VLOOKUP($A215,'PVC SCH80'!$A$8:$M$249,5,FALSE),
IF($A215&lt;'PVC SCH80 Flange'!$A$49,VLOOKUP($A215,'PVC SCH80 Flange'!$A$8:$M$48,5,FALSE),
IF($A215&lt;'PVC SCH80 LD Flange'!$A$17,VLOOKUP($A215,'PVC SCH80 LD Flange'!$A$8:$M$16,5,FALSE),
IF($A215&lt;CPVC!$A$105,VLOOKUP($A215,CPVC!$A$9:$M$104,5,FALSE),
IF($A215&lt;InsertFittings!$A$185,VLOOKUP($A215,InsertFittings!$A$9:$M$184,5,FALSE),
IF($A215&lt;Valves!$A$92,VLOOKUP($A215,Valves!$A$9:$Q$91,5,FALSE),
IF($A215&lt;SDR35SW!$A$133,VLOOKUP($A215,SDR35SW!$A$9:$M$132,5,FALSE),
IF($A215&lt;SDR35G!$A$151,VLOOKUP($A215,SDR35G!$A$9:$M$150,5,FALSE),
IF($A215&lt;SDR26G!$A$67,VLOOKUP($A215,SDR26G!$A$9:$N$66,6,FALSE),
IF($A215&lt;Cements!$A$95,VLOOKUP($A215,Cements!$A$8:$Q$94,5,FALSE),
IF($A215&lt;ValveBox!$A$124,VLOOKUP($A215,ValveBox!$A$9:$O$123,5,FALSE),
IF($A215&lt;'ValveBox Components'!$A$142,VLOOKUP($A215,'ValveBox Components'!$A$9:$N$141,5,FALSE),
IF($A215&lt;Drainage!$A$69,VLOOKUP($A215,Drainage!$A$8:$M$68,5,FALSE),
IF($A215&lt;Nipples!$A$82,VLOOKUP($A215,Nipples!$A$9:$Q$81,5,FALSE),
IF($A215&lt;Manifold!$A$33,VLOOKUP($A215,Manifold!$A$9:$M$32,5,FALSE),
IF($A215&lt;FlexibleRepairCouplings!$A$12,VLOOKUP($A215,FlexibleRepairCouplings!$A$9:$M$11,5,FALSE),
IF($A215&lt;DuraFix!$A$15,VLOOKUP($A215,DuraFix!$A$9:$M$14,5,FALSE),
IF($A215&lt;'Compression Fittings'!$A$16,VLOOKUP($A215,'Compression Fittings'!$A$8:$M$15,5,FALSE),
IF($A215&lt;'Hose Fittings'!$A$30,VLOOKUP($A215,'Hose Fittings'!$A$8:$M$29,5,FALSE),
IF($A215&lt;'Swing Joints'!$A$495,VLOOKUP($A215,'Swing Joints'!$A$9:$M$494,5,FALSE),
IF($A215&lt;'Swing Joints Components'!$A$135,VLOOKUP($A215,'Swing Joints Components'!$A$9:$M$134,5,FALSE),
IF($A215&lt;Nonstandard!$A$42,VLOOKUP($A215,Nonstandard!$A$31:$J$41,6,FALSE),"")))))))))))))))))))))))))))),"")</f>
        <v/>
      </c>
      <c r="D215" s="534" t="str">
        <f>IFERROR(IF($A215&lt;'DWV PVC'!$A$317,VLOOKUP($A215,'DWV PVC'!$A$9:$M$316,6,FALSE),
IF($A215&lt;'DWV ABS'!$A$117,VLOOKUP($A215,'DWV ABS'!$A$8:$M$116,6,FALSE),
IF($A215&lt;'PVC SCH40'!$A$425,VLOOKUP($A215,'PVC SCH40'!$A$8:$M$424,6,FALSE),
IF($A215&lt;'PVC SCH40 LD'!$A$22,VLOOKUP($A215,'PVC SCH40 LD'!$A$8:$M$21,6,FALSE),
IF($A215&lt;'Pool &amp; SPA Sweep Elbows'!$A$12,VLOOKUP($A215,'Pool &amp; SPA Sweep Elbows'!$A$8:$M$11,6,FALSE),
IF($A215&lt;'Pool &amp; SPA Pipe Extender'!$A$11,VLOOKUP($A215,'Pool &amp; SPA Pipe Extender'!$A$8:$M$10,6,FALSE),
IF($A215&lt;'PVC SCH80'!$A$250,VLOOKUP($A215,'PVC SCH80'!$A$8:$M$249,6,FALSE),
IF($A215&lt;'PVC SCH80 Flange'!$A$49,VLOOKUP($A215,'PVC SCH80 Flange'!$A$8:$M$48,6,FALSE),
IF($A215&lt;'PVC SCH80 LD Flange'!$A$17,VLOOKUP($A215,'PVC SCH80 LD Flange'!$A$8:$M$16,6,FALSE),
IF($A215&lt;CPVC!$A$105,VLOOKUP($A215,CPVC!$A$9:$M$104,6,FALSE),
IF($A215&lt;InsertFittings!$A$185,VLOOKUP($A215,InsertFittings!$A$9:$M$184,6,FALSE),
IF($A215&lt;Valves!$A$92,VLOOKUP($A215,Valves!$A$9:$Q$91,6,FALSE),
IF($A215&lt;SDR35SW!$A$133,VLOOKUP($A215,SDR35SW!$A$9:$M$132,6,FALSE),
IF($A215&lt;SDR35G!$A$151,VLOOKUP($A215,SDR35G!$A$9:$M$150,6,FALSE),
IF($A215&lt;SDR26G!$A$67,VLOOKUP($A215,SDR26G!$A$9:$N$66,7,FALSE),
IF($A215&lt;Cements!$A$95,VLOOKUP($A215,Cements!$A$8:$Q$94,6,FALSE),
IF($A215&lt;ValveBox!$A$124,VLOOKUP($A215,ValveBox!$A$9:$O$123,6,FALSE),
IF($A215&lt;'ValveBox Components'!$A$142,VLOOKUP($A215,'ValveBox Components'!$A$9:$N$141,6,FALSE),
IF($A215&lt;Drainage!$A$69,VLOOKUP($A215,Drainage!$A$8:$M$68,6,FALSE),
IF($A215&lt;Nipples!$A$82,VLOOKUP($A215,Nipples!$A$9:$Q$81,6,FALSE),
IF($A215&lt;Manifold!$A$33,VLOOKUP($A215,Manifold!$A$9:$M$32,6,FALSE),
IF($A215&lt;FlexibleRepairCouplings!$A$12,VLOOKUP($A215,FlexibleRepairCouplings!$A$9:$M$11,6,FALSE),
IF($A215&lt;DuraFix!$A$15,VLOOKUP($A215,DuraFix!$A$9:$M$14,6,FALSE),
IF($A215&lt;'Compression Fittings'!$A$16,VLOOKUP($A215,'Compression Fittings'!$A$8:$M$15,6,FALSE),
IF($A215&lt;'Hose Fittings'!$A$30,VLOOKUP($A215,'Hose Fittings'!$A$8:$M$29,6,FALSE),
IF($A215&lt;'Swing Joints'!$A$495,VLOOKUP($A215,'Swing Joints'!$A$9:$M$494,6,FALSE),
IF($A215&lt;'Swing Joints Components'!$A$135,VLOOKUP($A215,'Swing Joints Components'!$A$9:$M$134,6,FALSE),
IF($A215&lt;Nonstandard!$A$42,VLOOKUP($A215,Nonstandard!$A$31:$J$41,7,FALSE),"")))))))))))))))))))))))))))),"")</f>
        <v/>
      </c>
      <c r="E215" s="316"/>
      <c r="F215" s="314" t="str">
        <f>IFERROR(IF($A215&lt;'DWV PVC'!$A$317,VLOOKUP($A215,'DWV PVC'!$A$9:$M$316,9,FALSE),
IF($A215&lt;'DWV ABS'!$A$117,VLOOKUP($A215,'DWV ABS'!$A$8:$M$116,9,FALSE),                                                                                                                                                                                                                                                     IF($A215&lt;'PVC SCH40'!$A$425,VLOOKUP($A215,'PVC SCH40'!$A$8:$M$424,9,FALSE),
IF($A215&lt;'PVC SCH40 LD'!$A$22,VLOOKUP($A215,'PVC SCH40 LD'!$A$8:$M$21,9,FALSE),
IF($A215&lt;'Pool &amp; SPA Sweep Elbows'!$A$12,VLOOKUP($A215,'Pool &amp; SPA Sweep Elbows'!$A$8:$M$11,9,FALSE),
IF($A215&lt;'Pool &amp; SPA Pipe Extender'!$A$11,VLOOKUP($A215,'Pool &amp; SPA Pipe Extender'!$A$8:$M$10,9,FALSE),
IF($A215&lt;'PVC SCH80'!$A$250,VLOOKUP($A215,'PVC SCH80'!$A$8:$M$249,9,FALSE),
IF($A215&lt;'PVC SCH80 Flange'!$A$49,VLOOKUP($A215,'PVC SCH80 Flange'!$A$8:$M$48,9,FALSE),
IF($A215&lt;'PVC SCH80 LD Flange'!$A$17,VLOOKUP($A215,'PVC SCH80 LD Flange'!$A$8:$M$16,9,FALSE),
IF($A215&lt;CPVC!$A$105,VLOOKUP($A215,CPVC!$A$9:$M$104,9,FALSE),
IF($A215&lt;InsertFittings!$A$185,VLOOKUP($A215,InsertFittings!$A$9:$M$184,9,FALSE),
IF($A215&lt;Valves!$A$92,VLOOKUP($A215,Valves!$A$9:$Q$91,13,FALSE),
IF($A215&lt;SDR35SW!$A$133,VLOOKUP($A215,SDR35SW!$A$9:$M$132,9,FALSE),
IF($A215&lt;SDR35G!$A$151,VLOOKUP($A215,SDR35G!$A$9:$M$150,9,FALSE),                                                                                                                                                                                                                                                          IF($A215&lt;SDR26G!$A$67,VLOOKUP($A215,SDR26G!$A$9:$N$66,10,FALSE),                                                                                                                                                                                                                                                       IF($A215&lt;Cements!$A$95,VLOOKUP($A215,Cements!$A$8:$Q$94,13,FALSE),
IF($A215&lt;ValveBox!$A$124,VLOOKUP($A215,ValveBox!$A$9:$O$123,11,FALSE),
IF($A215&lt;'ValveBox Components'!$A$142,VLOOKUP($A215,'ValveBox Components'!$A$9:$N$141,10,FALSE),
IF($A215&lt;Drainage!$A$69,VLOOKUP($A215,Drainage!$A$8:$M$68,9,FALSE),                                                                                                                                                                                                                                                              IF($A215&lt;Nipples!$A$82,VLOOKUP($A215,Nipples!$A$9:$Q$81,13,FALSE),
IF($A215&lt;Manifold!$A$33,VLOOKUP($A215,Manifold!$A$9:$M$32,9,FALSE),
IF($A215&lt;FlexibleRepairCouplings!$A$12,VLOOKUP($A215,FlexibleRepairCouplings!$A$9:$M$11,9,FALSE),
IF($A215&lt;DuraFix!$A$15,VLOOKUP($A215,DuraFix!$A$9:$M$14,9,FALSE),                                                                                                                                                                                                                                                          IF($A215&lt;'Compression Fittings'!$A$16,VLOOKUP($A215,'Compression Fittings'!$A$8:$M$15,9,FALSE),
IF($A215&lt;'Hose Fittings'!$A$30,VLOOKUP($A215,'Hose Fittings'!$A$8:$M$29,9,FALSE),
IF($A215&lt;'Swing Joints'!$A$495,VLOOKUP($A215,'Swing Joints'!$A$9:$M$494,9,FALSE),
IF($A215&lt;'Swing Joints Components'!$A$135,VLOOKUP($A215,'Swing Joints Components'!$A$9:$M$134,9,FALSE),
IF($A215&lt;Nonstandard!$A$42,VLOOKUP($A215,Nonstandard!$A$31:$J$41,8,FALSE),"")))))))))))))))))))))))))))),"")</f>
        <v/>
      </c>
      <c r="G215" s="533" t="str">
        <f>IFERROR(IF($A215&lt;'DWV PVC'!$A$317,VLOOKUP($A215,'DWV PVC'!$A$9:$M$316,11,FALSE),
IF($A215&lt;'DWV ABS'!$A$117,VLOOKUP($A215,'DWV ABS'!$A$8:$M$116,11,FALSE),                                                                                                                                                                                                                                                     IF($A215&lt;'PVC SCH40'!$A$425,VLOOKUP($A215,'PVC SCH40'!$A$8:$M$424,11,FALSE),
IF($A215&lt;'PVC SCH40 LD'!$A$22,VLOOKUP($A215,'PVC SCH40 LD'!$A$8:$M$21,11,FALSE),
IF($A215&lt;'Pool &amp; SPA Sweep Elbows'!$A$12,VLOOKUP($A215,'Pool &amp; SPA Sweep Elbows'!$A$8:$M$11,11,FALSE),
IF($A215&lt;'Pool &amp; SPA Pipe Extender'!$A$11,VLOOKUP($A215,'Pool &amp; SPA Pipe Extender'!$A$8:$M$10,11,FALSE),
IF($A215&lt;'PVC SCH80'!$A$250,VLOOKUP($A215,'PVC SCH80'!$A$8:$M$249,11,FALSE),
IF($A215&lt;'PVC SCH80 Flange'!$A$49,VLOOKUP($A215,'PVC SCH80 Flange'!$A$8:$M$48,11,FALSE),
IF($A215&lt;'PVC SCH80 LD Flange'!$A$17,VLOOKUP($A215,'PVC SCH80 LD Flange'!$A$8:$M$16,11,FALSE),
IF($A215&lt;CPVC!$A$105,VLOOKUP($A215,CPVC!$A$9:$M$104,11,FALSE),
IF($A215&lt;InsertFittings!$A$185,VLOOKUP($A215,InsertFittings!$A$9:$M$184,11,FALSE),
IF($A215&lt;Valves!$A$92,VLOOKUP($A215,Valves!$A$9:$Q$91,15,FALSE),
IF($A215&lt;SDR35SW!$A$133,VLOOKUP($A215,SDR35SW!$A$9:$M$132,11,FALSE),
IF($A215&lt;SDR35G!$A$151,VLOOKUP($A215,SDR35G!$A$9:$M$150,11,FALSE),                                                                                                                                                                                                                                                          IF($A215&lt;SDR26G!$A$67,VLOOKUP($A215,SDR26G!$A$9:$N$66,12,FALSE),                                                                                                                                                                                                                                                       IF($A215&lt;Cements!$A$95,VLOOKUP($A215,Cements!$A$8:$Q$94,15,FALSE),
IF($A215&lt;ValveBox!$A$124,VLOOKUP($A215,ValveBox!$A$9:$O$123,13,FALSE),
IF($A215&lt;'ValveBox Components'!$A$142,VLOOKUP($A215,'ValveBox Components'!$A$9:$N$141,12,FALSE),
IF($A215&lt;Drainage!$A$69,VLOOKUP($A215,Drainage!$A$8:$M$68,11,FALSE),                                                                                                                                                                                                                                                           IF($A215&lt;Nipples!$A$82,VLOOKUP($A215,Nipples!$A$9:$Q$81,15,FALSE),
IF($A215&lt;Manifold!$A$33,VLOOKUP($A215,Manifold!$A$9:$M$32,11,FALSE),
IF($A215&lt;FlexibleRepairCouplings!$A$12,VLOOKUP($A215,FlexibleRepairCouplings!$A$9:$M$11,11,FALSE),
IF($A215&lt;DuraFix!$A$15,VLOOKUP($A215,DuraFix!$A$9:$M$14,11,FALSE),                                                                                                                                                                                                                                                            IF($A215&lt;'Compression Fittings'!$A$16,VLOOKUP($A215,'Compression Fittings'!$A$8:$M$15,11,FALSE),
IF($A215&lt;'Hose Fittings'!$A$30,VLOOKUP($A215,'Hose Fittings'!$A$8:$M$29,11,FALSE),
IF($A215&lt;'Swing Joints'!$A$495,VLOOKUP($A215,'Swing Joints'!$A$9:$M$494,11,FALSE),
IF($A215&lt;'Swing Joints Components'!$A$135,VLOOKUP($A215,'Swing Joints Components'!$A$9:$M$134,11,FALSE),
IF($A215&lt;Nonstandard!$A$42,VLOOKUP($A215,Nonstandard!$A$31:$J$41,10,FALSE),"")))))))))))))))))))))))))))),"")</f>
        <v/>
      </c>
      <c r="H215" s="618" t="str">
        <f>IFERROR(IF($A215&lt;'DWV PVC'!$A$317,VLOOKUP($A215,'DWV PVC'!$A$9:$M$316,7,FALSE),
IF($A215&lt;'DWV ABS'!$A$117,VLOOKUP($A215,'DWV ABS'!$A$8:$M$116,11,FALSE),                                                                                                                                                                                                                                                     IF($A215&lt;'PVC SCH40'!$A$425,VLOOKUP($A215,'PVC SCH40'!$A$8:$M$424,7,FALSE),
IF($A215&lt;'PVC SCH40 LD'!$A$22,VLOOKUP($A215,'PVC SCH40 LD'!$A$8:$M$21,7,FALSE),
IF($A215&lt;'Pool &amp; SPA Sweep Elbows'!$A$12,VLOOKUP($A215,'Pool &amp; SPA Sweep Elbows'!$A$8:$M$11,7,FALSE),
IF($A215&lt;'Pool &amp; SPA Pipe Extender'!$A$11,VLOOKUP($A215,'Pool &amp; SPA Pipe Extender'!$A$8:$M$10,7,FALSE),
IF($A215&lt;'PVC SCH80'!$A$250,VLOOKUP($A215,'PVC SCH80'!$A$8:$M$249,7,FALSE),
IF($A215&lt;'PVC SCH80 Flange'!$A$49,VLOOKUP($A215,'PVC SCH80 Flange'!$A$8:$M$48,7,FALSE),
IF($A215&lt;'PVC SCH80 LD Flange'!$A$17,VLOOKUP($A215,'PVC SCH80 LD Flange'!$A$8:$M$16,7,FALSE),
IF($A215&lt;CPVC!$A$105,VLOOKUP($A215,CPVC!$A$9:$M$104,7,FALSE),
IF($A215&lt;InsertFittings!$A$185,VLOOKUP($A215,InsertFittings!$A$9:$M$184,7,FALSE),
IF($A215&lt;Valves!$A$92,VLOOKUP($A215,Valves!$A$9:$Q$91,11,FALSE),
IF($A215&lt;SDR35SW!$A$133,VLOOKUP($A215,SDR35SW!$A$9:$M$132,7,FALSE),
IF($A215&lt;SDR35G!$A$151,VLOOKUP($A215,SDR35G!$A$9:$M$150,7,FALSE),                                                                                                                                                                                                                                                       IF($A215&lt;SDR26G!$A$67,VLOOKUP($A215,SDR26G!$A$9:$N$66,8,FALSE),                                                                                                                                                                                                                                                     IF($A215&lt;Cements!$A$95,VLOOKUP($A215,Cements!$A$8:$Q$94,11,FALSE),
IF($A215&lt;ValveBox!$A$124,VLOOKUP($A215,ValveBox!$A$9:$O$123,10,FALSE),
IF($A215&lt;'ValveBox Components'!$A$142,VLOOKUP($A215,'ValveBox Components'!$A$9:$N$141,9,FALSE),
IF($A215&lt;Drainage!$A$69,VLOOKUP($A215,Drainage!$A$8:$M$68,7,FALSE),                                                                                                                                                                                                                                                          IF($A215&lt;Nipples!$A$82,VLOOKUP($A215,Nipples!$A$9:$Q$81,11,FALSE),
IF($A215&lt;Manifold!$A$33,VLOOKUP($A215,Manifold!$A$9:$M$32,7,FALSE),
IF($A215&lt;FlexibleRepairCouplings!$A$12,VLOOKUP($A215,FlexibleRepairCouplings!$A$9:$M$11,7,FALSE),
IF($A215&lt;DuraFix!$A$15,VLOOKUP($A215,DuraFix!$A$9:$M$14,7,FALSE),                                                                                                                                                                                                                                                           IF($A215&lt;'Compression Fittings'!$A$16,VLOOKUP($A215,'Compression Fittings'!$A$8:$M$15,7,FALSE),
IF($A215&lt;'Hose Fittings'!$A$30,VLOOKUP($A215,'Hose Fittings'!$A$8:$M$29,7,FALSE),
IF($A215&lt;'Swing Joints'!$A$495,VLOOKUP($A215,'Swing Joints'!$A$9:$M$494,7,FALSE),
IF($A215&lt;'Swing Joints Components'!$A$135,VLOOKUP($A215,'Swing Joints Components'!$A$9:$M$134,7,FALSE),
IF($A215&lt;Nonstandard!$A$42,VLOOKUP($A215,Nonstandard!$A$31:$J$41,10,FALSE),"")))))))))))))))))))))))))))),"")</f>
        <v/>
      </c>
      <c r="I215" s="619"/>
      <c r="J215" s="281" t="str">
        <f t="shared" si="5"/>
        <v/>
      </c>
      <c r="K215" s="313" t="str">
        <f>IFERROR(IF($A215&lt;'DWV PVC'!$A$317,VLOOKUP($A215,'DWV PVC'!$A$9:$M$316,10,FALSE),
IF($A215&lt;'DWV ABS'!$A$117,VLOOKUP($A215,'DWV ABS'!$A$8:$M$116,10,FALSE),
IF($A215&lt;'PVC SCH40'!$A$425,VLOOKUP($A215,'PVC SCH40'!$A$8:$M$424,10,FALSE),
IF($A215&lt;'PVC SCH40 LD'!$A$22,VLOOKUP($A215,'PVC SCH40 LD'!$A$8:$M$21,10,FALSE),
IF($A215&lt;'Pool &amp; SPA Sweep Elbows'!$A$12,VLOOKUP($A215,'Pool &amp; SPA Sweep Elbows'!$A$8:$M$11,10,FALSE),
IF($A215&lt;'Pool &amp; SPA Pipe Extender'!$A$11,VLOOKUP($A215,'Pool &amp; SPA Pipe Extender'!$A$8:$M$10,10,FALSE),
IF($A215&lt;'PVC SCH80'!$A$250,VLOOKUP($A215,'PVC SCH80'!$A$8:$M$249,10,FALSE),
IF($A215&lt;'PVC SCH80 Flange'!$A$49,VLOOKUP($A215,'PVC SCH80 Flange'!$A$8:$M$48,10,FALSE),
IF($A215&lt;'PVC SCH80 LD Flange'!$A$17,VLOOKUP($A215,'PVC SCH80 LD Flange'!$A$8:$M$16,10,FALSE),
IF($A215&lt;CPVC!$A$105,VLOOKUP($A215,CPVC!$A$9:$M$104,10,FALSE),
IF($A215&lt;InsertFittings!$A$185,VLOOKUP($A215,InsertFittings!$A$9:$M$184,10,FALSE),
IF($A215&lt;Valves!$A$92,VLOOKUP($A215,Valves!$A$9:$Q$91,14,FALSE),
IF($A215&lt;SDR35SW!$A$133,VLOOKUP($A215,SDR35SW!$A$9:$M$132,10,FALSE),
IF($A215&lt;SDR35G!$A$151,VLOOKUP($A215,SDR35G!$A$9:$M$150,10,FALSE),
IF($A215&lt;SDR26G!$A$67,VLOOKUP($A215,SDR26G!$A$9:$N$66,11,FALSE),
IF($A215&lt;Cements!$A$95,VLOOKUP($A215,Cements!$A$8:$Q$94,14,FALSE),
IF($A215&lt;ValveBox!$A$124,VLOOKUP($A215,ValveBox!$A$9:$O$123,12,FALSE),
IF($A215&lt;'ValveBox Components'!$A$142,VLOOKUP($A215,'ValveBox Components'!$A$9:$N$141,11,FALSE),
IF($A215&lt;Drainage!$A$69,VLOOKUP($A215,Drainage!$A$8:$M$68,10,FALSE),
IF($A215&lt;Nipples!$A$82,VLOOKUP($A215,Nipples!$A$9:$Q$81,14,FALSE),
IF($A215&lt;Manifold!$A$33,VLOOKUP($A215,Manifold!$A$9:$M$32,10,FALSE),
IF($A215&lt;FlexibleRepairCouplings!$A$12,VLOOKUP($A215,FlexibleRepairCouplings!$A$9:$M$11,10,FALSE),
IF($A215&lt;DuraFix!$A$15,VLOOKUP($A215,DuraFix!$A$9:$M$14,10,FALSE),
IF($A215&lt;'Compression Fittings'!$A$16,VLOOKUP($A215,'Compression Fittings'!$A$8:$M$15,10,FALSE),
IF($A215&lt;'Hose Fittings'!$A$30,VLOOKUP($A215,'Hose Fittings'!$A$8:$M$29,10,FALSE),
IF($A215&lt;'Swing Joints'!$A$495,VLOOKUP($A215,'Swing Joints'!$A$9:$M$494,10,FALSE),
IF($A215&lt;'Swing Joints Components'!$A$135,VLOOKUP($A215,'Swing Joints Components'!$A$9:$M$134,10,FALSE),
IF($A215&lt;Nonstandard!$A$42,VLOOKUP($A215,Nonstandard!$A$31:$J$41,10,FALSE),"")))))))))))))))))))))))))))),"")</f>
        <v/>
      </c>
      <c r="L215" s="314" t="str">
        <f t="shared" si="4"/>
        <v>-</v>
      </c>
      <c r="M215" s="315"/>
    </row>
    <row r="216" spans="1:13" ht="15.6">
      <c r="A216" s="536">
        <v>184</v>
      </c>
      <c r="B216" s="536" t="str">
        <f>IFERROR(IF($A216&lt;'DWV PVC'!$A$317,VLOOKUP($A216,'DWV PVC'!$A$9:$M$316,4,FALSE),
IF($A216&lt;'DWV ABS'!$A$117,VLOOKUP($A216,'DWV ABS'!$A$8:$M$116,4,FALSE),
IF($A216&lt;'PVC SCH40'!$A$425,VLOOKUP($A216,'PVC SCH40'!$A$8:$M$424,4,FALSE),
IF($A216&lt;'PVC SCH40 LD'!$A$22,VLOOKUP($A216,'PVC SCH40 LD'!$A$8:$M$21,4,FALSE),
IF($A216&lt;'Pool &amp; SPA Sweep Elbows'!$A$12,VLOOKUP($A216,'Pool &amp; SPA Sweep Elbows'!$A$8:$M$11,4,FALSE),
IF($A216&lt;'Pool &amp; SPA Pipe Extender'!$A$11,VLOOKUP($A216,'Pool &amp; SPA Pipe Extender'!$A$8:$M$10,4,FALSE),
IF($A216&lt;'PVC SCH80'!$A$250,VLOOKUP($A216,'PVC SCH80'!$A$8:$M$249,4,FALSE),
IF($A216&lt;'PVC SCH80 Flange'!$A$49,VLOOKUP($A216,'PVC SCH80 Flange'!$A$8:$M$48,4,FALSE),
IF($A216&lt;'PVC SCH80 LD Flange'!$A$17,VLOOKUP($A216,'PVC SCH80 LD Flange'!$A$8:$M$16,4,FALSE),
IF($A216&lt;CPVC!$A$105,VLOOKUP($A216,CPVC!$A$9:$M$104,4,FALSE),
IF($A216&lt;InsertFittings!$A$185,VLOOKUP($A216,InsertFittings!$A$9:$M$184,4,FALSE),
IF($A216&lt;Valves!$A$92,VLOOKUP($A216,Valves!$A$9:$Q$91,4,FALSE),
IF($A216&lt;SDR35SW!$A$133,VLOOKUP($A216,SDR35SW!$A$9:$M$132,4,FALSE),
IF($A216&lt;SDR35G!$A$151,VLOOKUP($A216,SDR35G!$A$9:$M$150,4,FALSE),
IF($A216&lt;SDR26G!$A$67,VLOOKUP($A216,SDR26G!$A$9:$N$66,5,FALSE),
IF($A216&lt;Cements!$A$95,VLOOKUP($A216,Cements!$A$8:$Q$94,4,FALSE),
IF($A216&lt;ValveBox!$A$124,VLOOKUP($A216,ValveBox!$A$9:$O$123,4,FALSE),
IF($A216&lt;'ValveBox Components'!$A$142,VLOOKUP($A216,'ValveBox Components'!$A$9:$N$141,4,FALSE),
IF($A216&lt;Drainage!$A$69,VLOOKUP($A216,Drainage!$A$8:$M$68,4,FALSE),
IF($A216&lt;Nipples!$A$82,VLOOKUP($A216,Nipples!$A$9:$Q$81,4,FALSE),
IF($A216&lt;Manifold!$A$33,VLOOKUP($A216,Manifold!$A$9:$M$32,4,FALSE),
IF($A216&lt;FlexibleRepairCouplings!$A$12,VLOOKUP($A216,FlexibleRepairCouplings!$A$9:$M$11,4,FALSE),
IF($A216&lt;DuraFix!$A$15,VLOOKUP($A216,DuraFix!$A$9:$M$14,4,FALSE),
IF($A216&lt;'Compression Fittings'!$A$16,VLOOKUP($A216,'Compression Fittings'!$A$8:$M$15,4,FALSE),
IF($A216&lt;'Hose Fittings'!$A$30,VLOOKUP($A216,'Hose Fittings'!$A$8:$M$29,4,FALSE),
IF($A216&lt;'Swing Joints'!$A$495,VLOOKUP($A216,'Swing Joints'!$A$9:$M$494,4,FALSE),
IF($A216&lt;'Swing Joints Components'!$A$135,VLOOKUP($A216,'Swing Joints Components'!$A$9:$M$134,4,FALSE),
IF($A216&lt;Nonstandard!$A$42,VLOOKUP($A216,Nonstandard!$A$31:$J$41,5,FALSE),"")))))))))))))))))))))))))))),"")</f>
        <v/>
      </c>
      <c r="C216" s="536" t="str">
        <f>IFERROR(IF($A216&lt;'DWV PVC'!$A$317,VLOOKUP($A216,'DWV PVC'!$A$9:$M$316,5,FALSE),
IF($A216&lt;'DWV ABS'!$A$117,VLOOKUP($A216,'DWV ABS'!$A$8:$M$116,5,FALSE),
IF($A216&lt;'PVC SCH40'!$A$425,VLOOKUP($A216,'PVC SCH40'!$A$8:$M$424,5,FALSE),
IF($A216&lt;'PVC SCH40 LD'!$A$22,VLOOKUP($A216,'PVC SCH40 LD'!$A$8:$M$21,5,FALSE),
IF($A216&lt;'Pool &amp; SPA Sweep Elbows'!$A$12,VLOOKUP($A216,'Pool &amp; SPA Sweep Elbows'!$A$8:$M$11,5,FALSE),
IF($A216&lt;'Pool &amp; SPA Pipe Extender'!$A$11,VLOOKUP($A216,'Pool &amp; SPA Pipe Extender'!$A$8:$M$10,5,FALSE),
IF($A216&lt;'PVC SCH80'!$A$250,VLOOKUP($A216,'PVC SCH80'!$A$8:$M$249,5,FALSE),
IF($A216&lt;'PVC SCH80 Flange'!$A$49,VLOOKUP($A216,'PVC SCH80 Flange'!$A$8:$M$48,5,FALSE),
IF($A216&lt;'PVC SCH80 LD Flange'!$A$17,VLOOKUP($A216,'PVC SCH80 LD Flange'!$A$8:$M$16,5,FALSE),
IF($A216&lt;CPVC!$A$105,VLOOKUP($A216,CPVC!$A$9:$M$104,5,FALSE),
IF($A216&lt;InsertFittings!$A$185,VLOOKUP($A216,InsertFittings!$A$9:$M$184,5,FALSE),
IF($A216&lt;Valves!$A$92,VLOOKUP($A216,Valves!$A$9:$Q$91,5,FALSE),
IF($A216&lt;SDR35SW!$A$133,VLOOKUP($A216,SDR35SW!$A$9:$M$132,5,FALSE),
IF($A216&lt;SDR35G!$A$151,VLOOKUP($A216,SDR35G!$A$9:$M$150,5,FALSE),
IF($A216&lt;SDR26G!$A$67,VLOOKUP($A216,SDR26G!$A$9:$N$66,6,FALSE),
IF($A216&lt;Cements!$A$95,VLOOKUP($A216,Cements!$A$8:$Q$94,5,FALSE),
IF($A216&lt;ValveBox!$A$124,VLOOKUP($A216,ValveBox!$A$9:$O$123,5,FALSE),
IF($A216&lt;'ValveBox Components'!$A$142,VLOOKUP($A216,'ValveBox Components'!$A$9:$N$141,5,FALSE),
IF($A216&lt;Drainage!$A$69,VLOOKUP($A216,Drainage!$A$8:$M$68,5,FALSE),
IF($A216&lt;Nipples!$A$82,VLOOKUP($A216,Nipples!$A$9:$Q$81,5,FALSE),
IF($A216&lt;Manifold!$A$33,VLOOKUP($A216,Manifold!$A$9:$M$32,5,FALSE),
IF($A216&lt;FlexibleRepairCouplings!$A$12,VLOOKUP($A216,FlexibleRepairCouplings!$A$9:$M$11,5,FALSE),
IF($A216&lt;DuraFix!$A$15,VLOOKUP($A216,DuraFix!$A$9:$M$14,5,FALSE),
IF($A216&lt;'Compression Fittings'!$A$16,VLOOKUP($A216,'Compression Fittings'!$A$8:$M$15,5,FALSE),
IF($A216&lt;'Hose Fittings'!$A$30,VLOOKUP($A216,'Hose Fittings'!$A$8:$M$29,5,FALSE),
IF($A216&lt;'Swing Joints'!$A$495,VLOOKUP($A216,'Swing Joints'!$A$9:$M$494,5,FALSE),
IF($A216&lt;'Swing Joints Components'!$A$135,VLOOKUP($A216,'Swing Joints Components'!$A$9:$M$134,5,FALSE),
IF($A216&lt;Nonstandard!$A$42,VLOOKUP($A216,Nonstandard!$A$31:$J$41,6,FALSE),"")))))))))))))))))))))))))))),"")</f>
        <v/>
      </c>
      <c r="D216" s="537" t="str">
        <f>IFERROR(IF($A216&lt;'DWV PVC'!$A$317,VLOOKUP($A216,'DWV PVC'!$A$9:$M$316,6,FALSE),
IF($A216&lt;'DWV ABS'!$A$117,VLOOKUP($A216,'DWV ABS'!$A$8:$M$116,6,FALSE),
IF($A216&lt;'PVC SCH40'!$A$425,VLOOKUP($A216,'PVC SCH40'!$A$8:$M$424,6,FALSE),
IF($A216&lt;'PVC SCH40 LD'!$A$22,VLOOKUP($A216,'PVC SCH40 LD'!$A$8:$M$21,6,FALSE),
IF($A216&lt;'Pool &amp; SPA Sweep Elbows'!$A$12,VLOOKUP($A216,'Pool &amp; SPA Sweep Elbows'!$A$8:$M$11,6,FALSE),
IF($A216&lt;'Pool &amp; SPA Pipe Extender'!$A$11,VLOOKUP($A216,'Pool &amp; SPA Pipe Extender'!$A$8:$M$10,6,FALSE),
IF($A216&lt;'PVC SCH80'!$A$250,VLOOKUP($A216,'PVC SCH80'!$A$8:$M$249,6,FALSE),
IF($A216&lt;'PVC SCH80 Flange'!$A$49,VLOOKUP($A216,'PVC SCH80 Flange'!$A$8:$M$48,6,FALSE),
IF($A216&lt;'PVC SCH80 LD Flange'!$A$17,VLOOKUP($A216,'PVC SCH80 LD Flange'!$A$8:$M$16,6,FALSE),
IF($A216&lt;CPVC!$A$105,VLOOKUP($A216,CPVC!$A$9:$M$104,6,FALSE),
IF($A216&lt;InsertFittings!$A$185,VLOOKUP($A216,InsertFittings!$A$9:$M$184,6,FALSE),
IF($A216&lt;Valves!$A$92,VLOOKUP($A216,Valves!$A$9:$Q$91,6,FALSE),
IF($A216&lt;SDR35SW!$A$133,VLOOKUP($A216,SDR35SW!$A$9:$M$132,6,FALSE),
IF($A216&lt;SDR35G!$A$151,VLOOKUP($A216,SDR35G!$A$9:$M$150,6,FALSE),
IF($A216&lt;SDR26G!$A$67,VLOOKUP($A216,SDR26G!$A$9:$N$66,7,FALSE),
IF($A216&lt;Cements!$A$95,VLOOKUP($A216,Cements!$A$8:$Q$94,6,FALSE),
IF($A216&lt;ValveBox!$A$124,VLOOKUP($A216,ValveBox!$A$9:$O$123,6,FALSE),
IF($A216&lt;'ValveBox Components'!$A$142,VLOOKUP($A216,'ValveBox Components'!$A$9:$N$141,6,FALSE),
IF($A216&lt;Drainage!$A$69,VLOOKUP($A216,Drainage!$A$8:$M$68,6,FALSE),
IF($A216&lt;Nipples!$A$82,VLOOKUP($A216,Nipples!$A$9:$Q$81,6,FALSE),
IF($A216&lt;Manifold!$A$33,VLOOKUP($A216,Manifold!$A$9:$M$32,6,FALSE),
IF($A216&lt;FlexibleRepairCouplings!$A$12,VLOOKUP($A216,FlexibleRepairCouplings!$A$9:$M$11,6,FALSE),
IF($A216&lt;DuraFix!$A$15,VLOOKUP($A216,DuraFix!$A$9:$M$14,6,FALSE),
IF($A216&lt;'Compression Fittings'!$A$16,VLOOKUP($A216,'Compression Fittings'!$A$8:$M$15,6,FALSE),
IF($A216&lt;'Hose Fittings'!$A$30,VLOOKUP($A216,'Hose Fittings'!$A$8:$M$29,6,FALSE),
IF($A216&lt;'Swing Joints'!$A$495,VLOOKUP($A216,'Swing Joints'!$A$9:$M$494,6,FALSE),
IF($A216&lt;'Swing Joints Components'!$A$135,VLOOKUP($A216,'Swing Joints Components'!$A$9:$M$134,6,FALSE),
IF($A216&lt;Nonstandard!$A$42,VLOOKUP($A216,Nonstandard!$A$31:$J$41,7,FALSE),"")))))))))))))))))))))))))))),"")</f>
        <v/>
      </c>
      <c r="E216" s="538"/>
      <c r="F216" s="539" t="str">
        <f>IFERROR(IF($A216&lt;'DWV PVC'!$A$317,VLOOKUP($A216,'DWV PVC'!$A$9:$M$316,9,FALSE),
IF($A216&lt;'DWV ABS'!$A$117,VLOOKUP($A216,'DWV ABS'!$A$8:$M$116,9,FALSE),                                                                                                                                                                                                                                                     IF($A216&lt;'PVC SCH40'!$A$425,VLOOKUP($A216,'PVC SCH40'!$A$8:$M$424,9,FALSE),
IF($A216&lt;'PVC SCH40 LD'!$A$22,VLOOKUP($A216,'PVC SCH40 LD'!$A$8:$M$21,9,FALSE),
IF($A216&lt;'Pool &amp; SPA Sweep Elbows'!$A$12,VLOOKUP($A216,'Pool &amp; SPA Sweep Elbows'!$A$8:$M$11,9,FALSE),
IF($A216&lt;'Pool &amp; SPA Pipe Extender'!$A$11,VLOOKUP($A216,'Pool &amp; SPA Pipe Extender'!$A$8:$M$10,9,FALSE),
IF($A216&lt;'PVC SCH80'!$A$250,VLOOKUP($A216,'PVC SCH80'!$A$8:$M$249,9,FALSE),
IF($A216&lt;'PVC SCH80 Flange'!$A$49,VLOOKUP($A216,'PVC SCH80 Flange'!$A$8:$M$48,9,FALSE),
IF($A216&lt;'PVC SCH80 LD Flange'!$A$17,VLOOKUP($A216,'PVC SCH80 LD Flange'!$A$8:$M$16,9,FALSE),
IF($A216&lt;CPVC!$A$105,VLOOKUP($A216,CPVC!$A$9:$M$104,9,FALSE),
IF($A216&lt;InsertFittings!$A$185,VLOOKUP($A216,InsertFittings!$A$9:$M$184,9,FALSE),
IF($A216&lt;Valves!$A$92,VLOOKUP($A216,Valves!$A$9:$Q$91,13,FALSE),
IF($A216&lt;SDR35SW!$A$133,VLOOKUP($A216,SDR35SW!$A$9:$M$132,9,FALSE),
IF($A216&lt;SDR35G!$A$151,VLOOKUP($A216,SDR35G!$A$9:$M$150,9,FALSE),                                                                                                                                                                                                                                                          IF($A216&lt;SDR26G!$A$67,VLOOKUP($A216,SDR26G!$A$9:$N$66,10,FALSE),                                                                                                                                                                                                                                                       IF($A216&lt;Cements!$A$95,VLOOKUP($A216,Cements!$A$8:$Q$94,13,FALSE),
IF($A216&lt;ValveBox!$A$124,VLOOKUP($A216,ValveBox!$A$9:$O$123,11,FALSE),
IF($A216&lt;'ValveBox Components'!$A$142,VLOOKUP($A216,'ValveBox Components'!$A$9:$N$141,10,FALSE),
IF($A216&lt;Drainage!$A$69,VLOOKUP($A216,Drainage!$A$8:$M$68,9,FALSE),                                                                                                                                                                                                                                                              IF($A216&lt;Nipples!$A$82,VLOOKUP($A216,Nipples!$A$9:$Q$81,13,FALSE),
IF($A216&lt;Manifold!$A$33,VLOOKUP($A216,Manifold!$A$9:$M$32,9,FALSE),
IF($A216&lt;FlexibleRepairCouplings!$A$12,VLOOKUP($A216,FlexibleRepairCouplings!$A$9:$M$11,9,FALSE),
IF($A216&lt;DuraFix!$A$15,VLOOKUP($A216,DuraFix!$A$9:$M$14,9,FALSE),                                                                                                                                                                                                                                                          IF($A216&lt;'Compression Fittings'!$A$16,VLOOKUP($A216,'Compression Fittings'!$A$8:$M$15,9,FALSE),
IF($A216&lt;'Hose Fittings'!$A$30,VLOOKUP($A216,'Hose Fittings'!$A$8:$M$29,9,FALSE),
IF($A216&lt;'Swing Joints'!$A$495,VLOOKUP($A216,'Swing Joints'!$A$9:$M$494,9,FALSE),
IF($A216&lt;'Swing Joints Components'!$A$135,VLOOKUP($A216,'Swing Joints Components'!$A$9:$M$134,9,FALSE),
IF($A216&lt;Nonstandard!$A$42,VLOOKUP($A216,Nonstandard!$A$31:$J$41,8,FALSE),"")))))))))))))))))))))))))))),"")</f>
        <v/>
      </c>
      <c r="G216" s="540" t="str">
        <f>IFERROR(IF($A216&lt;'DWV PVC'!$A$317,VLOOKUP($A216,'DWV PVC'!$A$9:$M$316,11,FALSE),
IF($A216&lt;'DWV ABS'!$A$117,VLOOKUP($A216,'DWV ABS'!$A$8:$M$116,11,FALSE),                                                                                                                                                                                                                                                     IF($A216&lt;'PVC SCH40'!$A$425,VLOOKUP($A216,'PVC SCH40'!$A$8:$M$424,11,FALSE),
IF($A216&lt;'PVC SCH40 LD'!$A$22,VLOOKUP($A216,'PVC SCH40 LD'!$A$8:$M$21,11,FALSE),
IF($A216&lt;'Pool &amp; SPA Sweep Elbows'!$A$12,VLOOKUP($A216,'Pool &amp; SPA Sweep Elbows'!$A$8:$M$11,11,FALSE),
IF($A216&lt;'Pool &amp; SPA Pipe Extender'!$A$11,VLOOKUP($A216,'Pool &amp; SPA Pipe Extender'!$A$8:$M$10,11,FALSE),
IF($A216&lt;'PVC SCH80'!$A$250,VLOOKUP($A216,'PVC SCH80'!$A$8:$M$249,11,FALSE),
IF($A216&lt;'PVC SCH80 Flange'!$A$49,VLOOKUP($A216,'PVC SCH80 Flange'!$A$8:$M$48,11,FALSE),
IF($A216&lt;'PVC SCH80 LD Flange'!$A$17,VLOOKUP($A216,'PVC SCH80 LD Flange'!$A$8:$M$16,11,FALSE),
IF($A216&lt;CPVC!$A$105,VLOOKUP($A216,CPVC!$A$9:$M$104,11,FALSE),
IF($A216&lt;InsertFittings!$A$185,VLOOKUP($A216,InsertFittings!$A$9:$M$184,11,FALSE),
IF($A216&lt;Valves!$A$92,VLOOKUP($A216,Valves!$A$9:$Q$91,15,FALSE),
IF($A216&lt;SDR35SW!$A$133,VLOOKUP($A216,SDR35SW!$A$9:$M$132,11,FALSE),
IF($A216&lt;SDR35G!$A$151,VLOOKUP($A216,SDR35G!$A$9:$M$150,11,FALSE),                                                                                                                                                                                                                                                          IF($A216&lt;SDR26G!$A$67,VLOOKUP($A216,SDR26G!$A$9:$N$66,12,FALSE),                                                                                                                                                                                                                                                       IF($A216&lt;Cements!$A$95,VLOOKUP($A216,Cements!$A$8:$Q$94,15,FALSE),
IF($A216&lt;ValveBox!$A$124,VLOOKUP($A216,ValveBox!$A$9:$O$123,13,FALSE),
IF($A216&lt;'ValveBox Components'!$A$142,VLOOKUP($A216,'ValveBox Components'!$A$9:$N$141,12,FALSE),
IF($A216&lt;Drainage!$A$69,VLOOKUP($A216,Drainage!$A$8:$M$68,11,FALSE),                                                                                                                                                                                                                                                           IF($A216&lt;Nipples!$A$82,VLOOKUP($A216,Nipples!$A$9:$Q$81,15,FALSE),
IF($A216&lt;Manifold!$A$33,VLOOKUP($A216,Manifold!$A$9:$M$32,11,FALSE),
IF($A216&lt;FlexibleRepairCouplings!$A$12,VLOOKUP($A216,FlexibleRepairCouplings!$A$9:$M$11,11,FALSE),
IF($A216&lt;DuraFix!$A$15,VLOOKUP($A216,DuraFix!$A$9:$M$14,11,FALSE),                                                                                                                                                                                                                                                            IF($A216&lt;'Compression Fittings'!$A$16,VLOOKUP($A216,'Compression Fittings'!$A$8:$M$15,11,FALSE),
IF($A216&lt;'Hose Fittings'!$A$30,VLOOKUP($A216,'Hose Fittings'!$A$8:$M$29,11,FALSE),
IF($A216&lt;'Swing Joints'!$A$495,VLOOKUP($A216,'Swing Joints'!$A$9:$M$494,11,FALSE),
IF($A216&lt;'Swing Joints Components'!$A$135,VLOOKUP($A216,'Swing Joints Components'!$A$9:$M$134,11,FALSE),
IF($A216&lt;Nonstandard!$A$42,VLOOKUP($A216,Nonstandard!$A$31:$J$41,10,FALSE),"")))))))))))))))))))))))))))),"")</f>
        <v/>
      </c>
      <c r="H216" s="620" t="str">
        <f>IFERROR(IF($A216&lt;'DWV PVC'!$A$317,VLOOKUP($A216,'DWV PVC'!$A$9:$M$316,7,FALSE),
IF($A216&lt;'DWV ABS'!$A$117,VLOOKUP($A216,'DWV ABS'!$A$8:$M$116,11,FALSE),                                                                                                                                                                                                                                                     IF($A216&lt;'PVC SCH40'!$A$425,VLOOKUP($A216,'PVC SCH40'!$A$8:$M$424,7,FALSE),
IF($A216&lt;'PVC SCH40 LD'!$A$22,VLOOKUP($A216,'PVC SCH40 LD'!$A$8:$M$21,7,FALSE),
IF($A216&lt;'Pool &amp; SPA Sweep Elbows'!$A$12,VLOOKUP($A216,'Pool &amp; SPA Sweep Elbows'!$A$8:$M$11,7,FALSE),
IF($A216&lt;'Pool &amp; SPA Pipe Extender'!$A$11,VLOOKUP($A216,'Pool &amp; SPA Pipe Extender'!$A$8:$M$10,7,FALSE),
IF($A216&lt;'PVC SCH80'!$A$250,VLOOKUP($A216,'PVC SCH80'!$A$8:$M$249,7,FALSE),
IF($A216&lt;'PVC SCH80 Flange'!$A$49,VLOOKUP($A216,'PVC SCH80 Flange'!$A$8:$M$48,7,FALSE),
IF($A216&lt;'PVC SCH80 LD Flange'!$A$17,VLOOKUP($A216,'PVC SCH80 LD Flange'!$A$8:$M$16,7,FALSE),
IF($A216&lt;CPVC!$A$105,VLOOKUP($A216,CPVC!$A$9:$M$104,7,FALSE),
IF($A216&lt;InsertFittings!$A$185,VLOOKUP($A216,InsertFittings!$A$9:$M$184,7,FALSE),
IF($A216&lt;Valves!$A$92,VLOOKUP($A216,Valves!$A$9:$Q$91,11,FALSE),
IF($A216&lt;SDR35SW!$A$133,VLOOKUP($A216,SDR35SW!$A$9:$M$132,7,FALSE),
IF($A216&lt;SDR35G!$A$151,VLOOKUP($A216,SDR35G!$A$9:$M$150,7,FALSE),                                                                                                                                                                                                                                                       IF($A216&lt;SDR26G!$A$67,VLOOKUP($A216,SDR26G!$A$9:$N$66,8,FALSE),                                                                                                                                                                                                                                                     IF($A216&lt;Cements!$A$95,VLOOKUP($A216,Cements!$A$8:$Q$94,11,FALSE),
IF($A216&lt;ValveBox!$A$124,VLOOKUP($A216,ValveBox!$A$9:$O$123,10,FALSE),
IF($A216&lt;'ValveBox Components'!$A$142,VLOOKUP($A216,'ValveBox Components'!$A$9:$N$141,9,FALSE),
IF($A216&lt;Drainage!$A$69,VLOOKUP($A216,Drainage!$A$8:$M$68,7,FALSE),                                                                                                                                                                                                                                                          IF($A216&lt;Nipples!$A$82,VLOOKUP($A216,Nipples!$A$9:$Q$81,11,FALSE),
IF($A216&lt;Manifold!$A$33,VLOOKUP($A216,Manifold!$A$9:$M$32,7,FALSE),
IF($A216&lt;FlexibleRepairCouplings!$A$12,VLOOKUP($A216,FlexibleRepairCouplings!$A$9:$M$11,7,FALSE),
IF($A216&lt;DuraFix!$A$15,VLOOKUP($A216,DuraFix!$A$9:$M$14,7,FALSE),                                                                                                                                                                                                                                                           IF($A216&lt;'Compression Fittings'!$A$16,VLOOKUP($A216,'Compression Fittings'!$A$8:$M$15,7,FALSE),
IF($A216&lt;'Hose Fittings'!$A$30,VLOOKUP($A216,'Hose Fittings'!$A$8:$M$29,7,FALSE),
IF($A216&lt;'Swing Joints'!$A$495,VLOOKUP($A216,'Swing Joints'!$A$9:$M$494,7,FALSE),
IF($A216&lt;'Swing Joints Components'!$A$135,VLOOKUP($A216,'Swing Joints Components'!$A$9:$M$134,7,FALSE),
IF($A216&lt;Nonstandard!$A$42,VLOOKUP($A216,Nonstandard!$A$31:$J$41,10,FALSE),"")))))))))))))))))))))))))))),"")</f>
        <v/>
      </c>
      <c r="I216" s="621"/>
      <c r="J216" s="541" t="str">
        <f t="shared" si="5"/>
        <v/>
      </c>
      <c r="K216" s="599" t="str">
        <f>IFERROR(IF($A216&lt;'DWV PVC'!$A$317,VLOOKUP($A216,'DWV PVC'!$A$9:$M$316,10,FALSE),
IF($A216&lt;'DWV ABS'!$A$117,VLOOKUP($A216,'DWV ABS'!$A$8:$M$116,10,FALSE),
IF($A216&lt;'PVC SCH40'!$A$425,VLOOKUP($A216,'PVC SCH40'!$A$8:$M$424,10,FALSE),
IF($A216&lt;'PVC SCH40 LD'!$A$22,VLOOKUP($A216,'PVC SCH40 LD'!$A$8:$M$21,10,FALSE),
IF($A216&lt;'Pool &amp; SPA Sweep Elbows'!$A$12,VLOOKUP($A216,'Pool &amp; SPA Sweep Elbows'!$A$8:$M$11,10,FALSE),
IF($A216&lt;'Pool &amp; SPA Pipe Extender'!$A$11,VLOOKUP($A216,'Pool &amp; SPA Pipe Extender'!$A$8:$M$10,10,FALSE),
IF($A216&lt;'PVC SCH80'!$A$250,VLOOKUP($A216,'PVC SCH80'!$A$8:$M$249,10,FALSE),
IF($A216&lt;'PVC SCH80 Flange'!$A$49,VLOOKUP($A216,'PVC SCH80 Flange'!$A$8:$M$48,10,FALSE),
IF($A216&lt;'PVC SCH80 LD Flange'!$A$17,VLOOKUP($A216,'PVC SCH80 LD Flange'!$A$8:$M$16,10,FALSE),
IF($A216&lt;CPVC!$A$105,VLOOKUP($A216,CPVC!$A$9:$M$104,10,FALSE),
IF($A216&lt;InsertFittings!$A$185,VLOOKUP($A216,InsertFittings!$A$9:$M$184,10,FALSE),
IF($A216&lt;Valves!$A$92,VLOOKUP($A216,Valves!$A$9:$Q$91,14,FALSE),
IF($A216&lt;SDR35SW!$A$133,VLOOKUP($A216,SDR35SW!$A$9:$M$132,10,FALSE),
IF($A216&lt;SDR35G!$A$151,VLOOKUP($A216,SDR35G!$A$9:$M$150,10,FALSE),
IF($A216&lt;SDR26G!$A$67,VLOOKUP($A216,SDR26G!$A$9:$N$66,11,FALSE),
IF($A216&lt;Cements!$A$95,VLOOKUP($A216,Cements!$A$8:$Q$94,14,FALSE),
IF($A216&lt;ValveBox!$A$124,VLOOKUP($A216,ValveBox!$A$9:$O$123,12,FALSE),
IF($A216&lt;'ValveBox Components'!$A$142,VLOOKUP($A216,'ValveBox Components'!$A$9:$N$141,11,FALSE),
IF($A216&lt;Drainage!$A$69,VLOOKUP($A216,Drainage!$A$8:$M$68,10,FALSE),
IF($A216&lt;Nipples!$A$82,VLOOKUP($A216,Nipples!$A$9:$Q$81,14,FALSE),
IF($A216&lt;Manifold!$A$33,VLOOKUP($A216,Manifold!$A$9:$M$32,10,FALSE),
IF($A216&lt;FlexibleRepairCouplings!$A$12,VLOOKUP($A216,FlexibleRepairCouplings!$A$9:$M$11,10,FALSE),
IF($A216&lt;DuraFix!$A$15,VLOOKUP($A216,DuraFix!$A$9:$M$14,10,FALSE),
IF($A216&lt;'Compression Fittings'!$A$16,VLOOKUP($A216,'Compression Fittings'!$A$8:$M$15,10,FALSE),
IF($A216&lt;'Hose Fittings'!$A$30,VLOOKUP($A216,'Hose Fittings'!$A$8:$M$29,10,FALSE),
IF($A216&lt;'Swing Joints'!$A$495,VLOOKUP($A216,'Swing Joints'!$A$9:$M$494,10,FALSE),
IF($A216&lt;'Swing Joints Components'!$A$135,VLOOKUP($A216,'Swing Joints Components'!$A$9:$M$134,10,FALSE),
IF($A216&lt;Nonstandard!$A$42,VLOOKUP($A216,Nonstandard!$A$31:$J$41,10,FALSE),"")))))))))))))))))))))))))))),"")</f>
        <v/>
      </c>
      <c r="L216" s="539" t="str">
        <f t="shared" si="4"/>
        <v>-</v>
      </c>
      <c r="M216" s="542"/>
    </row>
    <row r="217" spans="1:13" ht="15.6">
      <c r="A217" s="312">
        <v>185</v>
      </c>
      <c r="B217" s="312" t="str">
        <f>IFERROR(IF($A217&lt;'DWV PVC'!$A$317,VLOOKUP($A217,'DWV PVC'!$A$9:$M$316,4,FALSE),
IF($A217&lt;'DWV ABS'!$A$117,VLOOKUP($A217,'DWV ABS'!$A$8:$M$116,4,FALSE),
IF($A217&lt;'PVC SCH40'!$A$425,VLOOKUP($A217,'PVC SCH40'!$A$8:$M$424,4,FALSE),
IF($A217&lt;'PVC SCH40 LD'!$A$22,VLOOKUP($A217,'PVC SCH40 LD'!$A$8:$M$21,4,FALSE),
IF($A217&lt;'Pool &amp; SPA Sweep Elbows'!$A$12,VLOOKUP($A217,'Pool &amp; SPA Sweep Elbows'!$A$8:$M$11,4,FALSE),
IF($A217&lt;'Pool &amp; SPA Pipe Extender'!$A$11,VLOOKUP($A217,'Pool &amp; SPA Pipe Extender'!$A$8:$M$10,4,FALSE),
IF($A217&lt;'PVC SCH80'!$A$250,VLOOKUP($A217,'PVC SCH80'!$A$8:$M$249,4,FALSE),
IF($A217&lt;'PVC SCH80 Flange'!$A$49,VLOOKUP($A217,'PVC SCH80 Flange'!$A$8:$M$48,4,FALSE),
IF($A217&lt;'PVC SCH80 LD Flange'!$A$17,VLOOKUP($A217,'PVC SCH80 LD Flange'!$A$8:$M$16,4,FALSE),
IF($A217&lt;CPVC!$A$105,VLOOKUP($A217,CPVC!$A$9:$M$104,4,FALSE),
IF($A217&lt;InsertFittings!$A$185,VLOOKUP($A217,InsertFittings!$A$9:$M$184,4,FALSE),
IF($A217&lt;Valves!$A$92,VLOOKUP($A217,Valves!$A$9:$Q$91,4,FALSE),
IF($A217&lt;SDR35SW!$A$133,VLOOKUP($A217,SDR35SW!$A$9:$M$132,4,FALSE),
IF($A217&lt;SDR35G!$A$151,VLOOKUP($A217,SDR35G!$A$9:$M$150,4,FALSE),
IF($A217&lt;SDR26G!$A$67,VLOOKUP($A217,SDR26G!$A$9:$N$66,5,FALSE),
IF($A217&lt;Cements!$A$95,VLOOKUP($A217,Cements!$A$8:$Q$94,4,FALSE),
IF($A217&lt;ValveBox!$A$124,VLOOKUP($A217,ValveBox!$A$9:$O$123,4,FALSE),
IF($A217&lt;'ValveBox Components'!$A$142,VLOOKUP($A217,'ValveBox Components'!$A$9:$N$141,4,FALSE),
IF($A217&lt;Drainage!$A$69,VLOOKUP($A217,Drainage!$A$8:$M$68,4,FALSE),
IF($A217&lt;Nipples!$A$82,VLOOKUP($A217,Nipples!$A$9:$Q$81,4,FALSE),
IF($A217&lt;Manifold!$A$33,VLOOKUP($A217,Manifold!$A$9:$M$32,4,FALSE),
IF($A217&lt;FlexibleRepairCouplings!$A$12,VLOOKUP($A217,FlexibleRepairCouplings!$A$9:$M$11,4,FALSE),
IF($A217&lt;DuraFix!$A$15,VLOOKUP($A217,DuraFix!$A$9:$M$14,4,FALSE),
IF($A217&lt;'Compression Fittings'!$A$16,VLOOKUP($A217,'Compression Fittings'!$A$8:$M$15,4,FALSE),
IF($A217&lt;'Hose Fittings'!$A$30,VLOOKUP($A217,'Hose Fittings'!$A$8:$M$29,4,FALSE),
IF($A217&lt;'Swing Joints'!$A$495,VLOOKUP($A217,'Swing Joints'!$A$9:$M$494,4,FALSE),
IF($A217&lt;'Swing Joints Components'!$A$135,VLOOKUP($A217,'Swing Joints Components'!$A$9:$M$134,4,FALSE),
IF($A217&lt;Nonstandard!$A$42,VLOOKUP($A217,Nonstandard!$A$31:$J$41,5,FALSE),"")))))))))))))))))))))))))))),"")</f>
        <v/>
      </c>
      <c r="C217" s="312" t="str">
        <f>IFERROR(IF($A217&lt;'DWV PVC'!$A$317,VLOOKUP($A217,'DWV PVC'!$A$9:$M$316,5,FALSE),
IF($A217&lt;'DWV ABS'!$A$117,VLOOKUP($A217,'DWV ABS'!$A$8:$M$116,5,FALSE),
IF($A217&lt;'PVC SCH40'!$A$425,VLOOKUP($A217,'PVC SCH40'!$A$8:$M$424,5,FALSE),
IF($A217&lt;'PVC SCH40 LD'!$A$22,VLOOKUP($A217,'PVC SCH40 LD'!$A$8:$M$21,5,FALSE),
IF($A217&lt;'Pool &amp; SPA Sweep Elbows'!$A$12,VLOOKUP($A217,'Pool &amp; SPA Sweep Elbows'!$A$8:$M$11,5,FALSE),
IF($A217&lt;'Pool &amp; SPA Pipe Extender'!$A$11,VLOOKUP($A217,'Pool &amp; SPA Pipe Extender'!$A$8:$M$10,5,FALSE),
IF($A217&lt;'PVC SCH80'!$A$250,VLOOKUP($A217,'PVC SCH80'!$A$8:$M$249,5,FALSE),
IF($A217&lt;'PVC SCH80 Flange'!$A$49,VLOOKUP($A217,'PVC SCH80 Flange'!$A$8:$M$48,5,FALSE),
IF($A217&lt;'PVC SCH80 LD Flange'!$A$17,VLOOKUP($A217,'PVC SCH80 LD Flange'!$A$8:$M$16,5,FALSE),
IF($A217&lt;CPVC!$A$105,VLOOKUP($A217,CPVC!$A$9:$M$104,5,FALSE),
IF($A217&lt;InsertFittings!$A$185,VLOOKUP($A217,InsertFittings!$A$9:$M$184,5,FALSE),
IF($A217&lt;Valves!$A$92,VLOOKUP($A217,Valves!$A$9:$Q$91,5,FALSE),
IF($A217&lt;SDR35SW!$A$133,VLOOKUP($A217,SDR35SW!$A$9:$M$132,5,FALSE),
IF($A217&lt;SDR35G!$A$151,VLOOKUP($A217,SDR35G!$A$9:$M$150,5,FALSE),
IF($A217&lt;SDR26G!$A$67,VLOOKUP($A217,SDR26G!$A$9:$N$66,6,FALSE),
IF($A217&lt;Cements!$A$95,VLOOKUP($A217,Cements!$A$8:$Q$94,5,FALSE),
IF($A217&lt;ValveBox!$A$124,VLOOKUP($A217,ValveBox!$A$9:$O$123,5,FALSE),
IF($A217&lt;'ValveBox Components'!$A$142,VLOOKUP($A217,'ValveBox Components'!$A$9:$N$141,5,FALSE),
IF($A217&lt;Drainage!$A$69,VLOOKUP($A217,Drainage!$A$8:$M$68,5,FALSE),
IF($A217&lt;Nipples!$A$82,VLOOKUP($A217,Nipples!$A$9:$Q$81,5,FALSE),
IF($A217&lt;Manifold!$A$33,VLOOKUP($A217,Manifold!$A$9:$M$32,5,FALSE),
IF($A217&lt;FlexibleRepairCouplings!$A$12,VLOOKUP($A217,FlexibleRepairCouplings!$A$9:$M$11,5,FALSE),
IF($A217&lt;DuraFix!$A$15,VLOOKUP($A217,DuraFix!$A$9:$M$14,5,FALSE),
IF($A217&lt;'Compression Fittings'!$A$16,VLOOKUP($A217,'Compression Fittings'!$A$8:$M$15,5,FALSE),
IF($A217&lt;'Hose Fittings'!$A$30,VLOOKUP($A217,'Hose Fittings'!$A$8:$M$29,5,FALSE),
IF($A217&lt;'Swing Joints'!$A$495,VLOOKUP($A217,'Swing Joints'!$A$9:$M$494,5,FALSE),
IF($A217&lt;'Swing Joints Components'!$A$135,VLOOKUP($A217,'Swing Joints Components'!$A$9:$M$134,5,FALSE),
IF($A217&lt;Nonstandard!$A$42,VLOOKUP($A217,Nonstandard!$A$31:$J$41,6,FALSE),"")))))))))))))))))))))))))))),"")</f>
        <v/>
      </c>
      <c r="D217" s="534" t="str">
        <f>IFERROR(IF($A217&lt;'DWV PVC'!$A$317,VLOOKUP($A217,'DWV PVC'!$A$9:$M$316,6,FALSE),
IF($A217&lt;'DWV ABS'!$A$117,VLOOKUP($A217,'DWV ABS'!$A$8:$M$116,6,FALSE),
IF($A217&lt;'PVC SCH40'!$A$425,VLOOKUP($A217,'PVC SCH40'!$A$8:$M$424,6,FALSE),
IF($A217&lt;'PVC SCH40 LD'!$A$22,VLOOKUP($A217,'PVC SCH40 LD'!$A$8:$M$21,6,FALSE),
IF($A217&lt;'Pool &amp; SPA Sweep Elbows'!$A$12,VLOOKUP($A217,'Pool &amp; SPA Sweep Elbows'!$A$8:$M$11,6,FALSE),
IF($A217&lt;'Pool &amp; SPA Pipe Extender'!$A$11,VLOOKUP($A217,'Pool &amp; SPA Pipe Extender'!$A$8:$M$10,6,FALSE),
IF($A217&lt;'PVC SCH80'!$A$250,VLOOKUP($A217,'PVC SCH80'!$A$8:$M$249,6,FALSE),
IF($A217&lt;'PVC SCH80 Flange'!$A$49,VLOOKUP($A217,'PVC SCH80 Flange'!$A$8:$M$48,6,FALSE),
IF($A217&lt;'PVC SCH80 LD Flange'!$A$17,VLOOKUP($A217,'PVC SCH80 LD Flange'!$A$8:$M$16,6,FALSE),
IF($A217&lt;CPVC!$A$105,VLOOKUP($A217,CPVC!$A$9:$M$104,6,FALSE),
IF($A217&lt;InsertFittings!$A$185,VLOOKUP($A217,InsertFittings!$A$9:$M$184,6,FALSE),
IF($A217&lt;Valves!$A$92,VLOOKUP($A217,Valves!$A$9:$Q$91,6,FALSE),
IF($A217&lt;SDR35SW!$A$133,VLOOKUP($A217,SDR35SW!$A$9:$M$132,6,FALSE),
IF($A217&lt;SDR35G!$A$151,VLOOKUP($A217,SDR35G!$A$9:$M$150,6,FALSE),
IF($A217&lt;SDR26G!$A$67,VLOOKUP($A217,SDR26G!$A$9:$N$66,7,FALSE),
IF($A217&lt;Cements!$A$95,VLOOKUP($A217,Cements!$A$8:$Q$94,6,FALSE),
IF($A217&lt;ValveBox!$A$124,VLOOKUP($A217,ValveBox!$A$9:$O$123,6,FALSE),
IF($A217&lt;'ValveBox Components'!$A$142,VLOOKUP($A217,'ValveBox Components'!$A$9:$N$141,6,FALSE),
IF($A217&lt;Drainage!$A$69,VLOOKUP($A217,Drainage!$A$8:$M$68,6,FALSE),
IF($A217&lt;Nipples!$A$82,VLOOKUP($A217,Nipples!$A$9:$Q$81,6,FALSE),
IF($A217&lt;Manifold!$A$33,VLOOKUP($A217,Manifold!$A$9:$M$32,6,FALSE),
IF($A217&lt;FlexibleRepairCouplings!$A$12,VLOOKUP($A217,FlexibleRepairCouplings!$A$9:$M$11,6,FALSE),
IF($A217&lt;DuraFix!$A$15,VLOOKUP($A217,DuraFix!$A$9:$M$14,6,FALSE),
IF($A217&lt;'Compression Fittings'!$A$16,VLOOKUP($A217,'Compression Fittings'!$A$8:$M$15,6,FALSE),
IF($A217&lt;'Hose Fittings'!$A$30,VLOOKUP($A217,'Hose Fittings'!$A$8:$M$29,6,FALSE),
IF($A217&lt;'Swing Joints'!$A$495,VLOOKUP($A217,'Swing Joints'!$A$9:$M$494,6,FALSE),
IF($A217&lt;'Swing Joints Components'!$A$135,VLOOKUP($A217,'Swing Joints Components'!$A$9:$M$134,6,FALSE),
IF($A217&lt;Nonstandard!$A$42,VLOOKUP($A217,Nonstandard!$A$31:$J$41,7,FALSE),"")))))))))))))))))))))))))))),"")</f>
        <v/>
      </c>
      <c r="E217" s="316"/>
      <c r="F217" s="314" t="str">
        <f>IFERROR(IF($A217&lt;'DWV PVC'!$A$317,VLOOKUP($A217,'DWV PVC'!$A$9:$M$316,9,FALSE),
IF($A217&lt;'DWV ABS'!$A$117,VLOOKUP($A217,'DWV ABS'!$A$8:$M$116,9,FALSE),                                                                                                                                                                                                                                                     IF($A217&lt;'PVC SCH40'!$A$425,VLOOKUP($A217,'PVC SCH40'!$A$8:$M$424,9,FALSE),
IF($A217&lt;'PVC SCH40 LD'!$A$22,VLOOKUP($A217,'PVC SCH40 LD'!$A$8:$M$21,9,FALSE),
IF($A217&lt;'Pool &amp; SPA Sweep Elbows'!$A$12,VLOOKUP($A217,'Pool &amp; SPA Sweep Elbows'!$A$8:$M$11,9,FALSE),
IF($A217&lt;'Pool &amp; SPA Pipe Extender'!$A$11,VLOOKUP($A217,'Pool &amp; SPA Pipe Extender'!$A$8:$M$10,9,FALSE),
IF($A217&lt;'PVC SCH80'!$A$250,VLOOKUP($A217,'PVC SCH80'!$A$8:$M$249,9,FALSE),
IF($A217&lt;'PVC SCH80 Flange'!$A$49,VLOOKUP($A217,'PVC SCH80 Flange'!$A$8:$M$48,9,FALSE),
IF($A217&lt;'PVC SCH80 LD Flange'!$A$17,VLOOKUP($A217,'PVC SCH80 LD Flange'!$A$8:$M$16,9,FALSE),
IF($A217&lt;CPVC!$A$105,VLOOKUP($A217,CPVC!$A$9:$M$104,9,FALSE),
IF($A217&lt;InsertFittings!$A$185,VLOOKUP($A217,InsertFittings!$A$9:$M$184,9,FALSE),
IF($A217&lt;Valves!$A$92,VLOOKUP($A217,Valves!$A$9:$Q$91,13,FALSE),
IF($A217&lt;SDR35SW!$A$133,VLOOKUP($A217,SDR35SW!$A$9:$M$132,9,FALSE),
IF($A217&lt;SDR35G!$A$151,VLOOKUP($A217,SDR35G!$A$9:$M$150,9,FALSE),                                                                                                                                                                                                                                                          IF($A217&lt;SDR26G!$A$67,VLOOKUP($A217,SDR26G!$A$9:$N$66,10,FALSE),                                                                                                                                                                                                                                                       IF($A217&lt;Cements!$A$95,VLOOKUP($A217,Cements!$A$8:$Q$94,13,FALSE),
IF($A217&lt;ValveBox!$A$124,VLOOKUP($A217,ValveBox!$A$9:$O$123,11,FALSE),
IF($A217&lt;'ValveBox Components'!$A$142,VLOOKUP($A217,'ValveBox Components'!$A$9:$N$141,10,FALSE),
IF($A217&lt;Drainage!$A$69,VLOOKUP($A217,Drainage!$A$8:$M$68,9,FALSE),                                                                                                                                                                                                                                                              IF($A217&lt;Nipples!$A$82,VLOOKUP($A217,Nipples!$A$9:$Q$81,13,FALSE),
IF($A217&lt;Manifold!$A$33,VLOOKUP($A217,Manifold!$A$9:$M$32,9,FALSE),
IF($A217&lt;FlexibleRepairCouplings!$A$12,VLOOKUP($A217,FlexibleRepairCouplings!$A$9:$M$11,9,FALSE),
IF($A217&lt;DuraFix!$A$15,VLOOKUP($A217,DuraFix!$A$9:$M$14,9,FALSE),                                                                                                                                                                                                                                                          IF($A217&lt;'Compression Fittings'!$A$16,VLOOKUP($A217,'Compression Fittings'!$A$8:$M$15,9,FALSE),
IF($A217&lt;'Hose Fittings'!$A$30,VLOOKUP($A217,'Hose Fittings'!$A$8:$M$29,9,FALSE),
IF($A217&lt;'Swing Joints'!$A$495,VLOOKUP($A217,'Swing Joints'!$A$9:$M$494,9,FALSE),
IF($A217&lt;'Swing Joints Components'!$A$135,VLOOKUP($A217,'Swing Joints Components'!$A$9:$M$134,9,FALSE),
IF($A217&lt;Nonstandard!$A$42,VLOOKUP($A217,Nonstandard!$A$31:$J$41,8,FALSE),"")))))))))))))))))))))))))))),"")</f>
        <v/>
      </c>
      <c r="G217" s="533" t="str">
        <f>IFERROR(IF($A217&lt;'DWV PVC'!$A$317,VLOOKUP($A217,'DWV PVC'!$A$9:$M$316,11,FALSE),
IF($A217&lt;'DWV ABS'!$A$117,VLOOKUP($A217,'DWV ABS'!$A$8:$M$116,11,FALSE),                                                                                                                                                                                                                                                     IF($A217&lt;'PVC SCH40'!$A$425,VLOOKUP($A217,'PVC SCH40'!$A$8:$M$424,11,FALSE),
IF($A217&lt;'PVC SCH40 LD'!$A$22,VLOOKUP($A217,'PVC SCH40 LD'!$A$8:$M$21,11,FALSE),
IF($A217&lt;'Pool &amp; SPA Sweep Elbows'!$A$12,VLOOKUP($A217,'Pool &amp; SPA Sweep Elbows'!$A$8:$M$11,11,FALSE),
IF($A217&lt;'Pool &amp; SPA Pipe Extender'!$A$11,VLOOKUP($A217,'Pool &amp; SPA Pipe Extender'!$A$8:$M$10,11,FALSE),
IF($A217&lt;'PVC SCH80'!$A$250,VLOOKUP($A217,'PVC SCH80'!$A$8:$M$249,11,FALSE),
IF($A217&lt;'PVC SCH80 Flange'!$A$49,VLOOKUP($A217,'PVC SCH80 Flange'!$A$8:$M$48,11,FALSE),
IF($A217&lt;'PVC SCH80 LD Flange'!$A$17,VLOOKUP($A217,'PVC SCH80 LD Flange'!$A$8:$M$16,11,FALSE),
IF($A217&lt;CPVC!$A$105,VLOOKUP($A217,CPVC!$A$9:$M$104,11,FALSE),
IF($A217&lt;InsertFittings!$A$185,VLOOKUP($A217,InsertFittings!$A$9:$M$184,11,FALSE),
IF($A217&lt;Valves!$A$92,VLOOKUP($A217,Valves!$A$9:$Q$91,15,FALSE),
IF($A217&lt;SDR35SW!$A$133,VLOOKUP($A217,SDR35SW!$A$9:$M$132,11,FALSE),
IF($A217&lt;SDR35G!$A$151,VLOOKUP($A217,SDR35G!$A$9:$M$150,11,FALSE),                                                                                                                                                                                                                                                          IF($A217&lt;SDR26G!$A$67,VLOOKUP($A217,SDR26G!$A$9:$N$66,12,FALSE),                                                                                                                                                                                                                                                       IF($A217&lt;Cements!$A$95,VLOOKUP($A217,Cements!$A$8:$Q$94,15,FALSE),
IF($A217&lt;ValveBox!$A$124,VLOOKUP($A217,ValveBox!$A$9:$O$123,13,FALSE),
IF($A217&lt;'ValveBox Components'!$A$142,VLOOKUP($A217,'ValveBox Components'!$A$9:$N$141,12,FALSE),
IF($A217&lt;Drainage!$A$69,VLOOKUP($A217,Drainage!$A$8:$M$68,11,FALSE),                                                                                                                                                                                                                                                           IF($A217&lt;Nipples!$A$82,VLOOKUP($A217,Nipples!$A$9:$Q$81,15,FALSE),
IF($A217&lt;Manifold!$A$33,VLOOKUP($A217,Manifold!$A$9:$M$32,11,FALSE),
IF($A217&lt;FlexibleRepairCouplings!$A$12,VLOOKUP($A217,FlexibleRepairCouplings!$A$9:$M$11,11,FALSE),
IF($A217&lt;DuraFix!$A$15,VLOOKUP($A217,DuraFix!$A$9:$M$14,11,FALSE),                                                                                                                                                                                                                                                            IF($A217&lt;'Compression Fittings'!$A$16,VLOOKUP($A217,'Compression Fittings'!$A$8:$M$15,11,FALSE),
IF($A217&lt;'Hose Fittings'!$A$30,VLOOKUP($A217,'Hose Fittings'!$A$8:$M$29,11,FALSE),
IF($A217&lt;'Swing Joints'!$A$495,VLOOKUP($A217,'Swing Joints'!$A$9:$M$494,11,FALSE),
IF($A217&lt;'Swing Joints Components'!$A$135,VLOOKUP($A217,'Swing Joints Components'!$A$9:$M$134,11,FALSE),
IF($A217&lt;Nonstandard!$A$42,VLOOKUP($A217,Nonstandard!$A$31:$J$41,10,FALSE),"")))))))))))))))))))))))))))),"")</f>
        <v/>
      </c>
      <c r="H217" s="618" t="str">
        <f>IFERROR(IF($A217&lt;'DWV PVC'!$A$317,VLOOKUP($A217,'DWV PVC'!$A$9:$M$316,7,FALSE),
IF($A217&lt;'DWV ABS'!$A$117,VLOOKUP($A217,'DWV ABS'!$A$8:$M$116,11,FALSE),                                                                                                                                                                                                                                                     IF($A217&lt;'PVC SCH40'!$A$425,VLOOKUP($A217,'PVC SCH40'!$A$8:$M$424,7,FALSE),
IF($A217&lt;'PVC SCH40 LD'!$A$22,VLOOKUP($A217,'PVC SCH40 LD'!$A$8:$M$21,7,FALSE),
IF($A217&lt;'Pool &amp; SPA Sweep Elbows'!$A$12,VLOOKUP($A217,'Pool &amp; SPA Sweep Elbows'!$A$8:$M$11,7,FALSE),
IF($A217&lt;'Pool &amp; SPA Pipe Extender'!$A$11,VLOOKUP($A217,'Pool &amp; SPA Pipe Extender'!$A$8:$M$10,7,FALSE),
IF($A217&lt;'PVC SCH80'!$A$250,VLOOKUP($A217,'PVC SCH80'!$A$8:$M$249,7,FALSE),
IF($A217&lt;'PVC SCH80 Flange'!$A$49,VLOOKUP($A217,'PVC SCH80 Flange'!$A$8:$M$48,7,FALSE),
IF($A217&lt;'PVC SCH80 LD Flange'!$A$17,VLOOKUP($A217,'PVC SCH80 LD Flange'!$A$8:$M$16,7,FALSE),
IF($A217&lt;CPVC!$A$105,VLOOKUP($A217,CPVC!$A$9:$M$104,7,FALSE),
IF($A217&lt;InsertFittings!$A$185,VLOOKUP($A217,InsertFittings!$A$9:$M$184,7,FALSE),
IF($A217&lt;Valves!$A$92,VLOOKUP($A217,Valves!$A$9:$Q$91,11,FALSE),
IF($A217&lt;SDR35SW!$A$133,VLOOKUP($A217,SDR35SW!$A$9:$M$132,7,FALSE),
IF($A217&lt;SDR35G!$A$151,VLOOKUP($A217,SDR35G!$A$9:$M$150,7,FALSE),                                                                                                                                                                                                                                                       IF($A217&lt;SDR26G!$A$67,VLOOKUP($A217,SDR26G!$A$9:$N$66,8,FALSE),                                                                                                                                                                                                                                                     IF($A217&lt;Cements!$A$95,VLOOKUP($A217,Cements!$A$8:$Q$94,11,FALSE),
IF($A217&lt;ValveBox!$A$124,VLOOKUP($A217,ValveBox!$A$9:$O$123,10,FALSE),
IF($A217&lt;'ValveBox Components'!$A$142,VLOOKUP($A217,'ValveBox Components'!$A$9:$N$141,9,FALSE),
IF($A217&lt;Drainage!$A$69,VLOOKUP($A217,Drainage!$A$8:$M$68,7,FALSE),                                                                                                                                                                                                                                                          IF($A217&lt;Nipples!$A$82,VLOOKUP($A217,Nipples!$A$9:$Q$81,11,FALSE),
IF($A217&lt;Manifold!$A$33,VLOOKUP($A217,Manifold!$A$9:$M$32,7,FALSE),
IF($A217&lt;FlexibleRepairCouplings!$A$12,VLOOKUP($A217,FlexibleRepairCouplings!$A$9:$M$11,7,FALSE),
IF($A217&lt;DuraFix!$A$15,VLOOKUP($A217,DuraFix!$A$9:$M$14,7,FALSE),                                                                                                                                                                                                                                                           IF($A217&lt;'Compression Fittings'!$A$16,VLOOKUP($A217,'Compression Fittings'!$A$8:$M$15,7,FALSE),
IF($A217&lt;'Hose Fittings'!$A$30,VLOOKUP($A217,'Hose Fittings'!$A$8:$M$29,7,FALSE),
IF($A217&lt;'Swing Joints'!$A$495,VLOOKUP($A217,'Swing Joints'!$A$9:$M$494,7,FALSE),
IF($A217&lt;'Swing Joints Components'!$A$135,VLOOKUP($A217,'Swing Joints Components'!$A$9:$M$134,7,FALSE),
IF($A217&lt;Nonstandard!$A$42,VLOOKUP($A217,Nonstandard!$A$31:$J$41,10,FALSE),"")))))))))))))))))))))))))))),"")</f>
        <v/>
      </c>
      <c r="I217" s="619"/>
      <c r="J217" s="281" t="str">
        <f t="shared" si="5"/>
        <v/>
      </c>
      <c r="K217" s="313" t="str">
        <f>IFERROR(IF($A217&lt;'DWV PVC'!$A$317,VLOOKUP($A217,'DWV PVC'!$A$9:$M$316,10,FALSE),
IF($A217&lt;'DWV ABS'!$A$117,VLOOKUP($A217,'DWV ABS'!$A$8:$M$116,10,FALSE),
IF($A217&lt;'PVC SCH40'!$A$425,VLOOKUP($A217,'PVC SCH40'!$A$8:$M$424,10,FALSE),
IF($A217&lt;'PVC SCH40 LD'!$A$22,VLOOKUP($A217,'PVC SCH40 LD'!$A$8:$M$21,10,FALSE),
IF($A217&lt;'Pool &amp; SPA Sweep Elbows'!$A$12,VLOOKUP($A217,'Pool &amp; SPA Sweep Elbows'!$A$8:$M$11,10,FALSE),
IF($A217&lt;'Pool &amp; SPA Pipe Extender'!$A$11,VLOOKUP($A217,'Pool &amp; SPA Pipe Extender'!$A$8:$M$10,10,FALSE),
IF($A217&lt;'PVC SCH80'!$A$250,VLOOKUP($A217,'PVC SCH80'!$A$8:$M$249,10,FALSE),
IF($A217&lt;'PVC SCH80 Flange'!$A$49,VLOOKUP($A217,'PVC SCH80 Flange'!$A$8:$M$48,10,FALSE),
IF($A217&lt;'PVC SCH80 LD Flange'!$A$17,VLOOKUP($A217,'PVC SCH80 LD Flange'!$A$8:$M$16,10,FALSE),
IF($A217&lt;CPVC!$A$105,VLOOKUP($A217,CPVC!$A$9:$M$104,10,FALSE),
IF($A217&lt;InsertFittings!$A$185,VLOOKUP($A217,InsertFittings!$A$9:$M$184,10,FALSE),
IF($A217&lt;Valves!$A$92,VLOOKUP($A217,Valves!$A$9:$Q$91,14,FALSE),
IF($A217&lt;SDR35SW!$A$133,VLOOKUP($A217,SDR35SW!$A$9:$M$132,10,FALSE),
IF($A217&lt;SDR35G!$A$151,VLOOKUP($A217,SDR35G!$A$9:$M$150,10,FALSE),
IF($A217&lt;SDR26G!$A$67,VLOOKUP($A217,SDR26G!$A$9:$N$66,11,FALSE),
IF($A217&lt;Cements!$A$95,VLOOKUP($A217,Cements!$A$8:$Q$94,14,FALSE),
IF($A217&lt;ValveBox!$A$124,VLOOKUP($A217,ValveBox!$A$9:$O$123,12,FALSE),
IF($A217&lt;'ValveBox Components'!$A$142,VLOOKUP($A217,'ValveBox Components'!$A$9:$N$141,11,FALSE),
IF($A217&lt;Drainage!$A$69,VLOOKUP($A217,Drainage!$A$8:$M$68,10,FALSE),
IF($A217&lt;Nipples!$A$82,VLOOKUP($A217,Nipples!$A$9:$Q$81,14,FALSE),
IF($A217&lt;Manifold!$A$33,VLOOKUP($A217,Manifold!$A$9:$M$32,10,FALSE),
IF($A217&lt;FlexibleRepairCouplings!$A$12,VLOOKUP($A217,FlexibleRepairCouplings!$A$9:$M$11,10,FALSE),
IF($A217&lt;DuraFix!$A$15,VLOOKUP($A217,DuraFix!$A$9:$M$14,10,FALSE),
IF($A217&lt;'Compression Fittings'!$A$16,VLOOKUP($A217,'Compression Fittings'!$A$8:$M$15,10,FALSE),
IF($A217&lt;'Hose Fittings'!$A$30,VLOOKUP($A217,'Hose Fittings'!$A$8:$M$29,10,FALSE),
IF($A217&lt;'Swing Joints'!$A$495,VLOOKUP($A217,'Swing Joints'!$A$9:$M$494,10,FALSE),
IF($A217&lt;'Swing Joints Components'!$A$135,VLOOKUP($A217,'Swing Joints Components'!$A$9:$M$134,10,FALSE),
IF($A217&lt;Nonstandard!$A$42,VLOOKUP($A217,Nonstandard!$A$31:$J$41,10,FALSE),"")))))))))))))))))))))))))))),"")</f>
        <v/>
      </c>
      <c r="L217" s="314" t="str">
        <f t="shared" si="4"/>
        <v>-</v>
      </c>
      <c r="M217" s="315"/>
    </row>
    <row r="218" spans="1:13" ht="15.6">
      <c r="A218" s="536">
        <v>186</v>
      </c>
      <c r="B218" s="536" t="str">
        <f>IFERROR(IF($A218&lt;'DWV PVC'!$A$317,VLOOKUP($A218,'DWV PVC'!$A$9:$M$316,4,FALSE),
IF($A218&lt;'DWV ABS'!$A$117,VLOOKUP($A218,'DWV ABS'!$A$8:$M$116,4,FALSE),
IF($A218&lt;'PVC SCH40'!$A$425,VLOOKUP($A218,'PVC SCH40'!$A$8:$M$424,4,FALSE),
IF($A218&lt;'PVC SCH40 LD'!$A$22,VLOOKUP($A218,'PVC SCH40 LD'!$A$8:$M$21,4,FALSE),
IF($A218&lt;'Pool &amp; SPA Sweep Elbows'!$A$12,VLOOKUP($A218,'Pool &amp; SPA Sweep Elbows'!$A$8:$M$11,4,FALSE),
IF($A218&lt;'Pool &amp; SPA Pipe Extender'!$A$11,VLOOKUP($A218,'Pool &amp; SPA Pipe Extender'!$A$8:$M$10,4,FALSE),
IF($A218&lt;'PVC SCH80'!$A$250,VLOOKUP($A218,'PVC SCH80'!$A$8:$M$249,4,FALSE),
IF($A218&lt;'PVC SCH80 Flange'!$A$49,VLOOKUP($A218,'PVC SCH80 Flange'!$A$8:$M$48,4,FALSE),
IF($A218&lt;'PVC SCH80 LD Flange'!$A$17,VLOOKUP($A218,'PVC SCH80 LD Flange'!$A$8:$M$16,4,FALSE),
IF($A218&lt;CPVC!$A$105,VLOOKUP($A218,CPVC!$A$9:$M$104,4,FALSE),
IF($A218&lt;InsertFittings!$A$185,VLOOKUP($A218,InsertFittings!$A$9:$M$184,4,FALSE),
IF($A218&lt;Valves!$A$92,VLOOKUP($A218,Valves!$A$9:$Q$91,4,FALSE),
IF($A218&lt;SDR35SW!$A$133,VLOOKUP($A218,SDR35SW!$A$9:$M$132,4,FALSE),
IF($A218&lt;SDR35G!$A$151,VLOOKUP($A218,SDR35G!$A$9:$M$150,4,FALSE),
IF($A218&lt;SDR26G!$A$67,VLOOKUP($A218,SDR26G!$A$9:$N$66,5,FALSE),
IF($A218&lt;Cements!$A$95,VLOOKUP($A218,Cements!$A$8:$Q$94,4,FALSE),
IF($A218&lt;ValveBox!$A$124,VLOOKUP($A218,ValveBox!$A$9:$O$123,4,FALSE),
IF($A218&lt;'ValveBox Components'!$A$142,VLOOKUP($A218,'ValveBox Components'!$A$9:$N$141,4,FALSE),
IF($A218&lt;Drainage!$A$69,VLOOKUP($A218,Drainage!$A$8:$M$68,4,FALSE),
IF($A218&lt;Nipples!$A$82,VLOOKUP($A218,Nipples!$A$9:$Q$81,4,FALSE),
IF($A218&lt;Manifold!$A$33,VLOOKUP($A218,Manifold!$A$9:$M$32,4,FALSE),
IF($A218&lt;FlexibleRepairCouplings!$A$12,VLOOKUP($A218,FlexibleRepairCouplings!$A$9:$M$11,4,FALSE),
IF($A218&lt;DuraFix!$A$15,VLOOKUP($A218,DuraFix!$A$9:$M$14,4,FALSE),
IF($A218&lt;'Compression Fittings'!$A$16,VLOOKUP($A218,'Compression Fittings'!$A$8:$M$15,4,FALSE),
IF($A218&lt;'Hose Fittings'!$A$30,VLOOKUP($A218,'Hose Fittings'!$A$8:$M$29,4,FALSE),
IF($A218&lt;'Swing Joints'!$A$495,VLOOKUP($A218,'Swing Joints'!$A$9:$M$494,4,FALSE),
IF($A218&lt;'Swing Joints Components'!$A$135,VLOOKUP($A218,'Swing Joints Components'!$A$9:$M$134,4,FALSE),
IF($A218&lt;Nonstandard!$A$42,VLOOKUP($A218,Nonstandard!$A$31:$J$41,5,FALSE),"")))))))))))))))))))))))))))),"")</f>
        <v/>
      </c>
      <c r="C218" s="536" t="str">
        <f>IFERROR(IF($A218&lt;'DWV PVC'!$A$317,VLOOKUP($A218,'DWV PVC'!$A$9:$M$316,5,FALSE),
IF($A218&lt;'DWV ABS'!$A$117,VLOOKUP($A218,'DWV ABS'!$A$8:$M$116,5,FALSE),
IF($A218&lt;'PVC SCH40'!$A$425,VLOOKUP($A218,'PVC SCH40'!$A$8:$M$424,5,FALSE),
IF($A218&lt;'PVC SCH40 LD'!$A$22,VLOOKUP($A218,'PVC SCH40 LD'!$A$8:$M$21,5,FALSE),
IF($A218&lt;'Pool &amp; SPA Sweep Elbows'!$A$12,VLOOKUP($A218,'Pool &amp; SPA Sweep Elbows'!$A$8:$M$11,5,FALSE),
IF($A218&lt;'Pool &amp; SPA Pipe Extender'!$A$11,VLOOKUP($A218,'Pool &amp; SPA Pipe Extender'!$A$8:$M$10,5,FALSE),
IF($A218&lt;'PVC SCH80'!$A$250,VLOOKUP($A218,'PVC SCH80'!$A$8:$M$249,5,FALSE),
IF($A218&lt;'PVC SCH80 Flange'!$A$49,VLOOKUP($A218,'PVC SCH80 Flange'!$A$8:$M$48,5,FALSE),
IF($A218&lt;'PVC SCH80 LD Flange'!$A$17,VLOOKUP($A218,'PVC SCH80 LD Flange'!$A$8:$M$16,5,FALSE),
IF($A218&lt;CPVC!$A$105,VLOOKUP($A218,CPVC!$A$9:$M$104,5,FALSE),
IF($A218&lt;InsertFittings!$A$185,VLOOKUP($A218,InsertFittings!$A$9:$M$184,5,FALSE),
IF($A218&lt;Valves!$A$92,VLOOKUP($A218,Valves!$A$9:$Q$91,5,FALSE),
IF($A218&lt;SDR35SW!$A$133,VLOOKUP($A218,SDR35SW!$A$9:$M$132,5,FALSE),
IF($A218&lt;SDR35G!$A$151,VLOOKUP($A218,SDR35G!$A$9:$M$150,5,FALSE),
IF($A218&lt;SDR26G!$A$67,VLOOKUP($A218,SDR26G!$A$9:$N$66,6,FALSE),
IF($A218&lt;Cements!$A$95,VLOOKUP($A218,Cements!$A$8:$Q$94,5,FALSE),
IF($A218&lt;ValveBox!$A$124,VLOOKUP($A218,ValveBox!$A$9:$O$123,5,FALSE),
IF($A218&lt;'ValveBox Components'!$A$142,VLOOKUP($A218,'ValveBox Components'!$A$9:$N$141,5,FALSE),
IF($A218&lt;Drainage!$A$69,VLOOKUP($A218,Drainage!$A$8:$M$68,5,FALSE),
IF($A218&lt;Nipples!$A$82,VLOOKUP($A218,Nipples!$A$9:$Q$81,5,FALSE),
IF($A218&lt;Manifold!$A$33,VLOOKUP($A218,Manifold!$A$9:$M$32,5,FALSE),
IF($A218&lt;FlexibleRepairCouplings!$A$12,VLOOKUP($A218,FlexibleRepairCouplings!$A$9:$M$11,5,FALSE),
IF($A218&lt;DuraFix!$A$15,VLOOKUP($A218,DuraFix!$A$9:$M$14,5,FALSE),
IF($A218&lt;'Compression Fittings'!$A$16,VLOOKUP($A218,'Compression Fittings'!$A$8:$M$15,5,FALSE),
IF($A218&lt;'Hose Fittings'!$A$30,VLOOKUP($A218,'Hose Fittings'!$A$8:$M$29,5,FALSE),
IF($A218&lt;'Swing Joints'!$A$495,VLOOKUP($A218,'Swing Joints'!$A$9:$M$494,5,FALSE),
IF($A218&lt;'Swing Joints Components'!$A$135,VLOOKUP($A218,'Swing Joints Components'!$A$9:$M$134,5,FALSE),
IF($A218&lt;Nonstandard!$A$42,VLOOKUP($A218,Nonstandard!$A$31:$J$41,6,FALSE),"")))))))))))))))))))))))))))),"")</f>
        <v/>
      </c>
      <c r="D218" s="537" t="str">
        <f>IFERROR(IF($A218&lt;'DWV PVC'!$A$317,VLOOKUP($A218,'DWV PVC'!$A$9:$M$316,6,FALSE),
IF($A218&lt;'DWV ABS'!$A$117,VLOOKUP($A218,'DWV ABS'!$A$8:$M$116,6,FALSE),
IF($A218&lt;'PVC SCH40'!$A$425,VLOOKUP($A218,'PVC SCH40'!$A$8:$M$424,6,FALSE),
IF($A218&lt;'PVC SCH40 LD'!$A$22,VLOOKUP($A218,'PVC SCH40 LD'!$A$8:$M$21,6,FALSE),
IF($A218&lt;'Pool &amp; SPA Sweep Elbows'!$A$12,VLOOKUP($A218,'Pool &amp; SPA Sweep Elbows'!$A$8:$M$11,6,FALSE),
IF($A218&lt;'Pool &amp; SPA Pipe Extender'!$A$11,VLOOKUP($A218,'Pool &amp; SPA Pipe Extender'!$A$8:$M$10,6,FALSE),
IF($A218&lt;'PVC SCH80'!$A$250,VLOOKUP($A218,'PVC SCH80'!$A$8:$M$249,6,FALSE),
IF($A218&lt;'PVC SCH80 Flange'!$A$49,VLOOKUP($A218,'PVC SCH80 Flange'!$A$8:$M$48,6,FALSE),
IF($A218&lt;'PVC SCH80 LD Flange'!$A$17,VLOOKUP($A218,'PVC SCH80 LD Flange'!$A$8:$M$16,6,FALSE),
IF($A218&lt;CPVC!$A$105,VLOOKUP($A218,CPVC!$A$9:$M$104,6,FALSE),
IF($A218&lt;InsertFittings!$A$185,VLOOKUP($A218,InsertFittings!$A$9:$M$184,6,FALSE),
IF($A218&lt;Valves!$A$92,VLOOKUP($A218,Valves!$A$9:$Q$91,6,FALSE),
IF($A218&lt;SDR35SW!$A$133,VLOOKUP($A218,SDR35SW!$A$9:$M$132,6,FALSE),
IF($A218&lt;SDR35G!$A$151,VLOOKUP($A218,SDR35G!$A$9:$M$150,6,FALSE),
IF($A218&lt;SDR26G!$A$67,VLOOKUP($A218,SDR26G!$A$9:$N$66,7,FALSE),
IF($A218&lt;Cements!$A$95,VLOOKUP($A218,Cements!$A$8:$Q$94,6,FALSE),
IF($A218&lt;ValveBox!$A$124,VLOOKUP($A218,ValveBox!$A$9:$O$123,6,FALSE),
IF($A218&lt;'ValveBox Components'!$A$142,VLOOKUP($A218,'ValveBox Components'!$A$9:$N$141,6,FALSE),
IF($A218&lt;Drainage!$A$69,VLOOKUP($A218,Drainage!$A$8:$M$68,6,FALSE),
IF($A218&lt;Nipples!$A$82,VLOOKUP($A218,Nipples!$A$9:$Q$81,6,FALSE),
IF($A218&lt;Manifold!$A$33,VLOOKUP($A218,Manifold!$A$9:$M$32,6,FALSE),
IF($A218&lt;FlexibleRepairCouplings!$A$12,VLOOKUP($A218,FlexibleRepairCouplings!$A$9:$M$11,6,FALSE),
IF($A218&lt;DuraFix!$A$15,VLOOKUP($A218,DuraFix!$A$9:$M$14,6,FALSE),
IF($A218&lt;'Compression Fittings'!$A$16,VLOOKUP($A218,'Compression Fittings'!$A$8:$M$15,6,FALSE),
IF($A218&lt;'Hose Fittings'!$A$30,VLOOKUP($A218,'Hose Fittings'!$A$8:$M$29,6,FALSE),
IF($A218&lt;'Swing Joints'!$A$495,VLOOKUP($A218,'Swing Joints'!$A$9:$M$494,6,FALSE),
IF($A218&lt;'Swing Joints Components'!$A$135,VLOOKUP($A218,'Swing Joints Components'!$A$9:$M$134,6,FALSE),
IF($A218&lt;Nonstandard!$A$42,VLOOKUP($A218,Nonstandard!$A$31:$J$41,7,FALSE),"")))))))))))))))))))))))))))),"")</f>
        <v/>
      </c>
      <c r="E218" s="538"/>
      <c r="F218" s="539" t="str">
        <f>IFERROR(IF($A218&lt;'DWV PVC'!$A$317,VLOOKUP($A218,'DWV PVC'!$A$9:$M$316,9,FALSE),
IF($A218&lt;'DWV ABS'!$A$117,VLOOKUP($A218,'DWV ABS'!$A$8:$M$116,9,FALSE),                                                                                                                                                                                                                                                     IF($A218&lt;'PVC SCH40'!$A$425,VLOOKUP($A218,'PVC SCH40'!$A$8:$M$424,9,FALSE),
IF($A218&lt;'PVC SCH40 LD'!$A$22,VLOOKUP($A218,'PVC SCH40 LD'!$A$8:$M$21,9,FALSE),
IF($A218&lt;'Pool &amp; SPA Sweep Elbows'!$A$12,VLOOKUP($A218,'Pool &amp; SPA Sweep Elbows'!$A$8:$M$11,9,FALSE),
IF($A218&lt;'Pool &amp; SPA Pipe Extender'!$A$11,VLOOKUP($A218,'Pool &amp; SPA Pipe Extender'!$A$8:$M$10,9,FALSE),
IF($A218&lt;'PVC SCH80'!$A$250,VLOOKUP($A218,'PVC SCH80'!$A$8:$M$249,9,FALSE),
IF($A218&lt;'PVC SCH80 Flange'!$A$49,VLOOKUP($A218,'PVC SCH80 Flange'!$A$8:$M$48,9,FALSE),
IF($A218&lt;'PVC SCH80 LD Flange'!$A$17,VLOOKUP($A218,'PVC SCH80 LD Flange'!$A$8:$M$16,9,FALSE),
IF($A218&lt;CPVC!$A$105,VLOOKUP($A218,CPVC!$A$9:$M$104,9,FALSE),
IF($A218&lt;InsertFittings!$A$185,VLOOKUP($A218,InsertFittings!$A$9:$M$184,9,FALSE),
IF($A218&lt;Valves!$A$92,VLOOKUP($A218,Valves!$A$9:$Q$91,13,FALSE),
IF($A218&lt;SDR35SW!$A$133,VLOOKUP($A218,SDR35SW!$A$9:$M$132,9,FALSE),
IF($A218&lt;SDR35G!$A$151,VLOOKUP($A218,SDR35G!$A$9:$M$150,9,FALSE),                                                                                                                                                                                                                                                          IF($A218&lt;SDR26G!$A$67,VLOOKUP($A218,SDR26G!$A$9:$N$66,10,FALSE),                                                                                                                                                                                                                                                       IF($A218&lt;Cements!$A$95,VLOOKUP($A218,Cements!$A$8:$Q$94,13,FALSE),
IF($A218&lt;ValveBox!$A$124,VLOOKUP($A218,ValveBox!$A$9:$O$123,11,FALSE),
IF($A218&lt;'ValveBox Components'!$A$142,VLOOKUP($A218,'ValveBox Components'!$A$9:$N$141,10,FALSE),
IF($A218&lt;Drainage!$A$69,VLOOKUP($A218,Drainage!$A$8:$M$68,9,FALSE),                                                                                                                                                                                                                                                              IF($A218&lt;Nipples!$A$82,VLOOKUP($A218,Nipples!$A$9:$Q$81,13,FALSE),
IF($A218&lt;Manifold!$A$33,VLOOKUP($A218,Manifold!$A$9:$M$32,9,FALSE),
IF($A218&lt;FlexibleRepairCouplings!$A$12,VLOOKUP($A218,FlexibleRepairCouplings!$A$9:$M$11,9,FALSE),
IF($A218&lt;DuraFix!$A$15,VLOOKUP($A218,DuraFix!$A$9:$M$14,9,FALSE),                                                                                                                                                                                                                                                          IF($A218&lt;'Compression Fittings'!$A$16,VLOOKUP($A218,'Compression Fittings'!$A$8:$M$15,9,FALSE),
IF($A218&lt;'Hose Fittings'!$A$30,VLOOKUP($A218,'Hose Fittings'!$A$8:$M$29,9,FALSE),
IF($A218&lt;'Swing Joints'!$A$495,VLOOKUP($A218,'Swing Joints'!$A$9:$M$494,9,FALSE),
IF($A218&lt;'Swing Joints Components'!$A$135,VLOOKUP($A218,'Swing Joints Components'!$A$9:$M$134,9,FALSE),
IF($A218&lt;Nonstandard!$A$42,VLOOKUP($A218,Nonstandard!$A$31:$J$41,8,FALSE),"")))))))))))))))))))))))))))),"")</f>
        <v/>
      </c>
      <c r="G218" s="540" t="str">
        <f>IFERROR(IF($A218&lt;'DWV PVC'!$A$317,VLOOKUP($A218,'DWV PVC'!$A$9:$M$316,11,FALSE),
IF($A218&lt;'DWV ABS'!$A$117,VLOOKUP($A218,'DWV ABS'!$A$8:$M$116,11,FALSE),                                                                                                                                                                                                                                                     IF($A218&lt;'PVC SCH40'!$A$425,VLOOKUP($A218,'PVC SCH40'!$A$8:$M$424,11,FALSE),
IF($A218&lt;'PVC SCH40 LD'!$A$22,VLOOKUP($A218,'PVC SCH40 LD'!$A$8:$M$21,11,FALSE),
IF($A218&lt;'Pool &amp; SPA Sweep Elbows'!$A$12,VLOOKUP($A218,'Pool &amp; SPA Sweep Elbows'!$A$8:$M$11,11,FALSE),
IF($A218&lt;'Pool &amp; SPA Pipe Extender'!$A$11,VLOOKUP($A218,'Pool &amp; SPA Pipe Extender'!$A$8:$M$10,11,FALSE),
IF($A218&lt;'PVC SCH80'!$A$250,VLOOKUP($A218,'PVC SCH80'!$A$8:$M$249,11,FALSE),
IF($A218&lt;'PVC SCH80 Flange'!$A$49,VLOOKUP($A218,'PVC SCH80 Flange'!$A$8:$M$48,11,FALSE),
IF($A218&lt;'PVC SCH80 LD Flange'!$A$17,VLOOKUP($A218,'PVC SCH80 LD Flange'!$A$8:$M$16,11,FALSE),
IF($A218&lt;CPVC!$A$105,VLOOKUP($A218,CPVC!$A$9:$M$104,11,FALSE),
IF($A218&lt;InsertFittings!$A$185,VLOOKUP($A218,InsertFittings!$A$9:$M$184,11,FALSE),
IF($A218&lt;Valves!$A$92,VLOOKUP($A218,Valves!$A$9:$Q$91,15,FALSE),
IF($A218&lt;SDR35SW!$A$133,VLOOKUP($A218,SDR35SW!$A$9:$M$132,11,FALSE),
IF($A218&lt;SDR35G!$A$151,VLOOKUP($A218,SDR35G!$A$9:$M$150,11,FALSE),                                                                                                                                                                                                                                                          IF($A218&lt;SDR26G!$A$67,VLOOKUP($A218,SDR26G!$A$9:$N$66,12,FALSE),                                                                                                                                                                                                                                                       IF($A218&lt;Cements!$A$95,VLOOKUP($A218,Cements!$A$8:$Q$94,15,FALSE),
IF($A218&lt;ValveBox!$A$124,VLOOKUP($A218,ValveBox!$A$9:$O$123,13,FALSE),
IF($A218&lt;'ValveBox Components'!$A$142,VLOOKUP($A218,'ValveBox Components'!$A$9:$N$141,12,FALSE),
IF($A218&lt;Drainage!$A$69,VLOOKUP($A218,Drainage!$A$8:$M$68,11,FALSE),                                                                                                                                                                                                                                                           IF($A218&lt;Nipples!$A$82,VLOOKUP($A218,Nipples!$A$9:$Q$81,15,FALSE),
IF($A218&lt;Manifold!$A$33,VLOOKUP($A218,Manifold!$A$9:$M$32,11,FALSE),
IF($A218&lt;FlexibleRepairCouplings!$A$12,VLOOKUP($A218,FlexibleRepairCouplings!$A$9:$M$11,11,FALSE),
IF($A218&lt;DuraFix!$A$15,VLOOKUP($A218,DuraFix!$A$9:$M$14,11,FALSE),                                                                                                                                                                                                                                                            IF($A218&lt;'Compression Fittings'!$A$16,VLOOKUP($A218,'Compression Fittings'!$A$8:$M$15,11,FALSE),
IF($A218&lt;'Hose Fittings'!$A$30,VLOOKUP($A218,'Hose Fittings'!$A$8:$M$29,11,FALSE),
IF($A218&lt;'Swing Joints'!$A$495,VLOOKUP($A218,'Swing Joints'!$A$9:$M$494,11,FALSE),
IF($A218&lt;'Swing Joints Components'!$A$135,VLOOKUP($A218,'Swing Joints Components'!$A$9:$M$134,11,FALSE),
IF($A218&lt;Nonstandard!$A$42,VLOOKUP($A218,Nonstandard!$A$31:$J$41,10,FALSE),"")))))))))))))))))))))))))))),"")</f>
        <v/>
      </c>
      <c r="H218" s="620" t="str">
        <f>IFERROR(IF($A218&lt;'DWV PVC'!$A$317,VLOOKUP($A218,'DWV PVC'!$A$9:$M$316,7,FALSE),
IF($A218&lt;'DWV ABS'!$A$117,VLOOKUP($A218,'DWV ABS'!$A$8:$M$116,11,FALSE),                                                                                                                                                                                                                                                     IF($A218&lt;'PVC SCH40'!$A$425,VLOOKUP($A218,'PVC SCH40'!$A$8:$M$424,7,FALSE),
IF($A218&lt;'PVC SCH40 LD'!$A$22,VLOOKUP($A218,'PVC SCH40 LD'!$A$8:$M$21,7,FALSE),
IF($A218&lt;'Pool &amp; SPA Sweep Elbows'!$A$12,VLOOKUP($A218,'Pool &amp; SPA Sweep Elbows'!$A$8:$M$11,7,FALSE),
IF($A218&lt;'Pool &amp; SPA Pipe Extender'!$A$11,VLOOKUP($A218,'Pool &amp; SPA Pipe Extender'!$A$8:$M$10,7,FALSE),
IF($A218&lt;'PVC SCH80'!$A$250,VLOOKUP($A218,'PVC SCH80'!$A$8:$M$249,7,FALSE),
IF($A218&lt;'PVC SCH80 Flange'!$A$49,VLOOKUP($A218,'PVC SCH80 Flange'!$A$8:$M$48,7,FALSE),
IF($A218&lt;'PVC SCH80 LD Flange'!$A$17,VLOOKUP($A218,'PVC SCH80 LD Flange'!$A$8:$M$16,7,FALSE),
IF($A218&lt;CPVC!$A$105,VLOOKUP($A218,CPVC!$A$9:$M$104,7,FALSE),
IF($A218&lt;InsertFittings!$A$185,VLOOKUP($A218,InsertFittings!$A$9:$M$184,7,FALSE),
IF($A218&lt;Valves!$A$92,VLOOKUP($A218,Valves!$A$9:$Q$91,11,FALSE),
IF($A218&lt;SDR35SW!$A$133,VLOOKUP($A218,SDR35SW!$A$9:$M$132,7,FALSE),
IF($A218&lt;SDR35G!$A$151,VLOOKUP($A218,SDR35G!$A$9:$M$150,7,FALSE),                                                                                                                                                                                                                                                       IF($A218&lt;SDR26G!$A$67,VLOOKUP($A218,SDR26G!$A$9:$N$66,8,FALSE),                                                                                                                                                                                                                                                     IF($A218&lt;Cements!$A$95,VLOOKUP($A218,Cements!$A$8:$Q$94,11,FALSE),
IF($A218&lt;ValveBox!$A$124,VLOOKUP($A218,ValveBox!$A$9:$O$123,10,FALSE),
IF($A218&lt;'ValveBox Components'!$A$142,VLOOKUP($A218,'ValveBox Components'!$A$9:$N$141,9,FALSE),
IF($A218&lt;Drainage!$A$69,VLOOKUP($A218,Drainage!$A$8:$M$68,7,FALSE),                                                                                                                                                                                                                                                          IF($A218&lt;Nipples!$A$82,VLOOKUP($A218,Nipples!$A$9:$Q$81,11,FALSE),
IF($A218&lt;Manifold!$A$33,VLOOKUP($A218,Manifold!$A$9:$M$32,7,FALSE),
IF($A218&lt;FlexibleRepairCouplings!$A$12,VLOOKUP($A218,FlexibleRepairCouplings!$A$9:$M$11,7,FALSE),
IF($A218&lt;DuraFix!$A$15,VLOOKUP($A218,DuraFix!$A$9:$M$14,7,FALSE),                                                                                                                                                                                                                                                           IF($A218&lt;'Compression Fittings'!$A$16,VLOOKUP($A218,'Compression Fittings'!$A$8:$M$15,7,FALSE),
IF($A218&lt;'Hose Fittings'!$A$30,VLOOKUP($A218,'Hose Fittings'!$A$8:$M$29,7,FALSE),
IF($A218&lt;'Swing Joints'!$A$495,VLOOKUP($A218,'Swing Joints'!$A$9:$M$494,7,FALSE),
IF($A218&lt;'Swing Joints Components'!$A$135,VLOOKUP($A218,'Swing Joints Components'!$A$9:$M$134,7,FALSE),
IF($A218&lt;Nonstandard!$A$42,VLOOKUP($A218,Nonstandard!$A$31:$J$41,10,FALSE),"")))))))))))))))))))))))))))),"")</f>
        <v/>
      </c>
      <c r="I218" s="621"/>
      <c r="J218" s="541" t="str">
        <f t="shared" si="5"/>
        <v/>
      </c>
      <c r="K218" s="599" t="str">
        <f>IFERROR(IF($A218&lt;'DWV PVC'!$A$317,VLOOKUP($A218,'DWV PVC'!$A$9:$M$316,10,FALSE),
IF($A218&lt;'DWV ABS'!$A$117,VLOOKUP($A218,'DWV ABS'!$A$8:$M$116,10,FALSE),
IF($A218&lt;'PVC SCH40'!$A$425,VLOOKUP($A218,'PVC SCH40'!$A$8:$M$424,10,FALSE),
IF($A218&lt;'PVC SCH40 LD'!$A$22,VLOOKUP($A218,'PVC SCH40 LD'!$A$8:$M$21,10,FALSE),
IF($A218&lt;'Pool &amp; SPA Sweep Elbows'!$A$12,VLOOKUP($A218,'Pool &amp; SPA Sweep Elbows'!$A$8:$M$11,10,FALSE),
IF($A218&lt;'Pool &amp; SPA Pipe Extender'!$A$11,VLOOKUP($A218,'Pool &amp; SPA Pipe Extender'!$A$8:$M$10,10,FALSE),
IF($A218&lt;'PVC SCH80'!$A$250,VLOOKUP($A218,'PVC SCH80'!$A$8:$M$249,10,FALSE),
IF($A218&lt;'PVC SCH80 Flange'!$A$49,VLOOKUP($A218,'PVC SCH80 Flange'!$A$8:$M$48,10,FALSE),
IF($A218&lt;'PVC SCH80 LD Flange'!$A$17,VLOOKUP($A218,'PVC SCH80 LD Flange'!$A$8:$M$16,10,FALSE),
IF($A218&lt;CPVC!$A$105,VLOOKUP($A218,CPVC!$A$9:$M$104,10,FALSE),
IF($A218&lt;InsertFittings!$A$185,VLOOKUP($A218,InsertFittings!$A$9:$M$184,10,FALSE),
IF($A218&lt;Valves!$A$92,VLOOKUP($A218,Valves!$A$9:$Q$91,14,FALSE),
IF($A218&lt;SDR35SW!$A$133,VLOOKUP($A218,SDR35SW!$A$9:$M$132,10,FALSE),
IF($A218&lt;SDR35G!$A$151,VLOOKUP($A218,SDR35G!$A$9:$M$150,10,FALSE),
IF($A218&lt;SDR26G!$A$67,VLOOKUP($A218,SDR26G!$A$9:$N$66,11,FALSE),
IF($A218&lt;Cements!$A$95,VLOOKUP($A218,Cements!$A$8:$Q$94,14,FALSE),
IF($A218&lt;ValveBox!$A$124,VLOOKUP($A218,ValveBox!$A$9:$O$123,12,FALSE),
IF($A218&lt;'ValveBox Components'!$A$142,VLOOKUP($A218,'ValveBox Components'!$A$9:$N$141,11,FALSE),
IF($A218&lt;Drainage!$A$69,VLOOKUP($A218,Drainage!$A$8:$M$68,10,FALSE),
IF($A218&lt;Nipples!$A$82,VLOOKUP($A218,Nipples!$A$9:$Q$81,14,FALSE),
IF($A218&lt;Manifold!$A$33,VLOOKUP($A218,Manifold!$A$9:$M$32,10,FALSE),
IF($A218&lt;FlexibleRepairCouplings!$A$12,VLOOKUP($A218,FlexibleRepairCouplings!$A$9:$M$11,10,FALSE),
IF($A218&lt;DuraFix!$A$15,VLOOKUP($A218,DuraFix!$A$9:$M$14,10,FALSE),
IF($A218&lt;'Compression Fittings'!$A$16,VLOOKUP($A218,'Compression Fittings'!$A$8:$M$15,10,FALSE),
IF($A218&lt;'Hose Fittings'!$A$30,VLOOKUP($A218,'Hose Fittings'!$A$8:$M$29,10,FALSE),
IF($A218&lt;'Swing Joints'!$A$495,VLOOKUP($A218,'Swing Joints'!$A$9:$M$494,10,FALSE),
IF($A218&lt;'Swing Joints Components'!$A$135,VLOOKUP($A218,'Swing Joints Components'!$A$9:$M$134,10,FALSE),
IF($A218&lt;Nonstandard!$A$42,VLOOKUP($A218,Nonstandard!$A$31:$J$41,10,FALSE),"")))))))))))))))))))))))))))),"")</f>
        <v/>
      </c>
      <c r="L218" s="539" t="str">
        <f t="shared" si="4"/>
        <v>-</v>
      </c>
      <c r="M218" s="542"/>
    </row>
    <row r="219" spans="1:13" ht="15.6">
      <c r="A219" s="312">
        <v>187</v>
      </c>
      <c r="B219" s="312" t="str">
        <f>IFERROR(IF($A219&lt;'DWV PVC'!$A$317,VLOOKUP($A219,'DWV PVC'!$A$9:$M$316,4,FALSE),
IF($A219&lt;'DWV ABS'!$A$117,VLOOKUP($A219,'DWV ABS'!$A$8:$M$116,4,FALSE),
IF($A219&lt;'PVC SCH40'!$A$425,VLOOKUP($A219,'PVC SCH40'!$A$8:$M$424,4,FALSE),
IF($A219&lt;'PVC SCH40 LD'!$A$22,VLOOKUP($A219,'PVC SCH40 LD'!$A$8:$M$21,4,FALSE),
IF($A219&lt;'Pool &amp; SPA Sweep Elbows'!$A$12,VLOOKUP($A219,'Pool &amp; SPA Sweep Elbows'!$A$8:$M$11,4,FALSE),
IF($A219&lt;'Pool &amp; SPA Pipe Extender'!$A$11,VLOOKUP($A219,'Pool &amp; SPA Pipe Extender'!$A$8:$M$10,4,FALSE),
IF($A219&lt;'PVC SCH80'!$A$250,VLOOKUP($A219,'PVC SCH80'!$A$8:$M$249,4,FALSE),
IF($A219&lt;'PVC SCH80 Flange'!$A$49,VLOOKUP($A219,'PVC SCH80 Flange'!$A$8:$M$48,4,FALSE),
IF($A219&lt;'PVC SCH80 LD Flange'!$A$17,VLOOKUP($A219,'PVC SCH80 LD Flange'!$A$8:$M$16,4,FALSE),
IF($A219&lt;CPVC!$A$105,VLOOKUP($A219,CPVC!$A$9:$M$104,4,FALSE),
IF($A219&lt;InsertFittings!$A$185,VLOOKUP($A219,InsertFittings!$A$9:$M$184,4,FALSE),
IF($A219&lt;Valves!$A$92,VLOOKUP($A219,Valves!$A$9:$Q$91,4,FALSE),
IF($A219&lt;SDR35SW!$A$133,VLOOKUP($A219,SDR35SW!$A$9:$M$132,4,FALSE),
IF($A219&lt;SDR35G!$A$151,VLOOKUP($A219,SDR35G!$A$9:$M$150,4,FALSE),
IF($A219&lt;SDR26G!$A$67,VLOOKUP($A219,SDR26G!$A$9:$N$66,5,FALSE),
IF($A219&lt;Cements!$A$95,VLOOKUP($A219,Cements!$A$8:$Q$94,4,FALSE),
IF($A219&lt;ValveBox!$A$124,VLOOKUP($A219,ValveBox!$A$9:$O$123,4,FALSE),
IF($A219&lt;'ValveBox Components'!$A$142,VLOOKUP($A219,'ValveBox Components'!$A$9:$N$141,4,FALSE),
IF($A219&lt;Drainage!$A$69,VLOOKUP($A219,Drainage!$A$8:$M$68,4,FALSE),
IF($A219&lt;Nipples!$A$82,VLOOKUP($A219,Nipples!$A$9:$Q$81,4,FALSE),
IF($A219&lt;Manifold!$A$33,VLOOKUP($A219,Manifold!$A$9:$M$32,4,FALSE),
IF($A219&lt;FlexibleRepairCouplings!$A$12,VLOOKUP($A219,FlexibleRepairCouplings!$A$9:$M$11,4,FALSE),
IF($A219&lt;DuraFix!$A$15,VLOOKUP($A219,DuraFix!$A$9:$M$14,4,FALSE),
IF($A219&lt;'Compression Fittings'!$A$16,VLOOKUP($A219,'Compression Fittings'!$A$8:$M$15,4,FALSE),
IF($A219&lt;'Hose Fittings'!$A$30,VLOOKUP($A219,'Hose Fittings'!$A$8:$M$29,4,FALSE),
IF($A219&lt;'Swing Joints'!$A$495,VLOOKUP($A219,'Swing Joints'!$A$9:$M$494,4,FALSE),
IF($A219&lt;'Swing Joints Components'!$A$135,VLOOKUP($A219,'Swing Joints Components'!$A$9:$M$134,4,FALSE),
IF($A219&lt;Nonstandard!$A$42,VLOOKUP($A219,Nonstandard!$A$31:$J$41,5,FALSE),"")))))))))))))))))))))))))))),"")</f>
        <v/>
      </c>
      <c r="C219" s="312" t="str">
        <f>IFERROR(IF($A219&lt;'DWV PVC'!$A$317,VLOOKUP($A219,'DWV PVC'!$A$9:$M$316,5,FALSE),
IF($A219&lt;'DWV ABS'!$A$117,VLOOKUP($A219,'DWV ABS'!$A$8:$M$116,5,FALSE),
IF($A219&lt;'PVC SCH40'!$A$425,VLOOKUP($A219,'PVC SCH40'!$A$8:$M$424,5,FALSE),
IF($A219&lt;'PVC SCH40 LD'!$A$22,VLOOKUP($A219,'PVC SCH40 LD'!$A$8:$M$21,5,FALSE),
IF($A219&lt;'Pool &amp; SPA Sweep Elbows'!$A$12,VLOOKUP($A219,'Pool &amp; SPA Sweep Elbows'!$A$8:$M$11,5,FALSE),
IF($A219&lt;'Pool &amp; SPA Pipe Extender'!$A$11,VLOOKUP($A219,'Pool &amp; SPA Pipe Extender'!$A$8:$M$10,5,FALSE),
IF($A219&lt;'PVC SCH80'!$A$250,VLOOKUP($A219,'PVC SCH80'!$A$8:$M$249,5,FALSE),
IF($A219&lt;'PVC SCH80 Flange'!$A$49,VLOOKUP($A219,'PVC SCH80 Flange'!$A$8:$M$48,5,FALSE),
IF($A219&lt;'PVC SCH80 LD Flange'!$A$17,VLOOKUP($A219,'PVC SCH80 LD Flange'!$A$8:$M$16,5,FALSE),
IF($A219&lt;CPVC!$A$105,VLOOKUP($A219,CPVC!$A$9:$M$104,5,FALSE),
IF($A219&lt;InsertFittings!$A$185,VLOOKUP($A219,InsertFittings!$A$9:$M$184,5,FALSE),
IF($A219&lt;Valves!$A$92,VLOOKUP($A219,Valves!$A$9:$Q$91,5,FALSE),
IF($A219&lt;SDR35SW!$A$133,VLOOKUP($A219,SDR35SW!$A$9:$M$132,5,FALSE),
IF($A219&lt;SDR35G!$A$151,VLOOKUP($A219,SDR35G!$A$9:$M$150,5,FALSE),
IF($A219&lt;SDR26G!$A$67,VLOOKUP($A219,SDR26G!$A$9:$N$66,6,FALSE),
IF($A219&lt;Cements!$A$95,VLOOKUP($A219,Cements!$A$8:$Q$94,5,FALSE),
IF($A219&lt;ValveBox!$A$124,VLOOKUP($A219,ValveBox!$A$9:$O$123,5,FALSE),
IF($A219&lt;'ValveBox Components'!$A$142,VLOOKUP($A219,'ValveBox Components'!$A$9:$N$141,5,FALSE),
IF($A219&lt;Drainage!$A$69,VLOOKUP($A219,Drainage!$A$8:$M$68,5,FALSE),
IF($A219&lt;Nipples!$A$82,VLOOKUP($A219,Nipples!$A$9:$Q$81,5,FALSE),
IF($A219&lt;Manifold!$A$33,VLOOKUP($A219,Manifold!$A$9:$M$32,5,FALSE),
IF($A219&lt;FlexibleRepairCouplings!$A$12,VLOOKUP($A219,FlexibleRepairCouplings!$A$9:$M$11,5,FALSE),
IF($A219&lt;DuraFix!$A$15,VLOOKUP($A219,DuraFix!$A$9:$M$14,5,FALSE),
IF($A219&lt;'Compression Fittings'!$A$16,VLOOKUP($A219,'Compression Fittings'!$A$8:$M$15,5,FALSE),
IF($A219&lt;'Hose Fittings'!$A$30,VLOOKUP($A219,'Hose Fittings'!$A$8:$M$29,5,FALSE),
IF($A219&lt;'Swing Joints'!$A$495,VLOOKUP($A219,'Swing Joints'!$A$9:$M$494,5,FALSE),
IF($A219&lt;'Swing Joints Components'!$A$135,VLOOKUP($A219,'Swing Joints Components'!$A$9:$M$134,5,FALSE),
IF($A219&lt;Nonstandard!$A$42,VLOOKUP($A219,Nonstandard!$A$31:$J$41,6,FALSE),"")))))))))))))))))))))))))))),"")</f>
        <v/>
      </c>
      <c r="D219" s="534" t="str">
        <f>IFERROR(IF($A219&lt;'DWV PVC'!$A$317,VLOOKUP($A219,'DWV PVC'!$A$9:$M$316,6,FALSE),
IF($A219&lt;'DWV ABS'!$A$117,VLOOKUP($A219,'DWV ABS'!$A$8:$M$116,6,FALSE),
IF($A219&lt;'PVC SCH40'!$A$425,VLOOKUP($A219,'PVC SCH40'!$A$8:$M$424,6,FALSE),
IF($A219&lt;'PVC SCH40 LD'!$A$22,VLOOKUP($A219,'PVC SCH40 LD'!$A$8:$M$21,6,FALSE),
IF($A219&lt;'Pool &amp; SPA Sweep Elbows'!$A$12,VLOOKUP($A219,'Pool &amp; SPA Sweep Elbows'!$A$8:$M$11,6,FALSE),
IF($A219&lt;'Pool &amp; SPA Pipe Extender'!$A$11,VLOOKUP($A219,'Pool &amp; SPA Pipe Extender'!$A$8:$M$10,6,FALSE),
IF($A219&lt;'PVC SCH80'!$A$250,VLOOKUP($A219,'PVC SCH80'!$A$8:$M$249,6,FALSE),
IF($A219&lt;'PVC SCH80 Flange'!$A$49,VLOOKUP($A219,'PVC SCH80 Flange'!$A$8:$M$48,6,FALSE),
IF($A219&lt;'PVC SCH80 LD Flange'!$A$17,VLOOKUP($A219,'PVC SCH80 LD Flange'!$A$8:$M$16,6,FALSE),
IF($A219&lt;CPVC!$A$105,VLOOKUP($A219,CPVC!$A$9:$M$104,6,FALSE),
IF($A219&lt;InsertFittings!$A$185,VLOOKUP($A219,InsertFittings!$A$9:$M$184,6,FALSE),
IF($A219&lt;Valves!$A$92,VLOOKUP($A219,Valves!$A$9:$Q$91,6,FALSE),
IF($A219&lt;SDR35SW!$A$133,VLOOKUP($A219,SDR35SW!$A$9:$M$132,6,FALSE),
IF($A219&lt;SDR35G!$A$151,VLOOKUP($A219,SDR35G!$A$9:$M$150,6,FALSE),
IF($A219&lt;SDR26G!$A$67,VLOOKUP($A219,SDR26G!$A$9:$N$66,7,FALSE),
IF($A219&lt;Cements!$A$95,VLOOKUP($A219,Cements!$A$8:$Q$94,6,FALSE),
IF($A219&lt;ValveBox!$A$124,VLOOKUP($A219,ValveBox!$A$9:$O$123,6,FALSE),
IF($A219&lt;'ValveBox Components'!$A$142,VLOOKUP($A219,'ValveBox Components'!$A$9:$N$141,6,FALSE),
IF($A219&lt;Drainage!$A$69,VLOOKUP($A219,Drainage!$A$8:$M$68,6,FALSE),
IF($A219&lt;Nipples!$A$82,VLOOKUP($A219,Nipples!$A$9:$Q$81,6,FALSE),
IF($A219&lt;Manifold!$A$33,VLOOKUP($A219,Manifold!$A$9:$M$32,6,FALSE),
IF($A219&lt;FlexibleRepairCouplings!$A$12,VLOOKUP($A219,FlexibleRepairCouplings!$A$9:$M$11,6,FALSE),
IF($A219&lt;DuraFix!$A$15,VLOOKUP($A219,DuraFix!$A$9:$M$14,6,FALSE),
IF($A219&lt;'Compression Fittings'!$A$16,VLOOKUP($A219,'Compression Fittings'!$A$8:$M$15,6,FALSE),
IF($A219&lt;'Hose Fittings'!$A$30,VLOOKUP($A219,'Hose Fittings'!$A$8:$M$29,6,FALSE),
IF($A219&lt;'Swing Joints'!$A$495,VLOOKUP($A219,'Swing Joints'!$A$9:$M$494,6,FALSE),
IF($A219&lt;'Swing Joints Components'!$A$135,VLOOKUP($A219,'Swing Joints Components'!$A$9:$M$134,6,FALSE),
IF($A219&lt;Nonstandard!$A$42,VLOOKUP($A219,Nonstandard!$A$31:$J$41,7,FALSE),"")))))))))))))))))))))))))))),"")</f>
        <v/>
      </c>
      <c r="E219" s="316"/>
      <c r="F219" s="314" t="str">
        <f>IFERROR(IF($A219&lt;'DWV PVC'!$A$317,VLOOKUP($A219,'DWV PVC'!$A$9:$M$316,9,FALSE),
IF($A219&lt;'DWV ABS'!$A$117,VLOOKUP($A219,'DWV ABS'!$A$8:$M$116,9,FALSE),                                                                                                                                                                                                                                                     IF($A219&lt;'PVC SCH40'!$A$425,VLOOKUP($A219,'PVC SCH40'!$A$8:$M$424,9,FALSE),
IF($A219&lt;'PVC SCH40 LD'!$A$22,VLOOKUP($A219,'PVC SCH40 LD'!$A$8:$M$21,9,FALSE),
IF($A219&lt;'Pool &amp; SPA Sweep Elbows'!$A$12,VLOOKUP($A219,'Pool &amp; SPA Sweep Elbows'!$A$8:$M$11,9,FALSE),
IF($A219&lt;'Pool &amp; SPA Pipe Extender'!$A$11,VLOOKUP($A219,'Pool &amp; SPA Pipe Extender'!$A$8:$M$10,9,FALSE),
IF($A219&lt;'PVC SCH80'!$A$250,VLOOKUP($A219,'PVC SCH80'!$A$8:$M$249,9,FALSE),
IF($A219&lt;'PVC SCH80 Flange'!$A$49,VLOOKUP($A219,'PVC SCH80 Flange'!$A$8:$M$48,9,FALSE),
IF($A219&lt;'PVC SCH80 LD Flange'!$A$17,VLOOKUP($A219,'PVC SCH80 LD Flange'!$A$8:$M$16,9,FALSE),
IF($A219&lt;CPVC!$A$105,VLOOKUP($A219,CPVC!$A$9:$M$104,9,FALSE),
IF($A219&lt;InsertFittings!$A$185,VLOOKUP($A219,InsertFittings!$A$9:$M$184,9,FALSE),
IF($A219&lt;Valves!$A$92,VLOOKUP($A219,Valves!$A$9:$Q$91,13,FALSE),
IF($A219&lt;SDR35SW!$A$133,VLOOKUP($A219,SDR35SW!$A$9:$M$132,9,FALSE),
IF($A219&lt;SDR35G!$A$151,VLOOKUP($A219,SDR35G!$A$9:$M$150,9,FALSE),                                                                                                                                                                                                                                                          IF($A219&lt;SDR26G!$A$67,VLOOKUP($A219,SDR26G!$A$9:$N$66,10,FALSE),                                                                                                                                                                                                                                                       IF($A219&lt;Cements!$A$95,VLOOKUP($A219,Cements!$A$8:$Q$94,13,FALSE),
IF($A219&lt;ValveBox!$A$124,VLOOKUP($A219,ValveBox!$A$9:$O$123,11,FALSE),
IF($A219&lt;'ValveBox Components'!$A$142,VLOOKUP($A219,'ValveBox Components'!$A$9:$N$141,10,FALSE),
IF($A219&lt;Drainage!$A$69,VLOOKUP($A219,Drainage!$A$8:$M$68,9,FALSE),                                                                                                                                                                                                                                                              IF($A219&lt;Nipples!$A$82,VLOOKUP($A219,Nipples!$A$9:$Q$81,13,FALSE),
IF($A219&lt;Manifold!$A$33,VLOOKUP($A219,Manifold!$A$9:$M$32,9,FALSE),
IF($A219&lt;FlexibleRepairCouplings!$A$12,VLOOKUP($A219,FlexibleRepairCouplings!$A$9:$M$11,9,FALSE),
IF($A219&lt;DuraFix!$A$15,VLOOKUP($A219,DuraFix!$A$9:$M$14,9,FALSE),                                                                                                                                                                                                                                                          IF($A219&lt;'Compression Fittings'!$A$16,VLOOKUP($A219,'Compression Fittings'!$A$8:$M$15,9,FALSE),
IF($A219&lt;'Hose Fittings'!$A$30,VLOOKUP($A219,'Hose Fittings'!$A$8:$M$29,9,FALSE),
IF($A219&lt;'Swing Joints'!$A$495,VLOOKUP($A219,'Swing Joints'!$A$9:$M$494,9,FALSE),
IF($A219&lt;'Swing Joints Components'!$A$135,VLOOKUP($A219,'Swing Joints Components'!$A$9:$M$134,9,FALSE),
IF($A219&lt;Nonstandard!$A$42,VLOOKUP($A219,Nonstandard!$A$31:$J$41,8,FALSE),"")))))))))))))))))))))))))))),"")</f>
        <v/>
      </c>
      <c r="G219" s="533" t="str">
        <f>IFERROR(IF($A219&lt;'DWV PVC'!$A$317,VLOOKUP($A219,'DWV PVC'!$A$9:$M$316,11,FALSE),
IF($A219&lt;'DWV ABS'!$A$117,VLOOKUP($A219,'DWV ABS'!$A$8:$M$116,11,FALSE),                                                                                                                                                                                                                                                     IF($A219&lt;'PVC SCH40'!$A$425,VLOOKUP($A219,'PVC SCH40'!$A$8:$M$424,11,FALSE),
IF($A219&lt;'PVC SCH40 LD'!$A$22,VLOOKUP($A219,'PVC SCH40 LD'!$A$8:$M$21,11,FALSE),
IF($A219&lt;'Pool &amp; SPA Sweep Elbows'!$A$12,VLOOKUP($A219,'Pool &amp; SPA Sweep Elbows'!$A$8:$M$11,11,FALSE),
IF($A219&lt;'Pool &amp; SPA Pipe Extender'!$A$11,VLOOKUP($A219,'Pool &amp; SPA Pipe Extender'!$A$8:$M$10,11,FALSE),
IF($A219&lt;'PVC SCH80'!$A$250,VLOOKUP($A219,'PVC SCH80'!$A$8:$M$249,11,FALSE),
IF($A219&lt;'PVC SCH80 Flange'!$A$49,VLOOKUP($A219,'PVC SCH80 Flange'!$A$8:$M$48,11,FALSE),
IF($A219&lt;'PVC SCH80 LD Flange'!$A$17,VLOOKUP($A219,'PVC SCH80 LD Flange'!$A$8:$M$16,11,FALSE),
IF($A219&lt;CPVC!$A$105,VLOOKUP($A219,CPVC!$A$9:$M$104,11,FALSE),
IF($A219&lt;InsertFittings!$A$185,VLOOKUP($A219,InsertFittings!$A$9:$M$184,11,FALSE),
IF($A219&lt;Valves!$A$92,VLOOKUP($A219,Valves!$A$9:$Q$91,15,FALSE),
IF($A219&lt;SDR35SW!$A$133,VLOOKUP($A219,SDR35SW!$A$9:$M$132,11,FALSE),
IF($A219&lt;SDR35G!$A$151,VLOOKUP($A219,SDR35G!$A$9:$M$150,11,FALSE),                                                                                                                                                                                                                                                          IF($A219&lt;SDR26G!$A$67,VLOOKUP($A219,SDR26G!$A$9:$N$66,12,FALSE),                                                                                                                                                                                                                                                       IF($A219&lt;Cements!$A$95,VLOOKUP($A219,Cements!$A$8:$Q$94,15,FALSE),
IF($A219&lt;ValveBox!$A$124,VLOOKUP($A219,ValveBox!$A$9:$O$123,13,FALSE),
IF($A219&lt;'ValveBox Components'!$A$142,VLOOKUP($A219,'ValveBox Components'!$A$9:$N$141,12,FALSE),
IF($A219&lt;Drainage!$A$69,VLOOKUP($A219,Drainage!$A$8:$M$68,11,FALSE),                                                                                                                                                                                                                                                           IF($A219&lt;Nipples!$A$82,VLOOKUP($A219,Nipples!$A$9:$Q$81,15,FALSE),
IF($A219&lt;Manifold!$A$33,VLOOKUP($A219,Manifold!$A$9:$M$32,11,FALSE),
IF($A219&lt;FlexibleRepairCouplings!$A$12,VLOOKUP($A219,FlexibleRepairCouplings!$A$9:$M$11,11,FALSE),
IF($A219&lt;DuraFix!$A$15,VLOOKUP($A219,DuraFix!$A$9:$M$14,11,FALSE),                                                                                                                                                                                                                                                            IF($A219&lt;'Compression Fittings'!$A$16,VLOOKUP($A219,'Compression Fittings'!$A$8:$M$15,11,FALSE),
IF($A219&lt;'Hose Fittings'!$A$30,VLOOKUP($A219,'Hose Fittings'!$A$8:$M$29,11,FALSE),
IF($A219&lt;'Swing Joints'!$A$495,VLOOKUP($A219,'Swing Joints'!$A$9:$M$494,11,FALSE),
IF($A219&lt;'Swing Joints Components'!$A$135,VLOOKUP($A219,'Swing Joints Components'!$A$9:$M$134,11,FALSE),
IF($A219&lt;Nonstandard!$A$42,VLOOKUP($A219,Nonstandard!$A$31:$J$41,10,FALSE),"")))))))))))))))))))))))))))),"")</f>
        <v/>
      </c>
      <c r="H219" s="618" t="str">
        <f>IFERROR(IF($A219&lt;'DWV PVC'!$A$317,VLOOKUP($A219,'DWV PVC'!$A$9:$M$316,7,FALSE),
IF($A219&lt;'DWV ABS'!$A$117,VLOOKUP($A219,'DWV ABS'!$A$8:$M$116,11,FALSE),                                                                                                                                                                                                                                                     IF($A219&lt;'PVC SCH40'!$A$425,VLOOKUP($A219,'PVC SCH40'!$A$8:$M$424,7,FALSE),
IF($A219&lt;'PVC SCH40 LD'!$A$22,VLOOKUP($A219,'PVC SCH40 LD'!$A$8:$M$21,7,FALSE),
IF($A219&lt;'Pool &amp; SPA Sweep Elbows'!$A$12,VLOOKUP($A219,'Pool &amp; SPA Sweep Elbows'!$A$8:$M$11,7,FALSE),
IF($A219&lt;'Pool &amp; SPA Pipe Extender'!$A$11,VLOOKUP($A219,'Pool &amp; SPA Pipe Extender'!$A$8:$M$10,7,FALSE),
IF($A219&lt;'PVC SCH80'!$A$250,VLOOKUP($A219,'PVC SCH80'!$A$8:$M$249,7,FALSE),
IF($A219&lt;'PVC SCH80 Flange'!$A$49,VLOOKUP($A219,'PVC SCH80 Flange'!$A$8:$M$48,7,FALSE),
IF($A219&lt;'PVC SCH80 LD Flange'!$A$17,VLOOKUP($A219,'PVC SCH80 LD Flange'!$A$8:$M$16,7,FALSE),
IF($A219&lt;CPVC!$A$105,VLOOKUP($A219,CPVC!$A$9:$M$104,7,FALSE),
IF($A219&lt;InsertFittings!$A$185,VLOOKUP($A219,InsertFittings!$A$9:$M$184,7,FALSE),
IF($A219&lt;Valves!$A$92,VLOOKUP($A219,Valves!$A$9:$Q$91,11,FALSE),
IF($A219&lt;SDR35SW!$A$133,VLOOKUP($A219,SDR35SW!$A$9:$M$132,7,FALSE),
IF($A219&lt;SDR35G!$A$151,VLOOKUP($A219,SDR35G!$A$9:$M$150,7,FALSE),                                                                                                                                                                                                                                                       IF($A219&lt;SDR26G!$A$67,VLOOKUP($A219,SDR26G!$A$9:$N$66,8,FALSE),                                                                                                                                                                                                                                                     IF($A219&lt;Cements!$A$95,VLOOKUP($A219,Cements!$A$8:$Q$94,11,FALSE),
IF($A219&lt;ValveBox!$A$124,VLOOKUP($A219,ValveBox!$A$9:$O$123,10,FALSE),
IF($A219&lt;'ValveBox Components'!$A$142,VLOOKUP($A219,'ValveBox Components'!$A$9:$N$141,9,FALSE),
IF($A219&lt;Drainage!$A$69,VLOOKUP($A219,Drainage!$A$8:$M$68,7,FALSE),                                                                                                                                                                                                                                                          IF($A219&lt;Nipples!$A$82,VLOOKUP($A219,Nipples!$A$9:$Q$81,11,FALSE),
IF($A219&lt;Manifold!$A$33,VLOOKUP($A219,Manifold!$A$9:$M$32,7,FALSE),
IF($A219&lt;FlexibleRepairCouplings!$A$12,VLOOKUP($A219,FlexibleRepairCouplings!$A$9:$M$11,7,FALSE),
IF($A219&lt;DuraFix!$A$15,VLOOKUP($A219,DuraFix!$A$9:$M$14,7,FALSE),                                                                                                                                                                                                                                                           IF($A219&lt;'Compression Fittings'!$A$16,VLOOKUP($A219,'Compression Fittings'!$A$8:$M$15,7,FALSE),
IF($A219&lt;'Hose Fittings'!$A$30,VLOOKUP($A219,'Hose Fittings'!$A$8:$M$29,7,FALSE),
IF($A219&lt;'Swing Joints'!$A$495,VLOOKUP($A219,'Swing Joints'!$A$9:$M$494,7,FALSE),
IF($A219&lt;'Swing Joints Components'!$A$135,VLOOKUP($A219,'Swing Joints Components'!$A$9:$M$134,7,FALSE),
IF($A219&lt;Nonstandard!$A$42,VLOOKUP($A219,Nonstandard!$A$31:$J$41,10,FALSE),"")))))))))))))))))))))))))))),"")</f>
        <v/>
      </c>
      <c r="I219" s="619"/>
      <c r="J219" s="281" t="str">
        <f t="shared" si="5"/>
        <v/>
      </c>
      <c r="K219" s="313" t="str">
        <f>IFERROR(IF($A219&lt;'DWV PVC'!$A$317,VLOOKUP($A219,'DWV PVC'!$A$9:$M$316,10,FALSE),
IF($A219&lt;'DWV ABS'!$A$117,VLOOKUP($A219,'DWV ABS'!$A$8:$M$116,10,FALSE),
IF($A219&lt;'PVC SCH40'!$A$425,VLOOKUP($A219,'PVC SCH40'!$A$8:$M$424,10,FALSE),
IF($A219&lt;'PVC SCH40 LD'!$A$22,VLOOKUP($A219,'PVC SCH40 LD'!$A$8:$M$21,10,FALSE),
IF($A219&lt;'Pool &amp; SPA Sweep Elbows'!$A$12,VLOOKUP($A219,'Pool &amp; SPA Sweep Elbows'!$A$8:$M$11,10,FALSE),
IF($A219&lt;'Pool &amp; SPA Pipe Extender'!$A$11,VLOOKUP($A219,'Pool &amp; SPA Pipe Extender'!$A$8:$M$10,10,FALSE),
IF($A219&lt;'PVC SCH80'!$A$250,VLOOKUP($A219,'PVC SCH80'!$A$8:$M$249,10,FALSE),
IF($A219&lt;'PVC SCH80 Flange'!$A$49,VLOOKUP($A219,'PVC SCH80 Flange'!$A$8:$M$48,10,FALSE),
IF($A219&lt;'PVC SCH80 LD Flange'!$A$17,VLOOKUP($A219,'PVC SCH80 LD Flange'!$A$8:$M$16,10,FALSE),
IF($A219&lt;CPVC!$A$105,VLOOKUP($A219,CPVC!$A$9:$M$104,10,FALSE),
IF($A219&lt;InsertFittings!$A$185,VLOOKUP($A219,InsertFittings!$A$9:$M$184,10,FALSE),
IF($A219&lt;Valves!$A$92,VLOOKUP($A219,Valves!$A$9:$Q$91,14,FALSE),
IF($A219&lt;SDR35SW!$A$133,VLOOKUP($A219,SDR35SW!$A$9:$M$132,10,FALSE),
IF($A219&lt;SDR35G!$A$151,VLOOKUP($A219,SDR35G!$A$9:$M$150,10,FALSE),
IF($A219&lt;SDR26G!$A$67,VLOOKUP($A219,SDR26G!$A$9:$N$66,11,FALSE),
IF($A219&lt;Cements!$A$95,VLOOKUP($A219,Cements!$A$8:$Q$94,14,FALSE),
IF($A219&lt;ValveBox!$A$124,VLOOKUP($A219,ValveBox!$A$9:$O$123,12,FALSE),
IF($A219&lt;'ValveBox Components'!$A$142,VLOOKUP($A219,'ValveBox Components'!$A$9:$N$141,11,FALSE),
IF($A219&lt;Drainage!$A$69,VLOOKUP($A219,Drainage!$A$8:$M$68,10,FALSE),
IF($A219&lt;Nipples!$A$82,VLOOKUP($A219,Nipples!$A$9:$Q$81,14,FALSE),
IF($A219&lt;Manifold!$A$33,VLOOKUP($A219,Manifold!$A$9:$M$32,10,FALSE),
IF($A219&lt;FlexibleRepairCouplings!$A$12,VLOOKUP($A219,FlexibleRepairCouplings!$A$9:$M$11,10,FALSE),
IF($A219&lt;DuraFix!$A$15,VLOOKUP($A219,DuraFix!$A$9:$M$14,10,FALSE),
IF($A219&lt;'Compression Fittings'!$A$16,VLOOKUP($A219,'Compression Fittings'!$A$8:$M$15,10,FALSE),
IF($A219&lt;'Hose Fittings'!$A$30,VLOOKUP($A219,'Hose Fittings'!$A$8:$M$29,10,FALSE),
IF($A219&lt;'Swing Joints'!$A$495,VLOOKUP($A219,'Swing Joints'!$A$9:$M$494,10,FALSE),
IF($A219&lt;'Swing Joints Components'!$A$135,VLOOKUP($A219,'Swing Joints Components'!$A$9:$M$134,10,FALSE),
IF($A219&lt;Nonstandard!$A$42,VLOOKUP($A219,Nonstandard!$A$31:$J$41,10,FALSE),"")))))))))))))))))))))))))))),"")</f>
        <v/>
      </c>
      <c r="L219" s="314" t="str">
        <f t="shared" si="4"/>
        <v>-</v>
      </c>
      <c r="M219" s="315"/>
    </row>
    <row r="220" spans="1:13" ht="15.6">
      <c r="A220" s="536">
        <v>188</v>
      </c>
      <c r="B220" s="536" t="str">
        <f>IFERROR(IF($A220&lt;'DWV PVC'!$A$317,VLOOKUP($A220,'DWV PVC'!$A$9:$M$316,4,FALSE),
IF($A220&lt;'DWV ABS'!$A$117,VLOOKUP($A220,'DWV ABS'!$A$8:$M$116,4,FALSE),
IF($A220&lt;'PVC SCH40'!$A$425,VLOOKUP($A220,'PVC SCH40'!$A$8:$M$424,4,FALSE),
IF($A220&lt;'PVC SCH40 LD'!$A$22,VLOOKUP($A220,'PVC SCH40 LD'!$A$8:$M$21,4,FALSE),
IF($A220&lt;'Pool &amp; SPA Sweep Elbows'!$A$12,VLOOKUP($A220,'Pool &amp; SPA Sweep Elbows'!$A$8:$M$11,4,FALSE),
IF($A220&lt;'Pool &amp; SPA Pipe Extender'!$A$11,VLOOKUP($A220,'Pool &amp; SPA Pipe Extender'!$A$8:$M$10,4,FALSE),
IF($A220&lt;'PVC SCH80'!$A$250,VLOOKUP($A220,'PVC SCH80'!$A$8:$M$249,4,FALSE),
IF($A220&lt;'PVC SCH80 Flange'!$A$49,VLOOKUP($A220,'PVC SCH80 Flange'!$A$8:$M$48,4,FALSE),
IF($A220&lt;'PVC SCH80 LD Flange'!$A$17,VLOOKUP($A220,'PVC SCH80 LD Flange'!$A$8:$M$16,4,FALSE),
IF($A220&lt;CPVC!$A$105,VLOOKUP($A220,CPVC!$A$9:$M$104,4,FALSE),
IF($A220&lt;InsertFittings!$A$185,VLOOKUP($A220,InsertFittings!$A$9:$M$184,4,FALSE),
IF($A220&lt;Valves!$A$92,VLOOKUP($A220,Valves!$A$9:$Q$91,4,FALSE),
IF($A220&lt;SDR35SW!$A$133,VLOOKUP($A220,SDR35SW!$A$9:$M$132,4,FALSE),
IF($A220&lt;SDR35G!$A$151,VLOOKUP($A220,SDR35G!$A$9:$M$150,4,FALSE),
IF($A220&lt;SDR26G!$A$67,VLOOKUP($A220,SDR26G!$A$9:$N$66,5,FALSE),
IF($A220&lt;Cements!$A$95,VLOOKUP($A220,Cements!$A$8:$Q$94,4,FALSE),
IF($A220&lt;ValveBox!$A$124,VLOOKUP($A220,ValveBox!$A$9:$O$123,4,FALSE),
IF($A220&lt;'ValveBox Components'!$A$142,VLOOKUP($A220,'ValveBox Components'!$A$9:$N$141,4,FALSE),
IF($A220&lt;Drainage!$A$69,VLOOKUP($A220,Drainage!$A$8:$M$68,4,FALSE),
IF($A220&lt;Nipples!$A$82,VLOOKUP($A220,Nipples!$A$9:$Q$81,4,FALSE),
IF($A220&lt;Manifold!$A$33,VLOOKUP($A220,Manifold!$A$9:$M$32,4,FALSE),
IF($A220&lt;FlexibleRepairCouplings!$A$12,VLOOKUP($A220,FlexibleRepairCouplings!$A$9:$M$11,4,FALSE),
IF($A220&lt;DuraFix!$A$15,VLOOKUP($A220,DuraFix!$A$9:$M$14,4,FALSE),
IF($A220&lt;'Compression Fittings'!$A$16,VLOOKUP($A220,'Compression Fittings'!$A$8:$M$15,4,FALSE),
IF($A220&lt;'Hose Fittings'!$A$30,VLOOKUP($A220,'Hose Fittings'!$A$8:$M$29,4,FALSE),
IF($A220&lt;'Swing Joints'!$A$495,VLOOKUP($A220,'Swing Joints'!$A$9:$M$494,4,FALSE),
IF($A220&lt;'Swing Joints Components'!$A$135,VLOOKUP($A220,'Swing Joints Components'!$A$9:$M$134,4,FALSE),
IF($A220&lt;Nonstandard!$A$42,VLOOKUP($A220,Nonstandard!$A$31:$J$41,5,FALSE),"")))))))))))))))))))))))))))),"")</f>
        <v/>
      </c>
      <c r="C220" s="536" t="str">
        <f>IFERROR(IF($A220&lt;'DWV PVC'!$A$317,VLOOKUP($A220,'DWV PVC'!$A$9:$M$316,5,FALSE),
IF($A220&lt;'DWV ABS'!$A$117,VLOOKUP($A220,'DWV ABS'!$A$8:$M$116,5,FALSE),
IF($A220&lt;'PVC SCH40'!$A$425,VLOOKUP($A220,'PVC SCH40'!$A$8:$M$424,5,FALSE),
IF($A220&lt;'PVC SCH40 LD'!$A$22,VLOOKUP($A220,'PVC SCH40 LD'!$A$8:$M$21,5,FALSE),
IF($A220&lt;'Pool &amp; SPA Sweep Elbows'!$A$12,VLOOKUP($A220,'Pool &amp; SPA Sweep Elbows'!$A$8:$M$11,5,FALSE),
IF($A220&lt;'Pool &amp; SPA Pipe Extender'!$A$11,VLOOKUP($A220,'Pool &amp; SPA Pipe Extender'!$A$8:$M$10,5,FALSE),
IF($A220&lt;'PVC SCH80'!$A$250,VLOOKUP($A220,'PVC SCH80'!$A$8:$M$249,5,FALSE),
IF($A220&lt;'PVC SCH80 Flange'!$A$49,VLOOKUP($A220,'PVC SCH80 Flange'!$A$8:$M$48,5,FALSE),
IF($A220&lt;'PVC SCH80 LD Flange'!$A$17,VLOOKUP($A220,'PVC SCH80 LD Flange'!$A$8:$M$16,5,FALSE),
IF($A220&lt;CPVC!$A$105,VLOOKUP($A220,CPVC!$A$9:$M$104,5,FALSE),
IF($A220&lt;InsertFittings!$A$185,VLOOKUP($A220,InsertFittings!$A$9:$M$184,5,FALSE),
IF($A220&lt;Valves!$A$92,VLOOKUP($A220,Valves!$A$9:$Q$91,5,FALSE),
IF($A220&lt;SDR35SW!$A$133,VLOOKUP($A220,SDR35SW!$A$9:$M$132,5,FALSE),
IF($A220&lt;SDR35G!$A$151,VLOOKUP($A220,SDR35G!$A$9:$M$150,5,FALSE),
IF($A220&lt;SDR26G!$A$67,VLOOKUP($A220,SDR26G!$A$9:$N$66,6,FALSE),
IF($A220&lt;Cements!$A$95,VLOOKUP($A220,Cements!$A$8:$Q$94,5,FALSE),
IF($A220&lt;ValveBox!$A$124,VLOOKUP($A220,ValveBox!$A$9:$O$123,5,FALSE),
IF($A220&lt;'ValveBox Components'!$A$142,VLOOKUP($A220,'ValveBox Components'!$A$9:$N$141,5,FALSE),
IF($A220&lt;Drainage!$A$69,VLOOKUP($A220,Drainage!$A$8:$M$68,5,FALSE),
IF($A220&lt;Nipples!$A$82,VLOOKUP($A220,Nipples!$A$9:$Q$81,5,FALSE),
IF($A220&lt;Manifold!$A$33,VLOOKUP($A220,Manifold!$A$9:$M$32,5,FALSE),
IF($A220&lt;FlexibleRepairCouplings!$A$12,VLOOKUP($A220,FlexibleRepairCouplings!$A$9:$M$11,5,FALSE),
IF($A220&lt;DuraFix!$A$15,VLOOKUP($A220,DuraFix!$A$9:$M$14,5,FALSE),
IF($A220&lt;'Compression Fittings'!$A$16,VLOOKUP($A220,'Compression Fittings'!$A$8:$M$15,5,FALSE),
IF($A220&lt;'Hose Fittings'!$A$30,VLOOKUP($A220,'Hose Fittings'!$A$8:$M$29,5,FALSE),
IF($A220&lt;'Swing Joints'!$A$495,VLOOKUP($A220,'Swing Joints'!$A$9:$M$494,5,FALSE),
IF($A220&lt;'Swing Joints Components'!$A$135,VLOOKUP($A220,'Swing Joints Components'!$A$9:$M$134,5,FALSE),
IF($A220&lt;Nonstandard!$A$42,VLOOKUP($A220,Nonstandard!$A$31:$J$41,6,FALSE),"")))))))))))))))))))))))))))),"")</f>
        <v/>
      </c>
      <c r="D220" s="537" t="str">
        <f>IFERROR(IF($A220&lt;'DWV PVC'!$A$317,VLOOKUP($A220,'DWV PVC'!$A$9:$M$316,6,FALSE),
IF($A220&lt;'DWV ABS'!$A$117,VLOOKUP($A220,'DWV ABS'!$A$8:$M$116,6,FALSE),
IF($A220&lt;'PVC SCH40'!$A$425,VLOOKUP($A220,'PVC SCH40'!$A$8:$M$424,6,FALSE),
IF($A220&lt;'PVC SCH40 LD'!$A$22,VLOOKUP($A220,'PVC SCH40 LD'!$A$8:$M$21,6,FALSE),
IF($A220&lt;'Pool &amp; SPA Sweep Elbows'!$A$12,VLOOKUP($A220,'Pool &amp; SPA Sweep Elbows'!$A$8:$M$11,6,FALSE),
IF($A220&lt;'Pool &amp; SPA Pipe Extender'!$A$11,VLOOKUP($A220,'Pool &amp; SPA Pipe Extender'!$A$8:$M$10,6,FALSE),
IF($A220&lt;'PVC SCH80'!$A$250,VLOOKUP($A220,'PVC SCH80'!$A$8:$M$249,6,FALSE),
IF($A220&lt;'PVC SCH80 Flange'!$A$49,VLOOKUP($A220,'PVC SCH80 Flange'!$A$8:$M$48,6,FALSE),
IF($A220&lt;'PVC SCH80 LD Flange'!$A$17,VLOOKUP($A220,'PVC SCH80 LD Flange'!$A$8:$M$16,6,FALSE),
IF($A220&lt;CPVC!$A$105,VLOOKUP($A220,CPVC!$A$9:$M$104,6,FALSE),
IF($A220&lt;InsertFittings!$A$185,VLOOKUP($A220,InsertFittings!$A$9:$M$184,6,FALSE),
IF($A220&lt;Valves!$A$92,VLOOKUP($A220,Valves!$A$9:$Q$91,6,FALSE),
IF($A220&lt;SDR35SW!$A$133,VLOOKUP($A220,SDR35SW!$A$9:$M$132,6,FALSE),
IF($A220&lt;SDR35G!$A$151,VLOOKUP($A220,SDR35G!$A$9:$M$150,6,FALSE),
IF($A220&lt;SDR26G!$A$67,VLOOKUP($A220,SDR26G!$A$9:$N$66,7,FALSE),
IF($A220&lt;Cements!$A$95,VLOOKUP($A220,Cements!$A$8:$Q$94,6,FALSE),
IF($A220&lt;ValveBox!$A$124,VLOOKUP($A220,ValveBox!$A$9:$O$123,6,FALSE),
IF($A220&lt;'ValveBox Components'!$A$142,VLOOKUP($A220,'ValveBox Components'!$A$9:$N$141,6,FALSE),
IF($A220&lt;Drainage!$A$69,VLOOKUP($A220,Drainage!$A$8:$M$68,6,FALSE),
IF($A220&lt;Nipples!$A$82,VLOOKUP($A220,Nipples!$A$9:$Q$81,6,FALSE),
IF($A220&lt;Manifold!$A$33,VLOOKUP($A220,Manifold!$A$9:$M$32,6,FALSE),
IF($A220&lt;FlexibleRepairCouplings!$A$12,VLOOKUP($A220,FlexibleRepairCouplings!$A$9:$M$11,6,FALSE),
IF($A220&lt;DuraFix!$A$15,VLOOKUP($A220,DuraFix!$A$9:$M$14,6,FALSE),
IF($A220&lt;'Compression Fittings'!$A$16,VLOOKUP($A220,'Compression Fittings'!$A$8:$M$15,6,FALSE),
IF($A220&lt;'Hose Fittings'!$A$30,VLOOKUP($A220,'Hose Fittings'!$A$8:$M$29,6,FALSE),
IF($A220&lt;'Swing Joints'!$A$495,VLOOKUP($A220,'Swing Joints'!$A$9:$M$494,6,FALSE),
IF($A220&lt;'Swing Joints Components'!$A$135,VLOOKUP($A220,'Swing Joints Components'!$A$9:$M$134,6,FALSE),
IF($A220&lt;Nonstandard!$A$42,VLOOKUP($A220,Nonstandard!$A$31:$J$41,7,FALSE),"")))))))))))))))))))))))))))),"")</f>
        <v/>
      </c>
      <c r="E220" s="538"/>
      <c r="F220" s="539" t="str">
        <f>IFERROR(IF($A220&lt;'DWV PVC'!$A$317,VLOOKUP($A220,'DWV PVC'!$A$9:$M$316,9,FALSE),
IF($A220&lt;'DWV ABS'!$A$117,VLOOKUP($A220,'DWV ABS'!$A$8:$M$116,9,FALSE),                                                                                                                                                                                                                                                     IF($A220&lt;'PVC SCH40'!$A$425,VLOOKUP($A220,'PVC SCH40'!$A$8:$M$424,9,FALSE),
IF($A220&lt;'PVC SCH40 LD'!$A$22,VLOOKUP($A220,'PVC SCH40 LD'!$A$8:$M$21,9,FALSE),
IF($A220&lt;'Pool &amp; SPA Sweep Elbows'!$A$12,VLOOKUP($A220,'Pool &amp; SPA Sweep Elbows'!$A$8:$M$11,9,FALSE),
IF($A220&lt;'Pool &amp; SPA Pipe Extender'!$A$11,VLOOKUP($A220,'Pool &amp; SPA Pipe Extender'!$A$8:$M$10,9,FALSE),
IF($A220&lt;'PVC SCH80'!$A$250,VLOOKUP($A220,'PVC SCH80'!$A$8:$M$249,9,FALSE),
IF($A220&lt;'PVC SCH80 Flange'!$A$49,VLOOKUP($A220,'PVC SCH80 Flange'!$A$8:$M$48,9,FALSE),
IF($A220&lt;'PVC SCH80 LD Flange'!$A$17,VLOOKUP($A220,'PVC SCH80 LD Flange'!$A$8:$M$16,9,FALSE),
IF($A220&lt;CPVC!$A$105,VLOOKUP($A220,CPVC!$A$9:$M$104,9,FALSE),
IF($A220&lt;InsertFittings!$A$185,VLOOKUP($A220,InsertFittings!$A$9:$M$184,9,FALSE),
IF($A220&lt;Valves!$A$92,VLOOKUP($A220,Valves!$A$9:$Q$91,13,FALSE),
IF($A220&lt;SDR35SW!$A$133,VLOOKUP($A220,SDR35SW!$A$9:$M$132,9,FALSE),
IF($A220&lt;SDR35G!$A$151,VLOOKUP($A220,SDR35G!$A$9:$M$150,9,FALSE),                                                                                                                                                                                                                                                          IF($A220&lt;SDR26G!$A$67,VLOOKUP($A220,SDR26G!$A$9:$N$66,10,FALSE),                                                                                                                                                                                                                                                       IF($A220&lt;Cements!$A$95,VLOOKUP($A220,Cements!$A$8:$Q$94,13,FALSE),
IF($A220&lt;ValveBox!$A$124,VLOOKUP($A220,ValveBox!$A$9:$O$123,11,FALSE),
IF($A220&lt;'ValveBox Components'!$A$142,VLOOKUP($A220,'ValveBox Components'!$A$9:$N$141,10,FALSE),
IF($A220&lt;Drainage!$A$69,VLOOKUP($A220,Drainage!$A$8:$M$68,9,FALSE),                                                                                                                                                                                                                                                              IF($A220&lt;Nipples!$A$82,VLOOKUP($A220,Nipples!$A$9:$Q$81,13,FALSE),
IF($A220&lt;Manifold!$A$33,VLOOKUP($A220,Manifold!$A$9:$M$32,9,FALSE),
IF($A220&lt;FlexibleRepairCouplings!$A$12,VLOOKUP($A220,FlexibleRepairCouplings!$A$9:$M$11,9,FALSE),
IF($A220&lt;DuraFix!$A$15,VLOOKUP($A220,DuraFix!$A$9:$M$14,9,FALSE),                                                                                                                                                                                                                                                          IF($A220&lt;'Compression Fittings'!$A$16,VLOOKUP($A220,'Compression Fittings'!$A$8:$M$15,9,FALSE),
IF($A220&lt;'Hose Fittings'!$A$30,VLOOKUP($A220,'Hose Fittings'!$A$8:$M$29,9,FALSE),
IF($A220&lt;'Swing Joints'!$A$495,VLOOKUP($A220,'Swing Joints'!$A$9:$M$494,9,FALSE),
IF($A220&lt;'Swing Joints Components'!$A$135,VLOOKUP($A220,'Swing Joints Components'!$A$9:$M$134,9,FALSE),
IF($A220&lt;Nonstandard!$A$42,VLOOKUP($A220,Nonstandard!$A$31:$J$41,8,FALSE),"")))))))))))))))))))))))))))),"")</f>
        <v/>
      </c>
      <c r="G220" s="540" t="str">
        <f>IFERROR(IF($A220&lt;'DWV PVC'!$A$317,VLOOKUP($A220,'DWV PVC'!$A$9:$M$316,11,FALSE),
IF($A220&lt;'DWV ABS'!$A$117,VLOOKUP($A220,'DWV ABS'!$A$8:$M$116,11,FALSE),                                                                                                                                                                                                                                                     IF($A220&lt;'PVC SCH40'!$A$425,VLOOKUP($A220,'PVC SCH40'!$A$8:$M$424,11,FALSE),
IF($A220&lt;'PVC SCH40 LD'!$A$22,VLOOKUP($A220,'PVC SCH40 LD'!$A$8:$M$21,11,FALSE),
IF($A220&lt;'Pool &amp; SPA Sweep Elbows'!$A$12,VLOOKUP($A220,'Pool &amp; SPA Sweep Elbows'!$A$8:$M$11,11,FALSE),
IF($A220&lt;'Pool &amp; SPA Pipe Extender'!$A$11,VLOOKUP($A220,'Pool &amp; SPA Pipe Extender'!$A$8:$M$10,11,FALSE),
IF($A220&lt;'PVC SCH80'!$A$250,VLOOKUP($A220,'PVC SCH80'!$A$8:$M$249,11,FALSE),
IF($A220&lt;'PVC SCH80 Flange'!$A$49,VLOOKUP($A220,'PVC SCH80 Flange'!$A$8:$M$48,11,FALSE),
IF($A220&lt;'PVC SCH80 LD Flange'!$A$17,VLOOKUP($A220,'PVC SCH80 LD Flange'!$A$8:$M$16,11,FALSE),
IF($A220&lt;CPVC!$A$105,VLOOKUP($A220,CPVC!$A$9:$M$104,11,FALSE),
IF($A220&lt;InsertFittings!$A$185,VLOOKUP($A220,InsertFittings!$A$9:$M$184,11,FALSE),
IF($A220&lt;Valves!$A$92,VLOOKUP($A220,Valves!$A$9:$Q$91,15,FALSE),
IF($A220&lt;SDR35SW!$A$133,VLOOKUP($A220,SDR35SW!$A$9:$M$132,11,FALSE),
IF($A220&lt;SDR35G!$A$151,VLOOKUP($A220,SDR35G!$A$9:$M$150,11,FALSE),                                                                                                                                                                                                                                                          IF($A220&lt;SDR26G!$A$67,VLOOKUP($A220,SDR26G!$A$9:$N$66,12,FALSE),                                                                                                                                                                                                                                                       IF($A220&lt;Cements!$A$95,VLOOKUP($A220,Cements!$A$8:$Q$94,15,FALSE),
IF($A220&lt;ValveBox!$A$124,VLOOKUP($A220,ValveBox!$A$9:$O$123,13,FALSE),
IF($A220&lt;'ValveBox Components'!$A$142,VLOOKUP($A220,'ValveBox Components'!$A$9:$N$141,12,FALSE),
IF($A220&lt;Drainage!$A$69,VLOOKUP($A220,Drainage!$A$8:$M$68,11,FALSE),                                                                                                                                                                                                                                                           IF($A220&lt;Nipples!$A$82,VLOOKUP($A220,Nipples!$A$9:$Q$81,15,FALSE),
IF($A220&lt;Manifold!$A$33,VLOOKUP($A220,Manifold!$A$9:$M$32,11,FALSE),
IF($A220&lt;FlexibleRepairCouplings!$A$12,VLOOKUP($A220,FlexibleRepairCouplings!$A$9:$M$11,11,FALSE),
IF($A220&lt;DuraFix!$A$15,VLOOKUP($A220,DuraFix!$A$9:$M$14,11,FALSE),                                                                                                                                                                                                                                                            IF($A220&lt;'Compression Fittings'!$A$16,VLOOKUP($A220,'Compression Fittings'!$A$8:$M$15,11,FALSE),
IF($A220&lt;'Hose Fittings'!$A$30,VLOOKUP($A220,'Hose Fittings'!$A$8:$M$29,11,FALSE),
IF($A220&lt;'Swing Joints'!$A$495,VLOOKUP($A220,'Swing Joints'!$A$9:$M$494,11,FALSE),
IF($A220&lt;'Swing Joints Components'!$A$135,VLOOKUP($A220,'Swing Joints Components'!$A$9:$M$134,11,FALSE),
IF($A220&lt;Nonstandard!$A$42,VLOOKUP($A220,Nonstandard!$A$31:$J$41,10,FALSE),"")))))))))))))))))))))))))))),"")</f>
        <v/>
      </c>
      <c r="H220" s="620" t="str">
        <f>IFERROR(IF($A220&lt;'DWV PVC'!$A$317,VLOOKUP($A220,'DWV PVC'!$A$9:$M$316,7,FALSE),
IF($A220&lt;'DWV ABS'!$A$117,VLOOKUP($A220,'DWV ABS'!$A$8:$M$116,11,FALSE),                                                                                                                                                                                                                                                     IF($A220&lt;'PVC SCH40'!$A$425,VLOOKUP($A220,'PVC SCH40'!$A$8:$M$424,7,FALSE),
IF($A220&lt;'PVC SCH40 LD'!$A$22,VLOOKUP($A220,'PVC SCH40 LD'!$A$8:$M$21,7,FALSE),
IF($A220&lt;'Pool &amp; SPA Sweep Elbows'!$A$12,VLOOKUP($A220,'Pool &amp; SPA Sweep Elbows'!$A$8:$M$11,7,FALSE),
IF($A220&lt;'Pool &amp; SPA Pipe Extender'!$A$11,VLOOKUP($A220,'Pool &amp; SPA Pipe Extender'!$A$8:$M$10,7,FALSE),
IF($A220&lt;'PVC SCH80'!$A$250,VLOOKUP($A220,'PVC SCH80'!$A$8:$M$249,7,FALSE),
IF($A220&lt;'PVC SCH80 Flange'!$A$49,VLOOKUP($A220,'PVC SCH80 Flange'!$A$8:$M$48,7,FALSE),
IF($A220&lt;'PVC SCH80 LD Flange'!$A$17,VLOOKUP($A220,'PVC SCH80 LD Flange'!$A$8:$M$16,7,FALSE),
IF($A220&lt;CPVC!$A$105,VLOOKUP($A220,CPVC!$A$9:$M$104,7,FALSE),
IF($A220&lt;InsertFittings!$A$185,VLOOKUP($A220,InsertFittings!$A$9:$M$184,7,FALSE),
IF($A220&lt;Valves!$A$92,VLOOKUP($A220,Valves!$A$9:$Q$91,11,FALSE),
IF($A220&lt;SDR35SW!$A$133,VLOOKUP($A220,SDR35SW!$A$9:$M$132,7,FALSE),
IF($A220&lt;SDR35G!$A$151,VLOOKUP($A220,SDR35G!$A$9:$M$150,7,FALSE),                                                                                                                                                                                                                                                       IF($A220&lt;SDR26G!$A$67,VLOOKUP($A220,SDR26G!$A$9:$N$66,8,FALSE),                                                                                                                                                                                                                                                     IF($A220&lt;Cements!$A$95,VLOOKUP($A220,Cements!$A$8:$Q$94,11,FALSE),
IF($A220&lt;ValveBox!$A$124,VLOOKUP($A220,ValveBox!$A$9:$O$123,10,FALSE),
IF($A220&lt;'ValveBox Components'!$A$142,VLOOKUP($A220,'ValveBox Components'!$A$9:$N$141,9,FALSE),
IF($A220&lt;Drainage!$A$69,VLOOKUP($A220,Drainage!$A$8:$M$68,7,FALSE),                                                                                                                                                                                                                                                          IF($A220&lt;Nipples!$A$82,VLOOKUP($A220,Nipples!$A$9:$Q$81,11,FALSE),
IF($A220&lt;Manifold!$A$33,VLOOKUP($A220,Manifold!$A$9:$M$32,7,FALSE),
IF($A220&lt;FlexibleRepairCouplings!$A$12,VLOOKUP($A220,FlexibleRepairCouplings!$A$9:$M$11,7,FALSE),
IF($A220&lt;DuraFix!$A$15,VLOOKUP($A220,DuraFix!$A$9:$M$14,7,FALSE),                                                                                                                                                                                                                                                           IF($A220&lt;'Compression Fittings'!$A$16,VLOOKUP($A220,'Compression Fittings'!$A$8:$M$15,7,FALSE),
IF($A220&lt;'Hose Fittings'!$A$30,VLOOKUP($A220,'Hose Fittings'!$A$8:$M$29,7,FALSE),
IF($A220&lt;'Swing Joints'!$A$495,VLOOKUP($A220,'Swing Joints'!$A$9:$M$494,7,FALSE),
IF($A220&lt;'Swing Joints Components'!$A$135,VLOOKUP($A220,'Swing Joints Components'!$A$9:$M$134,7,FALSE),
IF($A220&lt;Nonstandard!$A$42,VLOOKUP($A220,Nonstandard!$A$31:$J$41,10,FALSE),"")))))))))))))))))))))))))))),"")</f>
        <v/>
      </c>
      <c r="I220" s="621"/>
      <c r="J220" s="541" t="str">
        <f t="shared" si="5"/>
        <v/>
      </c>
      <c r="K220" s="599" t="str">
        <f>IFERROR(IF($A220&lt;'DWV PVC'!$A$317,VLOOKUP($A220,'DWV PVC'!$A$9:$M$316,10,FALSE),
IF($A220&lt;'DWV ABS'!$A$117,VLOOKUP($A220,'DWV ABS'!$A$8:$M$116,10,FALSE),
IF($A220&lt;'PVC SCH40'!$A$425,VLOOKUP($A220,'PVC SCH40'!$A$8:$M$424,10,FALSE),
IF($A220&lt;'PVC SCH40 LD'!$A$22,VLOOKUP($A220,'PVC SCH40 LD'!$A$8:$M$21,10,FALSE),
IF($A220&lt;'Pool &amp; SPA Sweep Elbows'!$A$12,VLOOKUP($A220,'Pool &amp; SPA Sweep Elbows'!$A$8:$M$11,10,FALSE),
IF($A220&lt;'Pool &amp; SPA Pipe Extender'!$A$11,VLOOKUP($A220,'Pool &amp; SPA Pipe Extender'!$A$8:$M$10,10,FALSE),
IF($A220&lt;'PVC SCH80'!$A$250,VLOOKUP($A220,'PVC SCH80'!$A$8:$M$249,10,FALSE),
IF($A220&lt;'PVC SCH80 Flange'!$A$49,VLOOKUP($A220,'PVC SCH80 Flange'!$A$8:$M$48,10,FALSE),
IF($A220&lt;'PVC SCH80 LD Flange'!$A$17,VLOOKUP($A220,'PVC SCH80 LD Flange'!$A$8:$M$16,10,FALSE),
IF($A220&lt;CPVC!$A$105,VLOOKUP($A220,CPVC!$A$9:$M$104,10,FALSE),
IF($A220&lt;InsertFittings!$A$185,VLOOKUP($A220,InsertFittings!$A$9:$M$184,10,FALSE),
IF($A220&lt;Valves!$A$92,VLOOKUP($A220,Valves!$A$9:$Q$91,14,FALSE),
IF($A220&lt;SDR35SW!$A$133,VLOOKUP($A220,SDR35SW!$A$9:$M$132,10,FALSE),
IF($A220&lt;SDR35G!$A$151,VLOOKUP($A220,SDR35G!$A$9:$M$150,10,FALSE),
IF($A220&lt;SDR26G!$A$67,VLOOKUP($A220,SDR26G!$A$9:$N$66,11,FALSE),
IF($A220&lt;Cements!$A$95,VLOOKUP($A220,Cements!$A$8:$Q$94,14,FALSE),
IF($A220&lt;ValveBox!$A$124,VLOOKUP($A220,ValveBox!$A$9:$O$123,12,FALSE),
IF($A220&lt;'ValveBox Components'!$A$142,VLOOKUP($A220,'ValveBox Components'!$A$9:$N$141,11,FALSE),
IF($A220&lt;Drainage!$A$69,VLOOKUP($A220,Drainage!$A$8:$M$68,10,FALSE),
IF($A220&lt;Nipples!$A$82,VLOOKUP($A220,Nipples!$A$9:$Q$81,14,FALSE),
IF($A220&lt;Manifold!$A$33,VLOOKUP($A220,Manifold!$A$9:$M$32,10,FALSE),
IF($A220&lt;FlexibleRepairCouplings!$A$12,VLOOKUP($A220,FlexibleRepairCouplings!$A$9:$M$11,10,FALSE),
IF($A220&lt;DuraFix!$A$15,VLOOKUP($A220,DuraFix!$A$9:$M$14,10,FALSE),
IF($A220&lt;'Compression Fittings'!$A$16,VLOOKUP($A220,'Compression Fittings'!$A$8:$M$15,10,FALSE),
IF($A220&lt;'Hose Fittings'!$A$30,VLOOKUP($A220,'Hose Fittings'!$A$8:$M$29,10,FALSE),
IF($A220&lt;'Swing Joints'!$A$495,VLOOKUP($A220,'Swing Joints'!$A$9:$M$494,10,FALSE),
IF($A220&lt;'Swing Joints Components'!$A$135,VLOOKUP($A220,'Swing Joints Components'!$A$9:$M$134,10,FALSE),
IF($A220&lt;Nonstandard!$A$42,VLOOKUP($A220,Nonstandard!$A$31:$J$41,10,FALSE),"")))))))))))))))))))))))))))),"")</f>
        <v/>
      </c>
      <c r="L220" s="539" t="str">
        <f t="shared" si="4"/>
        <v>-</v>
      </c>
      <c r="M220" s="542"/>
    </row>
    <row r="221" spans="1:13" ht="16.2" thickBot="1">
      <c r="A221" s="312">
        <v>189</v>
      </c>
      <c r="B221" s="312" t="str">
        <f>IFERROR(IF($A221&lt;'DWV PVC'!$A$317,VLOOKUP($A221,'DWV PVC'!$A$9:$M$316,4,FALSE),
IF($A221&lt;'DWV ABS'!$A$117,VLOOKUP($A221,'DWV ABS'!$A$8:$M$116,4,FALSE),
IF($A221&lt;'PVC SCH40'!$A$425,VLOOKUP($A221,'PVC SCH40'!$A$8:$M$424,4,FALSE),
IF($A221&lt;'PVC SCH40 LD'!$A$22,VLOOKUP($A221,'PVC SCH40 LD'!$A$8:$M$21,4,FALSE),
IF($A221&lt;'Pool &amp; SPA Sweep Elbows'!$A$12,VLOOKUP($A221,'Pool &amp; SPA Sweep Elbows'!$A$8:$M$11,4,FALSE),
IF($A221&lt;'Pool &amp; SPA Pipe Extender'!$A$11,VLOOKUP($A221,'Pool &amp; SPA Pipe Extender'!$A$8:$M$10,4,FALSE),
IF($A221&lt;'PVC SCH80'!$A$250,VLOOKUP($A221,'PVC SCH80'!$A$8:$M$249,4,FALSE),
IF($A221&lt;'PVC SCH80 Flange'!$A$49,VLOOKUP($A221,'PVC SCH80 Flange'!$A$8:$M$48,4,FALSE),
IF($A221&lt;'PVC SCH80 LD Flange'!$A$17,VLOOKUP($A221,'PVC SCH80 LD Flange'!$A$8:$M$16,4,FALSE),
IF($A221&lt;CPVC!$A$105,VLOOKUP($A221,CPVC!$A$9:$M$104,4,FALSE),
IF($A221&lt;InsertFittings!$A$185,VLOOKUP($A221,InsertFittings!$A$9:$M$184,4,FALSE),
IF($A221&lt;Valves!$A$92,VLOOKUP($A221,Valves!$A$9:$Q$91,4,FALSE),
IF($A221&lt;SDR35SW!$A$133,VLOOKUP($A221,SDR35SW!$A$9:$M$132,4,FALSE),
IF($A221&lt;SDR35G!$A$151,VLOOKUP($A221,SDR35G!$A$9:$M$150,4,FALSE),
IF($A221&lt;SDR26G!$A$67,VLOOKUP($A221,SDR26G!$A$9:$N$66,5,FALSE),
IF($A221&lt;Cements!$A$95,VLOOKUP($A221,Cements!$A$8:$Q$94,4,FALSE),
IF($A221&lt;ValveBox!$A$124,VLOOKUP($A221,ValveBox!$A$9:$O$123,4,FALSE),
IF($A221&lt;'ValveBox Components'!$A$142,VLOOKUP($A221,'ValveBox Components'!$A$9:$N$141,4,FALSE),
IF($A221&lt;Drainage!$A$69,VLOOKUP($A221,Drainage!$A$8:$M$68,4,FALSE),
IF($A221&lt;Nipples!$A$82,VLOOKUP($A221,Nipples!$A$9:$Q$81,4,FALSE),
IF($A221&lt;Manifold!$A$33,VLOOKUP($A221,Manifold!$A$9:$M$32,4,FALSE),
IF($A221&lt;FlexibleRepairCouplings!$A$12,VLOOKUP($A221,FlexibleRepairCouplings!$A$9:$M$11,4,FALSE),
IF($A221&lt;DuraFix!$A$15,VLOOKUP($A221,DuraFix!$A$9:$M$14,4,FALSE),
IF($A221&lt;'Compression Fittings'!$A$16,VLOOKUP($A221,'Compression Fittings'!$A$8:$M$15,4,FALSE),
IF($A221&lt;'Hose Fittings'!$A$30,VLOOKUP($A221,'Hose Fittings'!$A$8:$M$29,4,FALSE),
IF($A221&lt;'Swing Joints'!$A$495,VLOOKUP($A221,'Swing Joints'!$A$9:$M$494,4,FALSE),
IF($A221&lt;'Swing Joints Components'!$A$135,VLOOKUP($A221,'Swing Joints Components'!$A$9:$M$134,4,FALSE),
IF($A221&lt;Nonstandard!$A$42,VLOOKUP($A221,Nonstandard!$A$31:$J$41,5,FALSE),"")))))))))))))))))))))))))))),"")</f>
        <v/>
      </c>
      <c r="C221" s="312" t="str">
        <f>IFERROR(IF($A221&lt;'DWV PVC'!$A$317,VLOOKUP($A221,'DWV PVC'!$A$9:$M$316,5,FALSE),
IF($A221&lt;'DWV ABS'!$A$117,VLOOKUP($A221,'DWV ABS'!$A$8:$M$116,5,FALSE),
IF($A221&lt;'PVC SCH40'!$A$425,VLOOKUP($A221,'PVC SCH40'!$A$8:$M$424,5,FALSE),
IF($A221&lt;'PVC SCH40 LD'!$A$22,VLOOKUP($A221,'PVC SCH40 LD'!$A$8:$M$21,5,FALSE),
IF($A221&lt;'Pool &amp; SPA Sweep Elbows'!$A$12,VLOOKUP($A221,'Pool &amp; SPA Sweep Elbows'!$A$8:$M$11,5,FALSE),
IF($A221&lt;'Pool &amp; SPA Pipe Extender'!$A$11,VLOOKUP($A221,'Pool &amp; SPA Pipe Extender'!$A$8:$M$10,5,FALSE),
IF($A221&lt;'PVC SCH80'!$A$250,VLOOKUP($A221,'PVC SCH80'!$A$8:$M$249,5,FALSE),
IF($A221&lt;'PVC SCH80 Flange'!$A$49,VLOOKUP($A221,'PVC SCH80 Flange'!$A$8:$M$48,5,FALSE),
IF($A221&lt;'PVC SCH80 LD Flange'!$A$17,VLOOKUP($A221,'PVC SCH80 LD Flange'!$A$8:$M$16,5,FALSE),
IF($A221&lt;CPVC!$A$105,VLOOKUP($A221,CPVC!$A$9:$M$104,5,FALSE),
IF($A221&lt;InsertFittings!$A$185,VLOOKUP($A221,InsertFittings!$A$9:$M$184,5,FALSE),
IF($A221&lt;Valves!$A$92,VLOOKUP($A221,Valves!$A$9:$Q$91,5,FALSE),
IF($A221&lt;SDR35SW!$A$133,VLOOKUP($A221,SDR35SW!$A$9:$M$132,5,FALSE),
IF($A221&lt;SDR35G!$A$151,VLOOKUP($A221,SDR35G!$A$9:$M$150,5,FALSE),
IF($A221&lt;SDR26G!$A$67,VLOOKUP($A221,SDR26G!$A$9:$N$66,6,FALSE),
IF($A221&lt;Cements!$A$95,VLOOKUP($A221,Cements!$A$8:$Q$94,5,FALSE),
IF($A221&lt;ValveBox!$A$124,VLOOKUP($A221,ValveBox!$A$9:$O$123,5,FALSE),
IF($A221&lt;'ValveBox Components'!$A$142,VLOOKUP($A221,'ValveBox Components'!$A$9:$N$141,5,FALSE),
IF($A221&lt;Drainage!$A$69,VLOOKUP($A221,Drainage!$A$8:$M$68,5,FALSE),
IF($A221&lt;Nipples!$A$82,VLOOKUP($A221,Nipples!$A$9:$Q$81,5,FALSE),
IF($A221&lt;Manifold!$A$33,VLOOKUP($A221,Manifold!$A$9:$M$32,5,FALSE),
IF($A221&lt;FlexibleRepairCouplings!$A$12,VLOOKUP($A221,FlexibleRepairCouplings!$A$9:$M$11,5,FALSE),
IF($A221&lt;DuraFix!$A$15,VLOOKUP($A221,DuraFix!$A$9:$M$14,5,FALSE),
IF($A221&lt;'Compression Fittings'!$A$16,VLOOKUP($A221,'Compression Fittings'!$A$8:$M$15,5,FALSE),
IF($A221&lt;'Hose Fittings'!$A$30,VLOOKUP($A221,'Hose Fittings'!$A$8:$M$29,5,FALSE),
IF($A221&lt;'Swing Joints'!$A$495,VLOOKUP($A221,'Swing Joints'!$A$9:$M$494,5,FALSE),
IF($A221&lt;'Swing Joints Components'!$A$135,VLOOKUP($A221,'Swing Joints Components'!$A$9:$M$134,5,FALSE),
IF($A221&lt;Nonstandard!$A$42,VLOOKUP($A221,Nonstandard!$A$31:$J$41,6,FALSE),"")))))))))))))))))))))))))))),"")</f>
        <v/>
      </c>
      <c r="D221" s="534" t="str">
        <f>IFERROR(IF($A221&lt;'DWV PVC'!$A$317,VLOOKUP($A221,'DWV PVC'!$A$9:$M$316,6,FALSE),
IF($A221&lt;'DWV ABS'!$A$117,VLOOKUP($A221,'DWV ABS'!$A$8:$M$116,6,FALSE),
IF($A221&lt;'PVC SCH40'!$A$425,VLOOKUP($A221,'PVC SCH40'!$A$8:$M$424,6,FALSE),
IF($A221&lt;'PVC SCH40 LD'!$A$22,VLOOKUP($A221,'PVC SCH40 LD'!$A$8:$M$21,6,FALSE),
IF($A221&lt;'Pool &amp; SPA Sweep Elbows'!$A$12,VLOOKUP($A221,'Pool &amp; SPA Sweep Elbows'!$A$8:$M$11,6,FALSE),
IF($A221&lt;'Pool &amp; SPA Pipe Extender'!$A$11,VLOOKUP($A221,'Pool &amp; SPA Pipe Extender'!$A$8:$M$10,6,FALSE),
IF($A221&lt;'PVC SCH80'!$A$250,VLOOKUP($A221,'PVC SCH80'!$A$8:$M$249,6,FALSE),
IF($A221&lt;'PVC SCH80 Flange'!$A$49,VLOOKUP($A221,'PVC SCH80 Flange'!$A$8:$M$48,6,FALSE),
IF($A221&lt;'PVC SCH80 LD Flange'!$A$17,VLOOKUP($A221,'PVC SCH80 LD Flange'!$A$8:$M$16,6,FALSE),
IF($A221&lt;CPVC!$A$105,VLOOKUP($A221,CPVC!$A$9:$M$104,6,FALSE),
IF($A221&lt;InsertFittings!$A$185,VLOOKUP($A221,InsertFittings!$A$9:$M$184,6,FALSE),
IF($A221&lt;Valves!$A$92,VLOOKUP($A221,Valves!$A$9:$Q$91,6,FALSE),
IF($A221&lt;SDR35SW!$A$133,VLOOKUP($A221,SDR35SW!$A$9:$M$132,6,FALSE),
IF($A221&lt;SDR35G!$A$151,VLOOKUP($A221,SDR35G!$A$9:$M$150,6,FALSE),
IF($A221&lt;SDR26G!$A$67,VLOOKUP($A221,SDR26G!$A$9:$N$66,7,FALSE),
IF($A221&lt;Cements!$A$95,VLOOKUP($A221,Cements!$A$8:$Q$94,6,FALSE),
IF($A221&lt;ValveBox!$A$124,VLOOKUP($A221,ValveBox!$A$9:$O$123,6,FALSE),
IF($A221&lt;'ValveBox Components'!$A$142,VLOOKUP($A221,'ValveBox Components'!$A$9:$N$141,6,FALSE),
IF($A221&lt;Drainage!$A$69,VLOOKUP($A221,Drainage!$A$8:$M$68,6,FALSE),
IF($A221&lt;Nipples!$A$82,VLOOKUP($A221,Nipples!$A$9:$Q$81,6,FALSE),
IF($A221&lt;Manifold!$A$33,VLOOKUP($A221,Manifold!$A$9:$M$32,6,FALSE),
IF($A221&lt;FlexibleRepairCouplings!$A$12,VLOOKUP($A221,FlexibleRepairCouplings!$A$9:$M$11,6,FALSE),
IF($A221&lt;DuraFix!$A$15,VLOOKUP($A221,DuraFix!$A$9:$M$14,6,FALSE),
IF($A221&lt;'Compression Fittings'!$A$16,VLOOKUP($A221,'Compression Fittings'!$A$8:$M$15,6,FALSE),
IF($A221&lt;'Hose Fittings'!$A$30,VLOOKUP($A221,'Hose Fittings'!$A$8:$M$29,6,FALSE),
IF($A221&lt;'Swing Joints'!$A$495,VLOOKUP($A221,'Swing Joints'!$A$9:$M$494,6,FALSE),
IF($A221&lt;'Swing Joints Components'!$A$135,VLOOKUP($A221,'Swing Joints Components'!$A$9:$M$134,6,FALSE),
IF($A221&lt;Nonstandard!$A$42,VLOOKUP($A221,Nonstandard!$A$31:$J$41,7,FALSE),"")))))))))))))))))))))))))))),"")</f>
        <v/>
      </c>
      <c r="E221" s="316"/>
      <c r="F221" s="314" t="str">
        <f>IFERROR(IF($A221&lt;'DWV PVC'!$A$317,VLOOKUP($A221,'DWV PVC'!$A$9:$M$316,9,FALSE),
IF($A221&lt;'DWV ABS'!$A$117,VLOOKUP($A221,'DWV ABS'!$A$8:$M$116,9,FALSE),                                                                                                                                                                                                                                                     IF($A221&lt;'PVC SCH40'!$A$425,VLOOKUP($A221,'PVC SCH40'!$A$8:$M$424,9,FALSE),
IF($A221&lt;'PVC SCH40 LD'!$A$22,VLOOKUP($A221,'PVC SCH40 LD'!$A$8:$M$21,9,FALSE),
IF($A221&lt;'Pool &amp; SPA Sweep Elbows'!$A$12,VLOOKUP($A221,'Pool &amp; SPA Sweep Elbows'!$A$8:$M$11,9,FALSE),
IF($A221&lt;'Pool &amp; SPA Pipe Extender'!$A$11,VLOOKUP($A221,'Pool &amp; SPA Pipe Extender'!$A$8:$M$10,9,FALSE),
IF($A221&lt;'PVC SCH80'!$A$250,VLOOKUP($A221,'PVC SCH80'!$A$8:$M$249,9,FALSE),
IF($A221&lt;'PVC SCH80 Flange'!$A$49,VLOOKUP($A221,'PVC SCH80 Flange'!$A$8:$M$48,9,FALSE),
IF($A221&lt;'PVC SCH80 LD Flange'!$A$17,VLOOKUP($A221,'PVC SCH80 LD Flange'!$A$8:$M$16,9,FALSE),
IF($A221&lt;CPVC!$A$105,VLOOKUP($A221,CPVC!$A$9:$M$104,9,FALSE),
IF($A221&lt;InsertFittings!$A$185,VLOOKUP($A221,InsertFittings!$A$9:$M$184,9,FALSE),
IF($A221&lt;Valves!$A$92,VLOOKUP($A221,Valves!$A$9:$Q$91,13,FALSE),
IF($A221&lt;SDR35SW!$A$133,VLOOKUP($A221,SDR35SW!$A$9:$M$132,9,FALSE),
IF($A221&lt;SDR35G!$A$151,VLOOKUP($A221,SDR35G!$A$9:$M$150,9,FALSE),                                                                                                                                                                                                                                                          IF($A221&lt;SDR26G!$A$67,VLOOKUP($A221,SDR26G!$A$9:$N$66,10,FALSE),                                                                                                                                                                                                                                                       IF($A221&lt;Cements!$A$95,VLOOKUP($A221,Cements!$A$8:$Q$94,13,FALSE),
IF($A221&lt;ValveBox!$A$124,VLOOKUP($A221,ValveBox!$A$9:$O$123,11,FALSE),
IF($A221&lt;'ValveBox Components'!$A$142,VLOOKUP($A221,'ValveBox Components'!$A$9:$N$141,10,FALSE),
IF($A221&lt;Drainage!$A$69,VLOOKUP($A221,Drainage!$A$8:$M$68,9,FALSE),                                                                                                                                                                                                                                                              IF($A221&lt;Nipples!$A$82,VLOOKUP($A221,Nipples!$A$9:$Q$81,13,FALSE),
IF($A221&lt;Manifold!$A$33,VLOOKUP($A221,Manifold!$A$9:$M$32,9,FALSE),
IF($A221&lt;FlexibleRepairCouplings!$A$12,VLOOKUP($A221,FlexibleRepairCouplings!$A$9:$M$11,9,FALSE),
IF($A221&lt;DuraFix!$A$15,VLOOKUP($A221,DuraFix!$A$9:$M$14,9,FALSE),                                                                                                                                                                                                                                                          IF($A221&lt;'Compression Fittings'!$A$16,VLOOKUP($A221,'Compression Fittings'!$A$8:$M$15,9,FALSE),
IF($A221&lt;'Hose Fittings'!$A$30,VLOOKUP($A221,'Hose Fittings'!$A$8:$M$29,9,FALSE),
IF($A221&lt;'Swing Joints'!$A$495,VLOOKUP($A221,'Swing Joints'!$A$9:$M$494,9,FALSE),
IF($A221&lt;'Swing Joints Components'!$A$135,VLOOKUP($A221,'Swing Joints Components'!$A$9:$M$134,9,FALSE),
IF($A221&lt;Nonstandard!$A$42,VLOOKUP($A221,Nonstandard!$A$31:$J$41,8,FALSE),"")))))))))))))))))))))))))))),"")</f>
        <v/>
      </c>
      <c r="G221" s="533" t="str">
        <f>IFERROR(IF($A221&lt;'DWV PVC'!$A$317,VLOOKUP($A221,'DWV PVC'!$A$9:$M$316,11,FALSE),
IF($A221&lt;'DWV ABS'!$A$117,VLOOKUP($A221,'DWV ABS'!$A$8:$M$116,11,FALSE),                                                                                                                                                                                                                                                     IF($A221&lt;'PVC SCH40'!$A$425,VLOOKUP($A221,'PVC SCH40'!$A$8:$M$424,11,FALSE),
IF($A221&lt;'PVC SCH40 LD'!$A$22,VLOOKUP($A221,'PVC SCH40 LD'!$A$8:$M$21,11,FALSE),
IF($A221&lt;'Pool &amp; SPA Sweep Elbows'!$A$12,VLOOKUP($A221,'Pool &amp; SPA Sweep Elbows'!$A$8:$M$11,11,FALSE),
IF($A221&lt;'Pool &amp; SPA Pipe Extender'!$A$11,VLOOKUP($A221,'Pool &amp; SPA Pipe Extender'!$A$8:$M$10,11,FALSE),
IF($A221&lt;'PVC SCH80'!$A$250,VLOOKUP($A221,'PVC SCH80'!$A$8:$M$249,11,FALSE),
IF($A221&lt;'PVC SCH80 Flange'!$A$49,VLOOKUP($A221,'PVC SCH80 Flange'!$A$8:$M$48,11,FALSE),
IF($A221&lt;'PVC SCH80 LD Flange'!$A$17,VLOOKUP($A221,'PVC SCH80 LD Flange'!$A$8:$M$16,11,FALSE),
IF($A221&lt;CPVC!$A$105,VLOOKUP($A221,CPVC!$A$9:$M$104,11,FALSE),
IF($A221&lt;InsertFittings!$A$185,VLOOKUP($A221,InsertFittings!$A$9:$M$184,11,FALSE),
IF($A221&lt;Valves!$A$92,VLOOKUP($A221,Valves!$A$9:$Q$91,15,FALSE),
IF($A221&lt;SDR35SW!$A$133,VLOOKUP($A221,SDR35SW!$A$9:$M$132,11,FALSE),
IF($A221&lt;SDR35G!$A$151,VLOOKUP($A221,SDR35G!$A$9:$M$150,11,FALSE),                                                                                                                                                                                                                                                          IF($A221&lt;SDR26G!$A$67,VLOOKUP($A221,SDR26G!$A$9:$N$66,12,FALSE),                                                                                                                                                                                                                                                       IF($A221&lt;Cements!$A$95,VLOOKUP($A221,Cements!$A$8:$Q$94,15,FALSE),
IF($A221&lt;ValveBox!$A$124,VLOOKUP($A221,ValveBox!$A$9:$O$123,13,FALSE),
IF($A221&lt;'ValveBox Components'!$A$142,VLOOKUP($A221,'ValveBox Components'!$A$9:$N$141,12,FALSE),
IF($A221&lt;Drainage!$A$69,VLOOKUP($A221,Drainage!$A$8:$M$68,11,FALSE),                                                                                                                                                                                                                                                           IF($A221&lt;Nipples!$A$82,VLOOKUP($A221,Nipples!$A$9:$Q$81,15,FALSE),
IF($A221&lt;Manifold!$A$33,VLOOKUP($A221,Manifold!$A$9:$M$32,11,FALSE),
IF($A221&lt;FlexibleRepairCouplings!$A$12,VLOOKUP($A221,FlexibleRepairCouplings!$A$9:$M$11,11,FALSE),
IF($A221&lt;DuraFix!$A$15,VLOOKUP($A221,DuraFix!$A$9:$M$14,11,FALSE),                                                                                                                                                                                                                                                            IF($A221&lt;'Compression Fittings'!$A$16,VLOOKUP($A221,'Compression Fittings'!$A$8:$M$15,11,FALSE),
IF($A221&lt;'Hose Fittings'!$A$30,VLOOKUP($A221,'Hose Fittings'!$A$8:$M$29,11,FALSE),
IF($A221&lt;'Swing Joints'!$A$495,VLOOKUP($A221,'Swing Joints'!$A$9:$M$494,11,FALSE),
IF($A221&lt;'Swing Joints Components'!$A$135,VLOOKUP($A221,'Swing Joints Components'!$A$9:$M$134,11,FALSE),
IF($A221&lt;Nonstandard!$A$42,VLOOKUP($A221,Nonstandard!$A$31:$J$41,10,FALSE),"")))))))))))))))))))))))))))),"")</f>
        <v/>
      </c>
      <c r="H221" s="618" t="str">
        <f>IFERROR(IF($A221&lt;'DWV PVC'!$A$317,VLOOKUP($A221,'DWV PVC'!$A$9:$M$316,7,FALSE),
IF($A221&lt;'DWV ABS'!$A$117,VLOOKUP($A221,'DWV ABS'!$A$8:$M$116,11,FALSE),                                                                                                                                                                                                                                                     IF($A221&lt;'PVC SCH40'!$A$425,VLOOKUP($A221,'PVC SCH40'!$A$8:$M$424,7,FALSE),
IF($A221&lt;'PVC SCH40 LD'!$A$22,VLOOKUP($A221,'PVC SCH40 LD'!$A$8:$M$21,7,FALSE),
IF($A221&lt;'Pool &amp; SPA Sweep Elbows'!$A$12,VLOOKUP($A221,'Pool &amp; SPA Sweep Elbows'!$A$8:$M$11,7,FALSE),
IF($A221&lt;'Pool &amp; SPA Pipe Extender'!$A$11,VLOOKUP($A221,'Pool &amp; SPA Pipe Extender'!$A$8:$M$10,7,FALSE),
IF($A221&lt;'PVC SCH80'!$A$250,VLOOKUP($A221,'PVC SCH80'!$A$8:$M$249,7,FALSE),
IF($A221&lt;'PVC SCH80 Flange'!$A$49,VLOOKUP($A221,'PVC SCH80 Flange'!$A$8:$M$48,7,FALSE),
IF($A221&lt;'PVC SCH80 LD Flange'!$A$17,VLOOKUP($A221,'PVC SCH80 LD Flange'!$A$8:$M$16,7,FALSE),
IF($A221&lt;CPVC!$A$105,VLOOKUP($A221,CPVC!$A$9:$M$104,7,FALSE),
IF($A221&lt;InsertFittings!$A$185,VLOOKUP($A221,InsertFittings!$A$9:$M$184,7,FALSE),
IF($A221&lt;Valves!$A$92,VLOOKUP($A221,Valves!$A$9:$Q$91,11,FALSE),
IF($A221&lt;SDR35SW!$A$133,VLOOKUP($A221,SDR35SW!$A$9:$M$132,7,FALSE),
IF($A221&lt;SDR35G!$A$151,VLOOKUP($A221,SDR35G!$A$9:$M$150,7,FALSE),                                                                                                                                                                                                                                                       IF($A221&lt;SDR26G!$A$67,VLOOKUP($A221,SDR26G!$A$9:$N$66,8,FALSE),                                                                                                                                                                                                                                                     IF($A221&lt;Cements!$A$95,VLOOKUP($A221,Cements!$A$8:$Q$94,11,FALSE),
IF($A221&lt;ValveBox!$A$124,VLOOKUP($A221,ValveBox!$A$9:$O$123,10,FALSE),
IF($A221&lt;'ValveBox Components'!$A$142,VLOOKUP($A221,'ValveBox Components'!$A$9:$N$141,9,FALSE),
IF($A221&lt;Drainage!$A$69,VLOOKUP($A221,Drainage!$A$8:$M$68,7,FALSE),                                                                                                                                                                                                                                                          IF($A221&lt;Nipples!$A$82,VLOOKUP($A221,Nipples!$A$9:$Q$81,11,FALSE),
IF($A221&lt;Manifold!$A$33,VLOOKUP($A221,Manifold!$A$9:$M$32,7,FALSE),
IF($A221&lt;FlexibleRepairCouplings!$A$12,VLOOKUP($A221,FlexibleRepairCouplings!$A$9:$M$11,7,FALSE),
IF($A221&lt;DuraFix!$A$15,VLOOKUP($A221,DuraFix!$A$9:$M$14,7,FALSE),                                                                                                                                                                                                                                                           IF($A221&lt;'Compression Fittings'!$A$16,VLOOKUP($A221,'Compression Fittings'!$A$8:$M$15,7,FALSE),
IF($A221&lt;'Hose Fittings'!$A$30,VLOOKUP($A221,'Hose Fittings'!$A$8:$M$29,7,FALSE),
IF($A221&lt;'Swing Joints'!$A$495,VLOOKUP($A221,'Swing Joints'!$A$9:$M$494,7,FALSE),
IF($A221&lt;'Swing Joints Components'!$A$135,VLOOKUP($A221,'Swing Joints Components'!$A$9:$M$134,7,FALSE),
IF($A221&lt;Nonstandard!$A$42,VLOOKUP($A221,Nonstandard!$A$31:$J$41,10,FALSE),"")))))))))))))))))))))))))))),"")</f>
        <v/>
      </c>
      <c r="I221" s="619"/>
      <c r="J221" s="281" t="str">
        <f t="shared" si="5"/>
        <v/>
      </c>
      <c r="K221" s="313" t="str">
        <f>IFERROR(IF($A221&lt;'DWV PVC'!$A$317,VLOOKUP($A221,'DWV PVC'!$A$9:$M$316,10,FALSE),
IF($A221&lt;'DWV ABS'!$A$117,VLOOKUP($A221,'DWV ABS'!$A$8:$M$116,10,FALSE),
IF($A221&lt;'PVC SCH40'!$A$425,VLOOKUP($A221,'PVC SCH40'!$A$8:$M$424,10,FALSE),
IF($A221&lt;'PVC SCH40 LD'!$A$22,VLOOKUP($A221,'PVC SCH40 LD'!$A$8:$M$21,10,FALSE),
IF($A221&lt;'Pool &amp; SPA Sweep Elbows'!$A$12,VLOOKUP($A221,'Pool &amp; SPA Sweep Elbows'!$A$8:$M$11,10,FALSE),
IF($A221&lt;'Pool &amp; SPA Pipe Extender'!$A$11,VLOOKUP($A221,'Pool &amp; SPA Pipe Extender'!$A$8:$M$10,10,FALSE),
IF($A221&lt;'PVC SCH80'!$A$250,VLOOKUP($A221,'PVC SCH80'!$A$8:$M$249,10,FALSE),
IF($A221&lt;'PVC SCH80 Flange'!$A$49,VLOOKUP($A221,'PVC SCH80 Flange'!$A$8:$M$48,10,FALSE),
IF($A221&lt;'PVC SCH80 LD Flange'!$A$17,VLOOKUP($A221,'PVC SCH80 LD Flange'!$A$8:$M$16,10,FALSE),
IF($A221&lt;CPVC!$A$105,VLOOKUP($A221,CPVC!$A$9:$M$104,10,FALSE),
IF($A221&lt;InsertFittings!$A$185,VLOOKUP($A221,InsertFittings!$A$9:$M$184,10,FALSE),
IF($A221&lt;Valves!$A$92,VLOOKUP($A221,Valves!$A$9:$Q$91,14,FALSE),
IF($A221&lt;SDR35SW!$A$133,VLOOKUP($A221,SDR35SW!$A$9:$M$132,10,FALSE),
IF($A221&lt;SDR35G!$A$151,VLOOKUP($A221,SDR35G!$A$9:$M$150,10,FALSE),
IF($A221&lt;SDR26G!$A$67,VLOOKUP($A221,SDR26G!$A$9:$N$66,11,FALSE),
IF($A221&lt;Cements!$A$95,VLOOKUP($A221,Cements!$A$8:$Q$94,14,FALSE),
IF($A221&lt;ValveBox!$A$124,VLOOKUP($A221,ValveBox!$A$9:$O$123,12,FALSE),
IF($A221&lt;'ValveBox Components'!$A$142,VLOOKUP($A221,'ValveBox Components'!$A$9:$N$141,11,FALSE),
IF($A221&lt;Drainage!$A$69,VLOOKUP($A221,Drainage!$A$8:$M$68,10,FALSE),
IF($A221&lt;Nipples!$A$82,VLOOKUP($A221,Nipples!$A$9:$Q$81,14,FALSE),
IF($A221&lt;Manifold!$A$33,VLOOKUP($A221,Manifold!$A$9:$M$32,10,FALSE),
IF($A221&lt;FlexibleRepairCouplings!$A$12,VLOOKUP($A221,FlexibleRepairCouplings!$A$9:$M$11,10,FALSE),
IF($A221&lt;DuraFix!$A$15,VLOOKUP($A221,DuraFix!$A$9:$M$14,10,FALSE),
IF($A221&lt;'Compression Fittings'!$A$16,VLOOKUP($A221,'Compression Fittings'!$A$8:$M$15,10,FALSE),
IF($A221&lt;'Hose Fittings'!$A$30,VLOOKUP($A221,'Hose Fittings'!$A$8:$M$29,10,FALSE),
IF($A221&lt;'Swing Joints'!$A$495,VLOOKUP($A221,'Swing Joints'!$A$9:$M$494,10,FALSE),
IF($A221&lt;'Swing Joints Components'!$A$135,VLOOKUP($A221,'Swing Joints Components'!$A$9:$M$134,10,FALSE),
IF($A221&lt;Nonstandard!$A$42,VLOOKUP($A221,Nonstandard!$A$31:$J$41,10,FALSE),"")))))))))))))))))))))))))))),"")</f>
        <v/>
      </c>
      <c r="L221" s="314" t="str">
        <f t="shared" si="4"/>
        <v>-</v>
      </c>
      <c r="M221" s="315"/>
    </row>
    <row r="222" spans="1:13" ht="16.2" thickBot="1">
      <c r="A222" s="625" t="s">
        <v>1</v>
      </c>
      <c r="B222" s="626"/>
      <c r="C222" s="626"/>
      <c r="D222" s="626"/>
      <c r="E222" s="626"/>
      <c r="F222" s="626"/>
      <c r="G222" s="317"/>
      <c r="K222" s="318" t="s">
        <v>47</v>
      </c>
      <c r="L222" s="319">
        <f>SUM(L33:L221)</f>
        <v>0</v>
      </c>
      <c r="M222" s="320"/>
    </row>
  </sheetData>
  <sheetProtection algorithmName="SHA-512" hashValue="BuNDhLGWs+fexPd5o6+tCy+AYKSIeyKK6nbksOpkfz0tNy1PLRpT0ITCKgBRvjgbACZ/jJ+Bhpc0+NSGk0bNQQ==" saltValue="q5QV1f0WkgeLEzxdjoXz0w==" spinCount="100000" sheet="1" objects="1" scenarios="1"/>
  <protectedRanges>
    <protectedRange sqref="M2:M29" name="Range1"/>
  </protectedRanges>
  <mergeCells count="219">
    <mergeCell ref="H111:I111"/>
    <mergeCell ref="H112:I112"/>
    <mergeCell ref="H113:I113"/>
    <mergeCell ref="H114:I114"/>
    <mergeCell ref="H115:I115"/>
    <mergeCell ref="H116:I116"/>
    <mergeCell ref="H117:I117"/>
    <mergeCell ref="H123:I123"/>
    <mergeCell ref="H124:I124"/>
    <mergeCell ref="H118:I118"/>
    <mergeCell ref="H119:I119"/>
    <mergeCell ref="H120:I120"/>
    <mergeCell ref="H121:I121"/>
    <mergeCell ref="H122:I122"/>
    <mergeCell ref="H102:I102"/>
    <mergeCell ref="H103:I103"/>
    <mergeCell ref="H104:I104"/>
    <mergeCell ref="H105:I105"/>
    <mergeCell ref="H106:I106"/>
    <mergeCell ref="H107:I107"/>
    <mergeCell ref="H108:I108"/>
    <mergeCell ref="H109:I109"/>
    <mergeCell ref="H110:I110"/>
    <mergeCell ref="H93:I93"/>
    <mergeCell ref="H94:I94"/>
    <mergeCell ref="H95:I95"/>
    <mergeCell ref="H96:I96"/>
    <mergeCell ref="H97:I97"/>
    <mergeCell ref="H98:I98"/>
    <mergeCell ref="H99:I99"/>
    <mergeCell ref="H100:I100"/>
    <mergeCell ref="H101:I101"/>
    <mergeCell ref="H84:I84"/>
    <mergeCell ref="H85:I85"/>
    <mergeCell ref="H86:I86"/>
    <mergeCell ref="H87:I87"/>
    <mergeCell ref="H88:I88"/>
    <mergeCell ref="H89:I89"/>
    <mergeCell ref="H90:I90"/>
    <mergeCell ref="H91:I91"/>
    <mergeCell ref="H92:I92"/>
    <mergeCell ref="H75:I75"/>
    <mergeCell ref="H76:I76"/>
    <mergeCell ref="H77:I77"/>
    <mergeCell ref="H78:I78"/>
    <mergeCell ref="H79:I79"/>
    <mergeCell ref="H80:I80"/>
    <mergeCell ref="H81:I81"/>
    <mergeCell ref="H82:I82"/>
    <mergeCell ref="H83:I83"/>
    <mergeCell ref="H66:I66"/>
    <mergeCell ref="H67:I67"/>
    <mergeCell ref="H68:I68"/>
    <mergeCell ref="H69:I69"/>
    <mergeCell ref="H70:I70"/>
    <mergeCell ref="H71:I71"/>
    <mergeCell ref="H72:I72"/>
    <mergeCell ref="H73:I73"/>
    <mergeCell ref="H74:I74"/>
    <mergeCell ref="H57:I57"/>
    <mergeCell ref="H58:I58"/>
    <mergeCell ref="H59:I59"/>
    <mergeCell ref="H60:I60"/>
    <mergeCell ref="H61:I61"/>
    <mergeCell ref="H62:I62"/>
    <mergeCell ref="H63:I63"/>
    <mergeCell ref="H64:I64"/>
    <mergeCell ref="H65:I65"/>
    <mergeCell ref="H48:I48"/>
    <mergeCell ref="H49:I49"/>
    <mergeCell ref="H50:I50"/>
    <mergeCell ref="H51:I51"/>
    <mergeCell ref="H52:I52"/>
    <mergeCell ref="H53:I53"/>
    <mergeCell ref="H54:I54"/>
    <mergeCell ref="H55:I55"/>
    <mergeCell ref="H56:I56"/>
    <mergeCell ref="A11:B11"/>
    <mergeCell ref="A7:B7"/>
    <mergeCell ref="A8:B9"/>
    <mergeCell ref="C1:D1"/>
    <mergeCell ref="A1:B1"/>
    <mergeCell ref="A4:B4"/>
    <mergeCell ref="A5:B5"/>
    <mergeCell ref="A6:B6"/>
    <mergeCell ref="E1:H1"/>
    <mergeCell ref="F4:H4"/>
    <mergeCell ref="C4:D4"/>
    <mergeCell ref="C5:D5"/>
    <mergeCell ref="C6:D6"/>
    <mergeCell ref="C7:D7"/>
    <mergeCell ref="C8:D8"/>
    <mergeCell ref="C11:D11"/>
    <mergeCell ref="A222:F222"/>
    <mergeCell ref="E30:F30"/>
    <mergeCell ref="L30:M30"/>
    <mergeCell ref="D32:E32"/>
    <mergeCell ref="H32:I32"/>
    <mergeCell ref="H33:I33"/>
    <mergeCell ref="H44:I44"/>
    <mergeCell ref="H125:I125"/>
    <mergeCell ref="H126:I126"/>
    <mergeCell ref="H220:I220"/>
    <mergeCell ref="H221:I221"/>
    <mergeCell ref="H34:I34"/>
    <mergeCell ref="H35:I35"/>
    <mergeCell ref="H36:I36"/>
    <mergeCell ref="H37:I37"/>
    <mergeCell ref="H38:I38"/>
    <mergeCell ref="H39:I39"/>
    <mergeCell ref="H40:I40"/>
    <mergeCell ref="H41:I41"/>
    <mergeCell ref="H42:I42"/>
    <mergeCell ref="H43:I43"/>
    <mergeCell ref="H45:I45"/>
    <mergeCell ref="H46:I46"/>
    <mergeCell ref="H47:I47"/>
    <mergeCell ref="C12:D12"/>
    <mergeCell ref="C13:D13"/>
    <mergeCell ref="F5:H5"/>
    <mergeCell ref="F6:H6"/>
    <mergeCell ref="F7:H7"/>
    <mergeCell ref="F8:H8"/>
    <mergeCell ref="F11:H11"/>
    <mergeCell ref="F12:H12"/>
    <mergeCell ref="F13:H13"/>
    <mergeCell ref="H127:I127"/>
    <mergeCell ref="H128:I128"/>
    <mergeCell ref="H129:I129"/>
    <mergeCell ref="H130:I130"/>
    <mergeCell ref="H131:I131"/>
    <mergeCell ref="H132:I132"/>
    <mergeCell ref="H133:I133"/>
    <mergeCell ref="H134:I134"/>
    <mergeCell ref="H135:I135"/>
    <mergeCell ref="H136:I136"/>
    <mergeCell ref="H137:I137"/>
    <mergeCell ref="H138:I138"/>
    <mergeCell ref="H139:I139"/>
    <mergeCell ref="H140:I140"/>
    <mergeCell ref="H141:I141"/>
    <mergeCell ref="H142:I142"/>
    <mergeCell ref="H143:I143"/>
    <mergeCell ref="H144:I144"/>
    <mergeCell ref="H145:I145"/>
    <mergeCell ref="H146:I146"/>
    <mergeCell ref="H147:I147"/>
    <mergeCell ref="H148:I148"/>
    <mergeCell ref="H149:I149"/>
    <mergeCell ref="H150:I150"/>
    <mergeCell ref="H151:I151"/>
    <mergeCell ref="H152:I152"/>
    <mergeCell ref="H153:I153"/>
    <mergeCell ref="H154:I154"/>
    <mergeCell ref="H155:I155"/>
    <mergeCell ref="H156:I156"/>
    <mergeCell ref="H157:I157"/>
    <mergeCell ref="H158:I158"/>
    <mergeCell ref="H159:I159"/>
    <mergeCell ref="H160:I160"/>
    <mergeCell ref="H161:I161"/>
    <mergeCell ref="H162:I162"/>
    <mergeCell ref="H163:I163"/>
    <mergeCell ref="H164:I164"/>
    <mergeCell ref="H165:I165"/>
    <mergeCell ref="H166:I166"/>
    <mergeCell ref="H167:I167"/>
    <mergeCell ref="H168:I168"/>
    <mergeCell ref="H169:I169"/>
    <mergeCell ref="H170:I170"/>
    <mergeCell ref="H171:I171"/>
    <mergeCell ref="H172:I172"/>
    <mergeCell ref="H173:I173"/>
    <mergeCell ref="H174:I174"/>
    <mergeCell ref="H175:I175"/>
    <mergeCell ref="H176:I176"/>
    <mergeCell ref="H177:I177"/>
    <mergeCell ref="H178:I178"/>
    <mergeCell ref="H179:I179"/>
    <mergeCell ref="H180:I180"/>
    <mergeCell ref="H181:I181"/>
    <mergeCell ref="H182:I182"/>
    <mergeCell ref="H183:I183"/>
    <mergeCell ref="H184:I184"/>
    <mergeCell ref="H185:I185"/>
    <mergeCell ref="H186:I186"/>
    <mergeCell ref="H187:I187"/>
    <mergeCell ref="H188:I188"/>
    <mergeCell ref="H189:I189"/>
    <mergeCell ref="H190:I190"/>
    <mergeCell ref="H191:I191"/>
    <mergeCell ref="H192:I192"/>
    <mergeCell ref="H193:I193"/>
    <mergeCell ref="H194:I194"/>
    <mergeCell ref="H195:I195"/>
    <mergeCell ref="H196:I196"/>
    <mergeCell ref="H197:I197"/>
    <mergeCell ref="H198:I198"/>
    <mergeCell ref="H199:I199"/>
    <mergeCell ref="H200:I200"/>
    <mergeCell ref="H201:I201"/>
    <mergeCell ref="H202:I202"/>
    <mergeCell ref="H203:I203"/>
    <mergeCell ref="H204:I204"/>
    <mergeCell ref="H205:I205"/>
    <mergeCell ref="H206:I206"/>
    <mergeCell ref="H207:I207"/>
    <mergeCell ref="H217:I217"/>
    <mergeCell ref="H218:I218"/>
    <mergeCell ref="H219:I219"/>
    <mergeCell ref="H208:I208"/>
    <mergeCell ref="H209:I209"/>
    <mergeCell ref="H210:I210"/>
    <mergeCell ref="H211:I211"/>
    <mergeCell ref="H212:I212"/>
    <mergeCell ref="H213:I213"/>
    <mergeCell ref="H214:I214"/>
    <mergeCell ref="H215:I215"/>
    <mergeCell ref="H216:I216"/>
  </mergeCells>
  <phoneticPr fontId="32" type="noConversion"/>
  <dataValidations disablePrompts="1" count="3">
    <dataValidation allowBlank="1" showInputMessage="1" showErrorMessage="1" promptTitle="Enter current date" prompt="Enter current date in mm/dd/yyyy format" sqref="C1" xr:uid="{00000000-0002-0000-0100-000000000000}"/>
    <dataValidation type="list" allowBlank="1" showInputMessage="1" showErrorMessage="1" promptTitle="Select form type" prompt="Select if order or quote" sqref="A1:B1" xr:uid="{00000000-0002-0000-0100-000001000000}">
      <formula1>"Order Date:, Quote Date:"</formula1>
    </dataValidation>
    <dataValidation type="list" allowBlank="1" showInputMessage="1" showErrorMessage="1" prompt="Select if bill to or ship to phone number" sqref="E6" xr:uid="{00000000-0002-0000-0100-000002000000}">
      <formula1>"Bill To Phone:, Ship To Phone:"</formula1>
    </dataValidation>
  </dataValidations>
  <printOptions horizontalCentered="1"/>
  <pageMargins left="0.25" right="0.25" top="0.95" bottom="0.75" header="0.3" footer="0.3"/>
  <pageSetup scale="56" fitToHeight="0" orientation="portrait" horizontalDpi="4294967292" r:id="rId1"/>
  <headerFooter>
    <oddHeader>&amp;L&amp;G&amp;C&amp;"-,Bold"&amp;36&amp;K002060Order/Quote Form&amp;"-,Regular"&amp;11&amp;K01+000
&amp;R&amp;G</oddHeader>
    <oddFooter>&amp;L&amp;8V06032014&amp;CCopyright 2014
All rights reserved
For Tigre-ADS USA customer and rep use only_x000D_&amp;1#&amp;"Aptos"&amp;11&amp;K000000 TIGRE:Internal&amp;R&amp;P</oddFoot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376CE-614B-4964-B5A7-A2E90A668F65}">
  <sheetPr codeName="Sheet22">
    <tabColor theme="0"/>
    <pageSetUpPr fitToPage="1"/>
  </sheetPr>
  <dimension ref="A1:U279"/>
  <sheetViews>
    <sheetView topLeftCell="A75" workbookViewId="0">
      <selection activeCell="B109" sqref="B109:C111"/>
    </sheetView>
  </sheetViews>
  <sheetFormatPr defaultColWidth="9.109375" defaultRowHeight="14.4"/>
  <cols>
    <col min="1" max="1" width="3.44140625" style="101" customWidth="1"/>
    <col min="2" max="3" width="8.6640625" style="17" customWidth="1"/>
    <col min="4" max="4" width="12.6640625" style="20" customWidth="1"/>
    <col min="5" max="5" width="12.6640625" style="390" customWidth="1"/>
    <col min="6" max="6" width="46" style="184" customWidth="1"/>
    <col min="7" max="7" width="8.88671875" style="20" customWidth="1"/>
    <col min="8" max="8" width="23.109375" style="202" bestFit="1" customWidth="1"/>
    <col min="9" max="9" width="7.6640625" style="20" customWidth="1"/>
    <col min="10" max="10" width="7.6640625" style="25" customWidth="1"/>
    <col min="11" max="11" width="10.44140625" style="199" customWidth="1"/>
    <col min="12" max="12" width="10.44140625" style="20" customWidth="1"/>
    <col min="13" max="13" width="1.44140625" style="20" customWidth="1"/>
    <col min="14" max="14" width="10.6640625" style="25" customWidth="1"/>
    <col min="15" max="15" width="2.33203125" style="362" customWidth="1"/>
    <col min="16" max="16" width="14.44140625" style="202" bestFit="1" customWidth="1"/>
    <col min="17" max="17" width="12.33203125" style="202" customWidth="1"/>
    <col min="18" max="20" width="14.44140625" style="515" bestFit="1" customWidth="1"/>
    <col min="21" max="21" width="10.6640625" style="25" customWidth="1"/>
    <col min="22" max="16384" width="9.109375" style="17"/>
  </cols>
  <sheetData>
    <row r="1" spans="1:21" ht="18">
      <c r="F1" s="155" t="s">
        <v>36</v>
      </c>
      <c r="H1" s="198"/>
      <c r="I1" s="467"/>
      <c r="P1" s="198"/>
      <c r="Q1" s="198"/>
      <c r="R1" s="389"/>
      <c r="S1" s="389"/>
      <c r="T1" s="389"/>
    </row>
    <row r="2" spans="1:21" ht="15.6">
      <c r="D2" s="441"/>
      <c r="E2" s="457"/>
      <c r="K2" s="607" t="s">
        <v>59</v>
      </c>
      <c r="L2" s="607"/>
    </row>
    <row r="3" spans="1:21">
      <c r="F3" s="323" t="s">
        <v>1838</v>
      </c>
      <c r="G3" s="4"/>
      <c r="K3" s="607"/>
      <c r="L3" s="607"/>
    </row>
    <row r="4" spans="1:21">
      <c r="E4" s="458" t="s">
        <v>5732</v>
      </c>
      <c r="F4" s="327" t="s">
        <v>5990</v>
      </c>
      <c r="G4" s="4"/>
      <c r="L4" s="17"/>
    </row>
    <row r="5" spans="1:21">
      <c r="F5" s="325" t="s">
        <v>5973</v>
      </c>
      <c r="G5" s="4"/>
      <c r="L5" s="17"/>
    </row>
    <row r="6" spans="1:21">
      <c r="K6" s="182"/>
      <c r="L6" s="17"/>
      <c r="R6" s="698" t="s">
        <v>64</v>
      </c>
      <c r="S6" s="698"/>
      <c r="T6" s="698"/>
    </row>
    <row r="7" spans="1:21" ht="43.8" thickBot="1">
      <c r="B7" s="136"/>
      <c r="C7" s="136"/>
      <c r="D7" s="136" t="s">
        <v>1632</v>
      </c>
      <c r="E7" s="231" t="s">
        <v>49</v>
      </c>
      <c r="F7" s="136" t="s">
        <v>1305</v>
      </c>
      <c r="G7" s="136" t="s">
        <v>1421</v>
      </c>
      <c r="H7" s="136" t="s">
        <v>1420</v>
      </c>
      <c r="I7" s="136" t="s">
        <v>66</v>
      </c>
      <c r="J7" s="157" t="s">
        <v>51</v>
      </c>
      <c r="K7" s="157" t="s">
        <v>55</v>
      </c>
      <c r="L7" s="158" t="s">
        <v>52</v>
      </c>
      <c r="M7" s="362"/>
      <c r="N7" s="445" t="s">
        <v>5770</v>
      </c>
      <c r="P7" s="203" t="s">
        <v>68</v>
      </c>
      <c r="Q7" s="203" t="s">
        <v>69</v>
      </c>
      <c r="R7" s="516" t="s">
        <v>70</v>
      </c>
      <c r="S7" s="516" t="s">
        <v>71</v>
      </c>
      <c r="T7" s="516" t="s">
        <v>72</v>
      </c>
      <c r="U7" s="157" t="s">
        <v>73</v>
      </c>
    </row>
    <row r="8" spans="1:21" ht="16.2" thickBot="1">
      <c r="B8" s="446" t="s">
        <v>5779</v>
      </c>
      <c r="C8" s="151"/>
      <c r="D8" s="151"/>
      <c r="E8" s="459"/>
      <c r="F8" s="151"/>
      <c r="G8" s="151"/>
      <c r="H8" s="151"/>
      <c r="I8" s="468"/>
      <c r="J8" s="468"/>
      <c r="K8" s="192"/>
      <c r="L8" s="358"/>
      <c r="M8" s="17"/>
      <c r="N8" s="545"/>
      <c r="O8" s="17"/>
      <c r="P8" s="357"/>
      <c r="Q8" s="145"/>
      <c r="R8" s="493"/>
      <c r="S8" s="493"/>
      <c r="T8" s="493"/>
      <c r="U8" s="358"/>
    </row>
    <row r="9" spans="1:21">
      <c r="A9" s="101" t="str">
        <f>IF(L9&gt;0,COUNT($A$8:A8)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9" s="694"/>
      <c r="C9" s="683"/>
      <c r="D9" s="137" t="str">
        <f>_xlfn.XLOOKUP(E9,'All Products'!D:D,'All Products'!C:C,FALSE)</f>
        <v>T61</v>
      </c>
      <c r="E9" s="460">
        <v>100025655</v>
      </c>
      <c r="F9" s="465" t="str">
        <f>_xlfn.XLOOKUP(E9,'All Products'!D:D,'All Products'!E:E,FALSE)</f>
        <v>6" RND LID GRN</v>
      </c>
      <c r="G9" s="137" t="s">
        <v>1637</v>
      </c>
      <c r="H9" s="204" t="s">
        <v>1638</v>
      </c>
      <c r="I9" s="137">
        <f>_xlfn.XLOOKUP(E9,'All Products'!D:D,'All Products'!G:G,FALSE)</f>
        <v>1</v>
      </c>
      <c r="J9" s="137">
        <f>_xlfn.XLOOKUP(E9,'All Products'!D:D,'All Products'!H:H,FALSE)</f>
        <v>5.58</v>
      </c>
      <c r="K9" s="180">
        <f>ROUND(J9*Order_Quote!$L$19,2)</f>
        <v>5.58</v>
      </c>
      <c r="L9" s="165"/>
      <c r="M9" s="113"/>
      <c r="N9" s="171">
        <f t="shared" ref="N9:N23" si="0">L9/I9</f>
        <v>0</v>
      </c>
      <c r="P9" s="204" t="str">
        <f>_xlfn.XLOOKUP(E9,'All Products'!D:D,'All Products'!I:I,FALSE)</f>
        <v>Within 3 Weeks</v>
      </c>
      <c r="Q9" s="204" t="str">
        <f>_xlfn.XLOOKUP(E9,'All Products'!D:D,'All Products'!J:J,FALSE)</f>
        <v>Manufactured</v>
      </c>
      <c r="R9" s="517">
        <f>_xlfn.XLOOKUP(E9,'All Products'!D:D,'All Products'!K:K,FALSE)</f>
        <v>49081800451</v>
      </c>
      <c r="S9" s="517" t="str">
        <f>_xlfn.XLOOKUP(E9,'All Products'!D:D,'All Products'!L:L,FALSE)</f>
        <v>-</v>
      </c>
      <c r="T9" s="517" t="str">
        <f>_xlfn.XLOOKUP(E9,'All Products'!D:D,'All Products'!M:M,FALSE)</f>
        <v>-</v>
      </c>
      <c r="U9" s="204">
        <f>_xlfn.XLOOKUP(E9,'All Products'!D:D,'All Products'!N:N,FALSE)</f>
        <v>0.30499999999999999</v>
      </c>
    </row>
    <row r="10" spans="1:21">
      <c r="A10" s="101" t="str">
        <f>IF(L10&gt;0,COUNT($A$8:A9)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0" s="695"/>
      <c r="C10" s="611"/>
      <c r="D10" s="103" t="str">
        <f>_xlfn.XLOOKUP(E10,'All Products'!D:D,'All Products'!C:C,FALSE)</f>
        <v>T64</v>
      </c>
      <c r="E10" s="233">
        <v>100025663</v>
      </c>
      <c r="F10" s="464" t="str">
        <f>_xlfn.XLOOKUP(E10,'All Products'!D:D,'All Products'!E:E,FALSE)</f>
        <v>6" RND LID BLK</v>
      </c>
      <c r="G10" s="103" t="s">
        <v>1564</v>
      </c>
      <c r="H10" s="206" t="s">
        <v>1638</v>
      </c>
      <c r="I10" s="103">
        <f>_xlfn.XLOOKUP(E10,'All Products'!D:D,'All Products'!G:G,FALSE)</f>
        <v>1</v>
      </c>
      <c r="J10" s="103">
        <f>_xlfn.XLOOKUP(E10,'All Products'!D:D,'All Products'!H:H,FALSE)</f>
        <v>5.58</v>
      </c>
      <c r="K10" s="173">
        <f>ROUND(J10*Order_Quote!$L$19,2)</f>
        <v>5.58</v>
      </c>
      <c r="L10" s="75"/>
      <c r="M10" s="113"/>
      <c r="N10" s="171">
        <f t="shared" si="0"/>
        <v>0</v>
      </c>
      <c r="P10" s="206" t="str">
        <f>_xlfn.XLOOKUP(E10,'All Products'!D:D,'All Products'!I:I,FALSE)</f>
        <v>In Stock</v>
      </c>
      <c r="Q10" s="206" t="str">
        <f>_xlfn.XLOOKUP(E10,'All Products'!D:D,'All Products'!J:J,FALSE)</f>
        <v>Manufactured</v>
      </c>
      <c r="R10" s="518">
        <f>_xlfn.XLOOKUP(E10,'All Products'!D:D,'All Products'!K:K,FALSE)</f>
        <v>49081804510</v>
      </c>
      <c r="S10" s="518" t="str">
        <f>_xlfn.XLOOKUP(E10,'All Products'!D:D,'All Products'!L:L,FALSE)</f>
        <v>-</v>
      </c>
      <c r="T10" s="518" t="str">
        <f>_xlfn.XLOOKUP(E10,'All Products'!D:D,'All Products'!M:M,FALSE)</f>
        <v>-</v>
      </c>
      <c r="U10" s="206">
        <f>_xlfn.XLOOKUP(E10,'All Products'!D:D,'All Products'!N:N,FALSE)</f>
        <v>0.30499999999999999</v>
      </c>
    </row>
    <row r="11" spans="1:21">
      <c r="A11" s="101" t="str">
        <f>IF(L11&gt;0,COUNT($A$8:A10)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1" s="695"/>
      <c r="C11" s="611"/>
      <c r="D11" s="103" t="str">
        <f>_xlfn.XLOOKUP(E11,'All Products'!D:D,'All Products'!C:C,FALSE)</f>
        <v>T65</v>
      </c>
      <c r="E11" s="233">
        <v>100025535</v>
      </c>
      <c r="F11" s="464" t="str">
        <f>_xlfn.XLOOKUP(E11,'All Products'!D:D,'All Products'!E:E,FALSE)</f>
        <v>6" RND LID GRY</v>
      </c>
      <c r="G11" s="103" t="s">
        <v>1722</v>
      </c>
      <c r="H11" s="206" t="s">
        <v>1638</v>
      </c>
      <c r="I11" s="103">
        <f>_xlfn.XLOOKUP(E11,'All Products'!D:D,'All Products'!G:G,FALSE)</f>
        <v>1</v>
      </c>
      <c r="J11" s="103">
        <f>_xlfn.XLOOKUP(E11,'All Products'!D:D,'All Products'!H:H,FALSE)</f>
        <v>5.58</v>
      </c>
      <c r="K11" s="173">
        <f>ROUND(J11*Order_Quote!$L$19,2)</f>
        <v>5.58</v>
      </c>
      <c r="L11" s="75"/>
      <c r="M11" s="113"/>
      <c r="N11" s="171">
        <f t="shared" si="0"/>
        <v>0</v>
      </c>
      <c r="P11" s="206" t="str">
        <f>_xlfn.XLOOKUP(E11,'All Products'!D:D,'All Products'!I:I,FALSE)</f>
        <v>Within 3 Weeks</v>
      </c>
      <c r="Q11" s="206" t="str">
        <f>_xlfn.XLOOKUP(E11,'All Products'!D:D,'All Products'!J:J,FALSE)</f>
        <v>Manufactured</v>
      </c>
      <c r="R11" s="518">
        <f>_xlfn.XLOOKUP(E11,'All Products'!D:D,'All Products'!K:K,FALSE)</f>
        <v>49081804534</v>
      </c>
      <c r="S11" s="518" t="str">
        <f>_xlfn.XLOOKUP(E11,'All Products'!D:D,'All Products'!L:L,FALSE)</f>
        <v>-</v>
      </c>
      <c r="T11" s="518" t="str">
        <f>_xlfn.XLOOKUP(E11,'All Products'!D:D,'All Products'!M:M,FALSE)</f>
        <v>-</v>
      </c>
      <c r="U11" s="206">
        <f>_xlfn.XLOOKUP(E11,'All Products'!D:D,'All Products'!N:N,FALSE)</f>
        <v>0.30499999999999999</v>
      </c>
    </row>
    <row r="12" spans="1:21">
      <c r="A12" s="101" t="str">
        <f>IF(L12&gt;0,COUNT($A$8:A11)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2" s="695"/>
      <c r="C12" s="611"/>
      <c r="D12" s="103" t="str">
        <f>_xlfn.XLOOKUP(E12,'All Products'!D:D,'All Products'!C:C,FALSE)</f>
        <v>T63</v>
      </c>
      <c r="E12" s="233">
        <v>100025661</v>
      </c>
      <c r="F12" s="464" t="str">
        <f>_xlfn.XLOOKUP(E12,'All Products'!D:D,'All Products'!E:E,FALSE)</f>
        <v>6" RND LID PRP</v>
      </c>
      <c r="G12" s="103" t="s">
        <v>1576</v>
      </c>
      <c r="H12" s="206" t="s">
        <v>1644</v>
      </c>
      <c r="I12" s="103">
        <f>_xlfn.XLOOKUP(E12,'All Products'!D:D,'All Products'!G:G,FALSE)</f>
        <v>1</v>
      </c>
      <c r="J12" s="103">
        <f>_xlfn.XLOOKUP(E12,'All Products'!D:D,'All Products'!H:H,FALSE)</f>
        <v>5.58</v>
      </c>
      <c r="K12" s="173">
        <f>ROUND(J12*Order_Quote!$L$19,2)</f>
        <v>5.58</v>
      </c>
      <c r="L12" s="75"/>
      <c r="M12" s="113"/>
      <c r="N12" s="171">
        <f t="shared" si="0"/>
        <v>0</v>
      </c>
      <c r="P12" s="206" t="str">
        <f>_xlfn.XLOOKUP(E12,'All Products'!D:D,'All Products'!I:I,FALSE)</f>
        <v>Within 3 Weeks</v>
      </c>
      <c r="Q12" s="206" t="str">
        <f>_xlfn.XLOOKUP(E12,'All Products'!D:D,'All Products'!J:J,FALSE)</f>
        <v>Manufactured</v>
      </c>
      <c r="R12" s="518">
        <f>_xlfn.XLOOKUP(E12,'All Products'!D:D,'All Products'!K:K,FALSE)</f>
        <v>49081800536</v>
      </c>
      <c r="S12" s="518" t="str">
        <f>_xlfn.XLOOKUP(E12,'All Products'!D:D,'All Products'!L:L,FALSE)</f>
        <v>-</v>
      </c>
      <c r="T12" s="518" t="str">
        <f>_xlfn.XLOOKUP(E12,'All Products'!D:D,'All Products'!M:M,FALSE)</f>
        <v>-</v>
      </c>
      <c r="U12" s="206">
        <f>_xlfn.XLOOKUP(E12,'All Products'!D:D,'All Products'!N:N,FALSE)</f>
        <v>0.30499999999999999</v>
      </c>
    </row>
    <row r="13" spans="1:21">
      <c r="A13" s="101" t="str">
        <f>IF(L13&gt;0,COUNT($A$8:A12)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3" s="695"/>
      <c r="C13" s="611"/>
      <c r="D13" s="103" t="str">
        <f>_xlfn.XLOOKUP(E13,'All Products'!D:D,'All Products'!C:C,FALSE)</f>
        <v>T61-S</v>
      </c>
      <c r="E13" s="233">
        <v>100025518</v>
      </c>
      <c r="F13" s="464" t="str">
        <f>_xlfn.XLOOKUP(E13,'All Products'!D:D,'All Products'!E:E,FALSE)</f>
        <v>6" RND SEWER LID GRN</v>
      </c>
      <c r="G13" s="103" t="s">
        <v>1637</v>
      </c>
      <c r="H13" s="206" t="s">
        <v>1647</v>
      </c>
      <c r="I13" s="103">
        <f>_xlfn.XLOOKUP(E13,'All Products'!D:D,'All Products'!G:G,FALSE)</f>
        <v>1</v>
      </c>
      <c r="J13" s="103">
        <f>_xlfn.XLOOKUP(E13,'All Products'!D:D,'All Products'!H:H,FALSE)</f>
        <v>5.58</v>
      </c>
      <c r="K13" s="173">
        <f>ROUND(J13*Order_Quote!$L$19,2)</f>
        <v>5.58</v>
      </c>
      <c r="L13" s="75"/>
      <c r="M13" s="113"/>
      <c r="N13" s="171">
        <f t="shared" si="0"/>
        <v>0</v>
      </c>
      <c r="P13" s="206" t="str">
        <f>_xlfn.XLOOKUP(E13,'All Products'!D:D,'All Products'!I:I,FALSE)</f>
        <v>In Stock</v>
      </c>
      <c r="Q13" s="206" t="str">
        <f>_xlfn.XLOOKUP(E13,'All Products'!D:D,'All Products'!J:J,FALSE)</f>
        <v>Manufactured</v>
      </c>
      <c r="R13" s="518">
        <f>_xlfn.XLOOKUP(E13,'All Products'!D:D,'All Products'!K:K,FALSE)</f>
        <v>49081804503</v>
      </c>
      <c r="S13" s="518" t="str">
        <f>_xlfn.XLOOKUP(E13,'All Products'!D:D,'All Products'!L:L,FALSE)</f>
        <v>-</v>
      </c>
      <c r="T13" s="518" t="str">
        <f>_xlfn.XLOOKUP(E13,'All Products'!D:D,'All Products'!M:M,FALSE)</f>
        <v>-</v>
      </c>
      <c r="U13" s="206">
        <f>_xlfn.XLOOKUP(E13,'All Products'!D:D,'All Products'!N:N,FALSE)</f>
        <v>0.30499999999999999</v>
      </c>
    </row>
    <row r="14" spans="1:21">
      <c r="A14" s="101" t="str">
        <f>IF(L14&gt;0,COUNT($A$8:A13)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4" s="695"/>
      <c r="C14" s="611"/>
      <c r="D14" s="103" t="str">
        <f>_xlfn.XLOOKUP(E14,'All Products'!D:D,'All Products'!C:C,FALSE)</f>
        <v>T64-S</v>
      </c>
      <c r="E14" s="233">
        <v>100025532</v>
      </c>
      <c r="F14" s="464" t="str">
        <f>_xlfn.XLOOKUP(E14,'All Products'!D:D,'All Products'!E:E,FALSE)</f>
        <v>6" RND SEWER LID BLACK</v>
      </c>
      <c r="G14" s="103" t="s">
        <v>1564</v>
      </c>
      <c r="H14" s="206" t="s">
        <v>1647</v>
      </c>
      <c r="I14" s="103">
        <f>_xlfn.XLOOKUP(E14,'All Products'!D:D,'All Products'!G:G,FALSE)</f>
        <v>1</v>
      </c>
      <c r="J14" s="103">
        <f>_xlfn.XLOOKUP(E14,'All Products'!D:D,'All Products'!H:H,FALSE)</f>
        <v>5.58</v>
      </c>
      <c r="K14" s="173">
        <f>ROUND(J14*Order_Quote!$L$19,2)</f>
        <v>5.58</v>
      </c>
      <c r="L14" s="75"/>
      <c r="M14" s="113"/>
      <c r="N14" s="171">
        <f t="shared" si="0"/>
        <v>0</v>
      </c>
      <c r="P14" s="206" t="str">
        <f>_xlfn.XLOOKUP(E14,'All Products'!D:D,'All Products'!I:I,FALSE)</f>
        <v>Within 3 Weeks</v>
      </c>
      <c r="Q14" s="206" t="str">
        <f>_xlfn.XLOOKUP(E14,'All Products'!D:D,'All Products'!J:J,FALSE)</f>
        <v>Manufactured</v>
      </c>
      <c r="R14" s="518">
        <f>_xlfn.XLOOKUP(E14,'All Products'!D:D,'All Products'!K:K,FALSE)</f>
        <v>49081808723</v>
      </c>
      <c r="S14" s="518" t="str">
        <f>_xlfn.XLOOKUP(E14,'All Products'!D:D,'All Products'!L:L,FALSE)</f>
        <v>-</v>
      </c>
      <c r="T14" s="518" t="str">
        <f>_xlfn.XLOOKUP(E14,'All Products'!D:D,'All Products'!M:M,FALSE)</f>
        <v>-</v>
      </c>
      <c r="U14" s="206">
        <f>_xlfn.XLOOKUP(E14,'All Products'!D:D,'All Products'!N:N,FALSE)</f>
        <v>0.30499999999999999</v>
      </c>
    </row>
    <row r="15" spans="1:21">
      <c r="A15" s="101" t="str">
        <f>IF(L15&gt;0,COUNT($A$8:A14)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5" s="695"/>
      <c r="C15" s="611"/>
      <c r="D15" s="103" t="str">
        <f>_xlfn.XLOOKUP(E15,'All Products'!D:D,'All Products'!C:C,FALSE)</f>
        <v>T61-W</v>
      </c>
      <c r="E15" s="233">
        <v>100025521</v>
      </c>
      <c r="F15" s="464" t="str">
        <f>_xlfn.XLOOKUP(E15,'All Products'!D:D,'All Products'!E:E,FALSE)</f>
        <v>6" RND LID, WATER, GRN</v>
      </c>
      <c r="G15" s="103" t="s">
        <v>1637</v>
      </c>
      <c r="H15" s="206" t="s">
        <v>1652</v>
      </c>
      <c r="I15" s="103">
        <f>_xlfn.XLOOKUP(E15,'All Products'!D:D,'All Products'!G:G,FALSE)</f>
        <v>1</v>
      </c>
      <c r="J15" s="103">
        <f>_xlfn.XLOOKUP(E15,'All Products'!D:D,'All Products'!H:H,FALSE)</f>
        <v>5.58</v>
      </c>
      <c r="K15" s="173">
        <f>ROUND(J15*Order_Quote!$L$19,2)</f>
        <v>5.58</v>
      </c>
      <c r="L15" s="75"/>
      <c r="M15" s="113"/>
      <c r="N15" s="171">
        <f t="shared" si="0"/>
        <v>0</v>
      </c>
      <c r="P15" s="206" t="str">
        <f>_xlfn.XLOOKUP(E15,'All Products'!D:D,'All Products'!I:I,FALSE)</f>
        <v>Within 3 Weeks</v>
      </c>
      <c r="Q15" s="206" t="str">
        <f>_xlfn.XLOOKUP(E15,'All Products'!D:D,'All Products'!J:J,FALSE)</f>
        <v>Manufactured</v>
      </c>
      <c r="R15" s="518">
        <f>_xlfn.XLOOKUP(E15,'All Products'!D:D,'All Products'!K:K,FALSE)</f>
        <v>49081804756</v>
      </c>
      <c r="S15" s="518" t="str">
        <f>_xlfn.XLOOKUP(E15,'All Products'!D:D,'All Products'!L:L,FALSE)</f>
        <v>-</v>
      </c>
      <c r="T15" s="518" t="str">
        <f>_xlfn.XLOOKUP(E15,'All Products'!D:D,'All Products'!M:M,FALSE)</f>
        <v>-</v>
      </c>
      <c r="U15" s="206">
        <f>_xlfn.XLOOKUP(E15,'All Products'!D:D,'All Products'!N:N,FALSE)</f>
        <v>0.30499999999999999</v>
      </c>
    </row>
    <row r="16" spans="1:21">
      <c r="A16" s="101" t="str">
        <f>IF(L16&gt;0,COUNT($A$8:A15)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6" s="695"/>
      <c r="C16" s="611"/>
      <c r="D16" s="103" t="str">
        <f>_xlfn.XLOOKUP(E16,'All Products'!D:D,'All Products'!C:C,FALSE)</f>
        <v>T64-W</v>
      </c>
      <c r="E16" s="233">
        <v>100025666</v>
      </c>
      <c r="F16" s="464" t="str">
        <f>_xlfn.XLOOKUP(E16,'All Products'!D:D,'All Products'!E:E,FALSE)</f>
        <v>6" RND WATER LID BLK</v>
      </c>
      <c r="G16" s="103" t="s">
        <v>1564</v>
      </c>
      <c r="H16" s="206" t="s">
        <v>1652</v>
      </c>
      <c r="I16" s="103">
        <f>_xlfn.XLOOKUP(E16,'All Products'!D:D,'All Products'!G:G,FALSE)</f>
        <v>1</v>
      </c>
      <c r="J16" s="103">
        <f>_xlfn.XLOOKUP(E16,'All Products'!D:D,'All Products'!H:H,FALSE)</f>
        <v>5.58</v>
      </c>
      <c r="K16" s="173">
        <f>ROUND(J16*Order_Quote!$L$19,2)</f>
        <v>5.58</v>
      </c>
      <c r="L16" s="75"/>
      <c r="M16" s="113"/>
      <c r="N16" s="171">
        <f t="shared" si="0"/>
        <v>0</v>
      </c>
      <c r="P16" s="206" t="str">
        <f>_xlfn.XLOOKUP(E16,'All Products'!D:D,'All Products'!I:I,FALSE)</f>
        <v>Within 3 Weeks</v>
      </c>
      <c r="Q16" s="206" t="str">
        <f>_xlfn.XLOOKUP(E16,'All Products'!D:D,'All Products'!J:J,FALSE)</f>
        <v>Manufactured</v>
      </c>
      <c r="R16" s="518">
        <f>_xlfn.XLOOKUP(E16,'All Products'!D:D,'All Products'!K:K,FALSE)</f>
        <v>49081808747</v>
      </c>
      <c r="S16" s="518" t="str">
        <f>_xlfn.XLOOKUP(E16,'All Products'!D:D,'All Products'!L:L,FALSE)</f>
        <v>-</v>
      </c>
      <c r="T16" s="518" t="str">
        <f>_xlfn.XLOOKUP(E16,'All Products'!D:D,'All Products'!M:M,FALSE)</f>
        <v>-</v>
      </c>
      <c r="U16" s="206">
        <f>_xlfn.XLOOKUP(E16,'All Products'!D:D,'All Products'!N:N,FALSE)</f>
        <v>0.30499999999999999</v>
      </c>
    </row>
    <row r="17" spans="1:21">
      <c r="A17" s="101" t="str">
        <f>IF(L17&gt;0,COUNT($A$8:A16)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7" s="695"/>
      <c r="C17" s="611"/>
      <c r="D17" s="103" t="str">
        <f>_xlfn.XLOOKUP(E17,'All Products'!D:D,'All Products'!C:C,FALSE)</f>
        <v>T61-SD</v>
      </c>
      <c r="E17" s="233">
        <v>100025519</v>
      </c>
      <c r="F17" s="464" t="str">
        <f>_xlfn.XLOOKUP(E17,'All Products'!D:D,'All Products'!E:E,FALSE)</f>
        <v>6" RND LID STORM DRAIN GREEN</v>
      </c>
      <c r="G17" s="103" t="s">
        <v>1637</v>
      </c>
      <c r="H17" s="206" t="s">
        <v>1857</v>
      </c>
      <c r="I17" s="103">
        <f>_xlfn.XLOOKUP(E17,'All Products'!D:D,'All Products'!G:G,FALSE)</f>
        <v>1</v>
      </c>
      <c r="J17" s="103">
        <f>_xlfn.XLOOKUP(E17,'All Products'!D:D,'All Products'!H:H,FALSE)</f>
        <v>5.58</v>
      </c>
      <c r="K17" s="173">
        <f>ROUND(J17*Order_Quote!$L$19,2)</f>
        <v>5.58</v>
      </c>
      <c r="L17" s="75"/>
      <c r="M17" s="113"/>
      <c r="N17" s="171">
        <f t="shared" si="0"/>
        <v>0</v>
      </c>
      <c r="P17" s="206" t="str">
        <f>_xlfn.XLOOKUP(E17,'All Products'!D:D,'All Products'!I:I,FALSE)</f>
        <v>Within 3 Weeks</v>
      </c>
      <c r="Q17" s="206" t="str">
        <f>_xlfn.XLOOKUP(E17,'All Products'!D:D,'All Products'!J:J,FALSE)</f>
        <v>Manufactured</v>
      </c>
      <c r="R17" s="518">
        <f>_xlfn.XLOOKUP(E17,'All Products'!D:D,'All Products'!K:K,FALSE)</f>
        <v>49081804749</v>
      </c>
      <c r="S17" s="518" t="str">
        <f>_xlfn.XLOOKUP(E17,'All Products'!D:D,'All Products'!L:L,FALSE)</f>
        <v>-</v>
      </c>
      <c r="T17" s="518" t="str">
        <f>_xlfn.XLOOKUP(E17,'All Products'!D:D,'All Products'!M:M,FALSE)</f>
        <v>-</v>
      </c>
      <c r="U17" s="206">
        <f>_xlfn.XLOOKUP(E17,'All Products'!D:D,'All Products'!N:N,FALSE)</f>
        <v>0.30499999999999999</v>
      </c>
    </row>
    <row r="18" spans="1:21">
      <c r="A18" s="101" t="str">
        <f>IF(L18&gt;0,COUNT($A$8:A17)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8" s="695"/>
      <c r="C18" s="611"/>
      <c r="D18" s="103" t="str">
        <f>_xlfn.XLOOKUP(E18,'All Products'!D:D,'All Products'!C:C,FALSE)</f>
        <v>T61-E</v>
      </c>
      <c r="E18" s="233">
        <v>100025512</v>
      </c>
      <c r="F18" s="464" t="str">
        <f>_xlfn.XLOOKUP(E18,'All Products'!D:D,'All Products'!E:E,FALSE)</f>
        <v>6" RND LID, ELECT JUNCTION, GRN</v>
      </c>
      <c r="G18" s="103" t="s">
        <v>1637</v>
      </c>
      <c r="H18" s="206" t="s">
        <v>1655</v>
      </c>
      <c r="I18" s="103">
        <f>_xlfn.XLOOKUP(E18,'All Products'!D:D,'All Products'!G:G,FALSE)</f>
        <v>1</v>
      </c>
      <c r="J18" s="103">
        <f>_xlfn.XLOOKUP(E18,'All Products'!D:D,'All Products'!H:H,FALSE)</f>
        <v>5.58</v>
      </c>
      <c r="K18" s="173">
        <f>ROUND(J18*Order_Quote!$L$19,2)</f>
        <v>5.58</v>
      </c>
      <c r="L18" s="75"/>
      <c r="M18" s="113"/>
      <c r="N18" s="171">
        <f t="shared" si="0"/>
        <v>0</v>
      </c>
      <c r="P18" s="206" t="str">
        <f>_xlfn.XLOOKUP(E18,'All Products'!D:D,'All Products'!I:I,FALSE)</f>
        <v>Within 3 Weeks</v>
      </c>
      <c r="Q18" s="206" t="str">
        <f>_xlfn.XLOOKUP(E18,'All Products'!D:D,'All Products'!J:J,FALSE)</f>
        <v>Manufactured</v>
      </c>
      <c r="R18" s="518">
        <f>_xlfn.XLOOKUP(E18,'All Products'!D:D,'All Products'!K:K,FALSE)</f>
        <v>49081800468</v>
      </c>
      <c r="S18" s="518" t="str">
        <f>_xlfn.XLOOKUP(E18,'All Products'!D:D,'All Products'!L:L,FALSE)</f>
        <v>-</v>
      </c>
      <c r="T18" s="518" t="str">
        <f>_xlfn.XLOOKUP(E18,'All Products'!D:D,'All Products'!M:M,FALSE)</f>
        <v>-</v>
      </c>
      <c r="U18" s="206">
        <f>_xlfn.XLOOKUP(E18,'All Products'!D:D,'All Products'!N:N,FALSE)</f>
        <v>0.30499999999999999</v>
      </c>
    </row>
    <row r="19" spans="1:21">
      <c r="A19" s="101" t="str">
        <f>IF(L19&gt;0,COUNT($A$8:A18)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9" s="695"/>
      <c r="C19" s="611"/>
      <c r="D19" s="103" t="str">
        <f>_xlfn.XLOOKUP(E19,'All Products'!D:D,'All Products'!C:C,FALSE)</f>
        <v>T64-E</v>
      </c>
      <c r="E19" s="233">
        <v>100025664</v>
      </c>
      <c r="F19" s="464" t="str">
        <f>_xlfn.XLOOKUP(E19,'All Products'!D:D,'All Products'!E:E,FALSE)</f>
        <v>6" RND LID, ELECT JUNCTION BLK</v>
      </c>
      <c r="G19" s="103" t="s">
        <v>1564</v>
      </c>
      <c r="H19" s="206" t="s">
        <v>1655</v>
      </c>
      <c r="I19" s="103">
        <f>_xlfn.XLOOKUP(E19,'All Products'!D:D,'All Products'!G:G,FALSE)</f>
        <v>1</v>
      </c>
      <c r="J19" s="103">
        <f>_xlfn.XLOOKUP(E19,'All Products'!D:D,'All Products'!H:H,FALSE)</f>
        <v>5.58</v>
      </c>
      <c r="K19" s="173">
        <f>ROUND(J19*Order_Quote!$L$19,2)</f>
        <v>5.58</v>
      </c>
      <c r="L19" s="75"/>
      <c r="M19" s="113"/>
      <c r="N19" s="171">
        <f t="shared" si="0"/>
        <v>0</v>
      </c>
      <c r="P19" s="206" t="str">
        <f>_xlfn.XLOOKUP(E19,'All Products'!D:D,'All Products'!I:I,FALSE)</f>
        <v>Within 3 Weeks</v>
      </c>
      <c r="Q19" s="206" t="str">
        <f>_xlfn.XLOOKUP(E19,'All Products'!D:D,'All Products'!J:J,FALSE)</f>
        <v>Manufactured</v>
      </c>
      <c r="R19" s="518">
        <f>_xlfn.XLOOKUP(E19,'All Products'!D:D,'All Products'!K:K,FALSE)</f>
        <v>49081808716</v>
      </c>
      <c r="S19" s="518" t="str">
        <f>_xlfn.XLOOKUP(E19,'All Products'!D:D,'All Products'!L:L,FALSE)</f>
        <v>-</v>
      </c>
      <c r="T19" s="518" t="str">
        <f>_xlfn.XLOOKUP(E19,'All Products'!D:D,'All Products'!M:M,FALSE)</f>
        <v>-</v>
      </c>
      <c r="U19" s="206">
        <f>_xlfn.XLOOKUP(E19,'All Products'!D:D,'All Products'!N:N,FALSE)</f>
        <v>0.30499999999999999</v>
      </c>
    </row>
    <row r="20" spans="1:21">
      <c r="A20" s="101" t="str">
        <f>IF(L20&gt;0,COUNT($A$8:A19)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20" s="695"/>
      <c r="C20" s="611"/>
      <c r="D20" s="103" t="str">
        <f>_xlfn.XLOOKUP(E20,'All Products'!D:D,'All Products'!C:C,FALSE)</f>
        <v>T61-L</v>
      </c>
      <c r="E20" s="233">
        <v>100025516</v>
      </c>
      <c r="F20" s="464" t="str">
        <f>_xlfn.XLOOKUP(E20,'All Products'!D:D,'All Products'!E:E,FALSE)</f>
        <v>6" RND LID, LOW VOLT LAND GRN</v>
      </c>
      <c r="G20" s="103" t="s">
        <v>1637</v>
      </c>
      <c r="H20" s="206" t="s">
        <v>1667</v>
      </c>
      <c r="I20" s="103">
        <f>_xlfn.XLOOKUP(E20,'All Products'!D:D,'All Products'!G:G,FALSE)</f>
        <v>1</v>
      </c>
      <c r="J20" s="103">
        <f>_xlfn.XLOOKUP(E20,'All Products'!D:D,'All Products'!H:H,FALSE)</f>
        <v>5.58</v>
      </c>
      <c r="K20" s="173">
        <f>ROUND(J20*Order_Quote!$L$19,2)</f>
        <v>5.58</v>
      </c>
      <c r="L20" s="75"/>
      <c r="M20" s="113"/>
      <c r="N20" s="171">
        <f t="shared" si="0"/>
        <v>0</v>
      </c>
      <c r="P20" s="206" t="str">
        <f>_xlfn.XLOOKUP(E20,'All Products'!D:D,'All Products'!I:I,FALSE)</f>
        <v>Within 3 Weeks</v>
      </c>
      <c r="Q20" s="206" t="str">
        <f>_xlfn.XLOOKUP(E20,'All Products'!D:D,'All Products'!J:J,FALSE)</f>
        <v>Manufactured</v>
      </c>
      <c r="R20" s="518">
        <f>_xlfn.XLOOKUP(E20,'All Products'!D:D,'All Products'!K:K,FALSE)</f>
        <v>49081800475</v>
      </c>
      <c r="S20" s="518" t="str">
        <f>_xlfn.XLOOKUP(E20,'All Products'!D:D,'All Products'!L:L,FALSE)</f>
        <v>-</v>
      </c>
      <c r="T20" s="518" t="str">
        <f>_xlfn.XLOOKUP(E20,'All Products'!D:D,'All Products'!M:M,FALSE)</f>
        <v>-</v>
      </c>
      <c r="U20" s="206">
        <f>_xlfn.XLOOKUP(E20,'All Products'!D:D,'All Products'!N:N,FALSE)</f>
        <v>0.30499999999999999</v>
      </c>
    </row>
    <row r="21" spans="1:21">
      <c r="A21" s="101" t="str">
        <f>IF(L21&gt;0,COUNT($A$8:A20)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21" s="695"/>
      <c r="C21" s="611"/>
      <c r="D21" s="103" t="str">
        <f>_xlfn.XLOOKUP(E21,'All Products'!D:D,'All Products'!C:C,FALSE)</f>
        <v>T64-L</v>
      </c>
      <c r="E21" s="233">
        <v>100025531</v>
      </c>
      <c r="F21" s="464" t="str">
        <f>_xlfn.XLOOKUP(E21,'All Products'!D:D,'All Products'!E:E,FALSE)</f>
        <v>6" RND LID, LOW VOLT LAND BLK</v>
      </c>
      <c r="G21" s="103" t="s">
        <v>1564</v>
      </c>
      <c r="H21" s="206" t="s">
        <v>1667</v>
      </c>
      <c r="I21" s="103">
        <f>_xlfn.XLOOKUP(E21,'All Products'!D:D,'All Products'!G:G,FALSE)</f>
        <v>1</v>
      </c>
      <c r="J21" s="103">
        <f>_xlfn.XLOOKUP(E21,'All Products'!D:D,'All Products'!H:H,FALSE)</f>
        <v>5.58</v>
      </c>
      <c r="K21" s="173">
        <f>ROUND(J21*Order_Quote!$L$19,2)</f>
        <v>5.58</v>
      </c>
      <c r="L21" s="75"/>
      <c r="M21" s="113"/>
      <c r="N21" s="171">
        <f t="shared" si="0"/>
        <v>0</v>
      </c>
      <c r="P21" s="206" t="str">
        <f>_xlfn.XLOOKUP(E21,'All Products'!D:D,'All Products'!I:I,FALSE)</f>
        <v>Within 3 Weeks</v>
      </c>
      <c r="Q21" s="206" t="str">
        <f>_xlfn.XLOOKUP(E21,'All Products'!D:D,'All Products'!J:J,FALSE)</f>
        <v>Manufactured</v>
      </c>
      <c r="R21" s="518">
        <f>_xlfn.XLOOKUP(E21,'All Products'!D:D,'All Products'!K:K,FALSE)</f>
        <v>49081804527</v>
      </c>
      <c r="S21" s="518" t="str">
        <f>_xlfn.XLOOKUP(E21,'All Products'!D:D,'All Products'!L:L,FALSE)</f>
        <v>-</v>
      </c>
      <c r="T21" s="518" t="str">
        <f>_xlfn.XLOOKUP(E21,'All Products'!D:D,'All Products'!M:M,FALSE)</f>
        <v>-</v>
      </c>
      <c r="U21" s="206">
        <f>_xlfn.XLOOKUP(E21,'All Products'!D:D,'All Products'!N:N,FALSE)</f>
        <v>0.30499999999999999</v>
      </c>
    </row>
    <row r="22" spans="1:21">
      <c r="A22" s="101" t="str">
        <f>IF(L22&gt;0,COUNT($A$8:A21)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22" s="695"/>
      <c r="C22" s="611"/>
      <c r="D22" s="103" t="str">
        <f>_xlfn.XLOOKUP(E22,'All Products'!D:D,'All Products'!C:C,FALSE)</f>
        <v>T61-T</v>
      </c>
      <c r="E22" s="233">
        <v>100025520</v>
      </c>
      <c r="F22" s="464" t="str">
        <f>_xlfn.XLOOKUP(E22,'All Products'!D:D,'All Products'!E:E,FALSE)</f>
        <v>6" RND LID, TELEPHONE GRN</v>
      </c>
      <c r="G22" s="103" t="s">
        <v>1637</v>
      </c>
      <c r="H22" s="206" t="s">
        <v>1707</v>
      </c>
      <c r="I22" s="103">
        <f>_xlfn.XLOOKUP(E22,'All Products'!D:D,'All Products'!G:G,FALSE)</f>
        <v>1</v>
      </c>
      <c r="J22" s="103">
        <f>_xlfn.XLOOKUP(E22,'All Products'!D:D,'All Products'!H:H,FALSE)</f>
        <v>5.58</v>
      </c>
      <c r="K22" s="173">
        <f>ROUND(J22*Order_Quote!$L$19,2)</f>
        <v>5.58</v>
      </c>
      <c r="L22" s="75"/>
      <c r="M22" s="113"/>
      <c r="N22" s="171">
        <f t="shared" si="0"/>
        <v>0</v>
      </c>
      <c r="P22" s="206" t="str">
        <f>_xlfn.XLOOKUP(E22,'All Products'!D:D,'All Products'!I:I,FALSE)</f>
        <v>Within 3 Weeks</v>
      </c>
      <c r="Q22" s="206" t="str">
        <f>_xlfn.XLOOKUP(E22,'All Products'!D:D,'All Products'!J:J,FALSE)</f>
        <v>Manufactured</v>
      </c>
      <c r="R22" s="518">
        <f>_xlfn.XLOOKUP(E22,'All Products'!D:D,'All Products'!K:K,FALSE)</f>
        <v>49081800482</v>
      </c>
      <c r="S22" s="518" t="str">
        <f>_xlfn.XLOOKUP(E22,'All Products'!D:D,'All Products'!L:L,FALSE)</f>
        <v>-</v>
      </c>
      <c r="T22" s="518" t="str">
        <f>_xlfn.XLOOKUP(E22,'All Products'!D:D,'All Products'!M:M,FALSE)</f>
        <v>-</v>
      </c>
      <c r="U22" s="206">
        <f>_xlfn.XLOOKUP(E22,'All Products'!D:D,'All Products'!N:N,FALSE)</f>
        <v>0.30499999999999999</v>
      </c>
    </row>
    <row r="23" spans="1:21" ht="15" thickBot="1">
      <c r="A23" s="101" t="str">
        <f>IF(L23&gt;0,COUNT($A$8:A22)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23" s="696"/>
      <c r="C23" s="697"/>
      <c r="D23" s="138" t="str">
        <f>_xlfn.XLOOKUP(E23,'All Products'!D:D,'All Products'!C:C,FALSE)</f>
        <v>T64-T</v>
      </c>
      <c r="E23" s="461">
        <v>100025533</v>
      </c>
      <c r="F23" s="466" t="str">
        <f>_xlfn.XLOOKUP(E23,'All Products'!D:D,'All Products'!E:E,FALSE)</f>
        <v>6" RND TELEPHONE LID BLK</v>
      </c>
      <c r="G23" s="138" t="s">
        <v>1564</v>
      </c>
      <c r="H23" s="207" t="s">
        <v>1707</v>
      </c>
      <c r="I23" s="138">
        <f>_xlfn.XLOOKUP(E23,'All Products'!D:D,'All Products'!G:G,FALSE)</f>
        <v>1</v>
      </c>
      <c r="J23" s="138">
        <f>_xlfn.XLOOKUP(E23,'All Products'!D:D,'All Products'!H:H,FALSE)</f>
        <v>5.58</v>
      </c>
      <c r="K23" s="181">
        <f>ROUND(J23*Order_Quote!$L$19,2)</f>
        <v>5.58</v>
      </c>
      <c r="L23" s="163"/>
      <c r="M23" s="113"/>
      <c r="N23" s="171">
        <f t="shared" si="0"/>
        <v>0</v>
      </c>
      <c r="P23" s="207" t="str">
        <f>_xlfn.XLOOKUP(E23,'All Products'!D:D,'All Products'!I:I,FALSE)</f>
        <v>Within 3 Weeks</v>
      </c>
      <c r="Q23" s="207" t="str">
        <f>_xlfn.XLOOKUP(E23,'All Products'!D:D,'All Products'!J:J,FALSE)</f>
        <v>Manufactured</v>
      </c>
      <c r="R23" s="518">
        <f>_xlfn.XLOOKUP(E23,'All Products'!D:D,'All Products'!K:K,FALSE)</f>
        <v>49081808730</v>
      </c>
      <c r="S23" s="518" t="str">
        <f>_xlfn.XLOOKUP(E23,'All Products'!D:D,'All Products'!L:L,FALSE)</f>
        <v>-</v>
      </c>
      <c r="T23" s="518" t="str">
        <f>_xlfn.XLOOKUP(E23,'All Products'!D:D,'All Products'!M:M,FALSE)</f>
        <v>-</v>
      </c>
      <c r="U23" s="206">
        <f>_xlfn.XLOOKUP(E23,'All Products'!D:D,'All Products'!N:N,FALSE)</f>
        <v>0.30499999999999999</v>
      </c>
    </row>
    <row r="24" spans="1:21" ht="16.2" thickBot="1">
      <c r="A24" s="101" t="str">
        <f>IF(L24&gt;0,COUNT($A$8:A23)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24" s="446" t="s">
        <v>5780</v>
      </c>
      <c r="C24" s="151"/>
      <c r="D24" s="151"/>
      <c r="E24" s="459"/>
      <c r="F24" s="151"/>
      <c r="G24" s="151"/>
      <c r="H24" s="151"/>
      <c r="I24" s="468"/>
      <c r="J24" s="468"/>
      <c r="K24" s="192"/>
      <c r="L24" s="358"/>
      <c r="M24" s="17"/>
      <c r="N24" s="545"/>
      <c r="O24" s="17"/>
      <c r="P24" s="357"/>
      <c r="Q24" s="145"/>
      <c r="R24" s="493"/>
      <c r="S24" s="493"/>
      <c r="T24" s="493"/>
      <c r="U24" s="151"/>
    </row>
    <row r="25" spans="1:21" ht="30" customHeight="1">
      <c r="A25" s="101" t="str">
        <f>IF(L25&gt;0,COUNT($A$8:A24)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25" s="695"/>
      <c r="C25" s="611"/>
      <c r="D25" s="103" t="str">
        <f>_xlfn.XLOOKUP(E25,'All Products'!D:D,'All Products'!C:C,FALSE)</f>
        <v>B73</v>
      </c>
      <c r="E25" s="233">
        <v>100025346</v>
      </c>
      <c r="F25" s="464" t="str">
        <f>_xlfn.XLOOKUP(E25,'All Products'!D:D,'All Products'!E:E,FALSE)</f>
        <v>7" RND VLV BOX PRP</v>
      </c>
      <c r="G25" s="103" t="s">
        <v>1576</v>
      </c>
      <c r="H25" s="206" t="s">
        <v>649</v>
      </c>
      <c r="I25" s="103">
        <f>_xlfn.XLOOKUP(E25,'All Products'!D:D,'All Products'!G:G,FALSE)</f>
        <v>240</v>
      </c>
      <c r="J25" s="103">
        <f>_xlfn.XLOOKUP(E25,'All Products'!D:D,'All Products'!H:H,FALSE)</f>
        <v>26.09</v>
      </c>
      <c r="K25" s="173">
        <f>ROUND(J25*Order_Quote!$L$19,2)</f>
        <v>26.09</v>
      </c>
      <c r="L25" s="75"/>
      <c r="M25" s="113"/>
      <c r="N25" s="171">
        <f>L25/I25</f>
        <v>0</v>
      </c>
      <c r="P25" s="206" t="str">
        <f>_xlfn.XLOOKUP(E25,'All Products'!D:D,'All Products'!I:I,FALSE)</f>
        <v>Within 3 Weeks</v>
      </c>
      <c r="Q25" s="206" t="str">
        <f>_xlfn.XLOOKUP(E25,'All Products'!D:D,'All Products'!J:J,FALSE)</f>
        <v>Manufactured</v>
      </c>
      <c r="R25" s="518">
        <f>_xlfn.XLOOKUP(E25,'All Products'!D:D,'All Products'!K:K,FALSE)</f>
        <v>49081800079</v>
      </c>
      <c r="S25" s="518" t="str">
        <f>_xlfn.XLOOKUP(E25,'All Products'!D:D,'All Products'!L:L,FALSE)</f>
        <v>-</v>
      </c>
      <c r="T25" s="518" t="str">
        <f>_xlfn.XLOOKUP(E25,'All Products'!D:D,'All Products'!M:M,FALSE)</f>
        <v>-</v>
      </c>
      <c r="U25" s="206">
        <f>_xlfn.XLOOKUP(E25,'All Products'!D:D,'All Products'!N:N,FALSE)</f>
        <v>1.19</v>
      </c>
    </row>
    <row r="26" spans="1:21" ht="30" customHeight="1" thickBot="1">
      <c r="A26" s="101" t="str">
        <f>IF(L26&gt;0,COUNT($A$8:A25)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26" s="695"/>
      <c r="C26" s="611"/>
      <c r="D26" s="103" t="str">
        <f>_xlfn.XLOOKUP(E26,'All Products'!D:D,'All Products'!C:C,FALSE)</f>
        <v>B74</v>
      </c>
      <c r="E26" s="233">
        <v>100025590</v>
      </c>
      <c r="F26" s="464" t="str">
        <f>_xlfn.XLOOKUP(E26,'All Products'!D:D,'All Products'!E:E,FALSE)</f>
        <v>7" RND VLV BOX BLK</v>
      </c>
      <c r="G26" s="103" t="s">
        <v>1564</v>
      </c>
      <c r="H26" s="206" t="s">
        <v>649</v>
      </c>
      <c r="I26" s="103">
        <f>_xlfn.XLOOKUP(E26,'All Products'!D:D,'All Products'!G:G,FALSE)</f>
        <v>240</v>
      </c>
      <c r="J26" s="103">
        <f>_xlfn.XLOOKUP(E26,'All Products'!D:D,'All Products'!H:H,FALSE)</f>
        <v>26.09</v>
      </c>
      <c r="K26" s="173">
        <f>ROUND(J26*Order_Quote!$L$19,2)</f>
        <v>26.09</v>
      </c>
      <c r="L26" s="75"/>
      <c r="M26" s="113"/>
      <c r="N26" s="171">
        <f>L26/I26</f>
        <v>0</v>
      </c>
      <c r="P26" s="206" t="str">
        <f>_xlfn.XLOOKUP(E26,'All Products'!D:D,'All Products'!I:I,FALSE)</f>
        <v>Within 3 Weeks</v>
      </c>
      <c r="Q26" s="206" t="str">
        <f>_xlfn.XLOOKUP(E26,'All Products'!D:D,'All Products'!J:J,FALSE)</f>
        <v>Manufactured</v>
      </c>
      <c r="R26" s="518">
        <f>_xlfn.XLOOKUP(E26,'All Products'!D:D,'All Products'!K:K,FALSE)</f>
        <v>49081800086</v>
      </c>
      <c r="S26" s="518" t="str">
        <f>_xlfn.XLOOKUP(E26,'All Products'!D:D,'All Products'!L:L,FALSE)</f>
        <v>-</v>
      </c>
      <c r="T26" s="518" t="str">
        <f>_xlfn.XLOOKUP(E26,'All Products'!D:D,'All Products'!M:M,FALSE)</f>
        <v>-</v>
      </c>
      <c r="U26" s="206">
        <f>_xlfn.XLOOKUP(E26,'All Products'!D:D,'All Products'!N:N,FALSE)</f>
        <v>1.19</v>
      </c>
    </row>
    <row r="27" spans="1:21" ht="16.2" thickBot="1">
      <c r="A27" s="101" t="str">
        <f>IF(L27&gt;0,COUNT($A$8:A26)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27" s="446" t="s">
        <v>5781</v>
      </c>
      <c r="C27" s="150"/>
      <c r="D27" s="151"/>
      <c r="E27" s="459"/>
      <c r="F27" s="151"/>
      <c r="G27" s="151"/>
      <c r="H27" s="151"/>
      <c r="I27" s="468"/>
      <c r="J27" s="468"/>
      <c r="K27" s="192"/>
      <c r="L27" s="358"/>
      <c r="M27" s="17"/>
      <c r="N27" s="545"/>
      <c r="O27" s="17"/>
      <c r="P27" s="357"/>
      <c r="Q27" s="145"/>
      <c r="R27" s="493"/>
      <c r="S27" s="493"/>
      <c r="T27" s="493"/>
      <c r="U27" s="151"/>
    </row>
    <row r="28" spans="1:21">
      <c r="A28" s="101" t="str">
        <f>IF(L28&gt;0,COUNT($A$8:A27)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28" s="694"/>
      <c r="C28" s="683"/>
      <c r="D28" s="103" t="str">
        <f>_xlfn.XLOOKUP(E28,'All Products'!D:D,'All Products'!C:C,FALSE)</f>
        <v>T71</v>
      </c>
      <c r="E28" s="460">
        <v>100025669</v>
      </c>
      <c r="F28" s="464" t="str">
        <f>_xlfn.XLOOKUP(E28,'All Products'!D:D,'All Products'!E:E,FALSE)</f>
        <v>7" RND LID GRN</v>
      </c>
      <c r="G28" s="137" t="s">
        <v>1637</v>
      </c>
      <c r="H28" s="204" t="s">
        <v>1638</v>
      </c>
      <c r="I28" s="103">
        <f>_xlfn.XLOOKUP(E28,'All Products'!D:D,'All Products'!G:G,FALSE)</f>
        <v>1</v>
      </c>
      <c r="J28" s="103">
        <f>_xlfn.XLOOKUP(E28,'All Products'!D:D,'All Products'!H:H,FALSE)</f>
        <v>8.7799999999999994</v>
      </c>
      <c r="K28" s="180">
        <f>ROUND(J28*Order_Quote!$L$19,2)</f>
        <v>8.7799999999999994</v>
      </c>
      <c r="L28" s="165"/>
      <c r="M28" s="113"/>
      <c r="N28" s="171">
        <v>0</v>
      </c>
      <c r="P28" s="206" t="str">
        <f>_xlfn.XLOOKUP(E28,'All Products'!D:D,'All Products'!I:I,FALSE)</f>
        <v>Within 3 Weeks</v>
      </c>
      <c r="Q28" s="206" t="str">
        <f>_xlfn.XLOOKUP(E28,'All Products'!D:D,'All Products'!J:J,FALSE)</f>
        <v>Manufactured</v>
      </c>
      <c r="R28" s="518">
        <f>_xlfn.XLOOKUP(E28,'All Products'!D:D,'All Products'!K:K,FALSE)</f>
        <v>49081800543</v>
      </c>
      <c r="S28" s="518" t="str">
        <f>_xlfn.XLOOKUP(E28,'All Products'!D:D,'All Products'!L:L,FALSE)</f>
        <v>-</v>
      </c>
      <c r="T28" s="518" t="str">
        <f>_xlfn.XLOOKUP(E28,'All Products'!D:D,'All Products'!M:M,FALSE)</f>
        <v>-</v>
      </c>
      <c r="U28" s="206">
        <f>_xlfn.XLOOKUP(E28,'All Products'!D:D,'All Products'!N:N,FALSE)</f>
        <v>0.51500000000000001</v>
      </c>
    </row>
    <row r="29" spans="1:21">
      <c r="A29" s="101" t="str">
        <f>IF(L29&gt;0,COUNT($A$8:A28)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29" s="695"/>
      <c r="C29" s="611"/>
      <c r="D29" s="103" t="str">
        <f>_xlfn.XLOOKUP(E29,'All Products'!D:D,'All Products'!C:C,FALSE)</f>
        <v>T74</v>
      </c>
      <c r="E29" s="233">
        <v>100025674</v>
      </c>
      <c r="F29" s="464" t="str">
        <f>_xlfn.XLOOKUP(E29,'All Products'!D:D,'All Products'!E:E,FALSE)</f>
        <v>7" RND LID BLK</v>
      </c>
      <c r="G29" s="103" t="s">
        <v>1564</v>
      </c>
      <c r="H29" s="206" t="s">
        <v>1638</v>
      </c>
      <c r="I29" s="103">
        <f>_xlfn.XLOOKUP(E29,'All Products'!D:D,'All Products'!G:G,FALSE)</f>
        <v>1</v>
      </c>
      <c r="J29" s="103">
        <f>_xlfn.XLOOKUP(E29,'All Products'!D:D,'All Products'!H:H,FALSE)</f>
        <v>8.7799999999999994</v>
      </c>
      <c r="K29" s="173">
        <f>ROUND(J29*Order_Quote!$L$19,2)</f>
        <v>8.7799999999999994</v>
      </c>
      <c r="L29" s="75"/>
      <c r="M29" s="113"/>
      <c r="N29" s="171">
        <v>0</v>
      </c>
      <c r="P29" s="206" t="str">
        <f>_xlfn.XLOOKUP(E29,'All Products'!D:D,'All Products'!I:I,FALSE)</f>
        <v>Within 3 Weeks</v>
      </c>
      <c r="Q29" s="206" t="str">
        <f>_xlfn.XLOOKUP(E29,'All Products'!D:D,'All Products'!J:J,FALSE)</f>
        <v>Manufactured</v>
      </c>
      <c r="R29" s="518">
        <f>_xlfn.XLOOKUP(E29,'All Products'!D:D,'All Products'!K:K,FALSE)</f>
        <v>49081800635</v>
      </c>
      <c r="S29" s="518" t="str">
        <f>_xlfn.XLOOKUP(E29,'All Products'!D:D,'All Products'!L:L,FALSE)</f>
        <v>-</v>
      </c>
      <c r="T29" s="518" t="str">
        <f>_xlfn.XLOOKUP(E29,'All Products'!D:D,'All Products'!M:M,FALSE)</f>
        <v>-</v>
      </c>
      <c r="U29" s="206">
        <f>_xlfn.XLOOKUP(E29,'All Products'!D:D,'All Products'!N:N,FALSE)</f>
        <v>0.51500000000000001</v>
      </c>
    </row>
    <row r="30" spans="1:21">
      <c r="A30" s="101" t="str">
        <f>IF(L30&gt;0,COUNT($A$8:A29)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30" s="695"/>
      <c r="C30" s="611"/>
      <c r="D30" s="103" t="str">
        <f>_xlfn.XLOOKUP(E30,'All Products'!D:D,'All Products'!C:C,FALSE)</f>
        <v>T75</v>
      </c>
      <c r="E30" s="233">
        <v>100025556</v>
      </c>
      <c r="F30" s="464" t="str">
        <f>_xlfn.XLOOKUP(E30,'All Products'!D:D,'All Products'!E:E,FALSE)</f>
        <v>7" RND LID GRY</v>
      </c>
      <c r="G30" s="103" t="s">
        <v>1722</v>
      </c>
      <c r="H30" s="206" t="s">
        <v>1638</v>
      </c>
      <c r="I30" s="103">
        <f>_xlfn.XLOOKUP(E30,'All Products'!D:D,'All Products'!G:G,FALSE)</f>
        <v>1</v>
      </c>
      <c r="J30" s="103">
        <f>_xlfn.XLOOKUP(E30,'All Products'!D:D,'All Products'!H:H,FALSE)</f>
        <v>8.7799999999999994</v>
      </c>
      <c r="K30" s="173">
        <f>ROUND(J30*Order_Quote!$L$19,2)</f>
        <v>8.7799999999999994</v>
      </c>
      <c r="L30" s="75"/>
      <c r="M30" s="113"/>
      <c r="N30" s="171">
        <v>0</v>
      </c>
      <c r="P30" s="206" t="str">
        <f>_xlfn.XLOOKUP(E30,'All Products'!D:D,'All Products'!I:I,FALSE)</f>
        <v>Within 3 Weeks</v>
      </c>
      <c r="Q30" s="206" t="str">
        <f>_xlfn.XLOOKUP(E30,'All Products'!D:D,'All Products'!J:J,FALSE)</f>
        <v>Manufactured</v>
      </c>
      <c r="R30" s="518">
        <f>_xlfn.XLOOKUP(E30,'All Products'!D:D,'All Products'!K:K,FALSE)</f>
        <v>49081800673</v>
      </c>
      <c r="S30" s="518" t="str">
        <f>_xlfn.XLOOKUP(E30,'All Products'!D:D,'All Products'!L:L,FALSE)</f>
        <v>-</v>
      </c>
      <c r="T30" s="518" t="str">
        <f>_xlfn.XLOOKUP(E30,'All Products'!D:D,'All Products'!M:M,FALSE)</f>
        <v>-</v>
      </c>
      <c r="U30" s="206">
        <f>_xlfn.XLOOKUP(E30,'All Products'!D:D,'All Products'!N:N,FALSE)</f>
        <v>0.51500000000000001</v>
      </c>
    </row>
    <row r="31" spans="1:21">
      <c r="A31" s="101" t="str">
        <f>IF(L31&gt;0,COUNT($A$8:A30)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31" s="695"/>
      <c r="C31" s="611"/>
      <c r="D31" s="103" t="str">
        <f>_xlfn.XLOOKUP(E31,'All Products'!D:D,'All Products'!C:C,FALSE)</f>
        <v>T73</v>
      </c>
      <c r="E31" s="233">
        <v>100025672</v>
      </c>
      <c r="F31" s="464" t="str">
        <f>_xlfn.XLOOKUP(E31,'All Products'!D:D,'All Products'!E:E,FALSE)</f>
        <v>7" RND LID PRP</v>
      </c>
      <c r="G31" s="103" t="s">
        <v>1576</v>
      </c>
      <c r="H31" s="206" t="s">
        <v>1644</v>
      </c>
      <c r="I31" s="103">
        <f>_xlfn.XLOOKUP(E31,'All Products'!D:D,'All Products'!G:G,FALSE)</f>
        <v>1</v>
      </c>
      <c r="J31" s="103">
        <f>_xlfn.XLOOKUP(E31,'All Products'!D:D,'All Products'!H:H,FALSE)</f>
        <v>8.7799999999999994</v>
      </c>
      <c r="K31" s="173">
        <f>ROUND(J31*Order_Quote!$L$19,2)</f>
        <v>8.7799999999999994</v>
      </c>
      <c r="L31" s="75"/>
      <c r="M31" s="113"/>
      <c r="N31" s="171">
        <v>0</v>
      </c>
      <c r="P31" s="206" t="str">
        <f>_xlfn.XLOOKUP(E31,'All Products'!D:D,'All Products'!I:I,FALSE)</f>
        <v>In Stock</v>
      </c>
      <c r="Q31" s="206" t="str">
        <f>_xlfn.XLOOKUP(E31,'All Products'!D:D,'All Products'!J:J,FALSE)</f>
        <v>Manufactured</v>
      </c>
      <c r="R31" s="518">
        <f>_xlfn.XLOOKUP(E31,'All Products'!D:D,'All Products'!K:K,FALSE)</f>
        <v>49081800628</v>
      </c>
      <c r="S31" s="518" t="str">
        <f>_xlfn.XLOOKUP(E31,'All Products'!D:D,'All Products'!L:L,FALSE)</f>
        <v>-</v>
      </c>
      <c r="T31" s="518" t="str">
        <f>_xlfn.XLOOKUP(E31,'All Products'!D:D,'All Products'!M:M,FALSE)</f>
        <v>-</v>
      </c>
      <c r="U31" s="206">
        <f>_xlfn.XLOOKUP(E31,'All Products'!D:D,'All Products'!N:N,FALSE)</f>
        <v>0.51500000000000001</v>
      </c>
    </row>
    <row r="32" spans="1:21">
      <c r="A32" s="101" t="str">
        <f>IF(L32&gt;0,COUNT($A$8:A31)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32" s="695"/>
      <c r="C32" s="611"/>
      <c r="D32" s="103" t="str">
        <f>_xlfn.XLOOKUP(E32,'All Products'!D:D,'All Products'!C:C,FALSE)</f>
        <v>T71-S</v>
      </c>
      <c r="E32" s="233">
        <v>100025550</v>
      </c>
      <c r="F32" s="464" t="str">
        <f>_xlfn.XLOOKUP(E32,'All Products'!D:D,'All Products'!E:E,FALSE)</f>
        <v>7" RND SEWER LID GRN</v>
      </c>
      <c r="G32" s="103" t="s">
        <v>1637</v>
      </c>
      <c r="H32" s="206" t="s">
        <v>1647</v>
      </c>
      <c r="I32" s="103">
        <f>_xlfn.XLOOKUP(E32,'All Products'!D:D,'All Products'!G:G,FALSE)</f>
        <v>1</v>
      </c>
      <c r="J32" s="103">
        <f>_xlfn.XLOOKUP(E32,'All Products'!D:D,'All Products'!H:H,FALSE)</f>
        <v>8.7799999999999994</v>
      </c>
      <c r="K32" s="173">
        <f>ROUND(J32*Order_Quote!$L$19,2)</f>
        <v>8.7799999999999994</v>
      </c>
      <c r="L32" s="75"/>
      <c r="M32" s="113"/>
      <c r="N32" s="171">
        <v>0</v>
      </c>
      <c r="P32" s="206" t="str">
        <f>_xlfn.XLOOKUP(E32,'All Products'!D:D,'All Products'!I:I,FALSE)</f>
        <v>Within 3 Weeks</v>
      </c>
      <c r="Q32" s="206" t="str">
        <f>_xlfn.XLOOKUP(E32,'All Products'!D:D,'All Products'!J:J,FALSE)</f>
        <v>Manufactured</v>
      </c>
      <c r="R32" s="518">
        <f>_xlfn.XLOOKUP(E32,'All Products'!D:D,'All Products'!K:K,FALSE)</f>
        <v>49081804763</v>
      </c>
      <c r="S32" s="518" t="str">
        <f>_xlfn.XLOOKUP(E32,'All Products'!D:D,'All Products'!L:L,FALSE)</f>
        <v>-</v>
      </c>
      <c r="T32" s="518" t="str">
        <f>_xlfn.XLOOKUP(E32,'All Products'!D:D,'All Products'!M:M,FALSE)</f>
        <v>-</v>
      </c>
      <c r="U32" s="206">
        <f>_xlfn.XLOOKUP(E32,'All Products'!D:D,'All Products'!N:N,FALSE)</f>
        <v>0.51500000000000001</v>
      </c>
    </row>
    <row r="33" spans="1:21">
      <c r="A33" s="101" t="str">
        <f>IF(L33&gt;0,COUNT($A$8:A32)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33" s="695"/>
      <c r="C33" s="611"/>
      <c r="D33" s="103" t="str">
        <f>_xlfn.XLOOKUP(E33,'All Products'!D:D,'All Products'!C:C,FALSE)</f>
        <v>T71-E</v>
      </c>
      <c r="E33" s="233">
        <v>100025548</v>
      </c>
      <c r="F33" s="464" t="str">
        <f>_xlfn.XLOOKUP(E33,'All Products'!D:D,'All Products'!E:E,FALSE)</f>
        <v>7" RND LID ELECT JUNCT</v>
      </c>
      <c r="G33" s="103" t="s">
        <v>1637</v>
      </c>
      <c r="H33" s="206" t="s">
        <v>1655</v>
      </c>
      <c r="I33" s="103">
        <f>_xlfn.XLOOKUP(E33,'All Products'!D:D,'All Products'!G:G,FALSE)</f>
        <v>1</v>
      </c>
      <c r="J33" s="103">
        <f>_xlfn.XLOOKUP(E33,'All Products'!D:D,'All Products'!H:H,FALSE)</f>
        <v>8.7799999999999994</v>
      </c>
      <c r="K33" s="173">
        <f>ROUND(J33*Order_Quote!$L$19,2)</f>
        <v>8.7799999999999994</v>
      </c>
      <c r="L33" s="75"/>
      <c r="M33" s="113"/>
      <c r="N33" s="171">
        <v>0</v>
      </c>
      <c r="P33" s="206" t="str">
        <f>_xlfn.XLOOKUP(E33,'All Products'!D:D,'All Products'!I:I,FALSE)</f>
        <v>Within 3 Weeks</v>
      </c>
      <c r="Q33" s="206" t="str">
        <f>_xlfn.XLOOKUP(E33,'All Products'!D:D,'All Products'!J:J,FALSE)</f>
        <v>Manufactured</v>
      </c>
      <c r="R33" s="518">
        <f>_xlfn.XLOOKUP(E33,'All Products'!D:D,'All Products'!K:K,FALSE)</f>
        <v>49081800550</v>
      </c>
      <c r="S33" s="518" t="str">
        <f>_xlfn.XLOOKUP(E33,'All Products'!D:D,'All Products'!L:L,FALSE)</f>
        <v>-</v>
      </c>
      <c r="T33" s="518" t="str">
        <f>_xlfn.XLOOKUP(E33,'All Products'!D:D,'All Products'!M:M,FALSE)</f>
        <v>-</v>
      </c>
      <c r="U33" s="206">
        <f>_xlfn.XLOOKUP(E33,'All Products'!D:D,'All Products'!N:N,FALSE)</f>
        <v>0.51500000000000001</v>
      </c>
    </row>
    <row r="34" spans="1:21">
      <c r="A34" s="101" t="str">
        <f>IF(L34&gt;0,COUNT($A$8:A33)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34" s="695"/>
      <c r="C34" s="611"/>
      <c r="D34" s="103" t="str">
        <f>_xlfn.XLOOKUP(E34,'All Products'!D:D,'All Products'!C:C,FALSE)</f>
        <v>T74-E</v>
      </c>
      <c r="E34" s="233">
        <v>100025554</v>
      </c>
      <c r="F34" s="464" t="str">
        <f>_xlfn.XLOOKUP(E34,'All Products'!D:D,'All Products'!E:E,FALSE)</f>
        <v>7" RND LID BLK ELECT JUNCT</v>
      </c>
      <c r="G34" s="103" t="s">
        <v>1564</v>
      </c>
      <c r="H34" s="206" t="s">
        <v>1655</v>
      </c>
      <c r="I34" s="103">
        <f>_xlfn.XLOOKUP(E34,'All Products'!D:D,'All Products'!G:G,FALSE)</f>
        <v>1</v>
      </c>
      <c r="J34" s="103">
        <f>_xlfn.XLOOKUP(E34,'All Products'!D:D,'All Products'!H:H,FALSE)</f>
        <v>8.7799999999999994</v>
      </c>
      <c r="K34" s="173">
        <f>ROUND(J34*Order_Quote!$L$19,2)</f>
        <v>8.7799999999999994</v>
      </c>
      <c r="L34" s="75"/>
      <c r="M34" s="113"/>
      <c r="N34" s="171">
        <v>0</v>
      </c>
      <c r="P34" s="206" t="str">
        <f>_xlfn.XLOOKUP(E34,'All Products'!D:D,'All Products'!I:I,FALSE)</f>
        <v>Within 3 Weeks</v>
      </c>
      <c r="Q34" s="206" t="str">
        <f>_xlfn.XLOOKUP(E34,'All Products'!D:D,'All Products'!J:J,FALSE)</f>
        <v>Manufactured</v>
      </c>
      <c r="R34" s="518">
        <f>_xlfn.XLOOKUP(E34,'All Products'!D:D,'All Products'!K:K,FALSE)</f>
        <v>49081800642</v>
      </c>
      <c r="S34" s="518" t="str">
        <f>_xlfn.XLOOKUP(E34,'All Products'!D:D,'All Products'!L:L,FALSE)</f>
        <v>-</v>
      </c>
      <c r="T34" s="518" t="str">
        <f>_xlfn.XLOOKUP(E34,'All Products'!D:D,'All Products'!M:M,FALSE)</f>
        <v>-</v>
      </c>
      <c r="U34" s="206">
        <f>_xlfn.XLOOKUP(E34,'All Products'!D:D,'All Products'!N:N,FALSE)</f>
        <v>0.51500000000000001</v>
      </c>
    </row>
    <row r="35" spans="1:21">
      <c r="A35" s="101" t="str">
        <f>IF(L35&gt;0,COUNT($A$8:A34)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35" s="695"/>
      <c r="C35" s="611"/>
      <c r="D35" s="103" t="str">
        <f>_xlfn.XLOOKUP(E35,'All Products'!D:D,'All Products'!C:C,FALSE)</f>
        <v>T75-E</v>
      </c>
      <c r="E35" s="233">
        <v>100025557</v>
      </c>
      <c r="F35" s="464" t="str">
        <f>_xlfn.XLOOKUP(E35,'All Products'!D:D,'All Products'!E:E,FALSE)</f>
        <v>7" RND LID, ELECT JUNCTION GRY</v>
      </c>
      <c r="G35" s="103" t="s">
        <v>1722</v>
      </c>
      <c r="H35" s="206" t="s">
        <v>1655</v>
      </c>
      <c r="I35" s="103">
        <f>_xlfn.XLOOKUP(E35,'All Products'!D:D,'All Products'!G:G,FALSE)</f>
        <v>1</v>
      </c>
      <c r="J35" s="103">
        <f>_xlfn.XLOOKUP(E35,'All Products'!D:D,'All Products'!H:H,FALSE)</f>
        <v>8.7799999999999994</v>
      </c>
      <c r="K35" s="173">
        <f>ROUND(J35*Order_Quote!$L$19,2)</f>
        <v>8.7799999999999994</v>
      </c>
      <c r="L35" s="75"/>
      <c r="M35" s="113"/>
      <c r="N35" s="171">
        <v>0</v>
      </c>
      <c r="P35" s="206" t="str">
        <f>_xlfn.XLOOKUP(E35,'All Products'!D:D,'All Products'!I:I,FALSE)</f>
        <v>In Stock</v>
      </c>
      <c r="Q35" s="206" t="str">
        <f>_xlfn.XLOOKUP(E35,'All Products'!D:D,'All Products'!J:J,FALSE)</f>
        <v>Manufactured</v>
      </c>
      <c r="R35" s="518">
        <f>_xlfn.XLOOKUP(E35,'All Products'!D:D,'All Products'!K:K,FALSE)</f>
        <v>49081800680</v>
      </c>
      <c r="S35" s="518" t="str">
        <f>_xlfn.XLOOKUP(E35,'All Products'!D:D,'All Products'!L:L,FALSE)</f>
        <v>-</v>
      </c>
      <c r="T35" s="518" t="str">
        <f>_xlfn.XLOOKUP(E35,'All Products'!D:D,'All Products'!M:M,FALSE)</f>
        <v>-</v>
      </c>
      <c r="U35" s="206">
        <f>_xlfn.XLOOKUP(E35,'All Products'!D:D,'All Products'!N:N,FALSE)</f>
        <v>0.51500000000000001</v>
      </c>
    </row>
    <row r="36" spans="1:21">
      <c r="A36" s="101" t="str">
        <f>IF(L36&gt;0,COUNT($A$8:A35)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36" s="695"/>
      <c r="C36" s="611"/>
      <c r="D36" s="103" t="str">
        <f>_xlfn.XLOOKUP(E36,'All Products'!D:D,'All Products'!C:C,FALSE)</f>
        <v>T71-L</v>
      </c>
      <c r="E36" s="233">
        <v>100025549</v>
      </c>
      <c r="F36" s="464" t="str">
        <f>_xlfn.XLOOKUP(E36,'All Products'!D:D,'All Products'!E:E,FALSE)</f>
        <v>7" RND LID, LOW VOLT LAND GRN</v>
      </c>
      <c r="G36" s="103" t="s">
        <v>1637</v>
      </c>
      <c r="H36" s="206" t="s">
        <v>1667</v>
      </c>
      <c r="I36" s="103">
        <f>_xlfn.XLOOKUP(E36,'All Products'!D:D,'All Products'!G:G,FALSE)</f>
        <v>1</v>
      </c>
      <c r="J36" s="103">
        <f>_xlfn.XLOOKUP(E36,'All Products'!D:D,'All Products'!H:H,FALSE)</f>
        <v>8.7799999999999994</v>
      </c>
      <c r="K36" s="173">
        <f>ROUND(J36*Order_Quote!$L$19,2)</f>
        <v>8.7799999999999994</v>
      </c>
      <c r="L36" s="75"/>
      <c r="M36" s="113"/>
      <c r="N36" s="171">
        <v>0</v>
      </c>
      <c r="P36" s="206" t="str">
        <f>_xlfn.XLOOKUP(E36,'All Products'!D:D,'All Products'!I:I,FALSE)</f>
        <v>Within 3 Weeks</v>
      </c>
      <c r="Q36" s="206" t="str">
        <f>_xlfn.XLOOKUP(E36,'All Products'!D:D,'All Products'!J:J,FALSE)</f>
        <v>Manufactured</v>
      </c>
      <c r="R36" s="518">
        <f>_xlfn.XLOOKUP(E36,'All Products'!D:D,'All Products'!K:K,FALSE)</f>
        <v>49081800567</v>
      </c>
      <c r="S36" s="518" t="str">
        <f>_xlfn.XLOOKUP(E36,'All Products'!D:D,'All Products'!L:L,FALSE)</f>
        <v>-</v>
      </c>
      <c r="T36" s="518" t="str">
        <f>_xlfn.XLOOKUP(E36,'All Products'!D:D,'All Products'!M:M,FALSE)</f>
        <v>-</v>
      </c>
      <c r="U36" s="206">
        <f>_xlfn.XLOOKUP(E36,'All Products'!D:D,'All Products'!N:N,FALSE)</f>
        <v>0.51500000000000001</v>
      </c>
    </row>
    <row r="37" spans="1:21">
      <c r="A37" s="101" t="str">
        <f>IF(L37&gt;0,COUNT($A$8:A36)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37" s="695"/>
      <c r="C37" s="611"/>
      <c r="D37" s="103" t="str">
        <f>_xlfn.XLOOKUP(E37,'All Products'!D:D,'All Products'!C:C,FALSE)</f>
        <v>T74-L</v>
      </c>
      <c r="E37" s="233">
        <v>100025555</v>
      </c>
      <c r="F37" s="464" t="str">
        <f>_xlfn.XLOOKUP(E37,'All Products'!D:D,'All Products'!E:E,FALSE)</f>
        <v>7" RND LID, LOW VOLT LAND BLK</v>
      </c>
      <c r="G37" s="103" t="s">
        <v>1564</v>
      </c>
      <c r="H37" s="206" t="s">
        <v>1667</v>
      </c>
      <c r="I37" s="103">
        <f>_xlfn.XLOOKUP(E37,'All Products'!D:D,'All Products'!G:G,FALSE)</f>
        <v>1</v>
      </c>
      <c r="J37" s="103">
        <f>_xlfn.XLOOKUP(E37,'All Products'!D:D,'All Products'!H:H,FALSE)</f>
        <v>8.7799999999999994</v>
      </c>
      <c r="K37" s="173">
        <f>ROUND(J37*Order_Quote!$L$19,2)</f>
        <v>8.7799999999999994</v>
      </c>
      <c r="L37" s="75"/>
      <c r="M37" s="113"/>
      <c r="N37" s="171">
        <v>0</v>
      </c>
      <c r="P37" s="206" t="str">
        <f>_xlfn.XLOOKUP(E37,'All Products'!D:D,'All Products'!I:I,FALSE)</f>
        <v>Within 3 Weeks</v>
      </c>
      <c r="Q37" s="206" t="str">
        <f>_xlfn.XLOOKUP(E37,'All Products'!D:D,'All Products'!J:J,FALSE)</f>
        <v>Manufactured</v>
      </c>
      <c r="R37" s="518">
        <f>_xlfn.XLOOKUP(E37,'All Products'!D:D,'All Products'!K:K,FALSE)</f>
        <v>49081800659</v>
      </c>
      <c r="S37" s="518" t="str">
        <f>_xlfn.XLOOKUP(E37,'All Products'!D:D,'All Products'!L:L,FALSE)</f>
        <v>-</v>
      </c>
      <c r="T37" s="518" t="str">
        <f>_xlfn.XLOOKUP(E37,'All Products'!D:D,'All Products'!M:M,FALSE)</f>
        <v>-</v>
      </c>
      <c r="U37" s="206">
        <f>_xlfn.XLOOKUP(E37,'All Products'!D:D,'All Products'!N:N,FALSE)</f>
        <v>0.51500000000000001</v>
      </c>
    </row>
    <row r="38" spans="1:21" ht="15" thickBot="1">
      <c r="A38" s="101" t="str">
        <f>IF(L38&gt;0,COUNT($A$8:A37)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38" s="696"/>
      <c r="C38" s="697"/>
      <c r="D38" s="103" t="str">
        <f>_xlfn.XLOOKUP(E38,'All Products'!D:D,'All Products'!C:C,FALSE)</f>
        <v>T75-T</v>
      </c>
      <c r="E38" s="461">
        <v>100025559</v>
      </c>
      <c r="F38" s="464" t="str">
        <f>_xlfn.XLOOKUP(E38,'All Products'!D:D,'All Products'!E:E,FALSE)</f>
        <v>7" RND LID, TELEPHONE GRY</v>
      </c>
      <c r="G38" s="138" t="s">
        <v>1722</v>
      </c>
      <c r="H38" s="207" t="s">
        <v>1707</v>
      </c>
      <c r="I38" s="103">
        <f>_xlfn.XLOOKUP(E38,'All Products'!D:D,'All Products'!G:G,FALSE)</f>
        <v>1</v>
      </c>
      <c r="J38" s="103">
        <f>_xlfn.XLOOKUP(E38,'All Products'!D:D,'All Products'!H:H,FALSE)</f>
        <v>8.7799999999999994</v>
      </c>
      <c r="K38" s="181">
        <f>ROUND(J38*Order_Quote!$L$19,2)</f>
        <v>8.7799999999999994</v>
      </c>
      <c r="L38" s="163"/>
      <c r="M38" s="113"/>
      <c r="N38" s="171">
        <v>0</v>
      </c>
      <c r="P38" s="206" t="str">
        <f>_xlfn.XLOOKUP(E38,'All Products'!D:D,'All Products'!I:I,FALSE)</f>
        <v>Within 3 Weeks</v>
      </c>
      <c r="Q38" s="206" t="str">
        <f>_xlfn.XLOOKUP(E38,'All Products'!D:D,'All Products'!J:J,FALSE)</f>
        <v>Manufactured</v>
      </c>
      <c r="R38" s="518">
        <f>_xlfn.XLOOKUP(E38,'All Products'!D:D,'All Products'!K:K,FALSE)</f>
        <v>49081800703</v>
      </c>
      <c r="S38" s="518" t="str">
        <f>_xlfn.XLOOKUP(E38,'All Products'!D:D,'All Products'!L:L,FALSE)</f>
        <v>-</v>
      </c>
      <c r="T38" s="518" t="str">
        <f>_xlfn.XLOOKUP(E38,'All Products'!D:D,'All Products'!M:M,FALSE)</f>
        <v>-</v>
      </c>
      <c r="U38" s="206">
        <f>_xlfn.XLOOKUP(E38,'All Products'!D:D,'All Products'!N:N,FALSE)</f>
        <v>0.51500000000000001</v>
      </c>
    </row>
    <row r="39" spans="1:21" ht="16.2" thickBot="1">
      <c r="A39" s="101" t="str">
        <f>IF(L39&gt;0,COUNT($A$8:A38)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39" s="446" t="s">
        <v>5782</v>
      </c>
      <c r="C39" s="151"/>
      <c r="D39" s="151"/>
      <c r="E39" s="459"/>
      <c r="F39" s="151"/>
      <c r="G39" s="151"/>
      <c r="H39" s="151"/>
      <c r="I39" s="468"/>
      <c r="J39" s="468"/>
      <c r="K39" s="192"/>
      <c r="L39" s="358"/>
      <c r="M39" s="17"/>
      <c r="N39" s="545"/>
      <c r="O39" s="17"/>
      <c r="P39" s="357"/>
      <c r="Q39" s="145"/>
      <c r="R39" s="493"/>
      <c r="S39" s="493"/>
      <c r="T39" s="493"/>
      <c r="U39" s="151"/>
    </row>
    <row r="40" spans="1:21">
      <c r="A40" s="101" t="str">
        <f>IF(L40&gt;0,COUNT($A$8:A39)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40" s="694"/>
      <c r="C40" s="683"/>
      <c r="D40" s="103" t="str">
        <f>_xlfn.XLOOKUP(E40,'All Products'!D:D,'All Products'!C:C,FALSE)</f>
        <v>B101</v>
      </c>
      <c r="E40" s="460">
        <v>100025566</v>
      </c>
      <c r="F40" s="464" t="str">
        <f>_xlfn.XLOOKUP(E40,'All Products'!D:D,'All Products'!E:E,FALSE)</f>
        <v>10" RND VLV BOX GRN</v>
      </c>
      <c r="G40" s="137" t="s">
        <v>1637</v>
      </c>
      <c r="H40" s="204" t="s">
        <v>649</v>
      </c>
      <c r="I40" s="103">
        <f>_xlfn.XLOOKUP(E40,'All Products'!D:D,'All Products'!G:G,FALSE)</f>
        <v>156</v>
      </c>
      <c r="J40" s="103">
        <f>_xlfn.XLOOKUP(E40,'All Products'!D:D,'All Products'!H:H,FALSE)</f>
        <v>31.84</v>
      </c>
      <c r="K40" s="180">
        <f>ROUND(J40*Order_Quote!$L$19,2)</f>
        <v>31.84</v>
      </c>
      <c r="L40" s="165"/>
      <c r="M40" s="113"/>
      <c r="N40" s="171">
        <f>L40/I40</f>
        <v>0</v>
      </c>
      <c r="P40" s="206" t="str">
        <f>_xlfn.XLOOKUP(E40,'All Products'!D:D,'All Products'!I:I,FALSE)</f>
        <v>Within 3 Weeks</v>
      </c>
      <c r="Q40" s="206" t="str">
        <f>_xlfn.XLOOKUP(E40,'All Products'!D:D,'All Products'!J:J,FALSE)</f>
        <v>Manufactured</v>
      </c>
      <c r="R40" s="518">
        <f>_xlfn.XLOOKUP(E40,'All Products'!D:D,'All Products'!K:K,FALSE)</f>
        <v>49081800109</v>
      </c>
      <c r="S40" s="518" t="str">
        <f>_xlfn.XLOOKUP(E40,'All Products'!D:D,'All Products'!L:L,FALSE)</f>
        <v>-</v>
      </c>
      <c r="T40" s="518" t="str">
        <f>_xlfn.XLOOKUP(E40,'All Products'!D:D,'All Products'!M:M,FALSE)</f>
        <v>-</v>
      </c>
      <c r="U40" s="206">
        <f>_xlfn.XLOOKUP(E40,'All Products'!D:D,'All Products'!N:N,FALSE)</f>
        <v>2.2650000000000001</v>
      </c>
    </row>
    <row r="41" spans="1:21">
      <c r="A41" s="101" t="str">
        <f>IF(L41&gt;0,COUNT($A$8:A40)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41" s="695"/>
      <c r="C41" s="611"/>
      <c r="D41" s="103" t="str">
        <f>_xlfn.XLOOKUP(E41,'All Products'!D:D,'All Products'!C:C,FALSE)</f>
        <v>B103</v>
      </c>
      <c r="E41" s="233">
        <v>100025567</v>
      </c>
      <c r="F41" s="464" t="str">
        <f>_xlfn.XLOOKUP(E41,'All Products'!D:D,'All Products'!E:E,FALSE)</f>
        <v>10" RND VLV BOX PRP</v>
      </c>
      <c r="G41" s="103" t="s">
        <v>1576</v>
      </c>
      <c r="H41" s="206" t="s">
        <v>649</v>
      </c>
      <c r="I41" s="103">
        <f>_xlfn.XLOOKUP(E41,'All Products'!D:D,'All Products'!G:G,FALSE)</f>
        <v>156</v>
      </c>
      <c r="J41" s="103">
        <f>_xlfn.XLOOKUP(E41,'All Products'!D:D,'All Products'!H:H,FALSE)</f>
        <v>31.84</v>
      </c>
      <c r="K41" s="173">
        <f>ROUND(J41*Order_Quote!$L$19,2)</f>
        <v>31.84</v>
      </c>
      <c r="L41" s="75"/>
      <c r="M41" s="113"/>
      <c r="N41" s="171">
        <f t="shared" ref="N41:N44" si="1">L41/I41</f>
        <v>0</v>
      </c>
      <c r="P41" s="206" t="str">
        <f>_xlfn.XLOOKUP(E41,'All Products'!D:D,'All Products'!I:I,FALSE)</f>
        <v>In Stock</v>
      </c>
      <c r="Q41" s="206" t="str">
        <f>_xlfn.XLOOKUP(E41,'All Products'!D:D,'All Products'!J:J,FALSE)</f>
        <v>Manufactured</v>
      </c>
      <c r="R41" s="518">
        <f>_xlfn.XLOOKUP(E41,'All Products'!D:D,'All Products'!K:K,FALSE)</f>
        <v>49081800123</v>
      </c>
      <c r="S41" s="518" t="str">
        <f>_xlfn.XLOOKUP(E41,'All Products'!D:D,'All Products'!L:L,FALSE)</f>
        <v>-</v>
      </c>
      <c r="T41" s="518" t="str">
        <f>_xlfn.XLOOKUP(E41,'All Products'!D:D,'All Products'!M:M,FALSE)</f>
        <v>-</v>
      </c>
      <c r="U41" s="206">
        <f>_xlfn.XLOOKUP(E41,'All Products'!D:D,'All Products'!N:N,FALSE)</f>
        <v>2.2650000000000001</v>
      </c>
    </row>
    <row r="42" spans="1:21">
      <c r="A42" s="101" t="str">
        <f>IF(L42&gt;0,COUNT($A$8:A41)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42" s="695"/>
      <c r="C42" s="611"/>
      <c r="D42" s="103" t="str">
        <f>_xlfn.XLOOKUP(E42,'All Products'!D:D,'All Products'!C:C,FALSE)</f>
        <v>B104</v>
      </c>
      <c r="E42" s="233">
        <v>100025568</v>
      </c>
      <c r="F42" s="464" t="str">
        <f>_xlfn.XLOOKUP(E42,'All Products'!D:D,'All Products'!E:E,FALSE)</f>
        <v>10" RND VLV BOX BLK</v>
      </c>
      <c r="G42" s="103" t="s">
        <v>1564</v>
      </c>
      <c r="H42" s="206" t="s">
        <v>649</v>
      </c>
      <c r="I42" s="103">
        <f>_xlfn.XLOOKUP(E42,'All Products'!D:D,'All Products'!G:G,FALSE)</f>
        <v>156</v>
      </c>
      <c r="J42" s="103">
        <f>_xlfn.XLOOKUP(E42,'All Products'!D:D,'All Products'!H:H,FALSE)</f>
        <v>31.84</v>
      </c>
      <c r="K42" s="173">
        <f>ROUND(J42*Order_Quote!$L$19,2)</f>
        <v>31.84</v>
      </c>
      <c r="L42" s="75"/>
      <c r="M42" s="113"/>
      <c r="N42" s="171">
        <f t="shared" si="1"/>
        <v>0</v>
      </c>
      <c r="P42" s="206" t="str">
        <f>_xlfn.XLOOKUP(E42,'All Products'!D:D,'All Products'!I:I,FALSE)</f>
        <v>Within 3 Weeks</v>
      </c>
      <c r="Q42" s="206" t="str">
        <f>_xlfn.XLOOKUP(E42,'All Products'!D:D,'All Products'!J:J,FALSE)</f>
        <v>Manufactured</v>
      </c>
      <c r="R42" s="518">
        <f>_xlfn.XLOOKUP(E42,'All Products'!D:D,'All Products'!K:K,FALSE)</f>
        <v>49081800130</v>
      </c>
      <c r="S42" s="518" t="str">
        <f>_xlfn.XLOOKUP(E42,'All Products'!D:D,'All Products'!L:L,FALSE)</f>
        <v>-</v>
      </c>
      <c r="T42" s="518" t="str">
        <f>_xlfn.XLOOKUP(E42,'All Products'!D:D,'All Products'!M:M,FALSE)</f>
        <v>-</v>
      </c>
      <c r="U42" s="206">
        <f>_xlfn.XLOOKUP(E42,'All Products'!D:D,'All Products'!N:N,FALSE)</f>
        <v>2.2650000000000001</v>
      </c>
    </row>
    <row r="43" spans="1:21">
      <c r="A43" s="101" t="str">
        <f>IF(L43&gt;0,COUNT($A$8:A42)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43" s="695"/>
      <c r="C43" s="611"/>
      <c r="D43" s="103" t="str">
        <f>_xlfn.XLOOKUP(E43,'All Products'!D:D,'All Products'!C:C,FALSE)</f>
        <v>B101-NMH</v>
      </c>
      <c r="E43" s="233">
        <v>100025304</v>
      </c>
      <c r="F43" s="464" t="str">
        <f>_xlfn.XLOOKUP(E43,'All Products'!D:D,'All Products'!E:E,FALSE)</f>
        <v>10" RND BOX GRN, NO MOUSE HOLE</v>
      </c>
      <c r="G43" s="103" t="s">
        <v>1637</v>
      </c>
      <c r="H43" s="206" t="s">
        <v>1904</v>
      </c>
      <c r="I43" s="103">
        <f>_xlfn.XLOOKUP(E43,'All Products'!D:D,'All Products'!G:G,FALSE)</f>
        <v>156</v>
      </c>
      <c r="J43" s="103">
        <f>_xlfn.XLOOKUP(E43,'All Products'!D:D,'All Products'!H:H,FALSE)</f>
        <v>31.84</v>
      </c>
      <c r="K43" s="173">
        <f>ROUND(J43*Order_Quote!$L$19,2)</f>
        <v>31.84</v>
      </c>
      <c r="L43" s="75"/>
      <c r="M43" s="113"/>
      <c r="N43" s="171">
        <f t="shared" si="1"/>
        <v>0</v>
      </c>
      <c r="P43" s="206" t="str">
        <f>_xlfn.XLOOKUP(E43,'All Products'!D:D,'All Products'!I:I,FALSE)</f>
        <v>Within 3 Weeks</v>
      </c>
      <c r="Q43" s="206" t="str">
        <f>_xlfn.XLOOKUP(E43,'All Products'!D:D,'All Products'!J:J,FALSE)</f>
        <v>Manufactured</v>
      </c>
      <c r="R43" s="518">
        <f>_xlfn.XLOOKUP(E43,'All Products'!D:D,'All Products'!K:K,FALSE)</f>
        <v>49081804466</v>
      </c>
      <c r="S43" s="518" t="str">
        <f>_xlfn.XLOOKUP(E43,'All Products'!D:D,'All Products'!L:L,FALSE)</f>
        <v>-</v>
      </c>
      <c r="T43" s="518" t="str">
        <f>_xlfn.XLOOKUP(E43,'All Products'!D:D,'All Products'!M:M,FALSE)</f>
        <v>-</v>
      </c>
      <c r="U43" s="206">
        <f>_xlfn.XLOOKUP(E43,'All Products'!D:D,'All Products'!N:N,FALSE)</f>
        <v>2.0350000000000001</v>
      </c>
    </row>
    <row r="44" spans="1:21" ht="15" thickBot="1">
      <c r="A44" s="101" t="str">
        <f>IF(L44&gt;0,COUNT($A$8:A43)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44" s="695"/>
      <c r="C44" s="611"/>
      <c r="D44" s="103" t="str">
        <f>_xlfn.XLOOKUP(E44,'All Products'!D:D,'All Products'!C:C,FALSE)</f>
        <v>B103-NMH</v>
      </c>
      <c r="E44" s="233">
        <v>100025306</v>
      </c>
      <c r="F44" s="464" t="str">
        <f>_xlfn.XLOOKUP(E44,'All Products'!D:D,'All Products'!E:E,FALSE)</f>
        <v>10" RND VLV BOX PRP NMH</v>
      </c>
      <c r="G44" s="103" t="s">
        <v>1576</v>
      </c>
      <c r="H44" s="206" t="s">
        <v>1904</v>
      </c>
      <c r="I44" s="103">
        <f>_xlfn.XLOOKUP(E44,'All Products'!D:D,'All Products'!G:G,FALSE)</f>
        <v>156</v>
      </c>
      <c r="J44" s="103">
        <f>_xlfn.XLOOKUP(E44,'All Products'!D:D,'All Products'!H:H,FALSE)</f>
        <v>31.84</v>
      </c>
      <c r="K44" s="173">
        <f>ROUND(J44*Order_Quote!$L$19,2)</f>
        <v>31.84</v>
      </c>
      <c r="L44" s="75"/>
      <c r="M44" s="113"/>
      <c r="N44" s="171">
        <f t="shared" si="1"/>
        <v>0</v>
      </c>
      <c r="P44" s="206" t="str">
        <f>_xlfn.XLOOKUP(E44,'All Products'!D:D,'All Products'!I:I,FALSE)</f>
        <v>Within 3 Weeks</v>
      </c>
      <c r="Q44" s="206" t="str">
        <f>_xlfn.XLOOKUP(E44,'All Products'!D:D,'All Products'!J:J,FALSE)</f>
        <v>Manufactured</v>
      </c>
      <c r="R44" s="518">
        <f>_xlfn.XLOOKUP(E44,'All Products'!D:D,'All Products'!K:K,FALSE)</f>
        <v>49081808792</v>
      </c>
      <c r="S44" s="518" t="str">
        <f>_xlfn.XLOOKUP(E44,'All Products'!D:D,'All Products'!L:L,FALSE)</f>
        <v>-</v>
      </c>
      <c r="T44" s="518" t="str">
        <f>_xlfn.XLOOKUP(E44,'All Products'!D:D,'All Products'!M:M,FALSE)</f>
        <v>-</v>
      </c>
      <c r="U44" s="206">
        <f>_xlfn.XLOOKUP(E44,'All Products'!D:D,'All Products'!N:N,FALSE)</f>
        <v>2.0350000000000001</v>
      </c>
    </row>
    <row r="45" spans="1:21" ht="16.2" thickBot="1">
      <c r="A45" s="101" t="str">
        <f>IF(L45&gt;0,COUNT($A$8:A44)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45" s="446" t="s">
        <v>5783</v>
      </c>
      <c r="C45" s="151"/>
      <c r="D45" s="151"/>
      <c r="E45" s="459"/>
      <c r="F45" s="151"/>
      <c r="G45" s="151"/>
      <c r="H45" s="151"/>
      <c r="I45" s="468"/>
      <c r="J45" s="468"/>
      <c r="K45" s="192"/>
      <c r="L45" s="358"/>
      <c r="M45" s="17"/>
      <c r="N45" s="545"/>
      <c r="O45" s="17"/>
      <c r="P45" s="357"/>
      <c r="Q45" s="145"/>
      <c r="R45" s="493"/>
      <c r="S45" s="493"/>
      <c r="T45" s="493"/>
      <c r="U45" s="151"/>
    </row>
    <row r="46" spans="1:21">
      <c r="A46" s="101" t="str">
        <f>IF(L46&gt;0,COUNT($A$8:A45)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46" s="694"/>
      <c r="C46" s="683"/>
      <c r="D46" s="103" t="str">
        <f>_xlfn.XLOOKUP(E46,'All Products'!D:D,'All Products'!C:C,FALSE)</f>
        <v>T101</v>
      </c>
      <c r="E46" s="460">
        <v>100025594</v>
      </c>
      <c r="F46" s="464" t="str">
        <f>_xlfn.XLOOKUP(E46,'All Products'!D:D,'All Products'!E:E,FALSE)</f>
        <v>10" RND LID GRN</v>
      </c>
      <c r="G46" s="137" t="s">
        <v>1637</v>
      </c>
      <c r="H46" s="204" t="s">
        <v>1638</v>
      </c>
      <c r="I46" s="103">
        <f>_xlfn.XLOOKUP(E46,'All Products'!D:D,'All Products'!G:G,FALSE)</f>
        <v>1</v>
      </c>
      <c r="J46" s="103">
        <f>_xlfn.XLOOKUP(E46,'All Products'!D:D,'All Products'!H:H,FALSE)</f>
        <v>16.73</v>
      </c>
      <c r="K46" s="180">
        <f>ROUND(J46*Order_Quote!$L$19,2)</f>
        <v>16.73</v>
      </c>
      <c r="L46" s="165"/>
      <c r="M46" s="113"/>
      <c r="N46" s="171">
        <f t="shared" ref="N46:N60" si="2">L46/I46</f>
        <v>0</v>
      </c>
      <c r="P46" s="206" t="str">
        <f>_xlfn.XLOOKUP(E46,'All Products'!D:D,'All Products'!I:I,FALSE)</f>
        <v>In Stock</v>
      </c>
      <c r="Q46" s="206" t="str">
        <f>_xlfn.XLOOKUP(E46,'All Products'!D:D,'All Products'!J:J,FALSE)</f>
        <v>Manufactured</v>
      </c>
      <c r="R46" s="518">
        <f>_xlfn.XLOOKUP(E46,'All Products'!D:D,'All Products'!K:K,FALSE)</f>
        <v>49081800710</v>
      </c>
      <c r="S46" s="518" t="str">
        <f>_xlfn.XLOOKUP(E46,'All Products'!D:D,'All Products'!L:L,FALSE)</f>
        <v>-</v>
      </c>
      <c r="T46" s="518" t="str">
        <f>_xlfn.XLOOKUP(E46,'All Products'!D:D,'All Products'!M:M,FALSE)</f>
        <v>-</v>
      </c>
      <c r="U46" s="206">
        <f>_xlfn.XLOOKUP(E46,'All Products'!D:D,'All Products'!N:N,FALSE)</f>
        <v>1.125</v>
      </c>
    </row>
    <row r="47" spans="1:21">
      <c r="A47" s="101" t="str">
        <f>IF(L47&gt;0,COUNT($A$8:A46)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47" s="695"/>
      <c r="C47" s="611"/>
      <c r="D47" s="103" t="str">
        <f>_xlfn.XLOOKUP(E47,'All Products'!D:D,'All Products'!C:C,FALSE)</f>
        <v>T104</v>
      </c>
      <c r="E47" s="233">
        <v>100025605</v>
      </c>
      <c r="F47" s="464" t="str">
        <f>_xlfn.XLOOKUP(E47,'All Products'!D:D,'All Products'!E:E,FALSE)</f>
        <v>10" RND LID BLK</v>
      </c>
      <c r="G47" s="103" t="s">
        <v>1564</v>
      </c>
      <c r="H47" s="206" t="s">
        <v>1638</v>
      </c>
      <c r="I47" s="103">
        <f>_xlfn.XLOOKUP(E47,'All Products'!D:D,'All Products'!G:G,FALSE)</f>
        <v>1</v>
      </c>
      <c r="J47" s="103">
        <f>_xlfn.XLOOKUP(E47,'All Products'!D:D,'All Products'!H:H,FALSE)</f>
        <v>16.73</v>
      </c>
      <c r="K47" s="173">
        <f>ROUND(J47*Order_Quote!$L$19,2)</f>
        <v>16.73</v>
      </c>
      <c r="L47" s="75"/>
      <c r="M47" s="113"/>
      <c r="N47" s="171">
        <f t="shared" si="2"/>
        <v>0</v>
      </c>
      <c r="P47" s="206" t="str">
        <f>_xlfn.XLOOKUP(E47,'All Products'!D:D,'All Products'!I:I,FALSE)</f>
        <v>Within 3 Weeks</v>
      </c>
      <c r="Q47" s="206" t="str">
        <f>_xlfn.XLOOKUP(E47,'All Products'!D:D,'All Products'!J:J,FALSE)</f>
        <v>Manufactured</v>
      </c>
      <c r="R47" s="518">
        <f>_xlfn.XLOOKUP(E47,'All Products'!D:D,'All Products'!K:K,FALSE)</f>
        <v>49081800840</v>
      </c>
      <c r="S47" s="518" t="str">
        <f>_xlfn.XLOOKUP(E47,'All Products'!D:D,'All Products'!L:L,FALSE)</f>
        <v>-</v>
      </c>
      <c r="T47" s="518" t="str">
        <f>_xlfn.XLOOKUP(E47,'All Products'!D:D,'All Products'!M:M,FALSE)</f>
        <v>-</v>
      </c>
      <c r="U47" s="206">
        <f>_xlfn.XLOOKUP(E47,'All Products'!D:D,'All Products'!N:N,FALSE)</f>
        <v>1.125</v>
      </c>
    </row>
    <row r="48" spans="1:21">
      <c r="A48" s="101" t="str">
        <f>IF(L48&gt;0,COUNT($A$8:A47)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48" s="695"/>
      <c r="C48" s="611"/>
      <c r="D48" s="103" t="str">
        <f>_xlfn.XLOOKUP(E48,'All Products'!D:D,'All Products'!C:C,FALSE)</f>
        <v>T105</v>
      </c>
      <c r="E48" s="233">
        <v>100025607</v>
      </c>
      <c r="F48" s="464" t="str">
        <f>_xlfn.XLOOKUP(E48,'All Products'!D:D,'All Products'!E:E,FALSE)</f>
        <v>10" RND LID GRY</v>
      </c>
      <c r="G48" s="103" t="s">
        <v>1722</v>
      </c>
      <c r="H48" s="206" t="s">
        <v>1638</v>
      </c>
      <c r="I48" s="103">
        <f>_xlfn.XLOOKUP(E48,'All Products'!D:D,'All Products'!G:G,FALSE)</f>
        <v>1</v>
      </c>
      <c r="J48" s="103">
        <f>_xlfn.XLOOKUP(E48,'All Products'!D:D,'All Products'!H:H,FALSE)</f>
        <v>16.73</v>
      </c>
      <c r="K48" s="173">
        <f>ROUND(J48*Order_Quote!$L$19,2)</f>
        <v>16.73</v>
      </c>
      <c r="L48" s="75"/>
      <c r="M48" s="113"/>
      <c r="N48" s="171">
        <f t="shared" si="2"/>
        <v>0</v>
      </c>
      <c r="P48" s="206" t="str">
        <f>_xlfn.XLOOKUP(E48,'All Products'!D:D,'All Products'!I:I,FALSE)</f>
        <v>Within 3 Weeks</v>
      </c>
      <c r="Q48" s="206" t="str">
        <f>_xlfn.XLOOKUP(E48,'All Products'!D:D,'All Products'!J:J,FALSE)</f>
        <v>Manufactured</v>
      </c>
      <c r="R48" s="518">
        <f>_xlfn.XLOOKUP(E48,'All Products'!D:D,'All Products'!K:K,FALSE)</f>
        <v>49081800901</v>
      </c>
      <c r="S48" s="518" t="str">
        <f>_xlfn.XLOOKUP(E48,'All Products'!D:D,'All Products'!L:L,FALSE)</f>
        <v>-</v>
      </c>
      <c r="T48" s="518" t="str">
        <f>_xlfn.XLOOKUP(E48,'All Products'!D:D,'All Products'!M:M,FALSE)</f>
        <v>-</v>
      </c>
      <c r="U48" s="206">
        <f>_xlfn.XLOOKUP(E48,'All Products'!D:D,'All Products'!N:N,FALSE)</f>
        <v>1.125</v>
      </c>
    </row>
    <row r="49" spans="1:21">
      <c r="A49" s="101" t="str">
        <f>IF(L49&gt;0,COUNT($A$8:A48)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49" s="695"/>
      <c r="C49" s="611"/>
      <c r="D49" s="103" t="str">
        <f>_xlfn.XLOOKUP(E49,'All Products'!D:D,'All Products'!C:C,FALSE)</f>
        <v>T103</v>
      </c>
      <c r="E49" s="233">
        <v>100025603</v>
      </c>
      <c r="F49" s="464" t="str">
        <f>_xlfn.XLOOKUP(E49,'All Products'!D:D,'All Products'!E:E,FALSE)</f>
        <v>10" RND LID PRP</v>
      </c>
      <c r="G49" s="103" t="s">
        <v>1576</v>
      </c>
      <c r="H49" s="206" t="s">
        <v>1644</v>
      </c>
      <c r="I49" s="103">
        <f>_xlfn.XLOOKUP(E49,'All Products'!D:D,'All Products'!G:G,FALSE)</f>
        <v>1</v>
      </c>
      <c r="J49" s="103">
        <f>_xlfn.XLOOKUP(E49,'All Products'!D:D,'All Products'!H:H,FALSE)</f>
        <v>16.73</v>
      </c>
      <c r="K49" s="173">
        <f>ROUND(J49*Order_Quote!$L$19,2)</f>
        <v>16.73</v>
      </c>
      <c r="L49" s="75"/>
      <c r="M49" s="113"/>
      <c r="N49" s="171">
        <f t="shared" si="2"/>
        <v>0</v>
      </c>
      <c r="P49" s="206" t="str">
        <f>_xlfn.XLOOKUP(E49,'All Products'!D:D,'All Products'!I:I,FALSE)</f>
        <v>In Stock</v>
      </c>
      <c r="Q49" s="206" t="str">
        <f>_xlfn.XLOOKUP(E49,'All Products'!D:D,'All Products'!J:J,FALSE)</f>
        <v>Manufactured</v>
      </c>
      <c r="R49" s="518">
        <f>_xlfn.XLOOKUP(E49,'All Products'!D:D,'All Products'!K:K,FALSE)</f>
        <v>49081800833</v>
      </c>
      <c r="S49" s="518" t="str">
        <f>_xlfn.XLOOKUP(E49,'All Products'!D:D,'All Products'!L:L,FALSE)</f>
        <v>-</v>
      </c>
      <c r="T49" s="518" t="str">
        <f>_xlfn.XLOOKUP(E49,'All Products'!D:D,'All Products'!M:M,FALSE)</f>
        <v>-</v>
      </c>
      <c r="U49" s="206">
        <f>_xlfn.XLOOKUP(E49,'All Products'!D:D,'All Products'!N:N,FALSE)</f>
        <v>1.125</v>
      </c>
    </row>
    <row r="50" spans="1:21">
      <c r="A50" s="101" t="str">
        <f>IF(L50&gt;0,COUNT($A$8:A49)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50" s="695"/>
      <c r="C50" s="611"/>
      <c r="D50" s="103" t="str">
        <f>_xlfn.XLOOKUP(E50,'All Products'!D:D,'All Products'!C:C,FALSE)</f>
        <v>T101-E</v>
      </c>
      <c r="E50" s="233">
        <v>100025364</v>
      </c>
      <c r="F50" s="464" t="str">
        <f>_xlfn.XLOOKUP(E50,'All Products'!D:D,'All Products'!E:E,FALSE)</f>
        <v>10" RND LID GREEN, ELECTRICAL</v>
      </c>
      <c r="G50" s="103" t="s">
        <v>1637</v>
      </c>
      <c r="H50" s="206" t="s">
        <v>1655</v>
      </c>
      <c r="I50" s="103">
        <f>_xlfn.XLOOKUP(E50,'All Products'!D:D,'All Products'!G:G,FALSE)</f>
        <v>1</v>
      </c>
      <c r="J50" s="103">
        <f>_xlfn.XLOOKUP(E50,'All Products'!D:D,'All Products'!H:H,FALSE)</f>
        <v>16.73</v>
      </c>
      <c r="K50" s="173">
        <f>ROUND(J50*Order_Quote!$L$19,2)</f>
        <v>16.73</v>
      </c>
      <c r="L50" s="75"/>
      <c r="M50" s="113"/>
      <c r="N50" s="171">
        <f t="shared" si="2"/>
        <v>0</v>
      </c>
      <c r="P50" s="206" t="str">
        <f>_xlfn.XLOOKUP(E50,'All Products'!D:D,'All Products'!I:I,FALSE)</f>
        <v>In Stock</v>
      </c>
      <c r="Q50" s="206" t="str">
        <f>_xlfn.XLOOKUP(E50,'All Products'!D:D,'All Products'!J:J,FALSE)</f>
        <v>Manufactured</v>
      </c>
      <c r="R50" s="518">
        <f>_xlfn.XLOOKUP(E50,'All Products'!D:D,'All Products'!K:K,FALSE)</f>
        <v>49081800727</v>
      </c>
      <c r="S50" s="518" t="str">
        <f>_xlfn.XLOOKUP(E50,'All Products'!D:D,'All Products'!L:L,FALSE)</f>
        <v>-</v>
      </c>
      <c r="T50" s="518" t="str">
        <f>_xlfn.XLOOKUP(E50,'All Products'!D:D,'All Products'!M:M,FALSE)</f>
        <v>-</v>
      </c>
      <c r="U50" s="206">
        <f>_xlfn.XLOOKUP(E50,'All Products'!D:D,'All Products'!N:N,FALSE)</f>
        <v>1.125</v>
      </c>
    </row>
    <row r="51" spans="1:21">
      <c r="A51" s="101" t="str">
        <f>IF(L51&gt;0,COUNT($A$8:A50)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51" s="695"/>
      <c r="C51" s="611"/>
      <c r="D51" s="103" t="str">
        <f>_xlfn.XLOOKUP(E51,'All Products'!D:D,'All Products'!C:C,FALSE)</f>
        <v>T104-E</v>
      </c>
      <c r="E51" s="233">
        <v>100025381</v>
      </c>
      <c r="F51" s="464" t="str">
        <f>_xlfn.XLOOKUP(E51,'All Products'!D:D,'All Products'!E:E,FALSE)</f>
        <v>10" RND LID, ELECT JUNCTION BLK</v>
      </c>
      <c r="G51" s="103" t="s">
        <v>1564</v>
      </c>
      <c r="H51" s="206" t="s">
        <v>1655</v>
      </c>
      <c r="I51" s="103">
        <f>_xlfn.XLOOKUP(E51,'All Products'!D:D,'All Products'!G:G,FALSE)</f>
        <v>1</v>
      </c>
      <c r="J51" s="103">
        <f>_xlfn.XLOOKUP(E51,'All Products'!D:D,'All Products'!H:H,FALSE)</f>
        <v>16.73</v>
      </c>
      <c r="K51" s="173">
        <f>ROUND(J51*Order_Quote!$L$19,2)</f>
        <v>16.73</v>
      </c>
      <c r="L51" s="75"/>
      <c r="M51" s="113"/>
      <c r="N51" s="171">
        <f t="shared" si="2"/>
        <v>0</v>
      </c>
      <c r="P51" s="206" t="str">
        <f>_xlfn.XLOOKUP(E51,'All Products'!D:D,'All Products'!I:I,FALSE)</f>
        <v>Within 3 Weeks</v>
      </c>
      <c r="Q51" s="206" t="str">
        <f>_xlfn.XLOOKUP(E51,'All Products'!D:D,'All Products'!J:J,FALSE)</f>
        <v>Manufactured</v>
      </c>
      <c r="R51" s="518">
        <f>_xlfn.XLOOKUP(E51,'All Products'!D:D,'All Products'!K:K,FALSE)</f>
        <v>49081800857</v>
      </c>
      <c r="S51" s="518" t="str">
        <f>_xlfn.XLOOKUP(E51,'All Products'!D:D,'All Products'!L:L,FALSE)</f>
        <v>-</v>
      </c>
      <c r="T51" s="518" t="str">
        <f>_xlfn.XLOOKUP(E51,'All Products'!D:D,'All Products'!M:M,FALSE)</f>
        <v>-</v>
      </c>
      <c r="U51" s="206">
        <f>_xlfn.XLOOKUP(E51,'All Products'!D:D,'All Products'!N:N,FALSE)</f>
        <v>1.125</v>
      </c>
    </row>
    <row r="52" spans="1:21">
      <c r="A52" s="101" t="str">
        <f>IF(L52&gt;0,COUNT($A$8:A51)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52" s="695"/>
      <c r="C52" s="611"/>
      <c r="D52" s="103" t="str">
        <f>_xlfn.XLOOKUP(E52,'All Products'!D:D,'All Products'!C:C,FALSE)</f>
        <v>T101-L</v>
      </c>
      <c r="E52" s="233">
        <v>100025367</v>
      </c>
      <c r="F52" s="464" t="str">
        <f>_xlfn.XLOOKUP(E52,'All Products'!D:D,'All Products'!E:E,FALSE)</f>
        <v>10" RND LID, LOW VOLT LAND GRN</v>
      </c>
      <c r="G52" s="103" t="s">
        <v>1637</v>
      </c>
      <c r="H52" s="206" t="s">
        <v>1667</v>
      </c>
      <c r="I52" s="103">
        <f>_xlfn.XLOOKUP(E52,'All Products'!D:D,'All Products'!G:G,FALSE)</f>
        <v>1</v>
      </c>
      <c r="J52" s="103">
        <f>_xlfn.XLOOKUP(E52,'All Products'!D:D,'All Products'!H:H,FALSE)</f>
        <v>16.73</v>
      </c>
      <c r="K52" s="173">
        <f>ROUND(J52*Order_Quote!$L$19,2)</f>
        <v>16.73</v>
      </c>
      <c r="L52" s="75"/>
      <c r="M52" s="113"/>
      <c r="N52" s="171">
        <f t="shared" si="2"/>
        <v>0</v>
      </c>
      <c r="P52" s="206" t="str">
        <f>_xlfn.XLOOKUP(E52,'All Products'!D:D,'All Products'!I:I,FALSE)</f>
        <v>Within 3 Weeks</v>
      </c>
      <c r="Q52" s="206" t="str">
        <f>_xlfn.XLOOKUP(E52,'All Products'!D:D,'All Products'!J:J,FALSE)</f>
        <v>Manufactured</v>
      </c>
      <c r="R52" s="518">
        <f>_xlfn.XLOOKUP(E52,'All Products'!D:D,'All Products'!K:K,FALSE)</f>
        <v>49081800734</v>
      </c>
      <c r="S52" s="518" t="str">
        <f>_xlfn.XLOOKUP(E52,'All Products'!D:D,'All Products'!L:L,FALSE)</f>
        <v>-</v>
      </c>
      <c r="T52" s="518" t="str">
        <f>_xlfn.XLOOKUP(E52,'All Products'!D:D,'All Products'!M:M,FALSE)</f>
        <v>-</v>
      </c>
      <c r="U52" s="206">
        <f>_xlfn.XLOOKUP(E52,'All Products'!D:D,'All Products'!N:N,FALSE)</f>
        <v>1.125</v>
      </c>
    </row>
    <row r="53" spans="1:21">
      <c r="A53" s="101" t="str">
        <f>IF(L53&gt;0,COUNT($A$8:A52)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53" s="695"/>
      <c r="C53" s="611"/>
      <c r="D53" s="103" t="str">
        <f>_xlfn.XLOOKUP(E53,'All Products'!D:D,'All Products'!C:C,FALSE)</f>
        <v>T104-L</v>
      </c>
      <c r="E53" s="233">
        <v>100025383</v>
      </c>
      <c r="F53" s="464" t="str">
        <f>_xlfn.XLOOKUP(E53,'All Products'!D:D,'All Products'!E:E,FALSE)</f>
        <v>10" RND LID LOW VOLT LAND BLK</v>
      </c>
      <c r="G53" s="103" t="s">
        <v>1564</v>
      </c>
      <c r="H53" s="206" t="s">
        <v>1667</v>
      </c>
      <c r="I53" s="103">
        <f>_xlfn.XLOOKUP(E53,'All Products'!D:D,'All Products'!G:G,FALSE)</f>
        <v>1</v>
      </c>
      <c r="J53" s="103">
        <f>_xlfn.XLOOKUP(E53,'All Products'!D:D,'All Products'!H:H,FALSE)</f>
        <v>16.73</v>
      </c>
      <c r="K53" s="173">
        <f>ROUND(J53*Order_Quote!$L$19,2)</f>
        <v>16.73</v>
      </c>
      <c r="L53" s="75"/>
      <c r="M53" s="113"/>
      <c r="N53" s="171">
        <f t="shared" si="2"/>
        <v>0</v>
      </c>
      <c r="P53" s="206" t="str">
        <f>_xlfn.XLOOKUP(E53,'All Products'!D:D,'All Products'!I:I,FALSE)</f>
        <v>Within 3 Weeks</v>
      </c>
      <c r="Q53" s="206" t="str">
        <f>_xlfn.XLOOKUP(E53,'All Products'!D:D,'All Products'!J:J,FALSE)</f>
        <v>Manufactured</v>
      </c>
      <c r="R53" s="518">
        <f>_xlfn.XLOOKUP(E53,'All Products'!D:D,'All Products'!K:K,FALSE)</f>
        <v>49081800864</v>
      </c>
      <c r="S53" s="518" t="str">
        <f>_xlfn.XLOOKUP(E53,'All Products'!D:D,'All Products'!L:L,FALSE)</f>
        <v>-</v>
      </c>
      <c r="T53" s="518" t="str">
        <f>_xlfn.XLOOKUP(E53,'All Products'!D:D,'All Products'!M:M,FALSE)</f>
        <v>-</v>
      </c>
      <c r="U53" s="206">
        <f>_xlfn.XLOOKUP(E53,'All Products'!D:D,'All Products'!N:N,FALSE)</f>
        <v>1.125</v>
      </c>
    </row>
    <row r="54" spans="1:21">
      <c r="A54" s="101" t="str">
        <f>IF(L54&gt;0,COUNT($A$8:A53)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54" s="695"/>
      <c r="C54" s="611"/>
      <c r="D54" s="103" t="str">
        <f>_xlfn.XLOOKUP(E54,'All Products'!D:D,'All Products'!C:C,FALSE)</f>
        <v>T101-S</v>
      </c>
      <c r="E54" s="233">
        <v>100025595</v>
      </c>
      <c r="F54" s="464" t="str">
        <f>_xlfn.XLOOKUP(E54,'All Products'!D:D,'All Products'!E:E,FALSE)</f>
        <v>10" RND SEWER LID, GRN</v>
      </c>
      <c r="G54" s="103" t="s">
        <v>1637</v>
      </c>
      <c r="H54" s="206" t="s">
        <v>1647</v>
      </c>
      <c r="I54" s="103">
        <f>_xlfn.XLOOKUP(E54,'All Products'!D:D,'All Products'!G:G,FALSE)</f>
        <v>1</v>
      </c>
      <c r="J54" s="103">
        <f>_xlfn.XLOOKUP(E54,'All Products'!D:D,'All Products'!H:H,FALSE)</f>
        <v>16.73</v>
      </c>
      <c r="K54" s="173">
        <f>ROUND(J54*Order_Quote!$L$19,2)</f>
        <v>16.73</v>
      </c>
      <c r="L54" s="75"/>
      <c r="M54" s="113"/>
      <c r="N54" s="171">
        <f t="shared" si="2"/>
        <v>0</v>
      </c>
      <c r="P54" s="206" t="str">
        <f>_xlfn.XLOOKUP(E54,'All Products'!D:D,'All Products'!I:I,FALSE)</f>
        <v>Within 3 Weeks</v>
      </c>
      <c r="Q54" s="206" t="str">
        <f>_xlfn.XLOOKUP(E54,'All Products'!D:D,'All Products'!J:J,FALSE)</f>
        <v>Manufactured</v>
      </c>
      <c r="R54" s="518">
        <f>_xlfn.XLOOKUP(E54,'All Products'!D:D,'All Products'!K:K,FALSE)</f>
        <v>49081800741</v>
      </c>
      <c r="S54" s="518" t="str">
        <f>_xlfn.XLOOKUP(E54,'All Products'!D:D,'All Products'!L:L,FALSE)</f>
        <v>-</v>
      </c>
      <c r="T54" s="518" t="str">
        <f>_xlfn.XLOOKUP(E54,'All Products'!D:D,'All Products'!M:M,FALSE)</f>
        <v>-</v>
      </c>
      <c r="U54" s="206">
        <f>_xlfn.XLOOKUP(E54,'All Products'!D:D,'All Products'!N:N,FALSE)</f>
        <v>1.125</v>
      </c>
    </row>
    <row r="55" spans="1:21">
      <c r="A55" s="101" t="str">
        <f>IF(L55&gt;0,COUNT($A$8:A54)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55" s="695"/>
      <c r="C55" s="611"/>
      <c r="D55" s="103" t="str">
        <f>_xlfn.XLOOKUP(E55,'All Products'!D:D,'All Products'!C:C,FALSE)</f>
        <v>T101-W</v>
      </c>
      <c r="E55" s="233">
        <v>100025597</v>
      </c>
      <c r="F55" s="464" t="str">
        <f>_xlfn.XLOOKUP(E55,'All Products'!D:D,'All Products'!E:E,FALSE)</f>
        <v>10" RND LID, WATER, GRN</v>
      </c>
      <c r="G55" s="103" t="s">
        <v>1637</v>
      </c>
      <c r="H55" s="206" t="s">
        <v>1652</v>
      </c>
      <c r="I55" s="103">
        <f>_xlfn.XLOOKUP(E55,'All Products'!D:D,'All Products'!G:G,FALSE)</f>
        <v>1</v>
      </c>
      <c r="J55" s="103">
        <f>_xlfn.XLOOKUP(E55,'All Products'!D:D,'All Products'!H:H,FALSE)</f>
        <v>16.73</v>
      </c>
      <c r="K55" s="173">
        <f>ROUND(J55*Order_Quote!$L$19,2)</f>
        <v>16.73</v>
      </c>
      <c r="L55" s="75"/>
      <c r="M55" s="113"/>
      <c r="N55" s="171">
        <f t="shared" si="2"/>
        <v>0</v>
      </c>
      <c r="P55" s="206" t="str">
        <f>_xlfn.XLOOKUP(E55,'All Products'!D:D,'All Products'!I:I,FALSE)</f>
        <v>Within 3 Weeks</v>
      </c>
      <c r="Q55" s="206" t="str">
        <f>_xlfn.XLOOKUP(E55,'All Products'!D:D,'All Products'!J:J,FALSE)</f>
        <v>Manufactured</v>
      </c>
      <c r="R55" s="518">
        <f>_xlfn.XLOOKUP(E55,'All Products'!D:D,'All Products'!K:K,FALSE)</f>
        <v>49081800765</v>
      </c>
      <c r="S55" s="518" t="str">
        <f>_xlfn.XLOOKUP(E55,'All Products'!D:D,'All Products'!L:L,FALSE)</f>
        <v>-</v>
      </c>
      <c r="T55" s="518" t="str">
        <f>_xlfn.XLOOKUP(E55,'All Products'!D:D,'All Products'!M:M,FALSE)</f>
        <v>-</v>
      </c>
      <c r="U55" s="206">
        <f>_xlfn.XLOOKUP(E55,'All Products'!D:D,'All Products'!N:N,FALSE)</f>
        <v>1.125</v>
      </c>
    </row>
    <row r="56" spans="1:21">
      <c r="A56" s="101" t="str">
        <f>IF(L56&gt;0,COUNT($A$8:A55)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56" s="695"/>
      <c r="C56" s="611"/>
      <c r="D56" s="103" t="str">
        <f>_xlfn.XLOOKUP(E56,'All Products'!D:D,'All Products'!C:C,FALSE)</f>
        <v>T104-W</v>
      </c>
      <c r="E56" s="233">
        <v>100025386</v>
      </c>
      <c r="F56" s="464" t="str">
        <f>_xlfn.XLOOKUP(E56,'All Products'!D:D,'All Products'!E:E,FALSE)</f>
        <v>10" RND LID, WATER, BLK</v>
      </c>
      <c r="G56" s="103" t="s">
        <v>1564</v>
      </c>
      <c r="H56" s="206" t="s">
        <v>1652</v>
      </c>
      <c r="I56" s="103">
        <f>_xlfn.XLOOKUP(E56,'All Products'!D:D,'All Products'!G:G,FALSE)</f>
        <v>1</v>
      </c>
      <c r="J56" s="103">
        <f>_xlfn.XLOOKUP(E56,'All Products'!D:D,'All Products'!H:H,FALSE)</f>
        <v>16.73</v>
      </c>
      <c r="K56" s="173">
        <f>ROUND(J56*Order_Quote!$L$19,2)</f>
        <v>16.73</v>
      </c>
      <c r="L56" s="75"/>
      <c r="M56" s="113"/>
      <c r="N56" s="171">
        <f t="shared" si="2"/>
        <v>0</v>
      </c>
      <c r="P56" s="206" t="str">
        <f>_xlfn.XLOOKUP(E56,'All Products'!D:D,'All Products'!I:I,FALSE)</f>
        <v>Within 3 Weeks</v>
      </c>
      <c r="Q56" s="206" t="str">
        <f>_xlfn.XLOOKUP(E56,'All Products'!D:D,'All Products'!J:J,FALSE)</f>
        <v>Manufactured</v>
      </c>
      <c r="R56" s="518">
        <f>_xlfn.XLOOKUP(E56,'All Products'!D:D,'All Products'!K:K,FALSE)</f>
        <v>49081800895</v>
      </c>
      <c r="S56" s="518" t="str">
        <f>_xlfn.XLOOKUP(E56,'All Products'!D:D,'All Products'!L:L,FALSE)</f>
        <v>-</v>
      </c>
      <c r="T56" s="518" t="str">
        <f>_xlfn.XLOOKUP(E56,'All Products'!D:D,'All Products'!M:M,FALSE)</f>
        <v>-</v>
      </c>
      <c r="U56" s="206">
        <f>_xlfn.XLOOKUP(E56,'All Products'!D:D,'All Products'!N:N,FALSE)</f>
        <v>1.125</v>
      </c>
    </row>
    <row r="57" spans="1:21">
      <c r="A57" s="101" t="str">
        <f>IF(L57&gt;0,COUNT($A$8:A56)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57" s="695"/>
      <c r="C57" s="611"/>
      <c r="D57" s="103" t="str">
        <f>_xlfn.XLOOKUP(E57,'All Products'!D:D,'All Products'!C:C,FALSE)</f>
        <v>T104-M</v>
      </c>
      <c r="E57" s="233">
        <v>100025384</v>
      </c>
      <c r="F57" s="464" t="str">
        <f>_xlfn.XLOOKUP(E57,'All Products'!D:D,'All Products'!E:E,FALSE)</f>
        <v>10" ROUND METER BOX LID BLK</v>
      </c>
      <c r="G57" s="103" t="s">
        <v>1564</v>
      </c>
      <c r="H57" s="206" t="s">
        <v>1694</v>
      </c>
      <c r="I57" s="103">
        <f>_xlfn.XLOOKUP(E57,'All Products'!D:D,'All Products'!G:G,FALSE)</f>
        <v>1</v>
      </c>
      <c r="J57" s="103">
        <f>_xlfn.XLOOKUP(E57,'All Products'!D:D,'All Products'!H:H,FALSE)</f>
        <v>16.73</v>
      </c>
      <c r="K57" s="173">
        <f>ROUND(J57*Order_Quote!$L$19,2)</f>
        <v>16.73</v>
      </c>
      <c r="L57" s="75"/>
      <c r="M57" s="113"/>
      <c r="N57" s="171">
        <f t="shared" si="2"/>
        <v>0</v>
      </c>
      <c r="P57" s="206" t="str">
        <f>_xlfn.XLOOKUP(E57,'All Products'!D:D,'All Products'!I:I,FALSE)</f>
        <v>Within 3 Weeks</v>
      </c>
      <c r="Q57" s="206" t="str">
        <f>_xlfn.XLOOKUP(E57,'All Products'!D:D,'All Products'!J:J,FALSE)</f>
        <v>Manufactured</v>
      </c>
      <c r="R57" s="518">
        <f>_xlfn.XLOOKUP(E57,'All Products'!D:D,'All Products'!K:K,FALSE)</f>
        <v>49081804718</v>
      </c>
      <c r="S57" s="518" t="str">
        <f>_xlfn.XLOOKUP(E57,'All Products'!D:D,'All Products'!L:L,FALSE)</f>
        <v>-</v>
      </c>
      <c r="T57" s="518" t="str">
        <f>_xlfn.XLOOKUP(E57,'All Products'!D:D,'All Products'!M:M,FALSE)</f>
        <v>-</v>
      </c>
      <c r="U57" s="206">
        <f>_xlfn.XLOOKUP(E57,'All Products'!D:D,'All Products'!N:N,FALSE)</f>
        <v>1.125</v>
      </c>
    </row>
    <row r="58" spans="1:21">
      <c r="A58" s="101" t="str">
        <f>IF(L58&gt;0,COUNT($A$8:A57)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58" s="695"/>
      <c r="C58" s="611"/>
      <c r="D58" s="103" t="str">
        <f>_xlfn.XLOOKUP(E58,'All Products'!D:D,'All Products'!C:C,FALSE)</f>
        <v>T101-SD</v>
      </c>
      <c r="E58" s="233">
        <v>100025370</v>
      </c>
      <c r="F58" s="464" t="str">
        <f>_xlfn.XLOOKUP(E58,'All Products'!D:D,'All Products'!E:E,FALSE)</f>
        <v>10" RND LID GRN STORM DRAIN</v>
      </c>
      <c r="G58" s="103" t="s">
        <v>1637</v>
      </c>
      <c r="H58" s="206" t="s">
        <v>1857</v>
      </c>
      <c r="I58" s="103">
        <f>_xlfn.XLOOKUP(E58,'All Products'!D:D,'All Products'!G:G,FALSE)</f>
        <v>1</v>
      </c>
      <c r="J58" s="103">
        <f>_xlfn.XLOOKUP(E58,'All Products'!D:D,'All Products'!H:H,FALSE)</f>
        <v>16.73</v>
      </c>
      <c r="K58" s="173">
        <f>ROUND(J58*Order_Quote!$L$19,2)</f>
        <v>16.73</v>
      </c>
      <c r="L58" s="75"/>
      <c r="M58" s="113"/>
      <c r="N58" s="171">
        <f t="shared" si="2"/>
        <v>0</v>
      </c>
      <c r="P58" s="206" t="str">
        <f>_xlfn.XLOOKUP(E58,'All Products'!D:D,'All Products'!I:I,FALSE)</f>
        <v>Within 3 Weeks</v>
      </c>
      <c r="Q58" s="206" t="str">
        <f>_xlfn.XLOOKUP(E58,'All Products'!D:D,'All Products'!J:J,FALSE)</f>
        <v>Manufactured</v>
      </c>
      <c r="R58" s="518" t="str">
        <f>_xlfn.XLOOKUP(E58,'All Products'!D:D,'All Products'!K:K,FALSE)</f>
        <v>-</v>
      </c>
      <c r="S58" s="518" t="str">
        <f>_xlfn.XLOOKUP(E58,'All Products'!D:D,'All Products'!L:L,FALSE)</f>
        <v>-</v>
      </c>
      <c r="T58" s="518" t="str">
        <f>_xlfn.XLOOKUP(E58,'All Products'!D:D,'All Products'!M:M,FALSE)</f>
        <v>-</v>
      </c>
      <c r="U58" s="206">
        <f>_xlfn.XLOOKUP(E58,'All Products'!D:D,'All Products'!N:N,FALSE)</f>
        <v>1.125</v>
      </c>
    </row>
    <row r="59" spans="1:21">
      <c r="A59" s="101" t="str">
        <f>IF(L59&gt;0,COUNT($A$8:A58)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59" s="695"/>
      <c r="C59" s="611"/>
      <c r="D59" s="103" t="str">
        <f>_xlfn.XLOOKUP(E59,'All Products'!D:D,'All Products'!C:C,FALSE)</f>
        <v>T101-T</v>
      </c>
      <c r="E59" s="233">
        <v>100025371</v>
      </c>
      <c r="F59" s="464" t="str">
        <f>_xlfn.XLOOKUP(E59,'All Products'!D:D,'All Products'!E:E,FALSE)</f>
        <v>10" RND LID, TELEPHONE GRN</v>
      </c>
      <c r="G59" s="103" t="s">
        <v>1637</v>
      </c>
      <c r="H59" s="206" t="s">
        <v>1707</v>
      </c>
      <c r="I59" s="103">
        <f>_xlfn.XLOOKUP(E59,'All Products'!D:D,'All Products'!G:G,FALSE)</f>
        <v>1</v>
      </c>
      <c r="J59" s="103">
        <f>_xlfn.XLOOKUP(E59,'All Products'!D:D,'All Products'!H:H,FALSE)</f>
        <v>16.73</v>
      </c>
      <c r="K59" s="173">
        <f>ROUND(J59*Order_Quote!$L$19,2)</f>
        <v>16.73</v>
      </c>
      <c r="L59" s="75"/>
      <c r="M59" s="113"/>
      <c r="N59" s="171">
        <f t="shared" si="2"/>
        <v>0</v>
      </c>
      <c r="P59" s="206" t="str">
        <f>_xlfn.XLOOKUP(E59,'All Products'!D:D,'All Products'!I:I,FALSE)</f>
        <v>Within 3 Weeks</v>
      </c>
      <c r="Q59" s="206" t="str">
        <f>_xlfn.XLOOKUP(E59,'All Products'!D:D,'All Products'!J:J,FALSE)</f>
        <v>Manufactured</v>
      </c>
      <c r="R59" s="518">
        <f>_xlfn.XLOOKUP(E59,'All Products'!D:D,'All Products'!K:K,FALSE)</f>
        <v>49081800758</v>
      </c>
      <c r="S59" s="518" t="str">
        <f>_xlfn.XLOOKUP(E59,'All Products'!D:D,'All Products'!L:L,FALSE)</f>
        <v>-</v>
      </c>
      <c r="T59" s="518" t="str">
        <f>_xlfn.XLOOKUP(E59,'All Products'!D:D,'All Products'!M:M,FALSE)</f>
        <v>-</v>
      </c>
      <c r="U59" s="206">
        <f>_xlfn.XLOOKUP(E59,'All Products'!D:D,'All Products'!N:N,FALSE)</f>
        <v>1.125</v>
      </c>
    </row>
    <row r="60" spans="1:21" ht="15" thickBot="1">
      <c r="A60" s="101" t="str">
        <f>IF(L60&gt;0,COUNT($A$8:A59)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60" s="696"/>
      <c r="C60" s="697"/>
      <c r="D60" s="103" t="str">
        <f>_xlfn.XLOOKUP(E60,'All Products'!D:D,'All Products'!C:C,FALSE)</f>
        <v>T104-T</v>
      </c>
      <c r="E60" s="461">
        <v>100025385</v>
      </c>
      <c r="F60" s="464" t="str">
        <f>_xlfn.XLOOKUP(E60,'All Products'!D:D,'All Products'!E:E,FALSE)</f>
        <v>10" RND LID, TELEPHONE BLK</v>
      </c>
      <c r="G60" s="138" t="s">
        <v>1564</v>
      </c>
      <c r="H60" s="207" t="s">
        <v>1707</v>
      </c>
      <c r="I60" s="103">
        <f>_xlfn.XLOOKUP(E60,'All Products'!D:D,'All Products'!G:G,FALSE)</f>
        <v>1</v>
      </c>
      <c r="J60" s="103">
        <f>_xlfn.XLOOKUP(E60,'All Products'!D:D,'All Products'!H:H,FALSE)</f>
        <v>16.73</v>
      </c>
      <c r="K60" s="181">
        <f>ROUND(J60*Order_Quote!$L$19,2)</f>
        <v>16.73</v>
      </c>
      <c r="L60" s="163"/>
      <c r="M60" s="113"/>
      <c r="N60" s="171">
        <f t="shared" si="2"/>
        <v>0</v>
      </c>
      <c r="P60" s="206" t="str">
        <f>_xlfn.XLOOKUP(E60,'All Products'!D:D,'All Products'!I:I,FALSE)</f>
        <v>Within 3 Weeks</v>
      </c>
      <c r="Q60" s="206" t="str">
        <f>_xlfn.XLOOKUP(E60,'All Products'!D:D,'All Products'!J:J,FALSE)</f>
        <v>Manufactured</v>
      </c>
      <c r="R60" s="518">
        <f>_xlfn.XLOOKUP(E60,'All Products'!D:D,'All Products'!K:K,FALSE)</f>
        <v>49081800888</v>
      </c>
      <c r="S60" s="518" t="str">
        <f>_xlfn.XLOOKUP(E60,'All Products'!D:D,'All Products'!L:L,FALSE)</f>
        <v>-</v>
      </c>
      <c r="T60" s="518" t="str">
        <f>_xlfn.XLOOKUP(E60,'All Products'!D:D,'All Products'!M:M,FALSE)</f>
        <v>-</v>
      </c>
      <c r="U60" s="206">
        <f>_xlfn.XLOOKUP(E60,'All Products'!D:D,'All Products'!N:N,FALSE)</f>
        <v>1.125</v>
      </c>
    </row>
    <row r="61" spans="1:21" ht="16.2" thickBot="1">
      <c r="A61" s="101" t="str">
        <f>IF(L61&gt;0,COUNT($A$8:A60)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61" s="446" t="s">
        <v>5784</v>
      </c>
      <c r="C61" s="151"/>
      <c r="D61" s="151"/>
      <c r="E61" s="459"/>
      <c r="F61" s="151"/>
      <c r="G61" s="151"/>
      <c r="H61" s="151"/>
      <c r="I61" s="468"/>
      <c r="J61" s="468"/>
      <c r="K61" s="192"/>
      <c r="L61" s="358"/>
      <c r="M61" s="17"/>
      <c r="N61" s="545"/>
      <c r="O61" s="17"/>
      <c r="P61" s="357"/>
      <c r="Q61" s="145"/>
      <c r="R61" s="493"/>
      <c r="S61" s="493"/>
      <c r="T61" s="493"/>
      <c r="U61" s="151"/>
    </row>
    <row r="62" spans="1:21">
      <c r="A62" s="101" t="str">
        <f>IF(L62&gt;0,COUNT($A$8:A61)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62" s="699"/>
      <c r="C62" s="700"/>
      <c r="D62" s="103" t="str">
        <f>_xlfn.XLOOKUP(E62,'All Products'!D:D,'All Products'!C:C,FALSE)</f>
        <v>B1201-R-DB</v>
      </c>
      <c r="E62" s="460">
        <v>100025309</v>
      </c>
      <c r="F62" s="464" t="str">
        <f>_xlfn.XLOOKUP(E62,'All Products'!D:D,'All Products'!E:E,FALSE)</f>
        <v>12" RND DRY BOX BODY GRN</v>
      </c>
      <c r="G62" s="137" t="s">
        <v>1637</v>
      </c>
      <c r="H62" s="204" t="s">
        <v>649</v>
      </c>
      <c r="I62" s="103">
        <f>_xlfn.XLOOKUP(E62,'All Products'!D:D,'All Products'!G:G,FALSE)</f>
        <v>1</v>
      </c>
      <c r="J62" s="103">
        <f>_xlfn.XLOOKUP(E62,'All Products'!D:D,'All Products'!H:H,FALSE)</f>
        <v>139.02000000000001</v>
      </c>
      <c r="K62" s="180">
        <f>ROUND(J62*Order_Quote!$L$19,2)</f>
        <v>139.02000000000001</v>
      </c>
      <c r="L62" s="165"/>
      <c r="M62" s="113"/>
      <c r="N62" s="171">
        <f>L62/I62</f>
        <v>0</v>
      </c>
      <c r="P62" s="206" t="str">
        <f>_xlfn.XLOOKUP(E62,'All Products'!D:D,'All Products'!I:I,FALSE)</f>
        <v>Within 3 Weeks</v>
      </c>
      <c r="Q62" s="206" t="str">
        <f>_xlfn.XLOOKUP(E62,'All Products'!D:D,'All Products'!J:J,FALSE)</f>
        <v>Manufactured</v>
      </c>
      <c r="R62" s="518">
        <f>_xlfn.XLOOKUP(E62,'All Products'!D:D,'All Products'!K:K,FALSE)</f>
        <v>49081808921</v>
      </c>
      <c r="S62" s="518" t="str">
        <f>_xlfn.XLOOKUP(E62,'All Products'!D:D,'All Products'!L:L,FALSE)</f>
        <v>-</v>
      </c>
      <c r="T62" s="518" t="str">
        <f>_xlfn.XLOOKUP(E62,'All Products'!D:D,'All Products'!M:M,FALSE)</f>
        <v>-</v>
      </c>
      <c r="U62" s="206">
        <f>_xlfn.XLOOKUP(E62,'All Products'!D:D,'All Products'!N:N,FALSE)</f>
        <v>4.0750000000000002</v>
      </c>
    </row>
    <row r="63" spans="1:21">
      <c r="A63" s="101" t="str">
        <f>IF(L63&gt;0,COUNT($A$8:A62)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63" s="701"/>
      <c r="C63" s="702"/>
      <c r="D63" s="103" t="str">
        <f>_xlfn.XLOOKUP(E63,'All Products'!D:D,'All Products'!C:C,FALSE)</f>
        <v>B1203-R-DB</v>
      </c>
      <c r="E63" s="233">
        <v>100025311</v>
      </c>
      <c r="F63" s="464" t="str">
        <f>_xlfn.XLOOKUP(E63,'All Products'!D:D,'All Products'!E:E,FALSE)</f>
        <v>12" RND DRY BOX BODY PURPLE</v>
      </c>
      <c r="G63" s="103" t="s">
        <v>1576</v>
      </c>
      <c r="H63" s="206" t="s">
        <v>649</v>
      </c>
      <c r="I63" s="103">
        <f>_xlfn.XLOOKUP(E63,'All Products'!D:D,'All Products'!G:G,FALSE)</f>
        <v>1</v>
      </c>
      <c r="J63" s="103">
        <f>_xlfn.XLOOKUP(E63,'All Products'!D:D,'All Products'!H:H,FALSE)</f>
        <v>139.02000000000001</v>
      </c>
      <c r="K63" s="173">
        <f>ROUND(J63*Order_Quote!$L$19,2)</f>
        <v>139.02000000000001</v>
      </c>
      <c r="L63" s="75"/>
      <c r="M63" s="113"/>
      <c r="N63" s="171">
        <f t="shared" ref="N63:N64" si="3">L63/I63</f>
        <v>0</v>
      </c>
      <c r="P63" s="206" t="str">
        <f>_xlfn.XLOOKUP(E63,'All Products'!D:D,'All Products'!I:I,FALSE)</f>
        <v>Within 3 Weeks</v>
      </c>
      <c r="Q63" s="206" t="str">
        <f>_xlfn.XLOOKUP(E63,'All Products'!D:D,'All Products'!J:J,FALSE)</f>
        <v>Manufactured</v>
      </c>
      <c r="R63" s="518">
        <f>_xlfn.XLOOKUP(E63,'All Products'!D:D,'All Products'!K:K,FALSE)</f>
        <v>49081808945</v>
      </c>
      <c r="S63" s="518" t="str">
        <f>_xlfn.XLOOKUP(E63,'All Products'!D:D,'All Products'!L:L,FALSE)</f>
        <v>-</v>
      </c>
      <c r="T63" s="518" t="str">
        <f>_xlfn.XLOOKUP(E63,'All Products'!D:D,'All Products'!M:M,FALSE)</f>
        <v>-</v>
      </c>
      <c r="U63" s="206">
        <f>_xlfn.XLOOKUP(E63,'All Products'!D:D,'All Products'!N:N,FALSE)</f>
        <v>4.0750000000000002</v>
      </c>
    </row>
    <row r="64" spans="1:21" ht="15" thickBot="1">
      <c r="A64" s="101" t="str">
        <f>IF(L64&gt;0,COUNT($A$8:A63)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64" s="701"/>
      <c r="C64" s="702"/>
      <c r="D64" s="103" t="str">
        <f>_xlfn.XLOOKUP(E64,'All Products'!D:D,'All Products'!C:C,FALSE)</f>
        <v>B1204-R-DB</v>
      </c>
      <c r="E64" s="233">
        <v>100025569</v>
      </c>
      <c r="F64" s="464" t="str">
        <f>_xlfn.XLOOKUP(E64,'All Products'!D:D,'All Products'!E:E,FALSE)</f>
        <v>12" RND DRY BOX BODY BLK</v>
      </c>
      <c r="G64" s="103" t="s">
        <v>1564</v>
      </c>
      <c r="H64" s="206" t="s">
        <v>649</v>
      </c>
      <c r="I64" s="103">
        <f>_xlfn.XLOOKUP(E64,'All Products'!D:D,'All Products'!G:G,FALSE)</f>
        <v>1</v>
      </c>
      <c r="J64" s="103">
        <f>_xlfn.XLOOKUP(E64,'All Products'!D:D,'All Products'!H:H,FALSE)</f>
        <v>139.02000000000001</v>
      </c>
      <c r="K64" s="173">
        <f>ROUND(J64*Order_Quote!$L$19,2)</f>
        <v>139.02000000000001</v>
      </c>
      <c r="L64" s="75"/>
      <c r="M64" s="113"/>
      <c r="N64" s="171">
        <f t="shared" si="3"/>
        <v>0</v>
      </c>
      <c r="P64" s="206" t="str">
        <f>_xlfn.XLOOKUP(E64,'All Products'!D:D,'All Products'!I:I,FALSE)</f>
        <v>Within 3 Weeks</v>
      </c>
      <c r="Q64" s="206" t="str">
        <f>_xlfn.XLOOKUP(E64,'All Products'!D:D,'All Products'!J:J,FALSE)</f>
        <v>Manufactured</v>
      </c>
      <c r="R64" s="518">
        <f>_xlfn.XLOOKUP(E64,'All Products'!D:D,'All Products'!K:K,FALSE)</f>
        <v>49081808952</v>
      </c>
      <c r="S64" s="518" t="str">
        <f>_xlfn.XLOOKUP(E64,'All Products'!D:D,'All Products'!L:L,FALSE)</f>
        <v>-</v>
      </c>
      <c r="T64" s="518" t="str">
        <f>_xlfn.XLOOKUP(E64,'All Products'!D:D,'All Products'!M:M,FALSE)</f>
        <v>-</v>
      </c>
      <c r="U64" s="206">
        <f>_xlfn.XLOOKUP(E64,'All Products'!D:D,'All Products'!N:N,FALSE)</f>
        <v>4.0750000000000002</v>
      </c>
    </row>
    <row r="65" spans="1:21" ht="16.2" thickBot="1">
      <c r="A65" s="101" t="str">
        <f>IF(L65&gt;0,COUNT($A$8:A64)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65" s="446" t="s">
        <v>5785</v>
      </c>
      <c r="C65" s="151"/>
      <c r="D65" s="151"/>
      <c r="E65" s="459"/>
      <c r="F65" s="151"/>
      <c r="G65" s="151"/>
      <c r="H65" s="151"/>
      <c r="I65" s="468"/>
      <c r="J65" s="468"/>
      <c r="K65" s="192"/>
      <c r="L65" s="358"/>
      <c r="M65" s="17"/>
      <c r="N65" s="545"/>
      <c r="O65" s="17"/>
      <c r="P65" s="357"/>
      <c r="Q65" s="145"/>
      <c r="R65" s="493"/>
      <c r="S65" s="493"/>
      <c r="T65" s="493"/>
      <c r="U65" s="151"/>
    </row>
    <row r="66" spans="1:21">
      <c r="A66" s="101" t="str">
        <f>IF(L66&gt;0,COUNT($A$8:A65)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66" s="701"/>
      <c r="C66" s="702"/>
      <c r="D66" s="103" t="str">
        <f>_xlfn.XLOOKUP(E66,'All Products'!D:D,'All Products'!C:C,FALSE)</f>
        <v>T1201-R-DB</v>
      </c>
      <c r="E66" s="233">
        <v>100025395</v>
      </c>
      <c r="F66" s="464" t="str">
        <f>_xlfn.XLOOKUP(E66,'All Products'!D:D,'All Products'!E:E,FALSE)</f>
        <v>12" RND DRY BOX LID GRN</v>
      </c>
      <c r="G66" s="103" t="s">
        <v>1637</v>
      </c>
      <c r="H66" s="206" t="s">
        <v>1638</v>
      </c>
      <c r="I66" s="103">
        <f>_xlfn.XLOOKUP(E66,'All Products'!D:D,'All Products'!G:G,FALSE)</f>
        <v>1</v>
      </c>
      <c r="J66" s="103">
        <f>_xlfn.XLOOKUP(E66,'All Products'!D:D,'All Products'!H:H,FALSE)</f>
        <v>57.96</v>
      </c>
      <c r="K66" s="173">
        <f>ROUND(J66*Order_Quote!$L$19,2)</f>
        <v>57.96</v>
      </c>
      <c r="L66" s="75"/>
      <c r="M66" s="113"/>
      <c r="N66" s="171">
        <f>L66/I66</f>
        <v>0</v>
      </c>
      <c r="P66" s="206" t="str">
        <f>_xlfn.XLOOKUP(E66,'All Products'!D:D,'All Products'!I:I,FALSE)</f>
        <v>In Stock</v>
      </c>
      <c r="Q66" s="206" t="str">
        <f>_xlfn.XLOOKUP(E66,'All Products'!D:D,'All Products'!J:J,FALSE)</f>
        <v>Manufactured</v>
      </c>
      <c r="R66" s="518">
        <f>_xlfn.XLOOKUP(E66,'All Products'!D:D,'All Products'!K:K,FALSE)</f>
        <v>49081809027</v>
      </c>
      <c r="S66" s="518" t="str">
        <f>_xlfn.XLOOKUP(E66,'All Products'!D:D,'All Products'!L:L,FALSE)</f>
        <v>-</v>
      </c>
      <c r="T66" s="518" t="str">
        <f>_xlfn.XLOOKUP(E66,'All Products'!D:D,'All Products'!M:M,FALSE)</f>
        <v>-</v>
      </c>
      <c r="U66" s="206">
        <f>_xlfn.XLOOKUP(E66,'All Products'!D:D,'All Products'!N:N,FALSE)</f>
        <v>1.2050000000000001</v>
      </c>
    </row>
    <row r="67" spans="1:21">
      <c r="A67" s="101" t="str">
        <f>IF(L67&gt;0,COUNT($A$8:A66)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67" s="701"/>
      <c r="C67" s="702"/>
      <c r="D67" s="103" t="str">
        <f>_xlfn.XLOOKUP(E67,'All Products'!D:D,'All Products'!C:C,FALSE)</f>
        <v>T1202-R-DB</v>
      </c>
      <c r="E67" s="233">
        <v>100025398</v>
      </c>
      <c r="F67" s="464" t="str">
        <f>_xlfn.XLOOKUP(E67,'All Products'!D:D,'All Products'!E:E,FALSE)</f>
        <v>12" RND DRY BOX LID TAN</v>
      </c>
      <c r="G67" s="103" t="s">
        <v>1641</v>
      </c>
      <c r="H67" s="206" t="s">
        <v>1638</v>
      </c>
      <c r="I67" s="103">
        <f>_xlfn.XLOOKUP(E67,'All Products'!D:D,'All Products'!G:G,FALSE)</f>
        <v>1</v>
      </c>
      <c r="J67" s="103">
        <f>_xlfn.XLOOKUP(E67,'All Products'!D:D,'All Products'!H:H,FALSE)</f>
        <v>57.96</v>
      </c>
      <c r="K67" s="173">
        <f>ROUND(J67*Order_Quote!$L$19,2)</f>
        <v>57.96</v>
      </c>
      <c r="L67" s="75"/>
      <c r="M67" s="113"/>
      <c r="N67" s="171">
        <f>L67/I67</f>
        <v>0</v>
      </c>
      <c r="P67" s="206" t="str">
        <f>_xlfn.XLOOKUP(E67,'All Products'!D:D,'All Products'!I:I,FALSE)</f>
        <v>Within 3 Weeks</v>
      </c>
      <c r="Q67" s="206" t="str">
        <f>_xlfn.XLOOKUP(E67,'All Products'!D:D,'All Products'!J:J,FALSE)</f>
        <v>Manufactured</v>
      </c>
      <c r="R67" s="518">
        <f>_xlfn.XLOOKUP(E67,'All Products'!D:D,'All Products'!K:K,FALSE)</f>
        <v>49081809041</v>
      </c>
      <c r="S67" s="518" t="str">
        <f>_xlfn.XLOOKUP(E67,'All Products'!D:D,'All Products'!L:L,FALSE)</f>
        <v>-</v>
      </c>
      <c r="T67" s="518" t="str">
        <f>_xlfn.XLOOKUP(E67,'All Products'!D:D,'All Products'!M:M,FALSE)</f>
        <v>-</v>
      </c>
      <c r="U67" s="206">
        <f>_xlfn.XLOOKUP(E67,'All Products'!D:D,'All Products'!N:N,FALSE)</f>
        <v>1.2050000000000001</v>
      </c>
    </row>
    <row r="68" spans="1:21">
      <c r="A68" s="101" t="str">
        <f>IF(L68&gt;0,COUNT($A$8:A67)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68" s="701"/>
      <c r="C68" s="702"/>
      <c r="D68" s="103" t="str">
        <f>_xlfn.XLOOKUP(E68,'All Products'!D:D,'All Products'!C:C,FALSE)</f>
        <v>T1204-R-DB</v>
      </c>
      <c r="E68" s="233">
        <v>100025401</v>
      </c>
      <c r="F68" s="464" t="str">
        <f>_xlfn.XLOOKUP(E68,'All Products'!D:D,'All Products'!E:E,FALSE)</f>
        <v>12" RND DRY BOX LID BLK</v>
      </c>
      <c r="G68" s="103" t="s">
        <v>1564</v>
      </c>
      <c r="H68" s="206" t="s">
        <v>1638</v>
      </c>
      <c r="I68" s="103">
        <f>_xlfn.XLOOKUP(E68,'All Products'!D:D,'All Products'!G:G,FALSE)</f>
        <v>1</v>
      </c>
      <c r="J68" s="103">
        <f>_xlfn.XLOOKUP(E68,'All Products'!D:D,'All Products'!H:H,FALSE)</f>
        <v>57.96</v>
      </c>
      <c r="K68" s="173">
        <f>ROUND(J68*Order_Quote!$L$19,2)</f>
        <v>57.96</v>
      </c>
      <c r="L68" s="75"/>
      <c r="M68" s="113"/>
      <c r="N68" s="171">
        <f>L68/I68</f>
        <v>0</v>
      </c>
      <c r="P68" s="206" t="str">
        <f>_xlfn.XLOOKUP(E68,'All Products'!D:D,'All Products'!I:I,FALSE)</f>
        <v>Within 3 Weeks</v>
      </c>
      <c r="Q68" s="206" t="str">
        <f>_xlfn.XLOOKUP(E68,'All Products'!D:D,'All Products'!J:J,FALSE)</f>
        <v>Manufactured</v>
      </c>
      <c r="R68" s="518">
        <f>_xlfn.XLOOKUP(E68,'All Products'!D:D,'All Products'!K:K,FALSE)</f>
        <v>49081809065</v>
      </c>
      <c r="S68" s="518" t="str">
        <f>_xlfn.XLOOKUP(E68,'All Products'!D:D,'All Products'!L:L,FALSE)</f>
        <v>-</v>
      </c>
      <c r="T68" s="518" t="str">
        <f>_xlfn.XLOOKUP(E68,'All Products'!D:D,'All Products'!M:M,FALSE)</f>
        <v>-</v>
      </c>
      <c r="U68" s="206">
        <f>_xlfn.XLOOKUP(E68,'All Products'!D:D,'All Products'!N:N,FALSE)</f>
        <v>1.2050000000000001</v>
      </c>
    </row>
    <row r="69" spans="1:21">
      <c r="A69" s="101" t="str">
        <f>IF(L69&gt;0,COUNT($A$8:A68)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69" s="701"/>
      <c r="C69" s="702"/>
      <c r="D69" s="103" t="str">
        <f>_xlfn.XLOOKUP(E69,'All Products'!D:D,'All Products'!C:C,FALSE)</f>
        <v>T1203-R-DB</v>
      </c>
      <c r="E69" s="233">
        <v>100025400</v>
      </c>
      <c r="F69" s="464" t="str">
        <f>_xlfn.XLOOKUP(E69,'All Products'!D:D,'All Products'!E:E,FALSE)</f>
        <v>12" RND DRY BOX LID PURPLE</v>
      </c>
      <c r="G69" s="103" t="s">
        <v>1576</v>
      </c>
      <c r="H69" s="206" t="s">
        <v>1644</v>
      </c>
      <c r="I69" s="103">
        <f>_xlfn.XLOOKUP(E69,'All Products'!D:D,'All Products'!G:G,FALSE)</f>
        <v>1</v>
      </c>
      <c r="J69" s="103">
        <f>_xlfn.XLOOKUP(E69,'All Products'!D:D,'All Products'!H:H,FALSE)</f>
        <v>57.96</v>
      </c>
      <c r="K69" s="173">
        <f>ROUND(J69*Order_Quote!$L$19,2)</f>
        <v>57.96</v>
      </c>
      <c r="L69" s="75"/>
      <c r="M69" s="113"/>
      <c r="N69" s="171">
        <f>L69/I69</f>
        <v>0</v>
      </c>
      <c r="P69" s="206" t="str">
        <f>_xlfn.XLOOKUP(E69,'All Products'!D:D,'All Products'!I:I,FALSE)</f>
        <v>Within 3 Weeks</v>
      </c>
      <c r="Q69" s="206" t="str">
        <f>_xlfn.XLOOKUP(E69,'All Products'!D:D,'All Products'!J:J,FALSE)</f>
        <v>Manufactured</v>
      </c>
      <c r="R69" s="518">
        <f>_xlfn.XLOOKUP(E69,'All Products'!D:D,'All Products'!K:K,FALSE)</f>
        <v>49081809058</v>
      </c>
      <c r="S69" s="518" t="str">
        <f>_xlfn.XLOOKUP(E69,'All Products'!D:D,'All Products'!L:L,FALSE)</f>
        <v>-</v>
      </c>
      <c r="T69" s="518" t="str">
        <f>_xlfn.XLOOKUP(E69,'All Products'!D:D,'All Products'!M:M,FALSE)</f>
        <v>-</v>
      </c>
      <c r="U69" s="206">
        <f>_xlfn.XLOOKUP(E69,'All Products'!D:D,'All Products'!N:N,FALSE)</f>
        <v>1.2050000000000001</v>
      </c>
    </row>
    <row r="70" spans="1:21" ht="15" thickBot="1">
      <c r="A70" s="101" t="str">
        <f>IF(L70&gt;0,COUNT($A$8:A69)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70" s="703"/>
      <c r="C70" s="704"/>
      <c r="D70" s="103" t="str">
        <f>_xlfn.XLOOKUP(E70,'All Products'!D:D,'All Products'!C:C,FALSE)</f>
        <v>T1201-R-DB-E</v>
      </c>
      <c r="E70" s="461">
        <v>100025396</v>
      </c>
      <c r="F70" s="464" t="str">
        <f>_xlfn.XLOOKUP(E70,'All Products'!D:D,'All Products'!E:E,FALSE)</f>
        <v>12" RND DRY BOX ELECT LID GRN</v>
      </c>
      <c r="G70" s="138" t="s">
        <v>1637</v>
      </c>
      <c r="H70" s="207" t="s">
        <v>1719</v>
      </c>
      <c r="I70" s="103">
        <f>_xlfn.XLOOKUP(E70,'All Products'!D:D,'All Products'!G:G,FALSE)</f>
        <v>1</v>
      </c>
      <c r="J70" s="103">
        <f>_xlfn.XLOOKUP(E70,'All Products'!D:D,'All Products'!H:H,FALSE)</f>
        <v>57.96</v>
      </c>
      <c r="K70" s="181">
        <f>ROUND(J70*Order_Quote!$L$19,2)</f>
        <v>57.96</v>
      </c>
      <c r="L70" s="163"/>
      <c r="M70" s="113"/>
      <c r="N70" s="171">
        <f>L70/I70</f>
        <v>0</v>
      </c>
      <c r="P70" s="206" t="str">
        <f>_xlfn.XLOOKUP(E70,'All Products'!D:D,'All Products'!I:I,FALSE)</f>
        <v>Within 3 Weeks</v>
      </c>
      <c r="Q70" s="206" t="str">
        <f>_xlfn.XLOOKUP(E70,'All Products'!D:D,'All Products'!J:J,FALSE)</f>
        <v>Manufactured</v>
      </c>
      <c r="R70" s="518">
        <f>_xlfn.XLOOKUP(E70,'All Products'!D:D,'All Products'!K:K,FALSE)</f>
        <v>49081809034</v>
      </c>
      <c r="S70" s="518" t="str">
        <f>_xlfn.XLOOKUP(E70,'All Products'!D:D,'All Products'!L:L,FALSE)</f>
        <v>-</v>
      </c>
      <c r="T70" s="518" t="str">
        <f>_xlfn.XLOOKUP(E70,'All Products'!D:D,'All Products'!M:M,FALSE)</f>
        <v>-</v>
      </c>
      <c r="U70" s="206">
        <f>_xlfn.XLOOKUP(E70,'All Products'!D:D,'All Products'!N:N,FALSE)</f>
        <v>1.2050000000000001</v>
      </c>
    </row>
    <row r="71" spans="1:21" ht="16.2" thickBot="1">
      <c r="A71" s="101" t="str">
        <f>IF(L71&gt;0,COUNT($A$8:A70)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71" s="446" t="s">
        <v>5786</v>
      </c>
      <c r="C71" s="151"/>
      <c r="D71" s="151"/>
      <c r="E71" s="459"/>
      <c r="F71" s="151"/>
      <c r="G71" s="151"/>
      <c r="H71" s="151"/>
      <c r="I71" s="468"/>
      <c r="J71" s="468"/>
      <c r="K71" s="192"/>
      <c r="L71" s="358"/>
      <c r="M71" s="17"/>
      <c r="N71" s="545"/>
      <c r="O71" s="17"/>
      <c r="P71" s="357"/>
      <c r="Q71" s="145"/>
      <c r="R71" s="493"/>
      <c r="S71" s="493"/>
      <c r="T71" s="493"/>
      <c r="U71" s="358"/>
    </row>
    <row r="72" spans="1:21" ht="36.75" customHeight="1">
      <c r="A72" s="101" t="str">
        <f>IF(L72&gt;0,COUNT($A$8:A71)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72" s="705"/>
      <c r="C72" s="706"/>
      <c r="D72" s="153" t="str">
        <f>_xlfn.XLOOKUP(E72,'All Products'!D:D,'All Products'!C:C,FALSE)</f>
        <v>B121-6</v>
      </c>
      <c r="E72" s="550">
        <v>100025571</v>
      </c>
      <c r="F72" s="551" t="str">
        <f>_xlfn.XLOOKUP(E72,'All Products'!D:D,'All Products'!E:E,FALSE)</f>
        <v>12X17X6 RCT VLV BOX GRN</v>
      </c>
      <c r="G72" s="153" t="s">
        <v>1637</v>
      </c>
      <c r="H72" s="543" t="s">
        <v>649</v>
      </c>
      <c r="I72" s="153">
        <f>_xlfn.XLOOKUP(E72,'All Products'!D:D,'All Products'!G:G,FALSE)</f>
        <v>98</v>
      </c>
      <c r="J72" s="153">
        <f>_xlfn.XLOOKUP(E72,'All Products'!D:D,'All Products'!H:H,FALSE)</f>
        <v>50.98</v>
      </c>
      <c r="K72" s="255">
        <f>ROUND(J72*Order_Quote!$L$19,2)</f>
        <v>50.98</v>
      </c>
      <c r="L72" s="161"/>
      <c r="M72" s="113"/>
      <c r="N72" s="171">
        <f>L72/I72</f>
        <v>0</v>
      </c>
      <c r="P72" s="543" t="str">
        <f>_xlfn.XLOOKUP(E72,'All Products'!D:D,'All Products'!I:I,FALSE)</f>
        <v>In Stock</v>
      </c>
      <c r="Q72" s="543" t="str">
        <f>_xlfn.XLOOKUP(E72,'All Products'!D:D,'All Products'!J:J,FALSE)</f>
        <v>Manufactured</v>
      </c>
      <c r="R72" s="548">
        <f>_xlfn.XLOOKUP(E72,'All Products'!D:D,'All Products'!K:K,FALSE)</f>
        <v>49081800208</v>
      </c>
      <c r="S72" s="548" t="str">
        <f>_xlfn.XLOOKUP(E72,'All Products'!D:D,'All Products'!L:L,FALSE)</f>
        <v>-</v>
      </c>
      <c r="T72" s="548" t="str">
        <f>_xlfn.XLOOKUP(E72,'All Products'!D:D,'All Products'!M:M,FALSE)</f>
        <v>-</v>
      </c>
      <c r="U72" s="543">
        <f>_xlfn.XLOOKUP(E72,'All Products'!D:D,'All Products'!N:N,FALSE)</f>
        <v>3.83</v>
      </c>
    </row>
    <row r="73" spans="1:21" ht="36.75" customHeight="1" thickBot="1">
      <c r="A73" s="101" t="str">
        <f>IF(L73&gt;0,COUNT($A$8:A72)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73" s="707"/>
      <c r="C73" s="685"/>
      <c r="D73" s="103" t="str">
        <f>_xlfn.XLOOKUP(E73,'All Products'!D:D,'All Products'!C:C,FALSE)</f>
        <v>B123-6</v>
      </c>
      <c r="E73" s="233">
        <v>100025318</v>
      </c>
      <c r="F73" s="464" t="str">
        <f>_xlfn.XLOOKUP(E73,'All Products'!D:D,'All Products'!E:E,FALSE)</f>
        <v>12X17X6 RCT VLV BOX PRP</v>
      </c>
      <c r="G73" s="103" t="s">
        <v>1576</v>
      </c>
      <c r="H73" s="206" t="s">
        <v>649</v>
      </c>
      <c r="I73" s="103">
        <f>_xlfn.XLOOKUP(E73,'All Products'!D:D,'All Products'!G:G,FALSE)</f>
        <v>98</v>
      </c>
      <c r="J73" s="103">
        <f>_xlfn.XLOOKUP(E73,'All Products'!D:D,'All Products'!H:H,FALSE)</f>
        <v>50.98</v>
      </c>
      <c r="K73" s="173">
        <f>ROUND(J73*Order_Quote!$L$19,2)</f>
        <v>50.98</v>
      </c>
      <c r="L73" s="75"/>
      <c r="M73" s="113"/>
      <c r="N73" s="171">
        <f>L73/I73</f>
        <v>0</v>
      </c>
      <c r="P73" s="206" t="str">
        <f>_xlfn.XLOOKUP(E73,'All Products'!D:D,'All Products'!I:I,FALSE)</f>
        <v>Within 3 Weeks</v>
      </c>
      <c r="Q73" s="206" t="str">
        <f>_xlfn.XLOOKUP(E73,'All Products'!D:D,'All Products'!J:J,FALSE)</f>
        <v>Manufactured</v>
      </c>
      <c r="R73" s="518">
        <f>_xlfn.XLOOKUP(E73,'All Products'!D:D,'All Products'!K:K,FALSE)</f>
        <v>49081800222</v>
      </c>
      <c r="S73" s="518" t="str">
        <f>_xlfn.XLOOKUP(E73,'All Products'!D:D,'All Products'!L:L,FALSE)</f>
        <v>-</v>
      </c>
      <c r="T73" s="518" t="str">
        <f>_xlfn.XLOOKUP(E73,'All Products'!D:D,'All Products'!M:M,FALSE)</f>
        <v>-</v>
      </c>
      <c r="U73" s="206">
        <f>_xlfn.XLOOKUP(E73,'All Products'!D:D,'All Products'!N:N,FALSE)</f>
        <v>3.83</v>
      </c>
    </row>
    <row r="74" spans="1:21" ht="16.2" thickBot="1">
      <c r="A74" s="101" t="str">
        <f>IF(L74&gt;0,COUNT($A$8:A73)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74" s="446" t="s">
        <v>5787</v>
      </c>
      <c r="C74" s="151"/>
      <c r="D74" s="151"/>
      <c r="E74" s="459"/>
      <c r="F74" s="151"/>
      <c r="G74" s="151"/>
      <c r="H74" s="151"/>
      <c r="I74" s="468"/>
      <c r="J74" s="468"/>
      <c r="K74" s="192"/>
      <c r="L74" s="358"/>
      <c r="M74" s="17"/>
      <c r="N74" s="545"/>
      <c r="O74" s="17"/>
      <c r="P74" s="357"/>
      <c r="Q74" s="145"/>
      <c r="R74" s="493"/>
      <c r="S74" s="493"/>
      <c r="T74" s="493"/>
      <c r="U74" s="151"/>
    </row>
    <row r="75" spans="1:21" ht="33" customHeight="1">
      <c r="A75" s="101" t="str">
        <f>IF(L75&gt;0,COUNT($A$8:A74)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75" s="695"/>
      <c r="C75" s="611"/>
      <c r="D75" s="103" t="str">
        <f>_xlfn.XLOOKUP(E75,'All Products'!D:D,'All Products'!C:C,FALSE)</f>
        <v>B123</v>
      </c>
      <c r="E75" s="233">
        <v>100025317</v>
      </c>
      <c r="F75" s="464" t="str">
        <f>_xlfn.XLOOKUP(E75,'All Products'!D:D,'All Products'!E:E,FALSE)</f>
        <v>12X17X12 RCT VLV BOX PRP</v>
      </c>
      <c r="G75" s="103" t="s">
        <v>1576</v>
      </c>
      <c r="H75" s="206" t="s">
        <v>649</v>
      </c>
      <c r="I75" s="103">
        <f>_xlfn.XLOOKUP(E75,'All Products'!D:D,'All Products'!G:G,FALSE)</f>
        <v>72</v>
      </c>
      <c r="J75" s="103">
        <f>_xlfn.XLOOKUP(E75,'All Products'!D:D,'All Products'!H:H,FALSE)</f>
        <v>60.58</v>
      </c>
      <c r="K75" s="173">
        <f>ROUND(J75*Order_Quote!$L$19,2)</f>
        <v>60.58</v>
      </c>
      <c r="L75" s="75"/>
      <c r="M75" s="113"/>
      <c r="N75" s="171">
        <f>L75/I75</f>
        <v>0</v>
      </c>
      <c r="P75" s="206" t="str">
        <f>_xlfn.XLOOKUP(E75,'All Products'!D:D,'All Products'!I:I,FALSE)</f>
        <v>Within 3 Weeks</v>
      </c>
      <c r="Q75" s="206" t="str">
        <f>_xlfn.XLOOKUP(E75,'All Products'!D:D,'All Products'!J:J,FALSE)</f>
        <v>Manufactured</v>
      </c>
      <c r="R75" s="518">
        <f>_xlfn.XLOOKUP(E75,'All Products'!D:D,'All Products'!K:K,FALSE)</f>
        <v>49081800178</v>
      </c>
      <c r="S75" s="518" t="str">
        <f>_xlfn.XLOOKUP(E75,'All Products'!D:D,'All Products'!L:L,FALSE)</f>
        <v>-</v>
      </c>
      <c r="T75" s="518" t="str">
        <f>_xlfn.XLOOKUP(E75,'All Products'!D:D,'All Products'!M:M,FALSE)</f>
        <v>-</v>
      </c>
      <c r="U75" s="206">
        <f>_xlfn.XLOOKUP(E75,'All Products'!D:D,'All Products'!N:N,FALSE)</f>
        <v>6.3150000000000004</v>
      </c>
    </row>
    <row r="76" spans="1:21" ht="33" customHeight="1" thickBot="1">
      <c r="A76" s="101" t="str">
        <f>IF(L76&gt;0,COUNT($A$8:A75)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76" s="696"/>
      <c r="C76" s="697"/>
      <c r="D76" s="103" t="str">
        <f>_xlfn.XLOOKUP(E76,'All Products'!D:D,'All Products'!C:C,FALSE)</f>
        <v>B124</v>
      </c>
      <c r="E76" s="461">
        <v>100025575</v>
      </c>
      <c r="F76" s="464" t="str">
        <f>_xlfn.XLOOKUP(E76,'All Products'!D:D,'All Products'!E:E,FALSE)</f>
        <v>12X17X12 RCT VLV BOX BLK</v>
      </c>
      <c r="G76" s="138" t="s">
        <v>1564</v>
      </c>
      <c r="H76" s="207" t="s">
        <v>649</v>
      </c>
      <c r="I76" s="103">
        <f>_xlfn.XLOOKUP(E76,'All Products'!D:D,'All Products'!G:G,FALSE)</f>
        <v>72</v>
      </c>
      <c r="J76" s="103">
        <f>_xlfn.XLOOKUP(E76,'All Products'!D:D,'All Products'!H:H,FALSE)</f>
        <v>60.58</v>
      </c>
      <c r="K76" s="181">
        <f>ROUND(J76*Order_Quote!$L$19,2)</f>
        <v>60.58</v>
      </c>
      <c r="L76" s="163"/>
      <c r="M76" s="113"/>
      <c r="N76" s="171">
        <f>L76/I76</f>
        <v>0</v>
      </c>
      <c r="P76" s="206" t="str">
        <f>_xlfn.XLOOKUP(E76,'All Products'!D:D,'All Products'!I:I,FALSE)</f>
        <v>In Stock</v>
      </c>
      <c r="Q76" s="206" t="str">
        <f>_xlfn.XLOOKUP(E76,'All Products'!D:D,'All Products'!J:J,FALSE)</f>
        <v>Manufactured</v>
      </c>
      <c r="R76" s="518">
        <f>_xlfn.XLOOKUP(E76,'All Products'!D:D,'All Products'!K:K,FALSE)</f>
        <v>49081800185</v>
      </c>
      <c r="S76" s="518" t="str">
        <f>_xlfn.XLOOKUP(E76,'All Products'!D:D,'All Products'!L:L,FALSE)</f>
        <v>-</v>
      </c>
      <c r="T76" s="518" t="str">
        <f>_xlfn.XLOOKUP(E76,'All Products'!D:D,'All Products'!M:M,FALSE)</f>
        <v>-</v>
      </c>
      <c r="U76" s="206">
        <f>_xlfn.XLOOKUP(E76,'All Products'!D:D,'All Products'!N:N,FALSE)</f>
        <v>6.3150000000000004</v>
      </c>
    </row>
    <row r="77" spans="1:21" ht="16.2" thickBot="1">
      <c r="A77" s="101" t="str">
        <f>IF(L77&gt;0,COUNT($A$8:A76)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77" s="446" t="s">
        <v>5788</v>
      </c>
      <c r="C77" s="151"/>
      <c r="D77" s="151"/>
      <c r="E77" s="459"/>
      <c r="F77" s="151"/>
      <c r="G77" s="151"/>
      <c r="H77" s="151"/>
      <c r="I77" s="468"/>
      <c r="J77" s="468"/>
      <c r="K77" s="192"/>
      <c r="L77" s="358"/>
      <c r="M77" s="17"/>
      <c r="N77" s="545"/>
      <c r="O77" s="17"/>
      <c r="P77" s="357"/>
      <c r="Q77" s="145"/>
      <c r="R77" s="493"/>
      <c r="S77" s="493"/>
      <c r="T77" s="493"/>
      <c r="U77" s="151"/>
    </row>
    <row r="78" spans="1:21">
      <c r="A78" s="101" t="str">
        <f>IF(L78&gt;0,COUNT($A$8:A77)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78" s="699"/>
      <c r="C78" s="700"/>
      <c r="D78" s="103" t="str">
        <f>_xlfn.XLOOKUP(E78,'All Products'!D:D,'All Products'!C:C,FALSE)</f>
        <v>B121-X</v>
      </c>
      <c r="E78" s="460">
        <v>100025573</v>
      </c>
      <c r="F78" s="464" t="str">
        <f>_xlfn.XLOOKUP(E78,'All Products'!D:D,'All Products'!E:E,FALSE)</f>
        <v>12X17X6 RCT VLV EXT BOX GRN</v>
      </c>
      <c r="G78" s="137" t="s">
        <v>1637</v>
      </c>
      <c r="H78" s="204" t="s">
        <v>649</v>
      </c>
      <c r="I78" s="103">
        <f>_xlfn.XLOOKUP(E78,'All Products'!D:D,'All Products'!G:G,FALSE)</f>
        <v>49</v>
      </c>
      <c r="J78" s="103">
        <f>_xlfn.XLOOKUP(E78,'All Products'!D:D,'All Products'!H:H,FALSE)</f>
        <v>73.31</v>
      </c>
      <c r="K78" s="180">
        <f>ROUND(J78*Order_Quote!$L$19,2)</f>
        <v>73.31</v>
      </c>
      <c r="L78" s="165"/>
      <c r="M78" s="113"/>
      <c r="N78" s="171">
        <f>L78/I78</f>
        <v>0</v>
      </c>
      <c r="P78" s="206" t="str">
        <f>_xlfn.XLOOKUP(E78,'All Products'!D:D,'All Products'!I:I,FALSE)</f>
        <v>In Stock</v>
      </c>
      <c r="Q78" s="206" t="str">
        <f>_xlfn.XLOOKUP(E78,'All Products'!D:D,'All Products'!J:J,FALSE)</f>
        <v>Manufactured</v>
      </c>
      <c r="R78" s="518">
        <f>_xlfn.XLOOKUP(E78,'All Products'!D:D,'All Products'!K:K,FALSE)</f>
        <v>49081800253</v>
      </c>
      <c r="S78" s="518" t="str">
        <f>_xlfn.XLOOKUP(E78,'All Products'!D:D,'All Products'!L:L,FALSE)</f>
        <v>-</v>
      </c>
      <c r="T78" s="518" t="str">
        <f>_xlfn.XLOOKUP(E78,'All Products'!D:D,'All Products'!M:M,FALSE)</f>
        <v>-</v>
      </c>
      <c r="U78" s="206">
        <f>_xlfn.XLOOKUP(E78,'All Products'!D:D,'All Products'!N:N,FALSE)</f>
        <v>3.9750000000000001</v>
      </c>
    </row>
    <row r="79" spans="1:21">
      <c r="A79" s="101" t="str">
        <f>IF(L79&gt;0,COUNT($A$8:A78)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79" s="701"/>
      <c r="C79" s="702"/>
      <c r="D79" s="103" t="str">
        <f>_xlfn.XLOOKUP(E79,'All Products'!D:D,'All Products'!C:C,FALSE)</f>
        <v>B123-X</v>
      </c>
      <c r="E79" s="233">
        <v>100025321</v>
      </c>
      <c r="F79" s="464" t="str">
        <f>_xlfn.XLOOKUP(E79,'All Products'!D:D,'All Products'!E:E,FALSE)</f>
        <v>12X17X6 RCT VLV EXT BOX PRP</v>
      </c>
      <c r="G79" s="103" t="s">
        <v>1576</v>
      </c>
      <c r="H79" s="206" t="s">
        <v>649</v>
      </c>
      <c r="I79" s="103">
        <f>_xlfn.XLOOKUP(E79,'All Products'!D:D,'All Products'!G:G,FALSE)</f>
        <v>49</v>
      </c>
      <c r="J79" s="103">
        <f>_xlfn.XLOOKUP(E79,'All Products'!D:D,'All Products'!H:H,FALSE)</f>
        <v>73.31</v>
      </c>
      <c r="K79" s="173">
        <f>ROUND(J79*Order_Quote!$L$19,2)</f>
        <v>73.31</v>
      </c>
      <c r="L79" s="75"/>
      <c r="M79" s="113"/>
      <c r="N79" s="171">
        <f t="shared" ref="N79:N80" si="4">L79/I79</f>
        <v>0</v>
      </c>
      <c r="P79" s="206" t="str">
        <f>_xlfn.XLOOKUP(E79,'All Products'!D:D,'All Products'!I:I,FALSE)</f>
        <v>Within 3 Weeks</v>
      </c>
      <c r="Q79" s="206" t="str">
        <f>_xlfn.XLOOKUP(E79,'All Products'!D:D,'All Products'!J:J,FALSE)</f>
        <v>Manufactured</v>
      </c>
      <c r="R79" s="518">
        <f>_xlfn.XLOOKUP(E79,'All Products'!D:D,'All Products'!K:K,FALSE)</f>
        <v>49081800277</v>
      </c>
      <c r="S79" s="518" t="str">
        <f>_xlfn.XLOOKUP(E79,'All Products'!D:D,'All Products'!L:L,FALSE)</f>
        <v>-</v>
      </c>
      <c r="T79" s="518" t="str">
        <f>_xlfn.XLOOKUP(E79,'All Products'!D:D,'All Products'!M:M,FALSE)</f>
        <v>-</v>
      </c>
      <c r="U79" s="206">
        <f>_xlfn.XLOOKUP(E79,'All Products'!D:D,'All Products'!N:N,FALSE)</f>
        <v>3.9750000000000001</v>
      </c>
    </row>
    <row r="80" spans="1:21" ht="15" thickBot="1">
      <c r="A80" s="101" t="str">
        <f>IF(L80&gt;0,COUNT($A$8:A79)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80" s="703"/>
      <c r="C80" s="704"/>
      <c r="D80" s="103" t="str">
        <f>_xlfn.XLOOKUP(E80,'All Products'!D:D,'All Products'!C:C,FALSE)</f>
        <v>B124-X</v>
      </c>
      <c r="E80" s="461">
        <v>100025577</v>
      </c>
      <c r="F80" s="464" t="str">
        <f>_xlfn.XLOOKUP(E80,'All Products'!D:D,'All Products'!E:E,FALSE)</f>
        <v>12X17X6 RCT VLV EXT BOX BLK</v>
      </c>
      <c r="G80" s="138" t="s">
        <v>1564</v>
      </c>
      <c r="H80" s="207" t="s">
        <v>649</v>
      </c>
      <c r="I80" s="103">
        <f>_xlfn.XLOOKUP(E80,'All Products'!D:D,'All Products'!G:G,FALSE)</f>
        <v>49</v>
      </c>
      <c r="J80" s="103">
        <f>_xlfn.XLOOKUP(E80,'All Products'!D:D,'All Products'!H:H,FALSE)</f>
        <v>73.31</v>
      </c>
      <c r="K80" s="181">
        <f>ROUND(J80*Order_Quote!$L$19,2)</f>
        <v>73.31</v>
      </c>
      <c r="L80" s="163"/>
      <c r="M80" s="113"/>
      <c r="N80" s="171">
        <f t="shared" si="4"/>
        <v>0</v>
      </c>
      <c r="P80" s="206" t="str">
        <f>_xlfn.XLOOKUP(E80,'All Products'!D:D,'All Products'!I:I,FALSE)</f>
        <v>In Stock</v>
      </c>
      <c r="Q80" s="206" t="str">
        <f>_xlfn.XLOOKUP(E80,'All Products'!D:D,'All Products'!J:J,FALSE)</f>
        <v>Manufactured</v>
      </c>
      <c r="R80" s="518">
        <f>_xlfn.XLOOKUP(E80,'All Products'!D:D,'All Products'!K:K,FALSE)</f>
        <v>49081800284</v>
      </c>
      <c r="S80" s="518" t="str">
        <f>_xlfn.XLOOKUP(E80,'All Products'!D:D,'All Products'!L:L,FALSE)</f>
        <v>-</v>
      </c>
      <c r="T80" s="518" t="str">
        <f>_xlfn.XLOOKUP(E80,'All Products'!D:D,'All Products'!M:M,FALSE)</f>
        <v>-</v>
      </c>
      <c r="U80" s="206">
        <f>_xlfn.XLOOKUP(E80,'All Products'!D:D,'All Products'!N:N,FALSE)</f>
        <v>3.9750000000000001</v>
      </c>
    </row>
    <row r="81" spans="1:21" ht="16.2" thickBot="1">
      <c r="A81" s="101" t="str">
        <f>IF(L81&gt;0,COUNT($A$8:A80)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81" s="446" t="s">
        <v>5789</v>
      </c>
      <c r="C81" s="151"/>
      <c r="D81" s="151"/>
      <c r="E81" s="459"/>
      <c r="F81" s="151"/>
      <c r="G81" s="151"/>
      <c r="H81" s="151"/>
      <c r="I81" s="468"/>
      <c r="J81" s="468"/>
      <c r="K81" s="192"/>
      <c r="L81" s="358"/>
      <c r="M81" s="17"/>
      <c r="N81" s="545"/>
      <c r="O81" s="17"/>
      <c r="P81" s="357"/>
      <c r="Q81" s="145"/>
      <c r="R81" s="493"/>
      <c r="S81" s="493"/>
      <c r="T81" s="493"/>
      <c r="U81" s="151"/>
    </row>
    <row r="82" spans="1:21">
      <c r="A82" s="101" t="str">
        <f>IF(L82&gt;0,COUNT($A$8:A81)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82" s="694"/>
      <c r="C82" s="683"/>
      <c r="D82" s="103" t="str">
        <f>_xlfn.XLOOKUP(E82,'All Products'!D:D,'All Products'!C:C,FALSE)</f>
        <v>T121</v>
      </c>
      <c r="E82" s="460">
        <v>100025612</v>
      </c>
      <c r="F82" s="464" t="str">
        <f>_xlfn.XLOOKUP(E82,'All Products'!D:D,'All Products'!E:E,FALSE)</f>
        <v>12X17 RCT LID GRN</v>
      </c>
      <c r="G82" s="137" t="s">
        <v>1637</v>
      </c>
      <c r="H82" s="204" t="s">
        <v>1638</v>
      </c>
      <c r="I82" s="103">
        <f>_xlfn.XLOOKUP(E82,'All Products'!D:D,'All Products'!G:G,FALSE)</f>
        <v>1</v>
      </c>
      <c r="J82" s="103">
        <f>_xlfn.XLOOKUP(E82,'All Products'!D:D,'All Products'!H:H,FALSE)</f>
        <v>28.72</v>
      </c>
      <c r="K82" s="180">
        <f>ROUND(J82*Order_Quote!$L$19,2)</f>
        <v>28.72</v>
      </c>
      <c r="L82" s="165"/>
      <c r="M82" s="113"/>
      <c r="N82" s="171">
        <f t="shared" ref="N82:N98" si="5">L82/I82</f>
        <v>0</v>
      </c>
      <c r="P82" s="206" t="str">
        <f>_xlfn.XLOOKUP(E82,'All Products'!D:D,'All Products'!I:I,FALSE)</f>
        <v>In Stock</v>
      </c>
      <c r="Q82" s="206" t="str">
        <f>_xlfn.XLOOKUP(E82,'All Products'!D:D,'All Products'!J:J,FALSE)</f>
        <v>Manufactured</v>
      </c>
      <c r="R82" s="518">
        <f>_xlfn.XLOOKUP(E82,'All Products'!D:D,'All Products'!K:K,FALSE)</f>
        <v>49081800963</v>
      </c>
      <c r="S82" s="518" t="str">
        <f>_xlfn.XLOOKUP(E82,'All Products'!D:D,'All Products'!L:L,FALSE)</f>
        <v>-</v>
      </c>
      <c r="T82" s="518" t="str">
        <f>_xlfn.XLOOKUP(E82,'All Products'!D:D,'All Products'!M:M,FALSE)</f>
        <v>-</v>
      </c>
      <c r="U82" s="206">
        <f>_xlfn.XLOOKUP(E82,'All Products'!D:D,'All Products'!N:N,FALSE)</f>
        <v>2.7349999999999999</v>
      </c>
    </row>
    <row r="83" spans="1:21">
      <c r="A83" s="101" t="str">
        <f>IF(L83&gt;0,COUNT($A$8:A82)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83" s="695"/>
      <c r="C83" s="611"/>
      <c r="D83" s="103" t="str">
        <f>_xlfn.XLOOKUP(E83,'All Products'!D:D,'All Products'!C:C,FALSE)</f>
        <v>T124</v>
      </c>
      <c r="E83" s="233">
        <v>100025625</v>
      </c>
      <c r="F83" s="464" t="str">
        <f>_xlfn.XLOOKUP(E83,'All Products'!D:D,'All Products'!E:E,FALSE)</f>
        <v>12X17 RCT LID BLACK</v>
      </c>
      <c r="G83" s="103" t="s">
        <v>1564</v>
      </c>
      <c r="H83" s="206" t="s">
        <v>1638</v>
      </c>
      <c r="I83" s="103">
        <f>_xlfn.XLOOKUP(E83,'All Products'!D:D,'All Products'!G:G,FALSE)</f>
        <v>1</v>
      </c>
      <c r="J83" s="103">
        <f>_xlfn.XLOOKUP(E83,'All Products'!D:D,'All Products'!H:H,FALSE)</f>
        <v>28.72</v>
      </c>
      <c r="K83" s="173">
        <f>ROUND(J83*Order_Quote!$L$19,2)</f>
        <v>28.72</v>
      </c>
      <c r="L83" s="75"/>
      <c r="M83" s="113"/>
      <c r="N83" s="171">
        <f t="shared" si="5"/>
        <v>0</v>
      </c>
      <c r="P83" s="206" t="str">
        <f>_xlfn.XLOOKUP(E83,'All Products'!D:D,'All Products'!I:I,FALSE)</f>
        <v>Within 3 Weeks</v>
      </c>
      <c r="Q83" s="206" t="str">
        <f>_xlfn.XLOOKUP(E83,'All Products'!D:D,'All Products'!J:J,FALSE)</f>
        <v>Manufactured</v>
      </c>
      <c r="R83" s="518">
        <f>_xlfn.XLOOKUP(E83,'All Products'!D:D,'All Products'!K:K,FALSE)</f>
        <v>49081801113</v>
      </c>
      <c r="S83" s="518" t="str">
        <f>_xlfn.XLOOKUP(E83,'All Products'!D:D,'All Products'!L:L,FALSE)</f>
        <v>-</v>
      </c>
      <c r="T83" s="518" t="str">
        <f>_xlfn.XLOOKUP(E83,'All Products'!D:D,'All Products'!M:M,FALSE)</f>
        <v>-</v>
      </c>
      <c r="U83" s="206">
        <f>_xlfn.XLOOKUP(E83,'All Products'!D:D,'All Products'!N:N,FALSE)</f>
        <v>2.73</v>
      </c>
    </row>
    <row r="84" spans="1:21">
      <c r="A84" s="101" t="str">
        <f>IF(L84&gt;0,COUNT($A$8:A83)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84" s="695"/>
      <c r="C84" s="611"/>
      <c r="D84" s="103" t="str">
        <f>_xlfn.XLOOKUP(E84,'All Products'!D:D,'All Products'!C:C,FALSE)</f>
        <v>T127</v>
      </c>
      <c r="E84" s="233">
        <v>100025469</v>
      </c>
      <c r="F84" s="464" t="str">
        <f>_xlfn.XLOOKUP(E84,'All Products'!D:D,'All Products'!E:E,FALSE)</f>
        <v>12X17 RCT LID YELLOW</v>
      </c>
      <c r="G84" s="103" t="s">
        <v>1534</v>
      </c>
      <c r="H84" s="206" t="s">
        <v>1638</v>
      </c>
      <c r="I84" s="103">
        <f>_xlfn.XLOOKUP(E84,'All Products'!D:D,'All Products'!G:G,FALSE)</f>
        <v>1</v>
      </c>
      <c r="J84" s="103">
        <f>_xlfn.XLOOKUP(E84,'All Products'!D:D,'All Products'!H:H,FALSE)</f>
        <v>28.72</v>
      </c>
      <c r="K84" s="173">
        <f>ROUND(J84*Order_Quote!$L$19,2)</f>
        <v>28.72</v>
      </c>
      <c r="L84" s="75"/>
      <c r="M84" s="113"/>
      <c r="N84" s="171">
        <f t="shared" si="5"/>
        <v>0</v>
      </c>
      <c r="P84" s="206" t="str">
        <f>_xlfn.XLOOKUP(E84,'All Products'!D:D,'All Products'!I:I,FALSE)</f>
        <v>Within 3 Weeks</v>
      </c>
      <c r="Q84" s="206" t="str">
        <f>_xlfn.XLOOKUP(E84,'All Products'!D:D,'All Products'!J:J,FALSE)</f>
        <v>Manufactured</v>
      </c>
      <c r="R84" s="518">
        <f>_xlfn.XLOOKUP(E84,'All Products'!D:D,'All Products'!K:K,FALSE)</f>
        <v>49081808822</v>
      </c>
      <c r="S84" s="518" t="str">
        <f>_xlfn.XLOOKUP(E84,'All Products'!D:D,'All Products'!L:L,FALSE)</f>
        <v>-</v>
      </c>
      <c r="T84" s="518" t="str">
        <f>_xlfn.XLOOKUP(E84,'All Products'!D:D,'All Products'!M:M,FALSE)</f>
        <v>-</v>
      </c>
      <c r="U84" s="206">
        <f>_xlfn.XLOOKUP(E84,'All Products'!D:D,'All Products'!N:N,FALSE)</f>
        <v>2.73</v>
      </c>
    </row>
    <row r="85" spans="1:21">
      <c r="A85" s="101" t="str">
        <f>IF(L85&gt;0,COUNT($A$8:A84)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85" s="695"/>
      <c r="C85" s="611"/>
      <c r="D85" s="103" t="str">
        <f>_xlfn.XLOOKUP(E85,'All Products'!D:D,'All Products'!C:C,FALSE)</f>
        <v>T123</v>
      </c>
      <c r="E85" s="233">
        <v>100025624</v>
      </c>
      <c r="F85" s="464" t="str">
        <f>_xlfn.XLOOKUP(E85,'All Products'!D:D,'All Products'!E:E,FALSE)</f>
        <v>12X17 RCT LID PRP</v>
      </c>
      <c r="G85" s="103" t="s">
        <v>1576</v>
      </c>
      <c r="H85" s="206" t="s">
        <v>1644</v>
      </c>
      <c r="I85" s="103">
        <f>_xlfn.XLOOKUP(E85,'All Products'!D:D,'All Products'!G:G,FALSE)</f>
        <v>1</v>
      </c>
      <c r="J85" s="103">
        <f>_xlfn.XLOOKUP(E85,'All Products'!D:D,'All Products'!H:H,FALSE)</f>
        <v>28.72</v>
      </c>
      <c r="K85" s="173">
        <f>ROUND(J85*Order_Quote!$L$19,2)</f>
        <v>28.72</v>
      </c>
      <c r="L85" s="75"/>
      <c r="M85" s="113"/>
      <c r="N85" s="171">
        <f t="shared" si="5"/>
        <v>0</v>
      </c>
      <c r="P85" s="206" t="str">
        <f>_xlfn.XLOOKUP(E85,'All Products'!D:D,'All Products'!I:I,FALSE)</f>
        <v>Within 3 Weeks</v>
      </c>
      <c r="Q85" s="206" t="str">
        <f>_xlfn.XLOOKUP(E85,'All Products'!D:D,'All Products'!J:J,FALSE)</f>
        <v>Manufactured</v>
      </c>
      <c r="R85" s="518">
        <f>_xlfn.XLOOKUP(E85,'All Products'!D:D,'All Products'!K:K,FALSE)</f>
        <v>49081801106</v>
      </c>
      <c r="S85" s="518" t="str">
        <f>_xlfn.XLOOKUP(E85,'All Products'!D:D,'All Products'!L:L,FALSE)</f>
        <v>-</v>
      </c>
      <c r="T85" s="518" t="str">
        <f>_xlfn.XLOOKUP(E85,'All Products'!D:D,'All Products'!M:M,FALSE)</f>
        <v>-</v>
      </c>
      <c r="U85" s="206">
        <f>_xlfn.XLOOKUP(E85,'All Products'!D:D,'All Products'!N:N,FALSE)</f>
        <v>2.73</v>
      </c>
    </row>
    <row r="86" spans="1:21">
      <c r="A86" s="101" t="str">
        <f>IF(L86&gt;0,COUNT($A$8:A85)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86" s="695"/>
      <c r="C86" s="611"/>
      <c r="D86" s="103" t="str">
        <f>_xlfn.XLOOKUP(E86,'All Products'!D:D,'All Products'!C:C,FALSE)</f>
        <v>T121-W</v>
      </c>
      <c r="E86" s="233">
        <v>100025617</v>
      </c>
      <c r="F86" s="464" t="str">
        <f>_xlfn.XLOOKUP(E86,'All Products'!D:D,'All Products'!E:E,FALSE)</f>
        <v>12X17 RCT LID, WATER, GRN</v>
      </c>
      <c r="G86" s="103" t="s">
        <v>1637</v>
      </c>
      <c r="H86" s="206" t="s">
        <v>1652</v>
      </c>
      <c r="I86" s="103">
        <f>_xlfn.XLOOKUP(E86,'All Products'!D:D,'All Products'!G:G,FALSE)</f>
        <v>1</v>
      </c>
      <c r="J86" s="103">
        <f>_xlfn.XLOOKUP(E86,'All Products'!D:D,'All Products'!H:H,FALSE)</f>
        <v>28.72</v>
      </c>
      <c r="K86" s="173">
        <f>ROUND(J86*Order_Quote!$L$19,2)</f>
        <v>28.72</v>
      </c>
      <c r="L86" s="75"/>
      <c r="M86" s="113"/>
      <c r="N86" s="171">
        <f t="shared" si="5"/>
        <v>0</v>
      </c>
      <c r="P86" s="206" t="str">
        <f>_xlfn.XLOOKUP(E86,'All Products'!D:D,'All Products'!I:I,FALSE)</f>
        <v>Within 3 Weeks</v>
      </c>
      <c r="Q86" s="206" t="str">
        <f>_xlfn.XLOOKUP(E86,'All Products'!D:D,'All Products'!J:J,FALSE)</f>
        <v>Manufactured</v>
      </c>
      <c r="R86" s="518">
        <f>_xlfn.XLOOKUP(E86,'All Products'!D:D,'All Products'!K:K,FALSE)</f>
        <v>49081801021</v>
      </c>
      <c r="S86" s="518" t="str">
        <f>_xlfn.XLOOKUP(E86,'All Products'!D:D,'All Products'!L:L,FALSE)</f>
        <v>-</v>
      </c>
      <c r="T86" s="518" t="str">
        <f>_xlfn.XLOOKUP(E86,'All Products'!D:D,'All Products'!M:M,FALSE)</f>
        <v>-</v>
      </c>
      <c r="U86" s="206">
        <f>_xlfn.XLOOKUP(E86,'All Products'!D:D,'All Products'!N:N,FALSE)</f>
        <v>2.7349999999999999</v>
      </c>
    </row>
    <row r="87" spans="1:21">
      <c r="A87" s="101" t="str">
        <f>IF(L87&gt;0,COUNT($A$8:A86)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87" s="695"/>
      <c r="C87" s="611"/>
      <c r="D87" s="103" t="str">
        <f>_xlfn.XLOOKUP(E87,'All Products'!D:D,'All Products'!C:C,FALSE)</f>
        <v>T121-MR</v>
      </c>
      <c r="E87" s="233">
        <v>100025423</v>
      </c>
      <c r="F87" s="464" t="str">
        <f>_xlfn.XLOOKUP(E87,'All Products'!D:D,'All Products'!E:E,FALSE)</f>
        <v>12X17X12 RECT MTR RDR LID, GRN</v>
      </c>
      <c r="G87" s="103" t="s">
        <v>1637</v>
      </c>
      <c r="H87" s="206" t="s">
        <v>1738</v>
      </c>
      <c r="I87" s="103">
        <f>_xlfn.XLOOKUP(E87,'All Products'!D:D,'All Products'!G:G,FALSE)</f>
        <v>1</v>
      </c>
      <c r="J87" s="103">
        <f>_xlfn.XLOOKUP(E87,'All Products'!D:D,'All Products'!H:H,FALSE)</f>
        <v>28.72</v>
      </c>
      <c r="K87" s="173">
        <f>ROUND(J87*Order_Quote!$L$19,2)</f>
        <v>28.72</v>
      </c>
      <c r="L87" s="75"/>
      <c r="M87" s="113"/>
      <c r="N87" s="171">
        <f t="shared" si="5"/>
        <v>0</v>
      </c>
      <c r="P87" s="206" t="str">
        <f>_xlfn.XLOOKUP(E87,'All Products'!D:D,'All Products'!I:I,FALSE)</f>
        <v>Within 3 Weeks</v>
      </c>
      <c r="Q87" s="206" t="str">
        <f>_xlfn.XLOOKUP(E87,'All Products'!D:D,'All Products'!J:J,FALSE)</f>
        <v>Manufactured</v>
      </c>
      <c r="R87" s="518">
        <f>_xlfn.XLOOKUP(E87,'All Products'!D:D,'All Products'!K:K,FALSE)</f>
        <v>49081804480</v>
      </c>
      <c r="S87" s="518" t="str">
        <f>_xlfn.XLOOKUP(E87,'All Products'!D:D,'All Products'!L:L,FALSE)</f>
        <v>-</v>
      </c>
      <c r="T87" s="518" t="str">
        <f>_xlfn.XLOOKUP(E87,'All Products'!D:D,'All Products'!M:M,FALSE)</f>
        <v>-</v>
      </c>
      <c r="U87" s="206">
        <f>_xlfn.XLOOKUP(E87,'All Products'!D:D,'All Products'!N:N,FALSE)</f>
        <v>3.3149999999999999</v>
      </c>
    </row>
    <row r="88" spans="1:21">
      <c r="A88" s="101" t="str">
        <f>IF(L88&gt;0,COUNT($A$8:A87)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88" s="695"/>
      <c r="C88" s="611"/>
      <c r="D88" s="103" t="str">
        <f>_xlfn.XLOOKUP(E88,'All Products'!D:D,'All Products'!C:C,FALSE)</f>
        <v>T123-MR</v>
      </c>
      <c r="E88" s="233">
        <v>100025442</v>
      </c>
      <c r="F88" s="464" t="str">
        <f>_xlfn.XLOOKUP(E88,'All Products'!D:D,'All Products'!E:E,FALSE)</f>
        <v>12X17 RCT MTR RDR LID, PRP</v>
      </c>
      <c r="G88" s="103" t="s">
        <v>1576</v>
      </c>
      <c r="H88" s="206" t="s">
        <v>1738</v>
      </c>
      <c r="I88" s="103">
        <f>_xlfn.XLOOKUP(E88,'All Products'!D:D,'All Products'!G:G,FALSE)</f>
        <v>1</v>
      </c>
      <c r="J88" s="103">
        <f>_xlfn.XLOOKUP(E88,'All Products'!D:D,'All Products'!H:H,FALSE)</f>
        <v>28.72</v>
      </c>
      <c r="K88" s="173">
        <f>ROUND(J88*Order_Quote!$L$19,2)</f>
        <v>28.72</v>
      </c>
      <c r="L88" s="75"/>
      <c r="M88" s="113"/>
      <c r="N88" s="171">
        <f t="shared" si="5"/>
        <v>0</v>
      </c>
      <c r="P88" s="206" t="str">
        <f>_xlfn.XLOOKUP(E88,'All Products'!D:D,'All Products'!I:I,FALSE)</f>
        <v>Within 3 Weeks</v>
      </c>
      <c r="Q88" s="206" t="str">
        <f>_xlfn.XLOOKUP(E88,'All Products'!D:D,'All Products'!J:J,FALSE)</f>
        <v>Manufactured</v>
      </c>
      <c r="R88" s="518">
        <f>_xlfn.XLOOKUP(E88,'All Products'!D:D,'All Products'!K:K,FALSE)</f>
        <v>49081808846</v>
      </c>
      <c r="S88" s="518" t="str">
        <f>_xlfn.XLOOKUP(E88,'All Products'!D:D,'All Products'!L:L,FALSE)</f>
        <v>-</v>
      </c>
      <c r="T88" s="518" t="str">
        <f>_xlfn.XLOOKUP(E88,'All Products'!D:D,'All Products'!M:M,FALSE)</f>
        <v>-</v>
      </c>
      <c r="U88" s="206">
        <f>_xlfn.XLOOKUP(E88,'All Products'!D:D,'All Products'!N:N,FALSE)</f>
        <v>3.3149999999999999</v>
      </c>
    </row>
    <row r="89" spans="1:21">
      <c r="A89" s="101" t="str">
        <f>IF(L89&gt;0,COUNT($A$8:A88)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89" s="695"/>
      <c r="C89" s="611"/>
      <c r="D89" s="103" t="str">
        <f>_xlfn.XLOOKUP(E89,'All Products'!D:D,'All Products'!C:C,FALSE)</f>
        <v>T124-MR</v>
      </c>
      <c r="E89" s="233">
        <v>100025453</v>
      </c>
      <c r="F89" s="464" t="str">
        <f>_xlfn.XLOOKUP(E89,'All Products'!D:D,'All Products'!E:E,FALSE)</f>
        <v>12X17 RCT MTR RDR LID, BLK</v>
      </c>
      <c r="G89" s="103" t="s">
        <v>1564</v>
      </c>
      <c r="H89" s="206" t="s">
        <v>1738</v>
      </c>
      <c r="I89" s="103">
        <f>_xlfn.XLOOKUP(E89,'All Products'!D:D,'All Products'!G:G,FALSE)</f>
        <v>1</v>
      </c>
      <c r="J89" s="103">
        <f>_xlfn.XLOOKUP(E89,'All Products'!D:D,'All Products'!H:H,FALSE)</f>
        <v>28.72</v>
      </c>
      <c r="K89" s="173">
        <f>ROUND(J89*Order_Quote!$L$19,2)</f>
        <v>28.72</v>
      </c>
      <c r="L89" s="75"/>
      <c r="M89" s="113"/>
      <c r="N89" s="171">
        <f t="shared" si="5"/>
        <v>0</v>
      </c>
      <c r="P89" s="206" t="str">
        <f>_xlfn.XLOOKUP(E89,'All Products'!D:D,'All Products'!I:I,FALSE)</f>
        <v>Within 3 Weeks</v>
      </c>
      <c r="Q89" s="206" t="str">
        <f>_xlfn.XLOOKUP(E89,'All Products'!D:D,'All Products'!J:J,FALSE)</f>
        <v>Manufactured</v>
      </c>
      <c r="R89" s="518">
        <f>_xlfn.XLOOKUP(E89,'All Products'!D:D,'All Products'!K:K,FALSE)</f>
        <v>49081804497</v>
      </c>
      <c r="S89" s="518" t="str">
        <f>_xlfn.XLOOKUP(E89,'All Products'!D:D,'All Products'!L:L,FALSE)</f>
        <v>-</v>
      </c>
      <c r="T89" s="518" t="str">
        <f>_xlfn.XLOOKUP(E89,'All Products'!D:D,'All Products'!M:M,FALSE)</f>
        <v>-</v>
      </c>
      <c r="U89" s="206">
        <f>_xlfn.XLOOKUP(E89,'All Products'!D:D,'All Products'!N:N,FALSE)</f>
        <v>3.4350000000000001</v>
      </c>
    </row>
    <row r="90" spans="1:21">
      <c r="A90" s="101" t="str">
        <f>IF(L90&gt;0,COUNT($A$8:A89)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90" s="695"/>
      <c r="C90" s="611"/>
      <c r="D90" s="103" t="str">
        <f>_xlfn.XLOOKUP(E90,'All Products'!D:D,'All Products'!C:C,FALSE)</f>
        <v>T121-S</v>
      </c>
      <c r="E90" s="233">
        <v>100025426</v>
      </c>
      <c r="F90" s="464" t="str">
        <f>_xlfn.XLOOKUP(E90,'All Products'!D:D,'All Products'!E:E,FALSE)</f>
        <v>12X17 RCT LID, SEWER, GRN</v>
      </c>
      <c r="G90" s="103" t="s">
        <v>1637</v>
      </c>
      <c r="H90" s="206" t="s">
        <v>1647</v>
      </c>
      <c r="I90" s="103">
        <f>_xlfn.XLOOKUP(E90,'All Products'!D:D,'All Products'!G:G,FALSE)</f>
        <v>1</v>
      </c>
      <c r="J90" s="103">
        <f>_xlfn.XLOOKUP(E90,'All Products'!D:D,'All Products'!H:H,FALSE)</f>
        <v>28.72</v>
      </c>
      <c r="K90" s="173">
        <f>ROUND(J90*Order_Quote!$L$19,2)</f>
        <v>28.72</v>
      </c>
      <c r="L90" s="75"/>
      <c r="M90" s="113"/>
      <c r="N90" s="171">
        <f t="shared" si="5"/>
        <v>0</v>
      </c>
      <c r="P90" s="206" t="str">
        <f>_xlfn.XLOOKUP(E90,'All Products'!D:D,'All Products'!I:I,FALSE)</f>
        <v>Within 3 Weeks</v>
      </c>
      <c r="Q90" s="206" t="str">
        <f>_xlfn.XLOOKUP(E90,'All Products'!D:D,'All Products'!J:J,FALSE)</f>
        <v>Manufactured</v>
      </c>
      <c r="R90" s="518">
        <f>_xlfn.XLOOKUP(E90,'All Products'!D:D,'All Products'!K:K,FALSE)</f>
        <v>49081801007</v>
      </c>
      <c r="S90" s="518" t="str">
        <f>_xlfn.XLOOKUP(E90,'All Products'!D:D,'All Products'!L:L,FALSE)</f>
        <v>-</v>
      </c>
      <c r="T90" s="518" t="str">
        <f>_xlfn.XLOOKUP(E90,'All Products'!D:D,'All Products'!M:M,FALSE)</f>
        <v>-</v>
      </c>
      <c r="U90" s="206">
        <f>_xlfn.XLOOKUP(E90,'All Products'!D:D,'All Products'!N:N,FALSE)</f>
        <v>2.7349999999999999</v>
      </c>
    </row>
    <row r="91" spans="1:21">
      <c r="A91" s="101" t="str">
        <f>IF(L91&gt;0,COUNT($A$8:A90)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91" s="695"/>
      <c r="C91" s="611"/>
      <c r="D91" s="103" t="str">
        <f>_xlfn.XLOOKUP(E91,'All Products'!D:D,'All Products'!C:C,FALSE)</f>
        <v>T121-SD</v>
      </c>
      <c r="E91" s="233">
        <v>100025427</v>
      </c>
      <c r="F91" s="464" t="str">
        <f>_xlfn.XLOOKUP(E91,'All Products'!D:D,'All Products'!E:E,FALSE)</f>
        <v>12X17 RCT LID STORM DRAIN GRN</v>
      </c>
      <c r="G91" s="103" t="s">
        <v>1637</v>
      </c>
      <c r="H91" s="206" t="s">
        <v>1857</v>
      </c>
      <c r="I91" s="103">
        <f>_xlfn.XLOOKUP(E91,'All Products'!D:D,'All Products'!G:G,FALSE)</f>
        <v>1</v>
      </c>
      <c r="J91" s="103">
        <f>_xlfn.XLOOKUP(E91,'All Products'!D:D,'All Products'!H:H,FALSE)</f>
        <v>28.72</v>
      </c>
      <c r="K91" s="173">
        <f>ROUND(J91*Order_Quote!$L$19,2)</f>
        <v>28.72</v>
      </c>
      <c r="L91" s="75"/>
      <c r="M91" s="113"/>
      <c r="N91" s="171">
        <f t="shared" si="5"/>
        <v>0</v>
      </c>
      <c r="P91" s="206" t="str">
        <f>_xlfn.XLOOKUP(E91,'All Products'!D:D,'All Products'!I:I,FALSE)</f>
        <v>Within 3 Weeks</v>
      </c>
      <c r="Q91" s="206" t="str">
        <f>_xlfn.XLOOKUP(E91,'All Products'!D:D,'All Products'!J:J,FALSE)</f>
        <v>Manufactured</v>
      </c>
      <c r="R91" s="518">
        <f>_xlfn.XLOOKUP(E91,'All Products'!D:D,'All Products'!K:K,FALSE)</f>
        <v>49081804725</v>
      </c>
      <c r="S91" s="518" t="str">
        <f>_xlfn.XLOOKUP(E91,'All Products'!D:D,'All Products'!L:L,FALSE)</f>
        <v>-</v>
      </c>
      <c r="T91" s="518" t="str">
        <f>_xlfn.XLOOKUP(E91,'All Products'!D:D,'All Products'!M:M,FALSE)</f>
        <v>-</v>
      </c>
      <c r="U91" s="206">
        <f>_xlfn.XLOOKUP(E91,'All Products'!D:D,'All Products'!N:N,FALSE)</f>
        <v>2.7349999999999999</v>
      </c>
    </row>
    <row r="92" spans="1:21">
      <c r="A92" s="101" t="str">
        <f>IF(L92&gt;0,COUNT($A$8:A91)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92" s="695"/>
      <c r="C92" s="611"/>
      <c r="D92" s="103" t="str">
        <f>_xlfn.XLOOKUP(E92,'All Products'!D:D,'All Products'!C:C,FALSE)</f>
        <v>T121-E</v>
      </c>
      <c r="E92" s="233">
        <v>100025613</v>
      </c>
      <c r="F92" s="464" t="str">
        <f>_xlfn.XLOOKUP(E92,'All Products'!D:D,'All Products'!E:E,FALSE)</f>
        <v>12X17 RCT LID ELECT JUNCT GRN</v>
      </c>
      <c r="G92" s="103" t="s">
        <v>1637</v>
      </c>
      <c r="H92" s="206" t="s">
        <v>1655</v>
      </c>
      <c r="I92" s="103">
        <f>_xlfn.XLOOKUP(E92,'All Products'!D:D,'All Products'!G:G,FALSE)</f>
        <v>1</v>
      </c>
      <c r="J92" s="103">
        <f>_xlfn.XLOOKUP(E92,'All Products'!D:D,'All Products'!H:H,FALSE)</f>
        <v>28.72</v>
      </c>
      <c r="K92" s="173">
        <f>ROUND(J92*Order_Quote!$L$19,2)</f>
        <v>28.72</v>
      </c>
      <c r="L92" s="75"/>
      <c r="M92" s="113"/>
      <c r="N92" s="171">
        <f t="shared" si="5"/>
        <v>0</v>
      </c>
      <c r="P92" s="206" t="str">
        <f>_xlfn.XLOOKUP(E92,'All Products'!D:D,'All Products'!I:I,FALSE)</f>
        <v>In Stock</v>
      </c>
      <c r="Q92" s="206" t="str">
        <f>_xlfn.XLOOKUP(E92,'All Products'!D:D,'All Products'!J:J,FALSE)</f>
        <v>Manufactured</v>
      </c>
      <c r="R92" s="518">
        <f>_xlfn.XLOOKUP(E92,'All Products'!D:D,'All Products'!K:K,FALSE)</f>
        <v>49081800970</v>
      </c>
      <c r="S92" s="518" t="str">
        <f>_xlfn.XLOOKUP(E92,'All Products'!D:D,'All Products'!L:L,FALSE)</f>
        <v>-</v>
      </c>
      <c r="T92" s="518" t="str">
        <f>_xlfn.XLOOKUP(E92,'All Products'!D:D,'All Products'!M:M,FALSE)</f>
        <v>-</v>
      </c>
      <c r="U92" s="206">
        <f>_xlfn.XLOOKUP(E92,'All Products'!D:D,'All Products'!N:N,FALSE)</f>
        <v>2.7349999999999999</v>
      </c>
    </row>
    <row r="93" spans="1:21">
      <c r="A93" s="101" t="str">
        <f>IF(L93&gt;0,COUNT($A$8:A92)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93" s="695"/>
      <c r="C93" s="611"/>
      <c r="D93" s="103" t="str">
        <f>_xlfn.XLOOKUP(E93,'All Products'!D:D,'All Products'!C:C,FALSE)</f>
        <v>T124-E</v>
      </c>
      <c r="E93" s="233">
        <v>100025449</v>
      </c>
      <c r="F93" s="464" t="str">
        <f>_xlfn.XLOOKUP(E93,'All Products'!D:D,'All Products'!E:E,FALSE)</f>
        <v>12X17 RCT LID ELECT JUNCT BLK</v>
      </c>
      <c r="G93" s="103" t="s">
        <v>1564</v>
      </c>
      <c r="H93" s="206" t="s">
        <v>1655</v>
      </c>
      <c r="I93" s="103">
        <f>_xlfn.XLOOKUP(E93,'All Products'!D:D,'All Products'!G:G,FALSE)</f>
        <v>1</v>
      </c>
      <c r="J93" s="103">
        <f>_xlfn.XLOOKUP(E93,'All Products'!D:D,'All Products'!H:H,FALSE)</f>
        <v>28.72</v>
      </c>
      <c r="K93" s="173">
        <f>ROUND(J93*Order_Quote!$L$19,2)</f>
        <v>28.72</v>
      </c>
      <c r="L93" s="75"/>
      <c r="M93" s="113"/>
      <c r="N93" s="171">
        <f t="shared" si="5"/>
        <v>0</v>
      </c>
      <c r="P93" s="206" t="str">
        <f>_xlfn.XLOOKUP(E93,'All Products'!D:D,'All Products'!I:I,FALSE)</f>
        <v>Within 3 Weeks</v>
      </c>
      <c r="Q93" s="206" t="str">
        <f>_xlfn.XLOOKUP(E93,'All Products'!D:D,'All Products'!J:J,FALSE)</f>
        <v>Manufactured</v>
      </c>
      <c r="R93" s="518">
        <f>_xlfn.XLOOKUP(E93,'All Products'!D:D,'All Products'!K:K,FALSE)</f>
        <v>49081801120</v>
      </c>
      <c r="S93" s="518" t="str">
        <f>_xlfn.XLOOKUP(E93,'All Products'!D:D,'All Products'!L:L,FALSE)</f>
        <v>-</v>
      </c>
      <c r="T93" s="518" t="str">
        <f>_xlfn.XLOOKUP(E93,'All Products'!D:D,'All Products'!M:M,FALSE)</f>
        <v>-</v>
      </c>
      <c r="U93" s="206">
        <f>_xlfn.XLOOKUP(E93,'All Products'!D:D,'All Products'!N:N,FALSE)</f>
        <v>2.73</v>
      </c>
    </row>
    <row r="94" spans="1:21">
      <c r="A94" s="101" t="str">
        <f>IF(L94&gt;0,COUNT($A$8:A93)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94" s="695"/>
      <c r="C94" s="611"/>
      <c r="D94" s="103" t="str">
        <f>_xlfn.XLOOKUP(E94,'All Products'!D:D,'All Products'!C:C,FALSE)</f>
        <v>T121-L</v>
      </c>
      <c r="E94" s="233">
        <v>100025421</v>
      </c>
      <c r="F94" s="464" t="str">
        <f>_xlfn.XLOOKUP(E94,'All Products'!D:D,'All Products'!E:E,FALSE)</f>
        <v>12X17 RCT LID LOW VOLT LAND GRN</v>
      </c>
      <c r="G94" s="103" t="s">
        <v>1637</v>
      </c>
      <c r="H94" s="206" t="s">
        <v>1667</v>
      </c>
      <c r="I94" s="103">
        <f>_xlfn.XLOOKUP(E94,'All Products'!D:D,'All Products'!G:G,FALSE)</f>
        <v>1</v>
      </c>
      <c r="J94" s="103">
        <f>_xlfn.XLOOKUP(E94,'All Products'!D:D,'All Products'!H:H,FALSE)</f>
        <v>28.72</v>
      </c>
      <c r="K94" s="173">
        <f>ROUND(J94*Order_Quote!$L$19,2)</f>
        <v>28.72</v>
      </c>
      <c r="L94" s="75"/>
      <c r="M94" s="113"/>
      <c r="N94" s="171">
        <f t="shared" si="5"/>
        <v>0</v>
      </c>
      <c r="P94" s="206" t="str">
        <f>_xlfn.XLOOKUP(E94,'All Products'!D:D,'All Products'!I:I,FALSE)</f>
        <v>Within 3 Weeks</v>
      </c>
      <c r="Q94" s="206" t="str">
        <f>_xlfn.XLOOKUP(E94,'All Products'!D:D,'All Products'!J:J,FALSE)</f>
        <v>Manufactured</v>
      </c>
      <c r="R94" s="518">
        <f>_xlfn.XLOOKUP(E94,'All Products'!D:D,'All Products'!K:K,FALSE)</f>
        <v>49081800987</v>
      </c>
      <c r="S94" s="518" t="str">
        <f>_xlfn.XLOOKUP(E94,'All Products'!D:D,'All Products'!L:L,FALSE)</f>
        <v>-</v>
      </c>
      <c r="T94" s="518" t="str">
        <f>_xlfn.XLOOKUP(E94,'All Products'!D:D,'All Products'!M:M,FALSE)</f>
        <v>-</v>
      </c>
      <c r="U94" s="206">
        <f>_xlfn.XLOOKUP(E94,'All Products'!D:D,'All Products'!N:N,FALSE)</f>
        <v>2.7349999999999999</v>
      </c>
    </row>
    <row r="95" spans="1:21">
      <c r="A95" s="101" t="str">
        <f>IF(L95&gt;0,COUNT($A$8:A94)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95" s="695"/>
      <c r="C95" s="611"/>
      <c r="D95" s="103" t="str">
        <f>_xlfn.XLOOKUP(E95,'All Products'!D:D,'All Products'!C:C,FALSE)</f>
        <v>T124-L</v>
      </c>
      <c r="E95" s="233">
        <v>100025450</v>
      </c>
      <c r="F95" s="464" t="str">
        <f>_xlfn.XLOOKUP(E95,'All Products'!D:D,'All Products'!E:E,FALSE)</f>
        <v>12X17 RCT LID BLK - LANDSCAPING</v>
      </c>
      <c r="G95" s="103" t="s">
        <v>1564</v>
      </c>
      <c r="H95" s="206" t="s">
        <v>1667</v>
      </c>
      <c r="I95" s="103">
        <f>_xlfn.XLOOKUP(E95,'All Products'!D:D,'All Products'!G:G,FALSE)</f>
        <v>1</v>
      </c>
      <c r="J95" s="103">
        <f>_xlfn.XLOOKUP(E95,'All Products'!D:D,'All Products'!H:H,FALSE)</f>
        <v>28.72</v>
      </c>
      <c r="K95" s="173">
        <f>ROUND(J95*Order_Quote!$L$19,2)</f>
        <v>28.72</v>
      </c>
      <c r="L95" s="75"/>
      <c r="M95" s="113"/>
      <c r="N95" s="171">
        <f t="shared" si="5"/>
        <v>0</v>
      </c>
      <c r="P95" s="206" t="str">
        <f>_xlfn.XLOOKUP(E95,'All Products'!D:D,'All Products'!I:I,FALSE)</f>
        <v>Within 3 Weeks</v>
      </c>
      <c r="Q95" s="206" t="str">
        <f>_xlfn.XLOOKUP(E95,'All Products'!D:D,'All Products'!J:J,FALSE)</f>
        <v>Manufactured</v>
      </c>
      <c r="R95" s="518">
        <f>_xlfn.XLOOKUP(E95,'All Products'!D:D,'All Products'!K:K,FALSE)</f>
        <v>49081801137</v>
      </c>
      <c r="S95" s="518" t="str">
        <f>_xlfn.XLOOKUP(E95,'All Products'!D:D,'All Products'!L:L,FALSE)</f>
        <v>-</v>
      </c>
      <c r="T95" s="518" t="str">
        <f>_xlfn.XLOOKUP(E95,'All Products'!D:D,'All Products'!M:M,FALSE)</f>
        <v>-</v>
      </c>
      <c r="U95" s="206">
        <f>_xlfn.XLOOKUP(E95,'All Products'!D:D,'All Products'!N:N,FALSE)</f>
        <v>2.73</v>
      </c>
    </row>
    <row r="96" spans="1:21">
      <c r="A96" s="101" t="str">
        <f>IF(L96&gt;0,COUNT($A$8:A95)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96" s="695"/>
      <c r="C96" s="611"/>
      <c r="D96" s="103" t="str">
        <f>_xlfn.XLOOKUP(E96,'All Products'!D:D,'All Products'!C:C,FALSE)</f>
        <v>T121-T</v>
      </c>
      <c r="E96" s="233">
        <v>100025428</v>
      </c>
      <c r="F96" s="464" t="str">
        <f>_xlfn.XLOOKUP(E96,'All Products'!D:D,'All Products'!E:E,FALSE)</f>
        <v>12X17 RCT LID, TELEPHONE GRN</v>
      </c>
      <c r="G96" s="103" t="s">
        <v>1637</v>
      </c>
      <c r="H96" s="206" t="s">
        <v>1707</v>
      </c>
      <c r="I96" s="103">
        <f>_xlfn.XLOOKUP(E96,'All Products'!D:D,'All Products'!G:G,FALSE)</f>
        <v>1</v>
      </c>
      <c r="J96" s="103">
        <f>_xlfn.XLOOKUP(E96,'All Products'!D:D,'All Products'!H:H,FALSE)</f>
        <v>28.72</v>
      </c>
      <c r="K96" s="173">
        <f>ROUND(J96*Order_Quote!$L$19,2)</f>
        <v>28.72</v>
      </c>
      <c r="L96" s="75"/>
      <c r="M96" s="113"/>
      <c r="N96" s="171">
        <f t="shared" si="5"/>
        <v>0</v>
      </c>
      <c r="P96" s="206" t="str">
        <f>_xlfn.XLOOKUP(E96,'All Products'!D:D,'All Products'!I:I,FALSE)</f>
        <v>Within 3 Weeks</v>
      </c>
      <c r="Q96" s="206" t="str">
        <f>_xlfn.XLOOKUP(E96,'All Products'!D:D,'All Products'!J:J,FALSE)</f>
        <v>Manufactured</v>
      </c>
      <c r="R96" s="518">
        <f>_xlfn.XLOOKUP(E96,'All Products'!D:D,'All Products'!K:K,FALSE)</f>
        <v>49081801014</v>
      </c>
      <c r="S96" s="518" t="str">
        <f>_xlfn.XLOOKUP(E96,'All Products'!D:D,'All Products'!L:L,FALSE)</f>
        <v>-</v>
      </c>
      <c r="T96" s="518" t="str">
        <f>_xlfn.XLOOKUP(E96,'All Products'!D:D,'All Products'!M:M,FALSE)</f>
        <v>-</v>
      </c>
      <c r="U96" s="206">
        <f>_xlfn.XLOOKUP(E96,'All Products'!D:D,'All Products'!N:N,FALSE)</f>
        <v>2.7349999999999999</v>
      </c>
    </row>
    <row r="97" spans="1:21">
      <c r="A97" s="101" t="str">
        <f>IF(L97&gt;0,COUNT($A$8:A96)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97" s="695"/>
      <c r="C97" s="611"/>
      <c r="D97" s="103" t="str">
        <f>_xlfn.XLOOKUP(E97,'All Products'!D:D,'All Products'!C:C,FALSE)</f>
        <v>T124-T</v>
      </c>
      <c r="E97" s="233">
        <v>100025457</v>
      </c>
      <c r="F97" s="464" t="str">
        <f>_xlfn.XLOOKUP(E97,'All Products'!D:D,'All Products'!E:E,FALSE)</f>
        <v>12X17 RCT LID TELEPHONE BLK</v>
      </c>
      <c r="G97" s="103" t="s">
        <v>1564</v>
      </c>
      <c r="H97" s="206" t="s">
        <v>1707</v>
      </c>
      <c r="I97" s="103">
        <f>_xlfn.XLOOKUP(E97,'All Products'!D:D,'All Products'!G:G,FALSE)</f>
        <v>1</v>
      </c>
      <c r="J97" s="103">
        <f>_xlfn.XLOOKUP(E97,'All Products'!D:D,'All Products'!H:H,FALSE)</f>
        <v>28.72</v>
      </c>
      <c r="K97" s="173">
        <f>ROUND(J97*Order_Quote!$L$19,2)</f>
        <v>28.72</v>
      </c>
      <c r="L97" s="75"/>
      <c r="M97" s="113"/>
      <c r="N97" s="171">
        <f t="shared" si="5"/>
        <v>0</v>
      </c>
      <c r="P97" s="206" t="str">
        <f>_xlfn.XLOOKUP(E97,'All Products'!D:D,'All Products'!I:I,FALSE)</f>
        <v>Within 3 Weeks</v>
      </c>
      <c r="Q97" s="206" t="str">
        <f>_xlfn.XLOOKUP(E97,'All Products'!D:D,'All Products'!J:J,FALSE)</f>
        <v>Manufactured</v>
      </c>
      <c r="R97" s="518">
        <f>_xlfn.XLOOKUP(E97,'All Products'!D:D,'All Products'!K:K,FALSE)</f>
        <v>49081801168</v>
      </c>
      <c r="S97" s="518" t="str">
        <f>_xlfn.XLOOKUP(E97,'All Products'!D:D,'All Products'!L:L,FALSE)</f>
        <v>-</v>
      </c>
      <c r="T97" s="518" t="str">
        <f>_xlfn.XLOOKUP(E97,'All Products'!D:D,'All Products'!M:M,FALSE)</f>
        <v>-</v>
      </c>
      <c r="U97" s="206">
        <f>_xlfn.XLOOKUP(E97,'All Products'!D:D,'All Products'!N:N,FALSE)</f>
        <v>2.73</v>
      </c>
    </row>
    <row r="98" spans="1:21" ht="15" thickBot="1">
      <c r="A98" s="101" t="str">
        <f>IF(L98&gt;0,COUNT($A$8:A97)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98" s="696"/>
      <c r="C98" s="697"/>
      <c r="D98" s="103" t="str">
        <f>_xlfn.XLOOKUP(E98,'All Products'!D:D,'All Products'!C:C,FALSE)</f>
        <v>T121-G</v>
      </c>
      <c r="E98" s="461">
        <v>100025614</v>
      </c>
      <c r="F98" s="464" t="str">
        <f>_xlfn.XLOOKUP(E98,'All Products'!D:D,'All Products'!E:E,FALSE)</f>
        <v>12X17 RCT GAS LID GRN</v>
      </c>
      <c r="G98" s="138" t="s">
        <v>1637</v>
      </c>
      <c r="H98" s="207" t="s">
        <v>1831</v>
      </c>
      <c r="I98" s="103">
        <f>_xlfn.XLOOKUP(E98,'All Products'!D:D,'All Products'!G:G,FALSE)</f>
        <v>1</v>
      </c>
      <c r="J98" s="103">
        <f>_xlfn.XLOOKUP(E98,'All Products'!D:D,'All Products'!H:H,FALSE)</f>
        <v>28.72</v>
      </c>
      <c r="K98" s="181">
        <f>ROUND(J98*Order_Quote!$L$19,2)</f>
        <v>28.72</v>
      </c>
      <c r="L98" s="163"/>
      <c r="M98" s="113"/>
      <c r="N98" s="171">
        <f t="shared" si="5"/>
        <v>0</v>
      </c>
      <c r="P98" s="206" t="str">
        <f>_xlfn.XLOOKUP(E98,'All Products'!D:D,'All Products'!I:I,FALSE)</f>
        <v>Within 3 Weeks</v>
      </c>
      <c r="Q98" s="206" t="str">
        <f>_xlfn.XLOOKUP(E98,'All Products'!D:D,'All Products'!J:J,FALSE)</f>
        <v>Manufactured</v>
      </c>
      <c r="R98" s="518">
        <f>_xlfn.XLOOKUP(E98,'All Products'!D:D,'All Products'!K:K,FALSE)</f>
        <v>49081804367</v>
      </c>
      <c r="S98" s="518" t="str">
        <f>_xlfn.XLOOKUP(E98,'All Products'!D:D,'All Products'!L:L,FALSE)</f>
        <v>-</v>
      </c>
      <c r="T98" s="518" t="str">
        <f>_xlfn.XLOOKUP(E98,'All Products'!D:D,'All Products'!M:M,FALSE)</f>
        <v>-</v>
      </c>
      <c r="U98" s="206">
        <f>_xlfn.XLOOKUP(E98,'All Products'!D:D,'All Products'!N:N,FALSE)</f>
        <v>2.7349999999999999</v>
      </c>
    </row>
    <row r="99" spans="1:21" ht="16.2" thickBot="1">
      <c r="A99" s="101" t="str">
        <f>IF(L99&gt;0,COUNT($A$8:A98)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99" s="446" t="s">
        <v>5790</v>
      </c>
      <c r="C99" s="151"/>
      <c r="D99" s="151"/>
      <c r="E99" s="459"/>
      <c r="F99" s="151"/>
      <c r="G99" s="151"/>
      <c r="H99" s="151"/>
      <c r="I99" s="468"/>
      <c r="J99" s="468"/>
      <c r="K99" s="192"/>
      <c r="L99" s="358"/>
      <c r="M99" s="17"/>
      <c r="N99" s="545"/>
      <c r="O99" s="17"/>
      <c r="P99" s="357"/>
      <c r="Q99" s="145"/>
      <c r="R99" s="493"/>
      <c r="S99" s="493"/>
      <c r="T99" s="493"/>
      <c r="U99" s="151"/>
    </row>
    <row r="100" spans="1:21">
      <c r="A100" s="101" t="str">
        <f>IF(L100&gt;0,COUNT($A$8:A99)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00" s="694"/>
      <c r="C100" s="683"/>
      <c r="D100" s="103" t="str">
        <f>_xlfn.XLOOKUP(E100,'All Products'!D:D,'All Products'!C:C,FALSE)</f>
        <v>B121-DB-2</v>
      </c>
      <c r="E100" s="460">
        <v>100025572</v>
      </c>
      <c r="F100" s="464" t="str">
        <f>_xlfn.XLOOKUP(E100,'All Products'!D:D,'All Products'!E:E,FALSE)</f>
        <v>12X17X12 RCT DB BODY (B) GREEN</v>
      </c>
      <c r="G100" s="137" t="s">
        <v>1637</v>
      </c>
      <c r="H100" s="204" t="s">
        <v>1638</v>
      </c>
      <c r="I100" s="103">
        <f>_xlfn.XLOOKUP(E100,'All Products'!D:D,'All Products'!G:G,FALSE)</f>
        <v>1</v>
      </c>
      <c r="J100" s="103">
        <f>_xlfn.XLOOKUP(E100,'All Products'!D:D,'All Products'!H:H,FALSE)</f>
        <v>146.38</v>
      </c>
      <c r="K100" s="180">
        <f>ROUND(J100*Order_Quote!$L$19,2)</f>
        <v>146.38</v>
      </c>
      <c r="L100" s="165"/>
      <c r="M100" s="113"/>
      <c r="N100" s="171">
        <f>L100/I100</f>
        <v>0</v>
      </c>
      <c r="P100" s="206" t="str">
        <f>_xlfn.XLOOKUP(E100,'All Products'!D:D,'All Products'!I:I,FALSE)</f>
        <v>Within 3 Weeks</v>
      </c>
      <c r="Q100" s="206" t="str">
        <f>_xlfn.XLOOKUP(E100,'All Products'!D:D,'All Products'!J:J,FALSE)</f>
        <v>Manufactured</v>
      </c>
      <c r="R100" s="518">
        <f>_xlfn.XLOOKUP(E100,'All Products'!D:D,'All Products'!K:K,FALSE)</f>
        <v>49081809096</v>
      </c>
      <c r="S100" s="518" t="str">
        <f>_xlfn.XLOOKUP(E100,'All Products'!D:D,'All Products'!L:L,FALSE)</f>
        <v>-</v>
      </c>
      <c r="T100" s="518" t="str">
        <f>_xlfn.XLOOKUP(E100,'All Products'!D:D,'All Products'!M:M,FALSE)</f>
        <v>-</v>
      </c>
      <c r="U100" s="206">
        <f>_xlfn.XLOOKUP(E100,'All Products'!D:D,'All Products'!N:N,FALSE)</f>
        <v>7.15</v>
      </c>
    </row>
    <row r="101" spans="1:21">
      <c r="A101" s="101" t="str">
        <f>IF(L101&gt;0,COUNT($A$8:A100)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01" s="695"/>
      <c r="C101" s="611"/>
      <c r="D101" s="103" t="str">
        <f>_xlfn.XLOOKUP(E101,'All Products'!D:D,'All Products'!C:C,FALSE)</f>
        <v>B124-DB-2</v>
      </c>
      <c r="E101" s="233">
        <v>100025323</v>
      </c>
      <c r="F101" s="464" t="str">
        <f>_xlfn.XLOOKUP(E101,'All Products'!D:D,'All Products'!E:E,FALSE)</f>
        <v>12X17X12 RCT DRY BOX BODY(B) BK</v>
      </c>
      <c r="G101" s="103" t="s">
        <v>1564</v>
      </c>
      <c r="H101" s="206" t="s">
        <v>1638</v>
      </c>
      <c r="I101" s="103">
        <f>_xlfn.XLOOKUP(E101,'All Products'!D:D,'All Products'!G:G,FALSE)</f>
        <v>1</v>
      </c>
      <c r="J101" s="103">
        <f>_xlfn.XLOOKUP(E101,'All Products'!D:D,'All Products'!H:H,FALSE)</f>
        <v>146.38</v>
      </c>
      <c r="K101" s="173">
        <f>ROUND(J101*Order_Quote!$L$19,2)</f>
        <v>146.38</v>
      </c>
      <c r="L101" s="75"/>
      <c r="M101" s="113"/>
      <c r="N101" s="171">
        <f t="shared" ref="N101:N102" si="6">L101/I101</f>
        <v>0</v>
      </c>
      <c r="P101" s="206" t="str">
        <f>_xlfn.XLOOKUP(E101,'All Products'!D:D,'All Products'!I:I,FALSE)</f>
        <v>Within 3 Weeks</v>
      </c>
      <c r="Q101" s="206" t="str">
        <f>_xlfn.XLOOKUP(E101,'All Products'!D:D,'All Products'!J:J,FALSE)</f>
        <v>Manufactured</v>
      </c>
      <c r="R101" s="518">
        <f>_xlfn.XLOOKUP(E101,'All Products'!D:D,'All Products'!K:K,FALSE)</f>
        <v>49081809126</v>
      </c>
      <c r="S101" s="518" t="str">
        <f>_xlfn.XLOOKUP(E101,'All Products'!D:D,'All Products'!L:L,FALSE)</f>
        <v>-</v>
      </c>
      <c r="T101" s="518" t="str">
        <f>_xlfn.XLOOKUP(E101,'All Products'!D:D,'All Products'!M:M,FALSE)</f>
        <v>-</v>
      </c>
      <c r="U101" s="206">
        <f>_xlfn.XLOOKUP(E101,'All Products'!D:D,'All Products'!N:N,FALSE)</f>
        <v>7.15</v>
      </c>
    </row>
    <row r="102" spans="1:21" ht="15" thickBot="1">
      <c r="A102" s="101" t="str">
        <f>IF(L102&gt;0,COUNT($A$8:A101)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02" s="696"/>
      <c r="C102" s="697"/>
      <c r="D102" s="103" t="str">
        <f>_xlfn.XLOOKUP(E102,'All Products'!D:D,'All Products'!C:C,FALSE)</f>
        <v>B123-DB-2</v>
      </c>
      <c r="E102" s="233">
        <v>100025319</v>
      </c>
      <c r="F102" s="464" t="str">
        <f>_xlfn.XLOOKUP(E102,'All Products'!D:D,'All Products'!E:E,FALSE)</f>
        <v>12X17X12 RCT DRY BOX BODY(B) PR</v>
      </c>
      <c r="G102" s="103" t="s">
        <v>1576</v>
      </c>
      <c r="H102" s="206" t="s">
        <v>1644</v>
      </c>
      <c r="I102" s="103">
        <f>_xlfn.XLOOKUP(E102,'All Products'!D:D,'All Products'!G:G,FALSE)</f>
        <v>1</v>
      </c>
      <c r="J102" s="103">
        <f>_xlfn.XLOOKUP(E102,'All Products'!D:D,'All Products'!H:H,FALSE)</f>
        <v>146.38</v>
      </c>
      <c r="K102" s="173">
        <f>ROUND(J102*Order_Quote!$L$19,2)</f>
        <v>146.38</v>
      </c>
      <c r="L102" s="75"/>
      <c r="M102" s="113"/>
      <c r="N102" s="171">
        <f t="shared" si="6"/>
        <v>0</v>
      </c>
      <c r="P102" s="206" t="str">
        <f>_xlfn.XLOOKUP(E102,'All Products'!D:D,'All Products'!I:I,FALSE)</f>
        <v>Within 3 Weeks</v>
      </c>
      <c r="Q102" s="206" t="str">
        <f>_xlfn.XLOOKUP(E102,'All Products'!D:D,'All Products'!J:J,FALSE)</f>
        <v>Manufactured</v>
      </c>
      <c r="R102" s="518">
        <f>_xlfn.XLOOKUP(E102,'All Products'!D:D,'All Products'!K:K,FALSE)</f>
        <v>49081809119</v>
      </c>
      <c r="S102" s="518" t="str">
        <f>_xlfn.XLOOKUP(E102,'All Products'!D:D,'All Products'!L:L,FALSE)</f>
        <v>-</v>
      </c>
      <c r="T102" s="518" t="str">
        <f>_xlfn.XLOOKUP(E102,'All Products'!D:D,'All Products'!M:M,FALSE)</f>
        <v>-</v>
      </c>
      <c r="U102" s="206">
        <f>_xlfn.XLOOKUP(E102,'All Products'!D:D,'All Products'!N:N,FALSE)</f>
        <v>7.15</v>
      </c>
    </row>
    <row r="103" spans="1:21" ht="16.2" thickBot="1">
      <c r="A103" s="101" t="str">
        <f>IF(L103&gt;0,COUNT($A$8:A102)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03" s="446" t="s">
        <v>5791</v>
      </c>
      <c r="C103" s="151"/>
      <c r="D103" s="151"/>
      <c r="E103" s="459"/>
      <c r="F103" s="151"/>
      <c r="G103" s="151"/>
      <c r="H103" s="151"/>
      <c r="I103" s="468"/>
      <c r="J103" s="468"/>
      <c r="K103" s="192"/>
      <c r="L103" s="358"/>
      <c r="M103" s="17"/>
      <c r="N103" s="545"/>
      <c r="O103" s="17"/>
      <c r="P103" s="357"/>
      <c r="Q103" s="145"/>
      <c r="R103" s="493"/>
      <c r="S103" s="493"/>
      <c r="T103" s="493"/>
      <c r="U103" s="151"/>
    </row>
    <row r="104" spans="1:21">
      <c r="A104" s="101" t="str">
        <f>IF(L104&gt;0,COUNT($A$8:A103)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04" s="694"/>
      <c r="C104" s="683"/>
      <c r="D104" s="103" t="str">
        <f>_xlfn.XLOOKUP(E104,'All Products'!D:D,'All Products'!C:C,FALSE)</f>
        <v>T121-DB-2</v>
      </c>
      <c r="E104" s="460">
        <v>100025413</v>
      </c>
      <c r="F104" s="464" t="str">
        <f>_xlfn.XLOOKUP(E104,'All Products'!D:D,'All Products'!E:E,FALSE)</f>
        <v>12X17 RCT DRY BOX LID (B) GREEN</v>
      </c>
      <c r="G104" s="137" t="s">
        <v>1637</v>
      </c>
      <c r="H104" s="204" t="s">
        <v>1638</v>
      </c>
      <c r="I104" s="103">
        <f>_xlfn.XLOOKUP(E104,'All Products'!D:D,'All Products'!G:G,FALSE)</f>
        <v>1</v>
      </c>
      <c r="J104" s="103">
        <f>_xlfn.XLOOKUP(E104,'All Products'!D:D,'All Products'!H:H,FALSE)</f>
        <v>97.61</v>
      </c>
      <c r="K104" s="180">
        <f>ROUND(J104*Order_Quote!$L$19,2)</f>
        <v>97.61</v>
      </c>
      <c r="L104" s="165"/>
      <c r="M104" s="113"/>
      <c r="N104" s="171">
        <f>L104/I104</f>
        <v>0</v>
      </c>
      <c r="P104" s="206" t="str">
        <f>_xlfn.XLOOKUP(E104,'All Products'!D:D,'All Products'!I:I,FALSE)</f>
        <v>Within 3 Weeks</v>
      </c>
      <c r="Q104" s="206" t="str">
        <f>_xlfn.XLOOKUP(E104,'All Products'!D:D,'All Products'!J:J,FALSE)</f>
        <v>Manufactured</v>
      </c>
      <c r="R104" s="518">
        <f>_xlfn.XLOOKUP(E104,'All Products'!D:D,'All Products'!K:K,FALSE)</f>
        <v>49081809140</v>
      </c>
      <c r="S104" s="518" t="str">
        <f>_xlfn.XLOOKUP(E104,'All Products'!D:D,'All Products'!L:L,FALSE)</f>
        <v>-</v>
      </c>
      <c r="T104" s="518" t="str">
        <f>_xlfn.XLOOKUP(E104,'All Products'!D:D,'All Products'!M:M,FALSE)</f>
        <v>-</v>
      </c>
      <c r="U104" s="206">
        <f>_xlfn.XLOOKUP(E104,'All Products'!D:D,'All Products'!N:N,FALSE)</f>
        <v>2.5539999999999998</v>
      </c>
    </row>
    <row r="105" spans="1:21">
      <c r="A105" s="101" t="str">
        <f>IF(L105&gt;0,COUNT($A$8:A104)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05" s="695"/>
      <c r="C105" s="611"/>
      <c r="D105" s="103" t="str">
        <f>_xlfn.XLOOKUP(E105,'All Products'!D:D,'All Products'!C:C,FALSE)</f>
        <v>T124-DB-2</v>
      </c>
      <c r="E105" s="233">
        <v>100025626</v>
      </c>
      <c r="F105" s="464" t="str">
        <f>_xlfn.XLOOKUP(E105,'All Products'!D:D,'All Products'!E:E,FALSE)</f>
        <v>12X17 RCT DRY BOX LID (B) BLACK</v>
      </c>
      <c r="G105" s="103" t="s">
        <v>1564</v>
      </c>
      <c r="H105" s="206" t="s">
        <v>1638</v>
      </c>
      <c r="I105" s="103">
        <f>_xlfn.XLOOKUP(E105,'All Products'!D:D,'All Products'!G:G,FALSE)</f>
        <v>1</v>
      </c>
      <c r="J105" s="103">
        <f>_xlfn.XLOOKUP(E105,'All Products'!D:D,'All Products'!H:H,FALSE)</f>
        <v>97.61</v>
      </c>
      <c r="K105" s="173">
        <f>ROUND(J105*Order_Quote!$L$19,2)</f>
        <v>97.61</v>
      </c>
      <c r="L105" s="75"/>
      <c r="M105" s="113"/>
      <c r="N105" s="171">
        <f t="shared" ref="N105:N107" si="7">L105/I105</f>
        <v>0</v>
      </c>
      <c r="P105" s="206" t="str">
        <f>_xlfn.XLOOKUP(E105,'All Products'!D:D,'All Products'!I:I,FALSE)</f>
        <v>Within 3 Weeks</v>
      </c>
      <c r="Q105" s="206" t="str">
        <f>_xlfn.XLOOKUP(E105,'All Products'!D:D,'All Products'!J:J,FALSE)</f>
        <v>Manufactured</v>
      </c>
      <c r="R105" s="518">
        <f>_xlfn.XLOOKUP(E105,'All Products'!D:D,'All Products'!K:K,FALSE)</f>
        <v>49081809171</v>
      </c>
      <c r="S105" s="518" t="str">
        <f>_xlfn.XLOOKUP(E105,'All Products'!D:D,'All Products'!L:L,FALSE)</f>
        <v>-</v>
      </c>
      <c r="T105" s="518" t="str">
        <f>_xlfn.XLOOKUP(E105,'All Products'!D:D,'All Products'!M:M,FALSE)</f>
        <v>-</v>
      </c>
      <c r="U105" s="206">
        <f>_xlfn.XLOOKUP(E105,'All Products'!D:D,'All Products'!N:N,FALSE)</f>
        <v>2.5539999999999998</v>
      </c>
    </row>
    <row r="106" spans="1:21">
      <c r="A106" s="101" t="str">
        <f>IF(L106&gt;0,COUNT($A$8:A105)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06" s="695"/>
      <c r="C106" s="611"/>
      <c r="D106" s="103" t="str">
        <f>_xlfn.XLOOKUP(E106,'All Products'!D:D,'All Products'!C:C,FALSE)</f>
        <v>T123-DB-2</v>
      </c>
      <c r="E106" s="233">
        <v>100025438</v>
      </c>
      <c r="F106" s="464" t="str">
        <f>_xlfn.XLOOKUP(E106,'All Products'!D:D,'All Products'!E:E,FALSE)</f>
        <v>12X17 RCT DRY BOX LID (B) PURPLE</v>
      </c>
      <c r="G106" s="103" t="s">
        <v>1576</v>
      </c>
      <c r="H106" s="206" t="s">
        <v>1644</v>
      </c>
      <c r="I106" s="103">
        <f>_xlfn.XLOOKUP(E106,'All Products'!D:D,'All Products'!G:G,FALSE)</f>
        <v>1</v>
      </c>
      <c r="J106" s="103">
        <f>_xlfn.XLOOKUP(E106,'All Products'!D:D,'All Products'!H:H,FALSE)</f>
        <v>97.61</v>
      </c>
      <c r="K106" s="173">
        <f>ROUND(J106*Order_Quote!$L$19,2)</f>
        <v>97.61</v>
      </c>
      <c r="L106" s="75"/>
      <c r="M106" s="113"/>
      <c r="N106" s="171">
        <f t="shared" si="7"/>
        <v>0</v>
      </c>
      <c r="P106" s="206" t="str">
        <f>_xlfn.XLOOKUP(E106,'All Products'!D:D,'All Products'!I:I,FALSE)</f>
        <v>Within 3 Weeks</v>
      </c>
      <c r="Q106" s="206" t="str">
        <f>_xlfn.XLOOKUP(E106,'All Products'!D:D,'All Products'!J:J,FALSE)</f>
        <v>Manufactured</v>
      </c>
      <c r="R106" s="518">
        <f>_xlfn.XLOOKUP(E106,'All Products'!D:D,'All Products'!K:K,FALSE)</f>
        <v>49081809164</v>
      </c>
      <c r="S106" s="518" t="str">
        <f>_xlfn.XLOOKUP(E106,'All Products'!D:D,'All Products'!L:L,FALSE)</f>
        <v>-</v>
      </c>
      <c r="T106" s="518" t="str">
        <f>_xlfn.XLOOKUP(E106,'All Products'!D:D,'All Products'!M:M,FALSE)</f>
        <v>-</v>
      </c>
      <c r="U106" s="206">
        <f>_xlfn.XLOOKUP(E106,'All Products'!D:D,'All Products'!N:N,FALSE)</f>
        <v>2.5539999999999998</v>
      </c>
    </row>
    <row r="107" spans="1:21" ht="15" thickBot="1">
      <c r="A107" s="101" t="str">
        <f>IF(L107&gt;0,COUNT($A$8:A106)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07" s="696"/>
      <c r="C107" s="697"/>
      <c r="D107" s="103" t="str">
        <f>_xlfn.XLOOKUP(E107,'All Products'!D:D,'All Products'!C:C,FALSE)</f>
        <v>T124-DB-2-E</v>
      </c>
      <c r="E107" s="461">
        <v>100025445</v>
      </c>
      <c r="F107" s="464" t="str">
        <f>_xlfn.XLOOKUP(E107,'All Products'!D:D,'All Products'!E:E,FALSE)</f>
        <v>12X17 RCT DRY BOX LID(B)ELCT BK</v>
      </c>
      <c r="G107" s="138" t="s">
        <v>1564</v>
      </c>
      <c r="H107" s="207" t="s">
        <v>1719</v>
      </c>
      <c r="I107" s="103">
        <f>_xlfn.XLOOKUP(E107,'All Products'!D:D,'All Products'!G:G,FALSE)</f>
        <v>1</v>
      </c>
      <c r="J107" s="103">
        <f>_xlfn.XLOOKUP(E107,'All Products'!D:D,'All Products'!H:H,FALSE)</f>
        <v>97.61</v>
      </c>
      <c r="K107" s="181">
        <f>ROUND(J107*Order_Quote!$L$19,2)</f>
        <v>97.61</v>
      </c>
      <c r="L107" s="163"/>
      <c r="M107" s="113"/>
      <c r="N107" s="171">
        <f t="shared" si="7"/>
        <v>0</v>
      </c>
      <c r="P107" s="206" t="str">
        <f>_xlfn.XLOOKUP(E107,'All Products'!D:D,'All Products'!I:I,FALSE)</f>
        <v>Within 3 Weeks</v>
      </c>
      <c r="Q107" s="206" t="str">
        <f>_xlfn.XLOOKUP(E107,'All Products'!D:D,'All Products'!J:J,FALSE)</f>
        <v>Manufactured</v>
      </c>
      <c r="R107" s="518">
        <f>_xlfn.XLOOKUP(E107,'All Products'!D:D,'All Products'!K:K,FALSE)</f>
        <v>49081806163</v>
      </c>
      <c r="S107" s="518" t="str">
        <f>_xlfn.XLOOKUP(E107,'All Products'!D:D,'All Products'!L:L,FALSE)</f>
        <v>-</v>
      </c>
      <c r="T107" s="518" t="str">
        <f>_xlfn.XLOOKUP(E107,'All Products'!D:D,'All Products'!M:M,FALSE)</f>
        <v>-</v>
      </c>
      <c r="U107" s="206">
        <f>_xlfn.XLOOKUP(E107,'All Products'!D:D,'All Products'!N:N,FALSE)</f>
        <v>2.5539999999999998</v>
      </c>
    </row>
    <row r="108" spans="1:21" ht="16.2" thickBot="1">
      <c r="A108" s="101" t="str">
        <f>IF(L108&gt;0,COUNT($A$8:A107)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08" s="446" t="s">
        <v>5792</v>
      </c>
      <c r="C108" s="151"/>
      <c r="D108" s="151"/>
      <c r="E108" s="459"/>
      <c r="F108" s="151"/>
      <c r="G108" s="151"/>
      <c r="H108" s="151"/>
      <c r="I108" s="468"/>
      <c r="J108" s="468"/>
      <c r="K108" s="192"/>
      <c r="L108" s="358"/>
      <c r="M108" s="17"/>
      <c r="N108" s="545"/>
      <c r="O108" s="17"/>
      <c r="P108" s="357"/>
      <c r="Q108" s="145"/>
      <c r="R108" s="493"/>
      <c r="S108" s="493"/>
      <c r="T108" s="493"/>
      <c r="U108" s="151"/>
    </row>
    <row r="109" spans="1:21" ht="22.5" customHeight="1">
      <c r="A109" s="101" t="str">
        <f>IF(L109&gt;0,COUNT($A$8:A108)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09" s="694" t="e" vm="1">
        <v>#VALUE!</v>
      </c>
      <c r="C109" s="683"/>
      <c r="D109" s="103" t="str">
        <f>_xlfn.XLOOKUP(E109,'All Products'!D:D,'All Products'!C:C,FALSE)</f>
        <v>B151</v>
      </c>
      <c r="E109" s="460">
        <v>100025578</v>
      </c>
      <c r="F109" s="464" t="str">
        <f>_xlfn.XLOOKUP(E109,'All Products'!D:D,'All Products'!E:E,FALSE)</f>
        <v>15X21X12 RCT VLV BOX GRN</v>
      </c>
      <c r="G109" s="137" t="s">
        <v>1637</v>
      </c>
      <c r="H109" s="204" t="s">
        <v>649</v>
      </c>
      <c r="I109" s="103">
        <f>_xlfn.XLOOKUP(E109,'All Products'!D:D,'All Products'!G:G,FALSE)</f>
        <v>48</v>
      </c>
      <c r="J109" s="103">
        <f>_xlfn.XLOOKUP(E109,'All Products'!D:D,'All Products'!H:H,FALSE)</f>
        <v>124.31</v>
      </c>
      <c r="K109" s="180">
        <f>ROUND(J109*Order_Quote!$L$19,2)</f>
        <v>124.31</v>
      </c>
      <c r="L109" s="165"/>
      <c r="M109" s="113"/>
      <c r="N109" s="171">
        <f>L109/I109</f>
        <v>0</v>
      </c>
      <c r="P109" s="206" t="str">
        <f>_xlfn.XLOOKUP(E109,'All Products'!D:D,'All Products'!I:I,FALSE)</f>
        <v>In Stock</v>
      </c>
      <c r="Q109" s="206" t="str">
        <f>_xlfn.XLOOKUP(E109,'All Products'!D:D,'All Products'!J:J,FALSE)</f>
        <v>Manufactured</v>
      </c>
      <c r="R109" s="518">
        <f>_xlfn.XLOOKUP(E109,'All Products'!D:D,'All Products'!K:K,FALSE)</f>
        <v>49081800307</v>
      </c>
      <c r="S109" s="518" t="str">
        <f>_xlfn.XLOOKUP(E109,'All Products'!D:D,'All Products'!L:L,FALSE)</f>
        <v>-</v>
      </c>
      <c r="T109" s="518" t="str">
        <f>_xlfn.XLOOKUP(E109,'All Products'!D:D,'All Products'!M:M,FALSE)</f>
        <v>-</v>
      </c>
      <c r="U109" s="206">
        <f>_xlfn.XLOOKUP(E109,'All Products'!D:D,'All Products'!N:N,FALSE)</f>
        <v>8.8800000000000008</v>
      </c>
    </row>
    <row r="110" spans="1:21" ht="22.5" customHeight="1">
      <c r="A110" s="101" t="str">
        <f>IF(L110&gt;0,COUNT($A$8:A109)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10" s="695"/>
      <c r="C110" s="611"/>
      <c r="D110" s="103" t="str">
        <f>_xlfn.XLOOKUP(E110,'All Products'!D:D,'All Products'!C:C,FALSE)</f>
        <v>B153</v>
      </c>
      <c r="E110" s="233">
        <v>100025582</v>
      </c>
      <c r="F110" s="464" t="str">
        <f>_xlfn.XLOOKUP(E110,'All Products'!D:D,'All Products'!E:E,FALSE)</f>
        <v>15X21X12 RCT VLV BOX PRP</v>
      </c>
      <c r="G110" s="103" t="s">
        <v>1576</v>
      </c>
      <c r="H110" s="206" t="s">
        <v>649</v>
      </c>
      <c r="I110" s="103">
        <f>_xlfn.XLOOKUP(E110,'All Products'!D:D,'All Products'!G:G,FALSE)</f>
        <v>48</v>
      </c>
      <c r="J110" s="103">
        <f>_xlfn.XLOOKUP(E110,'All Products'!D:D,'All Products'!H:H,FALSE)</f>
        <v>124.31</v>
      </c>
      <c r="K110" s="173">
        <f>ROUND(J110*Order_Quote!$L$19,2)</f>
        <v>124.31</v>
      </c>
      <c r="L110" s="75"/>
      <c r="M110" s="113"/>
      <c r="N110" s="171">
        <f t="shared" ref="N110:N111" si="8">L110/I110</f>
        <v>0</v>
      </c>
      <c r="P110" s="206" t="str">
        <f>_xlfn.XLOOKUP(E110,'All Products'!D:D,'All Products'!I:I,FALSE)</f>
        <v>In Stock</v>
      </c>
      <c r="Q110" s="206" t="str">
        <f>_xlfn.XLOOKUP(E110,'All Products'!D:D,'All Products'!J:J,FALSE)</f>
        <v>Manufactured</v>
      </c>
      <c r="R110" s="518">
        <f>_xlfn.XLOOKUP(E110,'All Products'!D:D,'All Products'!K:K,FALSE)</f>
        <v>49081800321</v>
      </c>
      <c r="S110" s="518" t="str">
        <f>_xlfn.XLOOKUP(E110,'All Products'!D:D,'All Products'!L:L,FALSE)</f>
        <v>-</v>
      </c>
      <c r="T110" s="518" t="str">
        <f>_xlfn.XLOOKUP(E110,'All Products'!D:D,'All Products'!M:M,FALSE)</f>
        <v>-</v>
      </c>
      <c r="U110" s="206">
        <f>_xlfn.XLOOKUP(E110,'All Products'!D:D,'All Products'!N:N,FALSE)</f>
        <v>8.8800000000000008</v>
      </c>
    </row>
    <row r="111" spans="1:21" ht="22.5" customHeight="1" thickBot="1">
      <c r="A111" s="101" t="str">
        <f>IF(L111&gt;0,COUNT($A$8:A110)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11" s="696"/>
      <c r="C111" s="697"/>
      <c r="D111" s="103" t="str">
        <f>_xlfn.XLOOKUP(E111,'All Products'!D:D,'All Products'!C:C,FALSE)</f>
        <v>B154</v>
      </c>
      <c r="E111" s="461">
        <v>100025584</v>
      </c>
      <c r="F111" s="464" t="str">
        <f>_xlfn.XLOOKUP(E111,'All Products'!D:D,'All Products'!E:E,FALSE)</f>
        <v>15X21X12 RCT VLV BOX BLK</v>
      </c>
      <c r="G111" s="138" t="s">
        <v>1564</v>
      </c>
      <c r="H111" s="207" t="s">
        <v>649</v>
      </c>
      <c r="I111" s="103">
        <f>_xlfn.XLOOKUP(E111,'All Products'!D:D,'All Products'!G:G,FALSE)</f>
        <v>48</v>
      </c>
      <c r="J111" s="103">
        <f>_xlfn.XLOOKUP(E111,'All Products'!D:D,'All Products'!H:H,FALSE)</f>
        <v>124.31</v>
      </c>
      <c r="K111" s="181">
        <f>ROUND(J111*Order_Quote!$L$19,2)</f>
        <v>124.31</v>
      </c>
      <c r="L111" s="163"/>
      <c r="M111" s="113"/>
      <c r="N111" s="171">
        <f t="shared" si="8"/>
        <v>0</v>
      </c>
      <c r="P111" s="206" t="str">
        <f>_xlfn.XLOOKUP(E111,'All Products'!D:D,'All Products'!I:I,FALSE)</f>
        <v>In Stock</v>
      </c>
      <c r="Q111" s="206" t="str">
        <f>_xlfn.XLOOKUP(E111,'All Products'!D:D,'All Products'!J:J,FALSE)</f>
        <v>Manufactured</v>
      </c>
      <c r="R111" s="518">
        <f>_xlfn.XLOOKUP(E111,'All Products'!D:D,'All Products'!K:K,FALSE)</f>
        <v>49081800338</v>
      </c>
      <c r="S111" s="518" t="str">
        <f>_xlfn.XLOOKUP(E111,'All Products'!D:D,'All Products'!L:L,FALSE)</f>
        <v>-</v>
      </c>
      <c r="T111" s="518" t="str">
        <f>_xlfn.XLOOKUP(E111,'All Products'!D:D,'All Products'!M:M,FALSE)</f>
        <v>-</v>
      </c>
      <c r="U111" s="206">
        <f>_xlfn.XLOOKUP(E111,'All Products'!D:D,'All Products'!N:N,FALSE)</f>
        <v>8.8800000000000008</v>
      </c>
    </row>
    <row r="112" spans="1:21" ht="16.2" thickBot="1">
      <c r="A112" s="101" t="str">
        <f>IF(L112&gt;0,COUNT($A$8:A111)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12" s="446" t="s">
        <v>5793</v>
      </c>
      <c r="C112" s="151"/>
      <c r="D112" s="151"/>
      <c r="E112" s="459"/>
      <c r="F112" s="151"/>
      <c r="G112" s="151"/>
      <c r="H112" s="151"/>
      <c r="I112" s="468"/>
      <c r="J112" s="468"/>
      <c r="K112" s="192"/>
      <c r="L112" s="358"/>
      <c r="M112" s="17"/>
      <c r="N112" s="545"/>
      <c r="O112" s="17"/>
      <c r="P112" s="357"/>
      <c r="Q112" s="145"/>
      <c r="R112" s="493"/>
      <c r="S112" s="493"/>
      <c r="T112" s="493"/>
      <c r="U112" s="151"/>
    </row>
    <row r="113" spans="1:21">
      <c r="A113" s="101" t="str">
        <f>IF(L113&gt;0,COUNT($A$8:A112)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13" s="694"/>
      <c r="C113" s="683"/>
      <c r="D113" s="103" t="str">
        <f>_xlfn.XLOOKUP(E113,'All Products'!D:D,'All Products'!C:C,FALSE)</f>
        <v>B151-X</v>
      </c>
      <c r="E113" s="460">
        <v>100025580</v>
      </c>
      <c r="F113" s="464" t="str">
        <f>_xlfn.XLOOKUP(E113,'All Products'!D:D,'All Products'!E:E,FALSE)</f>
        <v>15X21X6 RCT VLV EXT BOX GRN</v>
      </c>
      <c r="G113" s="137" t="s">
        <v>1637</v>
      </c>
      <c r="H113" s="204" t="s">
        <v>649</v>
      </c>
      <c r="I113" s="103">
        <f>_xlfn.XLOOKUP(E113,'All Products'!D:D,'All Products'!G:G,FALSE)</f>
        <v>28</v>
      </c>
      <c r="J113" s="103">
        <f>_xlfn.XLOOKUP(E113,'All Products'!D:D,'All Products'!H:H,FALSE)</f>
        <v>114.73</v>
      </c>
      <c r="K113" s="180">
        <f>ROUND(J113*Order_Quote!$L$19,2)</f>
        <v>114.73</v>
      </c>
      <c r="L113" s="165"/>
      <c r="M113" s="113"/>
      <c r="N113" s="171">
        <f>L113/I113</f>
        <v>0</v>
      </c>
      <c r="P113" s="206" t="str">
        <f>_xlfn.XLOOKUP(E113,'All Products'!D:D,'All Products'!I:I,FALSE)</f>
        <v>In Stock</v>
      </c>
      <c r="Q113" s="206" t="str">
        <f>_xlfn.XLOOKUP(E113,'All Products'!D:D,'All Products'!J:J,FALSE)</f>
        <v>Manufactured</v>
      </c>
      <c r="R113" s="518">
        <f>_xlfn.XLOOKUP(E113,'All Products'!D:D,'All Products'!K:K,FALSE)</f>
        <v>49081800406</v>
      </c>
      <c r="S113" s="518" t="str">
        <f>_xlfn.XLOOKUP(E113,'All Products'!D:D,'All Products'!L:L,FALSE)</f>
        <v>-</v>
      </c>
      <c r="T113" s="518" t="str">
        <f>_xlfn.XLOOKUP(E113,'All Products'!D:D,'All Products'!M:M,FALSE)</f>
        <v>-</v>
      </c>
      <c r="U113" s="206">
        <f>_xlfn.XLOOKUP(E113,'All Products'!D:D,'All Products'!N:N,FALSE)</f>
        <v>5.66</v>
      </c>
    </row>
    <row r="114" spans="1:21">
      <c r="A114" s="101" t="str">
        <f>IF(L114&gt;0,COUNT($A$8:A113)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14" s="695"/>
      <c r="C114" s="611"/>
      <c r="D114" s="103" t="str">
        <f>_xlfn.XLOOKUP(E114,'All Products'!D:D,'All Products'!C:C,FALSE)</f>
        <v>B152-X</v>
      </c>
      <c r="E114" s="233">
        <v>100025581</v>
      </c>
      <c r="F114" s="464" t="str">
        <f>_xlfn.XLOOKUP(E114,'All Products'!D:D,'All Products'!E:E,FALSE)</f>
        <v>15X21X6 RCT VLV EXT BOX TAN</v>
      </c>
      <c r="G114" s="103" t="s">
        <v>1641</v>
      </c>
      <c r="H114" s="206" t="s">
        <v>649</v>
      </c>
      <c r="I114" s="103">
        <f>_xlfn.XLOOKUP(E114,'All Products'!D:D,'All Products'!G:G,FALSE)</f>
        <v>28</v>
      </c>
      <c r="J114" s="103">
        <f>_xlfn.XLOOKUP(E114,'All Products'!D:D,'All Products'!H:H,FALSE)</f>
        <v>114.73</v>
      </c>
      <c r="K114" s="173">
        <f>ROUND(J114*Order_Quote!$L$19,2)</f>
        <v>114.73</v>
      </c>
      <c r="L114" s="75"/>
      <c r="M114" s="113"/>
      <c r="N114" s="171">
        <f t="shared" ref="N114:N116" si="9">L114/I114</f>
        <v>0</v>
      </c>
      <c r="P114" s="206" t="str">
        <f>_xlfn.XLOOKUP(E114,'All Products'!D:D,'All Products'!I:I,FALSE)</f>
        <v>In Stock</v>
      </c>
      <c r="Q114" s="206" t="str">
        <f>_xlfn.XLOOKUP(E114,'All Products'!D:D,'All Products'!J:J,FALSE)</f>
        <v>Manufactured</v>
      </c>
      <c r="R114" s="518">
        <f>_xlfn.XLOOKUP(E114,'All Products'!D:D,'All Products'!K:K,FALSE)</f>
        <v>49081800413</v>
      </c>
      <c r="S114" s="518" t="str">
        <f>_xlfn.XLOOKUP(E114,'All Products'!D:D,'All Products'!L:L,FALSE)</f>
        <v>-</v>
      </c>
      <c r="T114" s="518" t="str">
        <f>_xlfn.XLOOKUP(E114,'All Products'!D:D,'All Products'!M:M,FALSE)</f>
        <v>-</v>
      </c>
      <c r="U114" s="206">
        <f>_xlfn.XLOOKUP(E114,'All Products'!D:D,'All Products'!N:N,FALSE)</f>
        <v>5.66</v>
      </c>
    </row>
    <row r="115" spans="1:21">
      <c r="A115" s="101" t="str">
        <f>IF(L115&gt;0,COUNT($A$8:A114)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15" s="695"/>
      <c r="C115" s="611"/>
      <c r="D115" s="103" t="str">
        <f>_xlfn.XLOOKUP(E115,'All Products'!D:D,'All Products'!C:C,FALSE)</f>
        <v>B153-X</v>
      </c>
      <c r="E115" s="233">
        <v>100025583</v>
      </c>
      <c r="F115" s="464" t="str">
        <f>_xlfn.XLOOKUP(E115,'All Products'!D:D,'All Products'!E:E,FALSE)</f>
        <v>15X21X6 RCT VLV EXT BOX PRP</v>
      </c>
      <c r="G115" s="103" t="s">
        <v>1576</v>
      </c>
      <c r="H115" s="206" t="s">
        <v>649</v>
      </c>
      <c r="I115" s="103">
        <f>_xlfn.XLOOKUP(E115,'All Products'!D:D,'All Products'!G:G,FALSE)</f>
        <v>28</v>
      </c>
      <c r="J115" s="103">
        <f>_xlfn.XLOOKUP(E115,'All Products'!D:D,'All Products'!H:H,FALSE)</f>
        <v>114.73</v>
      </c>
      <c r="K115" s="173">
        <f>ROUND(J115*Order_Quote!$L$19,2)</f>
        <v>114.73</v>
      </c>
      <c r="L115" s="75"/>
      <c r="M115" s="113"/>
      <c r="N115" s="171">
        <f t="shared" si="9"/>
        <v>0</v>
      </c>
      <c r="P115" s="206" t="str">
        <f>_xlfn.XLOOKUP(E115,'All Products'!D:D,'All Products'!I:I,FALSE)</f>
        <v>Within 3 Weeks</v>
      </c>
      <c r="Q115" s="206" t="str">
        <f>_xlfn.XLOOKUP(E115,'All Products'!D:D,'All Products'!J:J,FALSE)</f>
        <v>Manufactured</v>
      </c>
      <c r="R115" s="518">
        <f>_xlfn.XLOOKUP(E115,'All Products'!D:D,'All Products'!K:K,FALSE)</f>
        <v>49081800420</v>
      </c>
      <c r="S115" s="518" t="str">
        <f>_xlfn.XLOOKUP(E115,'All Products'!D:D,'All Products'!L:L,FALSE)</f>
        <v>-</v>
      </c>
      <c r="T115" s="518" t="str">
        <f>_xlfn.XLOOKUP(E115,'All Products'!D:D,'All Products'!M:M,FALSE)</f>
        <v>-</v>
      </c>
      <c r="U115" s="206">
        <f>_xlfn.XLOOKUP(E115,'All Products'!D:D,'All Products'!N:N,FALSE)</f>
        <v>5.66</v>
      </c>
    </row>
    <row r="116" spans="1:21" ht="15" thickBot="1">
      <c r="A116" s="101" t="str">
        <f>IF(L116&gt;0,COUNT($A$8:A115)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16" s="696"/>
      <c r="C116" s="697"/>
      <c r="D116" s="103" t="str">
        <f>_xlfn.XLOOKUP(E116,'All Products'!D:D,'All Products'!C:C,FALSE)</f>
        <v>B154-X</v>
      </c>
      <c r="E116" s="461">
        <v>100025587</v>
      </c>
      <c r="F116" s="464" t="str">
        <f>_xlfn.XLOOKUP(E116,'All Products'!D:D,'All Products'!E:E,FALSE)</f>
        <v>15X21X6 RCT VLV EXT BOX BLK</v>
      </c>
      <c r="G116" s="138" t="s">
        <v>1564</v>
      </c>
      <c r="H116" s="207" t="s">
        <v>649</v>
      </c>
      <c r="I116" s="103">
        <f>_xlfn.XLOOKUP(E116,'All Products'!D:D,'All Products'!G:G,FALSE)</f>
        <v>28</v>
      </c>
      <c r="J116" s="103">
        <f>_xlfn.XLOOKUP(E116,'All Products'!D:D,'All Products'!H:H,FALSE)</f>
        <v>114.73</v>
      </c>
      <c r="K116" s="181">
        <f>ROUND(J116*Order_Quote!$L$19,2)</f>
        <v>114.73</v>
      </c>
      <c r="L116" s="163"/>
      <c r="M116" s="113"/>
      <c r="N116" s="171">
        <f t="shared" si="9"/>
        <v>0</v>
      </c>
      <c r="P116" s="206" t="str">
        <f>_xlfn.XLOOKUP(E116,'All Products'!D:D,'All Products'!I:I,FALSE)</f>
        <v>In Stock</v>
      </c>
      <c r="Q116" s="206" t="str">
        <f>_xlfn.XLOOKUP(E116,'All Products'!D:D,'All Products'!J:J,FALSE)</f>
        <v>Manufactured</v>
      </c>
      <c r="R116" s="518">
        <f>_xlfn.XLOOKUP(E116,'All Products'!D:D,'All Products'!K:K,FALSE)</f>
        <v>49081800437</v>
      </c>
      <c r="S116" s="518" t="str">
        <f>_xlfn.XLOOKUP(E116,'All Products'!D:D,'All Products'!L:L,FALSE)</f>
        <v>-</v>
      </c>
      <c r="T116" s="518" t="str">
        <f>_xlfn.XLOOKUP(E116,'All Products'!D:D,'All Products'!M:M,FALSE)</f>
        <v>-</v>
      </c>
      <c r="U116" s="206">
        <f>_xlfn.XLOOKUP(E116,'All Products'!D:D,'All Products'!N:N,FALSE)</f>
        <v>5.66</v>
      </c>
    </row>
    <row r="117" spans="1:21" ht="16.2" thickBot="1">
      <c r="A117" s="101" t="str">
        <f>IF(L117&gt;0,COUNT($A$8:A116)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17" s="446" t="s">
        <v>5794</v>
      </c>
      <c r="C117" s="151"/>
      <c r="D117" s="151"/>
      <c r="E117" s="459"/>
      <c r="F117" s="151"/>
      <c r="G117" s="151"/>
      <c r="H117" s="151"/>
      <c r="I117" s="468"/>
      <c r="J117" s="468"/>
      <c r="K117" s="192"/>
      <c r="L117" s="358"/>
      <c r="M117" s="17"/>
      <c r="N117" s="545"/>
      <c r="O117" s="17"/>
      <c r="P117" s="357"/>
      <c r="Q117" s="145"/>
      <c r="R117" s="493"/>
      <c r="S117" s="493"/>
      <c r="T117" s="493"/>
      <c r="U117" s="151"/>
    </row>
    <row r="118" spans="1:21">
      <c r="A118" s="101" t="str">
        <f>IF(L118&gt;0,COUNT($A$8:A117)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18" s="694"/>
      <c r="C118" s="683"/>
      <c r="D118" s="103" t="str">
        <f>_xlfn.XLOOKUP(E118,'All Products'!D:D,'All Products'!C:C,FALSE)</f>
        <v>T151</v>
      </c>
      <c r="E118" s="460">
        <v>100025635</v>
      </c>
      <c r="F118" s="464" t="str">
        <f>_xlfn.XLOOKUP(E118,'All Products'!D:D,'All Products'!E:E,FALSE)</f>
        <v>15X21 RCT LID GRN</v>
      </c>
      <c r="G118" s="137" t="s">
        <v>1637</v>
      </c>
      <c r="H118" s="204" t="s">
        <v>1638</v>
      </c>
      <c r="I118" s="103">
        <f>_xlfn.XLOOKUP(E118,'All Products'!D:D,'All Products'!G:G,FALSE)</f>
        <v>1</v>
      </c>
      <c r="J118" s="103">
        <f>_xlfn.XLOOKUP(E118,'All Products'!D:D,'All Products'!H:H,FALSE)</f>
        <v>60.58</v>
      </c>
      <c r="K118" s="180">
        <f>ROUND(J118*Order_Quote!$L$19,2)</f>
        <v>60.58</v>
      </c>
      <c r="L118" s="165"/>
      <c r="M118" s="113"/>
      <c r="N118" s="171">
        <f t="shared" ref="N118:N132" si="10">L118/I118</f>
        <v>0</v>
      </c>
      <c r="P118" s="206" t="str">
        <f>_xlfn.XLOOKUP(E118,'All Products'!D:D,'All Products'!I:I,FALSE)</f>
        <v>In Stock</v>
      </c>
      <c r="Q118" s="206" t="str">
        <f>_xlfn.XLOOKUP(E118,'All Products'!D:D,'All Products'!J:J,FALSE)</f>
        <v>Manufactured</v>
      </c>
      <c r="R118" s="518">
        <f>_xlfn.XLOOKUP(E118,'All Products'!D:D,'All Products'!K:K,FALSE)</f>
        <v>49081801250</v>
      </c>
      <c r="S118" s="518" t="str">
        <f>_xlfn.XLOOKUP(E118,'All Products'!D:D,'All Products'!L:L,FALSE)</f>
        <v>-</v>
      </c>
      <c r="T118" s="518" t="str">
        <f>_xlfn.XLOOKUP(E118,'All Products'!D:D,'All Products'!M:M,FALSE)</f>
        <v>-</v>
      </c>
      <c r="U118" s="206">
        <f>_xlfn.XLOOKUP(E118,'All Products'!D:D,'All Products'!N:N,FALSE)</f>
        <v>3.2250000000000001</v>
      </c>
    </row>
    <row r="119" spans="1:21">
      <c r="A119" s="101" t="str">
        <f>IF(L119&gt;0,COUNT($A$8:A118)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19" s="695"/>
      <c r="C119" s="611"/>
      <c r="D119" s="103" t="str">
        <f>_xlfn.XLOOKUP(E119,'All Products'!D:D,'All Products'!C:C,FALSE)</f>
        <v>T154</v>
      </c>
      <c r="E119" s="233">
        <v>100025649</v>
      </c>
      <c r="F119" s="464" t="str">
        <f>_xlfn.XLOOKUP(E119,'All Products'!D:D,'All Products'!E:E,FALSE)</f>
        <v>15X21 RCT LID BLK</v>
      </c>
      <c r="G119" s="103" t="s">
        <v>1564</v>
      </c>
      <c r="H119" s="206" t="s">
        <v>1638</v>
      </c>
      <c r="I119" s="103">
        <f>_xlfn.XLOOKUP(E119,'All Products'!D:D,'All Products'!G:G,FALSE)</f>
        <v>1</v>
      </c>
      <c r="J119" s="103">
        <f>_xlfn.XLOOKUP(E119,'All Products'!D:D,'All Products'!H:H,FALSE)</f>
        <v>60.58</v>
      </c>
      <c r="K119" s="173">
        <f>ROUND(J119*Order_Quote!$L$19,2)</f>
        <v>60.58</v>
      </c>
      <c r="L119" s="75"/>
      <c r="M119" s="113"/>
      <c r="N119" s="171">
        <f t="shared" si="10"/>
        <v>0</v>
      </c>
      <c r="P119" s="206" t="str">
        <f>_xlfn.XLOOKUP(E119,'All Products'!D:D,'All Products'!I:I,FALSE)</f>
        <v>Within 3 Weeks</v>
      </c>
      <c r="Q119" s="206" t="str">
        <f>_xlfn.XLOOKUP(E119,'All Products'!D:D,'All Products'!J:J,FALSE)</f>
        <v>Manufactured</v>
      </c>
      <c r="R119" s="518">
        <f>_xlfn.XLOOKUP(E119,'All Products'!D:D,'All Products'!K:K,FALSE)</f>
        <v>49081801403</v>
      </c>
      <c r="S119" s="518" t="str">
        <f>_xlfn.XLOOKUP(E119,'All Products'!D:D,'All Products'!L:L,FALSE)</f>
        <v>-</v>
      </c>
      <c r="T119" s="518" t="str">
        <f>_xlfn.XLOOKUP(E119,'All Products'!D:D,'All Products'!M:M,FALSE)</f>
        <v>-</v>
      </c>
      <c r="U119" s="206">
        <f>_xlfn.XLOOKUP(E119,'All Products'!D:D,'All Products'!N:N,FALSE)</f>
        <v>3.2250000000000001</v>
      </c>
    </row>
    <row r="120" spans="1:21">
      <c r="A120" s="101" t="str">
        <f>IF(L120&gt;0,COUNT($A$8:A119)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20" s="695"/>
      <c r="C120" s="611"/>
      <c r="D120" s="103" t="str">
        <f>_xlfn.XLOOKUP(E120,'All Products'!D:D,'All Products'!C:C,FALSE)</f>
        <v>T155</v>
      </c>
      <c r="E120" s="233">
        <v>100025652</v>
      </c>
      <c r="F120" s="464" t="str">
        <f>_xlfn.XLOOKUP(E120,'All Products'!D:D,'All Products'!E:E,FALSE)</f>
        <v>15X21 RCT LID GRY</v>
      </c>
      <c r="G120" s="103" t="s">
        <v>1722</v>
      </c>
      <c r="H120" s="206" t="s">
        <v>1638</v>
      </c>
      <c r="I120" s="103">
        <f>_xlfn.XLOOKUP(E120,'All Products'!D:D,'All Products'!G:G,FALSE)</f>
        <v>1</v>
      </c>
      <c r="J120" s="103">
        <f>_xlfn.XLOOKUP(E120,'All Products'!D:D,'All Products'!H:H,FALSE)</f>
        <v>60.58</v>
      </c>
      <c r="K120" s="173">
        <f>ROUND(J120*Order_Quote!$L$19,2)</f>
        <v>60.58</v>
      </c>
      <c r="L120" s="75"/>
      <c r="M120" s="113"/>
      <c r="N120" s="171">
        <f t="shared" si="10"/>
        <v>0</v>
      </c>
      <c r="P120" s="206" t="str">
        <f>_xlfn.XLOOKUP(E120,'All Products'!D:D,'All Products'!I:I,FALSE)</f>
        <v>Within 3 Weeks</v>
      </c>
      <c r="Q120" s="206" t="str">
        <f>_xlfn.XLOOKUP(E120,'All Products'!D:D,'All Products'!J:J,FALSE)</f>
        <v>Manufactured</v>
      </c>
      <c r="R120" s="518">
        <f>_xlfn.XLOOKUP(E120,'All Products'!D:D,'All Products'!K:K,FALSE)</f>
        <v>49081801472</v>
      </c>
      <c r="S120" s="518" t="str">
        <f>_xlfn.XLOOKUP(E120,'All Products'!D:D,'All Products'!L:L,FALSE)</f>
        <v>-</v>
      </c>
      <c r="T120" s="518" t="str">
        <f>_xlfn.XLOOKUP(E120,'All Products'!D:D,'All Products'!M:M,FALSE)</f>
        <v>-</v>
      </c>
      <c r="U120" s="206">
        <f>_xlfn.XLOOKUP(E120,'All Products'!D:D,'All Products'!N:N,FALSE)</f>
        <v>3.2250000000000001</v>
      </c>
    </row>
    <row r="121" spans="1:21">
      <c r="A121" s="101" t="str">
        <f>IF(L121&gt;0,COUNT($A$8:A120)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21" s="695"/>
      <c r="C121" s="611"/>
      <c r="D121" s="103" t="str">
        <f>_xlfn.XLOOKUP(E121,'All Products'!D:D,'All Products'!C:C,FALSE)</f>
        <v>T153</v>
      </c>
      <c r="E121" s="233">
        <v>100025647</v>
      </c>
      <c r="F121" s="464" t="str">
        <f>_xlfn.XLOOKUP(E121,'All Products'!D:D,'All Products'!E:E,FALSE)</f>
        <v>15X21 RCT LID PRP</v>
      </c>
      <c r="G121" s="103" t="s">
        <v>1576</v>
      </c>
      <c r="H121" s="206" t="s">
        <v>1644</v>
      </c>
      <c r="I121" s="103">
        <f>_xlfn.XLOOKUP(E121,'All Products'!D:D,'All Products'!G:G,FALSE)</f>
        <v>1</v>
      </c>
      <c r="J121" s="103">
        <f>_xlfn.XLOOKUP(E121,'All Products'!D:D,'All Products'!H:H,FALSE)</f>
        <v>60.58</v>
      </c>
      <c r="K121" s="173">
        <f>ROUND(J121*Order_Quote!$L$19,2)</f>
        <v>60.58</v>
      </c>
      <c r="L121" s="75"/>
      <c r="M121" s="113"/>
      <c r="N121" s="171">
        <f t="shared" si="10"/>
        <v>0</v>
      </c>
      <c r="P121" s="206" t="str">
        <f>_xlfn.XLOOKUP(E121,'All Products'!D:D,'All Products'!I:I,FALSE)</f>
        <v>In Stock</v>
      </c>
      <c r="Q121" s="206" t="str">
        <f>_xlfn.XLOOKUP(E121,'All Products'!D:D,'All Products'!J:J,FALSE)</f>
        <v>Manufactured</v>
      </c>
      <c r="R121" s="518">
        <f>_xlfn.XLOOKUP(E121,'All Products'!D:D,'All Products'!K:K,FALSE)</f>
        <v>49081801397</v>
      </c>
      <c r="S121" s="518" t="str">
        <f>_xlfn.XLOOKUP(E121,'All Products'!D:D,'All Products'!L:L,FALSE)</f>
        <v>-</v>
      </c>
      <c r="T121" s="518" t="str">
        <f>_xlfn.XLOOKUP(E121,'All Products'!D:D,'All Products'!M:M,FALSE)</f>
        <v>-</v>
      </c>
      <c r="U121" s="206">
        <f>_xlfn.XLOOKUP(E121,'All Products'!D:D,'All Products'!N:N,FALSE)</f>
        <v>3.2250000000000001</v>
      </c>
    </row>
    <row r="122" spans="1:21">
      <c r="A122" s="101" t="str">
        <f>IF(L122&gt;0,COUNT($A$8:A121)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22" s="695"/>
      <c r="C122" s="611"/>
      <c r="D122" s="103" t="str">
        <f>_xlfn.XLOOKUP(E122,'All Products'!D:D,'All Products'!C:C,FALSE)</f>
        <v>T151-W</v>
      </c>
      <c r="E122" s="233">
        <v>100025641</v>
      </c>
      <c r="F122" s="464" t="str">
        <f>_xlfn.XLOOKUP(E122,'All Products'!D:D,'All Products'!E:E,FALSE)</f>
        <v>15X21 RCT LID WATER GRN</v>
      </c>
      <c r="G122" s="103" t="s">
        <v>1637</v>
      </c>
      <c r="H122" s="206" t="s">
        <v>1652</v>
      </c>
      <c r="I122" s="103">
        <f>_xlfn.XLOOKUP(E122,'All Products'!D:D,'All Products'!G:G,FALSE)</f>
        <v>1</v>
      </c>
      <c r="J122" s="103">
        <f>_xlfn.XLOOKUP(E122,'All Products'!D:D,'All Products'!H:H,FALSE)</f>
        <v>60.58</v>
      </c>
      <c r="K122" s="173">
        <f>ROUND(J122*Order_Quote!$L$19,2)</f>
        <v>60.58</v>
      </c>
      <c r="L122" s="75"/>
      <c r="M122" s="113"/>
      <c r="N122" s="171">
        <f t="shared" si="10"/>
        <v>0</v>
      </c>
      <c r="P122" s="206" t="str">
        <f>_xlfn.XLOOKUP(E122,'All Products'!D:D,'All Products'!I:I,FALSE)</f>
        <v>Within 3 Weeks</v>
      </c>
      <c r="Q122" s="206" t="str">
        <f>_xlfn.XLOOKUP(E122,'All Products'!D:D,'All Products'!J:J,FALSE)</f>
        <v>Manufactured</v>
      </c>
      <c r="R122" s="518" t="str">
        <f>_xlfn.XLOOKUP(E122,'All Products'!D:D,'All Products'!K:K,FALSE)</f>
        <v>-</v>
      </c>
      <c r="S122" s="518" t="str">
        <f>_xlfn.XLOOKUP(E122,'All Products'!D:D,'All Products'!L:L,FALSE)</f>
        <v>-</v>
      </c>
      <c r="T122" s="518" t="str">
        <f>_xlfn.XLOOKUP(E122,'All Products'!D:D,'All Products'!M:M,FALSE)</f>
        <v>-</v>
      </c>
      <c r="U122" s="206">
        <f>_xlfn.XLOOKUP(E122,'All Products'!D:D,'All Products'!N:N,FALSE)</f>
        <v>3.2250000000000001</v>
      </c>
    </row>
    <row r="123" spans="1:21">
      <c r="A123" s="101" t="str">
        <f>IF(L123&gt;0,COUNT($A$8:A122)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23" s="695"/>
      <c r="C123" s="611"/>
      <c r="D123" s="103" t="str">
        <f>_xlfn.XLOOKUP(E123,'All Products'!D:D,'All Products'!C:C,FALSE)</f>
        <v>T151-S</v>
      </c>
      <c r="E123" s="233">
        <v>100025638</v>
      </c>
      <c r="F123" s="464" t="str">
        <f>_xlfn.XLOOKUP(E123,'All Products'!D:D,'All Products'!E:E,FALSE)</f>
        <v>15X21 RCT LID SEWER GREEN</v>
      </c>
      <c r="G123" s="103" t="s">
        <v>1637</v>
      </c>
      <c r="H123" s="206" t="s">
        <v>1647</v>
      </c>
      <c r="I123" s="103">
        <f>_xlfn.XLOOKUP(E123,'All Products'!D:D,'All Products'!G:G,FALSE)</f>
        <v>1</v>
      </c>
      <c r="J123" s="103">
        <f>_xlfn.XLOOKUP(E123,'All Products'!D:D,'All Products'!H:H,FALSE)</f>
        <v>60.58</v>
      </c>
      <c r="K123" s="173">
        <f>ROUND(J123*Order_Quote!$L$19,2)</f>
        <v>60.58</v>
      </c>
      <c r="L123" s="75"/>
      <c r="M123" s="113"/>
      <c r="N123" s="171">
        <f t="shared" si="10"/>
        <v>0</v>
      </c>
      <c r="P123" s="206" t="str">
        <f>_xlfn.XLOOKUP(E123,'All Products'!D:D,'All Products'!I:I,FALSE)</f>
        <v>Within 3 Weeks</v>
      </c>
      <c r="Q123" s="206" t="str">
        <f>_xlfn.XLOOKUP(E123,'All Products'!D:D,'All Products'!J:J,FALSE)</f>
        <v>Manufactured</v>
      </c>
      <c r="R123" s="518" t="str">
        <f>_xlfn.XLOOKUP(E123,'All Products'!D:D,'All Products'!K:K,FALSE)</f>
        <v>-</v>
      </c>
      <c r="S123" s="518" t="str">
        <f>_xlfn.XLOOKUP(E123,'All Products'!D:D,'All Products'!L:L,FALSE)</f>
        <v>-</v>
      </c>
      <c r="T123" s="518" t="str">
        <f>_xlfn.XLOOKUP(E123,'All Products'!D:D,'All Products'!M:M,FALSE)</f>
        <v>-</v>
      </c>
      <c r="U123" s="206">
        <f>_xlfn.XLOOKUP(E123,'All Products'!D:D,'All Products'!N:N,FALSE)</f>
        <v>3.2250000000000001</v>
      </c>
    </row>
    <row r="124" spans="1:21">
      <c r="A124" s="101" t="str">
        <f>IF(L124&gt;0,COUNT($A$8:A123)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24" s="695"/>
      <c r="C124" s="611"/>
      <c r="D124" s="103" t="str">
        <f>_xlfn.XLOOKUP(E124,'All Products'!D:D,'All Products'!C:C,FALSE)</f>
        <v>T151-E</v>
      </c>
      <c r="E124" s="233">
        <v>100025636</v>
      </c>
      <c r="F124" s="464" t="str">
        <f>_xlfn.XLOOKUP(E124,'All Products'!D:D,'All Products'!E:E,FALSE)</f>
        <v>15X21 RCT LID ELECT JUNCT GRN</v>
      </c>
      <c r="G124" s="103" t="s">
        <v>1637</v>
      </c>
      <c r="H124" s="206" t="s">
        <v>1655</v>
      </c>
      <c r="I124" s="103">
        <f>_xlfn.XLOOKUP(E124,'All Products'!D:D,'All Products'!G:G,FALSE)</f>
        <v>1</v>
      </c>
      <c r="J124" s="103">
        <f>_xlfn.XLOOKUP(E124,'All Products'!D:D,'All Products'!H:H,FALSE)</f>
        <v>60.58</v>
      </c>
      <c r="K124" s="173">
        <f>ROUND(J124*Order_Quote!$L$19,2)</f>
        <v>60.58</v>
      </c>
      <c r="L124" s="75"/>
      <c r="M124" s="113"/>
      <c r="N124" s="171">
        <f t="shared" si="10"/>
        <v>0</v>
      </c>
      <c r="P124" s="206" t="str">
        <f>_xlfn.XLOOKUP(E124,'All Products'!D:D,'All Products'!I:I,FALSE)</f>
        <v>In Stock</v>
      </c>
      <c r="Q124" s="206" t="str">
        <f>_xlfn.XLOOKUP(E124,'All Products'!D:D,'All Products'!J:J,FALSE)</f>
        <v>Manufactured</v>
      </c>
      <c r="R124" s="518" t="str">
        <f>_xlfn.XLOOKUP(E124,'All Products'!D:D,'All Products'!K:K,FALSE)</f>
        <v>-</v>
      </c>
      <c r="S124" s="518" t="str">
        <f>_xlfn.XLOOKUP(E124,'All Products'!D:D,'All Products'!L:L,FALSE)</f>
        <v>-</v>
      </c>
      <c r="T124" s="518" t="str">
        <f>_xlfn.XLOOKUP(E124,'All Products'!D:D,'All Products'!M:M,FALSE)</f>
        <v>-</v>
      </c>
      <c r="U124" s="206">
        <f>_xlfn.XLOOKUP(E124,'All Products'!D:D,'All Products'!N:N,FALSE)</f>
        <v>3.2250000000000001</v>
      </c>
    </row>
    <row r="125" spans="1:21">
      <c r="A125" s="101" t="str">
        <f>IF(L125&gt;0,COUNT($A$8:A124)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25" s="695"/>
      <c r="C125" s="611"/>
      <c r="D125" s="103" t="str">
        <f>_xlfn.XLOOKUP(E125,'All Products'!D:D,'All Products'!C:C,FALSE)</f>
        <v>T154-E</v>
      </c>
      <c r="E125" s="233">
        <v>100025495</v>
      </c>
      <c r="F125" s="464" t="str">
        <f>_xlfn.XLOOKUP(E125,'All Products'!D:D,'All Products'!E:E,FALSE)</f>
        <v>15X21 RCT LID ELECT JUNCT</v>
      </c>
      <c r="G125" s="103" t="s">
        <v>1564</v>
      </c>
      <c r="H125" s="206" t="s">
        <v>1655</v>
      </c>
      <c r="I125" s="103">
        <f>_xlfn.XLOOKUP(E125,'All Products'!D:D,'All Products'!G:G,FALSE)</f>
        <v>1</v>
      </c>
      <c r="J125" s="103">
        <f>_xlfn.XLOOKUP(E125,'All Products'!D:D,'All Products'!H:H,FALSE)</f>
        <v>60.58</v>
      </c>
      <c r="K125" s="173">
        <f>ROUND(J125*Order_Quote!$L$19,2)</f>
        <v>60.58</v>
      </c>
      <c r="L125" s="75"/>
      <c r="M125" s="113"/>
      <c r="N125" s="171">
        <f t="shared" si="10"/>
        <v>0</v>
      </c>
      <c r="P125" s="206" t="str">
        <f>_xlfn.XLOOKUP(E125,'All Products'!D:D,'All Products'!I:I,FALSE)</f>
        <v>Within 3 Weeks</v>
      </c>
      <c r="Q125" s="206" t="str">
        <f>_xlfn.XLOOKUP(E125,'All Products'!D:D,'All Products'!J:J,FALSE)</f>
        <v>Manufactured</v>
      </c>
      <c r="R125" s="518">
        <f>_xlfn.XLOOKUP(E125,'All Products'!D:D,'All Products'!K:K,FALSE)</f>
        <v>49081801410</v>
      </c>
      <c r="S125" s="518" t="str">
        <f>_xlfn.XLOOKUP(E125,'All Products'!D:D,'All Products'!L:L,FALSE)</f>
        <v>-</v>
      </c>
      <c r="T125" s="518" t="str">
        <f>_xlfn.XLOOKUP(E125,'All Products'!D:D,'All Products'!M:M,FALSE)</f>
        <v>-</v>
      </c>
      <c r="U125" s="206">
        <f>_xlfn.XLOOKUP(E125,'All Products'!D:D,'All Products'!N:N,FALSE)</f>
        <v>3.2250000000000001</v>
      </c>
    </row>
    <row r="126" spans="1:21">
      <c r="A126" s="101" t="str">
        <f>IF(L126&gt;0,COUNT($A$8:A125)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26" s="695"/>
      <c r="C126" s="611"/>
      <c r="D126" s="103" t="str">
        <f>_xlfn.XLOOKUP(E126,'All Products'!D:D,'All Products'!C:C,FALSE)</f>
        <v>T151-L</v>
      </c>
      <c r="E126" s="233">
        <v>100025482</v>
      </c>
      <c r="F126" s="464" t="str">
        <f>_xlfn.XLOOKUP(E126,'All Products'!D:D,'All Products'!E:E,FALSE)</f>
        <v>15X21 RCT LID LOW VOLT LAND GRN</v>
      </c>
      <c r="G126" s="103" t="s">
        <v>1637</v>
      </c>
      <c r="H126" s="206" t="s">
        <v>1667</v>
      </c>
      <c r="I126" s="103">
        <f>_xlfn.XLOOKUP(E126,'All Products'!D:D,'All Products'!G:G,FALSE)</f>
        <v>1</v>
      </c>
      <c r="J126" s="103">
        <f>_xlfn.XLOOKUP(E126,'All Products'!D:D,'All Products'!H:H,FALSE)</f>
        <v>60.58</v>
      </c>
      <c r="K126" s="173">
        <f>ROUND(J126*Order_Quote!$L$19,2)</f>
        <v>60.58</v>
      </c>
      <c r="L126" s="75"/>
      <c r="M126" s="113"/>
      <c r="N126" s="171">
        <f t="shared" si="10"/>
        <v>0</v>
      </c>
      <c r="P126" s="206" t="str">
        <f>_xlfn.XLOOKUP(E126,'All Products'!D:D,'All Products'!I:I,FALSE)</f>
        <v>Within 3 Weeks</v>
      </c>
      <c r="Q126" s="206" t="str">
        <f>_xlfn.XLOOKUP(E126,'All Products'!D:D,'All Products'!J:J,FALSE)</f>
        <v>Manufactured</v>
      </c>
      <c r="R126" s="518">
        <f>_xlfn.XLOOKUP(E126,'All Products'!D:D,'All Products'!K:K,FALSE)</f>
        <v>49081801274</v>
      </c>
      <c r="S126" s="518" t="str">
        <f>_xlfn.XLOOKUP(E126,'All Products'!D:D,'All Products'!L:L,FALSE)</f>
        <v>-</v>
      </c>
      <c r="T126" s="518" t="str">
        <f>_xlfn.XLOOKUP(E126,'All Products'!D:D,'All Products'!M:M,FALSE)</f>
        <v>-</v>
      </c>
      <c r="U126" s="206">
        <f>_xlfn.XLOOKUP(E126,'All Products'!D:D,'All Products'!N:N,FALSE)</f>
        <v>3.2250000000000001</v>
      </c>
    </row>
    <row r="127" spans="1:21">
      <c r="A127" s="101" t="str">
        <f>IF(L127&gt;0,COUNT($A$8:A126)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27" s="695"/>
      <c r="C127" s="611"/>
      <c r="D127" s="103" t="str">
        <f>_xlfn.XLOOKUP(E127,'All Products'!D:D,'All Products'!C:C,FALSE)</f>
        <v>T154-L</v>
      </c>
      <c r="E127" s="233">
        <v>100025496</v>
      </c>
      <c r="F127" s="464" t="str">
        <f>_xlfn.XLOOKUP(E127,'All Products'!D:D,'All Products'!E:E,FALSE)</f>
        <v>15X21 RCT LID LOW VOLT LAND BLK</v>
      </c>
      <c r="G127" s="103" t="s">
        <v>1564</v>
      </c>
      <c r="H127" s="206" t="s">
        <v>1667</v>
      </c>
      <c r="I127" s="103">
        <f>_xlfn.XLOOKUP(E127,'All Products'!D:D,'All Products'!G:G,FALSE)</f>
        <v>1</v>
      </c>
      <c r="J127" s="103">
        <f>_xlfn.XLOOKUP(E127,'All Products'!D:D,'All Products'!H:H,FALSE)</f>
        <v>60.58</v>
      </c>
      <c r="K127" s="173">
        <f>ROUND(J127*Order_Quote!$L$19,2)</f>
        <v>60.58</v>
      </c>
      <c r="L127" s="75"/>
      <c r="M127" s="113"/>
      <c r="N127" s="171">
        <f t="shared" si="10"/>
        <v>0</v>
      </c>
      <c r="P127" s="206" t="str">
        <f>_xlfn.XLOOKUP(E127,'All Products'!D:D,'All Products'!I:I,FALSE)</f>
        <v>Within 3 Weeks</v>
      </c>
      <c r="Q127" s="206" t="str">
        <f>_xlfn.XLOOKUP(E127,'All Products'!D:D,'All Products'!J:J,FALSE)</f>
        <v>Manufactured</v>
      </c>
      <c r="R127" s="518">
        <f>_xlfn.XLOOKUP(E127,'All Products'!D:D,'All Products'!K:K,FALSE)</f>
        <v>49081801427</v>
      </c>
      <c r="S127" s="518" t="str">
        <f>_xlfn.XLOOKUP(E127,'All Products'!D:D,'All Products'!L:L,FALSE)</f>
        <v>-</v>
      </c>
      <c r="T127" s="518" t="str">
        <f>_xlfn.XLOOKUP(E127,'All Products'!D:D,'All Products'!M:M,FALSE)</f>
        <v>-</v>
      </c>
      <c r="U127" s="206">
        <f>_xlfn.XLOOKUP(E127,'All Products'!D:D,'All Products'!N:N,FALSE)</f>
        <v>3.2250000000000001</v>
      </c>
    </row>
    <row r="128" spans="1:21">
      <c r="A128" s="101" t="str">
        <f>IF(L128&gt;0,COUNT($A$8:A127)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28" s="695"/>
      <c r="C128" s="611"/>
      <c r="D128" s="103" t="str">
        <f>_xlfn.XLOOKUP(E128,'All Products'!D:D,'All Products'!C:C,FALSE)</f>
        <v>T151-T</v>
      </c>
      <c r="E128" s="233">
        <v>100025484</v>
      </c>
      <c r="F128" s="464" t="str">
        <f>_xlfn.XLOOKUP(E128,'All Products'!D:D,'All Products'!E:E,FALSE)</f>
        <v>15X21 RCT LID TELEPHONE GRN</v>
      </c>
      <c r="G128" s="103" t="s">
        <v>1637</v>
      </c>
      <c r="H128" s="206" t="s">
        <v>1707</v>
      </c>
      <c r="I128" s="103">
        <f>_xlfn.XLOOKUP(E128,'All Products'!D:D,'All Products'!G:G,FALSE)</f>
        <v>1</v>
      </c>
      <c r="J128" s="103">
        <f>_xlfn.XLOOKUP(E128,'All Products'!D:D,'All Products'!H:H,FALSE)</f>
        <v>60.58</v>
      </c>
      <c r="K128" s="173">
        <f>ROUND(J128*Order_Quote!$L$19,2)</f>
        <v>60.58</v>
      </c>
      <c r="L128" s="75"/>
      <c r="M128" s="113"/>
      <c r="N128" s="171">
        <f t="shared" si="10"/>
        <v>0</v>
      </c>
      <c r="P128" s="206" t="str">
        <f>_xlfn.XLOOKUP(E128,'All Products'!D:D,'All Products'!I:I,FALSE)</f>
        <v>Within 3 Weeks</v>
      </c>
      <c r="Q128" s="206" t="str">
        <f>_xlfn.XLOOKUP(E128,'All Products'!D:D,'All Products'!J:J,FALSE)</f>
        <v>Manufactured</v>
      </c>
      <c r="R128" s="518">
        <f>_xlfn.XLOOKUP(E128,'All Products'!D:D,'All Products'!K:K,FALSE)</f>
        <v>49081801304</v>
      </c>
      <c r="S128" s="518" t="str">
        <f>_xlfn.XLOOKUP(E128,'All Products'!D:D,'All Products'!L:L,FALSE)</f>
        <v>-</v>
      </c>
      <c r="T128" s="518" t="str">
        <f>_xlfn.XLOOKUP(E128,'All Products'!D:D,'All Products'!M:M,FALSE)</f>
        <v>-</v>
      </c>
      <c r="U128" s="206">
        <f>_xlfn.XLOOKUP(E128,'All Products'!D:D,'All Products'!N:N,FALSE)</f>
        <v>3.2250000000000001</v>
      </c>
    </row>
    <row r="129" spans="1:21">
      <c r="A129" s="101" t="str">
        <f>IF(L129&gt;0,COUNT($A$8:A128)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29" s="695"/>
      <c r="C129" s="611"/>
      <c r="D129" s="103" t="str">
        <f>_xlfn.XLOOKUP(E129,'All Products'!D:D,'All Products'!C:C,FALSE)</f>
        <v>T154-T</v>
      </c>
      <c r="E129" s="233">
        <v>100025497</v>
      </c>
      <c r="F129" s="464" t="str">
        <f>_xlfn.XLOOKUP(E129,'All Products'!D:D,'All Products'!E:E,FALSE)</f>
        <v>15X21 RCT LID TELEPHONE BLK</v>
      </c>
      <c r="G129" s="103" t="s">
        <v>1564</v>
      </c>
      <c r="H129" s="206" t="s">
        <v>1707</v>
      </c>
      <c r="I129" s="103">
        <f>_xlfn.XLOOKUP(E129,'All Products'!D:D,'All Products'!G:G,FALSE)</f>
        <v>1</v>
      </c>
      <c r="J129" s="103">
        <f>_xlfn.XLOOKUP(E129,'All Products'!D:D,'All Products'!H:H,FALSE)</f>
        <v>60.58</v>
      </c>
      <c r="K129" s="173">
        <f>ROUND(J129*Order_Quote!$L$19,2)</f>
        <v>60.58</v>
      </c>
      <c r="L129" s="75"/>
      <c r="M129" s="113"/>
      <c r="N129" s="171">
        <f t="shared" si="10"/>
        <v>0</v>
      </c>
      <c r="P129" s="206" t="str">
        <f>_xlfn.XLOOKUP(E129,'All Products'!D:D,'All Products'!I:I,FALSE)</f>
        <v>Within 3 Weeks</v>
      </c>
      <c r="Q129" s="206" t="str">
        <f>_xlfn.XLOOKUP(E129,'All Products'!D:D,'All Products'!J:J,FALSE)</f>
        <v>Manufactured</v>
      </c>
      <c r="R129" s="518">
        <f>_xlfn.XLOOKUP(E129,'All Products'!D:D,'All Products'!K:K,FALSE)</f>
        <v>49081801458</v>
      </c>
      <c r="S129" s="518" t="str">
        <f>_xlfn.XLOOKUP(E129,'All Products'!D:D,'All Products'!L:L,FALSE)</f>
        <v>-</v>
      </c>
      <c r="T129" s="518" t="str">
        <f>_xlfn.XLOOKUP(E129,'All Products'!D:D,'All Products'!M:M,FALSE)</f>
        <v>-</v>
      </c>
      <c r="U129" s="206">
        <f>_xlfn.XLOOKUP(E129,'All Products'!D:D,'All Products'!N:N,FALSE)</f>
        <v>3.2250000000000001</v>
      </c>
    </row>
    <row r="130" spans="1:21" ht="15" thickBot="1">
      <c r="A130" s="101" t="str">
        <f>IF(L130&gt;0,COUNT($A$8:A129)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30" s="696"/>
      <c r="C130" s="697"/>
      <c r="D130" s="103" t="str">
        <f>_xlfn.XLOOKUP(E130,'All Products'!D:D,'All Products'!C:C,FALSE)</f>
        <v>T151-G</v>
      </c>
      <c r="E130" s="461">
        <v>100025637</v>
      </c>
      <c r="F130" s="464" t="str">
        <f>_xlfn.XLOOKUP(E130,'All Products'!D:D,'All Products'!E:E,FALSE)</f>
        <v>15X21 RCT GAS LID GRN</v>
      </c>
      <c r="G130" s="138" t="s">
        <v>1637</v>
      </c>
      <c r="H130" s="207" t="s">
        <v>1831</v>
      </c>
      <c r="I130" s="103">
        <f>_xlfn.XLOOKUP(E130,'All Products'!D:D,'All Products'!G:G,FALSE)</f>
        <v>1</v>
      </c>
      <c r="J130" s="103">
        <f>_xlfn.XLOOKUP(E130,'All Products'!D:D,'All Products'!H:H,FALSE)</f>
        <v>60.58</v>
      </c>
      <c r="K130" s="181">
        <f>ROUND(J130*Order_Quote!$L$19,2)</f>
        <v>60.58</v>
      </c>
      <c r="L130" s="163"/>
      <c r="M130" s="113"/>
      <c r="N130" s="171">
        <f t="shared" si="10"/>
        <v>0</v>
      </c>
      <c r="P130" s="206" t="str">
        <f>_xlfn.XLOOKUP(E130,'All Products'!D:D,'All Products'!I:I,FALSE)</f>
        <v>Within 3 Weeks</v>
      </c>
      <c r="Q130" s="206" t="str">
        <f>_xlfn.XLOOKUP(E130,'All Products'!D:D,'All Products'!J:J,FALSE)</f>
        <v>Manufactured</v>
      </c>
      <c r="R130" s="518">
        <f>_xlfn.XLOOKUP(E130,'All Products'!D:D,'All Products'!K:K,FALSE)</f>
        <v>49081804381</v>
      </c>
      <c r="S130" s="518" t="str">
        <f>_xlfn.XLOOKUP(E130,'All Products'!D:D,'All Products'!L:L,FALSE)</f>
        <v>-</v>
      </c>
      <c r="T130" s="518" t="str">
        <f>_xlfn.XLOOKUP(E130,'All Products'!D:D,'All Products'!M:M,FALSE)</f>
        <v>-</v>
      </c>
      <c r="U130" s="206">
        <f>_xlfn.XLOOKUP(E130,'All Products'!D:D,'All Products'!N:N,FALSE)</f>
        <v>3.2250000000000001</v>
      </c>
    </row>
    <row r="131" spans="1:21" ht="16.2" thickBot="1">
      <c r="A131" s="101" t="str">
        <f>IF(L131&gt;0,COUNT($A$8:A130)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31" s="446" t="s">
        <v>2055</v>
      </c>
      <c r="C131" s="151"/>
      <c r="D131" s="151"/>
      <c r="E131" s="459"/>
      <c r="F131" s="151"/>
      <c r="G131" s="151"/>
      <c r="H131" s="151"/>
      <c r="I131" s="468"/>
      <c r="J131" s="468"/>
      <c r="K131" s="192"/>
      <c r="L131" s="358"/>
      <c r="M131" s="17"/>
      <c r="N131" s="545"/>
      <c r="O131" s="17"/>
      <c r="P131" s="357"/>
      <c r="Q131" s="145"/>
      <c r="R131" s="493"/>
      <c r="S131" s="493"/>
      <c r="T131" s="493"/>
      <c r="U131" s="151"/>
    </row>
    <row r="132" spans="1:21" ht="15" thickBot="1">
      <c r="A132" s="101" t="str">
        <f>IF(L132&gt;0,COUNT($A$8:A131)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32" s="708"/>
      <c r="C132" s="709"/>
      <c r="D132" s="103" t="str">
        <f>_xlfn.XLOOKUP(E132,'All Products'!D:D,'All Products'!C:C,FALSE)</f>
        <v>AP-120</v>
      </c>
      <c r="E132" s="462">
        <v>100025565</v>
      </c>
      <c r="F132" s="464" t="str">
        <f>_xlfn.XLOOKUP(E132,'All Products'!D:D,'All Products'!E:E,FALSE)</f>
        <v>ACCESSORY PLATE FOR DRY BOX BLK</v>
      </c>
      <c r="G132" s="156" t="s">
        <v>1475</v>
      </c>
      <c r="H132" s="210" t="s">
        <v>1475</v>
      </c>
      <c r="I132" s="103">
        <f>_xlfn.XLOOKUP(E132,'All Products'!D:D,'All Products'!G:G,FALSE)</f>
        <v>1</v>
      </c>
      <c r="J132" s="103">
        <f>_xlfn.XLOOKUP(E132,'All Products'!D:D,'All Products'!H:H,FALSE)</f>
        <v>40.56</v>
      </c>
      <c r="K132" s="191">
        <f>ROUND(J132*Order_Quote!$L$19,2)</f>
        <v>40.56</v>
      </c>
      <c r="L132" s="164"/>
      <c r="M132" s="113"/>
      <c r="N132" s="171">
        <f t="shared" si="10"/>
        <v>0</v>
      </c>
      <c r="P132" s="206" t="str">
        <f>_xlfn.XLOOKUP(E132,'All Products'!D:D,'All Products'!I:I,FALSE)</f>
        <v>Within 3 Weeks</v>
      </c>
      <c r="Q132" s="206" t="str">
        <f>_xlfn.XLOOKUP(E132,'All Products'!D:D,'All Products'!J:J,FALSE)</f>
        <v>Manufactured</v>
      </c>
      <c r="R132" s="518">
        <f>_xlfn.XLOOKUP(E132,'All Products'!D:D,'All Products'!K:K,FALSE)</f>
        <v>49081806200</v>
      </c>
      <c r="S132" s="518" t="str">
        <f>_xlfn.XLOOKUP(E132,'All Products'!D:D,'All Products'!L:L,FALSE)</f>
        <v>-</v>
      </c>
      <c r="T132" s="518" t="str">
        <f>_xlfn.XLOOKUP(E132,'All Products'!D:D,'All Products'!M:M,FALSE)</f>
        <v>-</v>
      </c>
      <c r="U132" s="206" t="str">
        <f>_xlfn.XLOOKUP(E132,'All Products'!D:D,'All Products'!N:N,FALSE)</f>
        <v xml:space="preserve"> </v>
      </c>
    </row>
    <row r="133" spans="1:21" ht="16.2" thickBot="1">
      <c r="A133" s="101" t="str">
        <f>IF(L133&gt;0,COUNT($A$8:A132)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33" s="446" t="s">
        <v>2058</v>
      </c>
      <c r="C133" s="151"/>
      <c r="D133" s="151"/>
      <c r="E133" s="459"/>
      <c r="F133" s="151"/>
      <c r="G133" s="151"/>
      <c r="H133" s="151"/>
      <c r="I133" s="468"/>
      <c r="J133" s="468"/>
      <c r="K133" s="192"/>
      <c r="L133" s="358"/>
      <c r="M133" s="17"/>
      <c r="N133" s="545"/>
      <c r="O133" s="17"/>
      <c r="P133" s="357"/>
      <c r="Q133" s="145"/>
      <c r="R133" s="493"/>
      <c r="S133" s="493"/>
      <c r="T133" s="493"/>
      <c r="U133" s="151"/>
    </row>
    <row r="134" spans="1:21">
      <c r="A134" s="101" t="str">
        <f>IF(L134&gt;0,COUNT($A$8:A133)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34" s="694"/>
      <c r="C134" s="683"/>
      <c r="D134" s="103" t="str">
        <f>_xlfn.XLOOKUP(E134,'All Products'!D:D,'All Products'!C:C,FALSE)</f>
        <v>DS-12</v>
      </c>
      <c r="E134" s="460">
        <v>100025591</v>
      </c>
      <c r="F134" s="464" t="str">
        <f>_xlfn.XLOOKUP(E134,'All Products'!D:D,'All Products'!E:E,FALSE)</f>
        <v>DIRT SKIRT W/GASKET, 120 SERIES</v>
      </c>
      <c r="G134" s="137" t="s">
        <v>1475</v>
      </c>
      <c r="H134" s="204" t="s">
        <v>1475</v>
      </c>
      <c r="I134" s="103">
        <f>_xlfn.XLOOKUP(E134,'All Products'!D:D,'All Products'!G:G,FALSE)</f>
        <v>1</v>
      </c>
      <c r="J134" s="103">
        <f>_xlfn.XLOOKUP(E134,'All Products'!D:D,'All Products'!H:H,FALSE)</f>
        <v>77.02</v>
      </c>
      <c r="K134" s="180">
        <f>ROUND(J134*Order_Quote!$L$19,2)</f>
        <v>77.02</v>
      </c>
      <c r="L134" s="165"/>
      <c r="M134" s="113"/>
      <c r="N134" s="171">
        <f>L134/I134</f>
        <v>0</v>
      </c>
      <c r="P134" s="206" t="str">
        <f>_xlfn.XLOOKUP(E134,'All Products'!D:D,'All Products'!I:I,FALSE)</f>
        <v>Within 3 Weeks</v>
      </c>
      <c r="Q134" s="206" t="str">
        <f>_xlfn.XLOOKUP(E134,'All Products'!D:D,'All Products'!J:J,FALSE)</f>
        <v>Manufactured</v>
      </c>
      <c r="R134" s="518">
        <f>_xlfn.XLOOKUP(E134,'All Products'!D:D,'All Products'!K:K,FALSE)</f>
        <v>49081809768</v>
      </c>
      <c r="S134" s="518" t="str">
        <f>_xlfn.XLOOKUP(E134,'All Products'!D:D,'All Products'!L:L,FALSE)</f>
        <v>-</v>
      </c>
      <c r="T134" s="518" t="str">
        <f>_xlfn.XLOOKUP(E134,'All Products'!D:D,'All Products'!M:M,FALSE)</f>
        <v>-</v>
      </c>
      <c r="U134" s="206">
        <f>_xlfn.XLOOKUP(E134,'All Products'!D:D,'All Products'!N:N,FALSE)</f>
        <v>4.66</v>
      </c>
    </row>
    <row r="135" spans="1:21">
      <c r="A135" s="101" t="str">
        <f>IF(L135&gt;0,COUNT($A$8:A134)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35" s="695"/>
      <c r="C135" s="611"/>
      <c r="D135" s="103" t="str">
        <f>_xlfn.XLOOKUP(E135,'All Products'!D:D,'All Products'!C:C,FALSE)</f>
        <v>DS-1204</v>
      </c>
      <c r="E135" s="233">
        <v>100025349</v>
      </c>
      <c r="F135" s="464" t="str">
        <f>_xlfn.XLOOKUP(E135,'All Products'!D:D,'All Products'!E:E,FALSE)</f>
        <v>DIRT SKIRT W/GASKET, 12" RND DB</v>
      </c>
      <c r="G135" s="103" t="s">
        <v>1475</v>
      </c>
      <c r="H135" s="206" t="s">
        <v>1475</v>
      </c>
      <c r="I135" s="103">
        <f>_xlfn.XLOOKUP(E135,'All Products'!D:D,'All Products'!G:G,FALSE)</f>
        <v>1</v>
      </c>
      <c r="J135" s="103">
        <f>_xlfn.XLOOKUP(E135,'All Products'!D:D,'All Products'!H:H,FALSE)</f>
        <v>33.65</v>
      </c>
      <c r="K135" s="173">
        <f>ROUND(J135*Order_Quote!$L$19,2)</f>
        <v>33.65</v>
      </c>
      <c r="L135" s="75"/>
      <c r="M135" s="113"/>
      <c r="N135" s="171">
        <f t="shared" ref="N135:N137" si="11">L135/I135</f>
        <v>0</v>
      </c>
      <c r="P135" s="206" t="str">
        <f>_xlfn.XLOOKUP(E135,'All Products'!D:D,'All Products'!I:I,FALSE)</f>
        <v>Within 3 Weeks</v>
      </c>
      <c r="Q135" s="206" t="str">
        <f>_xlfn.XLOOKUP(E135,'All Products'!D:D,'All Products'!J:J,FALSE)</f>
        <v>Manufactured</v>
      </c>
      <c r="R135" s="518">
        <f>_xlfn.XLOOKUP(E135,'All Products'!D:D,'All Products'!K:K,FALSE)</f>
        <v>49081809775</v>
      </c>
      <c r="S135" s="518" t="str">
        <f>_xlfn.XLOOKUP(E135,'All Products'!D:D,'All Products'!L:L,FALSE)</f>
        <v>-</v>
      </c>
      <c r="T135" s="518" t="str">
        <f>_xlfn.XLOOKUP(E135,'All Products'!D:D,'All Products'!M:M,FALSE)</f>
        <v>-</v>
      </c>
      <c r="U135" s="206">
        <f>_xlfn.XLOOKUP(E135,'All Products'!D:D,'All Products'!N:N,FALSE)</f>
        <v>1.0149999999999999</v>
      </c>
    </row>
    <row r="136" spans="1:21">
      <c r="A136" s="101" t="str">
        <f>IF(L136&gt;0,COUNT($A$8:A135)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36" s="695"/>
      <c r="C136" s="611"/>
      <c r="D136" s="103" t="str">
        <f>_xlfn.XLOOKUP(E136,'All Products'!D:D,'All Products'!C:C,FALSE)</f>
        <v>DS-6</v>
      </c>
      <c r="E136" s="233">
        <v>100025592</v>
      </c>
      <c r="F136" s="464" t="str">
        <f>_xlfn.XLOOKUP(E136,'All Products'!D:D,'All Products'!E:E,FALSE)</f>
        <v>DIRT SKIRT W/GASKET, 120-6 SERIES</v>
      </c>
      <c r="G136" s="103" t="s">
        <v>1475</v>
      </c>
      <c r="H136" s="206" t="s">
        <v>1475</v>
      </c>
      <c r="I136" s="103">
        <f>_xlfn.XLOOKUP(E136,'All Products'!D:D,'All Products'!G:G,FALSE)</f>
        <v>1</v>
      </c>
      <c r="J136" s="103">
        <f>_xlfn.XLOOKUP(E136,'All Products'!D:D,'All Products'!H:H,FALSE)</f>
        <v>77.02</v>
      </c>
      <c r="K136" s="173">
        <f>ROUND(J136*Order_Quote!$L$19,2)</f>
        <v>77.02</v>
      </c>
      <c r="L136" s="75"/>
      <c r="M136" s="113"/>
      <c r="N136" s="171">
        <f t="shared" si="11"/>
        <v>0</v>
      </c>
      <c r="P136" s="206" t="str">
        <f>_xlfn.XLOOKUP(E136,'All Products'!D:D,'All Products'!I:I,FALSE)</f>
        <v>Within 3 Weeks</v>
      </c>
      <c r="Q136" s="206" t="str">
        <f>_xlfn.XLOOKUP(E136,'All Products'!D:D,'All Products'!J:J,FALSE)</f>
        <v>Manufactured</v>
      </c>
      <c r="R136" s="518">
        <f>_xlfn.XLOOKUP(E136,'All Products'!D:D,'All Products'!K:K,FALSE)</f>
        <v>49081806668</v>
      </c>
      <c r="S136" s="518" t="str">
        <f>_xlfn.XLOOKUP(E136,'All Products'!D:D,'All Products'!L:L,FALSE)</f>
        <v>-</v>
      </c>
      <c r="T136" s="518" t="str">
        <f>_xlfn.XLOOKUP(E136,'All Products'!D:D,'All Products'!M:M,FALSE)</f>
        <v>-</v>
      </c>
      <c r="U136" s="206">
        <f>_xlfn.XLOOKUP(E136,'All Products'!D:D,'All Products'!N:N,FALSE)</f>
        <v>3.863</v>
      </c>
    </row>
    <row r="137" spans="1:21" ht="15" thickBot="1">
      <c r="A137" s="101" t="str">
        <f>IF(L137&gt;0,COUNT($A$8:A136)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37" s="696"/>
      <c r="C137" s="697"/>
      <c r="D137" s="103" t="str">
        <f>_xlfn.XLOOKUP(E137,'All Products'!D:D,'All Products'!C:C,FALSE)</f>
        <v>12DS</v>
      </c>
      <c r="E137" s="461">
        <v>100025564</v>
      </c>
      <c r="F137" s="464" t="str">
        <f>_xlfn.XLOOKUP(E137,'All Products'!D:D,'All Products'!E:E,FALSE)</f>
        <v>DIRT SKIRT, W/GASKET STD DRY BX</v>
      </c>
      <c r="G137" s="138" t="s">
        <v>1475</v>
      </c>
      <c r="H137" s="207" t="s">
        <v>1475</v>
      </c>
      <c r="I137" s="103">
        <f>_xlfn.XLOOKUP(E137,'All Products'!D:D,'All Products'!G:G,FALSE)</f>
        <v>1</v>
      </c>
      <c r="J137" s="103">
        <f>_xlfn.XLOOKUP(E137,'All Products'!D:D,'All Products'!H:H,FALSE)</f>
        <v>128.4</v>
      </c>
      <c r="K137" s="181">
        <f>ROUND(J137*Order_Quote!$L$19,2)</f>
        <v>128.4</v>
      </c>
      <c r="L137" s="163"/>
      <c r="M137" s="113"/>
      <c r="N137" s="171">
        <f t="shared" si="11"/>
        <v>0</v>
      </c>
      <c r="P137" s="206" t="str">
        <f>_xlfn.XLOOKUP(E137,'All Products'!D:D,'All Products'!I:I,FALSE)</f>
        <v>In Stock</v>
      </c>
      <c r="Q137" s="206" t="str">
        <f>_xlfn.XLOOKUP(E137,'All Products'!D:D,'All Products'!J:J,FALSE)</f>
        <v>Manufactured</v>
      </c>
      <c r="R137" s="518">
        <f>_xlfn.XLOOKUP(E137,'All Products'!D:D,'All Products'!K:K,FALSE)</f>
        <v>49081805418</v>
      </c>
      <c r="S137" s="518" t="str">
        <f>_xlfn.XLOOKUP(E137,'All Products'!D:D,'All Products'!L:L,FALSE)</f>
        <v>-</v>
      </c>
      <c r="T137" s="518" t="str">
        <f>_xlfn.XLOOKUP(E137,'All Products'!D:D,'All Products'!M:M,FALSE)</f>
        <v>-</v>
      </c>
      <c r="U137" s="206">
        <f>_xlfn.XLOOKUP(E137,'All Products'!D:D,'All Products'!N:N,FALSE)</f>
        <v>3.8740000000000001</v>
      </c>
    </row>
    <row r="138" spans="1:21" ht="16.2" thickBot="1">
      <c r="A138" s="101" t="str">
        <f>IF(L138&gt;0,COUNT($A$8:A137)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38" s="446" t="s">
        <v>2067</v>
      </c>
      <c r="C138" s="151"/>
      <c r="D138" s="151"/>
      <c r="E138" s="459"/>
      <c r="F138" s="151"/>
      <c r="G138" s="151"/>
      <c r="H138" s="151"/>
      <c r="I138" s="468"/>
      <c r="J138" s="468"/>
      <c r="K138" s="192"/>
      <c r="L138" s="358"/>
      <c r="M138" s="17"/>
      <c r="N138" s="545"/>
      <c r="O138" s="17"/>
      <c r="P138" s="357"/>
      <c r="Q138" s="145"/>
      <c r="R138" s="493"/>
      <c r="S138" s="493"/>
      <c r="T138" s="493"/>
      <c r="U138" s="358"/>
    </row>
    <row r="139" spans="1:21">
      <c r="A139" s="101" t="str">
        <f>IF(L139&gt;0,COUNT($A$8:A138)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39" s="695"/>
      <c r="C139" s="611"/>
      <c r="D139" s="153" t="str">
        <f>_xlfn.XLOOKUP(E139,'All Products'!D:D,'All Products'!C:C,FALSE)</f>
        <v>DS-12-SEAL</v>
      </c>
      <c r="E139" s="550">
        <v>100025352</v>
      </c>
      <c r="F139" s="551" t="str">
        <f>_xlfn.XLOOKUP(E139,'All Products'!D:D,'All Products'!E:E,FALSE)</f>
        <v>DIRT SKIRT GASKET (120 STD BOX)</v>
      </c>
      <c r="G139" s="153" t="s">
        <v>1475</v>
      </c>
      <c r="H139" s="543" t="s">
        <v>1475</v>
      </c>
      <c r="I139" s="153">
        <f>_xlfn.XLOOKUP(E139,'All Products'!D:D,'All Products'!G:G,FALSE)</f>
        <v>1</v>
      </c>
      <c r="J139" s="153">
        <f>_xlfn.XLOOKUP(E139,'All Products'!D:D,'All Products'!H:H,FALSE)</f>
        <v>11.35</v>
      </c>
      <c r="K139" s="255">
        <f>ROUND(J139*Order_Quote!$L$19,2)</f>
        <v>11.35</v>
      </c>
      <c r="L139" s="161"/>
      <c r="M139" s="113"/>
      <c r="N139" s="171">
        <f>L139/I139</f>
        <v>0</v>
      </c>
      <c r="P139" s="543" t="str">
        <f>_xlfn.XLOOKUP(E139,'All Products'!D:D,'All Products'!I:I,FALSE)</f>
        <v>Within 3 Weeks</v>
      </c>
      <c r="Q139" s="543" t="str">
        <f>_xlfn.XLOOKUP(E139,'All Products'!D:D,'All Products'!J:J,FALSE)</f>
        <v>Manufactured</v>
      </c>
      <c r="R139" s="548">
        <f>_xlfn.XLOOKUP(E139,'All Products'!D:D,'All Products'!K:K,FALSE)</f>
        <v>49081809799</v>
      </c>
      <c r="S139" s="548" t="str">
        <f>_xlfn.XLOOKUP(E139,'All Products'!D:D,'All Products'!L:L,FALSE)</f>
        <v>-</v>
      </c>
      <c r="T139" s="548" t="str">
        <f>_xlfn.XLOOKUP(E139,'All Products'!D:D,'All Products'!M:M,FALSE)</f>
        <v>-</v>
      </c>
      <c r="U139" s="543">
        <f>_xlfn.XLOOKUP(E139,'All Products'!D:D,'All Products'!N:N,FALSE)</f>
        <v>0.12</v>
      </c>
    </row>
    <row r="140" spans="1:21">
      <c r="A140" s="101" t="str">
        <f>IF(L140&gt;0,COUNT($A$8:A139)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40" s="695"/>
      <c r="C140" s="611"/>
      <c r="D140" s="103" t="str">
        <f>_xlfn.XLOOKUP(E140,'All Products'!D:D,'All Products'!C:C,FALSE)</f>
        <v>DS-6-SEAL</v>
      </c>
      <c r="E140" s="233">
        <v>100025353</v>
      </c>
      <c r="F140" s="464" t="str">
        <f>_xlfn.XLOOKUP(E140,'All Products'!D:D,'All Products'!E:E,FALSE)</f>
        <v>DIRT SKIRT GASKET (-6 BOX ONLY)</v>
      </c>
      <c r="G140" s="103" t="s">
        <v>1475</v>
      </c>
      <c r="H140" s="206" t="s">
        <v>1475</v>
      </c>
      <c r="I140" s="103">
        <f>_xlfn.XLOOKUP(E140,'All Products'!D:D,'All Products'!G:G,FALSE)</f>
        <v>1</v>
      </c>
      <c r="J140" s="103">
        <f>_xlfn.XLOOKUP(E140,'All Products'!D:D,'All Products'!H:H,FALSE)</f>
        <v>8.1</v>
      </c>
      <c r="K140" s="173">
        <f>ROUND(J140*Order_Quote!$L$19,2)</f>
        <v>8.1</v>
      </c>
      <c r="L140" s="75"/>
      <c r="M140" s="113"/>
      <c r="N140" s="171">
        <f t="shared" ref="N140:N141" si="12">L140/I140</f>
        <v>0</v>
      </c>
      <c r="P140" s="206" t="str">
        <f>_xlfn.XLOOKUP(E140,'All Products'!D:D,'All Products'!I:I,FALSE)</f>
        <v>Within 3 Weeks</v>
      </c>
      <c r="Q140" s="206" t="str">
        <f>_xlfn.XLOOKUP(E140,'All Products'!D:D,'All Products'!J:J,FALSE)</f>
        <v>Manufactured</v>
      </c>
      <c r="R140" s="518">
        <f>_xlfn.XLOOKUP(E140,'All Products'!D:D,'All Products'!K:K,FALSE)</f>
        <v>49081809805</v>
      </c>
      <c r="S140" s="518" t="str">
        <f>_xlfn.XLOOKUP(E140,'All Products'!D:D,'All Products'!L:L,FALSE)</f>
        <v>-</v>
      </c>
      <c r="T140" s="518" t="str">
        <f>_xlfn.XLOOKUP(E140,'All Products'!D:D,'All Products'!M:M,FALSE)</f>
        <v>-</v>
      </c>
      <c r="U140" s="206">
        <f>_xlfn.XLOOKUP(E140,'All Products'!D:D,'All Products'!N:N,FALSE)</f>
        <v>9.4E-2</v>
      </c>
    </row>
    <row r="141" spans="1:21" ht="15" thickBot="1">
      <c r="A141" s="101" t="str">
        <f>IF(L141&gt;0,COUNT($A$8:A140)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+COUNT(ValveBox!$A$9:$A$123)+1,"")</f>
        <v/>
      </c>
      <c r="B141" s="696"/>
      <c r="C141" s="697"/>
      <c r="D141" s="138" t="str">
        <f>_xlfn.XLOOKUP(E141,'All Products'!D:D,'All Products'!C:C,FALSE)</f>
        <v>DSG-1</v>
      </c>
      <c r="E141" s="461">
        <v>100025355</v>
      </c>
      <c r="F141" s="466" t="str">
        <f>_xlfn.XLOOKUP(E141,'All Products'!D:D,'All Products'!E:E,FALSE)</f>
        <v>DIRT SKIRT GASKET DRY BOX ONLY</v>
      </c>
      <c r="G141" s="138" t="s">
        <v>1475</v>
      </c>
      <c r="H141" s="207" t="s">
        <v>1475</v>
      </c>
      <c r="I141" s="138">
        <f>_xlfn.XLOOKUP(E141,'All Products'!D:D,'All Products'!G:G,FALSE)</f>
        <v>1</v>
      </c>
      <c r="J141" s="138">
        <f>_xlfn.XLOOKUP(E141,'All Products'!D:D,'All Products'!H:H,FALSE)</f>
        <v>7.9</v>
      </c>
      <c r="K141" s="181">
        <f>ROUND(J141*Order_Quote!$L$19,2)</f>
        <v>7.9</v>
      </c>
      <c r="L141" s="163"/>
      <c r="M141" s="354"/>
      <c r="N141" s="546">
        <f t="shared" si="12"/>
        <v>0</v>
      </c>
      <c r="P141" s="207" t="str">
        <f>_xlfn.XLOOKUP(E141,'All Products'!D:D,'All Products'!I:I,FALSE)</f>
        <v>Within 3 Weeks</v>
      </c>
      <c r="Q141" s="207" t="str">
        <f>_xlfn.XLOOKUP(E141,'All Products'!D:D,'All Products'!J:J,FALSE)</f>
        <v>Manufactured</v>
      </c>
      <c r="R141" s="519">
        <f>_xlfn.XLOOKUP(E141,'All Products'!D:D,'All Products'!K:K,FALSE)</f>
        <v>49081809812</v>
      </c>
      <c r="S141" s="519" t="str">
        <f>_xlfn.XLOOKUP(E141,'All Products'!D:D,'All Products'!L:L,FALSE)</f>
        <v>-</v>
      </c>
      <c r="T141" s="519" t="str">
        <f>_xlfn.XLOOKUP(E141,'All Products'!D:D,'All Products'!M:M,FALSE)</f>
        <v>-</v>
      </c>
      <c r="U141" s="207">
        <f>_xlfn.XLOOKUP(E141,'All Products'!D:D,'All Products'!N:N,FALSE)</f>
        <v>0.106</v>
      </c>
    </row>
    <row r="142" spans="1:21">
      <c r="A142" s="101">
        <f>MAX(A9:A141)+1</f>
        <v>1</v>
      </c>
      <c r="B142" s="139"/>
      <c r="C142" s="139"/>
      <c r="D142" s="139"/>
      <c r="E142" s="463"/>
      <c r="F142" s="139"/>
      <c r="G142" s="141"/>
      <c r="H142" s="208"/>
      <c r="I142" s="139"/>
      <c r="J142" s="139"/>
      <c r="K142" s="209"/>
      <c r="L142" s="139"/>
      <c r="M142" s="139"/>
      <c r="N142" s="139"/>
      <c r="O142" s="17"/>
      <c r="P142" s="208"/>
      <c r="Q142" s="208"/>
      <c r="R142" s="520"/>
      <c r="S142" s="520"/>
      <c r="T142" s="520"/>
      <c r="U142" s="139"/>
    </row>
    <row r="143" spans="1:21">
      <c r="B143" s="139"/>
      <c r="C143" s="139"/>
      <c r="D143" s="139"/>
      <c r="E143" s="463"/>
      <c r="F143" s="139"/>
      <c r="G143" s="141"/>
      <c r="H143" s="208"/>
      <c r="I143" s="139"/>
      <c r="J143" s="139"/>
      <c r="K143" s="209"/>
      <c r="L143" s="139"/>
      <c r="M143" s="139"/>
      <c r="N143" s="139"/>
      <c r="P143" s="208"/>
      <c r="Q143" s="208"/>
      <c r="R143" s="520"/>
      <c r="S143" s="520"/>
      <c r="T143" s="520"/>
      <c r="U143" s="139"/>
    </row>
    <row r="144" spans="1:21">
      <c r="B144" s="139"/>
      <c r="C144" s="139"/>
      <c r="D144" s="139"/>
      <c r="E144" s="463"/>
      <c r="F144" s="139"/>
      <c r="G144" s="141"/>
      <c r="H144" s="208"/>
      <c r="I144" s="139"/>
      <c r="J144" s="139"/>
      <c r="K144" s="209"/>
      <c r="L144" s="139"/>
      <c r="M144" s="139"/>
      <c r="N144" s="139"/>
      <c r="P144" s="208"/>
      <c r="Q144" s="208"/>
      <c r="R144" s="520"/>
      <c r="S144" s="520"/>
      <c r="T144" s="520"/>
      <c r="U144" s="139"/>
    </row>
    <row r="145" spans="2:21">
      <c r="B145" s="139"/>
      <c r="C145" s="139"/>
      <c r="D145" s="139"/>
      <c r="E145" s="463"/>
      <c r="F145" s="139"/>
      <c r="G145" s="141"/>
      <c r="H145" s="208"/>
      <c r="I145" s="139"/>
      <c r="J145" s="139"/>
      <c r="K145" s="209"/>
      <c r="L145" s="139"/>
      <c r="M145" s="139"/>
      <c r="N145" s="139"/>
      <c r="P145" s="208"/>
      <c r="Q145" s="208"/>
      <c r="R145" s="520"/>
      <c r="S145" s="520"/>
      <c r="T145" s="520"/>
      <c r="U145" s="139"/>
    </row>
    <row r="146" spans="2:21">
      <c r="B146" s="139"/>
      <c r="C146" s="139"/>
      <c r="D146" s="139"/>
      <c r="E146" s="463"/>
      <c r="F146" s="139"/>
      <c r="G146" s="141"/>
      <c r="H146" s="208"/>
      <c r="I146" s="139"/>
      <c r="J146" s="139"/>
      <c r="K146" s="209"/>
      <c r="L146" s="139"/>
      <c r="M146" s="139"/>
      <c r="N146" s="139"/>
      <c r="P146" s="208"/>
      <c r="Q146" s="208"/>
      <c r="R146" s="520"/>
      <c r="S146" s="520"/>
      <c r="T146" s="520"/>
      <c r="U146" s="139"/>
    </row>
    <row r="147" spans="2:21">
      <c r="B147" s="139"/>
      <c r="C147" s="139"/>
      <c r="D147" s="139"/>
      <c r="E147" s="463"/>
      <c r="F147" s="139"/>
      <c r="G147" s="141"/>
      <c r="H147" s="208"/>
      <c r="I147" s="139"/>
      <c r="J147" s="139"/>
      <c r="K147" s="209"/>
      <c r="L147" s="139"/>
      <c r="M147" s="139"/>
      <c r="N147" s="139"/>
      <c r="P147" s="208"/>
      <c r="Q147" s="208"/>
      <c r="R147" s="520"/>
      <c r="S147" s="520"/>
      <c r="T147" s="520"/>
      <c r="U147" s="139"/>
    </row>
    <row r="148" spans="2:21">
      <c r="B148" s="139"/>
      <c r="C148" s="139"/>
      <c r="D148" s="139"/>
      <c r="E148" s="463"/>
      <c r="F148" s="139"/>
      <c r="G148" s="141"/>
      <c r="H148" s="208"/>
      <c r="I148" s="139"/>
      <c r="J148" s="139"/>
      <c r="K148" s="209"/>
      <c r="L148" s="139"/>
      <c r="M148" s="139"/>
      <c r="N148" s="139"/>
      <c r="P148" s="208"/>
      <c r="Q148" s="208"/>
      <c r="R148" s="520"/>
      <c r="S148" s="520"/>
      <c r="T148" s="520"/>
      <c r="U148" s="139"/>
    </row>
    <row r="149" spans="2:21">
      <c r="B149" s="139"/>
      <c r="C149" s="139"/>
      <c r="D149" s="139"/>
      <c r="E149" s="463"/>
      <c r="F149" s="139"/>
      <c r="G149" s="141"/>
      <c r="H149" s="208"/>
      <c r="I149" s="139"/>
      <c r="J149" s="139"/>
      <c r="K149" s="209"/>
      <c r="L149" s="139"/>
      <c r="M149" s="139"/>
      <c r="N149" s="139"/>
      <c r="P149" s="208"/>
      <c r="Q149" s="208"/>
      <c r="R149" s="520"/>
      <c r="S149" s="520"/>
      <c r="T149" s="520"/>
      <c r="U149" s="139"/>
    </row>
    <row r="150" spans="2:21">
      <c r="B150" s="139"/>
      <c r="C150" s="139"/>
      <c r="D150" s="139"/>
      <c r="E150" s="463"/>
      <c r="F150" s="139"/>
      <c r="G150" s="141"/>
      <c r="H150" s="208"/>
      <c r="I150" s="139"/>
      <c r="J150" s="139"/>
      <c r="K150" s="209"/>
      <c r="L150" s="139"/>
      <c r="M150" s="139"/>
      <c r="N150" s="139"/>
      <c r="P150" s="208"/>
      <c r="Q150" s="208"/>
      <c r="R150" s="520"/>
      <c r="S150" s="520"/>
      <c r="T150" s="520"/>
      <c r="U150" s="139"/>
    </row>
    <row r="151" spans="2:21">
      <c r="B151" s="139"/>
      <c r="C151" s="139"/>
      <c r="D151" s="139"/>
      <c r="E151" s="463"/>
      <c r="F151" s="139"/>
      <c r="G151" s="141"/>
      <c r="H151" s="208"/>
      <c r="I151" s="139"/>
      <c r="J151" s="139"/>
      <c r="K151" s="209"/>
      <c r="L151" s="139"/>
      <c r="M151" s="139"/>
      <c r="N151" s="139"/>
      <c r="P151" s="208"/>
      <c r="Q151" s="208"/>
      <c r="R151" s="520"/>
      <c r="S151" s="520"/>
      <c r="T151" s="520"/>
      <c r="U151" s="139"/>
    </row>
    <row r="152" spans="2:21">
      <c r="B152" s="139"/>
      <c r="C152" s="139"/>
      <c r="D152" s="139"/>
      <c r="E152" s="463"/>
      <c r="F152" s="139"/>
      <c r="G152" s="141"/>
      <c r="H152" s="208"/>
      <c r="I152" s="139"/>
      <c r="J152" s="139"/>
      <c r="K152" s="209"/>
      <c r="L152" s="139"/>
      <c r="M152" s="139"/>
      <c r="N152" s="139"/>
      <c r="P152" s="208"/>
      <c r="Q152" s="208"/>
      <c r="R152" s="520"/>
      <c r="S152" s="520"/>
      <c r="T152" s="520"/>
      <c r="U152" s="139"/>
    </row>
    <row r="153" spans="2:21">
      <c r="B153" s="139"/>
      <c r="C153" s="139"/>
      <c r="D153" s="139"/>
      <c r="E153" s="463"/>
      <c r="F153" s="139"/>
      <c r="G153" s="141"/>
      <c r="H153" s="208"/>
      <c r="I153" s="139"/>
      <c r="J153" s="139"/>
      <c r="K153" s="209"/>
      <c r="L153" s="139"/>
      <c r="M153" s="139"/>
      <c r="N153" s="139"/>
      <c r="P153" s="208"/>
      <c r="Q153" s="208"/>
      <c r="R153" s="520"/>
      <c r="S153" s="520"/>
      <c r="T153" s="520"/>
      <c r="U153" s="139"/>
    </row>
    <row r="154" spans="2:21">
      <c r="B154" s="139"/>
      <c r="C154" s="139"/>
      <c r="D154" s="139"/>
      <c r="E154" s="463"/>
      <c r="F154" s="139"/>
      <c r="G154" s="141"/>
      <c r="H154" s="208"/>
      <c r="I154" s="139"/>
      <c r="J154" s="139"/>
      <c r="K154" s="209"/>
      <c r="L154" s="139"/>
      <c r="M154" s="139"/>
      <c r="N154" s="139"/>
      <c r="P154" s="208"/>
      <c r="Q154" s="208"/>
      <c r="R154" s="520"/>
      <c r="S154" s="520"/>
      <c r="T154" s="520"/>
      <c r="U154" s="139"/>
    </row>
    <row r="155" spans="2:21">
      <c r="B155" s="139"/>
      <c r="C155" s="139"/>
      <c r="D155" s="139"/>
      <c r="E155" s="463"/>
      <c r="F155" s="139"/>
      <c r="G155" s="141"/>
      <c r="H155" s="208"/>
      <c r="I155" s="139"/>
      <c r="J155" s="139"/>
      <c r="K155" s="209"/>
      <c r="L155" s="139"/>
      <c r="M155" s="139"/>
      <c r="N155" s="139"/>
      <c r="P155" s="208"/>
      <c r="Q155" s="208"/>
      <c r="R155" s="520"/>
      <c r="S155" s="520"/>
      <c r="T155" s="520"/>
      <c r="U155" s="139"/>
    </row>
    <row r="156" spans="2:21">
      <c r="B156" s="139"/>
      <c r="C156" s="139"/>
      <c r="D156" s="139"/>
      <c r="E156" s="463"/>
      <c r="F156" s="139"/>
      <c r="G156" s="141"/>
      <c r="H156" s="208"/>
      <c r="I156" s="139"/>
      <c r="J156" s="139"/>
      <c r="K156" s="209"/>
      <c r="L156" s="139"/>
      <c r="M156" s="139"/>
      <c r="N156" s="139"/>
      <c r="P156" s="208"/>
      <c r="Q156" s="208"/>
      <c r="R156" s="520"/>
      <c r="S156" s="520"/>
      <c r="T156" s="520"/>
      <c r="U156" s="139"/>
    </row>
    <row r="157" spans="2:21">
      <c r="B157" s="139"/>
      <c r="C157" s="139"/>
      <c r="D157" s="139"/>
      <c r="E157" s="463"/>
      <c r="F157" s="139"/>
      <c r="G157" s="141"/>
      <c r="H157" s="208"/>
      <c r="I157" s="139"/>
      <c r="J157" s="139"/>
      <c r="K157" s="209"/>
      <c r="L157" s="139"/>
      <c r="M157" s="139"/>
      <c r="N157" s="139"/>
      <c r="P157" s="208"/>
      <c r="Q157" s="208"/>
      <c r="R157" s="520"/>
      <c r="S157" s="520"/>
      <c r="T157" s="520"/>
      <c r="U157" s="139"/>
    </row>
    <row r="158" spans="2:21">
      <c r="B158" s="139"/>
      <c r="C158" s="139"/>
      <c r="D158" s="139"/>
      <c r="E158" s="463"/>
      <c r="F158" s="139"/>
      <c r="G158" s="141"/>
      <c r="H158" s="208"/>
      <c r="I158" s="139"/>
      <c r="J158" s="139"/>
      <c r="K158" s="209"/>
      <c r="L158" s="139"/>
      <c r="M158" s="139"/>
      <c r="N158" s="139"/>
      <c r="P158" s="208"/>
      <c r="Q158" s="208"/>
      <c r="R158" s="520"/>
      <c r="S158" s="520"/>
      <c r="T158" s="520"/>
      <c r="U158" s="139"/>
    </row>
    <row r="159" spans="2:21">
      <c r="B159" s="139"/>
      <c r="C159" s="139"/>
      <c r="D159" s="139"/>
      <c r="E159" s="463"/>
      <c r="F159" s="139"/>
      <c r="G159" s="141"/>
      <c r="H159" s="208"/>
      <c r="I159" s="139"/>
      <c r="J159" s="139"/>
      <c r="K159" s="209"/>
      <c r="L159" s="139"/>
      <c r="M159" s="139"/>
      <c r="N159" s="139"/>
      <c r="P159" s="208"/>
      <c r="Q159" s="208"/>
      <c r="R159" s="520"/>
      <c r="S159" s="520"/>
      <c r="T159" s="520"/>
      <c r="U159" s="139"/>
    </row>
    <row r="160" spans="2:21">
      <c r="B160" s="139"/>
      <c r="C160" s="139"/>
      <c r="D160" s="139"/>
      <c r="E160" s="463"/>
      <c r="F160" s="139"/>
      <c r="G160" s="141"/>
      <c r="H160" s="208"/>
      <c r="I160" s="139"/>
      <c r="J160" s="139"/>
      <c r="K160" s="209"/>
      <c r="L160" s="139"/>
      <c r="M160" s="139"/>
      <c r="N160" s="139"/>
      <c r="P160" s="208"/>
      <c r="Q160" s="208"/>
      <c r="R160" s="520"/>
      <c r="S160" s="520"/>
      <c r="T160" s="520"/>
      <c r="U160" s="139"/>
    </row>
    <row r="161" spans="2:21">
      <c r="B161" s="139"/>
      <c r="C161" s="139"/>
      <c r="D161" s="139"/>
      <c r="E161" s="463"/>
      <c r="F161" s="139"/>
      <c r="G161" s="141"/>
      <c r="H161" s="208"/>
      <c r="I161" s="139"/>
      <c r="J161" s="139"/>
      <c r="K161" s="209"/>
      <c r="L161" s="139"/>
      <c r="M161" s="139"/>
      <c r="N161" s="139"/>
      <c r="P161" s="208"/>
      <c r="Q161" s="208"/>
      <c r="R161" s="520"/>
      <c r="S161" s="520"/>
      <c r="T161" s="520"/>
      <c r="U161" s="139"/>
    </row>
    <row r="162" spans="2:21">
      <c r="B162" s="139"/>
      <c r="C162" s="139"/>
      <c r="D162" s="139"/>
      <c r="E162" s="463"/>
      <c r="F162" s="139"/>
      <c r="G162" s="141"/>
      <c r="H162" s="208"/>
      <c r="I162" s="139"/>
      <c r="J162" s="139"/>
      <c r="K162" s="209"/>
      <c r="L162" s="139"/>
      <c r="M162" s="139"/>
      <c r="N162" s="139"/>
      <c r="P162" s="208"/>
      <c r="Q162" s="208"/>
      <c r="R162" s="520"/>
      <c r="S162" s="520"/>
      <c r="T162" s="520"/>
      <c r="U162" s="139"/>
    </row>
    <row r="163" spans="2:21">
      <c r="B163" s="139"/>
      <c r="C163" s="139"/>
      <c r="D163" s="139"/>
      <c r="E163" s="463"/>
      <c r="F163" s="139"/>
      <c r="G163" s="141"/>
      <c r="H163" s="208"/>
      <c r="I163" s="139"/>
      <c r="J163" s="139"/>
      <c r="K163" s="209"/>
      <c r="L163" s="139"/>
      <c r="M163" s="139"/>
      <c r="N163" s="139"/>
      <c r="P163" s="208"/>
      <c r="Q163" s="208"/>
      <c r="R163" s="520"/>
      <c r="S163" s="520"/>
      <c r="T163" s="520"/>
      <c r="U163" s="139"/>
    </row>
    <row r="164" spans="2:21">
      <c r="B164" s="139"/>
      <c r="C164" s="139"/>
      <c r="D164" s="139"/>
      <c r="E164" s="463"/>
      <c r="F164" s="139"/>
      <c r="G164" s="141"/>
      <c r="H164" s="208"/>
      <c r="I164" s="139"/>
      <c r="J164" s="139"/>
      <c r="K164" s="209"/>
      <c r="L164" s="139"/>
      <c r="M164" s="139"/>
      <c r="N164" s="139"/>
      <c r="P164" s="208"/>
      <c r="Q164" s="208"/>
      <c r="R164" s="520"/>
      <c r="S164" s="520"/>
      <c r="T164" s="520"/>
      <c r="U164" s="139"/>
    </row>
    <row r="165" spans="2:21">
      <c r="B165" s="139"/>
      <c r="C165" s="139"/>
      <c r="D165" s="139"/>
      <c r="E165" s="463"/>
      <c r="F165" s="139"/>
      <c r="G165" s="141"/>
      <c r="H165" s="208"/>
      <c r="I165" s="139"/>
      <c r="J165" s="139"/>
      <c r="K165" s="209"/>
      <c r="L165" s="139"/>
      <c r="M165" s="139"/>
      <c r="N165" s="139"/>
      <c r="P165" s="208"/>
      <c r="Q165" s="208"/>
      <c r="R165" s="520"/>
      <c r="S165" s="520"/>
      <c r="T165" s="520"/>
      <c r="U165" s="139"/>
    </row>
    <row r="166" spans="2:21">
      <c r="B166" s="139"/>
      <c r="C166" s="139"/>
      <c r="D166" s="139"/>
      <c r="E166" s="463"/>
      <c r="F166" s="139"/>
      <c r="G166" s="141"/>
      <c r="H166" s="208"/>
      <c r="I166" s="139"/>
      <c r="J166" s="139"/>
      <c r="K166" s="209"/>
      <c r="L166" s="139"/>
      <c r="M166" s="139"/>
      <c r="N166" s="139"/>
      <c r="P166" s="208"/>
      <c r="Q166" s="208"/>
      <c r="R166" s="520"/>
      <c r="S166" s="520"/>
      <c r="T166" s="520"/>
      <c r="U166" s="139"/>
    </row>
    <row r="167" spans="2:21">
      <c r="B167" s="139"/>
      <c r="C167" s="139"/>
      <c r="D167" s="139"/>
      <c r="E167" s="463"/>
      <c r="F167" s="139"/>
      <c r="G167" s="141"/>
      <c r="H167" s="208"/>
      <c r="I167" s="139"/>
      <c r="J167" s="139"/>
      <c r="K167" s="209"/>
      <c r="L167" s="139"/>
      <c r="M167" s="139"/>
      <c r="N167" s="139"/>
      <c r="P167" s="208"/>
      <c r="Q167" s="208"/>
      <c r="R167" s="520"/>
      <c r="S167" s="520"/>
      <c r="T167" s="520"/>
      <c r="U167" s="139"/>
    </row>
    <row r="168" spans="2:21">
      <c r="B168" s="139"/>
      <c r="C168" s="139"/>
      <c r="D168" s="139"/>
      <c r="E168" s="463"/>
      <c r="F168" s="139"/>
      <c r="G168" s="141"/>
      <c r="H168" s="208"/>
      <c r="I168" s="139"/>
      <c r="J168" s="139"/>
      <c r="K168" s="209"/>
      <c r="L168" s="139"/>
      <c r="M168" s="139"/>
      <c r="N168" s="139"/>
      <c r="P168" s="208"/>
      <c r="Q168" s="208"/>
      <c r="R168" s="520"/>
      <c r="S168" s="520"/>
      <c r="T168" s="520"/>
      <c r="U168" s="139"/>
    </row>
    <row r="169" spans="2:21">
      <c r="B169" s="139"/>
      <c r="C169" s="139"/>
      <c r="D169" s="139"/>
      <c r="E169" s="463"/>
      <c r="F169" s="139"/>
      <c r="G169" s="141"/>
      <c r="H169" s="208"/>
      <c r="I169" s="139"/>
      <c r="J169" s="139"/>
      <c r="K169" s="209"/>
      <c r="L169" s="139"/>
      <c r="M169" s="139"/>
      <c r="N169" s="139"/>
      <c r="P169" s="208"/>
      <c r="Q169" s="208"/>
      <c r="R169" s="520"/>
      <c r="S169" s="520"/>
      <c r="T169" s="520"/>
      <c r="U169" s="139"/>
    </row>
    <row r="170" spans="2:21">
      <c r="B170" s="139"/>
      <c r="C170" s="139"/>
      <c r="D170" s="139"/>
      <c r="E170" s="463"/>
      <c r="F170" s="139"/>
      <c r="G170" s="141"/>
      <c r="H170" s="208"/>
      <c r="I170" s="139"/>
      <c r="J170" s="139"/>
      <c r="K170" s="209"/>
      <c r="L170" s="139"/>
      <c r="M170" s="139"/>
      <c r="N170" s="139"/>
      <c r="P170" s="208"/>
      <c r="Q170" s="208"/>
      <c r="R170" s="520"/>
      <c r="S170" s="520"/>
      <c r="T170" s="520"/>
      <c r="U170" s="139"/>
    </row>
    <row r="171" spans="2:21">
      <c r="B171" s="139"/>
      <c r="C171" s="139"/>
      <c r="D171" s="139"/>
      <c r="E171" s="463"/>
      <c r="F171" s="139"/>
      <c r="G171" s="141"/>
      <c r="H171" s="208"/>
      <c r="I171" s="139"/>
      <c r="J171" s="139"/>
      <c r="K171" s="209"/>
      <c r="L171" s="139"/>
      <c r="M171" s="139"/>
      <c r="N171" s="139"/>
      <c r="P171" s="208"/>
      <c r="Q171" s="208"/>
      <c r="R171" s="520"/>
      <c r="S171" s="520"/>
      <c r="T171" s="520"/>
      <c r="U171" s="139"/>
    </row>
    <row r="172" spans="2:21">
      <c r="B172" s="139"/>
      <c r="C172" s="139"/>
      <c r="D172" s="139"/>
      <c r="E172" s="463"/>
      <c r="F172" s="139"/>
      <c r="G172" s="141"/>
      <c r="H172" s="208"/>
      <c r="I172" s="139"/>
      <c r="J172" s="139"/>
      <c r="K172" s="209"/>
      <c r="L172" s="139"/>
      <c r="M172" s="139"/>
      <c r="N172" s="139"/>
      <c r="P172" s="208"/>
      <c r="Q172" s="208"/>
      <c r="R172" s="520"/>
      <c r="S172" s="520"/>
      <c r="T172" s="520"/>
      <c r="U172" s="139"/>
    </row>
    <row r="173" spans="2:21">
      <c r="B173" s="139"/>
      <c r="C173" s="139"/>
      <c r="D173" s="139"/>
      <c r="E173" s="463"/>
      <c r="F173" s="139"/>
      <c r="G173" s="141"/>
      <c r="H173" s="208"/>
      <c r="I173" s="139"/>
      <c r="J173" s="139"/>
      <c r="K173" s="209"/>
      <c r="L173" s="139"/>
      <c r="M173" s="139"/>
      <c r="N173" s="139"/>
      <c r="P173" s="208"/>
      <c r="Q173" s="208"/>
      <c r="R173" s="520"/>
      <c r="S173" s="520"/>
      <c r="T173" s="520"/>
      <c r="U173" s="139"/>
    </row>
    <row r="174" spans="2:21">
      <c r="B174" s="139"/>
      <c r="C174" s="139"/>
      <c r="D174" s="139"/>
      <c r="E174" s="463"/>
      <c r="F174" s="139"/>
      <c r="G174" s="141"/>
      <c r="H174" s="208"/>
      <c r="I174" s="139"/>
      <c r="J174" s="139"/>
      <c r="K174" s="209"/>
      <c r="L174" s="139"/>
      <c r="M174" s="139"/>
      <c r="N174" s="139"/>
      <c r="P174" s="208"/>
      <c r="Q174" s="208"/>
      <c r="R174" s="520"/>
      <c r="S174" s="520"/>
      <c r="T174" s="520"/>
      <c r="U174" s="139"/>
    </row>
    <row r="175" spans="2:21">
      <c r="B175" s="139"/>
      <c r="C175" s="139"/>
      <c r="D175" s="139"/>
      <c r="E175" s="463"/>
      <c r="F175" s="139"/>
      <c r="G175" s="141"/>
      <c r="H175" s="208"/>
      <c r="I175" s="139"/>
      <c r="J175" s="139"/>
      <c r="K175" s="209"/>
      <c r="L175" s="139"/>
      <c r="M175" s="139"/>
      <c r="N175" s="139"/>
      <c r="P175" s="208"/>
      <c r="Q175" s="208"/>
      <c r="R175" s="520"/>
      <c r="S175" s="520"/>
      <c r="T175" s="520"/>
      <c r="U175" s="139"/>
    </row>
    <row r="176" spans="2:21">
      <c r="B176" s="139"/>
      <c r="C176" s="139"/>
      <c r="D176" s="139"/>
      <c r="E176" s="463"/>
      <c r="F176" s="139"/>
      <c r="G176" s="141"/>
      <c r="H176" s="208"/>
      <c r="I176" s="139"/>
      <c r="J176" s="139"/>
      <c r="K176" s="209"/>
      <c r="L176" s="139"/>
      <c r="M176" s="139"/>
      <c r="N176" s="139"/>
      <c r="P176" s="208"/>
      <c r="Q176" s="208"/>
      <c r="R176" s="520"/>
      <c r="S176" s="520"/>
      <c r="T176" s="520"/>
      <c r="U176" s="139"/>
    </row>
    <row r="177" spans="2:21">
      <c r="B177" s="139"/>
      <c r="C177" s="139"/>
      <c r="D177" s="139"/>
      <c r="E177" s="463"/>
      <c r="F177" s="139"/>
      <c r="G177" s="141"/>
      <c r="H177" s="208"/>
      <c r="I177" s="139"/>
      <c r="J177" s="139"/>
      <c r="K177" s="209"/>
      <c r="L177" s="139"/>
      <c r="M177" s="139"/>
      <c r="N177" s="139"/>
      <c r="P177" s="208"/>
      <c r="Q177" s="208"/>
      <c r="R177" s="520"/>
      <c r="S177" s="520"/>
      <c r="T177" s="520"/>
      <c r="U177" s="139"/>
    </row>
    <row r="178" spans="2:21">
      <c r="B178" s="139"/>
      <c r="C178" s="139"/>
      <c r="D178" s="139"/>
      <c r="E178" s="463"/>
      <c r="F178" s="139"/>
      <c r="G178" s="141"/>
      <c r="H178" s="208"/>
      <c r="I178" s="139"/>
      <c r="J178" s="139"/>
      <c r="K178" s="209"/>
      <c r="L178" s="139"/>
      <c r="M178" s="139"/>
      <c r="N178" s="139"/>
      <c r="P178" s="208"/>
      <c r="Q178" s="208"/>
      <c r="R178" s="520"/>
      <c r="S178" s="520"/>
      <c r="T178" s="520"/>
      <c r="U178" s="139"/>
    </row>
    <row r="179" spans="2:21">
      <c r="B179" s="139"/>
      <c r="C179" s="139"/>
      <c r="D179" s="139"/>
      <c r="E179" s="463"/>
      <c r="F179" s="139"/>
      <c r="G179" s="141"/>
      <c r="H179" s="208"/>
      <c r="I179" s="139"/>
      <c r="J179" s="139"/>
      <c r="K179" s="209"/>
      <c r="L179" s="139"/>
      <c r="M179" s="139"/>
      <c r="N179" s="139"/>
      <c r="P179" s="208"/>
      <c r="Q179" s="208"/>
      <c r="R179" s="520"/>
      <c r="S179" s="520"/>
      <c r="T179" s="520"/>
      <c r="U179" s="139"/>
    </row>
    <row r="180" spans="2:21">
      <c r="B180" s="139"/>
      <c r="C180" s="139"/>
      <c r="D180" s="139"/>
      <c r="E180" s="463"/>
      <c r="F180" s="139"/>
      <c r="G180" s="141"/>
      <c r="H180" s="208"/>
      <c r="I180" s="139"/>
      <c r="J180" s="139"/>
      <c r="K180" s="209"/>
      <c r="L180" s="139"/>
      <c r="M180" s="139"/>
      <c r="N180" s="139"/>
      <c r="P180" s="208"/>
      <c r="Q180" s="208"/>
      <c r="R180" s="520"/>
      <c r="S180" s="520"/>
      <c r="T180" s="520"/>
      <c r="U180" s="139"/>
    </row>
    <row r="181" spans="2:21">
      <c r="B181" s="139"/>
      <c r="C181" s="139"/>
      <c r="D181" s="139"/>
      <c r="E181" s="463"/>
      <c r="F181" s="139"/>
      <c r="G181" s="141"/>
      <c r="H181" s="208"/>
      <c r="I181" s="139"/>
      <c r="J181" s="139"/>
      <c r="K181" s="209"/>
      <c r="L181" s="139"/>
      <c r="M181" s="139"/>
      <c r="N181" s="139"/>
      <c r="P181" s="208"/>
      <c r="Q181" s="208"/>
      <c r="R181" s="520"/>
      <c r="S181" s="520"/>
      <c r="T181" s="520"/>
      <c r="U181" s="139"/>
    </row>
    <row r="182" spans="2:21">
      <c r="B182" s="139"/>
      <c r="C182" s="139"/>
      <c r="D182" s="139"/>
      <c r="E182" s="463"/>
      <c r="F182" s="139"/>
      <c r="G182" s="141"/>
      <c r="H182" s="208"/>
      <c r="I182" s="139"/>
      <c r="J182" s="139"/>
      <c r="K182" s="209"/>
      <c r="L182" s="139"/>
      <c r="M182" s="139"/>
      <c r="N182" s="139"/>
      <c r="P182" s="208"/>
      <c r="Q182" s="208"/>
      <c r="R182" s="520"/>
      <c r="S182" s="520"/>
      <c r="T182" s="520"/>
      <c r="U182" s="139"/>
    </row>
    <row r="183" spans="2:21">
      <c r="B183" s="139"/>
      <c r="C183" s="139"/>
      <c r="D183" s="139"/>
      <c r="E183" s="463"/>
      <c r="F183" s="139"/>
      <c r="G183" s="141"/>
      <c r="H183" s="208"/>
      <c r="I183" s="139"/>
      <c r="J183" s="139"/>
      <c r="K183" s="209"/>
      <c r="L183" s="139"/>
      <c r="M183" s="139"/>
      <c r="N183" s="139"/>
      <c r="P183" s="208"/>
      <c r="Q183" s="208"/>
      <c r="R183" s="520"/>
      <c r="S183" s="520"/>
      <c r="T183" s="520"/>
      <c r="U183" s="139"/>
    </row>
    <row r="184" spans="2:21">
      <c r="B184" s="139"/>
      <c r="C184" s="139"/>
      <c r="D184" s="139"/>
      <c r="E184" s="463"/>
      <c r="F184" s="139"/>
      <c r="G184" s="141"/>
      <c r="H184" s="208"/>
      <c r="I184" s="139"/>
      <c r="J184" s="139"/>
      <c r="K184" s="209"/>
      <c r="L184" s="139"/>
      <c r="M184" s="139"/>
      <c r="N184" s="139"/>
      <c r="P184" s="208"/>
      <c r="Q184" s="208"/>
      <c r="R184" s="520"/>
      <c r="S184" s="520"/>
      <c r="T184" s="520"/>
      <c r="U184" s="139"/>
    </row>
    <row r="185" spans="2:21">
      <c r="B185" s="139"/>
      <c r="C185" s="139"/>
      <c r="D185" s="139"/>
      <c r="E185" s="463"/>
      <c r="F185" s="139"/>
      <c r="G185" s="141"/>
      <c r="H185" s="208"/>
      <c r="I185" s="139"/>
      <c r="J185" s="139"/>
      <c r="K185" s="209"/>
      <c r="L185" s="139"/>
      <c r="M185" s="139"/>
      <c r="N185" s="139"/>
      <c r="P185" s="208"/>
      <c r="Q185" s="208"/>
      <c r="R185" s="520"/>
      <c r="S185" s="520"/>
      <c r="T185" s="520"/>
      <c r="U185" s="139"/>
    </row>
    <row r="186" spans="2:21">
      <c r="B186" s="139"/>
      <c r="C186" s="139"/>
      <c r="D186" s="139"/>
      <c r="E186" s="463"/>
      <c r="F186" s="139"/>
      <c r="G186" s="141"/>
      <c r="H186" s="208"/>
      <c r="I186" s="139"/>
      <c r="J186" s="139"/>
      <c r="K186" s="209"/>
      <c r="L186" s="139"/>
      <c r="M186" s="139"/>
      <c r="N186" s="139"/>
      <c r="P186" s="208"/>
      <c r="Q186" s="208"/>
      <c r="R186" s="520"/>
      <c r="S186" s="520"/>
      <c r="T186" s="520"/>
      <c r="U186" s="139"/>
    </row>
    <row r="187" spans="2:21">
      <c r="B187" s="139"/>
      <c r="C187" s="139"/>
      <c r="D187" s="139"/>
      <c r="E187" s="463"/>
      <c r="F187" s="139"/>
      <c r="G187" s="141"/>
      <c r="H187" s="208"/>
      <c r="I187" s="139"/>
      <c r="J187" s="139"/>
      <c r="K187" s="209"/>
      <c r="L187" s="139"/>
      <c r="M187" s="139"/>
      <c r="N187" s="139"/>
      <c r="P187" s="208"/>
      <c r="Q187" s="208"/>
      <c r="R187" s="520"/>
      <c r="S187" s="520"/>
      <c r="T187" s="520"/>
      <c r="U187" s="139"/>
    </row>
    <row r="188" spans="2:21">
      <c r="B188" s="139"/>
      <c r="C188" s="139"/>
      <c r="D188" s="139"/>
      <c r="E188" s="463"/>
      <c r="F188" s="139"/>
      <c r="G188" s="141"/>
      <c r="H188" s="208"/>
      <c r="I188" s="139"/>
      <c r="J188" s="139"/>
      <c r="K188" s="209"/>
      <c r="L188" s="139"/>
      <c r="M188" s="139"/>
      <c r="N188" s="139"/>
      <c r="P188" s="208"/>
      <c r="Q188" s="208"/>
      <c r="R188" s="520"/>
      <c r="S188" s="520"/>
      <c r="T188" s="520"/>
      <c r="U188" s="139"/>
    </row>
    <row r="189" spans="2:21">
      <c r="B189" s="139"/>
      <c r="C189" s="139"/>
      <c r="D189" s="139"/>
      <c r="E189" s="463"/>
      <c r="F189" s="139"/>
      <c r="G189" s="141"/>
      <c r="H189" s="208"/>
      <c r="I189" s="139"/>
      <c r="J189" s="139"/>
      <c r="K189" s="209"/>
      <c r="L189" s="139"/>
      <c r="M189" s="139"/>
      <c r="N189" s="139"/>
      <c r="P189" s="208"/>
      <c r="Q189" s="208"/>
      <c r="R189" s="520"/>
      <c r="S189" s="520"/>
      <c r="T189" s="520"/>
      <c r="U189" s="139"/>
    </row>
    <row r="190" spans="2:21">
      <c r="B190" s="139"/>
      <c r="C190" s="139"/>
      <c r="D190" s="139"/>
      <c r="E190" s="463"/>
      <c r="F190" s="139"/>
      <c r="G190" s="141"/>
      <c r="H190" s="208"/>
      <c r="I190" s="139"/>
      <c r="J190" s="139"/>
      <c r="K190" s="209"/>
      <c r="L190" s="139"/>
      <c r="M190" s="139"/>
      <c r="N190" s="139"/>
      <c r="P190" s="208"/>
      <c r="Q190" s="208"/>
      <c r="R190" s="520"/>
      <c r="S190" s="520"/>
      <c r="T190" s="520"/>
      <c r="U190" s="139"/>
    </row>
    <row r="191" spans="2:21">
      <c r="B191" s="139"/>
      <c r="C191" s="139"/>
      <c r="D191" s="139"/>
      <c r="E191" s="463"/>
      <c r="F191" s="139"/>
      <c r="G191" s="141"/>
      <c r="H191" s="208"/>
      <c r="I191" s="139"/>
      <c r="J191" s="139"/>
      <c r="K191" s="209"/>
      <c r="L191" s="139"/>
      <c r="M191" s="139"/>
      <c r="N191" s="139"/>
      <c r="P191" s="208"/>
      <c r="Q191" s="208"/>
      <c r="R191" s="520"/>
      <c r="S191" s="520"/>
      <c r="T191" s="520"/>
      <c r="U191" s="139"/>
    </row>
    <row r="192" spans="2:21">
      <c r="B192" s="139"/>
      <c r="C192" s="139"/>
      <c r="D192" s="139"/>
      <c r="E192" s="463"/>
      <c r="F192" s="139"/>
      <c r="G192" s="141"/>
      <c r="H192" s="208"/>
      <c r="I192" s="139"/>
      <c r="J192" s="139"/>
      <c r="K192" s="209"/>
      <c r="L192" s="139"/>
      <c r="M192" s="139"/>
      <c r="N192" s="139"/>
      <c r="P192" s="208"/>
      <c r="Q192" s="208"/>
      <c r="R192" s="520"/>
      <c r="S192" s="520"/>
      <c r="T192" s="520"/>
      <c r="U192" s="139"/>
    </row>
    <row r="193" spans="2:21">
      <c r="B193" s="139"/>
      <c r="C193" s="139"/>
      <c r="D193" s="139"/>
      <c r="E193" s="463"/>
      <c r="F193" s="139"/>
      <c r="G193" s="141"/>
      <c r="H193" s="208"/>
      <c r="I193" s="139"/>
      <c r="J193" s="139"/>
      <c r="K193" s="209"/>
      <c r="L193" s="139"/>
      <c r="M193" s="139"/>
      <c r="N193" s="139"/>
      <c r="P193" s="208"/>
      <c r="Q193" s="208"/>
      <c r="R193" s="520"/>
      <c r="S193" s="520"/>
      <c r="T193" s="520"/>
      <c r="U193" s="139"/>
    </row>
    <row r="194" spans="2:21">
      <c r="B194" s="139"/>
      <c r="C194" s="139"/>
      <c r="D194" s="139"/>
      <c r="E194" s="463"/>
      <c r="F194" s="139"/>
      <c r="G194" s="141"/>
      <c r="H194" s="208"/>
      <c r="I194" s="139"/>
      <c r="J194" s="139"/>
      <c r="K194" s="209"/>
      <c r="L194" s="139"/>
      <c r="M194" s="139"/>
      <c r="N194" s="139"/>
      <c r="P194" s="208"/>
      <c r="Q194" s="208"/>
      <c r="R194" s="520"/>
      <c r="S194" s="520"/>
      <c r="T194" s="520"/>
      <c r="U194" s="139"/>
    </row>
    <row r="195" spans="2:21">
      <c r="B195" s="139"/>
      <c r="C195" s="139"/>
      <c r="D195" s="139"/>
      <c r="E195" s="463"/>
      <c r="F195" s="139"/>
      <c r="G195" s="141"/>
      <c r="H195" s="208"/>
      <c r="I195" s="139"/>
      <c r="J195" s="139"/>
      <c r="K195" s="209"/>
      <c r="L195" s="139"/>
      <c r="M195" s="139"/>
      <c r="N195" s="139"/>
      <c r="P195" s="208"/>
      <c r="Q195" s="208"/>
      <c r="R195" s="520"/>
      <c r="S195" s="520"/>
      <c r="T195" s="520"/>
      <c r="U195" s="139"/>
    </row>
    <row r="196" spans="2:21">
      <c r="B196" s="139"/>
      <c r="C196" s="139"/>
      <c r="D196" s="139"/>
      <c r="E196" s="463"/>
      <c r="F196" s="139"/>
      <c r="G196" s="141"/>
      <c r="H196" s="208"/>
      <c r="I196" s="139"/>
      <c r="J196" s="139"/>
      <c r="K196" s="209"/>
      <c r="L196" s="139"/>
      <c r="M196" s="139"/>
      <c r="N196" s="139"/>
      <c r="P196" s="208"/>
      <c r="Q196" s="208"/>
      <c r="R196" s="520"/>
      <c r="S196" s="520"/>
      <c r="T196" s="520"/>
      <c r="U196" s="139"/>
    </row>
    <row r="197" spans="2:21">
      <c r="B197" s="139"/>
      <c r="C197" s="139"/>
      <c r="D197" s="139"/>
      <c r="E197" s="463"/>
      <c r="F197" s="139"/>
      <c r="G197" s="141"/>
      <c r="H197" s="208"/>
      <c r="I197" s="139"/>
      <c r="J197" s="139"/>
      <c r="K197" s="209"/>
      <c r="L197" s="139"/>
      <c r="M197" s="139"/>
      <c r="N197" s="139"/>
      <c r="P197" s="208"/>
      <c r="Q197" s="208"/>
      <c r="R197" s="520"/>
      <c r="S197" s="520"/>
      <c r="T197" s="520"/>
      <c r="U197" s="139"/>
    </row>
    <row r="198" spans="2:21">
      <c r="B198" s="139"/>
      <c r="C198" s="139"/>
      <c r="D198" s="139"/>
      <c r="E198" s="463"/>
      <c r="F198" s="139"/>
      <c r="G198" s="141"/>
      <c r="H198" s="208"/>
      <c r="I198" s="139"/>
      <c r="J198" s="139"/>
      <c r="K198" s="209"/>
      <c r="L198" s="139"/>
      <c r="M198" s="139"/>
      <c r="N198" s="139"/>
      <c r="P198" s="208"/>
      <c r="Q198" s="208"/>
      <c r="R198" s="520"/>
      <c r="S198" s="520"/>
      <c r="T198" s="520"/>
      <c r="U198" s="139"/>
    </row>
    <row r="199" spans="2:21">
      <c r="B199" s="139"/>
      <c r="C199" s="139"/>
      <c r="D199" s="139"/>
      <c r="E199" s="463"/>
      <c r="F199" s="139"/>
      <c r="G199" s="141"/>
      <c r="H199" s="208"/>
      <c r="I199" s="139"/>
      <c r="J199" s="139"/>
      <c r="K199" s="209"/>
      <c r="L199" s="139"/>
      <c r="M199" s="139"/>
      <c r="N199" s="139"/>
      <c r="P199" s="208"/>
      <c r="Q199" s="208"/>
      <c r="R199" s="520"/>
      <c r="S199" s="520"/>
      <c r="T199" s="520"/>
      <c r="U199" s="139"/>
    </row>
    <row r="200" spans="2:21">
      <c r="B200" s="139"/>
      <c r="C200" s="139"/>
      <c r="D200" s="139"/>
      <c r="E200" s="463"/>
      <c r="F200" s="139"/>
      <c r="G200" s="141"/>
      <c r="H200" s="208"/>
      <c r="I200" s="139"/>
      <c r="J200" s="139"/>
      <c r="K200" s="209"/>
      <c r="L200" s="139"/>
      <c r="M200" s="139"/>
      <c r="N200" s="139"/>
      <c r="P200" s="208"/>
      <c r="Q200" s="208"/>
      <c r="R200" s="520"/>
      <c r="S200" s="520"/>
      <c r="T200" s="520"/>
      <c r="U200" s="139"/>
    </row>
    <row r="201" spans="2:21">
      <c r="B201" s="139"/>
      <c r="C201" s="139"/>
      <c r="D201" s="139"/>
      <c r="E201" s="463"/>
      <c r="F201" s="139"/>
      <c r="G201" s="141"/>
      <c r="H201" s="208"/>
      <c r="I201" s="139"/>
      <c r="J201" s="139"/>
      <c r="K201" s="209"/>
      <c r="L201" s="139"/>
      <c r="M201" s="139"/>
      <c r="N201" s="139"/>
      <c r="P201" s="208"/>
      <c r="Q201" s="208"/>
      <c r="R201" s="520"/>
      <c r="S201" s="520"/>
      <c r="T201" s="520"/>
      <c r="U201" s="139"/>
    </row>
    <row r="202" spans="2:21">
      <c r="B202" s="139"/>
      <c r="C202" s="139"/>
      <c r="D202" s="139"/>
      <c r="E202" s="463"/>
      <c r="F202" s="139"/>
      <c r="G202" s="141"/>
      <c r="H202" s="208"/>
      <c r="I202" s="139"/>
      <c r="J202" s="139"/>
      <c r="K202" s="209"/>
      <c r="L202" s="139"/>
      <c r="M202" s="139"/>
      <c r="N202" s="139"/>
      <c r="P202" s="208"/>
      <c r="Q202" s="208"/>
      <c r="R202" s="520"/>
      <c r="S202" s="520"/>
      <c r="T202" s="520"/>
      <c r="U202" s="139"/>
    </row>
    <row r="203" spans="2:21">
      <c r="B203" s="139"/>
      <c r="C203" s="139"/>
      <c r="D203" s="139"/>
      <c r="E203" s="463"/>
      <c r="F203" s="139"/>
      <c r="G203" s="141"/>
      <c r="H203" s="208"/>
      <c r="I203" s="139"/>
      <c r="J203" s="139"/>
      <c r="K203" s="209"/>
      <c r="L203" s="139"/>
      <c r="M203" s="139"/>
      <c r="N203" s="139"/>
      <c r="P203" s="208"/>
      <c r="Q203" s="208"/>
      <c r="R203" s="520"/>
      <c r="S203" s="520"/>
      <c r="T203" s="520"/>
      <c r="U203" s="139"/>
    </row>
    <row r="204" spans="2:21">
      <c r="B204" s="139"/>
      <c r="C204" s="139"/>
      <c r="D204" s="139"/>
      <c r="E204" s="463"/>
      <c r="F204" s="139"/>
      <c r="G204" s="141"/>
      <c r="H204" s="208"/>
      <c r="I204" s="139"/>
      <c r="J204" s="139"/>
      <c r="K204" s="209"/>
      <c r="L204" s="139"/>
      <c r="M204" s="139"/>
      <c r="N204" s="139"/>
      <c r="P204" s="208"/>
      <c r="Q204" s="208"/>
      <c r="R204" s="520"/>
      <c r="S204" s="520"/>
      <c r="T204" s="520"/>
      <c r="U204" s="139"/>
    </row>
    <row r="205" spans="2:21">
      <c r="B205" s="139"/>
      <c r="C205" s="139"/>
      <c r="D205" s="139"/>
      <c r="E205" s="463"/>
      <c r="F205" s="139"/>
      <c r="G205" s="141"/>
      <c r="H205" s="208"/>
      <c r="I205" s="139"/>
      <c r="J205" s="139"/>
      <c r="K205" s="209"/>
      <c r="L205" s="139"/>
      <c r="M205" s="139"/>
      <c r="N205" s="139"/>
      <c r="P205" s="208"/>
      <c r="Q205" s="208"/>
      <c r="R205" s="520"/>
      <c r="S205" s="520"/>
      <c r="T205" s="520"/>
      <c r="U205" s="139"/>
    </row>
    <row r="206" spans="2:21">
      <c r="B206" s="139"/>
      <c r="C206" s="139"/>
      <c r="D206" s="139"/>
      <c r="E206" s="463"/>
      <c r="F206" s="139"/>
      <c r="G206" s="141"/>
      <c r="H206" s="208"/>
      <c r="I206" s="139"/>
      <c r="J206" s="139"/>
      <c r="K206" s="209"/>
      <c r="L206" s="139"/>
      <c r="M206" s="139"/>
      <c r="N206" s="139"/>
      <c r="P206" s="208"/>
      <c r="Q206" s="208"/>
      <c r="R206" s="520"/>
      <c r="S206" s="520"/>
      <c r="T206" s="520"/>
      <c r="U206" s="139"/>
    </row>
    <row r="207" spans="2:21">
      <c r="B207" s="139"/>
      <c r="C207" s="139"/>
      <c r="D207" s="139"/>
      <c r="E207" s="463"/>
      <c r="F207" s="139"/>
      <c r="G207" s="141"/>
      <c r="H207" s="208"/>
      <c r="I207" s="139"/>
      <c r="J207" s="139"/>
      <c r="K207" s="209"/>
      <c r="L207" s="139"/>
      <c r="M207" s="139"/>
      <c r="N207" s="139"/>
      <c r="P207" s="208"/>
      <c r="Q207" s="208"/>
      <c r="R207" s="520"/>
      <c r="S207" s="520"/>
      <c r="T207" s="520"/>
      <c r="U207" s="139"/>
    </row>
    <row r="208" spans="2:21">
      <c r="B208" s="139"/>
      <c r="C208" s="139"/>
      <c r="D208" s="139"/>
      <c r="E208" s="463"/>
      <c r="F208" s="139"/>
      <c r="G208" s="141"/>
      <c r="H208" s="208"/>
      <c r="I208" s="139"/>
      <c r="J208" s="139"/>
      <c r="K208" s="209"/>
      <c r="L208" s="139"/>
      <c r="M208" s="139"/>
      <c r="N208" s="139"/>
      <c r="P208" s="208"/>
      <c r="Q208" s="208"/>
      <c r="R208" s="520"/>
      <c r="S208" s="520"/>
      <c r="T208" s="520"/>
      <c r="U208" s="139"/>
    </row>
    <row r="209" spans="2:21">
      <c r="B209" s="139"/>
      <c r="C209" s="139"/>
      <c r="D209" s="139"/>
      <c r="E209" s="463"/>
      <c r="F209" s="139"/>
      <c r="G209" s="141"/>
      <c r="H209" s="208"/>
      <c r="I209" s="139"/>
      <c r="J209" s="139"/>
      <c r="K209" s="209"/>
      <c r="L209" s="139"/>
      <c r="M209" s="139"/>
      <c r="N209" s="139"/>
      <c r="P209" s="208"/>
      <c r="Q209" s="208"/>
      <c r="R209" s="520"/>
      <c r="S209" s="520"/>
      <c r="T209" s="520"/>
      <c r="U209" s="139"/>
    </row>
    <row r="210" spans="2:21">
      <c r="B210" s="139"/>
      <c r="C210" s="139"/>
      <c r="D210" s="139"/>
      <c r="E210" s="463"/>
      <c r="F210" s="139"/>
      <c r="G210" s="141"/>
      <c r="H210" s="208"/>
      <c r="I210" s="139"/>
      <c r="J210" s="139"/>
      <c r="K210" s="209"/>
      <c r="L210" s="139"/>
      <c r="M210" s="139"/>
      <c r="N210" s="139"/>
      <c r="P210" s="208"/>
      <c r="Q210" s="208"/>
      <c r="R210" s="520"/>
      <c r="S210" s="520"/>
      <c r="T210" s="520"/>
      <c r="U210" s="139"/>
    </row>
    <row r="211" spans="2:21">
      <c r="B211" s="139"/>
      <c r="C211" s="139"/>
      <c r="D211" s="139"/>
      <c r="E211" s="463"/>
      <c r="F211" s="139"/>
      <c r="G211" s="141"/>
      <c r="H211" s="208"/>
      <c r="I211" s="139"/>
      <c r="J211" s="139"/>
      <c r="K211" s="209"/>
      <c r="L211" s="139"/>
      <c r="M211" s="139"/>
      <c r="N211" s="139"/>
      <c r="P211" s="208"/>
      <c r="Q211" s="208"/>
      <c r="R211" s="520"/>
      <c r="S211" s="520"/>
      <c r="T211" s="520"/>
      <c r="U211" s="139"/>
    </row>
    <row r="212" spans="2:21">
      <c r="B212" s="139"/>
      <c r="C212" s="139"/>
      <c r="D212" s="139"/>
      <c r="E212" s="463"/>
      <c r="F212" s="139"/>
      <c r="G212" s="141"/>
      <c r="H212" s="208"/>
      <c r="I212" s="139"/>
      <c r="J212" s="139"/>
      <c r="K212" s="209"/>
      <c r="L212" s="139"/>
      <c r="M212" s="139"/>
      <c r="N212" s="139"/>
      <c r="P212" s="208"/>
      <c r="Q212" s="208"/>
      <c r="R212" s="520"/>
      <c r="S212" s="520"/>
      <c r="T212" s="520"/>
      <c r="U212" s="139"/>
    </row>
    <row r="213" spans="2:21">
      <c r="B213" s="139"/>
      <c r="C213" s="139"/>
      <c r="D213" s="139"/>
      <c r="E213" s="463"/>
      <c r="F213" s="139"/>
      <c r="G213" s="141"/>
      <c r="H213" s="208"/>
      <c r="I213" s="139"/>
      <c r="J213" s="139"/>
      <c r="K213" s="209"/>
      <c r="L213" s="139"/>
      <c r="M213" s="139"/>
      <c r="N213" s="139"/>
      <c r="P213" s="208"/>
      <c r="Q213" s="208"/>
      <c r="R213" s="520"/>
      <c r="S213" s="520"/>
      <c r="T213" s="520"/>
      <c r="U213" s="139"/>
    </row>
    <row r="214" spans="2:21">
      <c r="B214" s="139"/>
      <c r="C214" s="139"/>
      <c r="D214" s="139"/>
      <c r="E214" s="463"/>
      <c r="F214" s="139"/>
      <c r="G214" s="141"/>
      <c r="H214" s="208"/>
      <c r="I214" s="139"/>
      <c r="J214" s="139"/>
      <c r="K214" s="209"/>
      <c r="L214" s="139"/>
      <c r="M214" s="139"/>
      <c r="N214" s="139"/>
      <c r="P214" s="208"/>
      <c r="Q214" s="208"/>
      <c r="R214" s="520"/>
      <c r="S214" s="520"/>
      <c r="T214" s="520"/>
      <c r="U214" s="139"/>
    </row>
    <row r="215" spans="2:21">
      <c r="B215" s="139"/>
      <c r="C215" s="139"/>
      <c r="D215" s="139"/>
      <c r="E215" s="463"/>
      <c r="F215" s="139"/>
      <c r="G215" s="141"/>
      <c r="H215" s="208"/>
      <c r="I215" s="139"/>
      <c r="J215" s="139"/>
      <c r="K215" s="209"/>
      <c r="L215" s="139"/>
      <c r="M215" s="139"/>
      <c r="N215" s="139"/>
      <c r="P215" s="208"/>
      <c r="Q215" s="208"/>
      <c r="R215" s="520"/>
      <c r="S215" s="520"/>
      <c r="T215" s="520"/>
      <c r="U215" s="139"/>
    </row>
    <row r="216" spans="2:21">
      <c r="B216" s="139"/>
      <c r="C216" s="139"/>
      <c r="D216" s="139"/>
      <c r="E216" s="463"/>
      <c r="F216" s="139"/>
      <c r="G216" s="141"/>
      <c r="H216" s="208"/>
      <c r="I216" s="139"/>
      <c r="J216" s="139"/>
      <c r="K216" s="209"/>
      <c r="L216" s="139"/>
      <c r="M216" s="139"/>
      <c r="N216" s="139"/>
      <c r="P216" s="208"/>
      <c r="Q216" s="208"/>
      <c r="R216" s="520"/>
      <c r="S216" s="520"/>
      <c r="T216" s="520"/>
      <c r="U216" s="139"/>
    </row>
    <row r="217" spans="2:21">
      <c r="B217" s="139"/>
      <c r="C217" s="139"/>
      <c r="D217" s="139"/>
      <c r="E217" s="463"/>
      <c r="F217" s="139"/>
      <c r="G217" s="141"/>
      <c r="H217" s="208"/>
      <c r="I217" s="139"/>
      <c r="J217" s="139"/>
      <c r="K217" s="209"/>
      <c r="L217" s="139"/>
      <c r="M217" s="139"/>
      <c r="N217" s="139"/>
      <c r="P217" s="208"/>
      <c r="Q217" s="208"/>
      <c r="R217" s="520"/>
      <c r="S217" s="520"/>
      <c r="T217" s="520"/>
      <c r="U217" s="139"/>
    </row>
    <row r="218" spans="2:21">
      <c r="B218" s="139"/>
      <c r="C218" s="139"/>
      <c r="D218" s="139"/>
      <c r="E218" s="463"/>
      <c r="F218" s="139"/>
      <c r="G218" s="141"/>
      <c r="H218" s="208"/>
      <c r="I218" s="139"/>
      <c r="J218" s="139"/>
      <c r="K218" s="209"/>
      <c r="L218" s="139"/>
      <c r="M218" s="139"/>
      <c r="N218" s="139"/>
      <c r="P218" s="208"/>
      <c r="Q218" s="208"/>
      <c r="R218" s="520"/>
      <c r="S218" s="520"/>
      <c r="T218" s="520"/>
      <c r="U218" s="139"/>
    </row>
    <row r="219" spans="2:21">
      <c r="B219" s="139"/>
      <c r="C219" s="139"/>
      <c r="D219" s="139"/>
      <c r="E219" s="463"/>
      <c r="F219" s="139"/>
      <c r="G219" s="141"/>
      <c r="H219" s="208"/>
      <c r="I219" s="139"/>
      <c r="J219" s="139"/>
      <c r="K219" s="209"/>
      <c r="L219" s="139"/>
      <c r="M219" s="139"/>
      <c r="N219" s="139"/>
      <c r="P219" s="208"/>
      <c r="Q219" s="208"/>
      <c r="R219" s="520"/>
      <c r="S219" s="520"/>
      <c r="T219" s="520"/>
      <c r="U219" s="139"/>
    </row>
    <row r="220" spans="2:21">
      <c r="B220" s="139"/>
      <c r="C220" s="139"/>
      <c r="D220" s="139"/>
      <c r="E220" s="463"/>
      <c r="F220" s="139"/>
      <c r="G220" s="141"/>
      <c r="H220" s="208"/>
      <c r="I220" s="139"/>
      <c r="J220" s="139"/>
      <c r="K220" s="209"/>
      <c r="L220" s="139"/>
      <c r="M220" s="139"/>
      <c r="N220" s="139"/>
      <c r="P220" s="208"/>
      <c r="Q220" s="208"/>
      <c r="R220" s="520"/>
      <c r="S220" s="520"/>
      <c r="T220" s="520"/>
      <c r="U220" s="139"/>
    </row>
    <row r="221" spans="2:21">
      <c r="B221" s="139"/>
      <c r="C221" s="139"/>
      <c r="D221" s="139"/>
      <c r="E221" s="463"/>
      <c r="F221" s="139"/>
      <c r="G221" s="141"/>
      <c r="H221" s="208"/>
      <c r="I221" s="139"/>
      <c r="J221" s="139"/>
      <c r="K221" s="209"/>
      <c r="L221" s="139"/>
      <c r="M221" s="139"/>
      <c r="N221" s="139"/>
      <c r="P221" s="208"/>
      <c r="Q221" s="208"/>
      <c r="R221" s="520"/>
      <c r="S221" s="520"/>
      <c r="T221" s="520"/>
      <c r="U221" s="139"/>
    </row>
    <row r="222" spans="2:21">
      <c r="B222" s="139"/>
      <c r="C222" s="139"/>
      <c r="D222" s="139"/>
      <c r="E222" s="463"/>
      <c r="F222" s="139"/>
      <c r="G222" s="141"/>
      <c r="H222" s="208"/>
      <c r="I222" s="139"/>
      <c r="J222" s="139"/>
      <c r="K222" s="209"/>
      <c r="L222" s="139"/>
      <c r="M222" s="139"/>
      <c r="N222" s="139"/>
      <c r="P222" s="208"/>
      <c r="Q222" s="208"/>
      <c r="R222" s="520"/>
      <c r="S222" s="520"/>
      <c r="T222" s="520"/>
      <c r="U222" s="139"/>
    </row>
    <row r="223" spans="2:21">
      <c r="B223" s="139"/>
      <c r="C223" s="139"/>
      <c r="D223" s="139"/>
      <c r="E223" s="463"/>
      <c r="F223" s="139"/>
      <c r="G223" s="141"/>
      <c r="H223" s="208"/>
      <c r="I223" s="139"/>
      <c r="J223" s="139"/>
      <c r="K223" s="209"/>
      <c r="L223" s="139"/>
      <c r="M223" s="139"/>
      <c r="N223" s="139"/>
      <c r="P223" s="208"/>
      <c r="Q223" s="208"/>
      <c r="R223" s="520"/>
      <c r="S223" s="520"/>
      <c r="T223" s="520"/>
      <c r="U223" s="139"/>
    </row>
    <row r="224" spans="2:21">
      <c r="B224" s="139"/>
      <c r="C224" s="139"/>
      <c r="D224" s="139"/>
      <c r="E224" s="463"/>
      <c r="F224" s="139"/>
      <c r="G224" s="141"/>
      <c r="H224" s="208"/>
      <c r="I224" s="139"/>
      <c r="J224" s="139"/>
      <c r="K224" s="209"/>
      <c r="L224" s="139"/>
      <c r="M224" s="139"/>
      <c r="N224" s="139"/>
      <c r="P224" s="208"/>
      <c r="Q224" s="208"/>
      <c r="R224" s="520"/>
      <c r="S224" s="520"/>
      <c r="T224" s="520"/>
      <c r="U224" s="139"/>
    </row>
    <row r="225" spans="2:21">
      <c r="B225" s="139"/>
      <c r="C225" s="139"/>
      <c r="D225" s="139"/>
      <c r="E225" s="463"/>
      <c r="F225" s="139"/>
      <c r="G225" s="141"/>
      <c r="H225" s="208"/>
      <c r="I225" s="139"/>
      <c r="J225" s="139"/>
      <c r="K225" s="209"/>
      <c r="L225" s="139"/>
      <c r="M225" s="139"/>
      <c r="N225" s="139"/>
      <c r="P225" s="208"/>
      <c r="Q225" s="208"/>
      <c r="R225" s="520"/>
      <c r="S225" s="520"/>
      <c r="T225" s="520"/>
      <c r="U225" s="139"/>
    </row>
    <row r="226" spans="2:21">
      <c r="B226" s="139"/>
      <c r="C226" s="139"/>
      <c r="D226" s="139"/>
      <c r="E226" s="463"/>
      <c r="F226" s="139"/>
      <c r="G226" s="141"/>
      <c r="H226" s="208"/>
      <c r="I226" s="139"/>
      <c r="J226" s="139"/>
      <c r="K226" s="209"/>
      <c r="L226" s="139"/>
      <c r="M226" s="139"/>
      <c r="N226" s="139"/>
      <c r="P226" s="208"/>
      <c r="Q226" s="208"/>
      <c r="R226" s="520"/>
      <c r="S226" s="520"/>
      <c r="T226" s="520"/>
      <c r="U226" s="139"/>
    </row>
    <row r="227" spans="2:21">
      <c r="B227" s="139"/>
      <c r="C227" s="139"/>
      <c r="D227" s="139"/>
      <c r="E227" s="463"/>
      <c r="F227" s="139"/>
      <c r="G227" s="141"/>
      <c r="H227" s="208"/>
      <c r="I227" s="139"/>
      <c r="J227" s="139"/>
      <c r="K227" s="209"/>
      <c r="L227" s="139"/>
      <c r="M227" s="139"/>
      <c r="N227" s="139"/>
      <c r="P227" s="208"/>
      <c r="Q227" s="208"/>
      <c r="R227" s="520"/>
      <c r="S227" s="520"/>
      <c r="T227" s="520"/>
      <c r="U227" s="139"/>
    </row>
    <row r="228" spans="2:21">
      <c r="B228" s="139"/>
      <c r="C228" s="139"/>
      <c r="D228" s="139"/>
      <c r="E228" s="463"/>
      <c r="F228" s="139"/>
      <c r="G228" s="141"/>
      <c r="H228" s="208"/>
      <c r="I228" s="139"/>
      <c r="J228" s="139"/>
      <c r="K228" s="209"/>
      <c r="L228" s="139"/>
      <c r="M228" s="139"/>
      <c r="N228" s="139"/>
      <c r="P228" s="208"/>
      <c r="Q228" s="208"/>
      <c r="R228" s="520"/>
      <c r="S228" s="520"/>
      <c r="T228" s="520"/>
      <c r="U228" s="139"/>
    </row>
    <row r="229" spans="2:21">
      <c r="B229" s="139"/>
      <c r="C229" s="139"/>
      <c r="D229" s="139"/>
      <c r="E229" s="463"/>
      <c r="F229" s="139"/>
      <c r="G229" s="141"/>
      <c r="H229" s="208"/>
      <c r="I229" s="139"/>
      <c r="J229" s="139"/>
      <c r="K229" s="209"/>
      <c r="L229" s="139"/>
      <c r="M229" s="139"/>
      <c r="N229" s="139"/>
      <c r="P229" s="208"/>
      <c r="Q229" s="208"/>
      <c r="R229" s="520"/>
      <c r="S229" s="520"/>
      <c r="T229" s="520"/>
      <c r="U229" s="139"/>
    </row>
    <row r="230" spans="2:21">
      <c r="B230" s="139"/>
      <c r="C230" s="139"/>
      <c r="D230" s="139"/>
      <c r="E230" s="463"/>
      <c r="F230" s="139"/>
      <c r="G230" s="141"/>
      <c r="H230" s="208"/>
      <c r="I230" s="139"/>
      <c r="J230" s="139"/>
      <c r="K230" s="209"/>
      <c r="L230" s="139"/>
      <c r="M230" s="139"/>
      <c r="N230" s="139"/>
      <c r="P230" s="208"/>
      <c r="Q230" s="208"/>
      <c r="R230" s="520"/>
      <c r="S230" s="520"/>
      <c r="T230" s="520"/>
      <c r="U230" s="139"/>
    </row>
    <row r="231" spans="2:21">
      <c r="B231" s="139"/>
      <c r="C231" s="139"/>
      <c r="D231" s="139"/>
      <c r="E231" s="463"/>
      <c r="F231" s="139"/>
      <c r="G231" s="141"/>
      <c r="H231" s="208"/>
      <c r="I231" s="139"/>
      <c r="J231" s="139"/>
      <c r="K231" s="209"/>
      <c r="L231" s="139"/>
      <c r="M231" s="139"/>
      <c r="N231" s="139"/>
      <c r="P231" s="208"/>
      <c r="Q231" s="208"/>
      <c r="R231" s="520"/>
      <c r="S231" s="520"/>
      <c r="T231" s="520"/>
      <c r="U231" s="139"/>
    </row>
    <row r="232" spans="2:21">
      <c r="B232" s="139"/>
      <c r="C232" s="139"/>
      <c r="D232" s="139"/>
      <c r="E232" s="463"/>
      <c r="F232" s="139"/>
      <c r="G232" s="141"/>
      <c r="H232" s="208"/>
      <c r="I232" s="139"/>
      <c r="J232" s="139"/>
      <c r="K232" s="209"/>
      <c r="L232" s="139"/>
      <c r="M232" s="139"/>
      <c r="N232" s="139"/>
      <c r="P232" s="208"/>
      <c r="Q232" s="208"/>
      <c r="R232" s="520"/>
      <c r="S232" s="520"/>
      <c r="T232" s="520"/>
      <c r="U232" s="139"/>
    </row>
    <row r="233" spans="2:21">
      <c r="B233" s="139"/>
      <c r="C233" s="139"/>
      <c r="D233" s="139"/>
      <c r="E233" s="463"/>
      <c r="F233" s="139"/>
      <c r="G233" s="141"/>
      <c r="H233" s="208"/>
      <c r="I233" s="139"/>
      <c r="J233" s="139"/>
      <c r="K233" s="209"/>
      <c r="L233" s="139"/>
      <c r="M233" s="139"/>
      <c r="N233" s="139"/>
      <c r="P233" s="208"/>
      <c r="Q233" s="208"/>
      <c r="R233" s="520"/>
      <c r="S233" s="520"/>
      <c r="T233" s="520"/>
      <c r="U233" s="139"/>
    </row>
    <row r="234" spans="2:21">
      <c r="B234" s="139"/>
      <c r="C234" s="139"/>
      <c r="D234" s="139"/>
      <c r="E234" s="463"/>
      <c r="F234" s="139"/>
      <c r="G234" s="141"/>
      <c r="H234" s="208"/>
      <c r="I234" s="139"/>
      <c r="J234" s="139"/>
      <c r="K234" s="209"/>
      <c r="L234" s="139"/>
      <c r="M234" s="139"/>
      <c r="N234" s="139"/>
      <c r="P234" s="208"/>
      <c r="Q234" s="208"/>
      <c r="R234" s="520"/>
      <c r="S234" s="520"/>
      <c r="T234" s="520"/>
      <c r="U234" s="139"/>
    </row>
    <row r="235" spans="2:21">
      <c r="B235" s="139"/>
      <c r="C235" s="139"/>
      <c r="D235" s="139"/>
      <c r="E235" s="463"/>
      <c r="F235" s="139"/>
      <c r="G235" s="141"/>
      <c r="H235" s="208"/>
      <c r="I235" s="139"/>
      <c r="J235" s="139"/>
      <c r="K235" s="209"/>
      <c r="L235" s="139"/>
      <c r="M235" s="139"/>
      <c r="N235" s="139"/>
      <c r="P235" s="208"/>
      <c r="Q235" s="208"/>
      <c r="R235" s="520"/>
      <c r="S235" s="520"/>
      <c r="T235" s="520"/>
      <c r="U235" s="139"/>
    </row>
    <row r="236" spans="2:21">
      <c r="B236" s="139"/>
      <c r="C236" s="139"/>
      <c r="D236" s="139"/>
      <c r="E236" s="463"/>
      <c r="F236" s="139"/>
      <c r="G236" s="141"/>
      <c r="H236" s="208"/>
      <c r="I236" s="139"/>
      <c r="J236" s="139"/>
      <c r="K236" s="209"/>
      <c r="L236" s="139"/>
      <c r="M236" s="139"/>
      <c r="N236" s="139"/>
      <c r="P236" s="208"/>
      <c r="Q236" s="208"/>
      <c r="R236" s="520"/>
      <c r="S236" s="520"/>
      <c r="T236" s="520"/>
      <c r="U236" s="139"/>
    </row>
    <row r="237" spans="2:21">
      <c r="B237" s="139"/>
      <c r="C237" s="139"/>
      <c r="D237" s="139"/>
      <c r="E237" s="463"/>
      <c r="F237" s="139"/>
      <c r="G237" s="141"/>
      <c r="H237" s="208"/>
      <c r="I237" s="139"/>
      <c r="J237" s="139"/>
      <c r="K237" s="209"/>
      <c r="L237" s="139"/>
      <c r="M237" s="139"/>
      <c r="N237" s="139"/>
      <c r="P237" s="208"/>
      <c r="Q237" s="208"/>
      <c r="R237" s="520"/>
      <c r="S237" s="520"/>
      <c r="T237" s="520"/>
      <c r="U237" s="139"/>
    </row>
    <row r="238" spans="2:21">
      <c r="B238" s="139"/>
      <c r="C238" s="139"/>
      <c r="D238" s="139"/>
      <c r="E238" s="463"/>
      <c r="F238" s="139"/>
      <c r="G238" s="141"/>
      <c r="H238" s="208"/>
      <c r="I238" s="139"/>
      <c r="J238" s="139"/>
      <c r="K238" s="209"/>
      <c r="L238" s="139"/>
      <c r="M238" s="139"/>
      <c r="N238" s="139"/>
      <c r="P238" s="208"/>
      <c r="Q238" s="208"/>
      <c r="R238" s="520"/>
      <c r="S238" s="520"/>
      <c r="T238" s="520"/>
      <c r="U238" s="139"/>
    </row>
    <row r="239" spans="2:21">
      <c r="B239" s="139"/>
      <c r="C239" s="139"/>
      <c r="D239" s="139"/>
      <c r="E239" s="463"/>
      <c r="F239" s="139"/>
      <c r="G239" s="141"/>
      <c r="H239" s="208"/>
      <c r="I239" s="139"/>
      <c r="J239" s="139"/>
      <c r="K239" s="209"/>
      <c r="L239" s="139"/>
      <c r="M239" s="139"/>
      <c r="N239" s="139"/>
      <c r="P239" s="208"/>
      <c r="Q239" s="208"/>
      <c r="R239" s="520"/>
      <c r="S239" s="520"/>
      <c r="T239" s="520"/>
      <c r="U239" s="139"/>
    </row>
    <row r="240" spans="2:21">
      <c r="B240" s="139"/>
      <c r="C240" s="139"/>
      <c r="D240" s="139"/>
      <c r="E240" s="463"/>
      <c r="F240" s="139"/>
      <c r="G240" s="141"/>
      <c r="H240" s="208"/>
      <c r="I240" s="139"/>
      <c r="J240" s="139"/>
      <c r="K240" s="209"/>
      <c r="L240" s="139"/>
      <c r="M240" s="139"/>
      <c r="N240" s="139"/>
      <c r="P240" s="208"/>
      <c r="Q240" s="208"/>
      <c r="R240" s="520"/>
      <c r="S240" s="520"/>
      <c r="T240" s="520"/>
      <c r="U240" s="139"/>
    </row>
    <row r="241" spans="2:21">
      <c r="B241" s="139"/>
      <c r="C241" s="139"/>
      <c r="D241" s="139"/>
      <c r="E241" s="463"/>
      <c r="F241" s="139"/>
      <c r="G241" s="141"/>
      <c r="H241" s="208"/>
      <c r="I241" s="139"/>
      <c r="J241" s="139"/>
      <c r="K241" s="209"/>
      <c r="L241" s="139"/>
      <c r="M241" s="139"/>
      <c r="N241" s="139"/>
      <c r="P241" s="208"/>
      <c r="Q241" s="208"/>
      <c r="R241" s="520"/>
      <c r="S241" s="520"/>
      <c r="T241" s="520"/>
      <c r="U241" s="139"/>
    </row>
    <row r="242" spans="2:21">
      <c r="B242" s="139"/>
      <c r="C242" s="139"/>
      <c r="D242" s="139"/>
      <c r="E242" s="463"/>
      <c r="F242" s="139"/>
      <c r="G242" s="141"/>
      <c r="H242" s="208"/>
      <c r="I242" s="139"/>
      <c r="J242" s="139"/>
      <c r="K242" s="209"/>
      <c r="L242" s="139"/>
      <c r="M242" s="139"/>
      <c r="N242" s="139"/>
      <c r="P242" s="208"/>
      <c r="Q242" s="208"/>
      <c r="R242" s="520"/>
      <c r="S242" s="520"/>
      <c r="T242" s="520"/>
      <c r="U242" s="139"/>
    </row>
    <row r="243" spans="2:21">
      <c r="B243" s="139"/>
      <c r="C243" s="139"/>
      <c r="D243" s="139"/>
      <c r="E243" s="463"/>
      <c r="F243" s="139"/>
      <c r="G243" s="141"/>
      <c r="H243" s="208"/>
      <c r="I243" s="139"/>
      <c r="J243" s="139"/>
      <c r="K243" s="209"/>
      <c r="L243" s="139"/>
      <c r="M243" s="139"/>
      <c r="N243" s="139"/>
      <c r="P243" s="208"/>
      <c r="Q243" s="208"/>
      <c r="R243" s="520"/>
      <c r="S243" s="520"/>
      <c r="T243" s="520"/>
      <c r="U243" s="139"/>
    </row>
    <row r="244" spans="2:21">
      <c r="B244" s="139"/>
      <c r="C244" s="139"/>
      <c r="D244" s="139"/>
      <c r="E244" s="463"/>
      <c r="F244" s="139"/>
      <c r="G244" s="141"/>
      <c r="H244" s="208"/>
      <c r="I244" s="139"/>
      <c r="J244" s="139"/>
      <c r="K244" s="209"/>
      <c r="L244" s="139"/>
      <c r="M244" s="139"/>
      <c r="N244" s="139"/>
      <c r="P244" s="208"/>
      <c r="Q244" s="208"/>
      <c r="R244" s="520"/>
      <c r="S244" s="520"/>
      <c r="T244" s="520"/>
      <c r="U244" s="139"/>
    </row>
    <row r="245" spans="2:21">
      <c r="B245" s="139"/>
      <c r="C245" s="139"/>
      <c r="D245" s="139"/>
      <c r="E245" s="463"/>
      <c r="F245" s="139"/>
      <c r="G245" s="141"/>
      <c r="H245" s="208"/>
      <c r="I245" s="139"/>
      <c r="J245" s="139"/>
      <c r="K245" s="209"/>
      <c r="L245" s="139"/>
      <c r="M245" s="139"/>
      <c r="N245" s="139"/>
      <c r="P245" s="208"/>
      <c r="Q245" s="208"/>
      <c r="R245" s="520"/>
      <c r="S245" s="520"/>
      <c r="T245" s="520"/>
      <c r="U245" s="139"/>
    </row>
    <row r="246" spans="2:21">
      <c r="B246" s="139"/>
      <c r="C246" s="139"/>
      <c r="D246" s="139"/>
      <c r="E246" s="463"/>
      <c r="F246" s="139"/>
      <c r="G246" s="141"/>
      <c r="H246" s="208"/>
      <c r="I246" s="139"/>
      <c r="J246" s="139"/>
      <c r="K246" s="209"/>
      <c r="L246" s="139"/>
      <c r="M246" s="139"/>
      <c r="N246" s="139"/>
      <c r="P246" s="208"/>
      <c r="Q246" s="208"/>
      <c r="R246" s="520"/>
      <c r="S246" s="520"/>
      <c r="T246" s="520"/>
      <c r="U246" s="139"/>
    </row>
    <row r="247" spans="2:21">
      <c r="B247" s="139"/>
      <c r="C247" s="139"/>
      <c r="D247" s="139"/>
      <c r="E247" s="463"/>
      <c r="F247" s="139"/>
      <c r="G247" s="141"/>
      <c r="H247" s="208"/>
      <c r="I247" s="139"/>
      <c r="J247" s="139"/>
      <c r="K247" s="209"/>
      <c r="L247" s="139"/>
      <c r="M247" s="139"/>
      <c r="N247" s="139"/>
      <c r="P247" s="208"/>
      <c r="Q247" s="208"/>
      <c r="R247" s="520"/>
      <c r="S247" s="520"/>
      <c r="T247" s="520"/>
      <c r="U247" s="139"/>
    </row>
    <row r="248" spans="2:21">
      <c r="B248" s="139"/>
      <c r="C248" s="139"/>
      <c r="D248" s="139"/>
      <c r="E248" s="463"/>
      <c r="F248" s="139"/>
      <c r="G248" s="141"/>
      <c r="H248" s="208"/>
      <c r="I248" s="139"/>
      <c r="J248" s="139"/>
      <c r="K248" s="209"/>
      <c r="L248" s="139"/>
      <c r="M248" s="139"/>
      <c r="N248" s="139"/>
      <c r="P248" s="208"/>
      <c r="Q248" s="208"/>
      <c r="R248" s="520"/>
      <c r="S248" s="520"/>
      <c r="T248" s="520"/>
      <c r="U248" s="139"/>
    </row>
    <row r="249" spans="2:21">
      <c r="B249" s="139"/>
      <c r="C249" s="139"/>
      <c r="D249" s="139"/>
      <c r="E249" s="463"/>
      <c r="F249" s="139"/>
      <c r="G249" s="141"/>
      <c r="H249" s="208"/>
      <c r="I249" s="139"/>
      <c r="J249" s="139"/>
      <c r="K249" s="209"/>
      <c r="L249" s="139"/>
      <c r="M249" s="139"/>
      <c r="N249" s="139"/>
      <c r="P249" s="208"/>
      <c r="Q249" s="208"/>
      <c r="R249" s="520"/>
      <c r="S249" s="520"/>
      <c r="T249" s="520"/>
      <c r="U249" s="139"/>
    </row>
    <row r="250" spans="2:21">
      <c r="B250" s="139"/>
      <c r="C250" s="139"/>
      <c r="D250" s="139"/>
      <c r="E250" s="463"/>
      <c r="F250" s="139"/>
      <c r="G250" s="141"/>
      <c r="H250" s="208"/>
      <c r="I250" s="139"/>
      <c r="J250" s="139"/>
      <c r="K250" s="209"/>
      <c r="L250" s="139"/>
      <c r="M250" s="139"/>
      <c r="N250" s="139"/>
      <c r="P250" s="208"/>
      <c r="Q250" s="208"/>
      <c r="R250" s="520"/>
      <c r="S250" s="520"/>
      <c r="T250" s="520"/>
      <c r="U250" s="139"/>
    </row>
    <row r="251" spans="2:21">
      <c r="B251" s="139"/>
      <c r="C251" s="139"/>
      <c r="D251" s="139"/>
      <c r="E251" s="463"/>
      <c r="F251" s="139"/>
      <c r="G251" s="141"/>
      <c r="H251" s="208"/>
      <c r="I251" s="139"/>
      <c r="J251" s="139"/>
      <c r="K251" s="209"/>
      <c r="L251" s="139"/>
      <c r="M251" s="139"/>
      <c r="N251" s="139"/>
      <c r="P251" s="208"/>
      <c r="Q251" s="208"/>
      <c r="R251" s="520"/>
      <c r="S251" s="520"/>
      <c r="T251" s="520"/>
      <c r="U251" s="139"/>
    </row>
    <row r="252" spans="2:21">
      <c r="B252" s="139"/>
      <c r="C252" s="139"/>
      <c r="D252" s="139"/>
      <c r="E252" s="463"/>
      <c r="F252" s="139"/>
      <c r="G252" s="141"/>
      <c r="H252" s="208"/>
      <c r="I252" s="139"/>
      <c r="J252" s="139"/>
      <c r="K252" s="209"/>
      <c r="L252" s="139"/>
      <c r="M252" s="139"/>
      <c r="N252" s="139"/>
      <c r="P252" s="208"/>
      <c r="Q252" s="208"/>
      <c r="R252" s="520"/>
      <c r="S252" s="520"/>
      <c r="T252" s="520"/>
      <c r="U252" s="139"/>
    </row>
    <row r="253" spans="2:21">
      <c r="B253" s="139"/>
      <c r="C253" s="139"/>
      <c r="D253" s="139"/>
      <c r="E253" s="463"/>
      <c r="F253" s="139"/>
      <c r="G253" s="141"/>
      <c r="H253" s="208"/>
      <c r="I253" s="139"/>
      <c r="J253" s="139"/>
      <c r="K253" s="209"/>
      <c r="L253" s="139"/>
      <c r="M253" s="139"/>
      <c r="N253" s="139"/>
      <c r="P253" s="208"/>
      <c r="Q253" s="208"/>
      <c r="R253" s="520"/>
      <c r="S253" s="520"/>
      <c r="T253" s="520"/>
      <c r="U253" s="139"/>
    </row>
    <row r="254" spans="2:21">
      <c r="B254" s="139"/>
      <c r="C254" s="139"/>
      <c r="D254" s="139"/>
      <c r="E254" s="463"/>
      <c r="F254" s="139"/>
      <c r="G254" s="141"/>
      <c r="H254" s="208"/>
      <c r="I254" s="139"/>
      <c r="J254" s="139"/>
      <c r="K254" s="209"/>
      <c r="L254" s="139"/>
      <c r="M254" s="139"/>
      <c r="N254" s="139"/>
      <c r="P254" s="208"/>
      <c r="Q254" s="208"/>
      <c r="R254" s="520"/>
      <c r="S254" s="520"/>
      <c r="T254" s="520"/>
      <c r="U254" s="139"/>
    </row>
    <row r="255" spans="2:21">
      <c r="B255" s="139"/>
      <c r="C255" s="139"/>
      <c r="D255" s="139"/>
      <c r="E255" s="463"/>
      <c r="F255" s="139"/>
      <c r="G255" s="141"/>
      <c r="H255" s="208"/>
      <c r="I255" s="139"/>
      <c r="J255" s="139"/>
      <c r="K255" s="209"/>
      <c r="L255" s="139"/>
      <c r="M255" s="139"/>
      <c r="N255" s="139"/>
      <c r="P255" s="208"/>
      <c r="Q255" s="208"/>
      <c r="R255" s="520"/>
      <c r="S255" s="520"/>
      <c r="T255" s="520"/>
      <c r="U255" s="139"/>
    </row>
    <row r="256" spans="2:21">
      <c r="B256" s="139"/>
      <c r="C256" s="139"/>
      <c r="D256" s="139"/>
      <c r="E256" s="463"/>
      <c r="F256" s="139"/>
      <c r="G256" s="141"/>
      <c r="H256" s="208"/>
      <c r="I256" s="139"/>
      <c r="J256" s="139"/>
      <c r="K256" s="209"/>
      <c r="L256" s="139"/>
      <c r="M256" s="139"/>
      <c r="N256" s="139"/>
      <c r="P256" s="208"/>
      <c r="Q256" s="208"/>
      <c r="R256" s="520"/>
      <c r="S256" s="520"/>
      <c r="T256" s="520"/>
      <c r="U256" s="139"/>
    </row>
    <row r="257" spans="2:21">
      <c r="B257" s="139"/>
      <c r="C257" s="139"/>
      <c r="D257" s="139"/>
      <c r="E257" s="463"/>
      <c r="F257" s="139"/>
      <c r="G257" s="141"/>
      <c r="H257" s="208"/>
      <c r="I257" s="139"/>
      <c r="J257" s="139"/>
      <c r="K257" s="209"/>
      <c r="L257" s="139"/>
      <c r="M257" s="139"/>
      <c r="N257" s="139"/>
      <c r="P257" s="208"/>
      <c r="Q257" s="208"/>
      <c r="R257" s="520"/>
      <c r="S257" s="520"/>
      <c r="T257" s="520"/>
      <c r="U257" s="139"/>
    </row>
    <row r="258" spans="2:21">
      <c r="B258" s="139"/>
      <c r="C258" s="139"/>
      <c r="D258" s="139"/>
      <c r="E258" s="463"/>
      <c r="F258" s="139"/>
      <c r="G258" s="141"/>
      <c r="H258" s="208"/>
      <c r="I258" s="139"/>
      <c r="J258" s="139"/>
      <c r="K258" s="209"/>
      <c r="L258" s="139"/>
      <c r="M258" s="139"/>
      <c r="N258" s="139"/>
      <c r="P258" s="208"/>
      <c r="Q258" s="208"/>
      <c r="R258" s="520"/>
      <c r="S258" s="520"/>
      <c r="T258" s="520"/>
      <c r="U258" s="139"/>
    </row>
    <row r="259" spans="2:21">
      <c r="B259" s="139"/>
      <c r="C259" s="139"/>
      <c r="D259" s="139"/>
      <c r="E259" s="463"/>
      <c r="F259" s="139"/>
      <c r="G259" s="141"/>
      <c r="H259" s="208"/>
      <c r="I259" s="139"/>
      <c r="J259" s="139"/>
      <c r="K259" s="209"/>
      <c r="L259" s="139"/>
      <c r="M259" s="139"/>
      <c r="N259" s="139"/>
      <c r="P259" s="208"/>
      <c r="Q259" s="208"/>
      <c r="R259" s="520"/>
      <c r="S259" s="520"/>
      <c r="T259" s="520"/>
      <c r="U259" s="139"/>
    </row>
    <row r="260" spans="2:21">
      <c r="B260" s="139"/>
      <c r="C260" s="139"/>
      <c r="D260" s="139"/>
      <c r="E260" s="463"/>
      <c r="F260" s="139"/>
      <c r="G260" s="141"/>
      <c r="H260" s="208"/>
      <c r="I260" s="139"/>
      <c r="J260" s="139"/>
      <c r="K260" s="209"/>
      <c r="L260" s="139"/>
      <c r="M260" s="139"/>
      <c r="N260" s="139"/>
      <c r="P260" s="208"/>
      <c r="Q260" s="208"/>
      <c r="R260" s="520"/>
      <c r="S260" s="520"/>
      <c r="T260" s="520"/>
      <c r="U260" s="139"/>
    </row>
    <row r="261" spans="2:21">
      <c r="B261" s="139"/>
      <c r="C261" s="139"/>
      <c r="D261" s="139"/>
      <c r="E261" s="463"/>
      <c r="F261" s="139"/>
      <c r="G261" s="141"/>
      <c r="H261" s="208"/>
      <c r="I261" s="139"/>
      <c r="J261" s="139"/>
      <c r="K261" s="209"/>
      <c r="L261" s="139"/>
      <c r="M261" s="139"/>
      <c r="N261" s="139"/>
      <c r="P261" s="208"/>
      <c r="Q261" s="208"/>
      <c r="R261" s="520"/>
      <c r="S261" s="520"/>
      <c r="T261" s="520"/>
      <c r="U261" s="139"/>
    </row>
    <row r="262" spans="2:21">
      <c r="B262" s="139"/>
      <c r="C262" s="139"/>
      <c r="D262" s="139"/>
      <c r="E262" s="463"/>
      <c r="F262" s="139"/>
      <c r="G262" s="141"/>
      <c r="H262" s="208"/>
      <c r="I262" s="139"/>
      <c r="J262" s="139"/>
      <c r="K262" s="209"/>
      <c r="L262" s="139"/>
      <c r="M262" s="139"/>
      <c r="N262" s="139"/>
      <c r="P262" s="208"/>
      <c r="Q262" s="208"/>
      <c r="R262" s="520"/>
      <c r="S262" s="520"/>
      <c r="T262" s="520"/>
      <c r="U262" s="139"/>
    </row>
    <row r="263" spans="2:21">
      <c r="B263" s="139"/>
      <c r="C263" s="139"/>
      <c r="D263" s="139"/>
      <c r="E263" s="463"/>
      <c r="F263" s="139"/>
      <c r="G263" s="141"/>
      <c r="H263" s="208"/>
      <c r="I263" s="139"/>
      <c r="J263" s="139"/>
      <c r="K263" s="209"/>
      <c r="L263" s="139"/>
      <c r="M263" s="139"/>
      <c r="N263" s="139"/>
      <c r="P263" s="208"/>
      <c r="Q263" s="208"/>
      <c r="R263" s="520"/>
      <c r="S263" s="520"/>
      <c r="T263" s="520"/>
      <c r="U263" s="139"/>
    </row>
    <row r="264" spans="2:21">
      <c r="B264" s="139"/>
      <c r="C264" s="139"/>
      <c r="D264" s="139"/>
      <c r="E264" s="463"/>
      <c r="F264" s="139"/>
      <c r="G264" s="141"/>
      <c r="H264" s="208"/>
      <c r="I264" s="139"/>
      <c r="J264" s="139"/>
      <c r="K264" s="209"/>
      <c r="L264" s="139"/>
      <c r="M264" s="139"/>
      <c r="N264" s="139"/>
      <c r="P264" s="208"/>
      <c r="Q264" s="208"/>
      <c r="R264" s="520"/>
      <c r="S264" s="520"/>
      <c r="T264" s="520"/>
      <c r="U264" s="139"/>
    </row>
    <row r="265" spans="2:21">
      <c r="B265" s="139"/>
      <c r="C265" s="139"/>
      <c r="D265" s="139"/>
      <c r="E265" s="463"/>
      <c r="F265" s="139"/>
      <c r="G265" s="141"/>
      <c r="H265" s="208"/>
      <c r="I265" s="139"/>
      <c r="J265" s="139"/>
      <c r="K265" s="209"/>
      <c r="L265" s="139"/>
      <c r="M265" s="139"/>
      <c r="N265" s="139"/>
      <c r="P265" s="208"/>
      <c r="Q265" s="208"/>
      <c r="R265" s="520"/>
      <c r="S265" s="520"/>
      <c r="T265" s="520"/>
      <c r="U265" s="139"/>
    </row>
    <row r="266" spans="2:21">
      <c r="B266" s="139"/>
      <c r="C266" s="139"/>
      <c r="D266" s="139"/>
      <c r="E266" s="463"/>
      <c r="F266" s="139"/>
      <c r="G266" s="141"/>
      <c r="H266" s="208"/>
      <c r="I266" s="139"/>
      <c r="J266" s="139"/>
      <c r="K266" s="209"/>
      <c r="L266" s="139"/>
      <c r="M266" s="139"/>
      <c r="N266" s="139"/>
      <c r="P266" s="208"/>
      <c r="Q266" s="208"/>
      <c r="R266" s="520"/>
      <c r="S266" s="520"/>
      <c r="T266" s="520"/>
      <c r="U266" s="139"/>
    </row>
    <row r="267" spans="2:21">
      <c r="B267" s="139"/>
      <c r="C267" s="139"/>
      <c r="D267" s="139"/>
      <c r="E267" s="463"/>
      <c r="F267" s="139"/>
      <c r="G267" s="141"/>
      <c r="H267" s="208"/>
      <c r="I267" s="139"/>
      <c r="J267" s="139"/>
      <c r="K267" s="209"/>
      <c r="L267" s="139"/>
      <c r="M267" s="139"/>
      <c r="N267" s="139"/>
      <c r="P267" s="208"/>
      <c r="Q267" s="208"/>
      <c r="R267" s="520"/>
      <c r="S267" s="520"/>
      <c r="T267" s="520"/>
      <c r="U267" s="139"/>
    </row>
    <row r="268" spans="2:21">
      <c r="B268" s="139"/>
      <c r="C268" s="139"/>
      <c r="D268" s="139"/>
      <c r="E268" s="463"/>
      <c r="F268" s="139"/>
      <c r="G268" s="141"/>
      <c r="H268" s="208"/>
      <c r="I268" s="139"/>
      <c r="J268" s="139"/>
      <c r="K268" s="209"/>
      <c r="L268" s="139"/>
      <c r="M268" s="139"/>
      <c r="N268" s="139"/>
      <c r="P268" s="208"/>
      <c r="Q268" s="208"/>
      <c r="R268" s="520"/>
      <c r="S268" s="520"/>
      <c r="T268" s="520"/>
      <c r="U268" s="139"/>
    </row>
    <row r="269" spans="2:21">
      <c r="B269" s="139"/>
      <c r="C269" s="139"/>
      <c r="D269" s="139"/>
      <c r="E269" s="463"/>
      <c r="F269" s="139"/>
      <c r="G269" s="141"/>
      <c r="H269" s="208"/>
      <c r="I269" s="139"/>
      <c r="J269" s="139"/>
      <c r="K269" s="209"/>
      <c r="L269" s="139"/>
      <c r="M269" s="139"/>
      <c r="N269" s="139"/>
      <c r="P269" s="208"/>
      <c r="Q269" s="208"/>
      <c r="R269" s="520"/>
      <c r="S269" s="520"/>
      <c r="T269" s="520"/>
      <c r="U269" s="139"/>
    </row>
    <row r="270" spans="2:21">
      <c r="B270" s="139"/>
      <c r="C270" s="139"/>
      <c r="D270" s="139"/>
      <c r="E270" s="463"/>
      <c r="F270" s="139"/>
      <c r="G270" s="141"/>
      <c r="H270" s="208"/>
      <c r="I270" s="139"/>
      <c r="J270" s="139"/>
      <c r="K270" s="209"/>
      <c r="L270" s="139"/>
      <c r="M270" s="139"/>
      <c r="N270" s="139"/>
      <c r="P270" s="208"/>
      <c r="Q270" s="208"/>
      <c r="R270" s="520"/>
      <c r="S270" s="520"/>
      <c r="T270" s="520"/>
      <c r="U270" s="139"/>
    </row>
    <row r="271" spans="2:21">
      <c r="B271" s="139"/>
      <c r="C271" s="139"/>
      <c r="D271" s="139"/>
      <c r="E271" s="463"/>
      <c r="F271" s="139"/>
      <c r="G271" s="141"/>
      <c r="H271" s="208"/>
      <c r="I271" s="139"/>
      <c r="J271" s="139"/>
      <c r="K271" s="209"/>
      <c r="L271" s="139"/>
      <c r="M271" s="139"/>
      <c r="N271" s="139"/>
      <c r="P271" s="208"/>
      <c r="Q271" s="208"/>
      <c r="R271" s="520"/>
      <c r="S271" s="520"/>
      <c r="T271" s="520"/>
      <c r="U271" s="139"/>
    </row>
    <row r="272" spans="2:21">
      <c r="B272" s="139"/>
      <c r="C272" s="139"/>
      <c r="D272" s="139"/>
      <c r="E272" s="463"/>
      <c r="F272" s="139"/>
      <c r="G272" s="141"/>
      <c r="H272" s="208"/>
      <c r="I272" s="139"/>
      <c r="J272" s="139"/>
      <c r="K272" s="209"/>
      <c r="L272" s="139"/>
      <c r="M272" s="139"/>
      <c r="N272" s="139"/>
      <c r="P272" s="208"/>
      <c r="Q272" s="208"/>
      <c r="R272" s="520"/>
      <c r="S272" s="520"/>
      <c r="T272" s="520"/>
      <c r="U272" s="139"/>
    </row>
    <row r="273" spans="2:21">
      <c r="B273" s="139"/>
      <c r="C273" s="139"/>
      <c r="D273" s="139"/>
      <c r="E273" s="463"/>
      <c r="F273" s="139"/>
      <c r="G273" s="141"/>
      <c r="H273" s="208"/>
      <c r="I273" s="139"/>
      <c r="J273" s="139"/>
      <c r="K273" s="209"/>
      <c r="L273" s="139"/>
      <c r="M273" s="139"/>
      <c r="N273" s="139"/>
      <c r="P273" s="208"/>
      <c r="Q273" s="208"/>
      <c r="R273" s="520"/>
      <c r="S273" s="520"/>
      <c r="T273" s="520"/>
      <c r="U273" s="139"/>
    </row>
    <row r="274" spans="2:21">
      <c r="B274" s="139"/>
      <c r="C274" s="139"/>
      <c r="D274" s="139"/>
      <c r="E274" s="463"/>
      <c r="F274" s="139"/>
      <c r="G274" s="141"/>
      <c r="H274" s="208"/>
      <c r="I274" s="139"/>
      <c r="J274" s="139"/>
      <c r="K274" s="209"/>
      <c r="L274" s="139"/>
      <c r="M274" s="139"/>
      <c r="N274" s="139"/>
      <c r="P274" s="208"/>
      <c r="Q274" s="208"/>
      <c r="R274" s="520"/>
      <c r="S274" s="520"/>
      <c r="T274" s="520"/>
      <c r="U274" s="139"/>
    </row>
    <row r="275" spans="2:21">
      <c r="B275" s="139"/>
      <c r="C275" s="139"/>
      <c r="D275" s="139"/>
      <c r="E275" s="463"/>
      <c r="F275" s="139"/>
      <c r="G275" s="141"/>
      <c r="H275" s="208"/>
      <c r="I275" s="139"/>
      <c r="J275" s="139"/>
      <c r="K275" s="209"/>
      <c r="L275" s="139"/>
      <c r="M275" s="139"/>
      <c r="N275" s="139"/>
      <c r="P275" s="208"/>
      <c r="Q275" s="208"/>
      <c r="R275" s="520"/>
      <c r="S275" s="520"/>
      <c r="T275" s="520"/>
      <c r="U275" s="139"/>
    </row>
    <row r="276" spans="2:21">
      <c r="B276" s="139"/>
      <c r="C276" s="139"/>
      <c r="D276" s="139"/>
      <c r="E276" s="463"/>
      <c r="F276" s="139"/>
      <c r="G276" s="141"/>
      <c r="H276" s="208"/>
      <c r="I276" s="139"/>
      <c r="J276" s="139"/>
      <c r="K276" s="209"/>
      <c r="L276" s="139"/>
      <c r="M276" s="139"/>
      <c r="N276" s="139"/>
      <c r="P276" s="208"/>
      <c r="Q276" s="208"/>
      <c r="R276" s="520"/>
      <c r="S276" s="520"/>
      <c r="T276" s="520"/>
      <c r="U276" s="139"/>
    </row>
    <row r="277" spans="2:21">
      <c r="B277" s="139"/>
      <c r="C277" s="139"/>
      <c r="D277" s="139"/>
      <c r="E277" s="463"/>
      <c r="F277" s="139"/>
      <c r="G277" s="141"/>
      <c r="H277" s="208"/>
      <c r="I277" s="139"/>
      <c r="J277" s="139"/>
      <c r="K277" s="209"/>
      <c r="L277" s="139"/>
      <c r="M277" s="139"/>
      <c r="N277" s="139"/>
      <c r="P277" s="208"/>
      <c r="Q277" s="208"/>
      <c r="R277" s="520"/>
      <c r="S277" s="520"/>
      <c r="T277" s="520"/>
      <c r="U277" s="139"/>
    </row>
    <row r="278" spans="2:21">
      <c r="B278" s="139"/>
      <c r="C278" s="139"/>
      <c r="D278" s="139"/>
      <c r="E278" s="463"/>
      <c r="F278" s="139"/>
      <c r="G278" s="141"/>
      <c r="H278" s="208"/>
      <c r="I278" s="139"/>
      <c r="J278" s="139"/>
      <c r="K278" s="209"/>
      <c r="L278" s="139"/>
      <c r="M278" s="139"/>
      <c r="N278" s="139"/>
      <c r="P278" s="208"/>
      <c r="Q278" s="208"/>
      <c r="R278" s="520"/>
      <c r="S278" s="520"/>
      <c r="T278" s="520"/>
      <c r="U278" s="139"/>
    </row>
    <row r="279" spans="2:21">
      <c r="B279" s="139"/>
      <c r="C279" s="139"/>
      <c r="D279" s="139"/>
      <c r="E279" s="463"/>
      <c r="F279" s="139"/>
      <c r="G279" s="141"/>
      <c r="H279" s="208"/>
      <c r="I279" s="139"/>
      <c r="J279" s="139"/>
      <c r="K279" s="209"/>
      <c r="L279" s="139"/>
      <c r="M279" s="139"/>
      <c r="N279" s="139"/>
      <c r="P279" s="208"/>
      <c r="Q279" s="208"/>
      <c r="R279" s="520"/>
      <c r="S279" s="520"/>
      <c r="T279" s="520"/>
      <c r="U279" s="139"/>
    </row>
  </sheetData>
  <sheetProtection algorithmName="SHA-512" hashValue="4YKtZGmx6Eva9KuJkfFmTdo7p5qV2pASMRQ1Y2zMVI6N6zN5ztRzuRQnOD0lh/9s9CmFygyi7wvsgNUZPGoiZg==" saltValue="6aO/Ua2Ji2HtUcIgTY+czA==" spinCount="100000" sheet="1" formatCells="0" formatColumns="0" formatRows="0" insertColumns="0" insertRows="0" insertHyperlinks="0" deleteColumns="0" deleteRows="0" sort="0" autoFilter="0" pivotTables="0"/>
  <mergeCells count="21">
    <mergeCell ref="B113:C116"/>
    <mergeCell ref="B118:C130"/>
    <mergeCell ref="B132:C132"/>
    <mergeCell ref="B134:C137"/>
    <mergeCell ref="B139:C141"/>
    <mergeCell ref="B72:C73"/>
    <mergeCell ref="B100:C102"/>
    <mergeCell ref="B104:C107"/>
    <mergeCell ref="B109:C111"/>
    <mergeCell ref="B75:C76"/>
    <mergeCell ref="B78:C80"/>
    <mergeCell ref="B82:C98"/>
    <mergeCell ref="K2:L3"/>
    <mergeCell ref="R6:T6"/>
    <mergeCell ref="B9:C23"/>
    <mergeCell ref="B62:C64"/>
    <mergeCell ref="B66:C70"/>
    <mergeCell ref="B25:C26"/>
    <mergeCell ref="B28:C38"/>
    <mergeCell ref="B40:C44"/>
    <mergeCell ref="B46:C60"/>
  </mergeCells>
  <dataValidations count="5">
    <dataValidation type="whole" operator="greaterThanOrEqual" allowBlank="1" showInputMessage="1" showErrorMessage="1" errorTitle="Invalid Entry!" error="An invalid quantity has been entered. Please enter only whole numbers. Click Retry to change entry or Cancel to clear entry." sqref="M113:M116 M1:M6 M280:M65293 M132 M134:M137 M139:M141 M66:M70 M62:M64 M57:M60 M75:M76 M72:M73 M78:M80 M82:M98 M100:M102 M104:M107 M109:M111 M118:M130" xr:uid="{F640FD17-D870-4268-9886-A24A56889DF0}">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8D0ED156-76B7-4490-8ACF-FB0289ED01F5}">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M25:M26 M9:M23 M46:M56 M40:M44 M28:M38" xr:uid="{A0FA67C5-3248-4F55-99A8-86E7691287AC}">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M7" xr:uid="{90AEAEC4-FD06-4E20-9A46-A96E776EC656}">
      <formula1>1</formula1>
    </dataValidation>
    <dataValidation allowBlank="1" showErrorMessage="1" sqref="L1:L1048576" xr:uid="{8355EF93-2402-42B8-9389-428EE9A7CD06}"/>
  </dataValidations>
  <printOptions horizontalCentered="1"/>
  <pageMargins left="0.7" right="0.7" top="0.75" bottom="0.75" header="0.3" footer="0.3"/>
  <pageSetup scale="61" fitToHeight="0" orientation="portrait" horizontalDpi="4294967292" r:id="rId1"/>
  <headerFooter>
    <oddFooter>&amp;L&amp;8V06032014&amp;CCopyright 2014
All rights reserved
For Tigre-ADS USA customer and rep use only_x000D_&amp;1#&amp;"Aptos"&amp;11&amp;K000000 TIGRE:Internal&amp;R&amp;P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C2782-0F7B-4516-98C2-D5215D5D59B8}">
  <sheetPr codeName="Sheet23">
    <tabColor theme="0"/>
    <pageSetUpPr fitToPage="1"/>
  </sheetPr>
  <dimension ref="A1:V69"/>
  <sheetViews>
    <sheetView topLeftCell="A58" workbookViewId="0">
      <selection activeCell="B68" sqref="B68:C68"/>
    </sheetView>
  </sheetViews>
  <sheetFormatPr defaultColWidth="9.109375" defaultRowHeight="0" customHeight="1" zeroHeight="1"/>
  <cols>
    <col min="1" max="1" width="2.33203125" style="5" customWidth="1"/>
    <col min="2" max="3" width="8.6640625" style="2" customWidth="1"/>
    <col min="4" max="5" width="12.6640625" style="4" customWidth="1"/>
    <col min="6" max="6" width="50.6640625" style="8" customWidth="1"/>
    <col min="7" max="8" width="10.6640625" style="4" customWidth="1"/>
    <col min="9" max="10" width="10.6640625" style="7" customWidth="1"/>
    <col min="11" max="11" width="10.6640625" style="4" customWidth="1"/>
    <col min="12" max="12" width="1.44140625" style="4" customWidth="1"/>
    <col min="13" max="13" width="10.6640625" style="4" customWidth="1"/>
    <col min="14" max="14" width="2.33203125" style="2" customWidth="1"/>
    <col min="15" max="16" width="12.6640625" style="4" customWidth="1"/>
    <col min="17" max="17" width="11.33203125" style="9" bestFit="1" customWidth="1"/>
    <col min="18" max="18" width="9.109375" style="9" customWidth="1"/>
    <col min="19" max="19" width="13.109375" style="9" bestFit="1" customWidth="1"/>
    <col min="20" max="21" width="9.109375" style="382"/>
    <col min="22" max="16384" width="9.109375" style="2"/>
  </cols>
  <sheetData>
    <row r="1" spans="1:22" ht="18">
      <c r="F1" s="211" t="s">
        <v>37</v>
      </c>
      <c r="G1" s="152"/>
      <c r="H1" s="152"/>
      <c r="O1" s="152"/>
      <c r="P1" s="152"/>
    </row>
    <row r="2" spans="1:22" ht="15.6">
      <c r="D2" s="19"/>
      <c r="E2" s="28"/>
      <c r="J2" s="661" t="s">
        <v>59</v>
      </c>
      <c r="K2" s="661"/>
    </row>
    <row r="3" spans="1:22" ht="14.4">
      <c r="F3" s="323" t="s">
        <v>2074</v>
      </c>
      <c r="J3" s="661"/>
      <c r="K3" s="661"/>
    </row>
    <row r="4" spans="1:22" ht="14.4">
      <c r="E4" s="14" t="s">
        <v>5733</v>
      </c>
      <c r="F4" s="327" t="s">
        <v>5991</v>
      </c>
      <c r="J4" s="10"/>
      <c r="K4" s="2"/>
    </row>
    <row r="5" spans="1:22" ht="14.4">
      <c r="F5" s="325" t="s">
        <v>5973</v>
      </c>
      <c r="J5" s="10"/>
      <c r="K5" s="2"/>
    </row>
    <row r="6" spans="1:22" ht="14.4">
      <c r="F6" s="170"/>
      <c r="J6" s="10"/>
      <c r="K6" s="2"/>
      <c r="Q6" s="698" t="s">
        <v>64</v>
      </c>
      <c r="R6" s="698"/>
      <c r="S6" s="698"/>
      <c r="T6" s="414"/>
      <c r="U6" s="414"/>
      <c r="V6" s="25"/>
    </row>
    <row r="7" spans="1:22" s="17" customFormat="1" ht="36" customHeight="1">
      <c r="A7" s="101"/>
      <c r="B7" s="136"/>
      <c r="C7" s="136"/>
      <c r="D7" s="136" t="s">
        <v>48</v>
      </c>
      <c r="E7" s="136" t="s">
        <v>49</v>
      </c>
      <c r="F7" s="136" t="s">
        <v>50</v>
      </c>
      <c r="G7" s="136" t="s">
        <v>65</v>
      </c>
      <c r="H7" s="136" t="s">
        <v>66</v>
      </c>
      <c r="I7" s="157" t="s">
        <v>51</v>
      </c>
      <c r="J7" s="157" t="s">
        <v>55</v>
      </c>
      <c r="K7" s="158" t="s">
        <v>52</v>
      </c>
      <c r="L7" s="159"/>
      <c r="M7" s="143" t="s">
        <v>67</v>
      </c>
      <c r="O7" s="213" t="s">
        <v>68</v>
      </c>
      <c r="P7" s="213" t="s">
        <v>69</v>
      </c>
      <c r="Q7" s="516" t="s">
        <v>70</v>
      </c>
      <c r="R7" s="516" t="s">
        <v>71</v>
      </c>
      <c r="S7" s="516" t="s">
        <v>72</v>
      </c>
      <c r="T7" s="383" t="s">
        <v>73</v>
      </c>
      <c r="U7" s="383" t="s">
        <v>328</v>
      </c>
      <c r="V7" s="213" t="s">
        <v>329</v>
      </c>
    </row>
    <row r="8" spans="1:22" s="17" customFormat="1" ht="40.200000000000003" customHeight="1">
      <c r="A8" s="101" t="str">
        <f>IF(K8&gt;0,COUNT($A7:A$7)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8" s="612"/>
      <c r="C8" s="613"/>
      <c r="D8" s="103" t="str">
        <f>_xlfn.XLOOKUP(E8,'All Products'!D:D,'All Products'!C:C,FALSE)</f>
        <v>044-SCB</v>
      </c>
      <c r="E8" s="103">
        <v>100021772</v>
      </c>
      <c r="F8" s="144" t="str">
        <f>_xlfn.XLOOKUP(E8,'All Products'!D:D,'All Products'!E:E,FALSE)</f>
        <v>4 CATCH BASIN/6 BLK GRATE</v>
      </c>
      <c r="G8" s="103">
        <f>_xlfn.XLOOKUP(E8,'All Products'!D:D,'All Products'!F:F,FALSE)</f>
        <v>10</v>
      </c>
      <c r="H8" s="103">
        <f>_xlfn.XLOOKUP(E8,'All Products'!D:D,'All Products'!G:G,FALSE)</f>
        <v>360</v>
      </c>
      <c r="I8" s="142">
        <f>_xlfn.XLOOKUP(E8,'All Products'!D:D,'All Products'!H:H,FALSE)</f>
        <v>50.2</v>
      </c>
      <c r="J8" s="173">
        <f>ROUND(I8*Order_Quote!$L$20,2)</f>
        <v>50.2</v>
      </c>
      <c r="K8" s="161"/>
      <c r="L8" s="113"/>
      <c r="M8" s="171">
        <f t="shared" ref="M8:M36" si="0">K8/G8</f>
        <v>0</v>
      </c>
      <c r="O8" s="215" t="str">
        <f>_xlfn.XLOOKUP(E8,'All Products'!D:D,'All Products'!I:I,FALSE)</f>
        <v>In Stock</v>
      </c>
      <c r="P8" s="215" t="str">
        <f>_xlfn.XLOOKUP(E8,'All Products'!D:D,'All Products'!J:J,FALSE)</f>
        <v>Manufactured</v>
      </c>
      <c r="Q8" s="266">
        <f>_xlfn.XLOOKUP(E8,'All Products'!D:D,'All Products'!K:K,FALSE)</f>
        <v>49081006549</v>
      </c>
      <c r="R8" s="266" t="str">
        <f>_xlfn.XLOOKUP(E8,'All Products'!D:D,'All Products'!L:L,FALSE)</f>
        <v>-</v>
      </c>
      <c r="S8" s="266">
        <f>_xlfn.XLOOKUP(E8,'All Products'!D:D,'All Products'!M:M,FALSE)</f>
        <v>40049081006547</v>
      </c>
      <c r="T8" s="265">
        <f>_xlfn.XLOOKUP(E8,'All Products'!D:D,'All Products'!N:N,FALSE)</f>
        <v>0.91999999999999993</v>
      </c>
      <c r="U8" s="265">
        <f>_xlfn.XLOOKUP(E8,'All Products'!D:D,'All Products'!P:P,FALSE)</f>
        <v>9.1999999999999993</v>
      </c>
      <c r="V8" s="265">
        <f>_xlfn.XLOOKUP(E8,'All Products'!D:D,'All Products'!Q:Q,FALSE)</f>
        <v>0.59</v>
      </c>
    </row>
    <row r="9" spans="1:22" s="17" customFormat="1" ht="38.25" customHeight="1">
      <c r="A9" s="101" t="str">
        <f>IF(K9&gt;0,COUNT($A$7:A8)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9" s="608"/>
      <c r="C9" s="609"/>
      <c r="D9" s="103" t="str">
        <f>_xlfn.XLOOKUP(E9,'All Products'!D:D,'All Products'!C:C,FALSE)</f>
        <v>090-CB</v>
      </c>
      <c r="E9" s="103">
        <v>100026140</v>
      </c>
      <c r="F9" s="144" t="str">
        <f>_xlfn.XLOOKUP(E9,'All Products'!D:D,'All Products'!E:E,FALSE)</f>
        <v>9 SQUARE CATCH BASIN</v>
      </c>
      <c r="G9" s="103">
        <f>_xlfn.XLOOKUP(E9,'All Products'!D:D,'All Products'!F:F,FALSE)</f>
        <v>10</v>
      </c>
      <c r="H9" s="103">
        <f>_xlfn.XLOOKUP(E9,'All Products'!D:D,'All Products'!G:G,FALSE)</f>
        <v>240</v>
      </c>
      <c r="I9" s="142">
        <f>_xlfn.XLOOKUP(E9,'All Products'!D:D,'All Products'!H:H,FALSE)</f>
        <v>47.6</v>
      </c>
      <c r="J9" s="173">
        <f>ROUND(I9*Order_Quote!$L$20,2)</f>
        <v>47.6</v>
      </c>
      <c r="K9" s="161"/>
      <c r="L9" s="113"/>
      <c r="M9" s="171">
        <f t="shared" si="0"/>
        <v>0</v>
      </c>
      <c r="O9" s="215" t="str">
        <f>_xlfn.XLOOKUP(E9,'All Products'!D:D,'All Products'!I:I,FALSE)</f>
        <v>Limited Stock</v>
      </c>
      <c r="P9" s="215" t="str">
        <f>_xlfn.XLOOKUP(E9,'All Products'!D:D,'All Products'!J:J,FALSE)</f>
        <v>Manufactured</v>
      </c>
      <c r="Q9" s="266">
        <f>_xlfn.XLOOKUP(E9,'All Products'!D:D,'All Products'!K:K,FALSE)</f>
        <v>49081006709</v>
      </c>
      <c r="R9" s="266" t="str">
        <f>_xlfn.XLOOKUP(E9,'All Products'!D:D,'All Products'!L:L,FALSE)</f>
        <v>-</v>
      </c>
      <c r="S9" s="266">
        <f>_xlfn.XLOOKUP(E9,'All Products'!D:D,'All Products'!M:M,FALSE)</f>
        <v>40049081006707</v>
      </c>
      <c r="T9" s="265">
        <f>_xlfn.XLOOKUP(E9,'All Products'!D:D,'All Products'!N:N,FALSE)</f>
        <v>2.35</v>
      </c>
      <c r="U9" s="265">
        <f>_xlfn.XLOOKUP(E9,'All Products'!D:D,'All Products'!P:P,FALSE)</f>
        <v>23.5</v>
      </c>
      <c r="V9" s="265">
        <f>_xlfn.XLOOKUP(E9,'All Products'!D:D,'All Products'!Q:Q,FALSE)</f>
        <v>2.21</v>
      </c>
    </row>
    <row r="10" spans="1:22" s="17" customFormat="1" ht="38.25" customHeight="1">
      <c r="A10" s="101" t="str">
        <f>IF(K10&gt;0,COUNT($A$7:A9)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10" s="612"/>
      <c r="C10" s="613"/>
      <c r="D10" s="103" t="str">
        <f>_xlfn.XLOOKUP(E10,'All Products'!D:D,'All Products'!C:C,FALSE)</f>
        <v>120-CB</v>
      </c>
      <c r="E10" s="103">
        <v>100021824</v>
      </c>
      <c r="F10" s="144" t="str">
        <f>_xlfn.XLOOKUP(E10,'All Products'!D:D,'All Products'!E:E,FALSE)</f>
        <v>12 SQUARE CATCH BASIN</v>
      </c>
      <c r="G10" s="103">
        <f>_xlfn.XLOOKUP(E10,'All Products'!D:D,'All Products'!F:F,FALSE)</f>
        <v>10</v>
      </c>
      <c r="H10" s="103">
        <f>_xlfn.XLOOKUP(E10,'All Products'!D:D,'All Products'!G:G,FALSE)</f>
        <v>180</v>
      </c>
      <c r="I10" s="142">
        <f>_xlfn.XLOOKUP(E10,'All Products'!D:D,'All Products'!H:H,FALSE)</f>
        <v>92.52</v>
      </c>
      <c r="J10" s="173">
        <f>ROUND(I10*Order_Quote!$L$20,2)</f>
        <v>92.52</v>
      </c>
      <c r="K10" s="75"/>
      <c r="L10" s="113"/>
      <c r="M10" s="171">
        <f t="shared" si="0"/>
        <v>0</v>
      </c>
      <c r="O10" s="215" t="str">
        <f>_xlfn.XLOOKUP(E10,'All Products'!D:D,'All Products'!I:I,FALSE)</f>
        <v>Limited Stock</v>
      </c>
      <c r="P10" s="215" t="str">
        <f>_xlfn.XLOOKUP(E10,'All Products'!D:D,'All Products'!J:J,FALSE)</f>
        <v>Manufactured</v>
      </c>
      <c r="Q10" s="266">
        <f>_xlfn.XLOOKUP(E10,'All Products'!D:D,'All Products'!K:K,FALSE)</f>
        <v>49081006884</v>
      </c>
      <c r="R10" s="266" t="str">
        <f>_xlfn.XLOOKUP(E10,'All Products'!D:D,'All Products'!L:L,FALSE)</f>
        <v>-</v>
      </c>
      <c r="S10" s="266">
        <f>_xlfn.XLOOKUP(E10,'All Products'!D:D,'All Products'!M:M,FALSE)</f>
        <v>40049081066886</v>
      </c>
      <c r="T10" s="265">
        <f>_xlfn.XLOOKUP(E10,'All Products'!D:D,'All Products'!N:N,FALSE)</f>
        <v>3.7399999999999998</v>
      </c>
      <c r="U10" s="265">
        <f>_xlfn.XLOOKUP(E10,'All Products'!D:D,'All Products'!P:P,FALSE)</f>
        <v>37.4</v>
      </c>
      <c r="V10" s="265">
        <f>_xlfn.XLOOKUP(E10,'All Products'!D:D,'All Products'!Q:Q,FALSE)</f>
        <v>3.93</v>
      </c>
    </row>
    <row r="11" spans="1:22" s="17" customFormat="1" ht="37.950000000000003" customHeight="1">
      <c r="A11" s="101" t="str">
        <f>IF(K11&gt;0,COUNT($A$7:A10)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11" s="608"/>
      <c r="C11" s="609"/>
      <c r="D11" s="103" t="str">
        <f>_xlfn.XLOOKUP(E11,'All Products'!D:D,'All Products'!C:C,FALSE)</f>
        <v>090-CB-2</v>
      </c>
      <c r="E11" s="103">
        <v>100021803</v>
      </c>
      <c r="F11" s="144" t="str">
        <f>_xlfn.XLOOKUP(E11,'All Products'!D:D,'All Products'!E:E,FALSE)</f>
        <v>9X9 SQUARE CATCH BASIN</v>
      </c>
      <c r="G11" s="103">
        <f>_xlfn.XLOOKUP(E11,'All Products'!D:D,'All Products'!F:F,FALSE)</f>
        <v>4</v>
      </c>
      <c r="H11" s="103">
        <f>_xlfn.XLOOKUP(E11,'All Products'!D:D,'All Products'!G:G,FALSE)</f>
        <v>96</v>
      </c>
      <c r="I11" s="142">
        <f>_xlfn.XLOOKUP(E11,'All Products'!D:D,'All Products'!H:H,FALSE)</f>
        <v>76.5</v>
      </c>
      <c r="J11" s="173">
        <f>ROUND(I11*Order_Quote!$L$20,2)</f>
        <v>76.5</v>
      </c>
      <c r="K11" s="161"/>
      <c r="L11" s="113"/>
      <c r="M11" s="171">
        <f t="shared" si="0"/>
        <v>0</v>
      </c>
      <c r="O11" s="215" t="str">
        <f>_xlfn.XLOOKUP(E11,'All Products'!D:D,'All Products'!I:I,FALSE)</f>
        <v>In Stock</v>
      </c>
      <c r="P11" s="215" t="str">
        <f>_xlfn.XLOOKUP(E11,'All Products'!D:D,'All Products'!J:J,FALSE)</f>
        <v>Manufactured</v>
      </c>
      <c r="Q11" s="266">
        <f>_xlfn.XLOOKUP(E11,'All Products'!D:D,'All Products'!K:K,FALSE)</f>
        <v>49081006716</v>
      </c>
      <c r="R11" s="266" t="str">
        <f>_xlfn.XLOOKUP(E11,'All Products'!D:D,'All Products'!L:L,FALSE)</f>
        <v>-</v>
      </c>
      <c r="S11" s="266">
        <f>_xlfn.XLOOKUP(E11,'All Products'!D:D,'All Products'!M:M,FALSE)</f>
        <v>40049081006714</v>
      </c>
      <c r="T11" s="265">
        <f>_xlfn.XLOOKUP(E11,'All Products'!D:D,'All Products'!N:N,FALSE)</f>
        <v>2.4700000000000002</v>
      </c>
      <c r="U11" s="265">
        <f>_xlfn.XLOOKUP(E11,'All Products'!D:D,'All Products'!P:P,FALSE)</f>
        <v>9.8800000000000008</v>
      </c>
      <c r="V11" s="265">
        <f>_xlfn.XLOOKUP(E11,'All Products'!D:D,'All Products'!Q:Q,FALSE)</f>
        <v>2.21356201171875</v>
      </c>
    </row>
    <row r="12" spans="1:22" s="17" customFormat="1" ht="40.950000000000003" customHeight="1">
      <c r="A12" s="101" t="str">
        <f>IF(K12&gt;0,COUNT($A$7:A11)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12" s="612"/>
      <c r="C12" s="613"/>
      <c r="D12" s="103" t="str">
        <f>_xlfn.XLOOKUP(E12,'All Products'!D:D,'All Products'!C:C,FALSE)</f>
        <v>120-CB-2</v>
      </c>
      <c r="E12" s="103">
        <v>100021826</v>
      </c>
      <c r="F12" s="144" t="str">
        <f>_xlfn.XLOOKUP(E12,'All Products'!D:D,'All Products'!E:E,FALSE)</f>
        <v>12X12 SQUARE CATCH BASIN</v>
      </c>
      <c r="G12" s="103">
        <f>_xlfn.XLOOKUP(E12,'All Products'!D:D,'All Products'!F:F,FALSE)</f>
        <v>4</v>
      </c>
      <c r="H12" s="103">
        <f>_xlfn.XLOOKUP(E12,'All Products'!D:D,'All Products'!G:G,FALSE)</f>
        <v>84</v>
      </c>
      <c r="I12" s="142">
        <f>_xlfn.XLOOKUP(E12,'All Products'!D:D,'All Products'!H:H,FALSE)</f>
        <v>137.69999999999999</v>
      </c>
      <c r="J12" s="173">
        <f>ROUND(I12*Order_Quote!$L$20,2)</f>
        <v>137.69999999999999</v>
      </c>
      <c r="K12" s="75"/>
      <c r="L12" s="113"/>
      <c r="M12" s="171">
        <f t="shared" si="0"/>
        <v>0</v>
      </c>
      <c r="O12" s="215" t="str">
        <f>_xlfn.XLOOKUP(E12,'All Products'!D:D,'All Products'!I:I,FALSE)</f>
        <v>In Stock</v>
      </c>
      <c r="P12" s="215" t="str">
        <f>_xlfn.XLOOKUP(E12,'All Products'!D:D,'All Products'!J:J,FALSE)</f>
        <v>Manufactured</v>
      </c>
      <c r="Q12" s="266">
        <f>_xlfn.XLOOKUP(E12,'All Products'!D:D,'All Products'!K:K,FALSE)</f>
        <v>49081006891</v>
      </c>
      <c r="R12" s="266" t="str">
        <f>_xlfn.XLOOKUP(E12,'All Products'!D:D,'All Products'!L:L,FALSE)</f>
        <v>-</v>
      </c>
      <c r="S12" s="266">
        <f>_xlfn.XLOOKUP(E12,'All Products'!D:D,'All Products'!M:M,FALSE)</f>
        <v>40049081006899</v>
      </c>
      <c r="T12" s="265">
        <f>_xlfn.XLOOKUP(E12,'All Products'!D:D,'All Products'!N:N,FALSE)</f>
        <v>4.2300000000000004</v>
      </c>
      <c r="U12" s="265">
        <f>_xlfn.XLOOKUP(E12,'All Products'!D:D,'All Products'!P:P,FALSE)</f>
        <v>16.920000000000002</v>
      </c>
      <c r="V12" s="265">
        <f>_xlfn.XLOOKUP(E12,'All Products'!D:D,'All Products'!Q:Q,FALSE)</f>
        <v>3.934959129050926</v>
      </c>
    </row>
    <row r="13" spans="1:22" s="17" customFormat="1" ht="45" customHeight="1">
      <c r="A13" s="101" t="str">
        <f>IF(K13&gt;0,COUNT($A$7:A12)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13" s="616"/>
      <c r="C13" s="617"/>
      <c r="D13" s="103" t="str">
        <f>_xlfn.XLOOKUP(E13,'All Products'!D:D,'All Products'!C:C,FALSE)</f>
        <v>120-RCB</v>
      </c>
      <c r="E13" s="103">
        <v>100021831</v>
      </c>
      <c r="F13" s="144" t="str">
        <f>_xlfn.XLOOKUP(E13,'All Products'!D:D,'All Products'!E:E,FALSE)</f>
        <v>12 ROUND CATCH BASIN, BLK</v>
      </c>
      <c r="G13" s="103">
        <f>_xlfn.XLOOKUP(E13,'All Products'!D:D,'All Products'!F:F,FALSE)</f>
        <v>10</v>
      </c>
      <c r="H13" s="103">
        <f>_xlfn.XLOOKUP(E13,'All Products'!D:D,'All Products'!G:G,FALSE)</f>
        <v>480</v>
      </c>
      <c r="I13" s="142">
        <f>_xlfn.XLOOKUP(E13,'All Products'!D:D,'All Products'!H:H,FALSE)</f>
        <v>92.52</v>
      </c>
      <c r="J13" s="173">
        <f>ROUND(I13*Order_Quote!$L$20,2)</f>
        <v>92.52</v>
      </c>
      <c r="K13" s="75"/>
      <c r="L13" s="113"/>
      <c r="M13" s="171">
        <f t="shared" si="0"/>
        <v>0</v>
      </c>
      <c r="O13" s="215" t="str">
        <f>_xlfn.XLOOKUP(E13,'All Products'!D:D,'All Products'!I:I,FALSE)</f>
        <v>In Stock</v>
      </c>
      <c r="P13" s="215" t="str">
        <f>_xlfn.XLOOKUP(E13,'All Products'!D:D,'All Products'!J:J,FALSE)</f>
        <v>Manufactured</v>
      </c>
      <c r="Q13" s="266">
        <f>_xlfn.XLOOKUP(E13,'All Products'!D:D,'All Products'!K:K,FALSE)</f>
        <v>49081007164</v>
      </c>
      <c r="R13" s="266" t="str">
        <f>_xlfn.XLOOKUP(E13,'All Products'!D:D,'All Products'!L:L,FALSE)</f>
        <v>-</v>
      </c>
      <c r="S13" s="266">
        <f>_xlfn.XLOOKUP(E13,'All Products'!D:D,'All Products'!M:M,FALSE)</f>
        <v>40049081007162</v>
      </c>
      <c r="T13" s="265">
        <f>_xlfn.XLOOKUP(E13,'All Products'!D:D,'All Products'!N:N,FALSE)</f>
        <v>2.5</v>
      </c>
      <c r="U13" s="265">
        <f>_xlfn.XLOOKUP(E13,'All Products'!D:D,'All Products'!P:P,FALSE)</f>
        <v>25</v>
      </c>
      <c r="V13" s="265">
        <f>_xlfn.XLOOKUP(E13,'All Products'!D:D,'All Products'!Q:Q,FALSE)</f>
        <v>3.2452935112847223</v>
      </c>
    </row>
    <row r="14" spans="1:22" s="17" customFormat="1" ht="37.950000000000003" customHeight="1">
      <c r="A14" s="101" t="str">
        <f>IF(K14&gt;0,COUNT($A$7:A13)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14" s="608"/>
      <c r="C14" s="609"/>
      <c r="D14" s="103" t="str">
        <f>_xlfn.XLOOKUP(E14,'All Products'!D:D,'All Products'!C:C,FALSE)</f>
        <v>090-K</v>
      </c>
      <c r="E14" s="103">
        <v>100021806</v>
      </c>
      <c r="F14" s="144" t="str">
        <f>_xlfn.XLOOKUP(E14,'All Products'!D:D,'All Products'!E:E,FALSE)</f>
        <v>9 2-OUT DRNG KIT W/GRN GRATE</v>
      </c>
      <c r="G14" s="103">
        <f>_xlfn.XLOOKUP(E14,'All Products'!D:D,'All Products'!F:F,FALSE)</f>
        <v>1</v>
      </c>
      <c r="H14" s="103">
        <f>_xlfn.XLOOKUP(E14,'All Products'!D:D,'All Products'!G:G,FALSE)</f>
        <v>60</v>
      </c>
      <c r="I14" s="142">
        <f>_xlfn.XLOOKUP(E14,'All Products'!D:D,'All Products'!H:H,FALSE)</f>
        <v>200.83</v>
      </c>
      <c r="J14" s="173">
        <f>ROUND(I14*Order_Quote!$L$20,2)</f>
        <v>200.83</v>
      </c>
      <c r="K14" s="161"/>
      <c r="L14" s="113"/>
      <c r="M14" s="171">
        <f t="shared" si="0"/>
        <v>0</v>
      </c>
      <c r="O14" s="215" t="str">
        <f>_xlfn.XLOOKUP(E14,'All Products'!D:D,'All Products'!I:I,FALSE)</f>
        <v>In Stock</v>
      </c>
      <c r="P14" s="215" t="str">
        <f>_xlfn.XLOOKUP(E14,'All Products'!D:D,'All Products'!J:J,FALSE)</f>
        <v>Manufactured</v>
      </c>
      <c r="Q14" s="266">
        <f>_xlfn.XLOOKUP(E14,'All Products'!D:D,'All Products'!K:K,FALSE)</f>
        <v>49081008109</v>
      </c>
      <c r="R14" s="266" t="str">
        <f>_xlfn.XLOOKUP(E14,'All Products'!D:D,'All Products'!L:L,FALSE)</f>
        <v>-</v>
      </c>
      <c r="S14" s="266">
        <f>_xlfn.XLOOKUP(E14,'All Products'!D:D,'All Products'!M:M,FALSE)</f>
        <v>40049081008107</v>
      </c>
      <c r="T14" s="265">
        <f>_xlfn.XLOOKUP(E14,'All Products'!D:D,'All Products'!N:N,FALSE)</f>
        <v>5.85</v>
      </c>
      <c r="U14" s="265">
        <f>_xlfn.XLOOKUP(E14,'All Products'!D:D,'All Products'!P:P,FALSE)</f>
        <v>5.85</v>
      </c>
      <c r="V14" s="265">
        <f>_xlfn.XLOOKUP(E14,'All Products'!D:D,'All Products'!Q:Q,FALSE)</f>
        <v>0.61370510525173616</v>
      </c>
    </row>
    <row r="15" spans="1:22" s="17" customFormat="1" ht="38.4" customHeight="1">
      <c r="A15" s="101" t="str">
        <f>IF(K15&gt;0,COUNT($A$7:A14)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15" s="612"/>
      <c r="C15" s="613"/>
      <c r="D15" s="103" t="str">
        <f>_xlfn.XLOOKUP(E15,'All Products'!D:D,'All Products'!C:C,FALSE)</f>
        <v>120-K</v>
      </c>
      <c r="E15" s="103">
        <v>100021830</v>
      </c>
      <c r="F15" s="144" t="str">
        <f>_xlfn.XLOOKUP(E15,'All Products'!D:D,'All Products'!E:E,FALSE)</f>
        <v>12 2-OUT DRG KIT W/GRN GRATE</v>
      </c>
      <c r="G15" s="103">
        <f>_xlfn.XLOOKUP(E15,'All Products'!D:D,'All Products'!F:F,FALSE)</f>
        <v>1</v>
      </c>
      <c r="H15" s="103">
        <f>_xlfn.XLOOKUP(E15,'All Products'!D:D,'All Products'!G:G,FALSE)</f>
        <v>36</v>
      </c>
      <c r="I15" s="142">
        <f>_xlfn.XLOOKUP(E15,'All Products'!D:D,'All Products'!H:H,FALSE)</f>
        <v>285.47000000000003</v>
      </c>
      <c r="J15" s="173">
        <f>ROUND(I15*Order_Quote!$L$20,2)</f>
        <v>285.47000000000003</v>
      </c>
      <c r="K15" s="75"/>
      <c r="L15" s="113"/>
      <c r="M15" s="171">
        <f t="shared" si="0"/>
        <v>0</v>
      </c>
      <c r="O15" s="215" t="str">
        <f>_xlfn.XLOOKUP(E15,'All Products'!D:D,'All Products'!I:I,FALSE)</f>
        <v>In Stock</v>
      </c>
      <c r="P15" s="215" t="str">
        <f>_xlfn.XLOOKUP(E15,'All Products'!D:D,'All Products'!J:J,FALSE)</f>
        <v>Manufactured</v>
      </c>
      <c r="Q15" s="266">
        <f>_xlfn.XLOOKUP(E15,'All Products'!D:D,'All Products'!K:K,FALSE)</f>
        <v>49081008208</v>
      </c>
      <c r="R15" s="266" t="str">
        <f>_xlfn.XLOOKUP(E15,'All Products'!D:D,'All Products'!L:L,FALSE)</f>
        <v>-</v>
      </c>
      <c r="S15" s="266">
        <f>_xlfn.XLOOKUP(E15,'All Products'!D:D,'All Products'!M:M,FALSE)</f>
        <v>40049081008206</v>
      </c>
      <c r="T15" s="265">
        <f>_xlfn.XLOOKUP(E15,'All Products'!D:D,'All Products'!N:N,FALSE)</f>
        <v>8.8800000000000008</v>
      </c>
      <c r="U15" s="265">
        <f>_xlfn.XLOOKUP(E15,'All Products'!D:D,'All Products'!P:P,FALSE)</f>
        <v>8.8800000000000008</v>
      </c>
      <c r="V15" s="265">
        <f>_xlfn.XLOOKUP(E15,'All Products'!D:D,'All Products'!Q:Q,FALSE)</f>
        <v>1.3052978515625</v>
      </c>
    </row>
    <row r="16" spans="1:22" s="17" customFormat="1" ht="43.5" customHeight="1">
      <c r="A16" s="101" t="str">
        <f>IF(K16&gt;0,COUNT($A$7:A15)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16" s="608"/>
      <c r="C16" s="609"/>
      <c r="D16" s="103" t="str">
        <f>_xlfn.XLOOKUP(E16,'All Products'!D:D,'All Products'!C:C,FALSE)</f>
        <v>094-K</v>
      </c>
      <c r="E16" s="103">
        <v>100021817</v>
      </c>
      <c r="F16" s="144" t="str">
        <f>_xlfn.XLOOKUP(E16,'All Products'!D:D,'All Products'!E:E,FALSE)</f>
        <v>9 2-OUT DRNG KIT W/BLK GRATE</v>
      </c>
      <c r="G16" s="103">
        <f>_xlfn.XLOOKUP(E16,'All Products'!D:D,'All Products'!F:F,FALSE)</f>
        <v>1</v>
      </c>
      <c r="H16" s="103">
        <f>_xlfn.XLOOKUP(E16,'All Products'!D:D,'All Products'!G:G,FALSE)</f>
        <v>60</v>
      </c>
      <c r="I16" s="142">
        <f>_xlfn.XLOOKUP(E16,'All Products'!D:D,'All Products'!H:H,FALSE)</f>
        <v>200.83</v>
      </c>
      <c r="J16" s="173">
        <f>ROUND(I16*Order_Quote!$L$20,2)</f>
        <v>200.83</v>
      </c>
      <c r="K16" s="161"/>
      <c r="L16" s="113"/>
      <c r="M16" s="171">
        <f t="shared" si="0"/>
        <v>0</v>
      </c>
      <c r="O16" s="215" t="str">
        <f>_xlfn.XLOOKUP(E16,'All Products'!D:D,'All Products'!I:I,FALSE)</f>
        <v>In Stock</v>
      </c>
      <c r="P16" s="215" t="str">
        <f>_xlfn.XLOOKUP(E16,'All Products'!D:D,'All Products'!J:J,FALSE)</f>
        <v>Manufactured</v>
      </c>
      <c r="Q16" s="266">
        <f>_xlfn.XLOOKUP(E16,'All Products'!D:D,'All Products'!K:K,FALSE)</f>
        <v>49081008185</v>
      </c>
      <c r="R16" s="266" t="str">
        <f>_xlfn.XLOOKUP(E16,'All Products'!D:D,'All Products'!L:L,FALSE)</f>
        <v>-</v>
      </c>
      <c r="S16" s="266">
        <f>_xlfn.XLOOKUP(E16,'All Products'!D:D,'All Products'!M:M,FALSE)</f>
        <v>40049081008183</v>
      </c>
      <c r="T16" s="265">
        <f>_xlfn.XLOOKUP(E16,'All Products'!D:D,'All Products'!N:N,FALSE)</f>
        <v>5.85</v>
      </c>
      <c r="U16" s="265">
        <f>_xlfn.XLOOKUP(E16,'All Products'!D:D,'All Products'!P:P,FALSE)</f>
        <v>5.85</v>
      </c>
      <c r="V16" s="265">
        <f>_xlfn.XLOOKUP(E16,'All Products'!D:D,'All Products'!Q:Q,FALSE)</f>
        <v>0.61</v>
      </c>
    </row>
    <row r="17" spans="1:22" s="17" customFormat="1" ht="29.25" customHeight="1">
      <c r="A17" s="101" t="str">
        <f>IF(K17&gt;0,COUNT($A$7:A16)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17" s="612"/>
      <c r="C17" s="613"/>
      <c r="D17" s="103" t="str">
        <f>_xlfn.XLOOKUP(E17,'All Products'!D:D,'All Products'!C:C,FALSE)</f>
        <v>124-K</v>
      </c>
      <c r="E17" s="103">
        <v>100021841</v>
      </c>
      <c r="F17" s="144" t="str">
        <f>_xlfn.XLOOKUP(E17,'All Products'!D:D,'All Products'!E:E,FALSE)</f>
        <v>12 2-OUT DRG KIT W/BLK GRATE</v>
      </c>
      <c r="G17" s="103">
        <f>_xlfn.XLOOKUP(E17,'All Products'!D:D,'All Products'!F:F,FALSE)</f>
        <v>1</v>
      </c>
      <c r="H17" s="103">
        <f>_xlfn.XLOOKUP(E17,'All Products'!D:D,'All Products'!G:G,FALSE)</f>
        <v>36</v>
      </c>
      <c r="I17" s="142">
        <f>_xlfn.XLOOKUP(E17,'All Products'!D:D,'All Products'!H:H,FALSE)</f>
        <v>285.47000000000003</v>
      </c>
      <c r="J17" s="173">
        <f>ROUND(I17*Order_Quote!$L$20,2)</f>
        <v>285.47000000000003</v>
      </c>
      <c r="K17" s="75"/>
      <c r="L17" s="113"/>
      <c r="M17" s="171">
        <f t="shared" si="0"/>
        <v>0</v>
      </c>
      <c r="O17" s="215" t="str">
        <f>_xlfn.XLOOKUP(E17,'All Products'!D:D,'All Products'!I:I,FALSE)</f>
        <v>In Stock</v>
      </c>
      <c r="P17" s="215" t="str">
        <f>_xlfn.XLOOKUP(E17,'All Products'!D:D,'All Products'!J:J,FALSE)</f>
        <v>Manufactured</v>
      </c>
      <c r="Q17" s="266">
        <f>_xlfn.XLOOKUP(E17,'All Products'!D:D,'All Products'!K:K,FALSE)</f>
        <v>49081008246</v>
      </c>
      <c r="R17" s="266" t="str">
        <f>_xlfn.XLOOKUP(E17,'All Products'!D:D,'All Products'!L:L,FALSE)</f>
        <v>-</v>
      </c>
      <c r="S17" s="266">
        <f>_xlfn.XLOOKUP(E17,'All Products'!D:D,'All Products'!M:M,FALSE)</f>
        <v>40049081008244</v>
      </c>
      <c r="T17" s="265">
        <f>_xlfn.XLOOKUP(E17,'All Products'!D:D,'All Products'!N:N,FALSE)</f>
        <v>8.8800000000000008</v>
      </c>
      <c r="U17" s="265">
        <f>_xlfn.XLOOKUP(E17,'All Products'!D:D,'All Products'!P:P,FALSE)</f>
        <v>8.8800000000000008</v>
      </c>
      <c r="V17" s="265">
        <f>_xlfn.XLOOKUP(E17,'All Products'!D:D,'All Products'!Q:Q,FALSE)</f>
        <v>1.31</v>
      </c>
    </row>
    <row r="18" spans="1:22" s="17" customFormat="1" ht="68.400000000000006" customHeight="1">
      <c r="A18" s="101" t="str">
        <f>IF(K18&gt;0,COUNT($A$7:A17)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18" s="616"/>
      <c r="C18" s="617"/>
      <c r="D18" s="103" t="str">
        <f>_xlfn.XLOOKUP(E18,'All Products'!D:D,'All Products'!C:C,FALSE)</f>
        <v>060-CB-1</v>
      </c>
      <c r="E18" s="103">
        <v>100021783</v>
      </c>
      <c r="F18" s="144" t="str">
        <f>_xlfn.XLOOKUP(E18,'All Products'!D:D,'All Products'!E:E,FALSE)</f>
        <v>SINGLE OUTLET CATCH BASIN(3-4)</v>
      </c>
      <c r="G18" s="103">
        <f>_xlfn.XLOOKUP(E18,'All Products'!D:D,'All Products'!F:F,FALSE)</f>
        <v>10</v>
      </c>
      <c r="H18" s="103">
        <f>_xlfn.XLOOKUP(E18,'All Products'!D:D,'All Products'!G:G,FALSE)</f>
        <v>250</v>
      </c>
      <c r="I18" s="142">
        <f>_xlfn.XLOOKUP(E18,'All Products'!D:D,'All Products'!H:H,FALSE)</f>
        <v>61.16</v>
      </c>
      <c r="J18" s="173">
        <f>ROUND(I18*Order_Quote!$L$20,2)</f>
        <v>61.16</v>
      </c>
      <c r="K18" s="161"/>
      <c r="L18" s="113"/>
      <c r="M18" s="171">
        <f t="shared" si="0"/>
        <v>0</v>
      </c>
      <c r="O18" s="215" t="str">
        <f>_xlfn.XLOOKUP(E18,'All Products'!D:D,'All Products'!I:I,FALSE)</f>
        <v>In Stock</v>
      </c>
      <c r="P18" s="215" t="str">
        <f>_xlfn.XLOOKUP(E18,'All Products'!D:D,'All Products'!J:J,FALSE)</f>
        <v>Manufactured</v>
      </c>
      <c r="Q18" s="266">
        <f>_xlfn.XLOOKUP(E18,'All Products'!D:D,'All Products'!K:K,FALSE)</f>
        <v>49081006396</v>
      </c>
      <c r="R18" s="266" t="str">
        <f>_xlfn.XLOOKUP(E18,'All Products'!D:D,'All Products'!L:L,FALSE)</f>
        <v>-</v>
      </c>
      <c r="S18" s="266">
        <f>_xlfn.XLOOKUP(E18,'All Products'!D:D,'All Products'!M:M,FALSE)</f>
        <v>40049081006394</v>
      </c>
      <c r="T18" s="265">
        <f>_xlfn.XLOOKUP(E18,'All Products'!D:D,'All Products'!N:N,FALSE)</f>
        <v>1.33</v>
      </c>
      <c r="U18" s="265">
        <f>_xlfn.XLOOKUP(E18,'All Products'!D:D,'All Products'!P:P,FALSE)</f>
        <v>13.3</v>
      </c>
      <c r="V18" s="265">
        <f>_xlfn.XLOOKUP(E18,'All Products'!D:D,'All Products'!Q:Q,FALSE)</f>
        <v>3.4531988324652785</v>
      </c>
    </row>
    <row r="19" spans="1:22" s="17" customFormat="1" ht="72" customHeight="1">
      <c r="A19" s="101" t="str">
        <f>IF(K19&gt;0,COUNT($A$7:A18)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19" s="616"/>
      <c r="C19" s="617"/>
      <c r="D19" s="103" t="str">
        <f>_xlfn.XLOOKUP(E19,'All Products'!D:D,'All Products'!C:C,FALSE)</f>
        <v>060-CB-2</v>
      </c>
      <c r="E19" s="103">
        <v>100021785</v>
      </c>
      <c r="F19" s="144" t="str">
        <f>_xlfn.XLOOKUP(E19,'All Products'!D:D,'All Products'!E:E,FALSE)</f>
        <v>DOUBLE OUTLET CATCH BASIN(3-4)</v>
      </c>
      <c r="G19" s="103">
        <f>_xlfn.XLOOKUP(E19,'All Products'!D:D,'All Products'!F:F,FALSE)</f>
        <v>10</v>
      </c>
      <c r="H19" s="103">
        <f>_xlfn.XLOOKUP(E19,'All Products'!D:D,'All Products'!G:G,FALSE)</f>
        <v>250</v>
      </c>
      <c r="I19" s="142">
        <f>_xlfn.XLOOKUP(E19,'All Products'!D:D,'All Products'!H:H,FALSE)</f>
        <v>61.16</v>
      </c>
      <c r="J19" s="173">
        <f>ROUND(I19*Order_Quote!$L$20,2)</f>
        <v>61.16</v>
      </c>
      <c r="K19" s="161"/>
      <c r="L19" s="113"/>
      <c r="M19" s="171">
        <f t="shared" si="0"/>
        <v>0</v>
      </c>
      <c r="O19" s="215" t="str">
        <f>_xlfn.XLOOKUP(E19,'All Products'!D:D,'All Products'!I:I,FALSE)</f>
        <v>In Stock</v>
      </c>
      <c r="P19" s="215" t="str">
        <f>_xlfn.XLOOKUP(E19,'All Products'!D:D,'All Products'!J:J,FALSE)</f>
        <v>Manufactured</v>
      </c>
      <c r="Q19" s="266">
        <f>_xlfn.XLOOKUP(E19,'All Products'!D:D,'All Products'!K:K,FALSE)</f>
        <v>49081006372</v>
      </c>
      <c r="R19" s="266" t="str">
        <f>_xlfn.XLOOKUP(E19,'All Products'!D:D,'All Products'!L:L,FALSE)</f>
        <v>-</v>
      </c>
      <c r="S19" s="266">
        <f>_xlfn.XLOOKUP(E19,'All Products'!D:D,'All Products'!M:M,FALSE)</f>
        <v>40049081006370</v>
      </c>
      <c r="T19" s="265">
        <f>_xlfn.XLOOKUP(E19,'All Products'!D:D,'All Products'!N:N,FALSE)</f>
        <v>1.53</v>
      </c>
      <c r="U19" s="265">
        <f>_xlfn.XLOOKUP(E19,'All Products'!D:D,'All Products'!P:P,FALSE)</f>
        <v>15.3</v>
      </c>
      <c r="V19" s="265">
        <f>_xlfn.XLOOKUP(E19,'All Products'!D:D,'All Products'!Q:Q,FALSE)</f>
        <v>3.4531988324652785</v>
      </c>
    </row>
    <row r="20" spans="1:22" s="17" customFormat="1" ht="28.2" customHeight="1">
      <c r="A20" s="101" t="str">
        <f>IF(K20&gt;0,COUNT($A$7:A19)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20" s="608"/>
      <c r="C20" s="609"/>
      <c r="D20" s="103" t="str">
        <f>_xlfn.XLOOKUP(E20,'All Products'!D:D,'All Products'!C:C,FALSE)</f>
        <v>090-CBLP</v>
      </c>
      <c r="E20" s="103">
        <v>100021804</v>
      </c>
      <c r="F20" s="144" t="str">
        <f>_xlfn.XLOOKUP(E20,'All Products'!D:D,'All Products'!E:E,FALSE)</f>
        <v>9 LOW PROFILE SQUARE BASIN</v>
      </c>
      <c r="G20" s="103">
        <f>_xlfn.XLOOKUP(E20,'All Products'!D:D,'All Products'!F:F,FALSE)</f>
        <v>20</v>
      </c>
      <c r="H20" s="103">
        <f>_xlfn.XLOOKUP(E20,'All Products'!D:D,'All Products'!G:G,FALSE)</f>
        <v>480</v>
      </c>
      <c r="I20" s="142">
        <f>_xlfn.XLOOKUP(E20,'All Products'!D:D,'All Products'!H:H,FALSE)</f>
        <v>45.53</v>
      </c>
      <c r="J20" s="173">
        <f>ROUND(I20*Order_Quote!$L$20,2)</f>
        <v>45.53</v>
      </c>
      <c r="K20" s="161"/>
      <c r="L20" s="113"/>
      <c r="M20" s="171">
        <f t="shared" si="0"/>
        <v>0</v>
      </c>
      <c r="O20" s="215" t="str">
        <f>_xlfn.XLOOKUP(E20,'All Products'!D:D,'All Products'!I:I,FALSE)</f>
        <v>Limited Stock</v>
      </c>
      <c r="P20" s="215" t="str">
        <f>_xlfn.XLOOKUP(E20,'All Products'!D:D,'All Products'!J:J,FALSE)</f>
        <v>Manufactured</v>
      </c>
      <c r="Q20" s="266">
        <f>_xlfn.XLOOKUP(E20,'All Products'!D:D,'All Products'!K:K,FALSE)</f>
        <v>49081006723</v>
      </c>
      <c r="R20" s="266" t="str">
        <f>_xlfn.XLOOKUP(E20,'All Products'!D:D,'All Products'!L:L,FALSE)</f>
        <v>-</v>
      </c>
      <c r="S20" s="266">
        <f>_xlfn.XLOOKUP(E20,'All Products'!D:D,'All Products'!M:M,FALSE)</f>
        <v>40049081006721</v>
      </c>
      <c r="T20" s="265">
        <f>_xlfn.XLOOKUP(E20,'All Products'!D:D,'All Products'!N:N,FALSE)</f>
        <v>1.0550000000000002</v>
      </c>
      <c r="U20" s="265">
        <f>_xlfn.XLOOKUP(E20,'All Products'!D:D,'All Products'!P:P,FALSE)</f>
        <v>21.1</v>
      </c>
      <c r="V20" s="265">
        <f>_xlfn.XLOOKUP(E20,'All Products'!D:D,'All Products'!Q:Q,FALSE)</f>
        <v>1.8014810203269673</v>
      </c>
    </row>
    <row r="21" spans="1:22" s="17" customFormat="1" ht="27.6" customHeight="1">
      <c r="A21" s="101" t="str">
        <f>IF(K21&gt;0,COUNT($A$7:A20)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21" s="612"/>
      <c r="C21" s="613"/>
      <c r="D21" s="103" t="str">
        <f>_xlfn.XLOOKUP(E21,'All Products'!D:D,'All Products'!C:C,FALSE)</f>
        <v>120-CBLP</v>
      </c>
      <c r="E21" s="103">
        <v>100021828</v>
      </c>
      <c r="F21" s="144" t="str">
        <f>_xlfn.XLOOKUP(E21,'All Products'!D:D,'All Products'!E:E,FALSE)</f>
        <v>12 LOW PROFILE SQUARE BASIN</v>
      </c>
      <c r="G21" s="103">
        <f>_xlfn.XLOOKUP(E21,'All Products'!D:D,'All Products'!F:F,FALSE)</f>
        <v>20</v>
      </c>
      <c r="H21" s="103">
        <f>_xlfn.XLOOKUP(E21,'All Products'!D:D,'All Products'!G:G,FALSE)</f>
        <v>240</v>
      </c>
      <c r="I21" s="142">
        <f>_xlfn.XLOOKUP(E21,'All Products'!D:D,'All Products'!H:H,FALSE)</f>
        <v>60.88</v>
      </c>
      <c r="J21" s="173">
        <f>ROUND(I21*Order_Quote!$L$20,2)</f>
        <v>60.88</v>
      </c>
      <c r="K21" s="75"/>
      <c r="L21" s="113"/>
      <c r="M21" s="171">
        <f t="shared" si="0"/>
        <v>0</v>
      </c>
      <c r="O21" s="215" t="str">
        <f>_xlfn.XLOOKUP(E21,'All Products'!D:D,'All Products'!I:I,FALSE)</f>
        <v>Limited Stock</v>
      </c>
      <c r="P21" s="215" t="str">
        <f>_xlfn.XLOOKUP(E21,'All Products'!D:D,'All Products'!J:J,FALSE)</f>
        <v>Manufactured</v>
      </c>
      <c r="Q21" s="266">
        <f>_xlfn.XLOOKUP(E21,'All Products'!D:D,'All Products'!K:K,FALSE)</f>
        <v>49081006907</v>
      </c>
      <c r="R21" s="266" t="str">
        <f>_xlfn.XLOOKUP(E21,'All Products'!D:D,'All Products'!L:L,FALSE)</f>
        <v>-</v>
      </c>
      <c r="S21" s="266">
        <f>_xlfn.XLOOKUP(E21,'All Products'!D:D,'All Products'!M:M,FALSE)</f>
        <v>40049081006905</v>
      </c>
      <c r="T21" s="265">
        <f>_xlfn.XLOOKUP(E21,'All Products'!D:D,'All Products'!N:N,FALSE)</f>
        <v>1.6600000000000001</v>
      </c>
      <c r="U21" s="265">
        <f>_xlfn.XLOOKUP(E21,'All Products'!D:D,'All Products'!P:P,FALSE)</f>
        <v>33.200000000000003</v>
      </c>
      <c r="V21" s="265">
        <f>_xlfn.XLOOKUP(E21,'All Products'!D:D,'All Products'!Q:Q,FALSE)</f>
        <v>3.0214289912471064</v>
      </c>
    </row>
    <row r="22" spans="1:22" s="17" customFormat="1" ht="67.95" customHeight="1">
      <c r="A22" s="101" t="str">
        <f>IF(K22&gt;0,COUNT($A$7:A21)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22" s="616"/>
      <c r="C22" s="617"/>
      <c r="D22" s="103" t="str">
        <f>_xlfn.XLOOKUP(E22,'All Products'!D:D,'All Products'!C:C,FALSE)</f>
        <v>060-CB</v>
      </c>
      <c r="E22" s="103">
        <v>100021781</v>
      </c>
      <c r="F22" s="144" t="str">
        <f>_xlfn.XLOOKUP(E22,'All Products'!D:D,'All Products'!E:E,FALSE)</f>
        <v>6 ROUND BASIN</v>
      </c>
      <c r="G22" s="103">
        <f>_xlfn.XLOOKUP(E22,'All Products'!D:D,'All Products'!F:F,FALSE)</f>
        <v>20</v>
      </c>
      <c r="H22" s="103">
        <f>_xlfn.XLOOKUP(E22,'All Products'!D:D,'All Products'!G:G,FALSE)</f>
        <v>360</v>
      </c>
      <c r="I22" s="142">
        <f>_xlfn.XLOOKUP(E22,'All Products'!D:D,'All Products'!H:H,FALSE)</f>
        <v>27.71</v>
      </c>
      <c r="J22" s="173">
        <f>ROUND(I22*Order_Quote!$L$20,2)</f>
        <v>27.71</v>
      </c>
      <c r="K22" s="161"/>
      <c r="L22" s="113"/>
      <c r="M22" s="171">
        <f t="shared" si="0"/>
        <v>0</v>
      </c>
      <c r="O22" s="215" t="str">
        <f>_xlfn.XLOOKUP(E22,'All Products'!D:D,'All Products'!I:I,FALSE)</f>
        <v>Limited Stock</v>
      </c>
      <c r="P22" s="215" t="str">
        <f>_xlfn.XLOOKUP(E22,'All Products'!D:D,'All Products'!J:J,FALSE)</f>
        <v>Manufactured</v>
      </c>
      <c r="Q22" s="266">
        <f>_xlfn.XLOOKUP(E22,'All Products'!D:D,'All Products'!K:K,FALSE)</f>
        <v>49081006389</v>
      </c>
      <c r="R22" s="266" t="str">
        <f>_xlfn.XLOOKUP(E22,'All Products'!D:D,'All Products'!L:L,FALSE)</f>
        <v>-</v>
      </c>
      <c r="S22" s="266">
        <f>_xlfn.XLOOKUP(E22,'All Products'!D:D,'All Products'!M:M,FALSE)</f>
        <v>40049081006387</v>
      </c>
      <c r="T22" s="265">
        <f>_xlfn.XLOOKUP(E22,'All Products'!D:D,'All Products'!N:N,FALSE)</f>
        <v>1</v>
      </c>
      <c r="U22" s="265">
        <f>_xlfn.XLOOKUP(E22,'All Products'!D:D,'All Products'!P:P,FALSE)</f>
        <v>20</v>
      </c>
      <c r="V22" s="265">
        <f>_xlfn.XLOOKUP(E22,'All Products'!D:D,'All Products'!Q:Q,FALSE)</f>
        <v>1.8258327907986112</v>
      </c>
    </row>
    <row r="23" spans="1:22" s="17" customFormat="1" ht="30" customHeight="1">
      <c r="A23" s="101" t="str">
        <f>IF(K23&gt;0,COUNT($A$7:A22)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23" s="608"/>
      <c r="C23" s="609"/>
      <c r="D23" s="103" t="str">
        <f>_xlfn.XLOOKUP(E23,'All Products'!D:D,'All Products'!C:C,FALSE)</f>
        <v>090-ST</v>
      </c>
      <c r="E23" s="103">
        <v>100021812</v>
      </c>
      <c r="F23" s="144" t="str">
        <f>_xlfn.XLOOKUP(E23,'All Products'!D:D,'All Products'!E:E,FALSE)</f>
        <v>9 SQUARE SAND TRAP</v>
      </c>
      <c r="G23" s="103">
        <f>_xlfn.XLOOKUP(E23,'All Products'!D:D,'All Products'!F:F,FALSE)</f>
        <v>20</v>
      </c>
      <c r="H23" s="103">
        <f>_xlfn.XLOOKUP(E23,'All Products'!D:D,'All Products'!G:G,FALSE)</f>
        <v>800</v>
      </c>
      <c r="I23" s="142">
        <f>_xlfn.XLOOKUP(E23,'All Products'!D:D,'All Products'!H:H,FALSE)</f>
        <v>20.77</v>
      </c>
      <c r="J23" s="173">
        <f>ROUND(I23*Order_Quote!$L$20,2)</f>
        <v>20.77</v>
      </c>
      <c r="K23" s="161"/>
      <c r="L23" s="113"/>
      <c r="M23" s="171">
        <f t="shared" si="0"/>
        <v>0</v>
      </c>
      <c r="O23" s="215" t="str">
        <f>_xlfn.XLOOKUP(E23,'All Products'!D:D,'All Products'!I:I,FALSE)</f>
        <v>Limited Stock</v>
      </c>
      <c r="P23" s="215" t="str">
        <f>_xlfn.XLOOKUP(E23,'All Products'!D:D,'All Products'!J:J,FALSE)</f>
        <v>Manufactured</v>
      </c>
      <c r="Q23" s="266">
        <f>_xlfn.XLOOKUP(E23,'All Products'!D:D,'All Products'!K:K,FALSE)</f>
        <v>49081006747</v>
      </c>
      <c r="R23" s="266" t="str">
        <f>_xlfn.XLOOKUP(E23,'All Products'!D:D,'All Products'!L:L,FALSE)</f>
        <v>-</v>
      </c>
      <c r="S23" s="266">
        <f>_xlfn.XLOOKUP(E23,'All Products'!D:D,'All Products'!M:M,FALSE)</f>
        <v>40049081006745</v>
      </c>
      <c r="T23" s="265">
        <f>_xlfn.XLOOKUP(E23,'All Products'!D:D,'All Products'!N:N,FALSE)</f>
        <v>0.495</v>
      </c>
      <c r="U23" s="265">
        <f>_xlfn.XLOOKUP(E23,'All Products'!D:D,'All Products'!P:P,FALSE)</f>
        <v>9.9</v>
      </c>
      <c r="V23" s="265">
        <f>_xlfn.XLOOKUP(E23,'All Products'!D:D,'All Products'!Q:Q,FALSE)</f>
        <v>0.81640625</v>
      </c>
    </row>
    <row r="24" spans="1:22" s="17" customFormat="1" ht="30" customHeight="1">
      <c r="A24" s="101" t="str">
        <f>IF(K24&gt;0,COUNT($A$7:A23)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24" s="612"/>
      <c r="C24" s="613"/>
      <c r="D24" s="103" t="str">
        <f>_xlfn.XLOOKUP(E24,'All Products'!D:D,'All Products'!C:C,FALSE)</f>
        <v>120-ST</v>
      </c>
      <c r="E24" s="103">
        <v>100021834</v>
      </c>
      <c r="F24" s="144" t="str">
        <f>_xlfn.XLOOKUP(E24,'All Products'!D:D,'All Products'!E:E,FALSE)</f>
        <v>12 SQUARE SAND TRAP</v>
      </c>
      <c r="G24" s="103">
        <f>_xlfn.XLOOKUP(E24,'All Products'!D:D,'All Products'!F:F,FALSE)</f>
        <v>20</v>
      </c>
      <c r="H24" s="103">
        <f>_xlfn.XLOOKUP(E24,'All Products'!D:D,'All Products'!G:G,FALSE)</f>
        <v>640</v>
      </c>
      <c r="I24" s="142">
        <f>_xlfn.XLOOKUP(E24,'All Products'!D:D,'All Products'!H:H,FALSE)</f>
        <v>22.57</v>
      </c>
      <c r="J24" s="173">
        <f>ROUND(I24*Order_Quote!$L$20,2)</f>
        <v>22.57</v>
      </c>
      <c r="K24" s="75"/>
      <c r="L24" s="113"/>
      <c r="M24" s="171">
        <f t="shared" si="0"/>
        <v>0</v>
      </c>
      <c r="O24" s="215" t="str">
        <f>_xlfn.XLOOKUP(E24,'All Products'!D:D,'All Products'!I:I,FALSE)</f>
        <v>Limited Stock</v>
      </c>
      <c r="P24" s="215" t="str">
        <f>_xlfn.XLOOKUP(E24,'All Products'!D:D,'All Products'!J:J,FALSE)</f>
        <v>Manufactured</v>
      </c>
      <c r="Q24" s="266">
        <f>_xlfn.XLOOKUP(E24,'All Products'!D:D,'All Products'!K:K,FALSE)</f>
        <v>49081006921</v>
      </c>
      <c r="R24" s="266" t="str">
        <f>_xlfn.XLOOKUP(E24,'All Products'!D:D,'All Products'!L:L,FALSE)</f>
        <v>-</v>
      </c>
      <c r="S24" s="266">
        <f>_xlfn.XLOOKUP(E24,'All Products'!D:D,'All Products'!M:M,FALSE)</f>
        <v>40049081006929</v>
      </c>
      <c r="T24" s="265">
        <f>_xlfn.XLOOKUP(E24,'All Products'!D:D,'All Products'!N:N,FALSE)</f>
        <v>0.81500000000000006</v>
      </c>
      <c r="U24" s="265">
        <f>_xlfn.XLOOKUP(E24,'All Products'!D:D,'All Products'!P:P,FALSE)</f>
        <v>16.3</v>
      </c>
      <c r="V24" s="265">
        <f>_xlfn.XLOOKUP(E24,'All Products'!D:D,'All Products'!Q:Q,FALSE)</f>
        <v>1.2369791666666667</v>
      </c>
    </row>
    <row r="25" spans="1:22" s="17" customFormat="1" ht="28.95" customHeight="1">
      <c r="A25" s="101" t="str">
        <f>IF(K25&gt;0,COUNT($A$7:A24)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25" s="608"/>
      <c r="C25" s="609"/>
      <c r="D25" s="103" t="str">
        <f>_xlfn.XLOOKUP(E25,'All Products'!D:D,'All Products'!C:C,FALSE)</f>
        <v>090-RST</v>
      </c>
      <c r="E25" s="103">
        <v>100021808</v>
      </c>
      <c r="F25" s="144" t="str">
        <f>_xlfn.XLOOKUP(E25,'All Products'!D:D,'All Products'!E:E,FALSE)</f>
        <v>9 ROUND SAND TRAP, BLK</v>
      </c>
      <c r="G25" s="103">
        <f>_xlfn.XLOOKUP(E25,'All Products'!D:D,'All Products'!F:F,FALSE)</f>
        <v>20</v>
      </c>
      <c r="H25" s="103">
        <f>_xlfn.XLOOKUP(E25,'All Products'!D:D,'All Products'!G:G,FALSE)</f>
        <v>800</v>
      </c>
      <c r="I25" s="142">
        <f>_xlfn.XLOOKUP(E25,'All Products'!D:D,'All Products'!H:H,FALSE)</f>
        <v>21.85</v>
      </c>
      <c r="J25" s="173">
        <f>ROUND(I25*Order_Quote!$L$20,2)</f>
        <v>21.85</v>
      </c>
      <c r="K25" s="161"/>
      <c r="L25" s="113"/>
      <c r="M25" s="171">
        <f t="shared" si="0"/>
        <v>0</v>
      </c>
      <c r="O25" s="215" t="str">
        <f>_xlfn.XLOOKUP(E25,'All Products'!D:D,'All Products'!I:I,FALSE)</f>
        <v>Within 6 Weeks</v>
      </c>
      <c r="P25" s="215" t="str">
        <f>_xlfn.XLOOKUP(E25,'All Products'!D:D,'All Products'!J:J,FALSE)</f>
        <v>Manufactured</v>
      </c>
      <c r="Q25" s="266">
        <f>_xlfn.XLOOKUP(E25,'All Products'!D:D,'All Products'!K:K,FALSE)</f>
        <v>49081007065</v>
      </c>
      <c r="R25" s="266" t="str">
        <f>_xlfn.XLOOKUP(E25,'All Products'!D:D,'All Products'!L:L,FALSE)</f>
        <v>-</v>
      </c>
      <c r="S25" s="266">
        <f>_xlfn.XLOOKUP(E25,'All Products'!D:D,'All Products'!M:M,FALSE)</f>
        <v>40049081007063</v>
      </c>
      <c r="T25" s="265">
        <f>_xlfn.XLOOKUP(E25,'All Products'!D:D,'All Products'!N:N,FALSE)</f>
        <v>0.34500000000000003</v>
      </c>
      <c r="U25" s="265">
        <f>_xlfn.XLOOKUP(E25,'All Products'!D:D,'All Products'!P:P,FALSE)</f>
        <v>6.9</v>
      </c>
      <c r="V25" s="265">
        <f>_xlfn.XLOOKUP(E25,'All Products'!D:D,'All Products'!Q:Q,FALSE)</f>
        <v>0.99500868055555558</v>
      </c>
    </row>
    <row r="26" spans="1:22" s="17" customFormat="1" ht="29.4" customHeight="1">
      <c r="A26" s="101" t="str">
        <f>IF(K26&gt;0,COUNT($A$7:A25)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26" s="612"/>
      <c r="C26" s="613"/>
      <c r="D26" s="103" t="str">
        <f>_xlfn.XLOOKUP(E26,'All Products'!D:D,'All Products'!C:C,FALSE)</f>
        <v>120-RST</v>
      </c>
      <c r="E26" s="103">
        <v>100021832</v>
      </c>
      <c r="F26" s="144" t="str">
        <f>_xlfn.XLOOKUP(E26,'All Products'!D:D,'All Products'!E:E,FALSE)</f>
        <v>12 ROUND SAND TRAP, BLK</v>
      </c>
      <c r="G26" s="103">
        <f>_xlfn.XLOOKUP(E26,'All Products'!D:D,'All Products'!F:F,FALSE)</f>
        <v>20</v>
      </c>
      <c r="H26" s="103">
        <f>_xlfn.XLOOKUP(E26,'All Products'!D:D,'All Products'!G:G,FALSE)</f>
        <v>960</v>
      </c>
      <c r="I26" s="142">
        <f>_xlfn.XLOOKUP(E26,'All Products'!D:D,'All Products'!H:H,FALSE)</f>
        <v>23.7</v>
      </c>
      <c r="J26" s="173">
        <f>ROUND(I26*Order_Quote!$L$20,2)</f>
        <v>23.7</v>
      </c>
      <c r="K26" s="75"/>
      <c r="L26" s="113"/>
      <c r="M26" s="171">
        <f t="shared" si="0"/>
        <v>0</v>
      </c>
      <c r="O26" s="215" t="str">
        <f>_xlfn.XLOOKUP(E26,'All Products'!D:D,'All Products'!I:I,FALSE)</f>
        <v>In Stock</v>
      </c>
      <c r="P26" s="215" t="str">
        <f>_xlfn.XLOOKUP(E26,'All Products'!D:D,'All Products'!J:J,FALSE)</f>
        <v>Manufactured</v>
      </c>
      <c r="Q26" s="266">
        <f>_xlfn.XLOOKUP(E26,'All Products'!D:D,'All Products'!K:K,FALSE)</f>
        <v>49081007089</v>
      </c>
      <c r="R26" s="266" t="str">
        <f>_xlfn.XLOOKUP(E26,'All Products'!D:D,'All Products'!L:L,FALSE)</f>
        <v>-</v>
      </c>
      <c r="S26" s="266">
        <f>_xlfn.XLOOKUP(E26,'All Products'!D:D,'All Products'!M:M,FALSE)</f>
        <v>40049081007087</v>
      </c>
      <c r="T26" s="265">
        <f>_xlfn.XLOOKUP(E26,'All Products'!D:D,'All Products'!N:N,FALSE)</f>
        <v>0.55000000000000004</v>
      </c>
      <c r="U26" s="265">
        <f>_xlfn.XLOOKUP(E26,'All Products'!D:D,'All Products'!P:P,FALSE)</f>
        <v>11</v>
      </c>
      <c r="V26" s="265">
        <f>_xlfn.XLOOKUP(E26,'All Products'!D:D,'All Products'!Q:Q,FALSE)</f>
        <v>2.0654296875</v>
      </c>
    </row>
    <row r="27" spans="1:22" s="17" customFormat="1" ht="28.5" customHeight="1">
      <c r="A27" s="101" t="str">
        <f>IF(K27&gt;0,COUNT($A$7:A26)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27" s="608"/>
      <c r="C27" s="609"/>
      <c r="D27" s="103" t="str">
        <f>_xlfn.XLOOKUP(E27,'All Products'!D:D,'All Products'!C:C,FALSE)</f>
        <v>090-SF</v>
      </c>
      <c r="E27" s="103">
        <v>100021811</v>
      </c>
      <c r="F27" s="144" t="str">
        <f>_xlfn.XLOOKUP(E27,'All Products'!D:D,'All Products'!E:E,FALSE)</f>
        <v>9 SQUARE CATCH BASIN GRATE/GRN</v>
      </c>
      <c r="G27" s="103">
        <f>_xlfn.XLOOKUP(E27,'All Products'!D:D,'All Products'!F:F,FALSE)</f>
        <v>10</v>
      </c>
      <c r="H27" s="103">
        <f>_xlfn.XLOOKUP(E27,'All Products'!D:D,'All Products'!G:G,FALSE)</f>
        <v>640</v>
      </c>
      <c r="I27" s="142">
        <f>_xlfn.XLOOKUP(E27,'All Products'!D:D,'All Products'!H:H,FALSE)</f>
        <v>69.94</v>
      </c>
      <c r="J27" s="173">
        <f>ROUND(I27*Order_Quote!$L$20,2)</f>
        <v>69.94</v>
      </c>
      <c r="K27" s="161"/>
      <c r="L27" s="113"/>
      <c r="M27" s="171">
        <f t="shared" si="0"/>
        <v>0</v>
      </c>
      <c r="O27" s="215" t="str">
        <f>_xlfn.XLOOKUP(E27,'All Products'!D:D,'All Products'!I:I,FALSE)</f>
        <v>In Stock</v>
      </c>
      <c r="P27" s="215" t="str">
        <f>_xlfn.XLOOKUP(E27,'All Products'!D:D,'All Products'!J:J,FALSE)</f>
        <v>Manufactured</v>
      </c>
      <c r="Q27" s="266">
        <f>_xlfn.XLOOKUP(E27,'All Products'!D:D,'All Products'!K:K,FALSE)</f>
        <v>49081006785</v>
      </c>
      <c r="R27" s="266" t="str">
        <f>_xlfn.XLOOKUP(E27,'All Products'!D:D,'All Products'!L:L,FALSE)</f>
        <v>-</v>
      </c>
      <c r="S27" s="266">
        <f>_xlfn.XLOOKUP(E27,'All Products'!D:D,'All Products'!M:M,FALSE)</f>
        <v>40049081006783</v>
      </c>
      <c r="T27" s="265">
        <f>_xlfn.XLOOKUP(E27,'All Products'!D:D,'All Products'!N:N,FALSE)</f>
        <v>1.52</v>
      </c>
      <c r="U27" s="265">
        <f>_xlfn.XLOOKUP(E27,'All Products'!D:D,'All Products'!P:P,FALSE)</f>
        <v>15.2</v>
      </c>
      <c r="V27" s="265">
        <f>_xlfn.XLOOKUP(E27,'All Products'!D:D,'All Products'!Q:Q,FALSE)</f>
        <v>0.60496690538194442</v>
      </c>
    </row>
    <row r="28" spans="1:22" s="17" customFormat="1" ht="28.5" customHeight="1">
      <c r="A28" s="101" t="str">
        <f>IF(K28&gt;0,COUNT($A$7:A27)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28" s="612"/>
      <c r="C28" s="613"/>
      <c r="D28" s="103" t="str">
        <f>_xlfn.XLOOKUP(E28,'All Products'!D:D,'All Products'!C:C,FALSE)</f>
        <v>120-SF</v>
      </c>
      <c r="E28" s="103">
        <v>100021833</v>
      </c>
      <c r="F28" s="144" t="str">
        <f>_xlfn.XLOOKUP(E28,'All Products'!D:D,'All Products'!E:E,FALSE)</f>
        <v>12 SQUARE CATCH BASIN GRATE</v>
      </c>
      <c r="G28" s="103">
        <f>_xlfn.XLOOKUP(E28,'All Products'!D:D,'All Products'!F:F,FALSE)</f>
        <v>10</v>
      </c>
      <c r="H28" s="103">
        <f>_xlfn.XLOOKUP(E28,'All Products'!D:D,'All Products'!G:G,FALSE)</f>
        <v>360</v>
      </c>
      <c r="I28" s="142">
        <f>_xlfn.XLOOKUP(E28,'All Products'!D:D,'All Products'!H:H,FALSE)</f>
        <v>103.82</v>
      </c>
      <c r="J28" s="173">
        <f>ROUND(I28*Order_Quote!$L$20,2)</f>
        <v>103.82</v>
      </c>
      <c r="K28" s="75"/>
      <c r="L28" s="113"/>
      <c r="M28" s="171">
        <f t="shared" si="0"/>
        <v>0</v>
      </c>
      <c r="O28" s="215" t="str">
        <f>_xlfn.XLOOKUP(E28,'All Products'!D:D,'All Products'!I:I,FALSE)</f>
        <v>In Stock</v>
      </c>
      <c r="P28" s="215" t="str">
        <f>_xlfn.XLOOKUP(E28,'All Products'!D:D,'All Products'!J:J,FALSE)</f>
        <v>Manufactured</v>
      </c>
      <c r="Q28" s="266">
        <f>_xlfn.XLOOKUP(E28,'All Products'!D:D,'All Products'!K:K,FALSE)</f>
        <v>49081006945</v>
      </c>
      <c r="R28" s="266" t="str">
        <f>_xlfn.XLOOKUP(E28,'All Products'!D:D,'All Products'!L:L,FALSE)</f>
        <v>-</v>
      </c>
      <c r="S28" s="266">
        <f>_xlfn.XLOOKUP(E28,'All Products'!D:D,'All Products'!M:M,FALSE)</f>
        <v>40049081006943</v>
      </c>
      <c r="T28" s="265">
        <f>_xlfn.XLOOKUP(E28,'All Products'!D:D,'All Products'!N:N,FALSE)</f>
        <v>2.4699999999999998</v>
      </c>
      <c r="U28" s="265">
        <f>_xlfn.XLOOKUP(E28,'All Products'!D:D,'All Products'!P:P,FALSE)</f>
        <v>24.7</v>
      </c>
      <c r="V28" s="265">
        <f>_xlfn.XLOOKUP(E28,'All Products'!D:D,'All Products'!Q:Q,FALSE)</f>
        <v>1.0298224555121527</v>
      </c>
    </row>
    <row r="29" spans="1:22" s="17" customFormat="1" ht="28.5" customHeight="1">
      <c r="A29" s="101" t="str">
        <f>IF(K29&gt;0,COUNT($A$7:A28)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29" s="608"/>
      <c r="C29" s="609"/>
      <c r="D29" s="103" t="str">
        <f>_xlfn.XLOOKUP(E29,'All Products'!D:D,'All Products'!C:C,FALSE)</f>
        <v>092-SF</v>
      </c>
      <c r="E29" s="103">
        <v>100021816</v>
      </c>
      <c r="F29" s="144" t="str">
        <f>_xlfn.XLOOKUP(E29,'All Products'!D:D,'All Products'!E:E,FALSE)</f>
        <v>9 SQUARE CATCH BASIN GRATE TAN</v>
      </c>
      <c r="G29" s="103">
        <f>_xlfn.XLOOKUP(E29,'All Products'!D:D,'All Products'!F:F,FALSE)</f>
        <v>10</v>
      </c>
      <c r="H29" s="103">
        <f>_xlfn.XLOOKUP(E29,'All Products'!D:D,'All Products'!G:G,FALSE)</f>
        <v>640</v>
      </c>
      <c r="I29" s="142">
        <f>_xlfn.XLOOKUP(E29,'All Products'!D:D,'All Products'!H:H,FALSE)</f>
        <v>69.94</v>
      </c>
      <c r="J29" s="173">
        <f>ROUND(I29*Order_Quote!$L$20,2)</f>
        <v>69.94</v>
      </c>
      <c r="K29" s="161"/>
      <c r="L29" s="113"/>
      <c r="M29" s="171">
        <f t="shared" si="0"/>
        <v>0</v>
      </c>
      <c r="O29" s="215" t="str">
        <f>_xlfn.XLOOKUP(E29,'All Products'!D:D,'All Products'!I:I,FALSE)</f>
        <v>In Stock</v>
      </c>
      <c r="P29" s="215" t="str">
        <f>_xlfn.XLOOKUP(E29,'All Products'!D:D,'All Products'!J:J,FALSE)</f>
        <v>Manufactured</v>
      </c>
      <c r="Q29" s="266">
        <f>_xlfn.XLOOKUP(E29,'All Products'!D:D,'All Products'!K:K,FALSE)</f>
        <v>49081006792</v>
      </c>
      <c r="R29" s="266" t="str">
        <f>_xlfn.XLOOKUP(E29,'All Products'!D:D,'All Products'!L:L,FALSE)</f>
        <v>-</v>
      </c>
      <c r="S29" s="266">
        <f>_xlfn.XLOOKUP(E29,'All Products'!D:D,'All Products'!M:M,FALSE)</f>
        <v>40049081006790</v>
      </c>
      <c r="T29" s="265">
        <f>_xlfn.XLOOKUP(E29,'All Products'!D:D,'All Products'!N:N,FALSE)</f>
        <v>1.472</v>
      </c>
      <c r="U29" s="265">
        <f>_xlfn.XLOOKUP(E29,'All Products'!D:D,'All Products'!P:P,FALSE)</f>
        <v>14.72</v>
      </c>
      <c r="V29" s="265">
        <f>_xlfn.XLOOKUP(E29,'All Products'!D:D,'All Products'!Q:Q,FALSE)</f>
        <v>0.60496690538194442</v>
      </c>
    </row>
    <row r="30" spans="1:22" s="17" customFormat="1" ht="28.5" customHeight="1">
      <c r="A30" s="101" t="str">
        <f>IF(K30&gt;0,COUNT($A$7:A29)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30" s="612"/>
      <c r="C30" s="613"/>
      <c r="D30" s="103" t="str">
        <f>_xlfn.XLOOKUP(E30,'All Products'!D:D,'All Products'!C:C,FALSE)</f>
        <v>122-SF</v>
      </c>
      <c r="E30" s="103">
        <v>100021839</v>
      </c>
      <c r="F30" s="144" t="str">
        <f>_xlfn.XLOOKUP(E30,'All Products'!D:D,'All Products'!E:E,FALSE)</f>
        <v>12 SQRE CATCH BASIN GRATE TAN</v>
      </c>
      <c r="G30" s="103">
        <f>_xlfn.XLOOKUP(E30,'All Products'!D:D,'All Products'!F:F,FALSE)</f>
        <v>10</v>
      </c>
      <c r="H30" s="103">
        <f>_xlfn.XLOOKUP(E30,'All Products'!D:D,'All Products'!G:G,FALSE)</f>
        <v>360</v>
      </c>
      <c r="I30" s="142">
        <f>_xlfn.XLOOKUP(E30,'All Products'!D:D,'All Products'!H:H,FALSE)</f>
        <v>103.82</v>
      </c>
      <c r="J30" s="173">
        <f>ROUND(I30*Order_Quote!$L$20,2)</f>
        <v>103.82</v>
      </c>
      <c r="K30" s="75"/>
      <c r="L30" s="113"/>
      <c r="M30" s="171">
        <f t="shared" si="0"/>
        <v>0</v>
      </c>
      <c r="O30" s="215" t="str">
        <f>_xlfn.XLOOKUP(E30,'All Products'!D:D,'All Products'!I:I,FALSE)</f>
        <v>In Stock</v>
      </c>
      <c r="P30" s="215" t="str">
        <f>_xlfn.XLOOKUP(E30,'All Products'!D:D,'All Products'!J:J,FALSE)</f>
        <v>Manufactured</v>
      </c>
      <c r="Q30" s="266">
        <f>_xlfn.XLOOKUP(E30,'All Products'!D:D,'All Products'!K:K,FALSE)</f>
        <v>49081006976</v>
      </c>
      <c r="R30" s="266" t="str">
        <f>_xlfn.XLOOKUP(E30,'All Products'!D:D,'All Products'!L:L,FALSE)</f>
        <v>-</v>
      </c>
      <c r="S30" s="266">
        <f>_xlfn.XLOOKUP(E30,'All Products'!D:D,'All Products'!M:M,FALSE)</f>
        <v>40049061006970</v>
      </c>
      <c r="T30" s="265">
        <f>_xlfn.XLOOKUP(E30,'All Products'!D:D,'All Products'!N:N,FALSE)</f>
        <v>2.58</v>
      </c>
      <c r="U30" s="265">
        <f>_xlfn.XLOOKUP(E30,'All Products'!D:D,'All Products'!P:P,FALSE)</f>
        <v>25.8</v>
      </c>
      <c r="V30" s="265">
        <f>_xlfn.XLOOKUP(E30,'All Products'!D:D,'All Products'!Q:Q,FALSE)</f>
        <v>1.0298224555121527</v>
      </c>
    </row>
    <row r="31" spans="1:22" s="17" customFormat="1" ht="28.5" customHeight="1">
      <c r="A31" s="101" t="str">
        <f>IF(K31&gt;0,COUNT($A$7:A30)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31" s="608"/>
      <c r="C31" s="609"/>
      <c r="D31" s="103" t="str">
        <f>_xlfn.XLOOKUP(E31,'All Products'!D:D,'All Products'!C:C,FALSE)</f>
        <v>094-SF</v>
      </c>
      <c r="E31" s="103">
        <v>100021819</v>
      </c>
      <c r="F31" s="144" t="str">
        <f>_xlfn.XLOOKUP(E31,'All Products'!D:D,'All Products'!E:E,FALSE)</f>
        <v>9 SQUARE CATCH BASIN GRATE/BLK</v>
      </c>
      <c r="G31" s="103">
        <f>_xlfn.XLOOKUP(E31,'All Products'!D:D,'All Products'!F:F,FALSE)</f>
        <v>10</v>
      </c>
      <c r="H31" s="103">
        <f>_xlfn.XLOOKUP(E31,'All Products'!D:D,'All Products'!G:G,FALSE)</f>
        <v>640</v>
      </c>
      <c r="I31" s="142">
        <f>_xlfn.XLOOKUP(E31,'All Products'!D:D,'All Products'!H:H,FALSE)</f>
        <v>69.94</v>
      </c>
      <c r="J31" s="173">
        <f>ROUND(I31*Order_Quote!$L$20,2)</f>
        <v>69.94</v>
      </c>
      <c r="K31" s="75"/>
      <c r="L31" s="113"/>
      <c r="M31" s="171">
        <f t="shared" si="0"/>
        <v>0</v>
      </c>
      <c r="O31" s="215" t="str">
        <f>_xlfn.XLOOKUP(E31,'All Products'!D:D,'All Products'!I:I,FALSE)</f>
        <v>In Stock</v>
      </c>
      <c r="P31" s="215" t="str">
        <f>_xlfn.XLOOKUP(E31,'All Products'!D:D,'All Products'!J:J,FALSE)</f>
        <v>Manufactured</v>
      </c>
      <c r="Q31" s="266">
        <f>_xlfn.XLOOKUP(E31,'All Products'!D:D,'All Products'!K:K,FALSE)</f>
        <v>49081006846</v>
      </c>
      <c r="R31" s="266" t="str">
        <f>_xlfn.XLOOKUP(E31,'All Products'!D:D,'All Products'!L:L,FALSE)</f>
        <v>-</v>
      </c>
      <c r="S31" s="266">
        <f>_xlfn.XLOOKUP(E31,'All Products'!D:D,'All Products'!M:M,FALSE)</f>
        <v>40049081006844</v>
      </c>
      <c r="T31" s="265">
        <f>_xlfn.XLOOKUP(E31,'All Products'!D:D,'All Products'!N:N,FALSE)</f>
        <v>1.49</v>
      </c>
      <c r="U31" s="265">
        <f>_xlfn.XLOOKUP(E31,'All Products'!D:D,'All Products'!P:P,FALSE)</f>
        <v>14.9</v>
      </c>
      <c r="V31" s="265">
        <f>_xlfn.XLOOKUP(E31,'All Products'!D:D,'All Products'!Q:Q,FALSE)</f>
        <v>0.60496690538194442</v>
      </c>
    </row>
    <row r="32" spans="1:22" s="17" customFormat="1" ht="28.5" customHeight="1" thickBot="1">
      <c r="A32" s="101" t="str">
        <f>IF(K32&gt;0,COUNT($A$7:A31)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32" s="612"/>
      <c r="C32" s="613"/>
      <c r="D32" s="103" t="str">
        <f>_xlfn.XLOOKUP(E32,'All Products'!D:D,'All Products'!C:C,FALSE)</f>
        <v>124-SF</v>
      </c>
      <c r="E32" s="103">
        <v>100021843</v>
      </c>
      <c r="F32" s="144" t="str">
        <f>_xlfn.XLOOKUP(E32,'All Products'!D:D,'All Products'!E:E,FALSE)</f>
        <v>12 SQUARE CATCH BASIN GRATE</v>
      </c>
      <c r="G32" s="103">
        <f>_xlfn.XLOOKUP(E32,'All Products'!D:D,'All Products'!F:F,FALSE)</f>
        <v>10</v>
      </c>
      <c r="H32" s="103">
        <f>_xlfn.XLOOKUP(E32,'All Products'!D:D,'All Products'!G:G,FALSE)</f>
        <v>360</v>
      </c>
      <c r="I32" s="142">
        <f>_xlfn.XLOOKUP(E32,'All Products'!D:D,'All Products'!H:H,FALSE)</f>
        <v>103.82</v>
      </c>
      <c r="J32" s="173">
        <f>ROUND(I32*Order_Quote!$L$20,2)</f>
        <v>103.82</v>
      </c>
      <c r="K32" s="75"/>
      <c r="L32" s="113"/>
      <c r="M32" s="171">
        <f t="shared" si="0"/>
        <v>0</v>
      </c>
      <c r="O32" s="215" t="str">
        <f>_xlfn.XLOOKUP(E32,'All Products'!D:D,'All Products'!I:I,FALSE)</f>
        <v>In Stock</v>
      </c>
      <c r="P32" s="215" t="str">
        <f>_xlfn.XLOOKUP(E32,'All Products'!D:D,'All Products'!J:J,FALSE)</f>
        <v>Manufactured</v>
      </c>
      <c r="Q32" s="266">
        <f>_xlfn.XLOOKUP(E32,'All Products'!D:D,'All Products'!K:K,FALSE)</f>
        <v>49081006983</v>
      </c>
      <c r="R32" s="266" t="str">
        <f>_xlfn.XLOOKUP(E32,'All Products'!D:D,'All Products'!L:L,FALSE)</f>
        <v>-</v>
      </c>
      <c r="S32" s="266">
        <f>_xlfn.XLOOKUP(E32,'All Products'!D:D,'All Products'!M:M,FALSE)</f>
        <v>40049081006981</v>
      </c>
      <c r="T32" s="265">
        <f>_xlfn.XLOOKUP(E32,'All Products'!D:D,'All Products'!N:N,FALSE)</f>
        <v>2.63</v>
      </c>
      <c r="U32" s="265">
        <f>_xlfn.XLOOKUP(E32,'All Products'!D:D,'All Products'!P:P,FALSE)</f>
        <v>26.3</v>
      </c>
      <c r="V32" s="265">
        <f>_xlfn.XLOOKUP(E32,'All Products'!D:D,'All Products'!Q:Q,FALSE)</f>
        <v>1.0298224555121527</v>
      </c>
    </row>
    <row r="33" spans="1:22" s="17" customFormat="1" ht="28.2" customHeight="1">
      <c r="A33" s="101" t="str">
        <f>IF(K33&gt;0,COUNT($A$7:A32)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33" s="608"/>
      <c r="C33" s="609"/>
      <c r="D33" s="103" t="str">
        <f>_xlfn.XLOOKUP(E33,'All Products'!D:D,'All Products'!C:C,FALSE)</f>
        <v>030-A</v>
      </c>
      <c r="E33" s="103">
        <v>100021748</v>
      </c>
      <c r="F33" s="144" t="str">
        <f>_xlfn.XLOOKUP(E33,'All Products'!D:D,'All Products'!E:E,FALSE)</f>
        <v>3 ATRIUM GRATE, GREEN</v>
      </c>
      <c r="G33" s="103">
        <f>_xlfn.XLOOKUP(E33,'All Products'!D:D,'All Products'!F:F,FALSE)</f>
        <v>40</v>
      </c>
      <c r="H33" s="103">
        <f>_xlfn.XLOOKUP(E33,'All Products'!D:D,'All Products'!G:G,FALSE)</f>
        <v>2400</v>
      </c>
      <c r="I33" s="142">
        <f>_xlfn.XLOOKUP(E33,'All Products'!D:D,'All Products'!H:H,FALSE)</f>
        <v>17.59</v>
      </c>
      <c r="J33" s="173">
        <f>ROUND(I33*Order_Quote!$L$20,2)</f>
        <v>17.59</v>
      </c>
      <c r="K33" s="172"/>
      <c r="L33" s="113"/>
      <c r="M33" s="171">
        <f t="shared" si="0"/>
        <v>0</v>
      </c>
      <c r="O33" s="215" t="str">
        <f>_xlfn.XLOOKUP(E33,'All Products'!D:D,'All Products'!I:I,FALSE)</f>
        <v>In Stock</v>
      </c>
      <c r="P33" s="215" t="str">
        <f>_xlfn.XLOOKUP(E33,'All Products'!D:D,'All Products'!J:J,FALSE)</f>
        <v>Manufactured</v>
      </c>
      <c r="Q33" s="266">
        <f>_xlfn.XLOOKUP(E33,'All Products'!D:D,'All Products'!K:K,FALSE)</f>
        <v>49081006129</v>
      </c>
      <c r="R33" s="266" t="str">
        <f>_xlfn.XLOOKUP(E33,'All Products'!D:D,'All Products'!L:L,FALSE)</f>
        <v>-</v>
      </c>
      <c r="S33" s="266">
        <f>_xlfn.XLOOKUP(E33,'All Products'!D:D,'All Products'!M:M,FALSE)</f>
        <v>40049081006127</v>
      </c>
      <c r="T33" s="265">
        <f>_xlfn.XLOOKUP(E33,'All Products'!D:D,'All Products'!N:N,FALSE)</f>
        <v>0.16250000000000001</v>
      </c>
      <c r="U33" s="265">
        <f>_xlfn.XLOOKUP(E33,'All Products'!D:D,'All Products'!P:P,FALSE)</f>
        <v>6.5</v>
      </c>
      <c r="V33" s="265">
        <f>_xlfn.XLOOKUP(E33,'All Products'!D:D,'All Products'!Q:Q,FALSE)</f>
        <v>0.149169921875</v>
      </c>
    </row>
    <row r="34" spans="1:22" s="17" customFormat="1" ht="27" customHeight="1">
      <c r="A34" s="101" t="str">
        <f>IF(K34&gt;0,COUNT($A$7:A33)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34" s="610"/>
      <c r="C34" s="611"/>
      <c r="D34" s="103" t="str">
        <f>_xlfn.XLOOKUP(E34,'All Products'!D:D,'All Products'!C:C,FALSE)</f>
        <v>040-A</v>
      </c>
      <c r="E34" s="103">
        <v>100021758</v>
      </c>
      <c r="F34" s="144" t="str">
        <f>_xlfn.XLOOKUP(E34,'All Products'!D:D,'All Products'!E:E,FALSE)</f>
        <v>4 ATRIUM GRATE, GREEN</v>
      </c>
      <c r="G34" s="103">
        <f>_xlfn.XLOOKUP(E34,'All Products'!D:D,'All Products'!F:F,FALSE)</f>
        <v>40</v>
      </c>
      <c r="H34" s="103">
        <f>_xlfn.XLOOKUP(E34,'All Products'!D:D,'All Products'!G:G,FALSE)</f>
        <v>1280</v>
      </c>
      <c r="I34" s="142">
        <f>_xlfn.XLOOKUP(E34,'All Products'!D:D,'All Products'!H:H,FALSE)</f>
        <v>26.57</v>
      </c>
      <c r="J34" s="173">
        <f>ROUND(I34*Order_Quote!$L$20,2)</f>
        <v>26.57</v>
      </c>
      <c r="K34" s="161"/>
      <c r="L34" s="113"/>
      <c r="M34" s="171">
        <f t="shared" si="0"/>
        <v>0</v>
      </c>
      <c r="O34" s="215" t="str">
        <f>_xlfn.XLOOKUP(E34,'All Products'!D:D,'All Products'!I:I,FALSE)</f>
        <v>In Stock</v>
      </c>
      <c r="P34" s="215" t="str">
        <f>_xlfn.XLOOKUP(E34,'All Products'!D:D,'All Products'!J:J,FALSE)</f>
        <v>Manufactured</v>
      </c>
      <c r="Q34" s="266">
        <f>_xlfn.XLOOKUP(E34,'All Products'!D:D,'All Products'!K:K,FALSE)</f>
        <v>49081006204</v>
      </c>
      <c r="R34" s="266" t="str">
        <f>_xlfn.XLOOKUP(E34,'All Products'!D:D,'All Products'!L:L,FALSE)</f>
        <v>-</v>
      </c>
      <c r="S34" s="266">
        <f>_xlfn.XLOOKUP(E34,'All Products'!D:D,'All Products'!M:M,FALSE)</f>
        <v>40049081006202</v>
      </c>
      <c r="T34" s="265">
        <f>_xlfn.XLOOKUP(E34,'All Products'!D:D,'All Products'!N:N,FALSE)</f>
        <v>0.23749999999999999</v>
      </c>
      <c r="U34" s="265">
        <f>_xlfn.XLOOKUP(E34,'All Products'!D:D,'All Products'!P:P,FALSE)</f>
        <v>9.5</v>
      </c>
      <c r="V34" s="265">
        <f>_xlfn.XLOOKUP(E34,'All Products'!D:D,'All Products'!Q:Q,FALSE)</f>
        <v>1.0378175646250001</v>
      </c>
    </row>
    <row r="35" spans="1:22" s="17" customFormat="1" ht="25.2" customHeight="1">
      <c r="A35" s="101" t="str">
        <f>IF(K35&gt;0,COUNT($A$7:A34)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35" s="612"/>
      <c r="C35" s="613"/>
      <c r="D35" s="103" t="str">
        <f>_xlfn.XLOOKUP(E35,'All Products'!D:D,'All Products'!C:C,FALSE)</f>
        <v>060-A</v>
      </c>
      <c r="E35" s="103">
        <v>100021779</v>
      </c>
      <c r="F35" s="144" t="str">
        <f>_xlfn.XLOOKUP(E35,'All Products'!D:D,'All Products'!E:E,FALSE)</f>
        <v>6 ATRIUM GRATE, GREEN</v>
      </c>
      <c r="G35" s="103">
        <f>_xlfn.XLOOKUP(E35,'All Products'!D:D,'All Products'!F:F,FALSE)</f>
        <v>40</v>
      </c>
      <c r="H35" s="103">
        <f>_xlfn.XLOOKUP(E35,'All Products'!D:D,'All Products'!G:G,FALSE)</f>
        <v>480</v>
      </c>
      <c r="I35" s="142">
        <f>_xlfn.XLOOKUP(E35,'All Products'!D:D,'All Products'!H:H,FALSE)</f>
        <v>35.69</v>
      </c>
      <c r="J35" s="173">
        <f>ROUND(I35*Order_Quote!$L$20,2)</f>
        <v>35.69</v>
      </c>
      <c r="K35" s="161"/>
      <c r="L35" s="113"/>
      <c r="M35" s="171">
        <f t="shared" si="0"/>
        <v>0</v>
      </c>
      <c r="O35" s="215" t="str">
        <f>_xlfn.XLOOKUP(E35,'All Products'!D:D,'All Products'!I:I,FALSE)</f>
        <v>In Stock</v>
      </c>
      <c r="P35" s="215" t="str">
        <f>_xlfn.XLOOKUP(E35,'All Products'!D:D,'All Products'!J:J,FALSE)</f>
        <v>Manufactured</v>
      </c>
      <c r="Q35" s="266">
        <f>_xlfn.XLOOKUP(E35,'All Products'!D:D,'All Products'!K:K,FALSE)</f>
        <v>49081006365</v>
      </c>
      <c r="R35" s="266" t="str">
        <f>_xlfn.XLOOKUP(E35,'All Products'!D:D,'All Products'!L:L,FALSE)</f>
        <v>-</v>
      </c>
      <c r="S35" s="266">
        <f>_xlfn.XLOOKUP(E35,'All Products'!D:D,'All Products'!M:M,FALSE)</f>
        <v>40049081006363</v>
      </c>
      <c r="T35" s="265">
        <f>_xlfn.XLOOKUP(E35,'All Products'!D:D,'All Products'!N:N,FALSE)</f>
        <v>0.62750000000000006</v>
      </c>
      <c r="U35" s="265">
        <f>_xlfn.XLOOKUP(E35,'All Products'!D:D,'All Products'!P:P,FALSE)</f>
        <v>25.1</v>
      </c>
      <c r="V35" s="265">
        <f>_xlfn.XLOOKUP(E35,'All Products'!D:D,'All Products'!Q:Q,FALSE)</f>
        <v>2.27</v>
      </c>
    </row>
    <row r="36" spans="1:22" s="17" customFormat="1" ht="28.2" customHeight="1">
      <c r="A36" s="101" t="str">
        <f>IF(K36&gt;0,COUNT($A$7:A35)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36" s="608"/>
      <c r="C36" s="609"/>
      <c r="D36" s="103" t="str">
        <f>_xlfn.XLOOKUP(E36,'All Products'!D:D,'All Products'!C:C,FALSE)</f>
        <v>090-A</v>
      </c>
      <c r="E36" s="103">
        <v>100026139</v>
      </c>
      <c r="F36" s="144" t="str">
        <f>_xlfn.XLOOKUP(E36,'All Products'!D:D,'All Products'!E:E,FALSE)</f>
        <v>9 ATRIUM GRATE, GREEN</v>
      </c>
      <c r="G36" s="103">
        <f>_xlfn.XLOOKUP(E36,'All Products'!D:D,'All Products'!F:F,FALSE)</f>
        <v>10</v>
      </c>
      <c r="H36" s="103">
        <f>_xlfn.XLOOKUP(E36,'All Products'!D:D,'All Products'!G:G,FALSE)</f>
        <v>600</v>
      </c>
      <c r="I36" s="142">
        <f>_xlfn.XLOOKUP(E36,'All Products'!D:D,'All Products'!H:H,FALSE)</f>
        <v>80.7</v>
      </c>
      <c r="J36" s="173">
        <f>ROUND(I36*Order_Quote!$L$20,2)</f>
        <v>80.7</v>
      </c>
      <c r="K36" s="161"/>
      <c r="L36" s="113"/>
      <c r="M36" s="171">
        <f t="shared" si="0"/>
        <v>0</v>
      </c>
      <c r="O36" s="215" t="str">
        <f>_xlfn.XLOOKUP(E36,'All Products'!D:D,'All Products'!I:I,FALSE)</f>
        <v>Limited Stock</v>
      </c>
      <c r="P36" s="215" t="str">
        <f>_xlfn.XLOOKUP(E36,'All Products'!D:D,'All Products'!J:J,FALSE)</f>
        <v>Manufactured</v>
      </c>
      <c r="Q36" s="266">
        <f>_xlfn.XLOOKUP(E36,'All Products'!D:D,'All Products'!K:K,FALSE)</f>
        <v>49081006686</v>
      </c>
      <c r="R36" s="266" t="str">
        <f>_xlfn.XLOOKUP(E36,'All Products'!D:D,'All Products'!L:L,FALSE)</f>
        <v>-</v>
      </c>
      <c r="S36" s="266">
        <f>_xlfn.XLOOKUP(E36,'All Products'!D:D,'All Products'!M:M,FALSE)</f>
        <v>40049081006684</v>
      </c>
      <c r="T36" s="265">
        <f>_xlfn.XLOOKUP(E36,'All Products'!D:D,'All Products'!N:N,FALSE)</f>
        <v>1.1499999999999999</v>
      </c>
      <c r="U36" s="265">
        <f>_xlfn.XLOOKUP(E36,'All Products'!D:D,'All Products'!P:P,FALSE)</f>
        <v>11.5</v>
      </c>
      <c r="V36" s="265">
        <f>_xlfn.XLOOKUP(E36,'All Products'!D:D,'All Products'!Q:Q,FALSE)</f>
        <v>0.72479248046875</v>
      </c>
    </row>
    <row r="37" spans="1:22" s="17" customFormat="1" ht="27" customHeight="1">
      <c r="A37" s="101" t="str">
        <f>IF(K37&gt;0,COUNT($A$7:A36)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37" s="612"/>
      <c r="C37" s="613"/>
      <c r="D37" s="103" t="str">
        <f>_xlfn.XLOOKUP(E37,'All Products'!D:D,'All Products'!C:C,FALSE)</f>
        <v>120-A</v>
      </c>
      <c r="E37" s="103">
        <v>100021823</v>
      </c>
      <c r="F37" s="144" t="str">
        <f>_xlfn.XLOOKUP(E37,'All Products'!D:D,'All Products'!E:E,FALSE)</f>
        <v>12 ATRIUM GRATE, GREEN</v>
      </c>
      <c r="G37" s="103">
        <f>_xlfn.XLOOKUP(E37,'All Products'!D:D,'All Products'!F:F,FALSE)</f>
        <v>10</v>
      </c>
      <c r="H37" s="103">
        <f>_xlfn.XLOOKUP(E37,'All Products'!D:D,'All Products'!G:G,FALSE)</f>
        <v>270</v>
      </c>
      <c r="I37" s="142">
        <f>_xlfn.XLOOKUP(E37,'All Products'!D:D,'All Products'!H:H,FALSE)</f>
        <v>119.81</v>
      </c>
      <c r="J37" s="173">
        <f>ROUND(I37*Order_Quote!$L$20,2)</f>
        <v>119.81</v>
      </c>
      <c r="K37" s="75"/>
      <c r="L37" s="113"/>
      <c r="M37" s="171">
        <f t="shared" ref="M37:M55" si="1">K37/G37</f>
        <v>0</v>
      </c>
      <c r="O37" s="215" t="str">
        <f>_xlfn.XLOOKUP(E37,'All Products'!D:D,'All Products'!I:I,FALSE)</f>
        <v>In Stock</v>
      </c>
      <c r="P37" s="215" t="str">
        <f>_xlfn.XLOOKUP(E37,'All Products'!D:D,'All Products'!J:J,FALSE)</f>
        <v>Manufactured</v>
      </c>
      <c r="Q37" s="266">
        <f>_xlfn.XLOOKUP(E37,'All Products'!D:D,'All Products'!K:K,FALSE)</f>
        <v>49081006860</v>
      </c>
      <c r="R37" s="266" t="str">
        <f>_xlfn.XLOOKUP(E37,'All Products'!D:D,'All Products'!L:L,FALSE)</f>
        <v>-</v>
      </c>
      <c r="S37" s="266">
        <f>_xlfn.XLOOKUP(E37,'All Products'!D:D,'All Products'!M:M,FALSE)</f>
        <v>40049081006868</v>
      </c>
      <c r="T37" s="265">
        <f>_xlfn.XLOOKUP(E37,'All Products'!D:D,'All Products'!N:N,FALSE)</f>
        <v>1.77</v>
      </c>
      <c r="U37" s="265">
        <f>_xlfn.XLOOKUP(E37,'All Products'!D:D,'All Products'!P:P,FALSE)</f>
        <v>17.7</v>
      </c>
      <c r="V37" s="265">
        <f>_xlfn.XLOOKUP(E37,'All Products'!D:D,'All Products'!Q:Q,FALSE)</f>
        <v>1.35821533203125</v>
      </c>
    </row>
    <row r="38" spans="1:22" s="17" customFormat="1" ht="60" customHeight="1">
      <c r="A38" s="101" t="str">
        <f>IF(K38&gt;0,COUNT($A$7:A37)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38" s="616"/>
      <c r="C38" s="617"/>
      <c r="D38" s="103" t="str">
        <f>_xlfn.XLOOKUP(E38,'All Products'!D:D,'All Products'!C:C,FALSE)</f>
        <v>032-A</v>
      </c>
      <c r="E38" s="103">
        <v>100021752</v>
      </c>
      <c r="F38" s="144" t="str">
        <f>_xlfn.XLOOKUP(E38,'All Products'!D:D,'All Products'!E:E,FALSE)</f>
        <v>3 ATRIUM GRATE, TAN</v>
      </c>
      <c r="G38" s="103">
        <f>_xlfn.XLOOKUP(E38,'All Products'!D:D,'All Products'!F:F,FALSE)</f>
        <v>40</v>
      </c>
      <c r="H38" s="103">
        <f>_xlfn.XLOOKUP(E38,'All Products'!D:D,'All Products'!G:G,FALSE)</f>
        <v>2400</v>
      </c>
      <c r="I38" s="142">
        <f>_xlfn.XLOOKUP(E38,'All Products'!D:D,'All Products'!H:H,FALSE)</f>
        <v>17.59</v>
      </c>
      <c r="J38" s="173">
        <f>ROUND(I38*Order_Quote!$L$20,2)</f>
        <v>17.59</v>
      </c>
      <c r="K38" s="161"/>
      <c r="L38" s="113"/>
      <c r="M38" s="171">
        <f t="shared" si="1"/>
        <v>0</v>
      </c>
      <c r="O38" s="215" t="str">
        <f>_xlfn.XLOOKUP(E38,'All Products'!D:D,'All Products'!I:I,FALSE)</f>
        <v>In Stock</v>
      </c>
      <c r="P38" s="215" t="str">
        <f>_xlfn.XLOOKUP(E38,'All Products'!D:D,'All Products'!J:J,FALSE)</f>
        <v>Manufactured</v>
      </c>
      <c r="Q38" s="266">
        <f>_xlfn.XLOOKUP(E38,'All Products'!D:D,'All Products'!K:K,FALSE)</f>
        <v>49081006136</v>
      </c>
      <c r="R38" s="266" t="str">
        <f>_xlfn.XLOOKUP(E38,'All Products'!D:D,'All Products'!L:L,FALSE)</f>
        <v>-</v>
      </c>
      <c r="S38" s="266">
        <f>_xlfn.XLOOKUP(E38,'All Products'!D:D,'All Products'!M:M,FALSE)</f>
        <v>40049081006134</v>
      </c>
      <c r="T38" s="265">
        <f>_xlfn.XLOOKUP(E38,'All Products'!D:D,'All Products'!N:N,FALSE)</f>
        <v>0.16</v>
      </c>
      <c r="U38" s="265">
        <f>_xlfn.XLOOKUP(E38,'All Products'!D:D,'All Products'!P:P,FALSE)</f>
        <v>6.4</v>
      </c>
      <c r="V38" s="265">
        <f>_xlfn.XLOOKUP(E38,'All Products'!D:D,'All Products'!Q:Q,FALSE)</f>
        <v>0.149169921875</v>
      </c>
    </row>
    <row r="39" spans="1:22" s="17" customFormat="1" ht="35.25" customHeight="1">
      <c r="A39" s="101" t="str">
        <f>IF(K39&gt;0,COUNT($A$7:A38)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39" s="608"/>
      <c r="C39" s="609"/>
      <c r="D39" s="103" t="str">
        <f>_xlfn.XLOOKUP(E39,'All Products'!D:D,'All Products'!C:C,FALSE)</f>
        <v>044-A</v>
      </c>
      <c r="E39" s="103">
        <v>100021768</v>
      </c>
      <c r="F39" s="144" t="str">
        <f>_xlfn.XLOOKUP(E39,'All Products'!D:D,'All Products'!E:E,FALSE)</f>
        <v>4 ATRIUM GRATE, BLACK</v>
      </c>
      <c r="G39" s="103">
        <f>_xlfn.XLOOKUP(E39,'All Products'!D:D,'All Products'!F:F,FALSE)</f>
        <v>40</v>
      </c>
      <c r="H39" s="103">
        <f>_xlfn.XLOOKUP(E39,'All Products'!D:D,'All Products'!G:G,FALSE)</f>
        <v>1280</v>
      </c>
      <c r="I39" s="142">
        <f>_xlfn.XLOOKUP(E39,'All Products'!D:D,'All Products'!H:H,FALSE)</f>
        <v>26.57</v>
      </c>
      <c r="J39" s="173">
        <f>ROUND(I39*Order_Quote!$L$20,2)</f>
        <v>26.57</v>
      </c>
      <c r="K39" s="161"/>
      <c r="L39" s="113"/>
      <c r="M39" s="171">
        <f t="shared" si="1"/>
        <v>0</v>
      </c>
      <c r="O39" s="215" t="str">
        <f>_xlfn.XLOOKUP(E39,'All Products'!D:D,'All Products'!I:I,FALSE)</f>
        <v>Limited Stock</v>
      </c>
      <c r="P39" s="215" t="str">
        <f>_xlfn.XLOOKUP(E39,'All Products'!D:D,'All Products'!J:J,FALSE)</f>
        <v>Manufactured</v>
      </c>
      <c r="Q39" s="266">
        <f>_xlfn.XLOOKUP(E39,'All Products'!D:D,'All Products'!K:K,FALSE)</f>
        <v>49081006266</v>
      </c>
      <c r="R39" s="266" t="str">
        <f>_xlfn.XLOOKUP(E39,'All Products'!D:D,'All Products'!L:L,FALSE)</f>
        <v>-</v>
      </c>
      <c r="S39" s="266">
        <f>_xlfn.XLOOKUP(E39,'All Products'!D:D,'All Products'!M:M,FALSE)</f>
        <v>40049081006264</v>
      </c>
      <c r="T39" s="265">
        <f>_xlfn.XLOOKUP(E39,'All Products'!D:D,'All Products'!N:N,FALSE)</f>
        <v>0.24500000000000002</v>
      </c>
      <c r="U39" s="265">
        <f>_xlfn.XLOOKUP(E39,'All Products'!D:D,'All Products'!P:P,FALSE)</f>
        <v>9.8000000000000007</v>
      </c>
      <c r="V39" s="265">
        <f>_xlfn.XLOOKUP(E39,'All Products'!D:D,'All Products'!Q:Q,FALSE)</f>
        <v>1.0378175646250001</v>
      </c>
    </row>
    <row r="40" spans="1:22" s="17" customFormat="1" ht="35.25" customHeight="1">
      <c r="A40" s="101" t="str">
        <f>IF(K40&gt;0,COUNT($A$7:A39)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40" s="612"/>
      <c r="C40" s="613"/>
      <c r="D40" s="103" t="str">
        <f>_xlfn.XLOOKUP(E40,'All Products'!D:D,'All Products'!C:C,FALSE)</f>
        <v>064-A</v>
      </c>
      <c r="E40" s="103">
        <v>100021795</v>
      </c>
      <c r="F40" s="144" t="str">
        <f>_xlfn.XLOOKUP(E40,'All Products'!D:D,'All Products'!E:E,FALSE)</f>
        <v>6 ATRIUM GRATE, BLACK</v>
      </c>
      <c r="G40" s="103">
        <f>_xlfn.XLOOKUP(E40,'All Products'!D:D,'All Products'!F:F,FALSE)</f>
        <v>40</v>
      </c>
      <c r="H40" s="103">
        <f>_xlfn.XLOOKUP(E40,'All Products'!D:D,'All Products'!G:G,FALSE)</f>
        <v>480</v>
      </c>
      <c r="I40" s="142">
        <f>_xlfn.XLOOKUP(E40,'All Products'!D:D,'All Products'!H:H,FALSE)</f>
        <v>35.69</v>
      </c>
      <c r="J40" s="173">
        <f>ROUND(I40*Order_Quote!$L$20,2)</f>
        <v>35.69</v>
      </c>
      <c r="K40" s="161"/>
      <c r="L40" s="113"/>
      <c r="M40" s="171">
        <f t="shared" si="1"/>
        <v>0</v>
      </c>
      <c r="O40" s="215" t="str">
        <f>_xlfn.XLOOKUP(E40,'All Products'!D:D,'All Products'!I:I,FALSE)</f>
        <v>In Stock</v>
      </c>
      <c r="P40" s="215" t="str">
        <f>_xlfn.XLOOKUP(E40,'All Products'!D:D,'All Products'!J:J,FALSE)</f>
        <v>Manufactured</v>
      </c>
      <c r="Q40" s="266">
        <f>_xlfn.XLOOKUP(E40,'All Products'!D:D,'All Products'!K:K,FALSE)</f>
        <v>49081006488</v>
      </c>
      <c r="R40" s="266" t="str">
        <f>_xlfn.XLOOKUP(E40,'All Products'!D:D,'All Products'!L:L,FALSE)</f>
        <v>-</v>
      </c>
      <c r="S40" s="266">
        <f>_xlfn.XLOOKUP(E40,'All Products'!D:D,'All Products'!M:M,FALSE)</f>
        <v>40049081006486</v>
      </c>
      <c r="T40" s="265">
        <f>_xlfn.XLOOKUP(E40,'All Products'!D:D,'All Products'!N:N,FALSE)</f>
        <v>0.62750000000000006</v>
      </c>
      <c r="U40" s="265">
        <f>_xlfn.XLOOKUP(E40,'All Products'!D:D,'All Products'!P:P,FALSE)</f>
        <v>25.1</v>
      </c>
      <c r="V40" s="265">
        <f>_xlfn.XLOOKUP(E40,'All Products'!D:D,'All Products'!Q:Q,FALSE)</f>
        <v>2.5029500325520835</v>
      </c>
    </row>
    <row r="41" spans="1:22" s="17" customFormat="1" ht="27.75" customHeight="1">
      <c r="A41" s="101" t="str">
        <f>IF(K41&gt;0,COUNT($A$7:A40)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41" s="608"/>
      <c r="C41" s="609"/>
      <c r="D41" s="103" t="str">
        <f>_xlfn.XLOOKUP(E41,'All Products'!D:D,'All Products'!C:C,FALSE)</f>
        <v>094-A</v>
      </c>
      <c r="E41" s="103">
        <v>100026141</v>
      </c>
      <c r="F41" s="144" t="str">
        <f>_xlfn.XLOOKUP(E41,'All Products'!D:D,'All Products'!E:E,FALSE)</f>
        <v>9 ATRIUM GRATE, BLACK</v>
      </c>
      <c r="G41" s="103">
        <f>_xlfn.XLOOKUP(E41,'All Products'!D:D,'All Products'!F:F,FALSE)</f>
        <v>10</v>
      </c>
      <c r="H41" s="103">
        <f>_xlfn.XLOOKUP(E41,'All Products'!D:D,'All Products'!G:G,FALSE)</f>
        <v>600</v>
      </c>
      <c r="I41" s="142">
        <f>_xlfn.XLOOKUP(E41,'All Products'!D:D,'All Products'!H:H,FALSE)</f>
        <v>80.7</v>
      </c>
      <c r="J41" s="173">
        <f>ROUND(I41*Order_Quote!$L$20,2)</f>
        <v>80.7</v>
      </c>
      <c r="K41" s="161"/>
      <c r="L41" s="113"/>
      <c r="M41" s="171">
        <f t="shared" si="1"/>
        <v>0</v>
      </c>
      <c r="O41" s="215" t="str">
        <f>_xlfn.XLOOKUP(E41,'All Products'!D:D,'All Products'!I:I,FALSE)</f>
        <v>In Stock</v>
      </c>
      <c r="P41" s="215" t="str">
        <f>_xlfn.XLOOKUP(E41,'All Products'!D:D,'All Products'!J:J,FALSE)</f>
        <v>Manufactured</v>
      </c>
      <c r="Q41" s="266">
        <f>_xlfn.XLOOKUP(E41,'All Products'!D:D,'All Products'!K:K,FALSE)</f>
        <v>49081006808</v>
      </c>
      <c r="R41" s="266" t="str">
        <f>_xlfn.XLOOKUP(E41,'All Products'!D:D,'All Products'!L:L,FALSE)</f>
        <v>-</v>
      </c>
      <c r="S41" s="266">
        <f>_xlfn.XLOOKUP(E41,'All Products'!D:D,'All Products'!M:M,FALSE)</f>
        <v>40049081006806</v>
      </c>
      <c r="T41" s="265">
        <f>_xlfn.XLOOKUP(E41,'All Products'!D:D,'All Products'!N:N,FALSE)</f>
        <v>1.1800000000000002</v>
      </c>
      <c r="U41" s="265">
        <f>_xlfn.XLOOKUP(E41,'All Products'!D:D,'All Products'!P:P,FALSE)</f>
        <v>11.8</v>
      </c>
      <c r="V41" s="265">
        <f>_xlfn.XLOOKUP(E41,'All Products'!D:D,'All Products'!Q:Q,FALSE)</f>
        <v>0.72479248046875</v>
      </c>
    </row>
    <row r="42" spans="1:22" s="17" customFormat="1" ht="27.75" customHeight="1">
      <c r="A42" s="101" t="str">
        <f>IF(K42&gt;0,COUNT($A$7:A41)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42" s="612"/>
      <c r="C42" s="613"/>
      <c r="D42" s="103" t="str">
        <f>_xlfn.XLOOKUP(E42,'All Products'!D:D,'All Products'!C:C,FALSE)</f>
        <v>124-A</v>
      </c>
      <c r="E42" s="103">
        <v>100021840</v>
      </c>
      <c r="F42" s="144" t="str">
        <f>_xlfn.XLOOKUP(E42,'All Products'!D:D,'All Products'!E:E,FALSE)</f>
        <v>12 ATRIUM GRATE, BLACK</v>
      </c>
      <c r="G42" s="103">
        <f>_xlfn.XLOOKUP(E42,'All Products'!D:D,'All Products'!F:F,FALSE)</f>
        <v>10</v>
      </c>
      <c r="H42" s="103">
        <f>_xlfn.XLOOKUP(E42,'All Products'!D:D,'All Products'!G:G,FALSE)</f>
        <v>270</v>
      </c>
      <c r="I42" s="142">
        <f>_xlfn.XLOOKUP(E42,'All Products'!D:D,'All Products'!H:H,FALSE)</f>
        <v>119.81</v>
      </c>
      <c r="J42" s="173">
        <f>ROUND(I42*Order_Quote!$L$20,2)</f>
        <v>119.81</v>
      </c>
      <c r="K42" s="75"/>
      <c r="L42" s="113"/>
      <c r="M42" s="171">
        <f t="shared" si="1"/>
        <v>0</v>
      </c>
      <c r="O42" s="215" t="str">
        <f>_xlfn.XLOOKUP(E42,'All Products'!D:D,'All Products'!I:I,FALSE)</f>
        <v>In Stock</v>
      </c>
      <c r="P42" s="215" t="str">
        <f>_xlfn.XLOOKUP(E42,'All Products'!D:D,'All Products'!J:J,FALSE)</f>
        <v>Manufactured</v>
      </c>
      <c r="Q42" s="266">
        <f>_xlfn.XLOOKUP(E42,'All Products'!D:D,'All Products'!K:K,FALSE)</f>
        <v>49081006969</v>
      </c>
      <c r="R42" s="266" t="str">
        <f>_xlfn.XLOOKUP(E42,'All Products'!D:D,'All Products'!L:L,FALSE)</f>
        <v>-</v>
      </c>
      <c r="S42" s="266">
        <f>_xlfn.XLOOKUP(E42,'All Products'!D:D,'All Products'!M:M,FALSE)</f>
        <v>40049081006967</v>
      </c>
      <c r="T42" s="265">
        <f>_xlfn.XLOOKUP(E42,'All Products'!D:D,'All Products'!N:N,FALSE)</f>
        <v>1.77</v>
      </c>
      <c r="U42" s="265">
        <f>_xlfn.XLOOKUP(E42,'All Products'!D:D,'All Products'!P:P,FALSE)</f>
        <v>17.7</v>
      </c>
      <c r="V42" s="265">
        <f>_xlfn.XLOOKUP(E42,'All Products'!D:D,'All Products'!Q:Q,FALSE)</f>
        <v>1.35821533203125</v>
      </c>
    </row>
    <row r="43" spans="1:22" s="17" customFormat="1" ht="28.95" customHeight="1">
      <c r="A43" s="101" t="str">
        <f>IF(K43&gt;0,COUNT($A$7:A42)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43" s="608"/>
      <c r="C43" s="609"/>
      <c r="D43" s="103" t="str">
        <f>_xlfn.XLOOKUP(E43,'All Products'!D:D,'All Products'!C:C,FALSE)</f>
        <v>030-R</v>
      </c>
      <c r="E43" s="103">
        <v>100021750</v>
      </c>
      <c r="F43" s="144" t="str">
        <f>_xlfn.XLOOKUP(E43,'All Products'!D:D,'All Products'!E:E,FALSE)</f>
        <v>3 ROUND GRATE, GREEN</v>
      </c>
      <c r="G43" s="103">
        <f>_xlfn.XLOOKUP(E43,'All Products'!D:D,'All Products'!F:F,FALSE)</f>
        <v>40</v>
      </c>
      <c r="H43" s="103">
        <f>_xlfn.XLOOKUP(E43,'All Products'!D:D,'All Products'!G:G,FALSE)</f>
        <v>2880</v>
      </c>
      <c r="I43" s="142">
        <f>_xlfn.XLOOKUP(E43,'All Products'!D:D,'All Products'!H:H,FALSE)</f>
        <v>7.54</v>
      </c>
      <c r="J43" s="173">
        <f>ROUND(I43*Order_Quote!$L$20,2)</f>
        <v>7.54</v>
      </c>
      <c r="K43" s="161"/>
      <c r="L43" s="113"/>
      <c r="M43" s="171">
        <f t="shared" si="1"/>
        <v>0</v>
      </c>
      <c r="O43" s="215" t="str">
        <f>_xlfn.XLOOKUP(E43,'All Products'!D:D,'All Products'!I:I,FALSE)</f>
        <v>In Stock</v>
      </c>
      <c r="P43" s="215" t="str">
        <f>_xlfn.XLOOKUP(E43,'All Products'!D:D,'All Products'!J:J,FALSE)</f>
        <v>Manufactured</v>
      </c>
      <c r="Q43" s="266">
        <f>_xlfn.XLOOKUP(E43,'All Products'!D:D,'All Products'!K:K,FALSE)</f>
        <v>49081006143</v>
      </c>
      <c r="R43" s="266" t="str">
        <f>_xlfn.XLOOKUP(E43,'All Products'!D:D,'All Products'!L:L,FALSE)</f>
        <v>-</v>
      </c>
      <c r="S43" s="266">
        <f>_xlfn.XLOOKUP(E43,'All Products'!D:D,'All Products'!M:M,FALSE)</f>
        <v>40049081006141</v>
      </c>
      <c r="T43" s="265">
        <f>_xlfn.XLOOKUP(E43,'All Products'!D:D,'All Products'!N:N,FALSE)</f>
        <v>0.13250000000000001</v>
      </c>
      <c r="U43" s="265">
        <f>_xlfn.XLOOKUP(E43,'All Products'!D:D,'All Products'!P:P,FALSE)</f>
        <v>5.3</v>
      </c>
      <c r="V43" s="265">
        <f>_xlfn.XLOOKUP(E43,'All Products'!D:D,'All Products'!Q:Q,FALSE)</f>
        <v>0.54151454897280094</v>
      </c>
    </row>
    <row r="44" spans="1:22" s="17" customFormat="1" ht="28.95" customHeight="1">
      <c r="A44" s="101" t="str">
        <f>IF(K44&gt;0,COUNT($A$7:A43)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44" s="612"/>
      <c r="C44" s="613"/>
      <c r="D44" s="103" t="str">
        <f>_xlfn.XLOOKUP(E44,'All Products'!D:D,'All Products'!C:C,FALSE)</f>
        <v>040-R</v>
      </c>
      <c r="E44" s="103">
        <v>100021760</v>
      </c>
      <c r="F44" s="144" t="str">
        <f>_xlfn.XLOOKUP(E44,'All Products'!D:D,'All Products'!E:E,FALSE)</f>
        <v>4 ROUND GRATE, GREEN</v>
      </c>
      <c r="G44" s="103">
        <f>_xlfn.XLOOKUP(E44,'All Products'!D:D,'All Products'!F:F,FALSE)</f>
        <v>40</v>
      </c>
      <c r="H44" s="103">
        <f>_xlfn.XLOOKUP(E44,'All Products'!D:D,'All Products'!G:G,FALSE)</f>
        <v>2000</v>
      </c>
      <c r="I44" s="142">
        <f>_xlfn.XLOOKUP(E44,'All Products'!D:D,'All Products'!H:H,FALSE)</f>
        <v>7.97</v>
      </c>
      <c r="J44" s="173">
        <f>ROUND(I44*Order_Quote!$L$20,2)</f>
        <v>7.97</v>
      </c>
      <c r="K44" s="161"/>
      <c r="L44" s="113"/>
      <c r="M44" s="171">
        <f t="shared" si="1"/>
        <v>0</v>
      </c>
      <c r="O44" s="215" t="str">
        <f>_xlfn.XLOOKUP(E44,'All Products'!D:D,'All Products'!I:I,FALSE)</f>
        <v>In Stock</v>
      </c>
      <c r="P44" s="215" t="str">
        <f>_xlfn.XLOOKUP(E44,'All Products'!D:D,'All Products'!J:J,FALSE)</f>
        <v>Manufactured</v>
      </c>
      <c r="Q44" s="266">
        <f>_xlfn.XLOOKUP(E44,'All Products'!D:D,'All Products'!K:K,FALSE)</f>
        <v>49081006228</v>
      </c>
      <c r="R44" s="266" t="str">
        <f>_xlfn.XLOOKUP(E44,'All Products'!D:D,'All Products'!L:L,FALSE)</f>
        <v>-</v>
      </c>
      <c r="S44" s="266">
        <f>_xlfn.XLOOKUP(E44,'All Products'!D:D,'All Products'!M:M,FALSE)</f>
        <v>40049081006226</v>
      </c>
      <c r="T44" s="265">
        <f>_xlfn.XLOOKUP(E44,'All Products'!D:D,'All Products'!N:N,FALSE)</f>
        <v>0.20249999999999999</v>
      </c>
      <c r="U44" s="265">
        <f>_xlfn.XLOOKUP(E44,'All Products'!D:D,'All Products'!P:P,FALSE)</f>
        <v>8.1</v>
      </c>
      <c r="V44" s="265">
        <f>_xlfn.XLOOKUP(E44,'All Products'!D:D,'All Products'!Q:Q,FALSE)</f>
        <v>0.79843749999999991</v>
      </c>
    </row>
    <row r="45" spans="1:22" s="17" customFormat="1" ht="21" customHeight="1">
      <c r="A45" s="101" t="str">
        <f>IF(K45&gt;0,COUNT($A$7:A44)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45" s="608"/>
      <c r="C45" s="609"/>
      <c r="D45" s="103" t="str">
        <f>_xlfn.XLOOKUP(E45,'All Products'!D:D,'All Products'!C:C,FALSE)</f>
        <v>060-R</v>
      </c>
      <c r="E45" s="103">
        <v>100021787</v>
      </c>
      <c r="F45" s="144" t="str">
        <f>_xlfn.XLOOKUP(E45,'All Products'!D:D,'All Products'!E:E,FALSE)</f>
        <v>6 ROUND GRATE, GREEN</v>
      </c>
      <c r="G45" s="103">
        <f>_xlfn.XLOOKUP(E45,'All Products'!D:D,'All Products'!F:F,FALSE)</f>
        <v>10</v>
      </c>
      <c r="H45" s="103">
        <f>_xlfn.XLOOKUP(E45,'All Products'!D:D,'All Products'!G:G,FALSE)</f>
        <v>600</v>
      </c>
      <c r="I45" s="142">
        <f>_xlfn.XLOOKUP(E45,'All Products'!D:D,'All Products'!H:H,FALSE)</f>
        <v>22.29</v>
      </c>
      <c r="J45" s="173">
        <f>ROUND(I45*Order_Quote!$L$20,2)</f>
        <v>22.29</v>
      </c>
      <c r="K45" s="161"/>
      <c r="L45" s="113"/>
      <c r="M45" s="171">
        <f t="shared" si="1"/>
        <v>0</v>
      </c>
      <c r="O45" s="215" t="str">
        <f>_xlfn.XLOOKUP(E45,'All Products'!D:D,'All Products'!I:I,FALSE)</f>
        <v>In Stock</v>
      </c>
      <c r="P45" s="215" t="str">
        <f>_xlfn.XLOOKUP(E45,'All Products'!D:D,'All Products'!J:J,FALSE)</f>
        <v>Manufactured</v>
      </c>
      <c r="Q45" s="266">
        <f>_xlfn.XLOOKUP(E45,'All Products'!D:D,'All Products'!K:K,FALSE)</f>
        <v>49081006426</v>
      </c>
      <c r="R45" s="266" t="str">
        <f>_xlfn.XLOOKUP(E45,'All Products'!D:D,'All Products'!L:L,FALSE)</f>
        <v>-</v>
      </c>
      <c r="S45" s="266">
        <f>_xlfn.XLOOKUP(E45,'All Products'!D:D,'All Products'!M:M,FALSE)</f>
        <v>40049081006424</v>
      </c>
      <c r="T45" s="265">
        <f>_xlfn.XLOOKUP(E45,'All Products'!D:D,'All Products'!N:N,FALSE)</f>
        <v>0.63</v>
      </c>
      <c r="U45" s="265">
        <f>_xlfn.XLOOKUP(E45,'All Products'!D:D,'All Products'!P:P,FALSE)</f>
        <v>6.3</v>
      </c>
      <c r="V45" s="265">
        <f>_xlfn.XLOOKUP(E45,'All Products'!D:D,'All Products'!Q:Q,FALSE)</f>
        <v>0.589691162109375</v>
      </c>
    </row>
    <row r="46" spans="1:22" s="17" customFormat="1" ht="21" customHeight="1">
      <c r="A46" s="101" t="str">
        <f>IF(K46&gt;0,COUNT($A$7:A45)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46" s="612"/>
      <c r="C46" s="613"/>
      <c r="D46" s="103" t="str">
        <f>_xlfn.XLOOKUP(E46,'All Products'!D:D,'All Products'!C:C,FALSE)</f>
        <v>080-R</v>
      </c>
      <c r="E46" s="103">
        <v>100021799</v>
      </c>
      <c r="F46" s="144" t="str">
        <f>_xlfn.XLOOKUP(E46,'All Products'!D:D,'All Products'!E:E,FALSE)</f>
        <v>8 ROUND GRATE, GREEN</v>
      </c>
      <c r="G46" s="103">
        <f>_xlfn.XLOOKUP(E46,'All Products'!D:D,'All Products'!F:F,FALSE)</f>
        <v>10</v>
      </c>
      <c r="H46" s="103">
        <f>_xlfn.XLOOKUP(E46,'All Products'!D:D,'All Products'!G:G,FALSE)</f>
        <v>400</v>
      </c>
      <c r="I46" s="142">
        <f>_xlfn.XLOOKUP(E46,'All Products'!D:D,'All Products'!H:H,FALSE)</f>
        <v>23.48</v>
      </c>
      <c r="J46" s="173">
        <f>ROUND(I46*Order_Quote!$L$20,2)</f>
        <v>23.48</v>
      </c>
      <c r="K46" s="161"/>
      <c r="L46" s="113"/>
      <c r="M46" s="171">
        <f t="shared" si="1"/>
        <v>0</v>
      </c>
      <c r="O46" s="215" t="str">
        <f>_xlfn.XLOOKUP(E46,'All Products'!D:D,'All Products'!I:I,FALSE)</f>
        <v>In Stock</v>
      </c>
      <c r="P46" s="215" t="str">
        <f>_xlfn.XLOOKUP(E46,'All Products'!D:D,'All Products'!J:J,FALSE)</f>
        <v>Manufactured</v>
      </c>
      <c r="Q46" s="266">
        <f>_xlfn.XLOOKUP(E46,'All Products'!D:D,'All Products'!K:K,FALSE)</f>
        <v>49081006600</v>
      </c>
      <c r="R46" s="266" t="str">
        <f>_xlfn.XLOOKUP(E46,'All Products'!D:D,'All Products'!L:L,FALSE)</f>
        <v>-</v>
      </c>
      <c r="S46" s="266">
        <f>_xlfn.XLOOKUP(E46,'All Products'!D:D,'All Products'!M:M,FALSE)</f>
        <v>40049081006608</v>
      </c>
      <c r="T46" s="265">
        <f>_xlfn.XLOOKUP(E46,'All Products'!D:D,'All Products'!N:N,FALSE)</f>
        <v>0.71</v>
      </c>
      <c r="U46" s="265">
        <f>_xlfn.XLOOKUP(E46,'All Products'!D:D,'All Products'!P:P,FALSE)</f>
        <v>7.1</v>
      </c>
      <c r="V46" s="265">
        <f>_xlfn.XLOOKUP(E46,'All Products'!D:D,'All Products'!Q:Q,FALSE)</f>
        <v>0.83900960286458337</v>
      </c>
    </row>
    <row r="47" spans="1:22" s="17" customFormat="1" ht="25.5" customHeight="1">
      <c r="A47" s="101" t="str">
        <f>IF(K47&gt;0,COUNT($A$7:A46)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47" s="608"/>
      <c r="C47" s="609"/>
      <c r="D47" s="103" t="str">
        <f>_xlfn.XLOOKUP(E47,'All Products'!D:D,'All Products'!C:C,FALSE)</f>
        <v>032-R</v>
      </c>
      <c r="E47" s="103">
        <v>100021754</v>
      </c>
      <c r="F47" s="144" t="str">
        <f>_xlfn.XLOOKUP(E47,'All Products'!D:D,'All Products'!E:E,FALSE)</f>
        <v>3" ROUND GRATE, TAN</v>
      </c>
      <c r="G47" s="103">
        <f>_xlfn.XLOOKUP(E47,'All Products'!D:D,'All Products'!F:F,FALSE)</f>
        <v>40</v>
      </c>
      <c r="H47" s="103">
        <f>_xlfn.XLOOKUP(E47,'All Products'!D:D,'All Products'!G:G,FALSE)</f>
        <v>2800</v>
      </c>
      <c r="I47" s="142">
        <f>_xlfn.XLOOKUP(E47,'All Products'!D:D,'All Products'!H:H,FALSE)</f>
        <v>7.55</v>
      </c>
      <c r="J47" s="173">
        <f>ROUND(I47*Order_Quote!$L$20,2)</f>
        <v>7.55</v>
      </c>
      <c r="K47" s="161"/>
      <c r="L47" s="113"/>
      <c r="M47" s="171">
        <f t="shared" si="1"/>
        <v>0</v>
      </c>
      <c r="O47" s="215" t="str">
        <f>_xlfn.XLOOKUP(E47,'All Products'!D:D,'All Products'!I:I,FALSE)</f>
        <v>In Stock</v>
      </c>
      <c r="P47" s="215" t="str">
        <f>_xlfn.XLOOKUP(E47,'All Products'!D:D,'All Products'!J:J,FALSE)</f>
        <v>Manufactured</v>
      </c>
      <c r="Q47" s="266">
        <f>_xlfn.XLOOKUP(E47,'All Products'!D:D,'All Products'!K:K,FALSE)</f>
        <v>49081006150</v>
      </c>
      <c r="R47" s="266" t="str">
        <f>_xlfn.XLOOKUP(E47,'All Products'!D:D,'All Products'!L:L,FALSE)</f>
        <v>-</v>
      </c>
      <c r="S47" s="266">
        <f>_xlfn.XLOOKUP(E47,'All Products'!D:D,'All Products'!M:M,FALSE)</f>
        <v>40049081006158</v>
      </c>
      <c r="T47" s="265">
        <f>_xlfn.XLOOKUP(E47,'All Products'!D:D,'All Products'!N:N,FALSE)</f>
        <v>0.125</v>
      </c>
      <c r="U47" s="265">
        <f>_xlfn.XLOOKUP(E47,'All Products'!D:D,'All Products'!P:P,FALSE)</f>
        <v>5.52</v>
      </c>
      <c r="V47" s="265" t="str">
        <f>_xlfn.XLOOKUP(E47,'All Products'!D:D,'All Products'!Q:Q,FALSE)</f>
        <v>-</v>
      </c>
    </row>
    <row r="48" spans="1:22" s="17" customFormat="1" ht="25.5" customHeight="1">
      <c r="A48" s="101" t="str">
        <f>IF(K48&gt;0,COUNT($A$7:A47)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48" s="612"/>
      <c r="C48" s="613"/>
      <c r="D48" s="103" t="str">
        <f>_xlfn.XLOOKUP(E48,'All Products'!D:D,'All Products'!C:C,FALSE)</f>
        <v>042-R</v>
      </c>
      <c r="E48" s="103">
        <v>100021766</v>
      </c>
      <c r="F48" s="144" t="str">
        <f>_xlfn.XLOOKUP(E48,'All Products'!D:D,'All Products'!E:E,FALSE)</f>
        <v>4" ROUND GRATE, TAN</v>
      </c>
      <c r="G48" s="103">
        <f>_xlfn.XLOOKUP(E48,'All Products'!D:D,'All Products'!F:F,FALSE)</f>
        <v>40</v>
      </c>
      <c r="H48" s="103">
        <f>_xlfn.XLOOKUP(E48,'All Products'!D:D,'All Products'!G:G,FALSE)</f>
        <v>2000</v>
      </c>
      <c r="I48" s="142">
        <f>_xlfn.XLOOKUP(E48,'All Products'!D:D,'All Products'!H:H,FALSE)</f>
        <v>7.97</v>
      </c>
      <c r="J48" s="173">
        <f>ROUND(I48*Order_Quote!$L$20,2)</f>
        <v>7.97</v>
      </c>
      <c r="K48" s="161"/>
      <c r="L48" s="113"/>
      <c r="M48" s="171">
        <f t="shared" si="1"/>
        <v>0</v>
      </c>
      <c r="O48" s="215" t="str">
        <f>_xlfn.XLOOKUP(E48,'All Products'!D:D,'All Products'!I:I,FALSE)</f>
        <v>Within 6 Weeks</v>
      </c>
      <c r="P48" s="215" t="str">
        <f>_xlfn.XLOOKUP(E48,'All Products'!D:D,'All Products'!J:J,FALSE)</f>
        <v>Manufactured</v>
      </c>
      <c r="Q48" s="266">
        <f>_xlfn.XLOOKUP(E48,'All Products'!D:D,'All Products'!K:K,FALSE)</f>
        <v>49081006235</v>
      </c>
      <c r="R48" s="266" t="str">
        <f>_xlfn.XLOOKUP(E48,'All Products'!D:D,'All Products'!L:L,FALSE)</f>
        <v>-</v>
      </c>
      <c r="S48" s="266">
        <f>_xlfn.XLOOKUP(E48,'All Products'!D:D,'All Products'!M:M,FALSE)</f>
        <v>40049081006233</v>
      </c>
      <c r="T48" s="265">
        <f>_xlfn.XLOOKUP(E48,'All Products'!D:D,'All Products'!N:N,FALSE)</f>
        <v>0.185</v>
      </c>
      <c r="U48" s="265">
        <f>_xlfn.XLOOKUP(E48,'All Products'!D:D,'All Products'!P:P,FALSE)</f>
        <v>8.1199999999999992</v>
      </c>
      <c r="V48" s="265" t="str">
        <f>_xlfn.XLOOKUP(E48,'All Products'!D:D,'All Products'!Q:Q,FALSE)</f>
        <v>-</v>
      </c>
    </row>
    <row r="49" spans="1:22" s="17" customFormat="1" ht="26.4" customHeight="1">
      <c r="A49" s="101" t="str">
        <f>IF(K49&gt;0,COUNT($A$7:A48)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49" s="608"/>
      <c r="C49" s="609"/>
      <c r="D49" s="103" t="str">
        <f>_xlfn.XLOOKUP(E49,'All Products'!D:D,'All Products'!C:C,FALSE)</f>
        <v>032-R</v>
      </c>
      <c r="E49" s="103">
        <v>100021757</v>
      </c>
      <c r="F49" s="144" t="str">
        <f>_xlfn.XLOOKUP(E49,'All Products'!D:D,'All Products'!E:E,FALSE)</f>
        <v>3 ROUND GRATE, TAN</v>
      </c>
      <c r="G49" s="103">
        <f>_xlfn.XLOOKUP(E49,'All Products'!D:D,'All Products'!F:F,FALSE)</f>
        <v>40</v>
      </c>
      <c r="H49" s="103">
        <f>_xlfn.XLOOKUP(E49,'All Products'!D:D,'All Products'!G:G,FALSE)</f>
        <v>2880</v>
      </c>
      <c r="I49" s="142">
        <f>_xlfn.XLOOKUP(E49,'All Products'!D:D,'All Products'!H:H,FALSE)</f>
        <v>7.54</v>
      </c>
      <c r="J49" s="173">
        <f>ROUND(I49*Order_Quote!$L$20,2)</f>
        <v>7.54</v>
      </c>
      <c r="K49" s="161"/>
      <c r="L49" s="113"/>
      <c r="M49" s="171">
        <f t="shared" si="1"/>
        <v>0</v>
      </c>
      <c r="O49" s="215" t="str">
        <f>_xlfn.XLOOKUP(E49,'All Products'!D:D,'All Products'!I:I,FALSE)</f>
        <v>In Stock</v>
      </c>
      <c r="P49" s="215" t="str">
        <f>_xlfn.XLOOKUP(E49,'All Products'!D:D,'All Products'!J:J,FALSE)</f>
        <v>Manufactured</v>
      </c>
      <c r="Q49" s="266">
        <f>_xlfn.XLOOKUP(E49,'All Products'!D:D,'All Products'!K:K,FALSE)</f>
        <v>49081006181</v>
      </c>
      <c r="R49" s="266" t="str">
        <f>_xlfn.XLOOKUP(E49,'All Products'!D:D,'All Products'!L:L,FALSE)</f>
        <v>-</v>
      </c>
      <c r="S49" s="266">
        <f>_xlfn.XLOOKUP(E49,'All Products'!D:D,'All Products'!M:M,FALSE)</f>
        <v>40049081006189</v>
      </c>
      <c r="T49" s="265">
        <f>_xlfn.XLOOKUP(E49,'All Products'!D:D,'All Products'!N:N,FALSE)</f>
        <v>0.14250000000000002</v>
      </c>
      <c r="U49" s="265">
        <f>_xlfn.XLOOKUP(E49,'All Products'!D:D,'All Products'!P:P,FALSE)</f>
        <v>5.7</v>
      </c>
      <c r="V49" s="265">
        <f>_xlfn.XLOOKUP(E49,'All Products'!D:D,'All Products'!Q:Q,FALSE)</f>
        <v>0.54151454897280094</v>
      </c>
    </row>
    <row r="50" spans="1:22" s="17" customFormat="1" ht="26.4" customHeight="1">
      <c r="A50" s="101" t="str">
        <f>IF(K50&gt;0,COUNT($A$7:A49)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50" s="612"/>
      <c r="C50" s="613"/>
      <c r="D50" s="103" t="str">
        <f>_xlfn.XLOOKUP(E50,'All Products'!D:D,'All Products'!C:C,FALSE)</f>
        <v>044-R</v>
      </c>
      <c r="E50" s="103">
        <v>100021770</v>
      </c>
      <c r="F50" s="144" t="str">
        <f>_xlfn.XLOOKUP(E50,'All Products'!D:D,'All Products'!E:E,FALSE)</f>
        <v>4 ROUND GRATE, BLACK</v>
      </c>
      <c r="G50" s="103">
        <f>_xlfn.XLOOKUP(E50,'All Products'!D:D,'All Products'!F:F,FALSE)</f>
        <v>40</v>
      </c>
      <c r="H50" s="103">
        <f>_xlfn.XLOOKUP(E50,'All Products'!D:D,'All Products'!G:G,FALSE)</f>
        <v>2000</v>
      </c>
      <c r="I50" s="142">
        <f>_xlfn.XLOOKUP(E50,'All Products'!D:D,'All Products'!H:H,FALSE)</f>
        <v>7.97</v>
      </c>
      <c r="J50" s="173">
        <f>ROUND(I50*Order_Quote!$L$20,2)</f>
        <v>7.97</v>
      </c>
      <c r="K50" s="161"/>
      <c r="L50" s="113"/>
      <c r="M50" s="171">
        <f t="shared" si="1"/>
        <v>0</v>
      </c>
      <c r="O50" s="215" t="str">
        <f>_xlfn.XLOOKUP(E50,'All Products'!D:D,'All Products'!I:I,FALSE)</f>
        <v>Limited Stock</v>
      </c>
      <c r="P50" s="215" t="str">
        <f>_xlfn.XLOOKUP(E50,'All Products'!D:D,'All Products'!J:J,FALSE)</f>
        <v>Manufactured</v>
      </c>
      <c r="Q50" s="266">
        <f>_xlfn.XLOOKUP(E50,'All Products'!D:D,'All Products'!K:K,FALSE)</f>
        <v>49081006280</v>
      </c>
      <c r="R50" s="266" t="str">
        <f>_xlfn.XLOOKUP(E50,'All Products'!D:D,'All Products'!L:L,FALSE)</f>
        <v>-</v>
      </c>
      <c r="S50" s="266">
        <f>_xlfn.XLOOKUP(E50,'All Products'!D:D,'All Products'!M:M,FALSE)</f>
        <v>40049081006288</v>
      </c>
      <c r="T50" s="265">
        <f>_xlfn.XLOOKUP(E50,'All Products'!D:D,'All Products'!N:N,FALSE)</f>
        <v>0.21249999999999999</v>
      </c>
      <c r="U50" s="265">
        <f>_xlfn.XLOOKUP(E50,'All Products'!D:D,'All Products'!P:P,FALSE)</f>
        <v>8.5</v>
      </c>
      <c r="V50" s="265">
        <f>_xlfn.XLOOKUP(E50,'All Products'!D:D,'All Products'!Q:Q,FALSE)</f>
        <v>0.79843749999999991</v>
      </c>
    </row>
    <row r="51" spans="1:22" s="17" customFormat="1" ht="22.5" customHeight="1">
      <c r="A51" s="101" t="str">
        <f>IF(K51&gt;0,COUNT($A$7:A50)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51" s="608"/>
      <c r="C51" s="609"/>
      <c r="D51" s="103" t="str">
        <f>_xlfn.XLOOKUP(E51,'All Products'!D:D,'All Products'!C:C,FALSE)</f>
        <v>064-R</v>
      </c>
      <c r="E51" s="103">
        <v>100021796</v>
      </c>
      <c r="F51" s="144" t="str">
        <f>_xlfn.XLOOKUP(E51,'All Products'!D:D,'All Products'!E:E,FALSE)</f>
        <v>6 ROUND GRATE, BLACK</v>
      </c>
      <c r="G51" s="103">
        <f>_xlfn.XLOOKUP(E51,'All Products'!D:D,'All Products'!F:F,FALSE)</f>
        <v>10</v>
      </c>
      <c r="H51" s="103">
        <f>_xlfn.XLOOKUP(E51,'All Products'!D:D,'All Products'!G:G,FALSE)</f>
        <v>600</v>
      </c>
      <c r="I51" s="142">
        <f>_xlfn.XLOOKUP(E51,'All Products'!D:D,'All Products'!H:H,FALSE)</f>
        <v>22.29</v>
      </c>
      <c r="J51" s="173">
        <f>ROUND(I51*Order_Quote!$L$20,2)</f>
        <v>22.29</v>
      </c>
      <c r="K51" s="161"/>
      <c r="L51" s="113"/>
      <c r="M51" s="171">
        <f t="shared" si="1"/>
        <v>0</v>
      </c>
      <c r="O51" s="215" t="str">
        <f>_xlfn.XLOOKUP(E51,'All Products'!D:D,'All Products'!I:I,FALSE)</f>
        <v>Limited Stock</v>
      </c>
      <c r="P51" s="215" t="str">
        <f>_xlfn.XLOOKUP(E51,'All Products'!D:D,'All Products'!J:J,FALSE)</f>
        <v>Manufactured</v>
      </c>
      <c r="Q51" s="266">
        <f>_xlfn.XLOOKUP(E51,'All Products'!D:D,'All Products'!K:K,FALSE)</f>
        <v>49081006501</v>
      </c>
      <c r="R51" s="266" t="str">
        <f>_xlfn.XLOOKUP(E51,'All Products'!D:D,'All Products'!L:L,FALSE)</f>
        <v>-</v>
      </c>
      <c r="S51" s="266">
        <f>_xlfn.XLOOKUP(E51,'All Products'!D:D,'All Products'!M:M,FALSE)</f>
        <v>40049081006509</v>
      </c>
      <c r="T51" s="265">
        <f>_xlfn.XLOOKUP(E51,'All Products'!D:D,'All Products'!N:N,FALSE)</f>
        <v>0.64</v>
      </c>
      <c r="U51" s="265">
        <f>_xlfn.XLOOKUP(E51,'All Products'!D:D,'All Products'!P:P,FALSE)</f>
        <v>6.4</v>
      </c>
      <c r="V51" s="265">
        <f>_xlfn.XLOOKUP(E51,'All Products'!D:D,'All Products'!Q:Q,FALSE)</f>
        <v>0.589691162109375</v>
      </c>
    </row>
    <row r="52" spans="1:22" s="17" customFormat="1" ht="25.95" customHeight="1">
      <c r="A52" s="101" t="str">
        <f>IF(K52&gt;0,COUNT($A$7:A51)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52" s="612"/>
      <c r="C52" s="613"/>
      <c r="D52" s="103" t="str">
        <f>_xlfn.XLOOKUP(E52,'All Products'!D:D,'All Products'!C:C,FALSE)</f>
        <v>084-R</v>
      </c>
      <c r="E52" s="103">
        <v>100021800</v>
      </c>
      <c r="F52" s="144" t="str">
        <f>_xlfn.XLOOKUP(E52,'All Products'!D:D,'All Products'!E:E,FALSE)</f>
        <v>8 ROUND GRATE, BLACK</v>
      </c>
      <c r="G52" s="103">
        <f>_xlfn.XLOOKUP(E52,'All Products'!D:D,'All Products'!F:F,FALSE)</f>
        <v>10</v>
      </c>
      <c r="H52" s="103">
        <f>_xlfn.XLOOKUP(E52,'All Products'!D:D,'All Products'!G:G,FALSE)</f>
        <v>400</v>
      </c>
      <c r="I52" s="142">
        <f>_xlfn.XLOOKUP(E52,'All Products'!D:D,'All Products'!H:H,FALSE)</f>
        <v>23.48</v>
      </c>
      <c r="J52" s="173">
        <f>ROUND(I52*Order_Quote!$L$20,2)</f>
        <v>23.48</v>
      </c>
      <c r="K52" s="161"/>
      <c r="L52" s="113"/>
      <c r="M52" s="171">
        <f t="shared" si="1"/>
        <v>0</v>
      </c>
      <c r="O52" s="215" t="str">
        <f>_xlfn.XLOOKUP(E52,'All Products'!D:D,'All Products'!I:I,FALSE)</f>
        <v>In Stock</v>
      </c>
      <c r="P52" s="215" t="str">
        <f>_xlfn.XLOOKUP(E52,'All Products'!D:D,'All Products'!J:J,FALSE)</f>
        <v>Manufactured</v>
      </c>
      <c r="Q52" s="266">
        <f>_xlfn.XLOOKUP(E52,'All Products'!D:D,'All Products'!K:K,FALSE)</f>
        <v>49081006648</v>
      </c>
      <c r="R52" s="266" t="str">
        <f>_xlfn.XLOOKUP(E52,'All Products'!D:D,'All Products'!L:L,FALSE)</f>
        <v>-</v>
      </c>
      <c r="S52" s="266">
        <f>_xlfn.XLOOKUP(E52,'All Products'!D:D,'All Products'!M:M,FALSE)</f>
        <v>40049081006646</v>
      </c>
      <c r="T52" s="265">
        <f>_xlfn.XLOOKUP(E52,'All Products'!D:D,'All Products'!N:N,FALSE)</f>
        <v>0.67999999999999994</v>
      </c>
      <c r="U52" s="265">
        <f>_xlfn.XLOOKUP(E52,'All Products'!D:D,'All Products'!P:P,FALSE)</f>
        <v>6.8</v>
      </c>
      <c r="V52" s="265">
        <f>_xlfn.XLOOKUP(E52,'All Products'!D:D,'All Products'!Q:Q,FALSE)</f>
        <v>0.84</v>
      </c>
    </row>
    <row r="53" spans="1:22" s="17" customFormat="1" ht="44.4" customHeight="1">
      <c r="A53" s="101" t="str">
        <f>IF(K53&gt;0,COUNT($A$7:A52)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53" s="616"/>
      <c r="C53" s="617"/>
      <c r="D53" s="103" t="str">
        <f>_xlfn.XLOOKUP(E53,'All Products'!D:D,'All Products'!C:C,FALSE)</f>
        <v>050-S</v>
      </c>
      <c r="E53" s="103">
        <v>100021774</v>
      </c>
      <c r="F53" s="144" t="str">
        <f>_xlfn.XLOOKUP(E53,'All Products'!D:D,'All Products'!E:E,FALSE)</f>
        <v>5 SQUARE GRATE, GREEN</v>
      </c>
      <c r="G53" s="103">
        <f>_xlfn.XLOOKUP(E53,'All Products'!D:D,'All Products'!F:F,FALSE)</f>
        <v>20</v>
      </c>
      <c r="H53" s="103">
        <f>_xlfn.XLOOKUP(E53,'All Products'!D:D,'All Products'!G:G,FALSE)</f>
        <v>1600</v>
      </c>
      <c r="I53" s="142">
        <f>_xlfn.XLOOKUP(E53,'All Products'!D:D,'All Products'!H:H,FALSE)</f>
        <v>10.3</v>
      </c>
      <c r="J53" s="173">
        <f>ROUND(I53*Order_Quote!$L$20,2)</f>
        <v>10.3</v>
      </c>
      <c r="K53" s="161"/>
      <c r="L53" s="113"/>
      <c r="M53" s="171">
        <f t="shared" si="1"/>
        <v>0</v>
      </c>
      <c r="O53" s="215" t="str">
        <f>_xlfn.XLOOKUP(E53,'All Products'!D:D,'All Products'!I:I,FALSE)</f>
        <v>In Stock</v>
      </c>
      <c r="P53" s="215" t="str">
        <f>_xlfn.XLOOKUP(E53,'All Products'!D:D,'All Products'!J:J,FALSE)</f>
        <v>Manufactured</v>
      </c>
      <c r="Q53" s="266">
        <f>_xlfn.XLOOKUP(E53,'All Products'!D:D,'All Products'!K:K,FALSE)</f>
        <v>49081006327</v>
      </c>
      <c r="R53" s="266" t="str">
        <f>_xlfn.XLOOKUP(E53,'All Products'!D:D,'All Products'!L:L,FALSE)</f>
        <v>-</v>
      </c>
      <c r="S53" s="266">
        <f>_xlfn.XLOOKUP(E53,'All Products'!D:D,'All Products'!M:M,FALSE)</f>
        <v>40049081006325</v>
      </c>
      <c r="T53" s="265">
        <f>_xlfn.XLOOKUP(E53,'All Products'!D:D,'All Products'!N:N,FALSE)</f>
        <v>0.27</v>
      </c>
      <c r="U53" s="265">
        <f>_xlfn.XLOOKUP(E53,'All Products'!D:D,'All Products'!P:P,FALSE)</f>
        <v>5.4</v>
      </c>
      <c r="V53" s="265">
        <f>_xlfn.XLOOKUP(E53,'All Products'!D:D,'All Products'!Q:Q,FALSE)</f>
        <v>0.5271447753906251</v>
      </c>
    </row>
    <row r="54" spans="1:22" s="17" customFormat="1" ht="22.95" customHeight="1">
      <c r="A54" s="101" t="str">
        <f>IF(K54&gt;0,COUNT($A$7:A53)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54" s="608"/>
      <c r="C54" s="609"/>
      <c r="D54" s="103" t="str">
        <f>_xlfn.XLOOKUP(E54,'All Products'!D:D,'All Products'!C:C,FALSE)</f>
        <v>052-S</v>
      </c>
      <c r="E54" s="103">
        <v>100021776</v>
      </c>
      <c r="F54" s="144" t="str">
        <f>_xlfn.XLOOKUP(E54,'All Products'!D:D,'All Products'!E:E,FALSE)</f>
        <v>5 SQUARE GRATE TAN</v>
      </c>
      <c r="G54" s="103">
        <f>_xlfn.XLOOKUP(E54,'All Products'!D:D,'All Products'!F:F,FALSE)</f>
        <v>20</v>
      </c>
      <c r="H54" s="103">
        <f>_xlfn.XLOOKUP(E54,'All Products'!D:D,'All Products'!G:G,FALSE)</f>
        <v>1600</v>
      </c>
      <c r="I54" s="142">
        <f>_xlfn.XLOOKUP(E54,'All Products'!D:D,'All Products'!H:H,FALSE)</f>
        <v>10.3</v>
      </c>
      <c r="J54" s="173">
        <f>ROUND(I54*Order_Quote!$L$20,2)</f>
        <v>10.3</v>
      </c>
      <c r="K54" s="161"/>
      <c r="L54" s="113"/>
      <c r="M54" s="171">
        <f t="shared" si="1"/>
        <v>0</v>
      </c>
      <c r="O54" s="215" t="str">
        <f>_xlfn.XLOOKUP(E54,'All Products'!D:D,'All Products'!I:I,FALSE)</f>
        <v>In Stock</v>
      </c>
      <c r="P54" s="215" t="str">
        <f>_xlfn.XLOOKUP(E54,'All Products'!D:D,'All Products'!J:J,FALSE)</f>
        <v>Manufactured</v>
      </c>
      <c r="Q54" s="266">
        <f>_xlfn.XLOOKUP(E54,'All Products'!D:D,'All Products'!K:K,FALSE)</f>
        <v>49081006334</v>
      </c>
      <c r="R54" s="266" t="str">
        <f>_xlfn.XLOOKUP(E54,'All Products'!D:D,'All Products'!L:L,FALSE)</f>
        <v>-</v>
      </c>
      <c r="S54" s="266">
        <f>_xlfn.XLOOKUP(E54,'All Products'!D:D,'All Products'!M:M,FALSE)</f>
        <v>40049081006332</v>
      </c>
      <c r="T54" s="265">
        <f>_xlfn.XLOOKUP(E54,'All Products'!D:D,'All Products'!N:N,FALSE)</f>
        <v>0.27</v>
      </c>
      <c r="U54" s="265">
        <f>_xlfn.XLOOKUP(E54,'All Products'!D:D,'All Products'!P:P,FALSE)</f>
        <v>5.4</v>
      </c>
      <c r="V54" s="265">
        <f>_xlfn.XLOOKUP(E54,'All Products'!D:D,'All Products'!Q:Q,FALSE)</f>
        <v>0.5271447753906251</v>
      </c>
    </row>
    <row r="55" spans="1:22" s="17" customFormat="1" ht="22.2" customHeight="1">
      <c r="A55" s="101" t="str">
        <f>IF(K55&gt;0,COUNT($A$7:A54)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55" s="612"/>
      <c r="C55" s="613"/>
      <c r="D55" s="103" t="str">
        <f>_xlfn.XLOOKUP(E55,'All Products'!D:D,'All Products'!C:C,FALSE)</f>
        <v>062-S</v>
      </c>
      <c r="E55" s="103">
        <v>100021794</v>
      </c>
      <c r="F55" s="144" t="str">
        <f>_xlfn.XLOOKUP(E55,'All Products'!D:D,'All Products'!E:E,FALSE)</f>
        <v>6 SQUARE GRATE TAN</v>
      </c>
      <c r="G55" s="103">
        <f>_xlfn.XLOOKUP(E55,'All Products'!D:D,'All Products'!F:F,FALSE)</f>
        <v>10</v>
      </c>
      <c r="H55" s="103">
        <f>_xlfn.XLOOKUP(E55,'All Products'!D:D,'All Products'!G:G,FALSE)</f>
        <v>960</v>
      </c>
      <c r="I55" s="142">
        <f>_xlfn.XLOOKUP(E55,'All Products'!D:D,'All Products'!H:H,FALSE)</f>
        <v>15.75</v>
      </c>
      <c r="J55" s="173">
        <f>ROUND(I55*Order_Quote!$L$20,2)</f>
        <v>15.75</v>
      </c>
      <c r="K55" s="161"/>
      <c r="L55" s="113"/>
      <c r="M55" s="171">
        <f t="shared" si="1"/>
        <v>0</v>
      </c>
      <c r="O55" s="215" t="str">
        <f>_xlfn.XLOOKUP(E55,'All Products'!D:D,'All Products'!I:I,FALSE)</f>
        <v>In Stock</v>
      </c>
      <c r="P55" s="215" t="str">
        <f>_xlfn.XLOOKUP(E55,'All Products'!D:D,'All Products'!J:J,FALSE)</f>
        <v>Manufactured</v>
      </c>
      <c r="Q55" s="266">
        <f>_xlfn.XLOOKUP(E55,'All Products'!D:D,'All Products'!K:K,FALSE)</f>
        <v>49081006457</v>
      </c>
      <c r="R55" s="266" t="str">
        <f>_xlfn.XLOOKUP(E55,'All Products'!D:D,'All Products'!L:L,FALSE)</f>
        <v>-</v>
      </c>
      <c r="S55" s="266">
        <f>_xlfn.XLOOKUP(E55,'All Products'!D:D,'All Products'!M:M,FALSE)</f>
        <v>40049081006455</v>
      </c>
      <c r="T55" s="265">
        <f>_xlfn.XLOOKUP(E55,'All Products'!D:D,'All Products'!N:N,FALSE)</f>
        <v>0.47450000000000003</v>
      </c>
      <c r="U55" s="265">
        <f>_xlfn.XLOOKUP(E55,'All Products'!D:D,'All Products'!P:P,FALSE)</f>
        <v>4.7450000000000001</v>
      </c>
      <c r="V55" s="265">
        <f>_xlfn.XLOOKUP(E55,'All Products'!D:D,'All Products'!Q:Q,FALSE)</f>
        <v>0.45638462890624998</v>
      </c>
    </row>
    <row r="56" spans="1:22" s="17" customFormat="1" ht="24" customHeight="1">
      <c r="A56" s="101" t="str">
        <f>IF(K56&gt;0,COUNT($A$7:A55)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56" s="608"/>
      <c r="C56" s="609"/>
      <c r="D56" s="103" t="str">
        <f>_xlfn.XLOOKUP(E56,'All Products'!D:D,'All Products'!C:C,FALSE)</f>
        <v>054-S</v>
      </c>
      <c r="E56" s="103">
        <v>100021777</v>
      </c>
      <c r="F56" s="144" t="str">
        <f>_xlfn.XLOOKUP(E56,'All Products'!D:D,'All Products'!E:E,FALSE)</f>
        <v>5 SQUARE GRATES, BLACK</v>
      </c>
      <c r="G56" s="103">
        <f>_xlfn.XLOOKUP(E56,'All Products'!D:D,'All Products'!F:F,FALSE)</f>
        <v>20</v>
      </c>
      <c r="H56" s="103">
        <f>_xlfn.XLOOKUP(E56,'All Products'!D:D,'All Products'!G:G,FALSE)</f>
        <v>1600</v>
      </c>
      <c r="I56" s="142">
        <f>_xlfn.XLOOKUP(E56,'All Products'!D:D,'All Products'!H:H,FALSE)</f>
        <v>10.3</v>
      </c>
      <c r="J56" s="173">
        <f>ROUND(I56*Order_Quote!$L$20,2)</f>
        <v>10.3</v>
      </c>
      <c r="K56" s="161"/>
      <c r="L56" s="113"/>
      <c r="M56" s="171">
        <f t="shared" ref="M56:M68" si="2">K56/G56</f>
        <v>0</v>
      </c>
      <c r="O56" s="215" t="str">
        <f>_xlfn.XLOOKUP(E56,'All Products'!D:D,'All Products'!I:I,FALSE)</f>
        <v>Limited Stock</v>
      </c>
      <c r="P56" s="215" t="str">
        <f>_xlfn.XLOOKUP(E56,'All Products'!D:D,'All Products'!J:J,FALSE)</f>
        <v>Manufactured</v>
      </c>
      <c r="Q56" s="266">
        <f>_xlfn.XLOOKUP(E56,'All Products'!D:D,'All Products'!K:K,FALSE)</f>
        <v>49081006341</v>
      </c>
      <c r="R56" s="266" t="str">
        <f>_xlfn.XLOOKUP(E56,'All Products'!D:D,'All Products'!L:L,FALSE)</f>
        <v>-</v>
      </c>
      <c r="S56" s="266">
        <f>_xlfn.XLOOKUP(E56,'All Products'!D:D,'All Products'!M:M,FALSE)</f>
        <v>40049081006349</v>
      </c>
      <c r="T56" s="265">
        <f>_xlfn.XLOOKUP(E56,'All Products'!D:D,'All Products'!N:N,FALSE)</f>
        <v>0.26500000000000001</v>
      </c>
      <c r="U56" s="265">
        <f>_xlfn.XLOOKUP(E56,'All Products'!D:D,'All Products'!P:P,FALSE)</f>
        <v>5.3</v>
      </c>
      <c r="V56" s="265">
        <f>_xlfn.XLOOKUP(E56,'All Products'!D:D,'All Products'!Q:Q,FALSE)</f>
        <v>0.5271447753906251</v>
      </c>
    </row>
    <row r="57" spans="1:22" s="17" customFormat="1" ht="25.95" customHeight="1">
      <c r="A57" s="101" t="str">
        <f>IF(K57&gt;0,COUNT($A$7:A56)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57" s="612"/>
      <c r="C57" s="613"/>
      <c r="D57" s="103" t="str">
        <f>_xlfn.XLOOKUP(E57,'All Products'!D:D,'All Products'!C:C,FALSE)</f>
        <v>094-S</v>
      </c>
      <c r="E57" s="103">
        <v>100021818</v>
      </c>
      <c r="F57" s="144" t="str">
        <f>_xlfn.XLOOKUP(E57,'All Products'!D:D,'All Products'!E:E,FALSE)</f>
        <v>9 SQUARE GRATE, BLACK</v>
      </c>
      <c r="G57" s="103">
        <f>_xlfn.XLOOKUP(E57,'All Products'!D:D,'All Products'!F:F,FALSE)</f>
        <v>10</v>
      </c>
      <c r="H57" s="103">
        <f>_xlfn.XLOOKUP(E57,'All Products'!D:D,'All Products'!G:G,FALSE)</f>
        <v>320</v>
      </c>
      <c r="I57" s="142">
        <f>_xlfn.XLOOKUP(E57,'All Products'!D:D,'All Products'!H:H,FALSE)</f>
        <v>38.46</v>
      </c>
      <c r="J57" s="173">
        <f>ROUND(I57*Order_Quote!$L$20,2)</f>
        <v>38.46</v>
      </c>
      <c r="K57" s="75"/>
      <c r="L57" s="113"/>
      <c r="M57" s="171">
        <f t="shared" si="2"/>
        <v>0</v>
      </c>
      <c r="O57" s="215" t="str">
        <f>_xlfn.XLOOKUP(E57,'All Products'!D:D,'All Products'!I:I,FALSE)</f>
        <v>Within 3 Weeks</v>
      </c>
      <c r="P57" s="215" t="str">
        <f>_xlfn.XLOOKUP(E57,'All Products'!D:D,'All Products'!J:J,FALSE)</f>
        <v>Manufactured</v>
      </c>
      <c r="Q57" s="266">
        <f>_xlfn.XLOOKUP(E57,'All Products'!D:D,'All Products'!K:K,FALSE)</f>
        <v>49081006822</v>
      </c>
      <c r="R57" s="266" t="str">
        <f>_xlfn.XLOOKUP(E57,'All Products'!D:D,'All Products'!L:L,FALSE)</f>
        <v>-</v>
      </c>
      <c r="S57" s="266">
        <f>_xlfn.XLOOKUP(E57,'All Products'!D:D,'All Products'!M:M,FALSE)</f>
        <v>40049081006820</v>
      </c>
      <c r="T57" s="265">
        <f>_xlfn.XLOOKUP(E57,'All Products'!D:D,'All Products'!N:N,FALSE)</f>
        <v>1.27</v>
      </c>
      <c r="U57" s="265">
        <f>_xlfn.XLOOKUP(E57,'All Products'!D:D,'All Products'!P:P,FALSE)</f>
        <v>12.7</v>
      </c>
      <c r="V57" s="265">
        <f>_xlfn.XLOOKUP(E57,'All Products'!D:D,'All Products'!Q:Q,FALSE)</f>
        <v>1.2166341145833333</v>
      </c>
    </row>
    <row r="58" spans="1:22" s="17" customFormat="1" ht="25.95" customHeight="1">
      <c r="A58" s="101" t="str">
        <f>IF(K58&gt;0,COUNT($A$7:A57)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58" s="608"/>
      <c r="C58" s="609"/>
      <c r="D58" s="103" t="str">
        <f>_xlfn.XLOOKUP(E58,'All Products'!D:D,'All Products'!C:C,FALSE)</f>
        <v>090X-RA</v>
      </c>
      <c r="E58" s="103">
        <v>100021813</v>
      </c>
      <c r="F58" s="144" t="str">
        <f>_xlfn.XLOOKUP(E58,'All Products'!D:D,'All Products'!E:E,FALSE)</f>
        <v>9 ROUND ATRIUM, GRN</v>
      </c>
      <c r="G58" s="103">
        <f>_xlfn.XLOOKUP(E58,'All Products'!D:D,'All Products'!F:F,FALSE)</f>
        <v>10</v>
      </c>
      <c r="H58" s="103">
        <f>_xlfn.XLOOKUP(E58,'All Products'!D:D,'All Products'!G:G,FALSE)</f>
        <v>600</v>
      </c>
      <c r="I58" s="142">
        <f>_xlfn.XLOOKUP(E58,'All Products'!D:D,'All Products'!H:H,FALSE)</f>
        <v>84.73</v>
      </c>
      <c r="J58" s="173">
        <f>ROUND(I58*Order_Quote!$L$20,2)</f>
        <v>84.73</v>
      </c>
      <c r="K58" s="161"/>
      <c r="L58" s="113"/>
      <c r="M58" s="171">
        <f t="shared" si="2"/>
        <v>0</v>
      </c>
      <c r="O58" s="215" t="str">
        <f>_xlfn.XLOOKUP(E58,'All Products'!D:D,'All Products'!I:I,FALSE)</f>
        <v>Limited Stock</v>
      </c>
      <c r="P58" s="215" t="str">
        <f>_xlfn.XLOOKUP(E58,'All Products'!D:D,'All Products'!J:J,FALSE)</f>
        <v>Manufactured</v>
      </c>
      <c r="Q58" s="266">
        <f>_xlfn.XLOOKUP(E58,'All Products'!D:D,'All Products'!K:K,FALSE)</f>
        <v>49081007140</v>
      </c>
      <c r="R58" s="266" t="str">
        <f>_xlfn.XLOOKUP(E58,'All Products'!D:D,'All Products'!L:L,FALSE)</f>
        <v>-</v>
      </c>
      <c r="S58" s="266">
        <f>_xlfn.XLOOKUP(E58,'All Products'!D:D,'All Products'!M:M,FALSE)</f>
        <v>40049081007148</v>
      </c>
      <c r="T58" s="265">
        <f>_xlfn.XLOOKUP(E58,'All Products'!D:D,'All Products'!N:N,FALSE)</f>
        <v>0.91500000000000004</v>
      </c>
      <c r="U58" s="265">
        <f>_xlfn.XLOOKUP(E58,'All Products'!D:D,'All Products'!P:P,FALSE)</f>
        <v>9.15</v>
      </c>
      <c r="V58" s="265">
        <f>_xlfn.XLOOKUP(E58,'All Products'!D:D,'All Products'!Q:Q,FALSE)</f>
        <v>0.69427490234375</v>
      </c>
    </row>
    <row r="59" spans="1:22" s="17" customFormat="1" ht="25.95" customHeight="1">
      <c r="A59" s="101" t="str">
        <f>IF(K59&gt;0,COUNT($A$7:A58)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59" s="612"/>
      <c r="C59" s="613"/>
      <c r="D59" s="103" t="str">
        <f>_xlfn.XLOOKUP(E59,'All Products'!D:D,'All Products'!C:C,FALSE)</f>
        <v>120X-RA</v>
      </c>
      <c r="E59" s="103">
        <v>100021835</v>
      </c>
      <c r="F59" s="144" t="str">
        <f>_xlfn.XLOOKUP(E59,'All Products'!D:D,'All Products'!E:E,FALSE)</f>
        <v>12 ROUND ATRIUM, GRN</v>
      </c>
      <c r="G59" s="103">
        <f>_xlfn.XLOOKUP(E59,'All Products'!D:D,'All Products'!F:F,FALSE)</f>
        <v>10</v>
      </c>
      <c r="H59" s="103">
        <f>_xlfn.XLOOKUP(E59,'All Products'!D:D,'All Products'!G:G,FALSE)</f>
        <v>480</v>
      </c>
      <c r="I59" s="142">
        <f>_xlfn.XLOOKUP(E59,'All Products'!D:D,'All Products'!H:H,FALSE)</f>
        <v>125.77</v>
      </c>
      <c r="J59" s="173">
        <f>ROUND(I59*Order_Quote!$L$20,2)</f>
        <v>125.77</v>
      </c>
      <c r="K59" s="75"/>
      <c r="L59" s="113"/>
      <c r="M59" s="171">
        <f t="shared" si="2"/>
        <v>0</v>
      </c>
      <c r="O59" s="215" t="str">
        <f>_xlfn.XLOOKUP(E59,'All Products'!D:D,'All Products'!I:I,FALSE)</f>
        <v>In Stock</v>
      </c>
      <c r="P59" s="215" t="str">
        <f>_xlfn.XLOOKUP(E59,'All Products'!D:D,'All Products'!J:J,FALSE)</f>
        <v>Manufactured</v>
      </c>
      <c r="Q59" s="266">
        <f>_xlfn.XLOOKUP(E59,'All Products'!D:D,'All Products'!K:K,FALSE)</f>
        <v>49081007126</v>
      </c>
      <c r="R59" s="266" t="str">
        <f>_xlfn.XLOOKUP(E59,'All Products'!D:D,'All Products'!L:L,FALSE)</f>
        <v>-</v>
      </c>
      <c r="S59" s="266">
        <f>_xlfn.XLOOKUP(E59,'All Products'!D:D,'All Products'!M:M,FALSE)</f>
        <v>40049081007124</v>
      </c>
      <c r="T59" s="265">
        <f>_xlfn.XLOOKUP(E59,'All Products'!D:D,'All Products'!N:N,FALSE)</f>
        <v>1.593</v>
      </c>
      <c r="U59" s="265">
        <f>_xlfn.XLOOKUP(E59,'All Products'!D:D,'All Products'!P:P,FALSE)</f>
        <v>15.93</v>
      </c>
      <c r="V59" s="265">
        <f>_xlfn.XLOOKUP(E59,'All Products'!D:D,'All Products'!Q:Q,FALSE)</f>
        <v>1.384593822337963</v>
      </c>
    </row>
    <row r="60" spans="1:22" s="17" customFormat="1" ht="30" customHeight="1">
      <c r="A60" s="101" t="str">
        <f>IF(K60&gt;0,COUNT($A$7:A59)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60" s="608"/>
      <c r="C60" s="609"/>
      <c r="D60" s="103" t="str">
        <f>_xlfn.XLOOKUP(E60,'All Products'!D:D,'All Products'!C:C,FALSE)</f>
        <v>090X-RF</v>
      </c>
      <c r="E60" s="103">
        <v>100021814</v>
      </c>
      <c r="F60" s="144" t="str">
        <f>_xlfn.XLOOKUP(E60,'All Products'!D:D,'All Products'!E:E,FALSE)</f>
        <v>9 ROUND FLAT GRATE, GRN</v>
      </c>
      <c r="G60" s="103">
        <f>_xlfn.XLOOKUP(E60,'All Products'!D:D,'All Products'!F:F,FALSE)</f>
        <v>10</v>
      </c>
      <c r="H60" s="103">
        <f>_xlfn.XLOOKUP(E60,'All Products'!D:D,'All Products'!G:G,FALSE)</f>
        <v>600</v>
      </c>
      <c r="I60" s="142">
        <f>_xlfn.XLOOKUP(E60,'All Products'!D:D,'All Products'!H:H,FALSE)</f>
        <v>73.45</v>
      </c>
      <c r="J60" s="173">
        <f>ROUND(I60*Order_Quote!$L$20,2)</f>
        <v>73.45</v>
      </c>
      <c r="K60" s="161"/>
      <c r="L60" s="113"/>
      <c r="M60" s="171">
        <f t="shared" si="2"/>
        <v>0</v>
      </c>
      <c r="O60" s="215" t="str">
        <f>_xlfn.XLOOKUP(E60,'All Products'!D:D,'All Products'!I:I,FALSE)</f>
        <v>Limited Stock</v>
      </c>
      <c r="P60" s="215" t="str">
        <f>_xlfn.XLOOKUP(E60,'All Products'!D:D,'All Products'!J:J,FALSE)</f>
        <v>Manufactured</v>
      </c>
      <c r="Q60" s="266">
        <f>_xlfn.XLOOKUP(E60,'All Products'!D:D,'All Products'!K:K,FALSE)</f>
        <v>49081007041</v>
      </c>
      <c r="R60" s="266" t="str">
        <f>_xlfn.XLOOKUP(E60,'All Products'!D:D,'All Products'!L:L,FALSE)</f>
        <v>-</v>
      </c>
      <c r="S60" s="266">
        <f>_xlfn.XLOOKUP(E60,'All Products'!D:D,'All Products'!M:M,FALSE)</f>
        <v>40049081007049</v>
      </c>
      <c r="T60" s="265">
        <f>_xlfn.XLOOKUP(E60,'All Products'!D:D,'All Products'!N:N,FALSE)</f>
        <v>1.177</v>
      </c>
      <c r="U60" s="265">
        <f>_xlfn.XLOOKUP(E60,'All Products'!D:D,'All Products'!P:P,FALSE)</f>
        <v>11.77</v>
      </c>
      <c r="V60" s="265">
        <f>_xlfn.XLOOKUP(E60,'All Products'!D:D,'All Products'!Q:Q,FALSE)</f>
        <v>0.54762098524305558</v>
      </c>
    </row>
    <row r="61" spans="1:22" s="17" customFormat="1" ht="30" customHeight="1">
      <c r="A61" s="101" t="str">
        <f>IF(K61&gt;0,COUNT($A$7:A60)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61" s="612"/>
      <c r="C61" s="613"/>
      <c r="D61" s="103" t="str">
        <f>_xlfn.XLOOKUP(E61,'All Products'!D:D,'All Products'!C:C,FALSE)</f>
        <v>120X-RF</v>
      </c>
      <c r="E61" s="103">
        <v>100021836</v>
      </c>
      <c r="F61" s="144" t="str">
        <f>_xlfn.XLOOKUP(E61,'All Products'!D:D,'All Products'!E:E,FALSE)</f>
        <v>12 ROUND FLAT GRATE, GRN</v>
      </c>
      <c r="G61" s="103">
        <f>_xlfn.XLOOKUP(E61,'All Products'!D:D,'All Products'!F:F,FALSE)</f>
        <v>10</v>
      </c>
      <c r="H61" s="103">
        <f>_xlfn.XLOOKUP(E61,'All Products'!D:D,'All Products'!G:G,FALSE)</f>
        <v>480</v>
      </c>
      <c r="I61" s="142">
        <f>_xlfn.XLOOKUP(E61,'All Products'!D:D,'All Products'!H:H,FALSE)</f>
        <v>106.87</v>
      </c>
      <c r="J61" s="173">
        <f>ROUND(I61*Order_Quote!$L$20,2)</f>
        <v>106.87</v>
      </c>
      <c r="K61" s="75"/>
      <c r="L61" s="113"/>
      <c r="M61" s="171">
        <f t="shared" si="2"/>
        <v>0</v>
      </c>
      <c r="O61" s="215" t="str">
        <f>_xlfn.XLOOKUP(E61,'All Products'!D:D,'All Products'!I:I,FALSE)</f>
        <v>In Stock</v>
      </c>
      <c r="P61" s="215" t="str">
        <f>_xlfn.XLOOKUP(E61,'All Products'!D:D,'All Products'!J:J,FALSE)</f>
        <v>Manufactured</v>
      </c>
      <c r="Q61" s="266">
        <f>_xlfn.XLOOKUP(E61,'All Products'!D:D,'All Products'!K:K,FALSE)</f>
        <v>49081007188</v>
      </c>
      <c r="R61" s="266" t="str">
        <f>_xlfn.XLOOKUP(E61,'All Products'!D:D,'All Products'!L:L,FALSE)</f>
        <v>-</v>
      </c>
      <c r="S61" s="266">
        <f>_xlfn.XLOOKUP(E61,'All Products'!D:D,'All Products'!M:M,FALSE)</f>
        <v>40049081007186</v>
      </c>
      <c r="T61" s="265">
        <f>_xlfn.XLOOKUP(E61,'All Products'!D:D,'All Products'!N:N,FALSE)</f>
        <v>1.6320000000000001</v>
      </c>
      <c r="U61" s="265">
        <f>_xlfn.XLOOKUP(E61,'All Products'!D:D,'All Products'!P:P,FALSE)</f>
        <v>16.32</v>
      </c>
      <c r="V61" s="265">
        <f>_xlfn.XLOOKUP(E61,'All Products'!D:D,'All Products'!Q:Q,FALSE)</f>
        <v>0.98</v>
      </c>
    </row>
    <row r="62" spans="1:22" s="17" customFormat="1" ht="47.4" customHeight="1">
      <c r="A62" s="101" t="str">
        <f>IF(K62&gt;0,COUNT($A$7:A61)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62" s="616"/>
      <c r="C62" s="617"/>
      <c r="D62" s="103" t="str">
        <f>_xlfn.XLOOKUP(E62,'All Products'!D:D,'All Products'!C:C,FALSE)</f>
        <v>124X-RF</v>
      </c>
      <c r="E62" s="103">
        <v>100021845</v>
      </c>
      <c r="F62" s="144" t="str">
        <f>_xlfn.XLOOKUP(E62,'All Products'!D:D,'All Products'!E:E,FALSE)</f>
        <v>12 ROUND ATRIUM, BLK</v>
      </c>
      <c r="G62" s="103">
        <f>_xlfn.XLOOKUP(E62,'All Products'!D:D,'All Products'!F:F,FALSE)</f>
        <v>10</v>
      </c>
      <c r="H62" s="103">
        <f>_xlfn.XLOOKUP(E62,'All Products'!D:D,'All Products'!G:G,FALSE)</f>
        <v>480</v>
      </c>
      <c r="I62" s="142">
        <f>_xlfn.XLOOKUP(E62,'All Products'!D:D,'All Products'!H:H,FALSE)</f>
        <v>106.87</v>
      </c>
      <c r="J62" s="173">
        <f>ROUND(I62*Order_Quote!$L$20,2)</f>
        <v>106.87</v>
      </c>
      <c r="K62" s="75"/>
      <c r="L62" s="113"/>
      <c r="M62" s="171">
        <f t="shared" si="2"/>
        <v>0</v>
      </c>
      <c r="O62" s="215" t="str">
        <f>_xlfn.XLOOKUP(E62,'All Products'!D:D,'All Products'!I:I,FALSE)</f>
        <v>In Stock</v>
      </c>
      <c r="P62" s="215" t="str">
        <f>_xlfn.XLOOKUP(E62,'All Products'!D:D,'All Products'!J:J,FALSE)</f>
        <v>Manufactured</v>
      </c>
      <c r="Q62" s="266">
        <f>_xlfn.XLOOKUP(E62,'All Products'!D:D,'All Products'!K:K,FALSE)</f>
        <v>49081007287</v>
      </c>
      <c r="R62" s="266" t="str">
        <f>_xlfn.XLOOKUP(E62,'All Products'!D:D,'All Products'!L:L,FALSE)</f>
        <v>-</v>
      </c>
      <c r="S62" s="266">
        <f>_xlfn.XLOOKUP(E62,'All Products'!D:D,'All Products'!M:M,FALSE)</f>
        <v>40049081007285</v>
      </c>
      <c r="T62" s="265">
        <f>_xlfn.XLOOKUP(E62,'All Products'!D:D,'All Products'!N:N,FALSE)</f>
        <v>2.1</v>
      </c>
      <c r="U62" s="265">
        <f>_xlfn.XLOOKUP(E62,'All Products'!D:D,'All Products'!P:P,FALSE)</f>
        <v>21</v>
      </c>
      <c r="V62" s="265">
        <f>_xlfn.XLOOKUP(E62,'All Products'!D:D,'All Products'!Q:Q,FALSE)</f>
        <v>0.98</v>
      </c>
    </row>
    <row r="63" spans="1:22" s="17" customFormat="1" ht="53.4" customHeight="1">
      <c r="A63" s="101" t="str">
        <f>IF(K63&gt;0,COUNT($A$7:A62)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63" s="616"/>
      <c r="C63" s="617"/>
      <c r="D63" s="103" t="str">
        <f>_xlfn.XLOOKUP(E63,'All Products'!D:D,'All Products'!C:C,FALSE)</f>
        <v>34-E</v>
      </c>
      <c r="E63" s="103">
        <v>100021849</v>
      </c>
      <c r="F63" s="144" t="str">
        <f>_xlfn.XLOOKUP(E63,'All Products'!D:D,'All Products'!E:E,FALSE)</f>
        <v>3&amp;4 COMBO POP-UP DRAIN EMITTR</v>
      </c>
      <c r="G63" s="103">
        <f>_xlfn.XLOOKUP(E63,'All Products'!D:D,'All Products'!F:F,FALSE)</f>
        <v>20</v>
      </c>
      <c r="H63" s="103">
        <f>_xlfn.XLOOKUP(E63,'All Products'!D:D,'All Products'!G:G,FALSE)</f>
        <v>960</v>
      </c>
      <c r="I63" s="142">
        <f>_xlfn.XLOOKUP(E63,'All Products'!D:D,'All Products'!H:H,FALSE)</f>
        <v>61.16</v>
      </c>
      <c r="J63" s="173">
        <f>ROUND(I63*Order_Quote!$L$20,2)</f>
        <v>61.16</v>
      </c>
      <c r="K63" s="75"/>
      <c r="L63" s="113"/>
      <c r="M63" s="171">
        <f t="shared" si="2"/>
        <v>0</v>
      </c>
      <c r="O63" s="215" t="str">
        <f>_xlfn.XLOOKUP(E63,'All Products'!D:D,'All Products'!I:I,FALSE)</f>
        <v>In Stock</v>
      </c>
      <c r="P63" s="215" t="str">
        <f>_xlfn.XLOOKUP(E63,'All Products'!D:D,'All Products'!J:J,FALSE)</f>
        <v>Manufactured</v>
      </c>
      <c r="Q63" s="266">
        <f>_xlfn.XLOOKUP(E63,'All Products'!D:D,'All Products'!K:K,FALSE)</f>
        <v>49081009809</v>
      </c>
      <c r="R63" s="266" t="str">
        <f>_xlfn.XLOOKUP(E63,'All Products'!D:D,'All Products'!L:L,FALSE)</f>
        <v>-</v>
      </c>
      <c r="S63" s="266">
        <f>_xlfn.XLOOKUP(E63,'All Products'!D:D,'All Products'!M:M,FALSE)</f>
        <v>40049081009807</v>
      </c>
      <c r="T63" s="265">
        <f>_xlfn.XLOOKUP(E63,'All Products'!D:D,'All Products'!N:N,FALSE)</f>
        <v>0.27</v>
      </c>
      <c r="U63" s="265">
        <f>_xlfn.XLOOKUP(E63,'All Products'!D:D,'All Products'!P:P,FALSE)</f>
        <v>5.4</v>
      </c>
      <c r="V63" s="265">
        <f>_xlfn.XLOOKUP(E63,'All Products'!D:D,'All Products'!Q:Q,FALSE)</f>
        <v>0.84015005606192128</v>
      </c>
    </row>
    <row r="64" spans="1:22" s="17" customFormat="1" ht="42" customHeight="1">
      <c r="A64" s="101" t="str">
        <f>IF(K64&gt;0,COUNT($A$7:A63)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64" s="608"/>
      <c r="C64" s="609"/>
      <c r="D64" s="103" t="str">
        <f>_xlfn.XLOOKUP(E64,'All Products'!D:D,'All Products'!C:C,FALSE)</f>
        <v>34-3EL</v>
      </c>
      <c r="E64" s="103">
        <v>100021847</v>
      </c>
      <c r="F64" s="144" t="str">
        <f>_xlfn.XLOOKUP(E64,'All Products'!D:D,'All Products'!E:E,FALSE)</f>
        <v>DRAIN EMITTER W/3 90 ELL SS</v>
      </c>
      <c r="G64" s="103">
        <f>_xlfn.XLOOKUP(E64,'All Products'!D:D,'All Products'!F:F,FALSE)</f>
        <v>25</v>
      </c>
      <c r="H64" s="103">
        <f>_xlfn.XLOOKUP(E64,'All Products'!D:D,'All Products'!G:G,FALSE)</f>
        <v>600</v>
      </c>
      <c r="I64" s="142">
        <f>_xlfn.XLOOKUP(E64,'All Products'!D:D,'All Products'!H:H,FALSE)</f>
        <v>71.37</v>
      </c>
      <c r="J64" s="173">
        <f>ROUND(I64*Order_Quote!$L$20,2)</f>
        <v>71.37</v>
      </c>
      <c r="K64" s="75"/>
      <c r="L64" s="113"/>
      <c r="M64" s="171">
        <f t="shared" si="2"/>
        <v>0</v>
      </c>
      <c r="O64" s="215" t="str">
        <f>_xlfn.XLOOKUP(E64,'All Products'!D:D,'All Products'!I:I,FALSE)</f>
        <v>In Stock</v>
      </c>
      <c r="P64" s="215" t="str">
        <f>_xlfn.XLOOKUP(E64,'All Products'!D:D,'All Products'!J:J,FALSE)</f>
        <v>Manufactured</v>
      </c>
      <c r="Q64" s="266">
        <f>_xlfn.XLOOKUP(E64,'All Products'!D:D,'All Products'!K:K,FALSE)</f>
        <v>49081009830</v>
      </c>
      <c r="R64" s="266" t="str">
        <f>_xlfn.XLOOKUP(E64,'All Products'!D:D,'All Products'!L:L,FALSE)</f>
        <v>-</v>
      </c>
      <c r="S64" s="266">
        <f>_xlfn.XLOOKUP(E64,'All Products'!D:D,'All Products'!M:M,FALSE)</f>
        <v>40049081009838</v>
      </c>
      <c r="T64" s="265">
        <f>_xlfn.XLOOKUP(E64,'All Products'!D:D,'All Products'!N:N,FALSE)</f>
        <v>0.65</v>
      </c>
      <c r="U64" s="265">
        <f>_xlfn.XLOOKUP(E64,'All Products'!D:D,'All Products'!P:P,FALSE)</f>
        <v>16.25</v>
      </c>
      <c r="V64" s="265">
        <f>_xlfn.XLOOKUP(E64,'All Products'!D:D,'All Products'!Q:Q,FALSE)</f>
        <v>2.11</v>
      </c>
    </row>
    <row r="65" spans="1:22" s="17" customFormat="1" ht="42" customHeight="1">
      <c r="A65" s="101" t="str">
        <f>IF(K65&gt;0,COUNT($A$7:A64)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65" s="612"/>
      <c r="C65" s="613"/>
      <c r="D65" s="103" t="str">
        <f>_xlfn.XLOOKUP(E65,'All Products'!D:D,'All Products'!C:C,FALSE)</f>
        <v>34-4EL</v>
      </c>
      <c r="E65" s="103">
        <v>100021848</v>
      </c>
      <c r="F65" s="144" t="str">
        <f>_xlfn.XLOOKUP(E65,'All Products'!D:D,'All Products'!E:E,FALSE)</f>
        <v>DRAIN EMITTER W/4 90 ELL SS</v>
      </c>
      <c r="G65" s="103">
        <f>_xlfn.XLOOKUP(E65,'All Products'!D:D,'All Products'!F:F,FALSE)</f>
        <v>20</v>
      </c>
      <c r="H65" s="103">
        <f>_xlfn.XLOOKUP(E65,'All Products'!D:D,'All Products'!G:G,FALSE)</f>
        <v>480</v>
      </c>
      <c r="I65" s="142">
        <f>_xlfn.XLOOKUP(E65,'All Products'!D:D,'All Products'!H:H,FALSE)</f>
        <v>84.46</v>
      </c>
      <c r="J65" s="173">
        <f>ROUND(I65*Order_Quote!$L$20,2)</f>
        <v>84.46</v>
      </c>
      <c r="K65" s="75"/>
      <c r="L65" s="113"/>
      <c r="M65" s="171">
        <f t="shared" si="2"/>
        <v>0</v>
      </c>
      <c r="O65" s="215" t="str">
        <f>_xlfn.XLOOKUP(E65,'All Products'!D:D,'All Products'!I:I,FALSE)</f>
        <v>In Stock</v>
      </c>
      <c r="P65" s="215" t="str">
        <f>_xlfn.XLOOKUP(E65,'All Products'!D:D,'All Products'!J:J,FALSE)</f>
        <v>Manufactured</v>
      </c>
      <c r="Q65" s="266">
        <f>_xlfn.XLOOKUP(E65,'All Products'!D:D,'All Products'!K:K,FALSE)</f>
        <v>49081009861</v>
      </c>
      <c r="R65" s="266" t="str">
        <f>_xlfn.XLOOKUP(E65,'All Products'!D:D,'All Products'!L:L,FALSE)</f>
        <v>-</v>
      </c>
      <c r="S65" s="266">
        <f>_xlfn.XLOOKUP(E65,'All Products'!D:D,'All Products'!M:M,FALSE)</f>
        <v>40049081009869</v>
      </c>
      <c r="T65" s="265">
        <f>_xlfn.XLOOKUP(E65,'All Products'!D:D,'All Products'!N:N,FALSE)</f>
        <v>0.72</v>
      </c>
      <c r="U65" s="265">
        <f>_xlfn.XLOOKUP(E65,'All Products'!D:D,'All Products'!P:P,FALSE)</f>
        <v>14.4</v>
      </c>
      <c r="V65" s="265">
        <f>_xlfn.XLOOKUP(E65,'All Products'!D:D,'All Products'!Q:Q,FALSE)</f>
        <v>2.44</v>
      </c>
    </row>
    <row r="66" spans="1:22" s="17" customFormat="1" ht="55.95" customHeight="1">
      <c r="A66" s="101" t="str">
        <f>IF(K66&gt;0,COUNT($A$7:A65)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66" s="616"/>
      <c r="C66" s="617"/>
      <c r="D66" s="103" t="str">
        <f>_xlfn.XLOOKUP(E66,'All Products'!D:D,'All Products'!C:C,FALSE)</f>
        <v>UA-001</v>
      </c>
      <c r="E66" s="103">
        <v>100021851</v>
      </c>
      <c r="F66" s="144" t="str">
        <f>_xlfn.XLOOKUP(E66,'All Products'!D:D,'All Products'!E:E,FALSE)</f>
        <v>UNIVERSAL ADAPTER</v>
      </c>
      <c r="G66" s="103">
        <f>_xlfn.XLOOKUP(E66,'All Products'!D:D,'All Products'!F:F,FALSE)</f>
        <v>20</v>
      </c>
      <c r="H66" s="103">
        <f>_xlfn.XLOOKUP(E66,'All Products'!D:D,'All Products'!G:G,FALSE)</f>
        <v>360</v>
      </c>
      <c r="I66" s="142">
        <f>_xlfn.XLOOKUP(E66,'All Products'!D:D,'All Products'!H:H,FALSE)</f>
        <v>13.73</v>
      </c>
      <c r="J66" s="173">
        <f>ROUND(I66*Order_Quote!$L$20,2)</f>
        <v>13.73</v>
      </c>
      <c r="K66" s="75"/>
      <c r="L66" s="113"/>
      <c r="M66" s="171">
        <f t="shared" si="2"/>
        <v>0</v>
      </c>
      <c r="O66" s="215" t="str">
        <f>_xlfn.XLOOKUP(E66,'All Products'!D:D,'All Products'!I:I,FALSE)</f>
        <v>In Stock</v>
      </c>
      <c r="P66" s="215" t="str">
        <f>_xlfn.XLOOKUP(E66,'All Products'!D:D,'All Products'!J:J,FALSE)</f>
        <v>Manufactured</v>
      </c>
      <c r="Q66" s="266">
        <f>_xlfn.XLOOKUP(E66,'All Products'!D:D,'All Products'!K:K,FALSE)</f>
        <v>49081006082</v>
      </c>
      <c r="R66" s="266" t="str">
        <f>_xlfn.XLOOKUP(E66,'All Products'!D:D,'All Products'!L:L,FALSE)</f>
        <v>-</v>
      </c>
      <c r="S66" s="266">
        <f>_xlfn.XLOOKUP(E66,'All Products'!D:D,'All Products'!M:M,FALSE)</f>
        <v>40049081006080</v>
      </c>
      <c r="T66" s="265">
        <f>_xlfn.XLOOKUP(E66,'All Products'!D:D,'All Products'!N:N,FALSE)</f>
        <v>0.67500000000000004</v>
      </c>
      <c r="U66" s="265">
        <f>_xlfn.XLOOKUP(E66,'All Products'!D:D,'All Products'!P:P,FALSE)</f>
        <v>13.5</v>
      </c>
      <c r="V66" s="265">
        <f>_xlfn.XLOOKUP(E66,'All Products'!D:D,'All Products'!Q:Q,FALSE)</f>
        <v>1.4700234374999999</v>
      </c>
    </row>
    <row r="67" spans="1:22" s="17" customFormat="1" ht="39" customHeight="1">
      <c r="A67" s="101" t="str">
        <f>IF(K67&gt;0,COUNT($A$7:A66)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67" s="616"/>
      <c r="C67" s="617"/>
      <c r="D67" s="103" t="str">
        <f>_xlfn.XLOOKUP(E67,'All Products'!D:D,'All Products'!C:C,FALSE)</f>
        <v>UA-060</v>
      </c>
      <c r="E67" s="103">
        <v>100021853</v>
      </c>
      <c r="F67" s="144" t="str">
        <f>_xlfn.XLOOKUP(E67,'All Products'!D:D,'All Products'!E:E,FALSE)</f>
        <v>6 ADAPTER</v>
      </c>
      <c r="G67" s="103">
        <f>_xlfn.XLOOKUP(E67,'All Products'!D:D,'All Products'!F:F,FALSE)</f>
        <v>20</v>
      </c>
      <c r="H67" s="103">
        <f>_xlfn.XLOOKUP(E67,'All Products'!D:D,'All Products'!G:G,FALSE)</f>
        <v>360</v>
      </c>
      <c r="I67" s="142">
        <f>_xlfn.XLOOKUP(E67,'All Products'!D:D,'All Products'!H:H,FALSE)</f>
        <v>16.440000000000001</v>
      </c>
      <c r="J67" s="173">
        <f>ROUND(I67*Order_Quote!$L$20,2)</f>
        <v>16.440000000000001</v>
      </c>
      <c r="K67" s="75"/>
      <c r="L67" s="113"/>
      <c r="M67" s="171">
        <f t="shared" si="2"/>
        <v>0</v>
      </c>
      <c r="O67" s="215" t="str">
        <f>_xlfn.XLOOKUP(E67,'All Products'!D:D,'All Products'!I:I,FALSE)</f>
        <v>In Stock</v>
      </c>
      <c r="P67" s="215" t="str">
        <f>_xlfn.XLOOKUP(E67,'All Products'!D:D,'All Products'!J:J,FALSE)</f>
        <v>Manufactured</v>
      </c>
      <c r="Q67" s="266">
        <f>_xlfn.XLOOKUP(E67,'All Products'!D:D,'All Products'!K:K,FALSE)</f>
        <v>49081006105</v>
      </c>
      <c r="R67" s="266" t="str">
        <f>_xlfn.XLOOKUP(E67,'All Products'!D:D,'All Products'!L:L,FALSE)</f>
        <v>-</v>
      </c>
      <c r="S67" s="266">
        <f>_xlfn.XLOOKUP(E67,'All Products'!D:D,'All Products'!M:M,FALSE)</f>
        <v>40049081006103</v>
      </c>
      <c r="T67" s="265">
        <f>_xlfn.XLOOKUP(E67,'All Products'!D:D,'All Products'!N:N,FALSE)</f>
        <v>0.69500000000000006</v>
      </c>
      <c r="U67" s="265">
        <f>_xlfn.XLOOKUP(E67,'All Products'!D:D,'All Products'!P:P,FALSE)</f>
        <v>13.9</v>
      </c>
      <c r="V67" s="265">
        <f>_xlfn.XLOOKUP(E67,'All Products'!D:D,'All Products'!Q:Q,FALSE)</f>
        <v>2.44</v>
      </c>
    </row>
    <row r="68" spans="1:22" s="17" customFormat="1" ht="44.4" customHeight="1">
      <c r="A68" s="101" t="str">
        <f>IF(K68&gt;0,COUNT($A$7:A67)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Components'!$A$9:$A$141)+1,"")</f>
        <v/>
      </c>
      <c r="B68" s="616"/>
      <c r="C68" s="617"/>
      <c r="D68" s="103" t="str">
        <f>_xlfn.XLOOKUP(E68,'All Products'!D:D,'All Products'!C:C,FALSE)</f>
        <v>UA-PLUG</v>
      </c>
      <c r="E68" s="103">
        <v>100021855</v>
      </c>
      <c r="F68" s="144" t="str">
        <f>_xlfn.XLOOKUP(E68,'All Products'!D:D,'All Products'!E:E,FALSE)</f>
        <v>6 UNIVERSAL ADAPTER PLUG</v>
      </c>
      <c r="G68" s="103">
        <f>_xlfn.XLOOKUP(E68,'All Products'!D:D,'All Products'!F:F,FALSE)</f>
        <v>20</v>
      </c>
      <c r="H68" s="103">
        <f>_xlfn.XLOOKUP(E68,'All Products'!D:D,'All Products'!G:G,FALSE)</f>
        <v>1800</v>
      </c>
      <c r="I68" s="142">
        <f>_xlfn.XLOOKUP(E68,'All Products'!D:D,'All Products'!H:H,FALSE)</f>
        <v>10.96</v>
      </c>
      <c r="J68" s="173">
        <f>ROUND(I68*Order_Quote!$L$20,2)</f>
        <v>10.96</v>
      </c>
      <c r="K68" s="75"/>
      <c r="L68" s="113"/>
      <c r="M68" s="171">
        <f t="shared" si="2"/>
        <v>0</v>
      </c>
      <c r="O68" s="215" t="str">
        <f>_xlfn.XLOOKUP(E68,'All Products'!D:D,'All Products'!I:I,FALSE)</f>
        <v>In Stock</v>
      </c>
      <c r="P68" s="215" t="str">
        <f>_xlfn.XLOOKUP(E68,'All Products'!D:D,'All Products'!J:J,FALSE)</f>
        <v>Manufactured</v>
      </c>
      <c r="Q68" s="266">
        <f>_xlfn.XLOOKUP(E68,'All Products'!D:D,'All Products'!K:K,FALSE)</f>
        <v>49081006068</v>
      </c>
      <c r="R68" s="266" t="str">
        <f>_xlfn.XLOOKUP(E68,'All Products'!D:D,'All Products'!L:L,FALSE)</f>
        <v>-</v>
      </c>
      <c r="S68" s="266">
        <f>_xlfn.XLOOKUP(E68,'All Products'!D:D,'All Products'!M:M,FALSE)</f>
        <v>40049081006066</v>
      </c>
      <c r="T68" s="265">
        <f>_xlfn.XLOOKUP(E68,'All Products'!D:D,'All Products'!N:N,FALSE)</f>
        <v>0.31</v>
      </c>
      <c r="U68" s="265">
        <f>_xlfn.XLOOKUP(E68,'All Products'!D:D,'All Products'!P:P,FALSE)</f>
        <v>6.2</v>
      </c>
      <c r="V68" s="265">
        <f>_xlfn.XLOOKUP(E68,'All Products'!D:D,'All Products'!Q:Q,FALSE)</f>
        <v>0.51141357421875</v>
      </c>
    </row>
    <row r="69" spans="1:22" ht="15" customHeight="1">
      <c r="A69" s="101">
        <f>MAX(A8:A68)+1</f>
        <v>1</v>
      </c>
      <c r="D69" s="2"/>
      <c r="E69" s="2"/>
      <c r="F69" s="2"/>
      <c r="G69" s="2"/>
      <c r="H69" s="2"/>
      <c r="I69" s="2"/>
      <c r="J69" s="2"/>
      <c r="K69" s="2"/>
      <c r="L69" s="2"/>
      <c r="M69" s="2"/>
      <c r="N69" s="17"/>
    </row>
  </sheetData>
  <sheetProtection algorithmName="SHA-512" hashValue="c3uOyKma3YEbv4TMae97Vmv3vXb/6s02R9b/iFnyUypjYaczbxbUrH6ztkFwKU7w/AbA9EIsk69/mp/IrZ5DNA==" saltValue="hZvL8VaSVJPG7URJmQ9Mwg==" spinCount="100000" sheet="1" formatCells="0" formatColumns="0" formatRows="0" insertColumns="0" insertRows="0" insertHyperlinks="0" deleteColumns="0" deleteRows="0" sort="0" autoFilter="0" pivotTables="0"/>
  <mergeCells count="38">
    <mergeCell ref="B66:C66"/>
    <mergeCell ref="B67:C67"/>
    <mergeCell ref="B68:C68"/>
    <mergeCell ref="B58:C59"/>
    <mergeCell ref="B60:C61"/>
    <mergeCell ref="B62:C62"/>
    <mergeCell ref="B63:C63"/>
    <mergeCell ref="B64:C65"/>
    <mergeCell ref="B49:C50"/>
    <mergeCell ref="B51:C52"/>
    <mergeCell ref="B53:C53"/>
    <mergeCell ref="B54:C55"/>
    <mergeCell ref="B56:C57"/>
    <mergeCell ref="B39:C40"/>
    <mergeCell ref="B41:C42"/>
    <mergeCell ref="B43:C44"/>
    <mergeCell ref="B45:C46"/>
    <mergeCell ref="B47:C48"/>
    <mergeCell ref="B29:C30"/>
    <mergeCell ref="B31:C32"/>
    <mergeCell ref="B33:C35"/>
    <mergeCell ref="B36:C37"/>
    <mergeCell ref="B38:C38"/>
    <mergeCell ref="B20:C21"/>
    <mergeCell ref="B22:C22"/>
    <mergeCell ref="B23:C24"/>
    <mergeCell ref="B25:C26"/>
    <mergeCell ref="B27:C28"/>
    <mergeCell ref="B13:C13"/>
    <mergeCell ref="B14:C15"/>
    <mergeCell ref="B16:C17"/>
    <mergeCell ref="B18:C18"/>
    <mergeCell ref="B19:C19"/>
    <mergeCell ref="J2:K3"/>
    <mergeCell ref="Q6:S6"/>
    <mergeCell ref="B8:C8"/>
    <mergeCell ref="B9:C10"/>
    <mergeCell ref="B11:C12"/>
  </mergeCells>
  <dataValidations count="5">
    <dataValidation type="whole" operator="greaterThanOrEqual" allowBlank="1" showInputMessage="1" showErrorMessage="1" errorTitle="Invalid entry!" error="An invalid quantity has been entered. Please enter only whole numbers. Click Retry to change entry or Cancel to clear entry." sqref="L7" xr:uid="{E6B904EA-F118-4247-8FF9-D427154BDF89}">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1D32B863-981D-43F7-AAC7-D5E074BEF160}">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1:L6" xr:uid="{323D0CA9-A6ED-4E5E-9FF9-02D950072099}">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L8:L68" xr:uid="{3BAF7645-418C-491B-BE40-C4EDF842DD55}">
      <formula1>1</formula1>
    </dataValidation>
    <dataValidation allowBlank="1" showErrorMessage="1" sqref="K1:K1048576" xr:uid="{6DF843E8-E554-4905-9994-6588B4A694DD}"/>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rowBreaks count="4" manualBreakCount="4">
    <brk id="17" max="8" man="1"/>
    <brk id="32" max="8" man="1"/>
    <brk id="50" max="8" man="1"/>
    <brk id="62" max="8"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925B9-81AA-49D2-A014-0D2F1EFCF026}">
  <sheetPr codeName="Sheet24">
    <tabColor theme="0"/>
    <pageSetUpPr fitToPage="1"/>
  </sheetPr>
  <dimension ref="A1:AA82"/>
  <sheetViews>
    <sheetView topLeftCell="A13" workbookViewId="0">
      <selection activeCell="M40" sqref="M40"/>
    </sheetView>
  </sheetViews>
  <sheetFormatPr defaultColWidth="9.109375" defaultRowHeight="0" customHeight="1" zeroHeight="1"/>
  <cols>
    <col min="1" max="1" width="2.33203125" style="5" customWidth="1"/>
    <col min="2" max="3" width="8.6640625" style="2" customWidth="1"/>
    <col min="4" max="5" width="12.6640625" style="4" customWidth="1"/>
    <col min="6" max="6" width="28.88671875" style="8" customWidth="1"/>
    <col min="7" max="7" width="10.5546875" style="4" bestFit="1" customWidth="1"/>
    <col min="8" max="8" width="17" style="277" bestFit="1" customWidth="1"/>
    <col min="9" max="9" width="9.6640625" style="277" bestFit="1" customWidth="1"/>
    <col min="10" max="10" width="11" style="4" customWidth="1"/>
    <col min="11" max="12" width="10.6640625" style="4" customWidth="1"/>
    <col min="13" max="13" width="10.6640625" style="7" customWidth="1"/>
    <col min="14" max="14" width="10.6640625" style="148" customWidth="1"/>
    <col min="15" max="15" width="10.6640625" style="4" customWidth="1"/>
    <col min="16" max="16" width="1.44140625" style="4" customWidth="1"/>
    <col min="17" max="17" width="10.6640625" style="20" customWidth="1"/>
    <col min="18" max="18" width="2.33203125" style="2" customWidth="1"/>
    <col min="19" max="19" width="13" style="20" bestFit="1" customWidth="1"/>
    <col min="20" max="20" width="11.6640625" style="20" customWidth="1"/>
    <col min="21" max="22" width="11.33203125" style="9" bestFit="1" customWidth="1"/>
    <col min="23" max="23" width="13.109375" style="9" bestFit="1" customWidth="1"/>
    <col min="24" max="26" width="9.109375" style="382" customWidth="1"/>
    <col min="27" max="37" width="9.109375" style="2" customWidth="1"/>
    <col min="38" max="16384" width="9.109375" style="2"/>
  </cols>
  <sheetData>
    <row r="1" spans="1:27" ht="18">
      <c r="F1" s="155" t="s">
        <v>38</v>
      </c>
      <c r="G1" s="470"/>
      <c r="H1" s="276"/>
      <c r="I1" s="276"/>
      <c r="J1" s="470"/>
      <c r="K1" s="198"/>
      <c r="L1" s="152"/>
      <c r="S1" s="152"/>
      <c r="T1" s="152"/>
    </row>
    <row r="2" spans="1:27" ht="14.4" customHeight="1">
      <c r="D2" s="469"/>
      <c r="E2" s="28"/>
      <c r="F2" s="198"/>
      <c r="G2" s="470"/>
      <c r="H2" s="276"/>
      <c r="I2" s="276"/>
      <c r="J2" s="470"/>
      <c r="K2" s="276"/>
      <c r="L2" s="276"/>
      <c r="M2" s="276"/>
      <c r="N2" s="350" t="s">
        <v>59</v>
      </c>
      <c r="O2" s="235"/>
    </row>
    <row r="3" spans="1:27" ht="14.4" customHeight="1">
      <c r="F3" s="323" t="s">
        <v>2196</v>
      </c>
      <c r="H3" s="276"/>
      <c r="I3" s="276"/>
      <c r="J3" s="470"/>
      <c r="K3" s="276"/>
      <c r="L3" s="276"/>
      <c r="M3" s="276"/>
      <c r="N3" s="235"/>
      <c r="O3" s="235"/>
    </row>
    <row r="4" spans="1:27" ht="14.4" customHeight="1">
      <c r="E4" s="14" t="s">
        <v>5734</v>
      </c>
      <c r="F4" s="327" t="s">
        <v>5992</v>
      </c>
      <c r="H4" s="276"/>
      <c r="I4" s="276"/>
      <c r="J4" s="470"/>
      <c r="K4" s="276"/>
      <c r="L4" s="276"/>
      <c r="M4" s="276"/>
      <c r="N4" s="149"/>
      <c r="O4" s="2"/>
    </row>
    <row r="5" spans="1:27" ht="14.4" customHeight="1">
      <c r="F5" s="325" t="s">
        <v>5973</v>
      </c>
      <c r="H5" s="276"/>
      <c r="I5" s="276"/>
      <c r="J5" s="470"/>
      <c r="K5" s="276"/>
      <c r="L5" s="276"/>
      <c r="M5" s="276"/>
      <c r="N5" s="149"/>
      <c r="O5" s="2"/>
    </row>
    <row r="6" spans="1:27" ht="14.4" customHeight="1">
      <c r="N6" s="149"/>
      <c r="O6" s="2"/>
      <c r="T6" s="184"/>
      <c r="U6" s="698" t="s">
        <v>64</v>
      </c>
      <c r="V6" s="698"/>
      <c r="W6" s="698"/>
      <c r="X6" s="414"/>
      <c r="Y6" s="414"/>
      <c r="Z6" s="414"/>
      <c r="AA6" s="25"/>
    </row>
    <row r="7" spans="1:27" s="309" customFormat="1" ht="29.4" thickBot="1">
      <c r="A7" s="430"/>
      <c r="B7" s="136"/>
      <c r="C7" s="136"/>
      <c r="D7" s="136" t="s">
        <v>48</v>
      </c>
      <c r="E7" s="136" t="s">
        <v>49</v>
      </c>
      <c r="F7" s="136" t="s">
        <v>50</v>
      </c>
      <c r="G7" s="136" t="s">
        <v>2197</v>
      </c>
      <c r="H7" s="136" t="s">
        <v>2198</v>
      </c>
      <c r="I7" s="213" t="s">
        <v>2199</v>
      </c>
      <c r="J7" s="136" t="s">
        <v>1419</v>
      </c>
      <c r="K7" s="136" t="s">
        <v>65</v>
      </c>
      <c r="L7" s="136" t="s">
        <v>66</v>
      </c>
      <c r="M7" s="157" t="s">
        <v>51</v>
      </c>
      <c r="N7" s="157" t="s">
        <v>55</v>
      </c>
      <c r="O7" s="158" t="s">
        <v>52</v>
      </c>
      <c r="Q7" s="143" t="s">
        <v>67</v>
      </c>
      <c r="S7" s="213" t="s">
        <v>68</v>
      </c>
      <c r="T7" s="213" t="s">
        <v>69</v>
      </c>
      <c r="U7" s="516" t="s">
        <v>70</v>
      </c>
      <c r="V7" s="516" t="s">
        <v>71</v>
      </c>
      <c r="W7" s="516" t="s">
        <v>72</v>
      </c>
      <c r="X7" s="383" t="s">
        <v>73</v>
      </c>
      <c r="Y7" s="383" t="s">
        <v>333</v>
      </c>
      <c r="Z7" s="383" t="s">
        <v>328</v>
      </c>
      <c r="AA7" s="213" t="s">
        <v>329</v>
      </c>
    </row>
    <row r="8" spans="1:27" s="17" customFormat="1" ht="16.2" thickBot="1">
      <c r="B8" s="446" t="s">
        <v>2200</v>
      </c>
      <c r="C8" s="151"/>
      <c r="D8" s="151"/>
      <c r="E8" s="459"/>
      <c r="F8" s="151"/>
      <c r="G8" s="468"/>
      <c r="H8" s="151"/>
      <c r="I8" s="472"/>
      <c r="J8" s="468"/>
      <c r="K8" s="192"/>
      <c r="L8" s="151"/>
      <c r="M8" s="151"/>
      <c r="N8" s="151"/>
      <c r="O8" s="358"/>
      <c r="P8" s="4"/>
      <c r="Q8" s="565"/>
      <c r="R8" s="2"/>
      <c r="S8" s="357"/>
      <c r="T8" s="145"/>
      <c r="U8" s="459"/>
      <c r="V8" s="459"/>
      <c r="W8" s="459"/>
      <c r="X8" s="151"/>
      <c r="Y8" s="151"/>
      <c r="Z8" s="151"/>
      <c r="AA8" s="358"/>
    </row>
    <row r="9" spans="1:27" ht="14.4" customHeight="1">
      <c r="A9" s="101" t="str">
        <f>IF(O9&gt;0,COUNT($A$8:A8)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9" s="664"/>
      <c r="C9" s="665"/>
      <c r="D9" s="553">
        <f>_xlfn.XLOOKUP(E9,'All Products'!D:D,'All Products'!C:C,FALSE)</f>
        <v>4103</v>
      </c>
      <c r="E9" s="554">
        <v>100026588</v>
      </c>
      <c r="F9" s="555" t="str">
        <f>_xlfn.XLOOKUP(E9,'All Products'!D:D,'All Products'!E:E,FALSE)</f>
        <v>1/2X2 NIPPLE MX TBE</v>
      </c>
      <c r="G9" s="554" t="s">
        <v>2202</v>
      </c>
      <c r="H9" s="556" t="s">
        <v>2203</v>
      </c>
      <c r="I9" s="556" t="s">
        <v>2204</v>
      </c>
      <c r="J9" s="554" t="s">
        <v>2205</v>
      </c>
      <c r="K9" s="554">
        <f>_xlfn.XLOOKUP(E9,'All Products'!D:D,'All Products'!F:F,FALSE)</f>
        <v>150</v>
      </c>
      <c r="L9" s="554">
        <f>_xlfn.XLOOKUP(E9,'All Products'!D:D,'All Products'!G:G,FALSE)</f>
        <v>40500</v>
      </c>
      <c r="M9" s="557">
        <f>_xlfn.XLOOKUP(E9,'All Products'!D:D,'All Products'!H:H,FALSE)</f>
        <v>1.97</v>
      </c>
      <c r="N9" s="552">
        <f>ROUNDUP(M9*Order_Quote!$L$21,2)</f>
        <v>1.97</v>
      </c>
      <c r="O9" s="558"/>
      <c r="P9" s="16"/>
      <c r="Q9" s="171">
        <f>O9/K9</f>
        <v>0</v>
      </c>
      <c r="S9" s="215" t="str">
        <f>_xlfn.XLOOKUP(E9,'All Products'!D:D,'All Products'!I:I,FALSE)</f>
        <v>Within 3 Weeks</v>
      </c>
      <c r="T9" s="215" t="str">
        <f>_xlfn.XLOOKUP(E9,'All Products'!D:D,'All Products'!J:J,FALSE)</f>
        <v>Sourced</v>
      </c>
      <c r="U9" s="266">
        <f>_xlfn.XLOOKUP(E9,'All Products'!D:D,'All Products'!K:K,FALSE)</f>
        <v>49081101961</v>
      </c>
      <c r="V9" s="266">
        <f>_xlfn.XLOOKUP(E9,'All Products'!D:D,'All Products'!L:L,FALSE)</f>
        <v>49081611966</v>
      </c>
      <c r="W9" s="266">
        <f>_xlfn.XLOOKUP(E9,'All Products'!D:D,'All Products'!M:M,FALSE)</f>
        <v>40049081101969</v>
      </c>
      <c r="X9" s="265">
        <f>_xlfn.XLOOKUP(E9,'All Products'!D:D,'All Products'!N:N,FALSE)</f>
        <v>1.6E-2</v>
      </c>
      <c r="Y9" s="265">
        <f>_xlfn.XLOOKUP(E9,'All Products'!D:D,'All Products'!O:O,FALSE)</f>
        <v>25</v>
      </c>
      <c r="Z9" s="265">
        <f>_xlfn.XLOOKUP(E9,'All Products'!D:D,'All Products'!P:P,FALSE)</f>
        <v>2.46</v>
      </c>
      <c r="AA9" s="265">
        <f>_xlfn.XLOOKUP(E9,'All Products'!D:D,'All Products'!Q:Q,FALSE)</f>
        <v>0.31</v>
      </c>
    </row>
    <row r="10" spans="1:27" ht="14.4" customHeight="1" thickBot="1">
      <c r="A10" s="101" t="str">
        <f>IF(O10&gt;0,COUNT($A$8:A9)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10" s="666"/>
      <c r="C10" s="667"/>
      <c r="D10" s="126">
        <f>_xlfn.XLOOKUP(E10,'All Products'!D:D,'All Products'!C:C,FALSE)</f>
        <v>4111</v>
      </c>
      <c r="E10" s="560">
        <v>100026596</v>
      </c>
      <c r="F10" s="561" t="str">
        <f>_xlfn.XLOOKUP(E10,'All Products'!D:D,'All Products'!E:E,FALSE)</f>
        <v>1/2X6 NIPPLE MX TBE</v>
      </c>
      <c r="G10" s="560" t="s">
        <v>2202</v>
      </c>
      <c r="H10" s="562" t="s">
        <v>2203</v>
      </c>
      <c r="I10" s="562" t="s">
        <v>2204</v>
      </c>
      <c r="J10" s="560" t="s">
        <v>2207</v>
      </c>
      <c r="K10" s="560">
        <f>_xlfn.XLOOKUP(E10,'All Products'!D:D,'All Products'!F:F,FALSE)</f>
        <v>100</v>
      </c>
      <c r="L10" s="560">
        <f>_xlfn.XLOOKUP(E10,'All Products'!D:D,'All Products'!G:G,FALSE)</f>
        <v>27000</v>
      </c>
      <c r="M10" s="563">
        <f>_xlfn.XLOOKUP(E10,'All Products'!D:D,'All Products'!H:H,FALSE)</f>
        <v>2.99</v>
      </c>
      <c r="N10" s="559">
        <f>ROUNDUP(M10*Order_Quote!$L$21,2)</f>
        <v>2.99</v>
      </c>
      <c r="O10" s="564"/>
      <c r="P10" s="16"/>
      <c r="Q10" s="171">
        <f>O10/K10</f>
        <v>0</v>
      </c>
      <c r="S10" s="215" t="str">
        <f>_xlfn.XLOOKUP(E10,'All Products'!D:D,'All Products'!I:I,FALSE)</f>
        <v>In Stock</v>
      </c>
      <c r="T10" s="215" t="str">
        <f>_xlfn.XLOOKUP(E10,'All Products'!D:D,'All Products'!J:J,FALSE)</f>
        <v>Manufactured</v>
      </c>
      <c r="U10" s="266">
        <f>_xlfn.XLOOKUP(E10,'All Products'!D:D,'All Products'!K:K,FALSE)</f>
        <v>49081102043</v>
      </c>
      <c r="V10" s="266" t="str">
        <f>_xlfn.XLOOKUP(E10,'All Products'!D:D,'All Products'!L:L,FALSE)</f>
        <v>-</v>
      </c>
      <c r="W10" s="266">
        <f>_xlfn.XLOOKUP(E10,'All Products'!D:D,'All Products'!M:M,FALSE)</f>
        <v>40049081102041</v>
      </c>
      <c r="X10" s="265">
        <f>_xlfn.XLOOKUP(E10,'All Products'!D:D,'All Products'!N:N,FALSE)</f>
        <v>0.04</v>
      </c>
      <c r="Y10" s="265" t="str">
        <f>_xlfn.XLOOKUP(E10,'All Products'!D:D,'All Products'!O:O,FALSE)</f>
        <v>-</v>
      </c>
      <c r="Z10" s="265">
        <f>_xlfn.XLOOKUP(E10,'All Products'!D:D,'All Products'!P:P,FALSE)</f>
        <v>3.95</v>
      </c>
      <c r="AA10" s="265">
        <f>_xlfn.XLOOKUP(E10,'All Products'!D:D,'All Products'!Q:Q,FALSE)</f>
        <v>0.31</v>
      </c>
    </row>
    <row r="11" spans="1:27" s="17" customFormat="1" ht="16.2" thickBot="1">
      <c r="A11" s="101" t="str">
        <f>IF(O11&gt;0,COUNT($A$8:A10)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11" s="446" t="s">
        <v>2208</v>
      </c>
      <c r="C11" s="151"/>
      <c r="D11" s="151"/>
      <c r="E11" s="459"/>
      <c r="F11" s="151"/>
      <c r="G11" s="468"/>
      <c r="H11" s="151"/>
      <c r="I11" s="472"/>
      <c r="J11" s="468"/>
      <c r="K11" s="192"/>
      <c r="L11" s="151"/>
      <c r="M11" s="151"/>
      <c r="N11" s="151"/>
      <c r="O11" s="358"/>
      <c r="P11" s="4"/>
      <c r="Q11" s="565"/>
      <c r="R11" s="2"/>
      <c r="S11" s="357"/>
      <c r="T11" s="145"/>
      <c r="U11" s="459"/>
      <c r="V11" s="459"/>
      <c r="W11" s="459"/>
      <c r="X11" s="151"/>
      <c r="Y11" s="151"/>
      <c r="Z11" s="151"/>
      <c r="AA11" s="358"/>
    </row>
    <row r="12" spans="1:27" ht="14.4" customHeight="1">
      <c r="A12" s="101" t="str">
        <f>IF(O12&gt;0,COUNT($A$8:A11)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12" s="664"/>
      <c r="C12" s="665"/>
      <c r="D12" s="553">
        <f>_xlfn.XLOOKUP(E12,'All Products'!D:D,'All Products'!C:C,FALSE)</f>
        <v>8100</v>
      </c>
      <c r="E12" s="554">
        <v>100026627</v>
      </c>
      <c r="F12" s="555" t="str">
        <f>_xlfn.XLOOKUP(E12,'All Products'!D:D,'All Products'!E:E,FALSE)</f>
        <v>1/2XCL NIPPLE TBE</v>
      </c>
      <c r="G12" s="554" t="s">
        <v>2202</v>
      </c>
      <c r="H12" s="556" t="s">
        <v>2210</v>
      </c>
      <c r="I12" s="556" t="s">
        <v>2204</v>
      </c>
      <c r="J12" s="554" t="s">
        <v>2211</v>
      </c>
      <c r="K12" s="554">
        <f>_xlfn.XLOOKUP(E12,'All Products'!D:D,'All Products'!F:F,FALSE)</f>
        <v>250</v>
      </c>
      <c r="L12" s="554">
        <f>_xlfn.XLOOKUP(E12,'All Products'!D:D,'All Products'!G:G,FALSE)</f>
        <v>67500</v>
      </c>
      <c r="M12" s="557">
        <f>_xlfn.XLOOKUP(E12,'All Products'!D:D,'All Products'!H:H,FALSE)</f>
        <v>1.1100000000000001</v>
      </c>
      <c r="N12" s="552">
        <f>ROUNDUP(M12*Order_Quote!$L$21,2)</f>
        <v>1.1100000000000001</v>
      </c>
      <c r="O12" s="558"/>
      <c r="P12" s="16"/>
      <c r="Q12" s="171">
        <f t="shared" ref="Q12:Q31" si="0">O12/K12</f>
        <v>0</v>
      </c>
      <c r="S12" s="247" t="str">
        <f>_xlfn.XLOOKUP(E12,'All Products'!D:D,'All Products'!I:I,FALSE)</f>
        <v>In Stock</v>
      </c>
      <c r="T12" s="247" t="str">
        <f>_xlfn.XLOOKUP(E12,'All Products'!D:D,'All Products'!J:J,FALSE)</f>
        <v>Manufactured</v>
      </c>
      <c r="U12" s="508">
        <f>_xlfn.XLOOKUP(E12,'All Products'!D:D,'All Products'!K:K,FALSE)</f>
        <v>49081118129</v>
      </c>
      <c r="V12" s="508">
        <f>_xlfn.XLOOKUP(E12,'All Products'!D:D,'All Products'!L:L,FALSE)</f>
        <v>49081618148</v>
      </c>
      <c r="W12" s="508">
        <f>_xlfn.XLOOKUP(E12,'All Products'!D:D,'All Products'!M:M,FALSE)</f>
        <v>40049081118127</v>
      </c>
      <c r="X12" s="474">
        <f>_xlfn.XLOOKUP(E12,'All Products'!D:D,'All Products'!N:N,FALSE)</f>
        <v>1.4E-2</v>
      </c>
      <c r="Y12" s="474">
        <f>_xlfn.XLOOKUP(E12,'All Products'!D:D,'All Products'!O:O,FALSE)</f>
        <v>25</v>
      </c>
      <c r="Z12" s="474">
        <f>_xlfn.XLOOKUP(E12,'All Products'!D:D,'All Products'!P:P,FALSE)</f>
        <v>4.24</v>
      </c>
      <c r="AA12" s="474">
        <f>_xlfn.XLOOKUP(E12,'All Products'!D:D,'All Products'!Q:Q,FALSE)</f>
        <v>0.31</v>
      </c>
    </row>
    <row r="13" spans="1:27" ht="14.4" customHeight="1">
      <c r="A13" s="101" t="str">
        <f>IF(O13&gt;0,COUNT($A$8:A12)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13" s="646"/>
      <c r="C13" s="647"/>
      <c r="D13" s="125">
        <f>_xlfn.XLOOKUP(E13,'All Products'!D:D,'All Products'!C:C,FALSE)</f>
        <v>8103</v>
      </c>
      <c r="E13" s="1">
        <v>100026629</v>
      </c>
      <c r="F13" s="15" t="str">
        <f>_xlfn.XLOOKUP(E13,'All Products'!D:D,'All Products'!E:E,FALSE)</f>
        <v>1/2X2 NIPPLE TBE</v>
      </c>
      <c r="G13" s="1" t="s">
        <v>2202</v>
      </c>
      <c r="H13" s="278" t="s">
        <v>2210</v>
      </c>
      <c r="I13" s="278" t="s">
        <v>2204</v>
      </c>
      <c r="J13" s="1" t="s">
        <v>2205</v>
      </c>
      <c r="K13" s="1">
        <f>_xlfn.XLOOKUP(E13,'All Products'!D:D,'All Products'!F:F,FALSE)</f>
        <v>200</v>
      </c>
      <c r="L13" s="1">
        <f>_xlfn.XLOOKUP(E13,'All Products'!D:D,'All Products'!G:G,FALSE)</f>
        <v>54000</v>
      </c>
      <c r="M13" s="132">
        <f>_xlfn.XLOOKUP(E13,'All Products'!D:D,'All Products'!H:H,FALSE)</f>
        <v>1.1100000000000001</v>
      </c>
      <c r="N13" s="179">
        <f>ROUNDUP(M13*Order_Quote!$L$21,2)</f>
        <v>1.1100000000000001</v>
      </c>
      <c r="O13" s="74"/>
      <c r="P13" s="16"/>
      <c r="Q13" s="171">
        <f t="shared" si="0"/>
        <v>0</v>
      </c>
      <c r="S13" s="247" t="str">
        <f>_xlfn.XLOOKUP(E13,'All Products'!D:D,'All Products'!I:I,FALSE)</f>
        <v>In Stock</v>
      </c>
      <c r="T13" s="247" t="str">
        <f>_xlfn.XLOOKUP(E13,'All Products'!D:D,'All Products'!J:J,FALSE)</f>
        <v>Manufactured</v>
      </c>
      <c r="U13" s="508">
        <f>_xlfn.XLOOKUP(E13,'All Products'!D:D,'All Products'!K:K,FALSE)</f>
        <v>49081118143</v>
      </c>
      <c r="V13" s="508">
        <f>_xlfn.XLOOKUP(E13,'All Products'!D:D,'All Products'!L:L,FALSE)</f>
        <v>49081618155</v>
      </c>
      <c r="W13" s="508">
        <f>_xlfn.XLOOKUP(E13,'All Products'!D:D,'All Products'!M:M,FALSE)</f>
        <v>40049081118141</v>
      </c>
      <c r="X13" s="474">
        <f>_xlfn.XLOOKUP(E13,'All Products'!D:D,'All Products'!N:N,FALSE)</f>
        <v>3.1E-2</v>
      </c>
      <c r="Y13" s="474">
        <f>_xlfn.XLOOKUP(E13,'All Products'!D:D,'All Products'!O:O,FALSE)</f>
        <v>25</v>
      </c>
      <c r="Z13" s="474">
        <f>_xlfn.XLOOKUP(E13,'All Products'!D:D,'All Products'!P:P,FALSE)</f>
        <v>6.2</v>
      </c>
      <c r="AA13" s="474">
        <f>_xlfn.XLOOKUP(E13,'All Products'!D:D,'All Products'!Q:Q,FALSE)</f>
        <v>0.31</v>
      </c>
    </row>
    <row r="14" spans="1:27" ht="14.4" customHeight="1">
      <c r="A14" s="101" t="str">
        <f>IF(O14&gt;0,COUNT($A$8:A13)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14" s="646"/>
      <c r="C14" s="647"/>
      <c r="D14" s="125">
        <f>_xlfn.XLOOKUP(E14,'All Products'!D:D,'All Products'!C:C,FALSE)</f>
        <v>8104</v>
      </c>
      <c r="E14" s="1">
        <v>100026630</v>
      </c>
      <c r="F14" s="15" t="str">
        <f>_xlfn.XLOOKUP(E14,'All Products'!D:D,'All Products'!E:E,FALSE)</f>
        <v>1/2X2-1/2 NIPPLE TBE</v>
      </c>
      <c r="G14" s="1" t="s">
        <v>2202</v>
      </c>
      <c r="H14" s="278" t="s">
        <v>2210</v>
      </c>
      <c r="I14" s="278" t="s">
        <v>2204</v>
      </c>
      <c r="J14" s="1" t="s">
        <v>2214</v>
      </c>
      <c r="K14" s="1">
        <f>_xlfn.XLOOKUP(E14,'All Products'!D:D,'All Products'!F:F,FALSE)</f>
        <v>125</v>
      </c>
      <c r="L14" s="1">
        <f>_xlfn.XLOOKUP(E14,'All Products'!D:D,'All Products'!G:G,FALSE)</f>
        <v>33750</v>
      </c>
      <c r="M14" s="132">
        <f>_xlfn.XLOOKUP(E14,'All Products'!D:D,'All Products'!H:H,FALSE)</f>
        <v>1.32</v>
      </c>
      <c r="N14" s="179">
        <f>ROUNDUP(M14*Order_Quote!$L$21,2)</f>
        <v>1.32</v>
      </c>
      <c r="O14" s="74"/>
      <c r="P14" s="16"/>
      <c r="Q14" s="171">
        <f t="shared" si="0"/>
        <v>0</v>
      </c>
      <c r="S14" s="215" t="str">
        <f>_xlfn.XLOOKUP(E14,'All Products'!D:D,'All Products'!I:I,FALSE)</f>
        <v>In Stock</v>
      </c>
      <c r="T14" s="215" t="str">
        <f>_xlfn.XLOOKUP(E14,'All Products'!D:D,'All Products'!J:J,FALSE)</f>
        <v>Manufactured</v>
      </c>
      <c r="U14" s="266">
        <f>_xlfn.XLOOKUP(E14,'All Products'!D:D,'All Products'!K:K,FALSE)</f>
        <v>49081118150</v>
      </c>
      <c r="V14" s="266">
        <f>_xlfn.XLOOKUP(E14,'All Products'!D:D,'All Products'!L:L,FALSE)</f>
        <v>49081618162</v>
      </c>
      <c r="W14" s="266">
        <f>_xlfn.XLOOKUP(E14,'All Products'!D:D,'All Products'!M:M,FALSE)</f>
        <v>40049081118158</v>
      </c>
      <c r="X14" s="265">
        <f>_xlfn.XLOOKUP(E14,'All Products'!D:D,'All Products'!N:N,FALSE)</f>
        <v>3.5999999999999997E-2</v>
      </c>
      <c r="Y14" s="265">
        <f>_xlfn.XLOOKUP(E14,'All Products'!D:D,'All Products'!O:O,FALSE)</f>
        <v>25</v>
      </c>
      <c r="Z14" s="265">
        <f>_xlfn.XLOOKUP(E14,'All Products'!D:D,'All Products'!P:P,FALSE)</f>
        <v>5.07</v>
      </c>
      <c r="AA14" s="265">
        <f>_xlfn.XLOOKUP(E14,'All Products'!D:D,'All Products'!Q:Q,FALSE)</f>
        <v>0.31</v>
      </c>
    </row>
    <row r="15" spans="1:27" ht="14.4" customHeight="1">
      <c r="A15" s="101" t="str">
        <f>IF(O15&gt;0,COUNT($A$8:A14)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15" s="646"/>
      <c r="C15" s="647"/>
      <c r="D15" s="125">
        <f>_xlfn.XLOOKUP(E15,'All Products'!D:D,'All Products'!C:C,FALSE)</f>
        <v>8105</v>
      </c>
      <c r="E15" s="1">
        <v>100026631</v>
      </c>
      <c r="F15" s="15" t="str">
        <f>_xlfn.XLOOKUP(E15,'All Products'!D:D,'All Products'!E:E,FALSE)</f>
        <v>1/2X3 NIPPLE TBE</v>
      </c>
      <c r="G15" s="1" t="s">
        <v>2202</v>
      </c>
      <c r="H15" s="278" t="s">
        <v>2210</v>
      </c>
      <c r="I15" s="278" t="s">
        <v>2204</v>
      </c>
      <c r="J15" s="1" t="s">
        <v>2216</v>
      </c>
      <c r="K15" s="1">
        <f>_xlfn.XLOOKUP(E15,'All Products'!D:D,'All Products'!F:F,FALSE)</f>
        <v>125</v>
      </c>
      <c r="L15" s="1">
        <f>_xlfn.XLOOKUP(E15,'All Products'!D:D,'All Products'!G:G,FALSE)</f>
        <v>33750</v>
      </c>
      <c r="M15" s="132">
        <f>_xlfn.XLOOKUP(E15,'All Products'!D:D,'All Products'!H:H,FALSE)</f>
        <v>1.32</v>
      </c>
      <c r="N15" s="179">
        <f>ROUNDUP(M15*Order_Quote!$L$21,2)</f>
        <v>1.32</v>
      </c>
      <c r="O15" s="74"/>
      <c r="P15" s="16"/>
      <c r="Q15" s="171">
        <f t="shared" si="0"/>
        <v>0</v>
      </c>
      <c r="S15" s="215" t="str">
        <f>_xlfn.XLOOKUP(E15,'All Products'!D:D,'All Products'!I:I,FALSE)</f>
        <v>In Stock</v>
      </c>
      <c r="T15" s="215" t="str">
        <f>_xlfn.XLOOKUP(E15,'All Products'!D:D,'All Products'!J:J,FALSE)</f>
        <v>Manufactured</v>
      </c>
      <c r="U15" s="266">
        <f>_xlfn.XLOOKUP(E15,'All Products'!D:D,'All Products'!K:K,FALSE)</f>
        <v>49081118167</v>
      </c>
      <c r="V15" s="266" t="str">
        <f>_xlfn.XLOOKUP(E15,'All Products'!D:D,'All Products'!L:L,FALSE)</f>
        <v>-</v>
      </c>
      <c r="W15" s="266">
        <f>_xlfn.XLOOKUP(E15,'All Products'!D:D,'All Products'!M:M,FALSE)</f>
        <v>40049081118165</v>
      </c>
      <c r="X15" s="265">
        <f>_xlfn.XLOOKUP(E15,'All Products'!D:D,'All Products'!N:N,FALSE)</f>
        <v>4.2999999999999997E-2</v>
      </c>
      <c r="Y15" s="265">
        <f>_xlfn.XLOOKUP(E15,'All Products'!D:D,'All Products'!O:O,FALSE)</f>
        <v>25</v>
      </c>
      <c r="Z15" s="265">
        <f>_xlfn.XLOOKUP(E15,'All Products'!D:D,'All Products'!P:P,FALSE)</f>
        <v>6.09</v>
      </c>
      <c r="AA15" s="265">
        <f>_xlfn.XLOOKUP(E15,'All Products'!D:D,'All Products'!Q:Q,FALSE)</f>
        <v>0.31</v>
      </c>
    </row>
    <row r="16" spans="1:27" ht="14.4" customHeight="1">
      <c r="A16" s="101" t="str">
        <f>IF(O16&gt;0,COUNT($A$8:A15)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16" s="646"/>
      <c r="C16" s="647"/>
      <c r="D16" s="125">
        <f>_xlfn.XLOOKUP(E16,'All Products'!D:D,'All Products'!C:C,FALSE)</f>
        <v>8106</v>
      </c>
      <c r="E16" s="1">
        <v>100026632</v>
      </c>
      <c r="F16" s="15" t="str">
        <f>_xlfn.XLOOKUP(E16,'All Products'!D:D,'All Products'!E:E,FALSE)</f>
        <v>1/2X3-1/2 NIPPLE TBE</v>
      </c>
      <c r="G16" s="1" t="s">
        <v>2202</v>
      </c>
      <c r="H16" s="278" t="s">
        <v>2210</v>
      </c>
      <c r="I16" s="278" t="s">
        <v>2204</v>
      </c>
      <c r="J16" s="1" t="s">
        <v>2218</v>
      </c>
      <c r="K16" s="1">
        <f>_xlfn.XLOOKUP(E16,'All Products'!D:D,'All Products'!F:F,FALSE)</f>
        <v>125</v>
      </c>
      <c r="L16" s="1">
        <f>_xlfn.XLOOKUP(E16,'All Products'!D:D,'All Products'!G:G,FALSE)</f>
        <v>33750</v>
      </c>
      <c r="M16" s="132">
        <f>_xlfn.XLOOKUP(E16,'All Products'!D:D,'All Products'!H:H,FALSE)</f>
        <v>1.52</v>
      </c>
      <c r="N16" s="179">
        <f>ROUNDUP(M16*Order_Quote!$L$21,2)</f>
        <v>1.52</v>
      </c>
      <c r="O16" s="74"/>
      <c r="P16" s="16"/>
      <c r="Q16" s="171">
        <f t="shared" si="0"/>
        <v>0</v>
      </c>
      <c r="S16" s="215" t="str">
        <f>_xlfn.XLOOKUP(E16,'All Products'!D:D,'All Products'!I:I,FALSE)</f>
        <v>Within 3 Weeks</v>
      </c>
      <c r="T16" s="215" t="str">
        <f>_xlfn.XLOOKUP(E16,'All Products'!D:D,'All Products'!J:J,FALSE)</f>
        <v>Manufactured</v>
      </c>
      <c r="U16" s="266">
        <f>_xlfn.XLOOKUP(E16,'All Products'!D:D,'All Products'!K:K,FALSE)</f>
        <v>49081118174</v>
      </c>
      <c r="V16" s="266" t="str">
        <f>_xlfn.XLOOKUP(E16,'All Products'!D:D,'All Products'!L:L,FALSE)</f>
        <v>-</v>
      </c>
      <c r="W16" s="266">
        <f>_xlfn.XLOOKUP(E16,'All Products'!D:D,'All Products'!M:M,FALSE)</f>
        <v>40049081118172</v>
      </c>
      <c r="X16" s="265">
        <f>_xlfn.XLOOKUP(E16,'All Products'!D:D,'All Products'!N:N,FALSE)</f>
        <v>5.6000000000000001E-2</v>
      </c>
      <c r="Y16" s="265">
        <f>_xlfn.XLOOKUP(E16,'All Products'!D:D,'All Products'!O:O,FALSE)</f>
        <v>25</v>
      </c>
      <c r="Z16" s="265">
        <f>_xlfn.XLOOKUP(E16,'All Products'!D:D,'All Products'!P:P,FALSE)</f>
        <v>6.97</v>
      </c>
      <c r="AA16" s="265">
        <f>_xlfn.XLOOKUP(E16,'All Products'!D:D,'All Products'!Q:Q,FALSE)</f>
        <v>0.31</v>
      </c>
    </row>
    <row r="17" spans="1:27" ht="14.4" customHeight="1">
      <c r="A17" s="101" t="str">
        <f>IF(O17&gt;0,COUNT($A$8:A16)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17" s="646"/>
      <c r="C17" s="647"/>
      <c r="D17" s="125">
        <f>_xlfn.XLOOKUP(E17,'All Products'!D:D,'All Products'!C:C,FALSE)</f>
        <v>8109</v>
      </c>
      <c r="E17" s="1">
        <v>100026635</v>
      </c>
      <c r="F17" s="15" t="str">
        <f>_xlfn.XLOOKUP(E17,'All Products'!D:D,'All Products'!E:E,FALSE)</f>
        <v>1/2X5 NIPPLE TBE</v>
      </c>
      <c r="G17" s="1" t="s">
        <v>2202</v>
      </c>
      <c r="H17" s="278" t="s">
        <v>2210</v>
      </c>
      <c r="I17" s="278" t="s">
        <v>2204</v>
      </c>
      <c r="J17" s="1" t="s">
        <v>2220</v>
      </c>
      <c r="K17" s="1">
        <f>_xlfn.XLOOKUP(E17,'All Products'!D:D,'All Products'!F:F,FALSE)</f>
        <v>125</v>
      </c>
      <c r="L17" s="1">
        <f>_xlfn.XLOOKUP(E17,'All Products'!D:D,'All Products'!G:G,FALSE)</f>
        <v>33750</v>
      </c>
      <c r="M17" s="132">
        <f>_xlfn.XLOOKUP(E17,'All Products'!D:D,'All Products'!H:H,FALSE)</f>
        <v>1.61</v>
      </c>
      <c r="N17" s="179">
        <f>ROUNDUP(M17*Order_Quote!$L$21,2)</f>
        <v>1.61</v>
      </c>
      <c r="O17" s="74"/>
      <c r="P17" s="16"/>
      <c r="Q17" s="171">
        <f t="shared" si="0"/>
        <v>0</v>
      </c>
      <c r="S17" s="215" t="str">
        <f>_xlfn.XLOOKUP(E17,'All Products'!D:D,'All Products'!I:I,FALSE)</f>
        <v>Within 3 Weeks</v>
      </c>
      <c r="T17" s="215" t="str">
        <f>_xlfn.XLOOKUP(E17,'All Products'!D:D,'All Products'!J:J,FALSE)</f>
        <v>Sourced</v>
      </c>
      <c r="U17" s="266">
        <f>_xlfn.XLOOKUP(E17,'All Products'!D:D,'All Products'!K:K,FALSE)</f>
        <v>49081118204</v>
      </c>
      <c r="V17" s="266" t="str">
        <f>_xlfn.XLOOKUP(E17,'All Products'!D:D,'All Products'!L:L,FALSE)</f>
        <v>-</v>
      </c>
      <c r="W17" s="266">
        <f>_xlfn.XLOOKUP(E17,'All Products'!D:D,'All Products'!M:M,FALSE)</f>
        <v>40049081118202</v>
      </c>
      <c r="X17" s="265">
        <f>_xlfn.XLOOKUP(E17,'All Products'!D:D,'All Products'!N:N,FALSE)</f>
        <v>0.08</v>
      </c>
      <c r="Y17" s="265" t="str">
        <f>_xlfn.XLOOKUP(E17,'All Products'!D:D,'All Products'!O:O,FALSE)</f>
        <v>-</v>
      </c>
      <c r="Z17" s="265">
        <f>_xlfn.XLOOKUP(E17,'All Products'!D:D,'All Products'!P:P,FALSE)</f>
        <v>10.08</v>
      </c>
      <c r="AA17" s="265">
        <f>_xlfn.XLOOKUP(E17,'All Products'!D:D,'All Products'!Q:Q,FALSE)</f>
        <v>0.31</v>
      </c>
    </row>
    <row r="18" spans="1:27" ht="14.4" customHeight="1">
      <c r="A18" s="101" t="str">
        <f>IF(O18&gt;0,COUNT($A$8:A17)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18" s="646"/>
      <c r="C18" s="647"/>
      <c r="D18" s="125">
        <f>_xlfn.XLOOKUP(E18,'All Products'!D:D,'All Products'!C:C,FALSE)</f>
        <v>8111</v>
      </c>
      <c r="E18" s="1">
        <v>100026637</v>
      </c>
      <c r="F18" s="15" t="str">
        <f>_xlfn.XLOOKUP(E18,'All Products'!D:D,'All Products'!E:E,FALSE)</f>
        <v>1/2X6 NIPPLE TBE</v>
      </c>
      <c r="G18" s="1" t="s">
        <v>2222</v>
      </c>
      <c r="H18" s="278" t="s">
        <v>2210</v>
      </c>
      <c r="I18" s="278" t="s">
        <v>2204</v>
      </c>
      <c r="J18" s="1" t="s">
        <v>2207</v>
      </c>
      <c r="K18" s="1">
        <f>_xlfn.XLOOKUP(E18,'All Products'!D:D,'All Products'!F:F,FALSE)</f>
        <v>100</v>
      </c>
      <c r="L18" s="1">
        <f>_xlfn.XLOOKUP(E18,'All Products'!D:D,'All Products'!G:G,FALSE)</f>
        <v>15000</v>
      </c>
      <c r="M18" s="132">
        <f>_xlfn.XLOOKUP(E18,'All Products'!D:D,'All Products'!H:H,FALSE)</f>
        <v>1.86</v>
      </c>
      <c r="N18" s="179">
        <f>ROUNDUP(M18*Order_Quote!$L$21,2)</f>
        <v>1.86</v>
      </c>
      <c r="O18" s="74"/>
      <c r="P18" s="16"/>
      <c r="Q18" s="171">
        <f t="shared" si="0"/>
        <v>0</v>
      </c>
      <c r="S18" s="215" t="str">
        <f>_xlfn.XLOOKUP(E18,'All Products'!D:D,'All Products'!I:I,FALSE)</f>
        <v>In Stock</v>
      </c>
      <c r="T18" s="215" t="str">
        <f>_xlfn.XLOOKUP(E18,'All Products'!D:D,'All Products'!J:J,FALSE)</f>
        <v>Manufactured</v>
      </c>
      <c r="U18" s="266">
        <f>_xlfn.XLOOKUP(E18,'All Products'!D:D,'All Products'!K:K,FALSE)</f>
        <v>49081118228</v>
      </c>
      <c r="V18" s="266" t="str">
        <f>_xlfn.XLOOKUP(E18,'All Products'!D:D,'All Products'!L:L,FALSE)</f>
        <v>-</v>
      </c>
      <c r="W18" s="266">
        <f>_xlfn.XLOOKUP(E18,'All Products'!D:D,'All Products'!M:M,FALSE)</f>
        <v>40049081118226</v>
      </c>
      <c r="X18" s="265">
        <f>_xlfn.XLOOKUP(E18,'All Products'!D:D,'All Products'!N:N,FALSE)</f>
        <v>9.9000000000000005E-2</v>
      </c>
      <c r="Y18" s="265">
        <f>_xlfn.XLOOKUP(E18,'All Products'!D:D,'All Products'!O:O,FALSE)</f>
        <v>20</v>
      </c>
      <c r="Z18" s="265">
        <f>_xlfn.XLOOKUP(E18,'All Products'!D:D,'All Products'!P:P,FALSE)</f>
        <v>9.9600000000000009</v>
      </c>
      <c r="AA18" s="265">
        <f>_xlfn.XLOOKUP(E18,'All Products'!D:D,'All Products'!Q:Q,FALSE)</f>
        <v>0.5</v>
      </c>
    </row>
    <row r="19" spans="1:27" ht="14.4" customHeight="1">
      <c r="A19" s="101" t="str">
        <f>IF(O19&gt;0,COUNT($A$8:A18)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19" s="646"/>
      <c r="C19" s="647"/>
      <c r="D19" s="125">
        <f>_xlfn.XLOOKUP(E19,'All Products'!D:D,'All Products'!C:C,FALSE)</f>
        <v>8115</v>
      </c>
      <c r="E19" s="1">
        <v>100026641</v>
      </c>
      <c r="F19" s="15" t="str">
        <f>_xlfn.XLOOKUP(E19,'All Products'!D:D,'All Products'!E:E,FALSE)</f>
        <v>1/2X8 NIPPLE TBE</v>
      </c>
      <c r="G19" s="1" t="s">
        <v>2222</v>
      </c>
      <c r="H19" s="278" t="s">
        <v>2210</v>
      </c>
      <c r="I19" s="278" t="s">
        <v>2204</v>
      </c>
      <c r="J19" s="1" t="s">
        <v>2224</v>
      </c>
      <c r="K19" s="1">
        <f>_xlfn.XLOOKUP(E19,'All Products'!D:D,'All Products'!F:F,FALSE)</f>
        <v>50</v>
      </c>
      <c r="L19" s="1" t="str">
        <f>_xlfn.XLOOKUP(E19,'All Products'!D:D,'All Products'!G:G,FALSE)</f>
        <v>-</v>
      </c>
      <c r="M19" s="132">
        <f>_xlfn.XLOOKUP(E19,'All Products'!D:D,'All Products'!H:H,FALSE)</f>
        <v>3.59</v>
      </c>
      <c r="N19" s="179">
        <f>ROUNDUP(M19*Order_Quote!$L$21,2)</f>
        <v>3.59</v>
      </c>
      <c r="O19" s="74"/>
      <c r="P19" s="16"/>
      <c r="Q19" s="171">
        <f t="shared" si="0"/>
        <v>0</v>
      </c>
      <c r="S19" s="215" t="str">
        <f>_xlfn.XLOOKUP(E19,'All Products'!D:D,'All Products'!I:I,FALSE)</f>
        <v>In Stock</v>
      </c>
      <c r="T19" s="215" t="str">
        <f>_xlfn.XLOOKUP(E19,'All Products'!D:D,'All Products'!J:J,FALSE)</f>
        <v>Manufactured</v>
      </c>
      <c r="U19" s="266">
        <f>_xlfn.XLOOKUP(E19,'All Products'!D:D,'All Products'!K:K,FALSE)</f>
        <v>49081118242</v>
      </c>
      <c r="V19" s="266" t="str">
        <f>_xlfn.XLOOKUP(E19,'All Products'!D:D,'All Products'!L:L,FALSE)</f>
        <v>-</v>
      </c>
      <c r="W19" s="266">
        <f>_xlfn.XLOOKUP(E19,'All Products'!D:D,'All Products'!M:M,FALSE)</f>
        <v>40049081118240</v>
      </c>
      <c r="X19" s="265">
        <f>_xlfn.XLOOKUP(E19,'All Products'!D:D,'All Products'!N:N,FALSE)</f>
        <v>0.127</v>
      </c>
      <c r="Y19" s="265" t="str">
        <f>_xlfn.XLOOKUP(E19,'All Products'!D:D,'All Products'!O:O,FALSE)</f>
        <v>-</v>
      </c>
      <c r="Z19" s="265">
        <f>_xlfn.XLOOKUP(E19,'All Products'!D:D,'All Products'!P:P,FALSE)</f>
        <v>6.2</v>
      </c>
      <c r="AA19" s="265" t="str">
        <f>_xlfn.XLOOKUP(E19,'All Products'!D:D,'All Products'!Q:Q,FALSE)</f>
        <v>-</v>
      </c>
    </row>
    <row r="20" spans="1:27" ht="14.4" customHeight="1">
      <c r="A20" s="101" t="str">
        <f>IF(O20&gt;0,COUNT($A$8:A19)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20" s="646"/>
      <c r="C20" s="647"/>
      <c r="D20" s="125">
        <f>_xlfn.XLOOKUP(E20,'All Products'!D:D,'All Products'!C:C,FALSE)</f>
        <v>8131</v>
      </c>
      <c r="E20" s="1">
        <v>100026645</v>
      </c>
      <c r="F20" s="15" t="str">
        <f>_xlfn.XLOOKUP(E20,'All Products'!D:D,'All Products'!E:E,FALSE)</f>
        <v>1/2X16 NIPPLE TBE</v>
      </c>
      <c r="G20" s="1" t="s">
        <v>2222</v>
      </c>
      <c r="H20" s="278" t="s">
        <v>2210</v>
      </c>
      <c r="I20" s="278" t="s">
        <v>2204</v>
      </c>
      <c r="J20" s="1" t="s">
        <v>2226</v>
      </c>
      <c r="K20" s="1">
        <f>_xlfn.XLOOKUP(E20,'All Products'!D:D,'All Products'!F:F,FALSE)</f>
        <v>50</v>
      </c>
      <c r="L20" s="1">
        <f>_xlfn.XLOOKUP(E20,'All Products'!D:D,'All Products'!G:G,FALSE)</f>
        <v>7500</v>
      </c>
      <c r="M20" s="132">
        <f>_xlfn.XLOOKUP(E20,'All Products'!D:D,'All Products'!H:H,FALSE)</f>
        <v>6.09</v>
      </c>
      <c r="N20" s="179">
        <f>ROUNDUP(M20*Order_Quote!$L$21,2)</f>
        <v>6.09</v>
      </c>
      <c r="O20" s="74"/>
      <c r="P20" s="16"/>
      <c r="Q20" s="171">
        <f t="shared" si="0"/>
        <v>0</v>
      </c>
      <c r="S20" s="215" t="str">
        <f>_xlfn.XLOOKUP(E20,'All Products'!D:D,'All Products'!I:I,FALSE)</f>
        <v>Within 3 Weeks</v>
      </c>
      <c r="T20" s="215" t="str">
        <f>_xlfn.XLOOKUP(E20,'All Products'!D:D,'All Products'!J:J,FALSE)</f>
        <v>Sourced</v>
      </c>
      <c r="U20" s="266">
        <f>_xlfn.XLOOKUP(E20,'All Products'!D:D,'All Products'!K:K,FALSE)</f>
        <v>49081118327</v>
      </c>
      <c r="V20" s="266" t="str">
        <f>_xlfn.XLOOKUP(E20,'All Products'!D:D,'All Products'!L:L,FALSE)</f>
        <v>-</v>
      </c>
      <c r="W20" s="266">
        <f>_xlfn.XLOOKUP(E20,'All Products'!D:D,'All Products'!M:M,FALSE)</f>
        <v>40049081118325</v>
      </c>
      <c r="X20" s="265">
        <f>_xlfn.XLOOKUP(E20,'All Products'!D:D,'All Products'!N:N,FALSE)</f>
        <v>0.24199999999999999</v>
      </c>
      <c r="Y20" s="265" t="str">
        <f>_xlfn.XLOOKUP(E20,'All Products'!D:D,'All Products'!O:O,FALSE)</f>
        <v>-</v>
      </c>
      <c r="Z20" s="265">
        <f>_xlfn.XLOOKUP(E20,'All Products'!D:D,'All Products'!P:P,FALSE)</f>
        <v>12.1</v>
      </c>
      <c r="AA20" s="265">
        <f>_xlfn.XLOOKUP(E20,'All Products'!D:D,'All Products'!Q:Q,FALSE)</f>
        <v>0.5</v>
      </c>
    </row>
    <row r="21" spans="1:27" ht="14.4" customHeight="1">
      <c r="A21" s="101" t="str">
        <f>IF(O21&gt;0,COUNT($A$8:A20)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21" s="646"/>
      <c r="C21" s="647"/>
      <c r="D21" s="125">
        <f>_xlfn.XLOOKUP(E21,'All Products'!D:D,'All Products'!C:C,FALSE)</f>
        <v>8135</v>
      </c>
      <c r="E21" s="1">
        <v>100026646</v>
      </c>
      <c r="F21" s="15" t="str">
        <f>_xlfn.XLOOKUP(E21,'All Products'!D:D,'All Products'!E:E,FALSE)</f>
        <v>1/2X18 NIPPLE TBE</v>
      </c>
      <c r="G21" s="1" t="s">
        <v>2222</v>
      </c>
      <c r="H21" s="278" t="s">
        <v>2210</v>
      </c>
      <c r="I21" s="278" t="s">
        <v>2204</v>
      </c>
      <c r="J21" s="1" t="s">
        <v>2228</v>
      </c>
      <c r="K21" s="1">
        <f>_xlfn.XLOOKUP(E21,'All Products'!D:D,'All Products'!F:F,FALSE)</f>
        <v>50</v>
      </c>
      <c r="L21" s="1" t="str">
        <f>_xlfn.XLOOKUP(E21,'All Products'!D:D,'All Products'!G:G,FALSE)</f>
        <v>-</v>
      </c>
      <c r="M21" s="132">
        <f>_xlfn.XLOOKUP(E21,'All Products'!D:D,'All Products'!H:H,FALSE)</f>
        <v>6.58</v>
      </c>
      <c r="N21" s="179">
        <f>ROUNDUP(M21*Order_Quote!$L$21,2)</f>
        <v>6.58</v>
      </c>
      <c r="O21" s="74"/>
      <c r="P21" s="16"/>
      <c r="Q21" s="171">
        <f t="shared" si="0"/>
        <v>0</v>
      </c>
      <c r="S21" s="215" t="str">
        <f>_xlfn.XLOOKUP(E21,'All Products'!D:D,'All Products'!I:I,FALSE)</f>
        <v>Within 3 Weeks</v>
      </c>
      <c r="T21" s="215" t="str">
        <f>_xlfn.XLOOKUP(E21,'All Products'!D:D,'All Products'!J:J,FALSE)</f>
        <v>Sourced</v>
      </c>
      <c r="U21" s="266">
        <f>_xlfn.XLOOKUP(E21,'All Products'!D:D,'All Products'!K:K,FALSE)</f>
        <v>49081118341</v>
      </c>
      <c r="V21" s="266" t="str">
        <f>_xlfn.XLOOKUP(E21,'All Products'!D:D,'All Products'!L:L,FALSE)</f>
        <v>-</v>
      </c>
      <c r="W21" s="266">
        <f>_xlfn.XLOOKUP(E21,'All Products'!D:D,'All Products'!M:M,FALSE)</f>
        <v>40049081118349</v>
      </c>
      <c r="X21" s="265">
        <f>_xlfn.XLOOKUP(E21,'All Products'!D:D,'All Products'!N:N,FALSE)</f>
        <v>0.28999999999999998</v>
      </c>
      <c r="Y21" s="265" t="str">
        <f>_xlfn.XLOOKUP(E21,'All Products'!D:D,'All Products'!O:O,FALSE)</f>
        <v>-</v>
      </c>
      <c r="Z21" s="265">
        <f>_xlfn.XLOOKUP(E21,'All Products'!D:D,'All Products'!P:P,FALSE)</f>
        <v>14.5</v>
      </c>
      <c r="AA21" s="265" t="str">
        <f>_xlfn.XLOOKUP(E21,'All Products'!D:D,'All Products'!Q:Q,FALSE)</f>
        <v>-</v>
      </c>
    </row>
    <row r="22" spans="1:27" ht="14.4" customHeight="1">
      <c r="A22" s="101" t="str">
        <f>IF(O22&gt;0,COUNT($A$8:A21)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22" s="646"/>
      <c r="C22" s="647"/>
      <c r="D22" s="125">
        <f>_xlfn.XLOOKUP(E22,'All Products'!D:D,'All Products'!C:C,FALSE)</f>
        <v>8146</v>
      </c>
      <c r="E22" s="1">
        <v>100026648</v>
      </c>
      <c r="F22" s="15" t="str">
        <f>_xlfn.XLOOKUP(E22,'All Products'!D:D,'All Products'!E:E,FALSE)</f>
        <v>1/2X24 NIPPLE TBE</v>
      </c>
      <c r="G22" s="1" t="s">
        <v>2222</v>
      </c>
      <c r="H22" s="278" t="s">
        <v>2210</v>
      </c>
      <c r="I22" s="278" t="s">
        <v>2204</v>
      </c>
      <c r="J22" s="1" t="s">
        <v>2230</v>
      </c>
      <c r="K22" s="1">
        <f>_xlfn.XLOOKUP(E22,'All Products'!D:D,'All Products'!F:F,FALSE)</f>
        <v>50</v>
      </c>
      <c r="L22" s="1" t="str">
        <f>_xlfn.XLOOKUP(E22,'All Products'!D:D,'All Products'!G:G,FALSE)</f>
        <v>-</v>
      </c>
      <c r="M22" s="132">
        <f>_xlfn.XLOOKUP(E22,'All Products'!D:D,'All Products'!H:H,FALSE)</f>
        <v>8.0500000000000007</v>
      </c>
      <c r="N22" s="179">
        <f>ROUNDUP(M22*Order_Quote!$L$21,2)</f>
        <v>8.0500000000000007</v>
      </c>
      <c r="O22" s="74"/>
      <c r="P22" s="16"/>
      <c r="Q22" s="171">
        <f t="shared" si="0"/>
        <v>0</v>
      </c>
      <c r="S22" s="215" t="str">
        <f>_xlfn.XLOOKUP(E22,'All Products'!D:D,'All Products'!I:I,FALSE)</f>
        <v>Within 3 Weeks</v>
      </c>
      <c r="T22" s="215" t="str">
        <f>_xlfn.XLOOKUP(E22,'All Products'!D:D,'All Products'!J:J,FALSE)</f>
        <v>Sourced</v>
      </c>
      <c r="U22" s="266">
        <f>_xlfn.XLOOKUP(E22,'All Products'!D:D,'All Products'!K:K,FALSE)</f>
        <v>49081118389</v>
      </c>
      <c r="V22" s="266" t="str">
        <f>_xlfn.XLOOKUP(E22,'All Products'!D:D,'All Products'!L:L,FALSE)</f>
        <v>-</v>
      </c>
      <c r="W22" s="266">
        <f>_xlfn.XLOOKUP(E22,'All Products'!D:D,'All Products'!M:M,FALSE)</f>
        <v>40049081118387</v>
      </c>
      <c r="X22" s="265">
        <f>_xlfn.XLOOKUP(E22,'All Products'!D:D,'All Products'!N:N,FALSE)</f>
        <v>0.378</v>
      </c>
      <c r="Y22" s="265" t="str">
        <f>_xlfn.XLOOKUP(E22,'All Products'!D:D,'All Products'!O:O,FALSE)</f>
        <v>-</v>
      </c>
      <c r="Z22" s="265">
        <f>_xlfn.XLOOKUP(E22,'All Products'!D:D,'All Products'!P:P,FALSE)</f>
        <v>18.899999999999999</v>
      </c>
      <c r="AA22" s="265" t="str">
        <f>_xlfn.XLOOKUP(E22,'All Products'!D:D,'All Products'!Q:Q,FALSE)</f>
        <v>-</v>
      </c>
    </row>
    <row r="23" spans="1:27" ht="14.4" customHeight="1">
      <c r="A23" s="101" t="str">
        <f>IF(O23&gt;0,COUNT($A$8:A22)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23" s="646"/>
      <c r="C23" s="647"/>
      <c r="D23" s="125">
        <f>_xlfn.XLOOKUP(E23,'All Products'!D:D,'All Products'!C:C,FALSE)</f>
        <v>8150</v>
      </c>
      <c r="E23" s="1">
        <v>100026650</v>
      </c>
      <c r="F23" s="15" t="str">
        <f>_xlfn.XLOOKUP(E23,'All Products'!D:D,'All Products'!E:E,FALSE)</f>
        <v>1/2X30 NIPPLE TBE</v>
      </c>
      <c r="G23" s="1" t="s">
        <v>2222</v>
      </c>
      <c r="H23" s="278" t="s">
        <v>2210</v>
      </c>
      <c r="I23" s="278" t="s">
        <v>2204</v>
      </c>
      <c r="J23" s="1" t="s">
        <v>2232</v>
      </c>
      <c r="K23" s="1">
        <f>_xlfn.XLOOKUP(E23,'All Products'!D:D,'All Products'!F:F,FALSE)</f>
        <v>50</v>
      </c>
      <c r="L23" s="1" t="str">
        <f>_xlfn.XLOOKUP(E23,'All Products'!D:D,'All Products'!G:G,FALSE)</f>
        <v>-</v>
      </c>
      <c r="M23" s="132">
        <f>_xlfn.XLOOKUP(E23,'All Products'!D:D,'All Products'!H:H,FALSE)</f>
        <v>9.8699999999999992</v>
      </c>
      <c r="N23" s="179">
        <f>ROUNDUP(M23*Order_Quote!$L$21,2)</f>
        <v>9.8699999999999992</v>
      </c>
      <c r="O23" s="74"/>
      <c r="P23" s="16"/>
      <c r="Q23" s="171">
        <f t="shared" si="0"/>
        <v>0</v>
      </c>
      <c r="S23" s="215" t="str">
        <f>_xlfn.XLOOKUP(E23,'All Products'!D:D,'All Products'!I:I,FALSE)</f>
        <v>Within 3 Weeks</v>
      </c>
      <c r="T23" s="215" t="str">
        <f>_xlfn.XLOOKUP(E23,'All Products'!D:D,'All Products'!J:J,FALSE)</f>
        <v>Sourced</v>
      </c>
      <c r="U23" s="266">
        <f>_xlfn.XLOOKUP(E23,'All Products'!D:D,'All Products'!K:K,FALSE)</f>
        <v>49081118396</v>
      </c>
      <c r="V23" s="266" t="str">
        <f>_xlfn.XLOOKUP(E23,'All Products'!D:D,'All Products'!L:L,FALSE)</f>
        <v>-</v>
      </c>
      <c r="W23" s="266">
        <f>_xlfn.XLOOKUP(E23,'All Products'!D:D,'All Products'!M:M,FALSE)</f>
        <v>40049081118394</v>
      </c>
      <c r="X23" s="265">
        <f>_xlfn.XLOOKUP(E23,'All Products'!D:D,'All Products'!N:N,FALSE)</f>
        <v>0.45200000000000001</v>
      </c>
      <c r="Y23" s="265" t="str">
        <f>_xlfn.XLOOKUP(E23,'All Products'!D:D,'All Products'!O:O,FALSE)</f>
        <v>-</v>
      </c>
      <c r="Z23" s="265">
        <f>_xlfn.XLOOKUP(E23,'All Products'!D:D,'All Products'!P:P,FALSE)</f>
        <v>22.62</v>
      </c>
      <c r="AA23" s="265" t="str">
        <f>_xlfn.XLOOKUP(E23,'All Products'!D:D,'All Products'!Q:Q,FALSE)</f>
        <v>-</v>
      </c>
    </row>
    <row r="24" spans="1:27" ht="14.4" customHeight="1">
      <c r="A24" s="101" t="str">
        <f>IF(O24&gt;0,COUNT($A$8:A23)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24" s="646"/>
      <c r="C24" s="647"/>
      <c r="D24" s="125">
        <f>_xlfn.XLOOKUP(E24,'All Products'!D:D,'All Products'!C:C,FALSE)</f>
        <v>8154</v>
      </c>
      <c r="E24" s="1">
        <v>100026651</v>
      </c>
      <c r="F24" s="15" t="str">
        <f>_xlfn.XLOOKUP(E24,'All Products'!D:D,'All Products'!E:E,FALSE)</f>
        <v>1/2X36 NIPPLE TBE</v>
      </c>
      <c r="G24" s="1" t="s">
        <v>2222</v>
      </c>
      <c r="H24" s="278" t="s">
        <v>2210</v>
      </c>
      <c r="I24" s="278" t="s">
        <v>2204</v>
      </c>
      <c r="J24" s="1" t="s">
        <v>2234</v>
      </c>
      <c r="K24" s="1">
        <f>_xlfn.XLOOKUP(E24,'All Products'!D:D,'All Products'!F:F,FALSE)</f>
        <v>50</v>
      </c>
      <c r="L24" s="1" t="str">
        <f>_xlfn.XLOOKUP(E24,'All Products'!D:D,'All Products'!G:G,FALSE)</f>
        <v>-</v>
      </c>
      <c r="M24" s="132">
        <f>_xlfn.XLOOKUP(E24,'All Products'!D:D,'All Products'!H:H,FALSE)</f>
        <v>11.32</v>
      </c>
      <c r="N24" s="179">
        <f>ROUNDUP(M24*Order_Quote!$L$21,2)</f>
        <v>11.32</v>
      </c>
      <c r="O24" s="74"/>
      <c r="P24" s="16"/>
      <c r="Q24" s="171">
        <f t="shared" si="0"/>
        <v>0</v>
      </c>
      <c r="S24" s="215" t="str">
        <f>_xlfn.XLOOKUP(E24,'All Products'!D:D,'All Products'!I:I,FALSE)</f>
        <v>Within 3 Weeks</v>
      </c>
      <c r="T24" s="215" t="str">
        <f>_xlfn.XLOOKUP(E24,'All Products'!D:D,'All Products'!J:J,FALSE)</f>
        <v>Sourced</v>
      </c>
      <c r="U24" s="266">
        <f>_xlfn.XLOOKUP(E24,'All Products'!D:D,'All Products'!K:K,FALSE)</f>
        <v>49081118402</v>
      </c>
      <c r="V24" s="266" t="str">
        <f>_xlfn.XLOOKUP(E24,'All Products'!D:D,'All Products'!L:L,FALSE)</f>
        <v>-</v>
      </c>
      <c r="W24" s="266">
        <f>_xlfn.XLOOKUP(E24,'All Products'!D:D,'All Products'!M:M,FALSE)</f>
        <v>40049081118400</v>
      </c>
      <c r="X24" s="265">
        <f>_xlfn.XLOOKUP(E24,'All Products'!D:D,'All Products'!N:N,FALSE)</f>
        <v>0.56399999999999995</v>
      </c>
      <c r="Y24" s="265" t="str">
        <f>_xlfn.XLOOKUP(E24,'All Products'!D:D,'All Products'!O:O,FALSE)</f>
        <v>-</v>
      </c>
      <c r="Z24" s="265">
        <f>_xlfn.XLOOKUP(E24,'All Products'!D:D,'All Products'!P:P,FALSE)</f>
        <v>28.18</v>
      </c>
      <c r="AA24" s="265" t="str">
        <f>_xlfn.XLOOKUP(E24,'All Products'!D:D,'All Products'!Q:Q,FALSE)</f>
        <v>-</v>
      </c>
    </row>
    <row r="25" spans="1:27" ht="14.4" customHeight="1">
      <c r="A25" s="101" t="str">
        <f>IF(O25&gt;0,COUNT($A$8:A24)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25" s="646"/>
      <c r="C25" s="647"/>
      <c r="D25" s="125">
        <f>_xlfn.XLOOKUP(E25,'All Products'!D:D,'All Products'!C:C,FALSE)</f>
        <v>8158</v>
      </c>
      <c r="E25" s="1">
        <v>100026654</v>
      </c>
      <c r="F25" s="15" t="str">
        <f>_xlfn.XLOOKUP(E25,'All Products'!D:D,'All Products'!E:E,FALSE)</f>
        <v>1/2X48 NIPPLE TBE</v>
      </c>
      <c r="G25" s="1" t="s">
        <v>2222</v>
      </c>
      <c r="H25" s="278" t="s">
        <v>2210</v>
      </c>
      <c r="I25" s="278" t="s">
        <v>2204</v>
      </c>
      <c r="J25" s="1" t="s">
        <v>2236</v>
      </c>
      <c r="K25" s="1">
        <f>_xlfn.XLOOKUP(E25,'All Products'!D:D,'All Products'!F:F,FALSE)</f>
        <v>50</v>
      </c>
      <c r="L25" s="1" t="str">
        <f>_xlfn.XLOOKUP(E25,'All Products'!D:D,'All Products'!G:G,FALSE)</f>
        <v>-</v>
      </c>
      <c r="M25" s="132">
        <f>_xlfn.XLOOKUP(E25,'All Products'!D:D,'All Products'!H:H,FALSE)</f>
        <v>14.31</v>
      </c>
      <c r="N25" s="179">
        <f>ROUNDUP(M25*Order_Quote!$L$21,2)</f>
        <v>14.31</v>
      </c>
      <c r="O25" s="74"/>
      <c r="P25" s="16"/>
      <c r="Q25" s="171">
        <f t="shared" si="0"/>
        <v>0</v>
      </c>
      <c r="S25" s="215" t="str">
        <f>_xlfn.XLOOKUP(E25,'All Products'!D:D,'All Products'!I:I,FALSE)</f>
        <v>Within 3 Weeks</v>
      </c>
      <c r="T25" s="215" t="str">
        <f>_xlfn.XLOOKUP(E25,'All Products'!D:D,'All Products'!J:J,FALSE)</f>
        <v>Sourced</v>
      </c>
      <c r="U25" s="266">
        <f>_xlfn.XLOOKUP(E25,'All Products'!D:D,'All Products'!K:K,FALSE)</f>
        <v>49081118426</v>
      </c>
      <c r="V25" s="266" t="str">
        <f>_xlfn.XLOOKUP(E25,'All Products'!D:D,'All Products'!L:L,FALSE)</f>
        <v>-</v>
      </c>
      <c r="W25" s="266">
        <f>_xlfn.XLOOKUP(E25,'All Products'!D:D,'All Products'!M:M,FALSE)</f>
        <v>40049081118424</v>
      </c>
      <c r="X25" s="265">
        <f>_xlfn.XLOOKUP(E25,'All Products'!D:D,'All Products'!N:N,FALSE)</f>
        <v>0.74199999999999999</v>
      </c>
      <c r="Y25" s="265" t="str">
        <f>_xlfn.XLOOKUP(E25,'All Products'!D:D,'All Products'!O:O,FALSE)</f>
        <v>-</v>
      </c>
      <c r="Z25" s="265">
        <f>_xlfn.XLOOKUP(E25,'All Products'!D:D,'All Products'!P:P,FALSE)</f>
        <v>37.08</v>
      </c>
      <c r="AA25" s="265" t="str">
        <f>_xlfn.XLOOKUP(E25,'All Products'!D:D,'All Products'!Q:Q,FALSE)</f>
        <v>-</v>
      </c>
    </row>
    <row r="26" spans="1:27" ht="14.4" customHeight="1">
      <c r="A26" s="101" t="str">
        <f>IF(O26&gt;0,COUNT($A$8:A25)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26" s="646"/>
      <c r="C26" s="647"/>
      <c r="D26" s="125">
        <f>_xlfn.XLOOKUP(E26,'All Products'!D:D,'All Products'!C:C,FALSE)</f>
        <v>8200</v>
      </c>
      <c r="E26" s="1">
        <v>100026656</v>
      </c>
      <c r="F26" s="15" t="str">
        <f>_xlfn.XLOOKUP(E26,'All Products'!D:D,'All Products'!E:E,FALSE)</f>
        <v>3/4XCL NIPPLE TBE</v>
      </c>
      <c r="G26" s="1" t="s">
        <v>2202</v>
      </c>
      <c r="H26" s="278" t="s">
        <v>2210</v>
      </c>
      <c r="I26" s="278" t="s">
        <v>2204</v>
      </c>
      <c r="J26" s="1" t="s">
        <v>2211</v>
      </c>
      <c r="K26" s="1">
        <f>_xlfn.XLOOKUP(E26,'All Products'!D:D,'All Products'!F:F,FALSE)</f>
        <v>125</v>
      </c>
      <c r="L26" s="1">
        <f>_xlfn.XLOOKUP(E26,'All Products'!D:D,'All Products'!G:G,FALSE)</f>
        <v>33750</v>
      </c>
      <c r="M26" s="132">
        <f>_xlfn.XLOOKUP(E26,'All Products'!D:D,'All Products'!H:H,FALSE)</f>
        <v>1.1100000000000001</v>
      </c>
      <c r="N26" s="179">
        <f>ROUNDUP(M26*Order_Quote!$L$21,2)</f>
        <v>1.1100000000000001</v>
      </c>
      <c r="O26" s="74"/>
      <c r="P26" s="16"/>
      <c r="Q26" s="171">
        <f t="shared" si="0"/>
        <v>0</v>
      </c>
      <c r="S26" s="215" t="str">
        <f>_xlfn.XLOOKUP(E26,'All Products'!D:D,'All Products'!I:I,FALSE)</f>
        <v>In Stock</v>
      </c>
      <c r="T26" s="215" t="str">
        <f>_xlfn.XLOOKUP(E26,'All Products'!D:D,'All Products'!J:J,FALSE)</f>
        <v>Manufactured</v>
      </c>
      <c r="U26" s="266">
        <f>_xlfn.XLOOKUP(E26,'All Products'!D:D,'All Products'!K:K,FALSE)</f>
        <v>49081118471</v>
      </c>
      <c r="V26" s="266">
        <f>_xlfn.XLOOKUP(E26,'All Products'!D:D,'All Products'!L:L,FALSE)</f>
        <v>49081618490</v>
      </c>
      <c r="W26" s="266">
        <f>_xlfn.XLOOKUP(E26,'All Products'!D:D,'All Products'!M:M,FALSE)</f>
        <v>40049081118479</v>
      </c>
      <c r="X26" s="265">
        <f>_xlfn.XLOOKUP(E26,'All Products'!D:D,'All Products'!N:N,FALSE)</f>
        <v>0.02</v>
      </c>
      <c r="Y26" s="265">
        <f>_xlfn.XLOOKUP(E26,'All Products'!D:D,'All Products'!O:O,FALSE)</f>
        <v>25</v>
      </c>
      <c r="Z26" s="265">
        <f>_xlfn.XLOOKUP(E26,'All Products'!D:D,'All Products'!P:P,FALSE)</f>
        <v>3.1</v>
      </c>
      <c r="AA26" s="265">
        <f>_xlfn.XLOOKUP(E26,'All Products'!D:D,'All Products'!Q:Q,FALSE)</f>
        <v>0.31</v>
      </c>
    </row>
    <row r="27" spans="1:27" ht="14.4" customHeight="1">
      <c r="A27" s="101" t="str">
        <f>IF(O27&gt;0,COUNT($A$8:A26)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27" s="646"/>
      <c r="C27" s="647"/>
      <c r="D27" s="125">
        <f>_xlfn.XLOOKUP(E27,'All Products'!D:D,'All Products'!C:C,FALSE)</f>
        <v>8203</v>
      </c>
      <c r="E27" s="1">
        <v>100026657</v>
      </c>
      <c r="F27" s="15" t="str">
        <f>_xlfn.XLOOKUP(E27,'All Products'!D:D,'All Products'!E:E,FALSE)</f>
        <v>3/4X2 NIPPLE TBE</v>
      </c>
      <c r="G27" s="1" t="s">
        <v>2222</v>
      </c>
      <c r="H27" s="278" t="s">
        <v>2210</v>
      </c>
      <c r="I27" s="278" t="s">
        <v>2204</v>
      </c>
      <c r="J27" s="1" t="s">
        <v>2205</v>
      </c>
      <c r="K27" s="1">
        <f>_xlfn.XLOOKUP(E27,'All Products'!D:D,'All Products'!F:F,FALSE)</f>
        <v>125</v>
      </c>
      <c r="L27" s="1">
        <f>_xlfn.XLOOKUP(E27,'All Products'!D:D,'All Products'!G:G,FALSE)</f>
        <v>33750</v>
      </c>
      <c r="M27" s="132">
        <f>_xlfn.XLOOKUP(E27,'All Products'!D:D,'All Products'!H:H,FALSE)</f>
        <v>1.1100000000000001</v>
      </c>
      <c r="N27" s="179">
        <f>ROUNDUP(M27*Order_Quote!$L$21,2)</f>
        <v>1.1100000000000001</v>
      </c>
      <c r="O27" s="74"/>
      <c r="P27" s="16"/>
      <c r="Q27" s="171">
        <f t="shared" si="0"/>
        <v>0</v>
      </c>
      <c r="S27" s="215" t="str">
        <f>_xlfn.XLOOKUP(E27,'All Products'!D:D,'All Products'!I:I,FALSE)</f>
        <v>In Stock</v>
      </c>
      <c r="T27" s="215" t="str">
        <f>_xlfn.XLOOKUP(E27,'All Products'!D:D,'All Products'!J:J,FALSE)</f>
        <v>Manufactured</v>
      </c>
      <c r="U27" s="266">
        <f>_xlfn.XLOOKUP(E27,'All Products'!D:D,'All Products'!K:K,FALSE)</f>
        <v>49081118495</v>
      </c>
      <c r="V27" s="266">
        <f>_xlfn.XLOOKUP(E27,'All Products'!D:D,'All Products'!L:L,FALSE)</f>
        <v>49081618506</v>
      </c>
      <c r="W27" s="266">
        <f>_xlfn.XLOOKUP(E27,'All Products'!D:D,'All Products'!M:M,FALSE)</f>
        <v>40049081118493</v>
      </c>
      <c r="X27" s="265">
        <f>_xlfn.XLOOKUP(E27,'All Products'!D:D,'All Products'!N:N,FALSE)</f>
        <v>4.2000000000000003E-2</v>
      </c>
      <c r="Y27" s="265">
        <f>_xlfn.XLOOKUP(E27,'All Products'!D:D,'All Products'!O:O,FALSE)</f>
        <v>25</v>
      </c>
      <c r="Z27" s="265">
        <f>_xlfn.XLOOKUP(E27,'All Products'!D:D,'All Products'!P:P,FALSE)</f>
        <v>5.29</v>
      </c>
      <c r="AA27" s="265">
        <f>_xlfn.XLOOKUP(E27,'All Products'!D:D,'All Products'!Q:Q,FALSE)</f>
        <v>0.31</v>
      </c>
    </row>
    <row r="28" spans="1:27" ht="14.4" customHeight="1">
      <c r="A28" s="101" t="str">
        <f>IF(O28&gt;0,COUNT($A$8:A27)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28" s="646"/>
      <c r="C28" s="647"/>
      <c r="D28" s="125">
        <f>_xlfn.XLOOKUP(E28,'All Products'!D:D,'All Products'!C:C,FALSE)</f>
        <v>8205</v>
      </c>
      <c r="E28" s="1">
        <v>100026659</v>
      </c>
      <c r="F28" s="15" t="str">
        <f>_xlfn.XLOOKUP(E28,'All Products'!D:D,'All Products'!E:E,FALSE)</f>
        <v>3/4X3 NIPPLE TBE</v>
      </c>
      <c r="G28" s="1" t="s">
        <v>2202</v>
      </c>
      <c r="H28" s="278" t="s">
        <v>2210</v>
      </c>
      <c r="I28" s="278" t="s">
        <v>2204</v>
      </c>
      <c r="J28" s="1" t="s">
        <v>2216</v>
      </c>
      <c r="K28" s="1">
        <f>_xlfn.XLOOKUP(E28,'All Products'!D:D,'All Products'!F:F,FALSE)</f>
        <v>100</v>
      </c>
      <c r="L28" s="1">
        <f>_xlfn.XLOOKUP(E28,'All Products'!D:D,'All Products'!G:G,FALSE)</f>
        <v>15000</v>
      </c>
      <c r="M28" s="132">
        <f>_xlfn.XLOOKUP(E28,'All Products'!D:D,'All Products'!H:H,FALSE)</f>
        <v>1.32</v>
      </c>
      <c r="N28" s="179">
        <f>ROUNDUP(M28*Order_Quote!$L$21,2)</f>
        <v>1.32</v>
      </c>
      <c r="O28" s="74"/>
      <c r="P28" s="16"/>
      <c r="Q28" s="171">
        <f t="shared" si="0"/>
        <v>0</v>
      </c>
      <c r="S28" s="215" t="str">
        <f>_xlfn.XLOOKUP(E28,'All Products'!D:D,'All Products'!I:I,FALSE)</f>
        <v>In Stock</v>
      </c>
      <c r="T28" s="215" t="str">
        <f>_xlfn.XLOOKUP(E28,'All Products'!D:D,'All Products'!J:J,FALSE)</f>
        <v>Manufactured</v>
      </c>
      <c r="U28" s="266">
        <f>_xlfn.XLOOKUP(E28,'All Products'!D:D,'All Products'!K:K,FALSE)</f>
        <v>49081118518</v>
      </c>
      <c r="V28" s="266" t="str">
        <f>_xlfn.XLOOKUP(E28,'All Products'!D:D,'All Products'!L:L,FALSE)</f>
        <v>-</v>
      </c>
      <c r="W28" s="266">
        <f>_xlfn.XLOOKUP(E28,'All Products'!D:D,'All Products'!M:M,FALSE)</f>
        <v>40049081118516</v>
      </c>
      <c r="X28" s="265">
        <f>_xlfn.XLOOKUP(E28,'All Products'!D:D,'All Products'!N:N,FALSE)</f>
        <v>0.06</v>
      </c>
      <c r="Y28" s="265">
        <f>_xlfn.XLOOKUP(E28,'All Products'!D:D,'All Products'!O:O,FALSE)</f>
        <v>25</v>
      </c>
      <c r="Z28" s="265">
        <f>_xlfn.XLOOKUP(E28,'All Products'!D:D,'All Products'!P:P,FALSE)</f>
        <v>6.65</v>
      </c>
      <c r="AA28" s="265">
        <f>_xlfn.XLOOKUP(E28,'All Products'!D:D,'All Products'!Q:Q,FALSE)</f>
        <v>0.5</v>
      </c>
    </row>
    <row r="29" spans="1:27" ht="14.4" customHeight="1">
      <c r="A29" s="101" t="str">
        <f>IF(O29&gt;0,COUNT($A$8:A28)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29" s="646"/>
      <c r="C29" s="647"/>
      <c r="D29" s="125">
        <f>_xlfn.XLOOKUP(E29,'All Products'!D:D,'All Products'!C:C,FALSE)</f>
        <v>8211</v>
      </c>
      <c r="E29" s="1">
        <v>100026663</v>
      </c>
      <c r="F29" s="15" t="str">
        <f>_xlfn.XLOOKUP(E29,'All Products'!D:D,'All Products'!E:E,FALSE)</f>
        <v>3/4X6 NIPPLE TBE</v>
      </c>
      <c r="G29" s="1" t="s">
        <v>2222</v>
      </c>
      <c r="H29" s="278" t="s">
        <v>2210</v>
      </c>
      <c r="I29" s="278" t="s">
        <v>2204</v>
      </c>
      <c r="J29" s="1" t="s">
        <v>2207</v>
      </c>
      <c r="K29" s="1">
        <f>_xlfn.XLOOKUP(E29,'All Products'!D:D,'All Products'!F:F,FALSE)</f>
        <v>125</v>
      </c>
      <c r="L29" s="1">
        <f>_xlfn.XLOOKUP(E29,'All Products'!D:D,'All Products'!G:G,FALSE)</f>
        <v>15000</v>
      </c>
      <c r="M29" s="132">
        <f>_xlfn.XLOOKUP(E29,'All Products'!D:D,'All Products'!H:H,FALSE)</f>
        <v>2.0499999999999998</v>
      </c>
      <c r="N29" s="179">
        <f>ROUNDUP(M29*Order_Quote!$L$21,2)</f>
        <v>2.0499999999999998</v>
      </c>
      <c r="O29" s="74"/>
      <c r="P29" s="16"/>
      <c r="Q29" s="171">
        <f t="shared" si="0"/>
        <v>0</v>
      </c>
      <c r="S29" s="215" t="str">
        <f>_xlfn.XLOOKUP(E29,'All Products'!D:D,'All Products'!I:I,FALSE)</f>
        <v>In Stock</v>
      </c>
      <c r="T29" s="215" t="str">
        <f>_xlfn.XLOOKUP(E29,'All Products'!D:D,'All Products'!J:J,FALSE)</f>
        <v>Manufactured</v>
      </c>
      <c r="U29" s="266">
        <f>_xlfn.XLOOKUP(E29,'All Products'!D:D,'All Products'!K:K,FALSE)</f>
        <v>49081118570</v>
      </c>
      <c r="V29" s="266" t="str">
        <f>_xlfn.XLOOKUP(E29,'All Products'!D:D,'All Products'!L:L,FALSE)</f>
        <v>-</v>
      </c>
      <c r="W29" s="266">
        <f>_xlfn.XLOOKUP(E29,'All Products'!D:D,'All Products'!M:M,FALSE)</f>
        <v>40049081118578</v>
      </c>
      <c r="X29" s="265">
        <f>_xlfn.XLOOKUP(E29,'All Products'!D:D,'All Products'!N:N,FALSE)</f>
        <v>0.129</v>
      </c>
      <c r="Y29" s="265">
        <f>_xlfn.XLOOKUP(E29,'All Products'!D:D,'All Products'!O:O,FALSE)</f>
        <v>25</v>
      </c>
      <c r="Z29" s="265">
        <f>_xlfn.XLOOKUP(E29,'All Products'!D:D,'All Products'!P:P,FALSE)</f>
        <v>16.559999999999999</v>
      </c>
      <c r="AA29" s="265">
        <f>_xlfn.XLOOKUP(E29,'All Products'!D:D,'All Products'!Q:Q,FALSE)</f>
        <v>0.65</v>
      </c>
    </row>
    <row r="30" spans="1:27" ht="14.4" customHeight="1">
      <c r="A30" s="101" t="str">
        <f>IF(O30&gt;0,COUNT($A$8:A29)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30" s="646"/>
      <c r="C30" s="647"/>
      <c r="D30" s="125">
        <f>_xlfn.XLOOKUP(E30,'All Products'!D:D,'All Products'!C:C,FALSE)</f>
        <v>8235</v>
      </c>
      <c r="E30" s="1">
        <v>100026670</v>
      </c>
      <c r="F30" s="15" t="str">
        <f>_xlfn.XLOOKUP(E30,'All Products'!D:D,'All Products'!E:E,FALSE)</f>
        <v>3/4X18 NIPPLE TBE</v>
      </c>
      <c r="G30" s="1" t="s">
        <v>2222</v>
      </c>
      <c r="H30" s="278" t="s">
        <v>2210</v>
      </c>
      <c r="I30" s="278" t="s">
        <v>2204</v>
      </c>
      <c r="J30" s="1" t="s">
        <v>2228</v>
      </c>
      <c r="K30" s="1">
        <f>_xlfn.XLOOKUP(E30,'All Products'!D:D,'All Products'!F:F,FALSE)</f>
        <v>25</v>
      </c>
      <c r="L30" s="1">
        <f>_xlfn.XLOOKUP(E30,'All Products'!D:D,'All Products'!G:G,FALSE)</f>
        <v>3750</v>
      </c>
      <c r="M30" s="132">
        <f>_xlfn.XLOOKUP(E30,'All Products'!D:D,'All Products'!H:H,FALSE)</f>
        <v>8.0399999999999991</v>
      </c>
      <c r="N30" s="179">
        <f>ROUNDUP(M30*Order_Quote!$L$21,2)</f>
        <v>8.0399999999999991</v>
      </c>
      <c r="O30" s="74"/>
      <c r="P30" s="16"/>
      <c r="Q30" s="171">
        <f t="shared" si="0"/>
        <v>0</v>
      </c>
      <c r="S30" s="215" t="str">
        <f>_xlfn.XLOOKUP(E30,'All Products'!D:D,'All Products'!I:I,FALSE)</f>
        <v>Within 3 Weeks</v>
      </c>
      <c r="T30" s="215" t="str">
        <f>_xlfn.XLOOKUP(E30,'All Products'!D:D,'All Products'!J:J,FALSE)</f>
        <v>Sourced</v>
      </c>
      <c r="U30" s="266">
        <f>_xlfn.XLOOKUP(E30,'All Products'!D:D,'All Products'!K:K,FALSE)</f>
        <v>49081118730</v>
      </c>
      <c r="V30" s="266" t="str">
        <f>_xlfn.XLOOKUP(E30,'All Products'!D:D,'All Products'!L:L,FALSE)</f>
        <v>-</v>
      </c>
      <c r="W30" s="266">
        <f>_xlfn.XLOOKUP(E30,'All Products'!D:D,'All Products'!M:M,FALSE)</f>
        <v>40049081118738</v>
      </c>
      <c r="X30" s="265">
        <f>_xlfn.XLOOKUP(E30,'All Products'!D:D,'All Products'!N:N,FALSE)</f>
        <v>0.41299999999999998</v>
      </c>
      <c r="Y30" s="265" t="str">
        <f>_xlfn.XLOOKUP(E30,'All Products'!D:D,'All Products'!O:O,FALSE)</f>
        <v>-</v>
      </c>
      <c r="Z30" s="265">
        <f>_xlfn.XLOOKUP(E30,'All Products'!D:D,'All Products'!P:P,FALSE)</f>
        <v>10.32</v>
      </c>
      <c r="AA30" s="265">
        <f>_xlfn.XLOOKUP(E30,'All Products'!D:D,'All Products'!Q:Q,FALSE)</f>
        <v>0.5</v>
      </c>
    </row>
    <row r="31" spans="1:27" ht="14.4" customHeight="1">
      <c r="A31" s="101" t="str">
        <f>IF(O31&gt;0,COUNT($A$8:A30)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31" s="646"/>
      <c r="C31" s="647"/>
      <c r="D31" s="125">
        <f>_xlfn.XLOOKUP(E31,'All Products'!D:D,'All Products'!C:C,FALSE)</f>
        <v>8246</v>
      </c>
      <c r="E31" s="1">
        <v>100026672</v>
      </c>
      <c r="F31" s="15" t="str">
        <f>_xlfn.XLOOKUP(E31,'All Products'!D:D,'All Products'!E:E,FALSE)</f>
        <v>3/4X24 NIPPLE TBE</v>
      </c>
      <c r="G31" s="1" t="s">
        <v>2222</v>
      </c>
      <c r="H31" s="278" t="s">
        <v>2210</v>
      </c>
      <c r="I31" s="278" t="s">
        <v>2204</v>
      </c>
      <c r="J31" s="1" t="s">
        <v>2230</v>
      </c>
      <c r="K31" s="1">
        <f>_xlfn.XLOOKUP(E31,'All Products'!D:D,'All Products'!F:F,FALSE)</f>
        <v>25</v>
      </c>
      <c r="L31" s="1">
        <f>_xlfn.XLOOKUP(E31,'All Products'!D:D,'All Products'!G:G,FALSE)</f>
        <v>3750</v>
      </c>
      <c r="M31" s="132">
        <f>_xlfn.XLOOKUP(E31,'All Products'!D:D,'All Products'!H:H,FALSE)</f>
        <v>10.16</v>
      </c>
      <c r="N31" s="179">
        <f>ROUNDUP(M31*Order_Quote!$L$21,2)</f>
        <v>10.16</v>
      </c>
      <c r="O31" s="74"/>
      <c r="P31" s="16"/>
      <c r="Q31" s="171">
        <f t="shared" si="0"/>
        <v>0</v>
      </c>
      <c r="S31" s="215" t="str">
        <f>_xlfn.XLOOKUP(E31,'All Products'!D:D,'All Products'!I:I,FALSE)</f>
        <v>Within 3 Weeks</v>
      </c>
      <c r="T31" s="215" t="str">
        <f>_xlfn.XLOOKUP(E31,'All Products'!D:D,'All Products'!J:J,FALSE)</f>
        <v>Sourced</v>
      </c>
      <c r="U31" s="266">
        <f>_xlfn.XLOOKUP(E31,'All Products'!D:D,'All Products'!K:K,FALSE)</f>
        <v>49081118778</v>
      </c>
      <c r="V31" s="266" t="str">
        <f>_xlfn.XLOOKUP(E31,'All Products'!D:D,'All Products'!L:L,FALSE)</f>
        <v>-</v>
      </c>
      <c r="W31" s="266">
        <f>_xlfn.XLOOKUP(E31,'All Products'!D:D,'All Products'!M:M,FALSE)</f>
        <v>40049081118776</v>
      </c>
      <c r="X31" s="265">
        <f>_xlfn.XLOOKUP(E31,'All Products'!D:D,'All Products'!N:N,FALSE)</f>
        <v>0.53700000000000003</v>
      </c>
      <c r="Y31" s="265" t="str">
        <f>_xlfn.XLOOKUP(E31,'All Products'!D:D,'All Products'!O:O,FALSE)</f>
        <v>-</v>
      </c>
      <c r="Z31" s="265">
        <f>_xlfn.XLOOKUP(E31,'All Products'!D:D,'All Products'!P:P,FALSE)</f>
        <v>13.42</v>
      </c>
      <c r="AA31" s="265">
        <f>_xlfn.XLOOKUP(E31,'All Products'!D:D,'All Products'!Q:Q,FALSE)</f>
        <v>0.5</v>
      </c>
    </row>
    <row r="32" spans="1:27" ht="14.4" customHeight="1">
      <c r="A32" s="101" t="str">
        <f>IF(O32&gt;0,COUNT($A$8:A31)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32" s="646"/>
      <c r="C32" s="647"/>
      <c r="D32" s="125">
        <f>_xlfn.XLOOKUP(E32,'All Products'!D:D,'All Products'!C:C,FALSE)</f>
        <v>8254</v>
      </c>
      <c r="E32" s="1">
        <v>100026676</v>
      </c>
      <c r="F32" s="15" t="str">
        <f>_xlfn.XLOOKUP(E32,'All Products'!D:D,'All Products'!E:E,FALSE)</f>
        <v>3/4X36 NIPPLE TBE</v>
      </c>
      <c r="G32" s="1" t="s">
        <v>2222</v>
      </c>
      <c r="H32" s="278" t="s">
        <v>2210</v>
      </c>
      <c r="I32" s="278" t="s">
        <v>2204</v>
      </c>
      <c r="J32" s="1" t="s">
        <v>2234</v>
      </c>
      <c r="K32" s="1">
        <f>_xlfn.XLOOKUP(E32,'All Products'!D:D,'All Products'!F:F,FALSE)</f>
        <v>25</v>
      </c>
      <c r="L32" s="1" t="str">
        <f>_xlfn.XLOOKUP(E32,'All Products'!D:D,'All Products'!G:G,FALSE)</f>
        <v>-</v>
      </c>
      <c r="M32" s="132">
        <f>_xlfn.XLOOKUP(E32,'All Products'!D:D,'All Products'!H:H,FALSE)</f>
        <v>14.98</v>
      </c>
      <c r="N32" s="179">
        <f>ROUNDUP(M32*Order_Quote!$L$21,2)</f>
        <v>14.98</v>
      </c>
      <c r="O32" s="74"/>
      <c r="P32" s="16"/>
      <c r="Q32" s="171">
        <f t="shared" ref="Q32:Q46" si="1">O32/K32</f>
        <v>0</v>
      </c>
      <c r="S32" s="215" t="str">
        <f>_xlfn.XLOOKUP(E32,'All Products'!D:D,'All Products'!I:I,FALSE)</f>
        <v>Within 3 Weeks</v>
      </c>
      <c r="T32" s="215" t="str">
        <f>_xlfn.XLOOKUP(E32,'All Products'!D:D,'All Products'!J:J,FALSE)</f>
        <v>Sourced</v>
      </c>
      <c r="U32" s="266">
        <f>_xlfn.XLOOKUP(E32,'All Products'!D:D,'All Products'!K:K,FALSE)</f>
        <v>49081118884</v>
      </c>
      <c r="V32" s="266" t="str">
        <f>_xlfn.XLOOKUP(E32,'All Products'!D:D,'All Products'!L:L,FALSE)</f>
        <v>-</v>
      </c>
      <c r="W32" s="266">
        <f>_xlfn.XLOOKUP(E32,'All Products'!D:D,'All Products'!M:M,FALSE)</f>
        <v>40049081118882</v>
      </c>
      <c r="X32" s="265">
        <f>_xlfn.XLOOKUP(E32,'All Products'!D:D,'All Products'!N:N,FALSE)</f>
        <v>0.78900000000000003</v>
      </c>
      <c r="Y32" s="265" t="str">
        <f>_xlfn.XLOOKUP(E32,'All Products'!D:D,'All Products'!O:O,FALSE)</f>
        <v>-</v>
      </c>
      <c r="Z32" s="265">
        <f>_xlfn.XLOOKUP(E32,'All Products'!D:D,'All Products'!P:P,FALSE)</f>
        <v>19.72</v>
      </c>
      <c r="AA32" s="265" t="str">
        <f>_xlfn.XLOOKUP(E32,'All Products'!D:D,'All Products'!Q:Q,FALSE)</f>
        <v>-</v>
      </c>
    </row>
    <row r="33" spans="1:27" ht="14.4" customHeight="1">
      <c r="A33" s="101" t="str">
        <f>IF(O33&gt;0,COUNT($A$8:A32)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33" s="646"/>
      <c r="C33" s="647"/>
      <c r="D33" s="125">
        <f>_xlfn.XLOOKUP(E33,'All Products'!D:D,'All Products'!C:C,FALSE)</f>
        <v>8258</v>
      </c>
      <c r="E33" s="1">
        <v>100026678</v>
      </c>
      <c r="F33" s="15" t="str">
        <f>_xlfn.XLOOKUP(E33,'All Products'!D:D,'All Products'!E:E,FALSE)</f>
        <v>3/4X48 NIPPLE TBE</v>
      </c>
      <c r="G33" s="1" t="s">
        <v>2222</v>
      </c>
      <c r="H33" s="278" t="s">
        <v>2210</v>
      </c>
      <c r="I33" s="278" t="s">
        <v>2204</v>
      </c>
      <c r="J33" s="1" t="s">
        <v>2236</v>
      </c>
      <c r="K33" s="1">
        <f>_xlfn.XLOOKUP(E33,'All Products'!D:D,'All Products'!F:F,FALSE)</f>
        <v>25</v>
      </c>
      <c r="L33" s="1" t="str">
        <f>_xlfn.XLOOKUP(E33,'All Products'!D:D,'All Products'!G:G,FALSE)</f>
        <v>-</v>
      </c>
      <c r="M33" s="132">
        <f>_xlfn.XLOOKUP(E33,'All Products'!D:D,'All Products'!H:H,FALSE)</f>
        <v>19.84</v>
      </c>
      <c r="N33" s="179">
        <f>ROUNDUP(M33*Order_Quote!$L$21,2)</f>
        <v>19.84</v>
      </c>
      <c r="O33" s="74"/>
      <c r="P33" s="16"/>
      <c r="Q33" s="171">
        <f t="shared" si="1"/>
        <v>0</v>
      </c>
      <c r="S33" s="215" t="str">
        <f>_xlfn.XLOOKUP(E33,'All Products'!D:D,'All Products'!I:I,FALSE)</f>
        <v>Within 3 Weeks</v>
      </c>
      <c r="T33" s="215" t="str">
        <f>_xlfn.XLOOKUP(E33,'All Products'!D:D,'All Products'!J:J,FALSE)</f>
        <v>Sourced</v>
      </c>
      <c r="U33" s="266">
        <f>_xlfn.XLOOKUP(E33,'All Products'!D:D,'All Products'!K:K,FALSE)</f>
        <v>49081118907</v>
      </c>
      <c r="V33" s="266" t="str">
        <f>_xlfn.XLOOKUP(E33,'All Products'!D:D,'All Products'!L:L,FALSE)</f>
        <v>-</v>
      </c>
      <c r="W33" s="266">
        <f>_xlfn.XLOOKUP(E33,'All Products'!D:D,'All Products'!M:M,FALSE)</f>
        <v>40049081118905</v>
      </c>
      <c r="X33" s="265">
        <f>_xlfn.XLOOKUP(E33,'All Products'!D:D,'All Products'!N:N,FALSE)</f>
        <v>1.0289999999999999</v>
      </c>
      <c r="Y33" s="265" t="str">
        <f>_xlfn.XLOOKUP(E33,'All Products'!D:D,'All Products'!O:O,FALSE)</f>
        <v>-</v>
      </c>
      <c r="Z33" s="265">
        <f>_xlfn.XLOOKUP(E33,'All Products'!D:D,'All Products'!P:P,FALSE)</f>
        <v>25.72</v>
      </c>
      <c r="AA33" s="265" t="str">
        <f>_xlfn.XLOOKUP(E33,'All Products'!D:D,'All Products'!Q:Q,FALSE)</f>
        <v>-</v>
      </c>
    </row>
    <row r="34" spans="1:27" ht="14.25" customHeight="1">
      <c r="A34" s="101" t="str">
        <f>IF(O34&gt;0,COUNT($A$8:A33)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34" s="646"/>
      <c r="C34" s="647"/>
      <c r="D34" s="125">
        <f>_xlfn.XLOOKUP(E34,'All Products'!D:D,'All Products'!C:C,FALSE)</f>
        <v>8300</v>
      </c>
      <c r="E34" s="1">
        <v>100026680</v>
      </c>
      <c r="F34" s="15" t="str">
        <f>_xlfn.XLOOKUP(E34,'All Products'!D:D,'All Products'!E:E,FALSE)</f>
        <v>1XCL NIPPLE TBE</v>
      </c>
      <c r="G34" s="1" t="s">
        <v>2202</v>
      </c>
      <c r="H34" s="278" t="s">
        <v>2210</v>
      </c>
      <c r="I34" s="278" t="s">
        <v>2204</v>
      </c>
      <c r="J34" s="1" t="s">
        <v>2211</v>
      </c>
      <c r="K34" s="1">
        <f>_xlfn.XLOOKUP(E34,'All Products'!D:D,'All Products'!F:F,FALSE)</f>
        <v>125</v>
      </c>
      <c r="L34" s="1">
        <f>_xlfn.XLOOKUP(E34,'All Products'!D:D,'All Products'!G:G,FALSE)</f>
        <v>33750</v>
      </c>
      <c r="M34" s="132">
        <f>_xlfn.XLOOKUP(E34,'All Products'!D:D,'All Products'!H:H,FALSE)</f>
        <v>1.52</v>
      </c>
      <c r="N34" s="179">
        <f>ROUNDUP(M34*Order_Quote!$L$21,2)</f>
        <v>1.52</v>
      </c>
      <c r="O34" s="74"/>
      <c r="P34" s="16"/>
      <c r="Q34" s="171">
        <f t="shared" si="1"/>
        <v>0</v>
      </c>
      <c r="S34" s="215" t="str">
        <f>_xlfn.XLOOKUP(E34,'All Products'!D:D,'All Products'!I:I,FALSE)</f>
        <v>In Stock</v>
      </c>
      <c r="T34" s="215" t="str">
        <f>_xlfn.XLOOKUP(E34,'All Products'!D:D,'All Products'!J:J,FALSE)</f>
        <v>Manufactured</v>
      </c>
      <c r="U34" s="266">
        <f>_xlfn.XLOOKUP(E34,'All Products'!D:D,'All Products'!K:K,FALSE)</f>
        <v>49081118952</v>
      </c>
      <c r="V34" s="266">
        <f>_xlfn.XLOOKUP(E34,'All Products'!D:D,'All Products'!L:L,FALSE)</f>
        <v>49081618957</v>
      </c>
      <c r="W34" s="266">
        <f>_xlfn.XLOOKUP(E34,'All Products'!D:D,'All Products'!M:M,FALSE)</f>
        <v>40049081118950</v>
      </c>
      <c r="X34" s="265">
        <f>_xlfn.XLOOKUP(E34,'All Products'!D:D,'All Products'!N:N,FALSE)</f>
        <v>3.5999999999999997E-2</v>
      </c>
      <c r="Y34" s="265">
        <f>_xlfn.XLOOKUP(E34,'All Products'!D:D,'All Products'!O:O,FALSE)</f>
        <v>25</v>
      </c>
      <c r="Z34" s="265">
        <f>_xlfn.XLOOKUP(E34,'All Products'!D:D,'All Products'!P:P,FALSE)</f>
        <v>4.4400000000000004</v>
      </c>
      <c r="AA34" s="265">
        <f>_xlfn.XLOOKUP(E34,'All Products'!D:D,'All Products'!Q:Q,FALSE)</f>
        <v>0.31</v>
      </c>
    </row>
    <row r="35" spans="1:27" ht="14.4" customHeight="1">
      <c r="A35" s="101" t="str">
        <f>IF(O35&gt;0,COUNT($A$8:A34)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35" s="646"/>
      <c r="C35" s="647"/>
      <c r="D35" s="125">
        <f>_xlfn.XLOOKUP(E35,'All Products'!D:D,'All Products'!C:C,FALSE)</f>
        <v>8307</v>
      </c>
      <c r="E35" s="1">
        <v>100026684</v>
      </c>
      <c r="F35" s="15" t="str">
        <f>_xlfn.XLOOKUP(E35,'All Products'!D:D,'All Products'!E:E,FALSE)</f>
        <v>1X4 NIPPLE TBE</v>
      </c>
      <c r="G35" s="1" t="s">
        <v>2222</v>
      </c>
      <c r="H35" s="278" t="s">
        <v>2210</v>
      </c>
      <c r="I35" s="278" t="s">
        <v>2204</v>
      </c>
      <c r="J35" s="1" t="s">
        <v>2247</v>
      </c>
      <c r="K35" s="1">
        <f>_xlfn.XLOOKUP(E35,'All Products'!D:D,'All Products'!F:F,FALSE)</f>
        <v>50</v>
      </c>
      <c r="L35" s="1">
        <f>_xlfn.XLOOKUP(E35,'All Products'!D:D,'All Products'!G:G,FALSE)</f>
        <v>7500</v>
      </c>
      <c r="M35" s="132">
        <f>_xlfn.XLOOKUP(E35,'All Products'!D:D,'All Products'!H:H,FALSE)</f>
        <v>2.31</v>
      </c>
      <c r="N35" s="179">
        <f>ROUNDUP(M35*Order_Quote!$L$21,2)</f>
        <v>2.31</v>
      </c>
      <c r="O35" s="74"/>
      <c r="P35" s="16"/>
      <c r="Q35" s="171">
        <f t="shared" si="1"/>
        <v>0</v>
      </c>
      <c r="S35" s="215" t="str">
        <f>_xlfn.XLOOKUP(E35,'All Products'!D:D,'All Products'!I:I,FALSE)</f>
        <v>In Stock</v>
      </c>
      <c r="T35" s="215" t="str">
        <f>_xlfn.XLOOKUP(E35,'All Products'!D:D,'All Products'!J:J,FALSE)</f>
        <v>Manufactured</v>
      </c>
      <c r="U35" s="266">
        <f>_xlfn.XLOOKUP(E35,'All Products'!D:D,'All Products'!K:K,FALSE)</f>
        <v>49081119003</v>
      </c>
      <c r="V35" s="266" t="str">
        <f>_xlfn.XLOOKUP(E35,'All Products'!D:D,'All Products'!L:L,FALSE)</f>
        <v>-</v>
      </c>
      <c r="W35" s="266">
        <f>_xlfn.XLOOKUP(E35,'All Products'!D:D,'All Products'!M:M,FALSE)</f>
        <v>40049081119001</v>
      </c>
      <c r="X35" s="265">
        <f>_xlfn.XLOOKUP(E35,'All Products'!D:D,'All Products'!N:N,FALSE)</f>
        <v>0.115</v>
      </c>
      <c r="Y35" s="265">
        <f>_xlfn.XLOOKUP(E35,'All Products'!D:D,'All Products'!O:O,FALSE)</f>
        <v>25</v>
      </c>
      <c r="Z35" s="265">
        <f>_xlfn.XLOOKUP(E35,'All Products'!D:D,'All Products'!P:P,FALSE)</f>
        <v>6.55</v>
      </c>
      <c r="AA35" s="265">
        <f>_xlfn.XLOOKUP(E35,'All Products'!D:D,'All Products'!Q:Q,FALSE)</f>
        <v>0.5</v>
      </c>
    </row>
    <row r="36" spans="1:27" ht="14.4" customHeight="1">
      <c r="A36" s="101" t="str">
        <f>IF(O36&gt;0,COUNT($A$8:A35)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36" s="646"/>
      <c r="C36" s="647"/>
      <c r="D36" s="125">
        <f>_xlfn.XLOOKUP(E36,'All Products'!D:D,'All Products'!C:C,FALSE)</f>
        <v>8311</v>
      </c>
      <c r="E36" s="1">
        <v>100026686</v>
      </c>
      <c r="F36" s="15" t="str">
        <f>_xlfn.XLOOKUP(E36,'All Products'!D:D,'All Products'!E:E,FALSE)</f>
        <v>1X6 NIPPLE TBE</v>
      </c>
      <c r="G36" s="1" t="s">
        <v>2222</v>
      </c>
      <c r="H36" s="278" t="s">
        <v>2210</v>
      </c>
      <c r="I36" s="278" t="s">
        <v>2204</v>
      </c>
      <c r="J36" s="1" t="s">
        <v>2207</v>
      </c>
      <c r="K36" s="1">
        <f>_xlfn.XLOOKUP(E36,'All Products'!D:D,'All Products'!F:F,FALSE)</f>
        <v>40</v>
      </c>
      <c r="L36" s="1">
        <f>_xlfn.XLOOKUP(E36,'All Products'!D:D,'All Products'!G:G,FALSE)</f>
        <v>10800</v>
      </c>
      <c r="M36" s="132">
        <f>_xlfn.XLOOKUP(E36,'All Products'!D:D,'All Products'!H:H,FALSE)</f>
        <v>2.9</v>
      </c>
      <c r="N36" s="179">
        <f>ROUNDUP(M36*Order_Quote!$L$21,2)</f>
        <v>2.9</v>
      </c>
      <c r="O36" s="74"/>
      <c r="P36" s="16"/>
      <c r="Q36" s="171">
        <f t="shared" si="1"/>
        <v>0</v>
      </c>
      <c r="S36" s="215" t="str">
        <f>_xlfn.XLOOKUP(E36,'All Products'!D:D,'All Products'!I:I,FALSE)</f>
        <v>In Stock</v>
      </c>
      <c r="T36" s="215" t="str">
        <f>_xlfn.XLOOKUP(E36,'All Products'!D:D,'All Products'!J:J,FALSE)</f>
        <v>Manufactured</v>
      </c>
      <c r="U36" s="266">
        <f>_xlfn.XLOOKUP(E36,'All Products'!D:D,'All Products'!K:K,FALSE)</f>
        <v>49081119041</v>
      </c>
      <c r="V36" s="266" t="str">
        <f>_xlfn.XLOOKUP(E36,'All Products'!D:D,'All Products'!L:L,FALSE)</f>
        <v>-</v>
      </c>
      <c r="W36" s="266">
        <f>_xlfn.XLOOKUP(E36,'All Products'!D:D,'All Products'!M:M,FALSE)</f>
        <v>40049081119049</v>
      </c>
      <c r="X36" s="265">
        <f>_xlfn.XLOOKUP(E36,'All Products'!D:D,'All Products'!N:N,FALSE)</f>
        <v>0.18</v>
      </c>
      <c r="Y36" s="265" t="str">
        <f>_xlfn.XLOOKUP(E36,'All Products'!D:D,'All Products'!O:O,FALSE)</f>
        <v>-</v>
      </c>
      <c r="Z36" s="265">
        <f>_xlfn.XLOOKUP(E36,'All Products'!D:D,'All Products'!P:P,FALSE)</f>
        <v>7.37</v>
      </c>
      <c r="AA36" s="265">
        <f>_xlfn.XLOOKUP(E36,'All Products'!D:D,'All Products'!Q:Q,FALSE)</f>
        <v>0.31</v>
      </c>
    </row>
    <row r="37" spans="1:27" ht="14.4" customHeight="1">
      <c r="A37" s="101" t="str">
        <f>IF(O37&gt;0,COUNT($A$8:A36)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37" s="646"/>
      <c r="C37" s="647"/>
      <c r="D37" s="125">
        <f>_xlfn.XLOOKUP(E37,'All Products'!D:D,'All Products'!C:C,FALSE)</f>
        <v>8314</v>
      </c>
      <c r="E37" s="1">
        <v>100026688</v>
      </c>
      <c r="F37" s="15" t="str">
        <f>_xlfn.XLOOKUP(E37,'All Products'!D:D,'All Products'!E:E,FALSE)</f>
        <v>1X7-1/2 NIPPLE TBE</v>
      </c>
      <c r="G37" s="1" t="s">
        <v>2222</v>
      </c>
      <c r="H37" s="278" t="s">
        <v>2210</v>
      </c>
      <c r="I37" s="278" t="s">
        <v>2204</v>
      </c>
      <c r="J37" s="1" t="s">
        <v>2250</v>
      </c>
      <c r="K37" s="1">
        <f>_xlfn.XLOOKUP(E37,'All Products'!D:D,'All Products'!F:F,FALSE)</f>
        <v>25</v>
      </c>
      <c r="L37" s="1" t="str">
        <f>_xlfn.XLOOKUP(E37,'All Products'!D:D,'All Products'!G:G,FALSE)</f>
        <v>-</v>
      </c>
      <c r="M37" s="132">
        <f>_xlfn.XLOOKUP(E37,'All Products'!D:D,'All Products'!H:H,FALSE)</f>
        <v>5.97</v>
      </c>
      <c r="N37" s="179">
        <f>ROUNDUP(M37*Order_Quote!$L$21,2)</f>
        <v>5.97</v>
      </c>
      <c r="O37" s="74"/>
      <c r="P37" s="16"/>
      <c r="Q37" s="171">
        <f t="shared" si="1"/>
        <v>0</v>
      </c>
      <c r="S37" s="215" t="str">
        <f>_xlfn.XLOOKUP(E37,'All Products'!D:D,'All Products'!I:I,FALSE)</f>
        <v>Within 3 Weeks</v>
      </c>
      <c r="T37" s="215" t="str">
        <f>_xlfn.XLOOKUP(E37,'All Products'!D:D,'All Products'!J:J,FALSE)</f>
        <v>Sourced</v>
      </c>
      <c r="U37" s="266">
        <f>_xlfn.XLOOKUP(E37,'All Products'!D:D,'All Products'!K:K,FALSE)</f>
        <v>49081118938</v>
      </c>
      <c r="V37" s="266" t="str">
        <f>_xlfn.XLOOKUP(E37,'All Products'!D:D,'All Products'!L:L,FALSE)</f>
        <v>-</v>
      </c>
      <c r="W37" s="266">
        <f>_xlfn.XLOOKUP(E37,'All Products'!D:D,'All Products'!M:M,FALSE)</f>
        <v>40049081118936</v>
      </c>
      <c r="X37" s="265">
        <f>_xlfn.XLOOKUP(E37,'All Products'!D:D,'All Products'!N:N,FALSE)</f>
        <v>0.27200000000000002</v>
      </c>
      <c r="Y37" s="265" t="str">
        <f>_xlfn.XLOOKUP(E37,'All Products'!D:D,'All Products'!O:O,FALSE)</f>
        <v>-</v>
      </c>
      <c r="Z37" s="265">
        <f>_xlfn.XLOOKUP(E37,'All Products'!D:D,'All Products'!P:P,FALSE)</f>
        <v>6.8</v>
      </c>
      <c r="AA37" s="265" t="str">
        <f>_xlfn.XLOOKUP(E37,'All Products'!D:D,'All Products'!Q:Q,FALSE)</f>
        <v>-</v>
      </c>
    </row>
    <row r="38" spans="1:27" ht="14.4" customHeight="1">
      <c r="A38" s="101" t="str">
        <f>IF(O38&gt;0,COUNT($A$8:A37)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38" s="646"/>
      <c r="C38" s="647"/>
      <c r="D38" s="125">
        <f>_xlfn.XLOOKUP(E38,'All Products'!D:D,'All Products'!C:C,FALSE)</f>
        <v>8315</v>
      </c>
      <c r="E38" s="1">
        <v>100026689</v>
      </c>
      <c r="F38" s="15" t="str">
        <f>_xlfn.XLOOKUP(E38,'All Products'!D:D,'All Products'!E:E,FALSE)</f>
        <v>1X8 NIPPLE TBE</v>
      </c>
      <c r="G38" s="1" t="s">
        <v>2222</v>
      </c>
      <c r="H38" s="278" t="s">
        <v>2210</v>
      </c>
      <c r="I38" s="278" t="s">
        <v>2204</v>
      </c>
      <c r="J38" s="1" t="s">
        <v>2224</v>
      </c>
      <c r="K38" s="1">
        <f>_xlfn.XLOOKUP(E38,'All Products'!D:D,'All Products'!F:F,FALSE)</f>
        <v>25</v>
      </c>
      <c r="L38" s="1" t="str">
        <f>_xlfn.XLOOKUP(E38,'All Products'!D:D,'All Products'!G:G,FALSE)</f>
        <v>-</v>
      </c>
      <c r="M38" s="132">
        <f>_xlfn.XLOOKUP(E38,'All Products'!D:D,'All Products'!H:H,FALSE)</f>
        <v>6.2</v>
      </c>
      <c r="N38" s="179">
        <f>ROUNDUP(M38*Order_Quote!$L$21,2)</f>
        <v>6.2</v>
      </c>
      <c r="O38" s="74"/>
      <c r="P38" s="16"/>
      <c r="Q38" s="171">
        <f t="shared" si="1"/>
        <v>0</v>
      </c>
      <c r="S38" s="215" t="str">
        <f>_xlfn.XLOOKUP(E38,'All Products'!D:D,'All Products'!I:I,FALSE)</f>
        <v>In Stock</v>
      </c>
      <c r="T38" s="215" t="str">
        <f>_xlfn.XLOOKUP(E38,'All Products'!D:D,'All Products'!J:J,FALSE)</f>
        <v>Manufactured</v>
      </c>
      <c r="U38" s="266">
        <f>_xlfn.XLOOKUP(E38,'All Products'!D:D,'All Products'!K:K,FALSE)</f>
        <v>49081119065</v>
      </c>
      <c r="V38" s="266" t="str">
        <f>_xlfn.XLOOKUP(E38,'All Products'!D:D,'All Products'!L:L,FALSE)</f>
        <v>-</v>
      </c>
      <c r="W38" s="266">
        <f>_xlfn.XLOOKUP(E38,'All Products'!D:D,'All Products'!M:M,FALSE)</f>
        <v>40049081119063</v>
      </c>
      <c r="X38" s="265">
        <f>_xlfn.XLOOKUP(E38,'All Products'!D:D,'All Products'!N:N,FALSE)</f>
        <v>0.248</v>
      </c>
      <c r="Y38" s="265" t="str">
        <f>_xlfn.XLOOKUP(E38,'All Products'!D:D,'All Products'!O:O,FALSE)</f>
        <v>-</v>
      </c>
      <c r="Z38" s="265">
        <f>_xlfn.XLOOKUP(E38,'All Products'!D:D,'All Products'!P:P,FALSE)</f>
        <v>6.34</v>
      </c>
      <c r="AA38" s="265" t="str">
        <f>_xlfn.XLOOKUP(E38,'All Products'!D:D,'All Products'!Q:Q,FALSE)</f>
        <v>-</v>
      </c>
    </row>
    <row r="39" spans="1:27" ht="14.4" customHeight="1">
      <c r="A39" s="101" t="str">
        <f>IF(O39&gt;0,COUNT($A$8:A38)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39" s="646"/>
      <c r="C39" s="647"/>
      <c r="D39" s="125">
        <f>_xlfn.XLOOKUP(E39,'All Products'!D:D,'All Products'!C:C,FALSE)</f>
        <v>8323</v>
      </c>
      <c r="E39" s="1">
        <v>100026691</v>
      </c>
      <c r="F39" s="15" t="str">
        <f>_xlfn.XLOOKUP(E39,'All Products'!D:D,'All Products'!E:E,FALSE)</f>
        <v>1X12 NIPPLE TBE</v>
      </c>
      <c r="G39" s="1" t="s">
        <v>2222</v>
      </c>
      <c r="H39" s="278" t="s">
        <v>2210</v>
      </c>
      <c r="I39" s="278" t="s">
        <v>2204</v>
      </c>
      <c r="J39" s="1" t="s">
        <v>2253</v>
      </c>
      <c r="K39" s="1">
        <f>_xlfn.XLOOKUP(E39,'All Products'!D:D,'All Products'!F:F,FALSE)</f>
        <v>25</v>
      </c>
      <c r="L39" s="1">
        <f>_xlfn.XLOOKUP(E39,'All Products'!D:D,'All Products'!G:G,FALSE)</f>
        <v>6750</v>
      </c>
      <c r="M39" s="132">
        <f>_xlfn.XLOOKUP(E39,'All Products'!D:D,'All Products'!H:H,FALSE)</f>
        <v>8.2200000000000006</v>
      </c>
      <c r="N39" s="179">
        <f>ROUNDUP(M39*Order_Quote!$L$21,2)</f>
        <v>8.2200000000000006</v>
      </c>
      <c r="O39" s="74"/>
      <c r="P39" s="16"/>
      <c r="Q39" s="171">
        <f t="shared" si="1"/>
        <v>0</v>
      </c>
      <c r="S39" s="215" t="str">
        <f>_xlfn.XLOOKUP(E39,'All Products'!D:D,'All Products'!I:I,FALSE)</f>
        <v>In Stock</v>
      </c>
      <c r="T39" s="215" t="str">
        <f>_xlfn.XLOOKUP(E39,'All Products'!D:D,'All Products'!J:J,FALSE)</f>
        <v>Manufactured</v>
      </c>
      <c r="U39" s="266">
        <f>_xlfn.XLOOKUP(E39,'All Products'!D:D,'All Products'!K:K,FALSE)</f>
        <v>49081119102</v>
      </c>
      <c r="V39" s="266" t="str">
        <f>_xlfn.XLOOKUP(E39,'All Products'!D:D,'All Products'!L:L,FALSE)</f>
        <v>-</v>
      </c>
      <c r="W39" s="266">
        <f>_xlfn.XLOOKUP(E39,'All Products'!D:D,'All Products'!M:M,FALSE)</f>
        <v>40049081119100</v>
      </c>
      <c r="X39" s="265">
        <f>_xlfn.XLOOKUP(E39,'All Products'!D:D,'All Products'!N:N,FALSE)</f>
        <v>0.374</v>
      </c>
      <c r="Y39" s="265" t="str">
        <f>_xlfn.XLOOKUP(E39,'All Products'!D:D,'All Products'!O:O,FALSE)</f>
        <v>-</v>
      </c>
      <c r="Z39" s="265">
        <f>_xlfn.XLOOKUP(E39,'All Products'!D:D,'All Products'!P:P,FALSE)</f>
        <v>10.18</v>
      </c>
      <c r="AA39" s="265">
        <f>_xlfn.XLOOKUP(E39,'All Products'!D:D,'All Products'!Q:Q,FALSE)</f>
        <v>0.31</v>
      </c>
    </row>
    <row r="40" spans="1:27" ht="14.4" customHeight="1">
      <c r="A40" s="101" t="str">
        <f>IF(O40&gt;0,COUNT($A$8:A39)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40" s="646"/>
      <c r="C40" s="647"/>
      <c r="D40" s="125">
        <f>_xlfn.XLOOKUP(E40,'All Products'!D:D,'All Products'!C:C,FALSE)</f>
        <v>8400</v>
      </c>
      <c r="E40" s="1">
        <v>100026703</v>
      </c>
      <c r="F40" s="15" t="str">
        <f>_xlfn.XLOOKUP(E40,'All Products'!D:D,'All Products'!E:E,FALSE)</f>
        <v>1-1/4X C NIPPLE TBE</v>
      </c>
      <c r="G40" s="1" t="s">
        <v>2222</v>
      </c>
      <c r="H40" s="278" t="s">
        <v>2210</v>
      </c>
      <c r="I40" s="278" t="s">
        <v>2204</v>
      </c>
      <c r="J40" s="1" t="s">
        <v>2211</v>
      </c>
      <c r="K40" s="1">
        <f>_xlfn.XLOOKUP(E40,'All Products'!D:D,'All Products'!F:F,FALSE)</f>
        <v>25</v>
      </c>
      <c r="L40" s="1" t="str">
        <f>_xlfn.XLOOKUP(E40,'All Products'!D:D,'All Products'!G:G,FALSE)</f>
        <v>-</v>
      </c>
      <c r="M40" s="132">
        <f>_xlfn.XLOOKUP(E40,'All Products'!D:D,'All Products'!H:H,FALSE)</f>
        <v>3.59</v>
      </c>
      <c r="N40" s="179">
        <f>ROUNDUP(M40*Order_Quote!$L$21,2)</f>
        <v>3.59</v>
      </c>
      <c r="O40" s="74"/>
      <c r="P40" s="16"/>
      <c r="Q40" s="171">
        <f t="shared" si="1"/>
        <v>0</v>
      </c>
      <c r="S40" s="215" t="str">
        <f>_xlfn.XLOOKUP(E40,'All Products'!D:D,'All Products'!I:I,FALSE)</f>
        <v>Within 3 Weeks</v>
      </c>
      <c r="T40" s="215" t="str">
        <f>_xlfn.XLOOKUP(E40,'All Products'!D:D,'All Products'!J:J,FALSE)</f>
        <v>Sourced</v>
      </c>
      <c r="U40" s="266">
        <f>_xlfn.XLOOKUP(E40,'All Products'!D:D,'All Products'!K:K,FALSE)</f>
        <v>49081119294</v>
      </c>
      <c r="V40" s="266" t="str">
        <f>_xlfn.XLOOKUP(E40,'All Products'!D:D,'All Products'!L:L,FALSE)</f>
        <v>-</v>
      </c>
      <c r="W40" s="266">
        <f>_xlfn.XLOOKUP(E40,'All Products'!D:D,'All Products'!M:M,FALSE)</f>
        <v>40049081119292</v>
      </c>
      <c r="X40" s="265">
        <f>_xlfn.XLOOKUP(E40,'All Products'!D:D,'All Products'!N:N,FALSE)</f>
        <v>7.5999999999999998E-2</v>
      </c>
      <c r="Y40" s="265" t="str">
        <f>_xlfn.XLOOKUP(E40,'All Products'!D:D,'All Products'!O:O,FALSE)</f>
        <v>-</v>
      </c>
      <c r="Z40" s="265">
        <f>_xlfn.XLOOKUP(E40,'All Products'!D:D,'All Products'!P:P,FALSE)</f>
        <v>1.9</v>
      </c>
      <c r="AA40" s="265" t="str">
        <f>_xlfn.XLOOKUP(E40,'All Products'!D:D,'All Products'!Q:Q,FALSE)</f>
        <v>-</v>
      </c>
    </row>
    <row r="41" spans="1:27" ht="14.4" customHeight="1">
      <c r="A41" s="101" t="str">
        <f>IF(O41&gt;0,COUNT($A$8:A40)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41" s="646"/>
      <c r="C41" s="647"/>
      <c r="D41" s="125">
        <f>_xlfn.XLOOKUP(E41,'All Products'!D:D,'All Products'!C:C,FALSE)</f>
        <v>8403</v>
      </c>
      <c r="E41" s="1">
        <v>100026704</v>
      </c>
      <c r="F41" s="15" t="str">
        <f>_xlfn.XLOOKUP(E41,'All Products'!D:D,'All Products'!E:E,FALSE)</f>
        <v>1-1/4X2 NIPPLE TBE</v>
      </c>
      <c r="G41" s="1" t="s">
        <v>2222</v>
      </c>
      <c r="H41" s="278" t="s">
        <v>2210</v>
      </c>
      <c r="I41" s="278" t="s">
        <v>2204</v>
      </c>
      <c r="J41" s="1" t="s">
        <v>2205</v>
      </c>
      <c r="K41" s="1">
        <f>_xlfn.XLOOKUP(E41,'All Products'!D:D,'All Products'!F:F,FALSE)</f>
        <v>25</v>
      </c>
      <c r="L41" s="1" t="str">
        <f>_xlfn.XLOOKUP(E41,'All Products'!D:D,'All Products'!G:G,FALSE)</f>
        <v>-</v>
      </c>
      <c r="M41" s="132">
        <f>_xlfn.XLOOKUP(E41,'All Products'!D:D,'All Products'!H:H,FALSE)</f>
        <v>3.8</v>
      </c>
      <c r="N41" s="179">
        <f>ROUNDUP(M41*Order_Quote!$L$21,2)</f>
        <v>3.8</v>
      </c>
      <c r="O41" s="74"/>
      <c r="P41" s="16"/>
      <c r="Q41" s="171">
        <f t="shared" si="1"/>
        <v>0</v>
      </c>
      <c r="S41" s="215" t="str">
        <f>_xlfn.XLOOKUP(E41,'All Products'!D:D,'All Products'!I:I,FALSE)</f>
        <v>Within 3 Weeks</v>
      </c>
      <c r="T41" s="215" t="str">
        <f>_xlfn.XLOOKUP(E41,'All Products'!D:D,'All Products'!J:J,FALSE)</f>
        <v>Sourced</v>
      </c>
      <c r="U41" s="266">
        <f>_xlfn.XLOOKUP(E41,'All Products'!D:D,'All Products'!K:K,FALSE)</f>
        <v>49081119300</v>
      </c>
      <c r="V41" s="266" t="str">
        <f>_xlfn.XLOOKUP(E41,'All Products'!D:D,'All Products'!L:L,FALSE)</f>
        <v>-</v>
      </c>
      <c r="W41" s="266">
        <f>_xlfn.XLOOKUP(E41,'All Products'!D:D,'All Products'!M:M,FALSE)</f>
        <v>40049081119308</v>
      </c>
      <c r="X41" s="265">
        <f>_xlfn.XLOOKUP(E41,'All Products'!D:D,'All Products'!N:N,FALSE)</f>
        <v>8.7999999999999995E-2</v>
      </c>
      <c r="Y41" s="265" t="str">
        <f>_xlfn.XLOOKUP(E41,'All Products'!D:D,'All Products'!O:O,FALSE)</f>
        <v>-</v>
      </c>
      <c r="Z41" s="265">
        <f>_xlfn.XLOOKUP(E41,'All Products'!D:D,'All Products'!P:P,FALSE)</f>
        <v>2.2000000000000002</v>
      </c>
      <c r="AA41" s="265" t="str">
        <f>_xlfn.XLOOKUP(E41,'All Products'!D:D,'All Products'!Q:Q,FALSE)</f>
        <v>-</v>
      </c>
    </row>
    <row r="42" spans="1:27" ht="14.4" customHeight="1">
      <c r="A42" s="101" t="str">
        <f>IF(O42&gt;0,COUNT($A$8:A41)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42" s="646"/>
      <c r="C42" s="647"/>
      <c r="D42" s="125">
        <f>_xlfn.XLOOKUP(E42,'All Products'!D:D,'All Products'!C:C,FALSE)</f>
        <v>8405</v>
      </c>
      <c r="E42" s="1">
        <v>100026706</v>
      </c>
      <c r="F42" s="15" t="str">
        <f>_xlfn.XLOOKUP(E42,'All Products'!D:D,'All Products'!E:E,FALSE)</f>
        <v>1-1/4 X 3 NIPPLE TBE</v>
      </c>
      <c r="G42" s="1" t="s">
        <v>2222</v>
      </c>
      <c r="H42" s="278" t="s">
        <v>2210</v>
      </c>
      <c r="I42" s="278" t="s">
        <v>2204</v>
      </c>
      <c r="J42" s="1" t="s">
        <v>2216</v>
      </c>
      <c r="K42" s="1">
        <f>_xlfn.XLOOKUP(E42,'All Products'!D:D,'All Products'!F:F,FALSE)</f>
        <v>25</v>
      </c>
      <c r="L42" s="1" t="str">
        <f>_xlfn.XLOOKUP(E42,'All Products'!D:D,'All Products'!G:G,FALSE)</f>
        <v>-</v>
      </c>
      <c r="M42" s="132">
        <f>_xlfn.XLOOKUP(E42,'All Products'!D:D,'All Products'!H:H,FALSE)</f>
        <v>5.41</v>
      </c>
      <c r="N42" s="179">
        <f>ROUNDUP(M42*Order_Quote!$L$21,2)</f>
        <v>5.41</v>
      </c>
      <c r="O42" s="74"/>
      <c r="P42" s="16"/>
      <c r="Q42" s="171">
        <f t="shared" si="1"/>
        <v>0</v>
      </c>
      <c r="S42" s="215" t="str">
        <f>_xlfn.XLOOKUP(E42,'All Products'!D:D,'All Products'!I:I,FALSE)</f>
        <v>Within 3 Weeks</v>
      </c>
      <c r="T42" s="215" t="str">
        <f>_xlfn.XLOOKUP(E42,'All Products'!D:D,'All Products'!J:J,FALSE)</f>
        <v>Sourced</v>
      </c>
      <c r="U42" s="266">
        <f>_xlfn.XLOOKUP(E42,'All Products'!D:D,'All Products'!K:K,FALSE)</f>
        <v>49081119324</v>
      </c>
      <c r="V42" s="266" t="str">
        <f>_xlfn.XLOOKUP(E42,'All Products'!D:D,'All Products'!L:L,FALSE)</f>
        <v>-</v>
      </c>
      <c r="W42" s="266">
        <f>_xlfn.XLOOKUP(E42,'All Products'!D:D,'All Products'!M:M,FALSE)</f>
        <v>40049081119322</v>
      </c>
      <c r="X42" s="265">
        <f>_xlfn.XLOOKUP(E42,'All Products'!D:D,'All Products'!N:N,FALSE)</f>
        <v>0.14199999999999999</v>
      </c>
      <c r="Y42" s="265" t="str">
        <f>_xlfn.XLOOKUP(E42,'All Products'!D:D,'All Products'!O:O,FALSE)</f>
        <v>-</v>
      </c>
      <c r="Z42" s="265">
        <f>_xlfn.XLOOKUP(E42,'All Products'!D:D,'All Products'!P:P,FALSE)</f>
        <v>3.56</v>
      </c>
      <c r="AA42" s="265" t="str">
        <f>_xlfn.XLOOKUP(E42,'All Products'!D:D,'All Products'!Q:Q,FALSE)</f>
        <v>-</v>
      </c>
    </row>
    <row r="43" spans="1:27" ht="14.4" customHeight="1">
      <c r="A43" s="101" t="str">
        <f>IF(O43&gt;0,COUNT($A$8:A42)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43" s="646"/>
      <c r="C43" s="647"/>
      <c r="D43" s="125">
        <f>_xlfn.XLOOKUP(E43,'All Products'!D:D,'All Products'!C:C,FALSE)</f>
        <v>8407</v>
      </c>
      <c r="E43" s="1">
        <v>100026708</v>
      </c>
      <c r="F43" s="15" t="str">
        <f>_xlfn.XLOOKUP(E43,'All Products'!D:D,'All Products'!E:E,FALSE)</f>
        <v>1-1/4 X 4 NIPPLE TBE</v>
      </c>
      <c r="G43" s="1" t="s">
        <v>2222</v>
      </c>
      <c r="H43" s="278" t="s">
        <v>2210</v>
      </c>
      <c r="I43" s="278" t="s">
        <v>2204</v>
      </c>
      <c r="J43" s="1" t="s">
        <v>2247</v>
      </c>
      <c r="K43" s="1">
        <f>_xlfn.XLOOKUP(E43,'All Products'!D:D,'All Products'!F:F,FALSE)</f>
        <v>25</v>
      </c>
      <c r="L43" s="1">
        <f>_xlfn.XLOOKUP(E43,'All Products'!D:D,'All Products'!G:G,FALSE)</f>
        <v>3750</v>
      </c>
      <c r="M43" s="132">
        <f>_xlfn.XLOOKUP(E43,'All Products'!D:D,'All Products'!H:H,FALSE)</f>
        <v>6.63</v>
      </c>
      <c r="N43" s="179">
        <f>ROUNDUP(M43*Order_Quote!$L$21,2)</f>
        <v>6.63</v>
      </c>
      <c r="O43" s="74"/>
      <c r="P43" s="16"/>
      <c r="Q43" s="171">
        <f t="shared" si="1"/>
        <v>0</v>
      </c>
      <c r="S43" s="215" t="str">
        <f>_xlfn.XLOOKUP(E43,'All Products'!D:D,'All Products'!I:I,FALSE)</f>
        <v>Within 3 Weeks</v>
      </c>
      <c r="T43" s="215" t="str">
        <f>_xlfn.XLOOKUP(E43,'All Products'!D:D,'All Products'!J:J,FALSE)</f>
        <v>Sourced</v>
      </c>
      <c r="U43" s="266">
        <f>_xlfn.XLOOKUP(E43,'All Products'!D:D,'All Products'!K:K,FALSE)</f>
        <v>49081119348</v>
      </c>
      <c r="V43" s="266" t="str">
        <f>_xlfn.XLOOKUP(E43,'All Products'!D:D,'All Products'!L:L,FALSE)</f>
        <v>-</v>
      </c>
      <c r="W43" s="266">
        <f>_xlfn.XLOOKUP(E43,'All Products'!D:D,'All Products'!M:M,FALSE)</f>
        <v>40049081119346</v>
      </c>
      <c r="X43" s="265">
        <f>_xlfn.XLOOKUP(E43,'All Products'!D:D,'All Products'!N:N,FALSE)</f>
        <v>0.192</v>
      </c>
      <c r="Y43" s="265" t="str">
        <f>_xlfn.XLOOKUP(E43,'All Products'!D:D,'All Products'!O:O,FALSE)</f>
        <v>-</v>
      </c>
      <c r="Z43" s="265">
        <f>_xlfn.XLOOKUP(E43,'All Products'!D:D,'All Products'!P:P,FALSE)</f>
        <v>4.8</v>
      </c>
      <c r="AA43" s="265">
        <f>_xlfn.XLOOKUP(E43,'All Products'!D:D,'All Products'!Q:Q,FALSE)</f>
        <v>0.5</v>
      </c>
    </row>
    <row r="44" spans="1:27" ht="14.4" customHeight="1">
      <c r="A44" s="101" t="str">
        <f>IF(O44&gt;0,COUNT($A$8:A43)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44" s="646"/>
      <c r="C44" s="647"/>
      <c r="D44" s="125">
        <f>_xlfn.XLOOKUP(E44,'All Products'!D:D,'All Products'!C:C,FALSE)</f>
        <v>8411</v>
      </c>
      <c r="E44" s="1">
        <v>100026710</v>
      </c>
      <c r="F44" s="15" t="str">
        <f>_xlfn.XLOOKUP(E44,'All Products'!D:D,'All Products'!E:E,FALSE)</f>
        <v>1-1/4X6 NIPPLE TBE</v>
      </c>
      <c r="G44" s="1" t="s">
        <v>2222</v>
      </c>
      <c r="H44" s="278" t="s">
        <v>2210</v>
      </c>
      <c r="I44" s="278" t="s">
        <v>2204</v>
      </c>
      <c r="J44" s="1" t="s">
        <v>2207</v>
      </c>
      <c r="K44" s="1">
        <f>_xlfn.XLOOKUP(E44,'All Products'!D:D,'All Products'!F:F,FALSE)</f>
        <v>25</v>
      </c>
      <c r="L44" s="1" t="str">
        <f>_xlfn.XLOOKUP(E44,'All Products'!D:D,'All Products'!G:G,FALSE)</f>
        <v>-</v>
      </c>
      <c r="M44" s="132">
        <f>_xlfn.XLOOKUP(E44,'All Products'!D:D,'All Products'!H:H,FALSE)</f>
        <v>7.04</v>
      </c>
      <c r="N44" s="179">
        <f>ROUNDUP(M44*Order_Quote!$L$21,2)</f>
        <v>7.04</v>
      </c>
      <c r="O44" s="74"/>
      <c r="P44" s="16"/>
      <c r="Q44" s="171">
        <f t="shared" si="1"/>
        <v>0</v>
      </c>
      <c r="S44" s="215" t="str">
        <f>_xlfn.XLOOKUP(E44,'All Products'!D:D,'All Products'!I:I,FALSE)</f>
        <v>Within 3 Weeks</v>
      </c>
      <c r="T44" s="215" t="str">
        <f>_xlfn.XLOOKUP(E44,'All Products'!D:D,'All Products'!J:J,FALSE)</f>
        <v>Sourced</v>
      </c>
      <c r="U44" s="266">
        <f>_xlfn.XLOOKUP(E44,'All Products'!D:D,'All Products'!K:K,FALSE)</f>
        <v>49081119386</v>
      </c>
      <c r="V44" s="266" t="str">
        <f>_xlfn.XLOOKUP(E44,'All Products'!D:D,'All Products'!L:L,FALSE)</f>
        <v>-</v>
      </c>
      <c r="W44" s="266">
        <f>_xlfn.XLOOKUP(E44,'All Products'!D:D,'All Products'!M:M,FALSE)</f>
        <v>40049081119384</v>
      </c>
      <c r="X44" s="265">
        <f>_xlfn.XLOOKUP(E44,'All Products'!D:D,'All Products'!N:N,FALSE)</f>
        <v>0.27600000000000002</v>
      </c>
      <c r="Y44" s="265" t="str">
        <f>_xlfn.XLOOKUP(E44,'All Products'!D:D,'All Products'!O:O,FALSE)</f>
        <v>-</v>
      </c>
      <c r="Z44" s="265">
        <f>_xlfn.XLOOKUP(E44,'All Products'!D:D,'All Products'!P:P,FALSE)</f>
        <v>6.9</v>
      </c>
      <c r="AA44" s="265" t="str">
        <f>_xlfn.XLOOKUP(E44,'All Products'!D:D,'All Products'!Q:Q,FALSE)</f>
        <v>-</v>
      </c>
    </row>
    <row r="45" spans="1:27" ht="14.4" customHeight="1">
      <c r="A45" s="101" t="str">
        <f>IF(O45&gt;0,COUNT($A$8:A44)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45" s="646"/>
      <c r="C45" s="647"/>
      <c r="D45" s="125">
        <f>_xlfn.XLOOKUP(E45,'All Products'!D:D,'All Products'!C:C,FALSE)</f>
        <v>8415</v>
      </c>
      <c r="E45" s="1">
        <v>100026711</v>
      </c>
      <c r="F45" s="15" t="str">
        <f>_xlfn.XLOOKUP(E45,'All Products'!D:D,'All Products'!E:E,FALSE)</f>
        <v>1-1/4X8 NIPPLE TBE</v>
      </c>
      <c r="G45" s="1" t="s">
        <v>2222</v>
      </c>
      <c r="H45" s="278" t="s">
        <v>2210</v>
      </c>
      <c r="I45" s="278" t="s">
        <v>2204</v>
      </c>
      <c r="J45" s="1" t="s">
        <v>2224</v>
      </c>
      <c r="K45" s="1">
        <f>_xlfn.XLOOKUP(E45,'All Products'!D:D,'All Products'!F:F,FALSE)</f>
        <v>25</v>
      </c>
      <c r="L45" s="1" t="str">
        <f>_xlfn.XLOOKUP(E45,'All Products'!D:D,'All Products'!G:G,FALSE)</f>
        <v>-</v>
      </c>
      <c r="M45" s="132">
        <f>_xlfn.XLOOKUP(E45,'All Products'!D:D,'All Products'!H:H,FALSE)</f>
        <v>8.5</v>
      </c>
      <c r="N45" s="179">
        <f>ROUNDUP(M45*Order_Quote!$L$21,2)</f>
        <v>8.5</v>
      </c>
      <c r="O45" s="74"/>
      <c r="P45" s="16"/>
      <c r="Q45" s="171">
        <f t="shared" si="1"/>
        <v>0</v>
      </c>
      <c r="S45" s="215" t="str">
        <f>_xlfn.XLOOKUP(E45,'All Products'!D:D,'All Products'!I:I,FALSE)</f>
        <v>Within 3 Weeks</v>
      </c>
      <c r="T45" s="215" t="str">
        <f>_xlfn.XLOOKUP(E45,'All Products'!D:D,'All Products'!J:J,FALSE)</f>
        <v>Sourced</v>
      </c>
      <c r="U45" s="266">
        <f>_xlfn.XLOOKUP(E45,'All Products'!D:D,'All Products'!K:K,FALSE)</f>
        <v>49081119409</v>
      </c>
      <c r="V45" s="266" t="str">
        <f>_xlfn.XLOOKUP(E45,'All Products'!D:D,'All Products'!L:L,FALSE)</f>
        <v>-</v>
      </c>
      <c r="W45" s="266">
        <f>_xlfn.XLOOKUP(E45,'All Products'!D:D,'All Products'!M:M,FALSE)</f>
        <v>40049081119407</v>
      </c>
      <c r="X45" s="265">
        <f>_xlfn.XLOOKUP(E45,'All Products'!D:D,'All Products'!N:N,FALSE)</f>
        <v>0.372</v>
      </c>
      <c r="Y45" s="265" t="str">
        <f>_xlfn.XLOOKUP(E45,'All Products'!D:D,'All Products'!O:O,FALSE)</f>
        <v>-</v>
      </c>
      <c r="Z45" s="265">
        <f>_xlfn.XLOOKUP(E45,'All Products'!D:D,'All Products'!P:P,FALSE)</f>
        <v>9.3000000000000007</v>
      </c>
      <c r="AA45" s="265" t="str">
        <f>_xlfn.XLOOKUP(E45,'All Products'!D:D,'All Products'!Q:Q,FALSE)</f>
        <v>-</v>
      </c>
    </row>
    <row r="46" spans="1:27" ht="14.4" customHeight="1">
      <c r="A46" s="101" t="str">
        <f>IF(O46&gt;0,COUNT($A$8:A45)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46" s="646"/>
      <c r="C46" s="647"/>
      <c r="D46" s="125">
        <f>_xlfn.XLOOKUP(E46,'All Products'!D:D,'All Products'!C:C,FALSE)</f>
        <v>8423</v>
      </c>
      <c r="E46" s="1">
        <v>100026714</v>
      </c>
      <c r="F46" s="15" t="str">
        <f>_xlfn.XLOOKUP(E46,'All Products'!D:D,'All Products'!E:E,FALSE)</f>
        <v>1-1/4X12 NIPPLE TBE</v>
      </c>
      <c r="G46" s="1" t="s">
        <v>2222</v>
      </c>
      <c r="H46" s="278" t="s">
        <v>2210</v>
      </c>
      <c r="I46" s="278" t="s">
        <v>2204</v>
      </c>
      <c r="J46" s="1" t="s">
        <v>2253</v>
      </c>
      <c r="K46" s="1">
        <f>_xlfn.XLOOKUP(E46,'All Products'!D:D,'All Products'!F:F,FALSE)</f>
        <v>25</v>
      </c>
      <c r="L46" s="1" t="str">
        <f>_xlfn.XLOOKUP(E46,'All Products'!D:D,'All Products'!G:G,FALSE)</f>
        <v>-</v>
      </c>
      <c r="M46" s="132">
        <f>_xlfn.XLOOKUP(E46,'All Products'!D:D,'All Products'!H:H,FALSE)</f>
        <v>11.15</v>
      </c>
      <c r="N46" s="179">
        <f>ROUNDUP(M46*Order_Quote!$L$21,2)</f>
        <v>11.15</v>
      </c>
      <c r="O46" s="74"/>
      <c r="P46" s="16"/>
      <c r="Q46" s="171">
        <f t="shared" si="1"/>
        <v>0</v>
      </c>
      <c r="S46" s="215" t="str">
        <f>_xlfn.XLOOKUP(E46,'All Products'!D:D,'All Products'!I:I,FALSE)</f>
        <v>Within 3 Weeks</v>
      </c>
      <c r="T46" s="215" t="str">
        <f>_xlfn.XLOOKUP(E46,'All Products'!D:D,'All Products'!J:J,FALSE)</f>
        <v>Sourced</v>
      </c>
      <c r="U46" s="266">
        <f>_xlfn.XLOOKUP(E46,'All Products'!D:D,'All Products'!K:K,FALSE)</f>
        <v>49081119447</v>
      </c>
      <c r="V46" s="266" t="str">
        <f>_xlfn.XLOOKUP(E46,'All Products'!D:D,'All Products'!L:L,FALSE)</f>
        <v>-</v>
      </c>
      <c r="W46" s="266">
        <f>_xlfn.XLOOKUP(E46,'All Products'!D:D,'All Products'!M:M,FALSE)</f>
        <v>40049081119445</v>
      </c>
      <c r="X46" s="265">
        <f>_xlfn.XLOOKUP(E46,'All Products'!D:D,'All Products'!N:N,FALSE)</f>
        <v>0.56599999999999995</v>
      </c>
      <c r="Y46" s="265" t="str">
        <f>_xlfn.XLOOKUP(E46,'All Products'!D:D,'All Products'!O:O,FALSE)</f>
        <v>-</v>
      </c>
      <c r="Z46" s="265">
        <f>_xlfn.XLOOKUP(E46,'All Products'!D:D,'All Products'!P:P,FALSE)</f>
        <v>14.14</v>
      </c>
      <c r="AA46" s="265" t="str">
        <f>_xlfn.XLOOKUP(E46,'All Products'!D:D,'All Products'!Q:Q,FALSE)</f>
        <v>-</v>
      </c>
    </row>
    <row r="47" spans="1:27" ht="14.4" customHeight="1">
      <c r="A47" s="101" t="str">
        <f>IF(O47&gt;0,COUNT($A$8:A46)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47" s="646"/>
      <c r="C47" s="647"/>
      <c r="D47" s="125">
        <f>_xlfn.XLOOKUP(E47,'All Products'!D:D,'All Products'!C:C,FALSE)</f>
        <v>8500</v>
      </c>
      <c r="E47" s="1">
        <v>100026724</v>
      </c>
      <c r="F47" s="15" t="str">
        <f>_xlfn.XLOOKUP(E47,'All Products'!D:D,'All Products'!E:E,FALSE)</f>
        <v>1-1/2XCL NIPPLE TBE</v>
      </c>
      <c r="G47" s="1" t="s">
        <v>2222</v>
      </c>
      <c r="H47" s="278" t="s">
        <v>2210</v>
      </c>
      <c r="I47" s="278" t="s">
        <v>2204</v>
      </c>
      <c r="J47" s="1" t="s">
        <v>2211</v>
      </c>
      <c r="K47" s="1">
        <f>_xlfn.XLOOKUP(E47,'All Products'!D:D,'All Products'!F:F,FALSE)</f>
        <v>25</v>
      </c>
      <c r="L47" s="1">
        <f>_xlfn.XLOOKUP(E47,'All Products'!D:D,'All Products'!G:G,FALSE)</f>
        <v>3750</v>
      </c>
      <c r="M47" s="132">
        <f>_xlfn.XLOOKUP(E47,'All Products'!D:D,'All Products'!H:H,FALSE)</f>
        <v>4.37</v>
      </c>
      <c r="N47" s="179">
        <f>ROUNDUP(M47*Order_Quote!$L$21,2)</f>
        <v>4.37</v>
      </c>
      <c r="O47" s="74"/>
      <c r="P47" s="16"/>
      <c r="Q47" s="171">
        <f t="shared" ref="Q47:Q63" si="2">O47/K47</f>
        <v>0</v>
      </c>
      <c r="S47" s="215" t="str">
        <f>_xlfn.XLOOKUP(E47,'All Products'!D:D,'All Products'!I:I,FALSE)</f>
        <v>Within 3 Weeks</v>
      </c>
      <c r="T47" s="215" t="str">
        <f>_xlfn.XLOOKUP(E47,'All Products'!D:D,'All Products'!J:J,FALSE)</f>
        <v>Sourced</v>
      </c>
      <c r="U47" s="266">
        <f>_xlfn.XLOOKUP(E47,'All Products'!D:D,'All Products'!K:K,FALSE)</f>
        <v>49081119638</v>
      </c>
      <c r="V47" s="266" t="str">
        <f>_xlfn.XLOOKUP(E47,'All Products'!D:D,'All Products'!L:L,FALSE)</f>
        <v>-</v>
      </c>
      <c r="W47" s="266">
        <f>_xlfn.XLOOKUP(E47,'All Products'!D:D,'All Products'!M:M,FALSE)</f>
        <v>40049081119636</v>
      </c>
      <c r="X47" s="265">
        <f>_xlfn.XLOOKUP(E47,'All Products'!D:D,'All Products'!N:N,FALSE)</f>
        <v>8.5999999999999993E-2</v>
      </c>
      <c r="Y47" s="265" t="str">
        <f>_xlfn.XLOOKUP(E47,'All Products'!D:D,'All Products'!O:O,FALSE)</f>
        <v>-</v>
      </c>
      <c r="Z47" s="265">
        <f>_xlfn.XLOOKUP(E47,'All Products'!D:D,'All Products'!P:P,FALSE)</f>
        <v>2.14</v>
      </c>
      <c r="AA47" s="265">
        <f>_xlfn.XLOOKUP(E47,'All Products'!D:D,'All Products'!Q:Q,FALSE)</f>
        <v>0.5</v>
      </c>
    </row>
    <row r="48" spans="1:27" ht="14.4" customHeight="1">
      <c r="A48" s="101" t="str">
        <f>IF(O48&gt;0,COUNT($A$8:A47)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48" s="646"/>
      <c r="C48" s="647"/>
      <c r="D48" s="125">
        <f>_xlfn.XLOOKUP(E48,'All Products'!D:D,'All Products'!C:C,FALSE)</f>
        <v>8503</v>
      </c>
      <c r="E48" s="1">
        <v>100026725</v>
      </c>
      <c r="F48" s="15" t="str">
        <f>_xlfn.XLOOKUP(E48,'All Products'!D:D,'All Products'!E:E,FALSE)</f>
        <v>1-1/2X2 NIPPLE TBE</v>
      </c>
      <c r="G48" s="1" t="s">
        <v>2222</v>
      </c>
      <c r="H48" s="278" t="s">
        <v>2210</v>
      </c>
      <c r="I48" s="278" t="s">
        <v>2204</v>
      </c>
      <c r="J48" s="1" t="s">
        <v>2205</v>
      </c>
      <c r="K48" s="1">
        <f>_xlfn.XLOOKUP(E48,'All Products'!D:D,'All Products'!F:F,FALSE)</f>
        <v>25</v>
      </c>
      <c r="L48" s="1" t="str">
        <f>_xlfn.XLOOKUP(E48,'All Products'!D:D,'All Products'!G:G,FALSE)</f>
        <v>-</v>
      </c>
      <c r="M48" s="132">
        <f>_xlfn.XLOOKUP(E48,'All Products'!D:D,'All Products'!H:H,FALSE)</f>
        <v>4.3899999999999997</v>
      </c>
      <c r="N48" s="179">
        <f>ROUNDUP(M48*Order_Quote!$L$21,2)</f>
        <v>4.3899999999999997</v>
      </c>
      <c r="O48" s="74"/>
      <c r="P48" s="16"/>
      <c r="Q48" s="171">
        <f t="shared" si="2"/>
        <v>0</v>
      </c>
      <c r="S48" s="215" t="str">
        <f>_xlfn.XLOOKUP(E48,'All Products'!D:D,'All Products'!I:I,FALSE)</f>
        <v>Within 3 Weeks</v>
      </c>
      <c r="T48" s="215" t="str">
        <f>_xlfn.XLOOKUP(E48,'All Products'!D:D,'All Products'!J:J,FALSE)</f>
        <v>Sourced</v>
      </c>
      <c r="U48" s="266">
        <f>_xlfn.XLOOKUP(E48,'All Products'!D:D,'All Products'!K:K,FALSE)</f>
        <v>49081119645</v>
      </c>
      <c r="V48" s="266" t="str">
        <f>_xlfn.XLOOKUP(E48,'All Products'!D:D,'All Products'!L:L,FALSE)</f>
        <v>-</v>
      </c>
      <c r="W48" s="266">
        <f>_xlfn.XLOOKUP(E48,'All Products'!D:D,'All Products'!M:M,FALSE)</f>
        <v>40049081119643</v>
      </c>
      <c r="X48" s="265">
        <f>_xlfn.XLOOKUP(E48,'All Products'!D:D,'All Products'!N:N,FALSE)</f>
        <v>0.112</v>
      </c>
      <c r="Y48" s="265" t="str">
        <f>_xlfn.XLOOKUP(E48,'All Products'!D:D,'All Products'!O:O,FALSE)</f>
        <v>-</v>
      </c>
      <c r="Z48" s="265">
        <f>_xlfn.XLOOKUP(E48,'All Products'!D:D,'All Products'!P:P,FALSE)</f>
        <v>2.8</v>
      </c>
      <c r="AA48" s="265" t="str">
        <f>_xlfn.XLOOKUP(E48,'All Products'!D:D,'All Products'!Q:Q,FALSE)</f>
        <v>-</v>
      </c>
    </row>
    <row r="49" spans="1:27" ht="14.4" customHeight="1">
      <c r="A49" s="101" t="str">
        <f>IF(O49&gt;0,COUNT($A$8:A48)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49" s="646"/>
      <c r="C49" s="647"/>
      <c r="D49" s="125">
        <f>_xlfn.XLOOKUP(E49,'All Products'!D:D,'All Products'!C:C,FALSE)</f>
        <v>8505</v>
      </c>
      <c r="E49" s="1">
        <v>100026727</v>
      </c>
      <c r="F49" s="15" t="str">
        <f>_xlfn.XLOOKUP(E49,'All Products'!D:D,'All Products'!E:E,FALSE)</f>
        <v>1-1/2X3 NIPPLE TBE</v>
      </c>
      <c r="G49" s="1" t="s">
        <v>2222</v>
      </c>
      <c r="H49" s="278" t="s">
        <v>2210</v>
      </c>
      <c r="I49" s="278" t="s">
        <v>2204</v>
      </c>
      <c r="J49" s="1" t="s">
        <v>2216</v>
      </c>
      <c r="K49" s="1">
        <f>_xlfn.XLOOKUP(E49,'All Products'!D:D,'All Products'!F:F,FALSE)</f>
        <v>25</v>
      </c>
      <c r="L49" s="1" t="str">
        <f>_xlfn.XLOOKUP(E49,'All Products'!D:D,'All Products'!G:G,FALSE)</f>
        <v>-</v>
      </c>
      <c r="M49" s="132">
        <f>_xlfn.XLOOKUP(E49,'All Products'!D:D,'All Products'!H:H,FALSE)</f>
        <v>5.71</v>
      </c>
      <c r="N49" s="179">
        <f>ROUNDUP(M49*Order_Quote!$L$21,2)</f>
        <v>5.71</v>
      </c>
      <c r="O49" s="74"/>
      <c r="P49" s="16"/>
      <c r="Q49" s="171">
        <f t="shared" si="2"/>
        <v>0</v>
      </c>
      <c r="S49" s="215" t="str">
        <f>_xlfn.XLOOKUP(E49,'All Products'!D:D,'All Products'!I:I,FALSE)</f>
        <v>Within 3 Weeks</v>
      </c>
      <c r="T49" s="215" t="str">
        <f>_xlfn.XLOOKUP(E49,'All Products'!D:D,'All Products'!J:J,FALSE)</f>
        <v>Sourced</v>
      </c>
      <c r="U49" s="266">
        <f>_xlfn.XLOOKUP(E49,'All Products'!D:D,'All Products'!K:K,FALSE)</f>
        <v>49081119669</v>
      </c>
      <c r="V49" s="266" t="str">
        <f>_xlfn.XLOOKUP(E49,'All Products'!D:D,'All Products'!L:L,FALSE)</f>
        <v>-</v>
      </c>
      <c r="W49" s="266">
        <f>_xlfn.XLOOKUP(E49,'All Products'!D:D,'All Products'!M:M,FALSE)</f>
        <v>40049081119667</v>
      </c>
      <c r="X49" s="265">
        <f>_xlfn.XLOOKUP(E49,'All Products'!D:D,'All Products'!N:N,FALSE)</f>
        <v>0.17199999999999999</v>
      </c>
      <c r="Y49" s="265" t="str">
        <f>_xlfn.XLOOKUP(E49,'All Products'!D:D,'All Products'!O:O,FALSE)</f>
        <v>-</v>
      </c>
      <c r="Z49" s="265">
        <f>_xlfn.XLOOKUP(E49,'All Products'!D:D,'All Products'!P:P,FALSE)</f>
        <v>4.3</v>
      </c>
      <c r="AA49" s="265" t="str">
        <f>_xlfn.XLOOKUP(E49,'All Products'!D:D,'All Products'!Q:Q,FALSE)</f>
        <v>-</v>
      </c>
    </row>
    <row r="50" spans="1:27" ht="14.4" customHeight="1">
      <c r="A50" s="101" t="str">
        <f>IF(O50&gt;0,COUNT($A$8:A49)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50" s="646"/>
      <c r="C50" s="647"/>
      <c r="D50" s="125">
        <f>_xlfn.XLOOKUP(E50,'All Products'!D:D,'All Products'!C:C,FALSE)</f>
        <v>8507</v>
      </c>
      <c r="E50" s="1">
        <v>100026729</v>
      </c>
      <c r="F50" s="15" t="str">
        <f>_xlfn.XLOOKUP(E50,'All Products'!D:D,'All Products'!E:E,FALSE)</f>
        <v>1-1/2X4 NIPPLE TBE</v>
      </c>
      <c r="G50" s="1" t="s">
        <v>2222</v>
      </c>
      <c r="H50" s="278" t="s">
        <v>2210</v>
      </c>
      <c r="I50" s="278" t="s">
        <v>2204</v>
      </c>
      <c r="J50" s="1" t="s">
        <v>2247</v>
      </c>
      <c r="K50" s="1">
        <f>_xlfn.XLOOKUP(E50,'All Products'!D:D,'All Products'!F:F,FALSE)</f>
        <v>25</v>
      </c>
      <c r="L50" s="1" t="str">
        <f>_xlfn.XLOOKUP(E50,'All Products'!D:D,'All Products'!G:G,FALSE)</f>
        <v>-</v>
      </c>
      <c r="M50" s="132">
        <f>_xlfn.XLOOKUP(E50,'All Products'!D:D,'All Products'!H:H,FALSE)</f>
        <v>6.63</v>
      </c>
      <c r="N50" s="179">
        <f>ROUNDUP(M50*Order_Quote!$L$21,2)</f>
        <v>6.63</v>
      </c>
      <c r="O50" s="74"/>
      <c r="P50" s="16"/>
      <c r="Q50" s="171">
        <f t="shared" si="2"/>
        <v>0</v>
      </c>
      <c r="S50" s="215" t="str">
        <f>_xlfn.XLOOKUP(E50,'All Products'!D:D,'All Products'!I:I,FALSE)</f>
        <v>Within 3 Weeks</v>
      </c>
      <c r="T50" s="215" t="str">
        <f>_xlfn.XLOOKUP(E50,'All Products'!D:D,'All Products'!J:J,FALSE)</f>
        <v>Sourced</v>
      </c>
      <c r="U50" s="266">
        <f>_xlfn.XLOOKUP(E50,'All Products'!D:D,'All Products'!K:K,FALSE)</f>
        <v>49081119683</v>
      </c>
      <c r="V50" s="266" t="str">
        <f>_xlfn.XLOOKUP(E50,'All Products'!D:D,'All Products'!L:L,FALSE)</f>
        <v>-</v>
      </c>
      <c r="W50" s="266">
        <f>_xlfn.XLOOKUP(E50,'All Products'!D:D,'All Products'!M:M,FALSE)</f>
        <v>40049081119681</v>
      </c>
      <c r="X50" s="265">
        <f>_xlfn.XLOOKUP(E50,'All Products'!D:D,'All Products'!N:N,FALSE)</f>
        <v>0.22800000000000001</v>
      </c>
      <c r="Y50" s="265" t="str">
        <f>_xlfn.XLOOKUP(E50,'All Products'!D:D,'All Products'!O:O,FALSE)</f>
        <v>-</v>
      </c>
      <c r="Z50" s="265">
        <f>_xlfn.XLOOKUP(E50,'All Products'!D:D,'All Products'!P:P,FALSE)</f>
        <v>5.7</v>
      </c>
      <c r="AA50" s="265" t="str">
        <f>_xlfn.XLOOKUP(E50,'All Products'!D:D,'All Products'!Q:Q,FALSE)</f>
        <v>-</v>
      </c>
    </row>
    <row r="51" spans="1:27" ht="14.4" customHeight="1">
      <c r="A51" s="101" t="str">
        <f>IF(O51&gt;0,COUNT($A$8:A50)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51" s="646"/>
      <c r="C51" s="647"/>
      <c r="D51" s="125">
        <f>_xlfn.XLOOKUP(E51,'All Products'!D:D,'All Products'!C:C,FALSE)</f>
        <v>8511</v>
      </c>
      <c r="E51" s="1">
        <v>100026731</v>
      </c>
      <c r="F51" s="15" t="str">
        <f>_xlfn.XLOOKUP(E51,'All Products'!D:D,'All Products'!E:E,FALSE)</f>
        <v>1-1/2X6 NIPPLE TBE</v>
      </c>
      <c r="G51" s="1" t="s">
        <v>2222</v>
      </c>
      <c r="H51" s="278" t="s">
        <v>2210</v>
      </c>
      <c r="I51" s="278" t="s">
        <v>2204</v>
      </c>
      <c r="J51" s="1" t="s">
        <v>2207</v>
      </c>
      <c r="K51" s="1">
        <f>_xlfn.XLOOKUP(E51,'All Products'!D:D,'All Products'!F:F,FALSE)</f>
        <v>25</v>
      </c>
      <c r="L51" s="1" t="str">
        <f>_xlfn.XLOOKUP(E51,'All Products'!D:D,'All Products'!G:G,FALSE)</f>
        <v>-</v>
      </c>
      <c r="M51" s="132">
        <f>_xlfn.XLOOKUP(E51,'All Products'!D:D,'All Products'!H:H,FALSE)</f>
        <v>8.08</v>
      </c>
      <c r="N51" s="179">
        <f>ROUNDUP(M51*Order_Quote!$L$21,2)</f>
        <v>8.08</v>
      </c>
      <c r="O51" s="74"/>
      <c r="P51" s="16"/>
      <c r="Q51" s="171">
        <f t="shared" si="2"/>
        <v>0</v>
      </c>
      <c r="S51" s="215" t="str">
        <f>_xlfn.XLOOKUP(E51,'All Products'!D:D,'All Products'!I:I,FALSE)</f>
        <v>Within 3 Weeks</v>
      </c>
      <c r="T51" s="215" t="str">
        <f>_xlfn.XLOOKUP(E51,'All Products'!D:D,'All Products'!J:J,FALSE)</f>
        <v>Sourced</v>
      </c>
      <c r="U51" s="266">
        <f>_xlfn.XLOOKUP(E51,'All Products'!D:D,'All Products'!K:K,FALSE)</f>
        <v>49081119720</v>
      </c>
      <c r="V51" s="266" t="str">
        <f>_xlfn.XLOOKUP(E51,'All Products'!D:D,'All Products'!L:L,FALSE)</f>
        <v>-</v>
      </c>
      <c r="W51" s="266">
        <f>_xlfn.XLOOKUP(E51,'All Products'!D:D,'All Products'!M:M,FALSE)</f>
        <v>40049081119728</v>
      </c>
      <c r="X51" s="265">
        <f>_xlfn.XLOOKUP(E51,'All Products'!D:D,'All Products'!N:N,FALSE)</f>
        <v>0.33800000000000002</v>
      </c>
      <c r="Y51" s="265" t="str">
        <f>_xlfn.XLOOKUP(E51,'All Products'!D:D,'All Products'!O:O,FALSE)</f>
        <v>-</v>
      </c>
      <c r="Z51" s="265">
        <f>_xlfn.XLOOKUP(E51,'All Products'!D:D,'All Products'!P:P,FALSE)</f>
        <v>8.4499999999999993</v>
      </c>
      <c r="AA51" s="265" t="str">
        <f>_xlfn.XLOOKUP(E51,'All Products'!D:D,'All Products'!Q:Q,FALSE)</f>
        <v>-</v>
      </c>
    </row>
    <row r="52" spans="1:27" ht="14.4" customHeight="1">
      <c r="A52" s="101" t="str">
        <f>IF(O52&gt;0,COUNT($A$8:A51)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52" s="646"/>
      <c r="C52" s="647"/>
      <c r="D52" s="125">
        <f>_xlfn.XLOOKUP(E52,'All Products'!D:D,'All Products'!C:C,FALSE)</f>
        <v>8515</v>
      </c>
      <c r="E52" s="1">
        <v>100026732</v>
      </c>
      <c r="F52" s="15" t="str">
        <f>_xlfn.XLOOKUP(E52,'All Products'!D:D,'All Products'!E:E,FALSE)</f>
        <v>1-1/2X8 NIPPLE TBE</v>
      </c>
      <c r="G52" s="1" t="s">
        <v>2222</v>
      </c>
      <c r="H52" s="278" t="s">
        <v>2210</v>
      </c>
      <c r="I52" s="278" t="s">
        <v>2204</v>
      </c>
      <c r="J52" s="1" t="s">
        <v>2224</v>
      </c>
      <c r="K52" s="1">
        <f>_xlfn.XLOOKUP(E52,'All Products'!D:D,'All Products'!F:F,FALSE)</f>
        <v>25</v>
      </c>
      <c r="L52" s="1" t="str">
        <f>_xlfn.XLOOKUP(E52,'All Products'!D:D,'All Products'!G:G,FALSE)</f>
        <v>-</v>
      </c>
      <c r="M52" s="132">
        <f>_xlfn.XLOOKUP(E52,'All Products'!D:D,'All Products'!H:H,FALSE)</f>
        <v>9.67</v>
      </c>
      <c r="N52" s="179">
        <f>ROUNDUP(M52*Order_Quote!$L$21,2)</f>
        <v>9.67</v>
      </c>
      <c r="O52" s="74"/>
      <c r="P52" s="16"/>
      <c r="Q52" s="171">
        <f t="shared" si="2"/>
        <v>0</v>
      </c>
      <c r="S52" s="215" t="str">
        <f>_xlfn.XLOOKUP(E52,'All Products'!D:D,'All Products'!I:I,FALSE)</f>
        <v>Within 3 Weeks</v>
      </c>
      <c r="T52" s="215" t="str">
        <f>_xlfn.XLOOKUP(E52,'All Products'!D:D,'All Products'!J:J,FALSE)</f>
        <v>Sourced</v>
      </c>
      <c r="U52" s="266">
        <f>_xlfn.XLOOKUP(E52,'All Products'!D:D,'All Products'!K:K,FALSE)</f>
        <v>49081119744</v>
      </c>
      <c r="V52" s="266" t="str">
        <f>_xlfn.XLOOKUP(E52,'All Products'!D:D,'All Products'!L:L,FALSE)</f>
        <v>-</v>
      </c>
      <c r="W52" s="266">
        <f>_xlfn.XLOOKUP(E52,'All Products'!D:D,'All Products'!M:M,FALSE)</f>
        <v>40049081119742</v>
      </c>
      <c r="X52" s="265">
        <f>_xlfn.XLOOKUP(E52,'All Products'!D:D,'All Products'!N:N,FALSE)</f>
        <v>0.47</v>
      </c>
      <c r="Y52" s="265" t="str">
        <f>_xlfn.XLOOKUP(E52,'All Products'!D:D,'All Products'!O:O,FALSE)</f>
        <v>-</v>
      </c>
      <c r="Z52" s="265">
        <f>_xlfn.XLOOKUP(E52,'All Products'!D:D,'All Products'!P:P,FALSE)</f>
        <v>11.74</v>
      </c>
      <c r="AA52" s="265" t="str">
        <f>_xlfn.XLOOKUP(E52,'All Products'!D:D,'All Products'!Q:Q,FALSE)</f>
        <v>-</v>
      </c>
    </row>
    <row r="53" spans="1:27" ht="14.4" customHeight="1">
      <c r="A53" s="101" t="str">
        <f>IF(O53&gt;0,COUNT($A$8:A52)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53" s="646"/>
      <c r="C53" s="647"/>
      <c r="D53" s="125">
        <f>_xlfn.XLOOKUP(E53,'All Products'!D:D,'All Products'!C:C,FALSE)</f>
        <v>8523</v>
      </c>
      <c r="E53" s="1">
        <v>100026734</v>
      </c>
      <c r="F53" s="15" t="str">
        <f>_xlfn.XLOOKUP(E53,'All Products'!D:D,'All Products'!E:E,FALSE)</f>
        <v>1-1/2X12 NIPPLE TBE</v>
      </c>
      <c r="G53" s="1" t="s">
        <v>2222</v>
      </c>
      <c r="H53" s="278" t="s">
        <v>2210</v>
      </c>
      <c r="I53" s="278" t="s">
        <v>2204</v>
      </c>
      <c r="J53" s="1" t="s">
        <v>2253</v>
      </c>
      <c r="K53" s="1">
        <f>_xlfn.XLOOKUP(E53,'All Products'!D:D,'All Products'!F:F,FALSE)</f>
        <v>25</v>
      </c>
      <c r="L53" s="1">
        <f>_xlfn.XLOOKUP(E53,'All Products'!D:D,'All Products'!G:G,FALSE)</f>
        <v>3000</v>
      </c>
      <c r="M53" s="132">
        <f>_xlfn.XLOOKUP(E53,'All Products'!D:D,'All Products'!H:H,FALSE)</f>
        <v>13.57</v>
      </c>
      <c r="N53" s="179">
        <f>ROUNDUP(M53*Order_Quote!$L$21,2)</f>
        <v>13.57</v>
      </c>
      <c r="O53" s="74"/>
      <c r="P53" s="16"/>
      <c r="Q53" s="171">
        <f t="shared" si="2"/>
        <v>0</v>
      </c>
      <c r="S53" s="215" t="str">
        <f>_xlfn.XLOOKUP(E53,'All Products'!D:D,'All Products'!I:I,FALSE)</f>
        <v>Within 3 Weeks</v>
      </c>
      <c r="T53" s="215" t="str">
        <f>_xlfn.XLOOKUP(E53,'All Products'!D:D,'All Products'!J:J,FALSE)</f>
        <v>Sourced</v>
      </c>
      <c r="U53" s="266">
        <f>_xlfn.XLOOKUP(E53,'All Products'!D:D,'All Products'!K:K,FALSE)</f>
        <v>49081119782</v>
      </c>
      <c r="V53" s="266" t="str">
        <f>_xlfn.XLOOKUP(E53,'All Products'!D:D,'All Products'!L:L,FALSE)</f>
        <v>-</v>
      </c>
      <c r="W53" s="266">
        <f>_xlfn.XLOOKUP(E53,'All Products'!D:D,'All Products'!M:M,FALSE)</f>
        <v>40049081119780</v>
      </c>
      <c r="X53" s="265">
        <f>_xlfn.XLOOKUP(E53,'All Products'!D:D,'All Products'!N:N,FALSE)</f>
        <v>0.66200000000000003</v>
      </c>
      <c r="Y53" s="265" t="str">
        <f>_xlfn.XLOOKUP(E53,'All Products'!D:D,'All Products'!O:O,FALSE)</f>
        <v>-</v>
      </c>
      <c r="Z53" s="265">
        <f>_xlfn.XLOOKUP(E53,'All Products'!D:D,'All Products'!P:P,FALSE)</f>
        <v>16.54</v>
      </c>
      <c r="AA53" s="265">
        <f>_xlfn.XLOOKUP(E53,'All Products'!D:D,'All Products'!Q:Q,FALSE)</f>
        <v>0.65</v>
      </c>
    </row>
    <row r="54" spans="1:27" ht="14.4" customHeight="1">
      <c r="A54" s="101" t="str">
        <f>IF(O54&gt;0,COUNT($A$8:A53)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54" s="646"/>
      <c r="C54" s="647"/>
      <c r="D54" s="125">
        <f>_xlfn.XLOOKUP(E54,'All Products'!D:D,'All Products'!C:C,FALSE)</f>
        <v>8600</v>
      </c>
      <c r="E54" s="1">
        <v>100026744</v>
      </c>
      <c r="F54" s="15" t="str">
        <f>_xlfn.XLOOKUP(E54,'All Products'!D:D,'All Products'!E:E,FALSE)</f>
        <v>2XCL NIPPLE TBE</v>
      </c>
      <c r="G54" s="1" t="s">
        <v>2222</v>
      </c>
      <c r="H54" s="278" t="s">
        <v>2210</v>
      </c>
      <c r="I54" s="278" t="s">
        <v>2204</v>
      </c>
      <c r="J54" s="1" t="s">
        <v>2211</v>
      </c>
      <c r="K54" s="1">
        <f>_xlfn.XLOOKUP(E54,'All Products'!D:D,'All Products'!F:F,FALSE)</f>
        <v>25</v>
      </c>
      <c r="L54" s="1" t="str">
        <f>_xlfn.XLOOKUP(E54,'All Products'!D:D,'All Products'!G:G,FALSE)</f>
        <v>-</v>
      </c>
      <c r="M54" s="132">
        <f>_xlfn.XLOOKUP(E54,'All Products'!D:D,'All Products'!H:H,FALSE)</f>
        <v>5.7</v>
      </c>
      <c r="N54" s="179">
        <f>ROUNDUP(M54*Order_Quote!$L$21,2)</f>
        <v>5.7</v>
      </c>
      <c r="O54" s="74"/>
      <c r="P54" s="16"/>
      <c r="Q54" s="171">
        <f t="shared" si="2"/>
        <v>0</v>
      </c>
      <c r="S54" s="215" t="str">
        <f>_xlfn.XLOOKUP(E54,'All Products'!D:D,'All Products'!I:I,FALSE)</f>
        <v>Within 3 Weeks</v>
      </c>
      <c r="T54" s="215" t="str">
        <f>_xlfn.XLOOKUP(E54,'All Products'!D:D,'All Products'!J:J,FALSE)</f>
        <v>Sourced</v>
      </c>
      <c r="U54" s="266">
        <f>_xlfn.XLOOKUP(E54,'All Products'!D:D,'All Products'!K:K,FALSE)</f>
        <v>49081119980</v>
      </c>
      <c r="V54" s="266" t="str">
        <f>_xlfn.XLOOKUP(E54,'All Products'!D:D,'All Products'!L:L,FALSE)</f>
        <v>-</v>
      </c>
      <c r="W54" s="266">
        <f>_xlfn.XLOOKUP(E54,'All Products'!D:D,'All Products'!M:M,FALSE)</f>
        <v>40049081119988</v>
      </c>
      <c r="X54" s="265">
        <f>_xlfn.XLOOKUP(E54,'All Products'!D:D,'All Products'!N:N,FALSE)</f>
        <v>0.153</v>
      </c>
      <c r="Y54" s="265" t="str">
        <f>_xlfn.XLOOKUP(E54,'All Products'!D:D,'All Products'!O:O,FALSE)</f>
        <v>-</v>
      </c>
      <c r="Z54" s="265">
        <f>_xlfn.XLOOKUP(E54,'All Products'!D:D,'All Products'!P:P,FALSE)</f>
        <v>3.82</v>
      </c>
      <c r="AA54" s="265" t="str">
        <f>_xlfn.XLOOKUP(E54,'All Products'!D:D,'All Products'!Q:Q,FALSE)</f>
        <v>-</v>
      </c>
    </row>
    <row r="55" spans="1:27" ht="14.4" customHeight="1">
      <c r="A55" s="101" t="str">
        <f>IF(O55&gt;0,COUNT($A$8:A54)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55" s="646"/>
      <c r="C55" s="647"/>
      <c r="D55" s="125">
        <f>_xlfn.XLOOKUP(E55,'All Products'!D:D,'All Products'!C:C,FALSE)</f>
        <v>8604</v>
      </c>
      <c r="E55" s="1">
        <v>100026745</v>
      </c>
      <c r="F55" s="15" t="str">
        <f>_xlfn.XLOOKUP(E55,'All Products'!D:D,'All Products'!E:E,FALSE)</f>
        <v>2X2-1/2 NIPPLE TBE</v>
      </c>
      <c r="G55" s="1" t="s">
        <v>2222</v>
      </c>
      <c r="H55" s="278" t="s">
        <v>2210</v>
      </c>
      <c r="I55" s="278" t="s">
        <v>2204</v>
      </c>
      <c r="J55" s="1" t="s">
        <v>2214</v>
      </c>
      <c r="K55" s="1">
        <f>_xlfn.XLOOKUP(E55,'All Products'!D:D,'All Products'!F:F,FALSE)</f>
        <v>25</v>
      </c>
      <c r="L55" s="1" t="str">
        <f>_xlfn.XLOOKUP(E55,'All Products'!D:D,'All Products'!G:G,FALSE)</f>
        <v>-</v>
      </c>
      <c r="M55" s="132">
        <f>_xlfn.XLOOKUP(E55,'All Products'!D:D,'All Products'!H:H,FALSE)</f>
        <v>5.67</v>
      </c>
      <c r="N55" s="179">
        <f>ROUNDUP(M55*Order_Quote!$L$21,2)</f>
        <v>5.67</v>
      </c>
      <c r="O55" s="74"/>
      <c r="P55" s="16"/>
      <c r="Q55" s="171">
        <f t="shared" si="2"/>
        <v>0</v>
      </c>
      <c r="S55" s="215" t="str">
        <f>_xlfn.XLOOKUP(E55,'All Products'!D:D,'All Products'!I:I,FALSE)</f>
        <v>Within 3 Weeks</v>
      </c>
      <c r="T55" s="215" t="str">
        <f>_xlfn.XLOOKUP(E55,'All Products'!D:D,'All Products'!J:J,FALSE)</f>
        <v>Sourced</v>
      </c>
      <c r="U55" s="266">
        <f>_xlfn.XLOOKUP(E55,'All Products'!D:D,'All Products'!K:K,FALSE)</f>
        <v>49081119997</v>
      </c>
      <c r="V55" s="266" t="str">
        <f>_xlfn.XLOOKUP(E55,'All Products'!D:D,'All Products'!L:L,FALSE)</f>
        <v>-</v>
      </c>
      <c r="W55" s="266">
        <f>_xlfn.XLOOKUP(E55,'All Products'!D:D,'All Products'!M:M,FALSE)</f>
        <v>40049081119995</v>
      </c>
      <c r="X55" s="265">
        <f>_xlfn.XLOOKUP(E55,'All Products'!D:D,'All Products'!N:N,FALSE)</f>
        <v>0.188</v>
      </c>
      <c r="Y55" s="265" t="str">
        <f>_xlfn.XLOOKUP(E55,'All Products'!D:D,'All Products'!O:O,FALSE)</f>
        <v>-</v>
      </c>
      <c r="Z55" s="265">
        <f>_xlfn.XLOOKUP(E55,'All Products'!D:D,'All Products'!P:P,FALSE)</f>
        <v>4.7</v>
      </c>
      <c r="AA55" s="265" t="str">
        <f>_xlfn.XLOOKUP(E55,'All Products'!D:D,'All Products'!Q:Q,FALSE)</f>
        <v>-</v>
      </c>
    </row>
    <row r="56" spans="1:27" ht="14.4" customHeight="1">
      <c r="A56" s="101" t="str">
        <f>IF(O56&gt;0,COUNT($A$8:A55)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56" s="646"/>
      <c r="C56" s="647"/>
      <c r="D56" s="125">
        <f>_xlfn.XLOOKUP(E56,'All Products'!D:D,'All Products'!C:C,FALSE)</f>
        <v>8605</v>
      </c>
      <c r="E56" s="1">
        <v>100026746</v>
      </c>
      <c r="F56" s="15" t="str">
        <f>_xlfn.XLOOKUP(E56,'All Products'!D:D,'All Products'!E:E,FALSE)</f>
        <v>2X3 NIPPLE TBE</v>
      </c>
      <c r="G56" s="1" t="s">
        <v>2222</v>
      </c>
      <c r="H56" s="278" t="s">
        <v>2210</v>
      </c>
      <c r="I56" s="278" t="s">
        <v>2204</v>
      </c>
      <c r="J56" s="1" t="s">
        <v>2216</v>
      </c>
      <c r="K56" s="1">
        <f>_xlfn.XLOOKUP(E56,'All Products'!D:D,'All Products'!F:F,FALSE)</f>
        <v>25</v>
      </c>
      <c r="L56" s="1" t="str">
        <f>_xlfn.XLOOKUP(E56,'All Products'!D:D,'All Products'!G:G,FALSE)</f>
        <v>-</v>
      </c>
      <c r="M56" s="132">
        <f>_xlfn.XLOOKUP(E56,'All Products'!D:D,'All Products'!H:H,FALSE)</f>
        <v>6.18</v>
      </c>
      <c r="N56" s="179">
        <f>ROUNDUP(M56*Order_Quote!$L$21,2)</f>
        <v>6.18</v>
      </c>
      <c r="O56" s="74"/>
      <c r="P56" s="16"/>
      <c r="Q56" s="171">
        <f t="shared" si="2"/>
        <v>0</v>
      </c>
      <c r="S56" s="215" t="str">
        <f>_xlfn.XLOOKUP(E56,'All Products'!D:D,'All Products'!I:I,FALSE)</f>
        <v>Within 3 Weeks</v>
      </c>
      <c r="T56" s="215" t="str">
        <f>_xlfn.XLOOKUP(E56,'All Products'!D:D,'All Products'!J:J,FALSE)</f>
        <v>Sourced</v>
      </c>
      <c r="U56" s="266">
        <f>_xlfn.XLOOKUP(E56,'All Products'!D:D,'All Products'!K:K,FALSE)</f>
        <v>49081120009</v>
      </c>
      <c r="V56" s="266" t="str">
        <f>_xlfn.XLOOKUP(E56,'All Products'!D:D,'All Products'!L:L,FALSE)</f>
        <v>-</v>
      </c>
      <c r="W56" s="266">
        <f>_xlfn.XLOOKUP(E56,'All Products'!D:D,'All Products'!M:M,FALSE)</f>
        <v>40049081120007</v>
      </c>
      <c r="X56" s="265">
        <f>_xlfn.XLOOKUP(E56,'All Products'!D:D,'All Products'!N:N,FALSE)</f>
        <v>0.23</v>
      </c>
      <c r="Y56" s="265" t="str">
        <f>_xlfn.XLOOKUP(E56,'All Products'!D:D,'All Products'!O:O,FALSE)</f>
        <v>-</v>
      </c>
      <c r="Z56" s="265">
        <f>_xlfn.XLOOKUP(E56,'All Products'!D:D,'All Products'!P:P,FALSE)</f>
        <v>5.75</v>
      </c>
      <c r="AA56" s="265" t="str">
        <f>_xlfn.XLOOKUP(E56,'All Products'!D:D,'All Products'!Q:Q,FALSE)</f>
        <v>-</v>
      </c>
    </row>
    <row r="57" spans="1:27" ht="14.4" customHeight="1">
      <c r="A57" s="101" t="str">
        <f>IF(O57&gt;0,COUNT($A$8:A56)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57" s="646"/>
      <c r="C57" s="647"/>
      <c r="D57" s="125">
        <f>_xlfn.XLOOKUP(E57,'All Products'!D:D,'All Products'!C:C,FALSE)</f>
        <v>8607</v>
      </c>
      <c r="E57" s="1">
        <v>100026747</v>
      </c>
      <c r="F57" s="15" t="str">
        <f>_xlfn.XLOOKUP(E57,'All Products'!D:D,'All Products'!E:E,FALSE)</f>
        <v>2X4 NIPPLE TBE</v>
      </c>
      <c r="G57" s="1" t="s">
        <v>2222</v>
      </c>
      <c r="H57" s="278" t="s">
        <v>2210</v>
      </c>
      <c r="I57" s="278" t="s">
        <v>2204</v>
      </c>
      <c r="J57" s="1" t="s">
        <v>2247</v>
      </c>
      <c r="K57" s="1">
        <f>_xlfn.XLOOKUP(E57,'All Products'!D:D,'All Products'!F:F,FALSE)</f>
        <v>25</v>
      </c>
      <c r="L57" s="1" t="str">
        <f>_xlfn.XLOOKUP(E57,'All Products'!D:D,'All Products'!G:G,FALSE)</f>
        <v>-</v>
      </c>
      <c r="M57" s="132">
        <f>_xlfn.XLOOKUP(E57,'All Products'!D:D,'All Products'!H:H,FALSE)</f>
        <v>7.83</v>
      </c>
      <c r="N57" s="179">
        <f>ROUNDUP(M57*Order_Quote!$L$21,2)</f>
        <v>7.83</v>
      </c>
      <c r="O57" s="74"/>
      <c r="P57" s="16"/>
      <c r="Q57" s="171">
        <f t="shared" si="2"/>
        <v>0</v>
      </c>
      <c r="S57" s="215" t="str">
        <f>_xlfn.XLOOKUP(E57,'All Products'!D:D,'All Products'!I:I,FALSE)</f>
        <v>Within 3 Weeks</v>
      </c>
      <c r="T57" s="215" t="str">
        <f>_xlfn.XLOOKUP(E57,'All Products'!D:D,'All Products'!J:J,FALSE)</f>
        <v>Sourced</v>
      </c>
      <c r="U57" s="266">
        <f>_xlfn.XLOOKUP(E57,'All Products'!D:D,'All Products'!K:K,FALSE)</f>
        <v>49081120023</v>
      </c>
      <c r="V57" s="266" t="str">
        <f>_xlfn.XLOOKUP(E57,'All Products'!D:D,'All Products'!L:L,FALSE)</f>
        <v>-</v>
      </c>
      <c r="W57" s="266">
        <f>_xlfn.XLOOKUP(E57,'All Products'!D:D,'All Products'!M:M,FALSE)</f>
        <v>40049081120021</v>
      </c>
      <c r="X57" s="265">
        <f>_xlfn.XLOOKUP(E57,'All Products'!D:D,'All Products'!N:N,FALSE)</f>
        <v>0.312</v>
      </c>
      <c r="Y57" s="265" t="str">
        <f>_xlfn.XLOOKUP(E57,'All Products'!D:D,'All Products'!O:O,FALSE)</f>
        <v>-</v>
      </c>
      <c r="Z57" s="265">
        <f>_xlfn.XLOOKUP(E57,'All Products'!D:D,'All Products'!P:P,FALSE)</f>
        <v>7.8</v>
      </c>
      <c r="AA57" s="265" t="str">
        <f>_xlfn.XLOOKUP(E57,'All Products'!D:D,'All Products'!Q:Q,FALSE)</f>
        <v>-</v>
      </c>
    </row>
    <row r="58" spans="1:27" ht="14.4" customHeight="1">
      <c r="A58" s="101" t="str">
        <f>IF(O58&gt;0,COUNT($A$8:A57)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58" s="646"/>
      <c r="C58" s="647"/>
      <c r="D58" s="125">
        <f>_xlfn.XLOOKUP(E58,'All Products'!D:D,'All Products'!C:C,FALSE)</f>
        <v>8609</v>
      </c>
      <c r="E58" s="1">
        <v>100026748</v>
      </c>
      <c r="F58" s="15" t="str">
        <f>_xlfn.XLOOKUP(E58,'All Products'!D:D,'All Products'!E:E,FALSE)</f>
        <v>2X5 NIPPLE TBE</v>
      </c>
      <c r="G58" s="1" t="s">
        <v>2222</v>
      </c>
      <c r="H58" s="278" t="s">
        <v>2210</v>
      </c>
      <c r="I58" s="278" t="s">
        <v>2204</v>
      </c>
      <c r="J58" s="1" t="s">
        <v>2220</v>
      </c>
      <c r="K58" s="1">
        <f>_xlfn.XLOOKUP(E58,'All Products'!D:D,'All Products'!F:F,FALSE)</f>
        <v>25</v>
      </c>
      <c r="L58" s="1" t="str">
        <f>_xlfn.XLOOKUP(E58,'All Products'!D:D,'All Products'!G:G,FALSE)</f>
        <v>-</v>
      </c>
      <c r="M58" s="132">
        <f>_xlfn.XLOOKUP(E58,'All Products'!D:D,'All Products'!H:H,FALSE)</f>
        <v>9.23</v>
      </c>
      <c r="N58" s="179">
        <f>ROUNDUP(M58*Order_Quote!$L$21,2)</f>
        <v>9.23</v>
      </c>
      <c r="O58" s="74"/>
      <c r="P58" s="16"/>
      <c r="Q58" s="171">
        <f t="shared" si="2"/>
        <v>0</v>
      </c>
      <c r="S58" s="215" t="str">
        <f>_xlfn.XLOOKUP(E58,'All Products'!D:D,'All Products'!I:I,FALSE)</f>
        <v>Within 3 Weeks</v>
      </c>
      <c r="T58" s="215" t="str">
        <f>_xlfn.XLOOKUP(E58,'All Products'!D:D,'All Products'!J:J,FALSE)</f>
        <v>Sourced</v>
      </c>
      <c r="U58" s="266">
        <f>_xlfn.XLOOKUP(E58,'All Products'!D:D,'All Products'!K:K,FALSE)</f>
        <v>49081120047</v>
      </c>
      <c r="V58" s="266" t="str">
        <f>_xlfn.XLOOKUP(E58,'All Products'!D:D,'All Products'!L:L,FALSE)</f>
        <v>-</v>
      </c>
      <c r="W58" s="266">
        <f>_xlfn.XLOOKUP(E58,'All Products'!D:D,'All Products'!M:M,FALSE)</f>
        <v>40049081120045</v>
      </c>
      <c r="X58" s="265">
        <f>_xlfn.XLOOKUP(E58,'All Products'!D:D,'All Products'!N:N,FALSE)</f>
        <v>0.378</v>
      </c>
      <c r="Y58" s="265" t="str">
        <f>_xlfn.XLOOKUP(E58,'All Products'!D:D,'All Products'!O:O,FALSE)</f>
        <v>-</v>
      </c>
      <c r="Z58" s="265">
        <f>_xlfn.XLOOKUP(E58,'All Products'!D:D,'All Products'!P:P,FALSE)</f>
        <v>9.4600000000000009</v>
      </c>
      <c r="AA58" s="265" t="str">
        <f>_xlfn.XLOOKUP(E58,'All Products'!D:D,'All Products'!Q:Q,FALSE)</f>
        <v>-</v>
      </c>
    </row>
    <row r="59" spans="1:27" ht="14.4" customHeight="1">
      <c r="A59" s="101" t="str">
        <f>IF(O59&gt;0,COUNT($A$8:A58)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59" s="646"/>
      <c r="C59" s="647"/>
      <c r="D59" s="125">
        <f>_xlfn.XLOOKUP(E59,'All Products'!D:D,'All Products'!C:C,FALSE)</f>
        <v>8611</v>
      </c>
      <c r="E59" s="1">
        <v>100026749</v>
      </c>
      <c r="F59" s="15" t="str">
        <f>_xlfn.XLOOKUP(E59,'All Products'!D:D,'All Products'!E:E,FALSE)</f>
        <v>2X6 NIPPLE TBE</v>
      </c>
      <c r="G59" s="1" t="s">
        <v>2222</v>
      </c>
      <c r="H59" s="278" t="s">
        <v>2210</v>
      </c>
      <c r="I59" s="278" t="s">
        <v>2204</v>
      </c>
      <c r="J59" s="1" t="s">
        <v>2207</v>
      </c>
      <c r="K59" s="1">
        <f>_xlfn.XLOOKUP(E59,'All Products'!D:D,'All Products'!F:F,FALSE)</f>
        <v>25</v>
      </c>
      <c r="L59" s="1" t="str">
        <f>_xlfn.XLOOKUP(E59,'All Products'!D:D,'All Products'!G:G,FALSE)</f>
        <v>-</v>
      </c>
      <c r="M59" s="132">
        <f>_xlfn.XLOOKUP(E59,'All Products'!D:D,'All Products'!H:H,FALSE)</f>
        <v>10.37</v>
      </c>
      <c r="N59" s="179">
        <f>ROUNDUP(M59*Order_Quote!$L$21,2)</f>
        <v>10.37</v>
      </c>
      <c r="O59" s="74"/>
      <c r="P59" s="16"/>
      <c r="Q59" s="171">
        <f t="shared" si="2"/>
        <v>0</v>
      </c>
      <c r="S59" s="215" t="str">
        <f>_xlfn.XLOOKUP(E59,'All Products'!D:D,'All Products'!I:I,FALSE)</f>
        <v>Within 3 Weeks</v>
      </c>
      <c r="T59" s="215" t="str">
        <f>_xlfn.XLOOKUP(E59,'All Products'!D:D,'All Products'!J:J,FALSE)</f>
        <v>Sourced</v>
      </c>
      <c r="U59" s="266">
        <f>_xlfn.XLOOKUP(E59,'All Products'!D:D,'All Products'!K:K,FALSE)</f>
        <v>49081120061</v>
      </c>
      <c r="V59" s="266" t="str">
        <f>_xlfn.XLOOKUP(E59,'All Products'!D:D,'All Products'!L:L,FALSE)</f>
        <v>-</v>
      </c>
      <c r="W59" s="266">
        <f>_xlfn.XLOOKUP(E59,'All Products'!D:D,'All Products'!M:M,FALSE)</f>
        <v>40049081120069</v>
      </c>
      <c r="X59" s="265">
        <f>_xlfn.XLOOKUP(E59,'All Products'!D:D,'All Products'!N:N,FALSE)</f>
        <v>0.45800000000000002</v>
      </c>
      <c r="Y59" s="265" t="str">
        <f>_xlfn.XLOOKUP(E59,'All Products'!D:D,'All Products'!O:O,FALSE)</f>
        <v>-</v>
      </c>
      <c r="Z59" s="265">
        <f>_xlfn.XLOOKUP(E59,'All Products'!D:D,'All Products'!P:P,FALSE)</f>
        <v>11.46</v>
      </c>
      <c r="AA59" s="265" t="str">
        <f>_xlfn.XLOOKUP(E59,'All Products'!D:D,'All Products'!Q:Q,FALSE)</f>
        <v>-</v>
      </c>
    </row>
    <row r="60" spans="1:27" ht="14.4" customHeight="1">
      <c r="A60" s="101" t="str">
        <f>IF(O60&gt;0,COUNT($A$8:A59)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60" s="646"/>
      <c r="C60" s="647"/>
      <c r="D60" s="125">
        <f>_xlfn.XLOOKUP(E60,'All Products'!D:D,'All Products'!C:C,FALSE)</f>
        <v>8615</v>
      </c>
      <c r="E60" s="1">
        <v>100026750</v>
      </c>
      <c r="F60" s="15" t="str">
        <f>_xlfn.XLOOKUP(E60,'All Products'!D:D,'All Products'!E:E,FALSE)</f>
        <v>2X8 NIPPLE TBE</v>
      </c>
      <c r="G60" s="1" t="s">
        <v>2222</v>
      </c>
      <c r="H60" s="278" t="s">
        <v>2210</v>
      </c>
      <c r="I60" s="278" t="s">
        <v>2204</v>
      </c>
      <c r="J60" s="1" t="s">
        <v>2224</v>
      </c>
      <c r="K60" s="1">
        <f>_xlfn.XLOOKUP(E60,'All Products'!D:D,'All Products'!F:F,FALSE)</f>
        <v>25</v>
      </c>
      <c r="L60" s="1" t="str">
        <f>_xlfn.XLOOKUP(E60,'All Products'!D:D,'All Products'!G:G,FALSE)</f>
        <v>-</v>
      </c>
      <c r="M60" s="132">
        <f>_xlfn.XLOOKUP(E60,'All Products'!D:D,'All Products'!H:H,FALSE)</f>
        <v>12.74</v>
      </c>
      <c r="N60" s="179">
        <f>ROUNDUP(M60*Order_Quote!$L$21,2)</f>
        <v>12.74</v>
      </c>
      <c r="O60" s="74"/>
      <c r="P60" s="16"/>
      <c r="Q60" s="171">
        <f t="shared" si="2"/>
        <v>0</v>
      </c>
      <c r="S60" s="215" t="str">
        <f>_xlfn.XLOOKUP(E60,'All Products'!D:D,'All Products'!I:I,FALSE)</f>
        <v>Within 3 Weeks</v>
      </c>
      <c r="T60" s="215" t="str">
        <f>_xlfn.XLOOKUP(E60,'All Products'!D:D,'All Products'!J:J,FALSE)</f>
        <v>Sourced</v>
      </c>
      <c r="U60" s="266">
        <f>_xlfn.XLOOKUP(E60,'All Products'!D:D,'All Products'!K:K,FALSE)</f>
        <v>49081120085</v>
      </c>
      <c r="V60" s="266" t="str">
        <f>_xlfn.XLOOKUP(E60,'All Products'!D:D,'All Products'!L:L,FALSE)</f>
        <v>-</v>
      </c>
      <c r="W60" s="266">
        <f>_xlfn.XLOOKUP(E60,'All Products'!D:D,'All Products'!M:M,FALSE)</f>
        <v>40049081120083</v>
      </c>
      <c r="X60" s="265">
        <f>_xlfn.XLOOKUP(E60,'All Products'!D:D,'All Products'!N:N,FALSE)</f>
        <v>0.64200000000000002</v>
      </c>
      <c r="Y60" s="265" t="str">
        <f>_xlfn.XLOOKUP(E60,'All Products'!D:D,'All Products'!O:O,FALSE)</f>
        <v>-</v>
      </c>
      <c r="Z60" s="265">
        <f>_xlfn.XLOOKUP(E60,'All Products'!D:D,'All Products'!P:P,FALSE)</f>
        <v>16.04</v>
      </c>
      <c r="AA60" s="265" t="str">
        <f>_xlfn.XLOOKUP(E60,'All Products'!D:D,'All Products'!Q:Q,FALSE)</f>
        <v>-</v>
      </c>
    </row>
    <row r="61" spans="1:27" ht="14.4" customHeight="1">
      <c r="A61" s="101" t="str">
        <f>IF(O61&gt;0,COUNT($A$8:A60)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61" s="646"/>
      <c r="C61" s="647"/>
      <c r="D61" s="125">
        <f>_xlfn.XLOOKUP(E61,'All Products'!D:D,'All Products'!C:C,FALSE)</f>
        <v>8619</v>
      </c>
      <c r="E61" s="1">
        <v>100026751</v>
      </c>
      <c r="F61" s="15" t="str">
        <f>_xlfn.XLOOKUP(E61,'All Products'!D:D,'All Products'!E:E,FALSE)</f>
        <v>2X10 NIPPLE TBE</v>
      </c>
      <c r="G61" s="1" t="s">
        <v>2222</v>
      </c>
      <c r="H61" s="278" t="s">
        <v>2210</v>
      </c>
      <c r="I61" s="278" t="s">
        <v>2204</v>
      </c>
      <c r="J61" s="1" t="s">
        <v>2276</v>
      </c>
      <c r="K61" s="1">
        <f>_xlfn.XLOOKUP(E61,'All Products'!D:D,'All Products'!F:F,FALSE)</f>
        <v>25</v>
      </c>
      <c r="L61" s="1" t="str">
        <f>_xlfn.XLOOKUP(E61,'All Products'!D:D,'All Products'!G:G,FALSE)</f>
        <v>-</v>
      </c>
      <c r="M61" s="132">
        <f>_xlfn.XLOOKUP(E61,'All Products'!D:D,'All Products'!H:H,FALSE)</f>
        <v>15.15</v>
      </c>
      <c r="N61" s="179">
        <f>ROUNDUP(M61*Order_Quote!$L$21,2)</f>
        <v>15.15</v>
      </c>
      <c r="O61" s="74"/>
      <c r="P61" s="16"/>
      <c r="Q61" s="171">
        <f t="shared" si="2"/>
        <v>0</v>
      </c>
      <c r="S61" s="215" t="str">
        <f>_xlfn.XLOOKUP(E61,'All Products'!D:D,'All Products'!I:I,FALSE)</f>
        <v>Within 3 Weeks</v>
      </c>
      <c r="T61" s="215" t="str">
        <f>_xlfn.XLOOKUP(E61,'All Products'!D:D,'All Products'!J:J,FALSE)</f>
        <v>Sourced</v>
      </c>
      <c r="U61" s="266">
        <f>_xlfn.XLOOKUP(E61,'All Products'!D:D,'All Products'!K:K,FALSE)</f>
        <v>49081120108</v>
      </c>
      <c r="V61" s="266" t="str">
        <f>_xlfn.XLOOKUP(E61,'All Products'!D:D,'All Products'!L:L,FALSE)</f>
        <v>-</v>
      </c>
      <c r="W61" s="266">
        <f>_xlfn.XLOOKUP(E61,'All Products'!D:D,'All Products'!M:M,FALSE)</f>
        <v>40049081120106</v>
      </c>
      <c r="X61" s="265">
        <f>_xlfn.XLOOKUP(E61,'All Products'!D:D,'All Products'!N:N,FALSE)</f>
        <v>0.79</v>
      </c>
      <c r="Y61" s="265" t="str">
        <f>_xlfn.XLOOKUP(E61,'All Products'!D:D,'All Products'!O:O,FALSE)</f>
        <v>-</v>
      </c>
      <c r="Z61" s="265">
        <f>_xlfn.XLOOKUP(E61,'All Products'!D:D,'All Products'!P:P,FALSE)</f>
        <v>19.739999999999998</v>
      </c>
      <c r="AA61" s="265" t="str">
        <f>_xlfn.XLOOKUP(E61,'All Products'!D:D,'All Products'!Q:Q,FALSE)</f>
        <v>-</v>
      </c>
    </row>
    <row r="62" spans="1:27" ht="14.4" customHeight="1">
      <c r="A62" s="101" t="str">
        <f>IF(O62&gt;0,COUNT($A$8:A61)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62" s="646"/>
      <c r="C62" s="647"/>
      <c r="D62" s="125">
        <f>_xlfn.XLOOKUP(E62,'All Products'!D:D,'All Products'!C:C,FALSE)</f>
        <v>8623</v>
      </c>
      <c r="E62" s="1">
        <v>100026752</v>
      </c>
      <c r="F62" s="15" t="str">
        <f>_xlfn.XLOOKUP(E62,'All Products'!D:D,'All Products'!E:E,FALSE)</f>
        <v>2X12 NIPPLE TBE</v>
      </c>
      <c r="G62" s="1" t="s">
        <v>2222</v>
      </c>
      <c r="H62" s="278" t="s">
        <v>2210</v>
      </c>
      <c r="I62" s="278" t="s">
        <v>2204</v>
      </c>
      <c r="J62" s="1" t="s">
        <v>2253</v>
      </c>
      <c r="K62" s="1">
        <f>_xlfn.XLOOKUP(E62,'All Products'!D:D,'All Products'!F:F,FALSE)</f>
        <v>25</v>
      </c>
      <c r="L62" s="1" t="str">
        <f>_xlfn.XLOOKUP(E62,'All Products'!D:D,'All Products'!G:G,FALSE)</f>
        <v>-</v>
      </c>
      <c r="M62" s="132">
        <f>_xlfn.XLOOKUP(E62,'All Products'!D:D,'All Products'!H:H,FALSE)</f>
        <v>17.03</v>
      </c>
      <c r="N62" s="179">
        <f>ROUNDUP(M62*Order_Quote!$L$21,2)</f>
        <v>17.03</v>
      </c>
      <c r="O62" s="74"/>
      <c r="P62" s="16"/>
      <c r="Q62" s="171">
        <f t="shared" si="2"/>
        <v>0</v>
      </c>
      <c r="S62" s="215" t="str">
        <f>_xlfn.XLOOKUP(E62,'All Products'!D:D,'All Products'!I:I,FALSE)</f>
        <v>Within 3 Weeks</v>
      </c>
      <c r="T62" s="215" t="str">
        <f>_xlfn.XLOOKUP(E62,'All Products'!D:D,'All Products'!J:J,FALSE)</f>
        <v>Sourced</v>
      </c>
      <c r="U62" s="266">
        <f>_xlfn.XLOOKUP(E62,'All Products'!D:D,'All Products'!K:K,FALSE)</f>
        <v>49081120122</v>
      </c>
      <c r="V62" s="266" t="str">
        <f>_xlfn.XLOOKUP(E62,'All Products'!D:D,'All Products'!L:L,FALSE)</f>
        <v>-</v>
      </c>
      <c r="W62" s="266">
        <f>_xlfn.XLOOKUP(E62,'All Products'!D:D,'All Products'!M:M,FALSE)</f>
        <v>40049081120120</v>
      </c>
      <c r="X62" s="265">
        <f>_xlfn.XLOOKUP(E62,'All Products'!D:D,'All Products'!N:N,FALSE)</f>
        <v>0.95799999999999996</v>
      </c>
      <c r="Y62" s="265" t="str">
        <f>_xlfn.XLOOKUP(E62,'All Products'!D:D,'All Products'!O:O,FALSE)</f>
        <v>-</v>
      </c>
      <c r="Z62" s="265">
        <f>_xlfn.XLOOKUP(E62,'All Products'!D:D,'All Products'!P:P,FALSE)</f>
        <v>23.95</v>
      </c>
      <c r="AA62" s="265" t="str">
        <f>_xlfn.XLOOKUP(E62,'All Products'!D:D,'All Products'!Q:Q,FALSE)</f>
        <v>-</v>
      </c>
    </row>
    <row r="63" spans="1:27" ht="14.4" customHeight="1">
      <c r="A63" s="101" t="str">
        <f>IF(O63&gt;0,COUNT($A$8:A62)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63" s="646"/>
      <c r="C63" s="647"/>
      <c r="D63" s="125">
        <f>_xlfn.XLOOKUP(E63,'All Products'!D:D,'All Products'!C:C,FALSE)</f>
        <v>8646</v>
      </c>
      <c r="E63" s="1">
        <v>100026757</v>
      </c>
      <c r="F63" s="15" t="str">
        <f>_xlfn.XLOOKUP(E63,'All Products'!D:D,'All Products'!E:E,FALSE)</f>
        <v>2X24 NIPPLE TBE</v>
      </c>
      <c r="G63" s="1" t="s">
        <v>2222</v>
      </c>
      <c r="H63" s="278" t="s">
        <v>2210</v>
      </c>
      <c r="I63" s="278" t="s">
        <v>2204</v>
      </c>
      <c r="J63" s="1" t="s">
        <v>2230</v>
      </c>
      <c r="K63" s="1">
        <f>_xlfn.XLOOKUP(E63,'All Products'!D:D,'All Products'!F:F,FALSE)</f>
        <v>25</v>
      </c>
      <c r="L63" s="1" t="str">
        <f>_xlfn.XLOOKUP(E63,'All Products'!D:D,'All Products'!G:G,FALSE)</f>
        <v>-</v>
      </c>
      <c r="M63" s="132">
        <f>_xlfn.XLOOKUP(E63,'All Products'!D:D,'All Products'!H:H,FALSE)</f>
        <v>32.56</v>
      </c>
      <c r="N63" s="179">
        <f>ROUNDUP(M63*Order_Quote!$L$21,2)</f>
        <v>32.56</v>
      </c>
      <c r="O63" s="74"/>
      <c r="P63" s="16"/>
      <c r="Q63" s="171">
        <f t="shared" si="2"/>
        <v>0</v>
      </c>
      <c r="S63" s="215" t="str">
        <f>_xlfn.XLOOKUP(E63,'All Products'!D:D,'All Products'!I:I,FALSE)</f>
        <v>Within 3 Weeks</v>
      </c>
      <c r="T63" s="215" t="str">
        <f>_xlfn.XLOOKUP(E63,'All Products'!D:D,'All Products'!J:J,FALSE)</f>
        <v>Sourced</v>
      </c>
      <c r="U63" s="266">
        <f>_xlfn.XLOOKUP(E63,'All Products'!D:D,'All Products'!K:K,FALSE)</f>
        <v>49081120221</v>
      </c>
      <c r="V63" s="266" t="str">
        <f>_xlfn.XLOOKUP(E63,'All Products'!D:D,'All Products'!L:L,FALSE)</f>
        <v>-</v>
      </c>
      <c r="W63" s="266">
        <f>_xlfn.XLOOKUP(E63,'All Products'!D:D,'All Products'!M:M,FALSE)</f>
        <v>40049081120229</v>
      </c>
      <c r="X63" s="265">
        <f>_xlfn.XLOOKUP(E63,'All Products'!D:D,'All Products'!N:N,FALSE)</f>
        <v>1.948</v>
      </c>
      <c r="Y63" s="265" t="str">
        <f>_xlfn.XLOOKUP(E63,'All Products'!D:D,'All Products'!O:O,FALSE)</f>
        <v>-</v>
      </c>
      <c r="Z63" s="265">
        <f>_xlfn.XLOOKUP(E63,'All Products'!D:D,'All Products'!P:P,FALSE)</f>
        <v>9.74</v>
      </c>
      <c r="AA63" s="265">
        <f>_xlfn.XLOOKUP(E63,'All Products'!D:D,'All Products'!Q:Q,FALSE)</f>
        <v>0.88</v>
      </c>
    </row>
    <row r="64" spans="1:27" ht="14.4" customHeight="1">
      <c r="A64" s="101" t="str">
        <f>IF(O64&gt;0,COUNT($A$8:A63)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64" s="646"/>
      <c r="C64" s="647"/>
      <c r="D64" s="125">
        <f>_xlfn.XLOOKUP(E64,'All Products'!D:D,'All Products'!C:C,FALSE)</f>
        <v>8654</v>
      </c>
      <c r="E64" s="1">
        <v>100026761</v>
      </c>
      <c r="F64" s="15" t="str">
        <f>_xlfn.XLOOKUP(E64,'All Products'!D:D,'All Products'!E:E,FALSE)</f>
        <v>2X36 NIPPLE TBE</v>
      </c>
      <c r="G64" s="1" t="s">
        <v>2222</v>
      </c>
      <c r="H64" s="278" t="s">
        <v>2210</v>
      </c>
      <c r="I64" s="278" t="s">
        <v>2204</v>
      </c>
      <c r="J64" s="1" t="s">
        <v>2234</v>
      </c>
      <c r="K64" s="1">
        <f>_xlfn.XLOOKUP(E64,'All Products'!D:D,'All Products'!F:F,FALSE)</f>
        <v>5</v>
      </c>
      <c r="L64" s="1" t="str">
        <f>_xlfn.XLOOKUP(E64,'All Products'!D:D,'All Products'!G:G,FALSE)</f>
        <v>-</v>
      </c>
      <c r="M64" s="132">
        <f>_xlfn.XLOOKUP(E64,'All Products'!D:D,'All Products'!H:H,FALSE)</f>
        <v>47.51</v>
      </c>
      <c r="N64" s="179">
        <f>ROUNDUP(M64*Order_Quote!$L$21,2)</f>
        <v>47.51</v>
      </c>
      <c r="O64" s="74"/>
      <c r="P64" s="16"/>
      <c r="Q64" s="171">
        <f t="shared" ref="Q64:Q74" si="3">O64/K64</f>
        <v>0</v>
      </c>
      <c r="S64" s="215" t="str">
        <f>_xlfn.XLOOKUP(E64,'All Products'!D:D,'All Products'!I:I,FALSE)</f>
        <v>Within 3 Weeks</v>
      </c>
      <c r="T64" s="215" t="str">
        <f>_xlfn.XLOOKUP(E64,'All Products'!D:D,'All Products'!J:J,FALSE)</f>
        <v>Sourced</v>
      </c>
      <c r="U64" s="266">
        <f>_xlfn.XLOOKUP(E64,'All Products'!D:D,'All Products'!K:K,FALSE)</f>
        <v>49081120245</v>
      </c>
      <c r="V64" s="266" t="str">
        <f>_xlfn.XLOOKUP(E64,'All Products'!D:D,'All Products'!L:L,FALSE)</f>
        <v>-</v>
      </c>
      <c r="W64" s="266">
        <f>_xlfn.XLOOKUP(E64,'All Products'!D:D,'All Products'!M:M,FALSE)</f>
        <v>40049081120243</v>
      </c>
      <c r="X64" s="265">
        <f>_xlfn.XLOOKUP(E64,'All Products'!D:D,'All Products'!N:N,FALSE)</f>
        <v>0.55400000000000005</v>
      </c>
      <c r="Y64" s="265" t="str">
        <f>_xlfn.XLOOKUP(E64,'All Products'!D:D,'All Products'!O:O,FALSE)</f>
        <v>-</v>
      </c>
      <c r="Z64" s="265">
        <f>_xlfn.XLOOKUP(E64,'All Products'!D:D,'All Products'!P:P,FALSE)</f>
        <v>20</v>
      </c>
      <c r="AA64" s="265">
        <f>_xlfn.XLOOKUP(E64,'All Products'!D:D,'All Products'!Q:Q,FALSE)</f>
        <v>1.33</v>
      </c>
    </row>
    <row r="65" spans="1:27" ht="14.4" customHeight="1">
      <c r="A65" s="101" t="str">
        <f>IF(O65&gt;0,COUNT($A$8:A64)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65" s="646"/>
      <c r="C65" s="647"/>
      <c r="D65" s="125">
        <f>_xlfn.XLOOKUP(E65,'All Products'!D:D,'All Products'!C:C,FALSE)</f>
        <v>8711</v>
      </c>
      <c r="E65" s="1">
        <v>100026769</v>
      </c>
      <c r="F65" s="15" t="str">
        <f>_xlfn.XLOOKUP(E65,'All Products'!D:D,'All Products'!E:E,FALSE)</f>
        <v>2-1/2X6 NIPPLE TBE</v>
      </c>
      <c r="G65" s="1" t="s">
        <v>2222</v>
      </c>
      <c r="H65" s="278" t="s">
        <v>2210</v>
      </c>
      <c r="I65" s="278" t="s">
        <v>2204</v>
      </c>
      <c r="J65" s="1" t="s">
        <v>2207</v>
      </c>
      <c r="K65" s="1">
        <f>_xlfn.XLOOKUP(E65,'All Products'!D:D,'All Products'!F:F,FALSE)</f>
        <v>25</v>
      </c>
      <c r="L65" s="1">
        <f>_xlfn.XLOOKUP(E65,'All Products'!D:D,'All Products'!G:G,FALSE)</f>
        <v>1875</v>
      </c>
      <c r="M65" s="132">
        <f>_xlfn.XLOOKUP(E65,'All Products'!D:D,'All Products'!H:H,FALSE)</f>
        <v>16.75</v>
      </c>
      <c r="N65" s="179">
        <f>ROUNDUP(M65*Order_Quote!$L$21,2)</f>
        <v>16.75</v>
      </c>
      <c r="O65" s="74"/>
      <c r="P65" s="16"/>
      <c r="Q65" s="171">
        <f t="shared" si="3"/>
        <v>0</v>
      </c>
      <c r="S65" s="215" t="str">
        <f>_xlfn.XLOOKUP(E65,'All Products'!D:D,'All Products'!I:I,FALSE)</f>
        <v>Within 3 Weeks</v>
      </c>
      <c r="T65" s="215" t="str">
        <f>_xlfn.XLOOKUP(E65,'All Products'!D:D,'All Products'!J:J,FALSE)</f>
        <v>Sourced</v>
      </c>
      <c r="U65" s="266">
        <f>_xlfn.XLOOKUP(E65,'All Products'!D:D,'All Products'!K:K,FALSE)</f>
        <v>49081120375</v>
      </c>
      <c r="V65" s="266" t="str">
        <f>_xlfn.XLOOKUP(E65,'All Products'!D:D,'All Products'!L:L,FALSE)</f>
        <v>-</v>
      </c>
      <c r="W65" s="266">
        <f>_xlfn.XLOOKUP(E65,'All Products'!D:D,'All Products'!M:M,FALSE)</f>
        <v>40049081120373</v>
      </c>
      <c r="X65" s="265">
        <f>_xlfn.XLOOKUP(E65,'All Products'!D:D,'All Products'!N:N,FALSE)</f>
        <v>0.63200000000000001</v>
      </c>
      <c r="Y65" s="265" t="str">
        <f>_xlfn.XLOOKUP(E65,'All Products'!D:D,'All Products'!O:O,FALSE)</f>
        <v>-</v>
      </c>
      <c r="Z65" s="265">
        <f>_xlfn.XLOOKUP(E65,'All Products'!D:D,'All Products'!P:P,FALSE)</f>
        <v>15.8</v>
      </c>
      <c r="AA65" s="265">
        <f>_xlfn.XLOOKUP(E65,'All Products'!D:D,'All Products'!Q:Q,FALSE)</f>
        <v>0.95</v>
      </c>
    </row>
    <row r="66" spans="1:27" ht="14.4" customHeight="1">
      <c r="A66" s="101" t="str">
        <f>IF(O66&gt;0,COUNT($A$8:A65)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66" s="646"/>
      <c r="C66" s="647"/>
      <c r="D66" s="125">
        <f>_xlfn.XLOOKUP(E66,'All Products'!D:D,'All Products'!C:C,FALSE)</f>
        <v>8723</v>
      </c>
      <c r="E66" s="1">
        <v>100026772</v>
      </c>
      <c r="F66" s="15" t="str">
        <f>_xlfn.XLOOKUP(E66,'All Products'!D:D,'All Products'!E:E,FALSE)</f>
        <v>2-1/2X12 NIPPLE TBE</v>
      </c>
      <c r="G66" s="1" t="s">
        <v>2222</v>
      </c>
      <c r="H66" s="278" t="s">
        <v>2210</v>
      </c>
      <c r="I66" s="278" t="s">
        <v>2204</v>
      </c>
      <c r="J66" s="1" t="s">
        <v>2253</v>
      </c>
      <c r="K66" s="1">
        <f>_xlfn.XLOOKUP(E66,'All Products'!D:D,'All Products'!F:F,FALSE)</f>
        <v>25</v>
      </c>
      <c r="L66" s="1" t="str">
        <f>_xlfn.XLOOKUP(E66,'All Products'!D:D,'All Products'!G:G,FALSE)</f>
        <v>-</v>
      </c>
      <c r="M66" s="132">
        <f>_xlfn.XLOOKUP(E66,'All Products'!D:D,'All Products'!H:H,FALSE)</f>
        <v>27.63</v>
      </c>
      <c r="N66" s="179">
        <f>ROUNDUP(M66*Order_Quote!$L$21,2)</f>
        <v>27.63</v>
      </c>
      <c r="O66" s="74"/>
      <c r="P66" s="16"/>
      <c r="Q66" s="171">
        <f t="shared" si="3"/>
        <v>0</v>
      </c>
      <c r="S66" s="215" t="str">
        <f>_xlfn.XLOOKUP(E66,'All Products'!D:D,'All Products'!I:I,FALSE)</f>
        <v>Within 3 Weeks</v>
      </c>
      <c r="T66" s="215" t="str">
        <f>_xlfn.XLOOKUP(E66,'All Products'!D:D,'All Products'!J:J,FALSE)</f>
        <v>Sourced</v>
      </c>
      <c r="U66" s="266">
        <f>_xlfn.XLOOKUP(E66,'All Products'!D:D,'All Products'!K:K,FALSE)</f>
        <v>49081120436</v>
      </c>
      <c r="V66" s="266" t="str">
        <f>_xlfn.XLOOKUP(E66,'All Products'!D:D,'All Products'!L:L,FALSE)</f>
        <v>-</v>
      </c>
      <c r="W66" s="266">
        <f>_xlfn.XLOOKUP(E66,'All Products'!D:D,'All Products'!M:M,FALSE)</f>
        <v>40049081120434</v>
      </c>
      <c r="X66" s="265">
        <f>_xlfn.XLOOKUP(E66,'All Products'!D:D,'All Products'!N:N,FALSE)</f>
        <v>0.94799999999999995</v>
      </c>
      <c r="Y66" s="265" t="str">
        <f>_xlfn.XLOOKUP(E66,'All Products'!D:D,'All Products'!O:O,FALSE)</f>
        <v>-</v>
      </c>
      <c r="Z66" s="265">
        <f>_xlfn.XLOOKUP(E66,'All Products'!D:D,'All Products'!P:P,FALSE)</f>
        <v>23.7</v>
      </c>
      <c r="AA66" s="265" t="str">
        <f>_xlfn.XLOOKUP(E66,'All Products'!D:D,'All Products'!Q:Q,FALSE)</f>
        <v>-</v>
      </c>
    </row>
    <row r="67" spans="1:27" ht="14.4" customHeight="1">
      <c r="A67" s="101" t="str">
        <f>IF(O67&gt;0,COUNT($A$8:A66)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67" s="646"/>
      <c r="C67" s="647"/>
      <c r="D67" s="125">
        <f>_xlfn.XLOOKUP(E67,'All Products'!D:D,'All Products'!C:C,FALSE)</f>
        <v>8805</v>
      </c>
      <c r="E67" s="1">
        <v>100026783</v>
      </c>
      <c r="F67" s="15" t="str">
        <f>_xlfn.XLOOKUP(E67,'All Products'!D:D,'All Products'!E:E,FALSE)</f>
        <v>3X3 NIPPLE TBE</v>
      </c>
      <c r="G67" s="1" t="s">
        <v>2222</v>
      </c>
      <c r="H67" s="278" t="s">
        <v>2210</v>
      </c>
      <c r="I67" s="278" t="s">
        <v>2204</v>
      </c>
      <c r="J67" s="1" t="s">
        <v>2216</v>
      </c>
      <c r="K67" s="1">
        <f>_xlfn.XLOOKUP(E67,'All Products'!D:D,'All Products'!F:F,FALSE)</f>
        <v>25</v>
      </c>
      <c r="L67" s="1" t="str">
        <f>_xlfn.XLOOKUP(E67,'All Products'!D:D,'All Products'!G:G,FALSE)</f>
        <v>-</v>
      </c>
      <c r="M67" s="132">
        <f>_xlfn.XLOOKUP(E67,'All Products'!D:D,'All Products'!H:H,FALSE)</f>
        <v>13.19</v>
      </c>
      <c r="N67" s="179">
        <f>ROUNDUP(M67*Order_Quote!$L$21,2)</f>
        <v>13.19</v>
      </c>
      <c r="O67" s="74"/>
      <c r="P67" s="16"/>
      <c r="Q67" s="171">
        <f t="shared" si="3"/>
        <v>0</v>
      </c>
      <c r="S67" s="215" t="str">
        <f>_xlfn.XLOOKUP(E67,'All Products'!D:D,'All Products'!I:I,FALSE)</f>
        <v>Within 3 Weeks</v>
      </c>
      <c r="T67" s="215" t="str">
        <f>_xlfn.XLOOKUP(E67,'All Products'!D:D,'All Products'!J:J,FALSE)</f>
        <v>Sourced</v>
      </c>
      <c r="U67" s="266">
        <f>_xlfn.XLOOKUP(E67,'All Products'!D:D,'All Products'!K:K,FALSE)</f>
        <v>49081120603</v>
      </c>
      <c r="V67" s="266" t="str">
        <f>_xlfn.XLOOKUP(E67,'All Products'!D:D,'All Products'!L:L,FALSE)</f>
        <v>-</v>
      </c>
      <c r="W67" s="266">
        <f>_xlfn.XLOOKUP(E67,'All Products'!D:D,'All Products'!M:M,FALSE)</f>
        <v>40049081120601</v>
      </c>
      <c r="X67" s="265">
        <f>_xlfn.XLOOKUP(E67,'All Products'!D:D,'All Products'!N:N,FALSE)</f>
        <v>0.44900000000000001</v>
      </c>
      <c r="Y67" s="265" t="str">
        <f>_xlfn.XLOOKUP(E67,'All Products'!D:D,'All Products'!O:O,FALSE)</f>
        <v>-</v>
      </c>
      <c r="Z67" s="265">
        <f>_xlfn.XLOOKUP(E67,'All Products'!D:D,'All Products'!P:P,FALSE)</f>
        <v>11.22</v>
      </c>
      <c r="AA67" s="265" t="str">
        <f>_xlfn.XLOOKUP(E67,'All Products'!D:D,'All Products'!Q:Q,FALSE)</f>
        <v>-</v>
      </c>
    </row>
    <row r="68" spans="1:27" ht="14.4" customHeight="1">
      <c r="A68" s="101" t="str">
        <f>IF(O68&gt;0,COUNT($A$8:A67)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68" s="646"/>
      <c r="C68" s="647"/>
      <c r="D68" s="125">
        <f>_xlfn.XLOOKUP(E68,'All Products'!D:D,'All Products'!C:C,FALSE)</f>
        <v>8807</v>
      </c>
      <c r="E68" s="1">
        <v>100026784</v>
      </c>
      <c r="F68" s="15" t="str">
        <f>_xlfn.XLOOKUP(E68,'All Products'!D:D,'All Products'!E:E,FALSE)</f>
        <v>3X4 NIPPLE TBE</v>
      </c>
      <c r="G68" s="1" t="s">
        <v>2222</v>
      </c>
      <c r="H68" s="278" t="s">
        <v>2210</v>
      </c>
      <c r="I68" s="278" t="s">
        <v>2204</v>
      </c>
      <c r="J68" s="1" t="s">
        <v>2247</v>
      </c>
      <c r="K68" s="1">
        <f>_xlfn.XLOOKUP(E68,'All Products'!D:D,'All Products'!F:F,FALSE)</f>
        <v>25</v>
      </c>
      <c r="L68" s="1">
        <f>_xlfn.XLOOKUP(E68,'All Products'!D:D,'All Products'!G:G,FALSE)</f>
        <v>1875</v>
      </c>
      <c r="M68" s="132">
        <f>_xlfn.XLOOKUP(E68,'All Products'!D:D,'All Products'!H:H,FALSE)</f>
        <v>15.55</v>
      </c>
      <c r="N68" s="179">
        <f>ROUNDUP(M68*Order_Quote!$L$21,2)</f>
        <v>15.55</v>
      </c>
      <c r="O68" s="74"/>
      <c r="P68" s="16"/>
      <c r="Q68" s="171">
        <f t="shared" si="3"/>
        <v>0</v>
      </c>
      <c r="S68" s="215" t="str">
        <f>_xlfn.XLOOKUP(E68,'All Products'!D:D,'All Products'!I:I,FALSE)</f>
        <v>Within 3 Weeks</v>
      </c>
      <c r="T68" s="215" t="str">
        <f>_xlfn.XLOOKUP(E68,'All Products'!D:D,'All Products'!J:J,FALSE)</f>
        <v>Sourced</v>
      </c>
      <c r="U68" s="266">
        <f>_xlfn.XLOOKUP(E68,'All Products'!D:D,'All Products'!K:K,FALSE)</f>
        <v>49081120627</v>
      </c>
      <c r="V68" s="266" t="str">
        <f>_xlfn.XLOOKUP(E68,'All Products'!D:D,'All Products'!L:L,FALSE)</f>
        <v>-</v>
      </c>
      <c r="W68" s="266">
        <f>_xlfn.XLOOKUP(E68,'All Products'!D:D,'All Products'!M:M,FALSE)</f>
        <v>40049081120625</v>
      </c>
      <c r="X68" s="265">
        <f>_xlfn.XLOOKUP(E68,'All Products'!D:D,'All Products'!N:N,FALSE)</f>
        <v>0.57699999999999996</v>
      </c>
      <c r="Y68" s="265" t="str">
        <f>_xlfn.XLOOKUP(E68,'All Products'!D:D,'All Products'!O:O,FALSE)</f>
        <v>-</v>
      </c>
      <c r="Z68" s="265">
        <f>_xlfn.XLOOKUP(E68,'All Products'!D:D,'All Products'!P:P,FALSE)</f>
        <v>14.42</v>
      </c>
      <c r="AA68" s="265">
        <f>_xlfn.XLOOKUP(E68,'All Products'!D:D,'All Products'!Q:Q,FALSE)</f>
        <v>0.95</v>
      </c>
    </row>
    <row r="69" spans="1:27" ht="14.4" customHeight="1">
      <c r="A69" s="101" t="str">
        <f>IF(O69&gt;0,COUNT($A$8:A68)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69" s="646"/>
      <c r="C69" s="647"/>
      <c r="D69" s="125">
        <f>_xlfn.XLOOKUP(E69,'All Products'!D:D,'All Products'!C:C,FALSE)</f>
        <v>8811</v>
      </c>
      <c r="E69" s="1">
        <v>100026786</v>
      </c>
      <c r="F69" s="15" t="str">
        <f>_xlfn.XLOOKUP(E69,'All Products'!D:D,'All Products'!E:E,FALSE)</f>
        <v>3X6 NIPPLE TBE</v>
      </c>
      <c r="G69" s="1" t="s">
        <v>2222</v>
      </c>
      <c r="H69" s="278" t="s">
        <v>2210</v>
      </c>
      <c r="I69" s="278" t="s">
        <v>2204</v>
      </c>
      <c r="J69" s="1" t="s">
        <v>2207</v>
      </c>
      <c r="K69" s="1">
        <f>_xlfn.XLOOKUP(E69,'All Products'!D:D,'All Products'!F:F,FALSE)</f>
        <v>25</v>
      </c>
      <c r="L69" s="1">
        <f>_xlfn.XLOOKUP(E69,'All Products'!D:D,'All Products'!G:G,FALSE)</f>
        <v>1875</v>
      </c>
      <c r="M69" s="132">
        <f>_xlfn.XLOOKUP(E69,'All Products'!D:D,'All Products'!H:H,FALSE)</f>
        <v>20.51</v>
      </c>
      <c r="N69" s="179">
        <f>ROUNDUP(M69*Order_Quote!$L$21,2)</f>
        <v>20.51</v>
      </c>
      <c r="O69" s="74"/>
      <c r="P69" s="16"/>
      <c r="Q69" s="171">
        <f t="shared" si="3"/>
        <v>0</v>
      </c>
      <c r="S69" s="215" t="str">
        <f>_xlfn.XLOOKUP(E69,'All Products'!D:D,'All Products'!I:I,FALSE)</f>
        <v>Within 3 Weeks</v>
      </c>
      <c r="T69" s="215" t="str">
        <f>_xlfn.XLOOKUP(E69,'All Products'!D:D,'All Products'!J:J,FALSE)</f>
        <v>Sourced</v>
      </c>
      <c r="U69" s="266">
        <f>_xlfn.XLOOKUP(E69,'All Products'!D:D,'All Products'!K:K,FALSE)</f>
        <v>49081120658</v>
      </c>
      <c r="V69" s="266" t="str">
        <f>_xlfn.XLOOKUP(E69,'All Products'!D:D,'All Products'!L:L,FALSE)</f>
        <v>-</v>
      </c>
      <c r="W69" s="266">
        <f>_xlfn.XLOOKUP(E69,'All Products'!D:D,'All Products'!M:M,FALSE)</f>
        <v>40049081120663</v>
      </c>
      <c r="X69" s="265">
        <f>_xlfn.XLOOKUP(E69,'All Products'!D:D,'All Products'!N:N,FALSE)</f>
        <v>1.2749999999999999</v>
      </c>
      <c r="Y69" s="265" t="str">
        <f>_xlfn.XLOOKUP(E69,'All Products'!D:D,'All Products'!O:O,FALSE)</f>
        <v>-</v>
      </c>
      <c r="Z69" s="265">
        <f>_xlfn.XLOOKUP(E69,'All Products'!D:D,'All Products'!P:P,FALSE)</f>
        <v>31.88</v>
      </c>
      <c r="AA69" s="265">
        <f>_xlfn.XLOOKUP(E69,'All Products'!D:D,'All Products'!Q:Q,FALSE)</f>
        <v>0.95</v>
      </c>
    </row>
    <row r="70" spans="1:27" ht="14.4" customHeight="1">
      <c r="A70" s="101" t="str">
        <f>IF(O70&gt;0,COUNT($A$8:A69)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70" s="646"/>
      <c r="C70" s="647"/>
      <c r="D70" s="125">
        <f>_xlfn.XLOOKUP(E70,'All Products'!D:D,'All Products'!C:C,FALSE)</f>
        <v>8815</v>
      </c>
      <c r="E70" s="1">
        <v>100026787</v>
      </c>
      <c r="F70" s="15" t="str">
        <f>_xlfn.XLOOKUP(E70,'All Products'!D:D,'All Products'!E:E,FALSE)</f>
        <v>3X8 NIPPLE TBE</v>
      </c>
      <c r="G70" s="1" t="s">
        <v>2222</v>
      </c>
      <c r="H70" s="278" t="s">
        <v>2210</v>
      </c>
      <c r="I70" s="278" t="s">
        <v>2204</v>
      </c>
      <c r="J70" s="1" t="s">
        <v>2224</v>
      </c>
      <c r="K70" s="1">
        <f>_xlfn.XLOOKUP(E70,'All Products'!D:D,'All Products'!F:F,FALSE)</f>
        <v>25</v>
      </c>
      <c r="L70" s="1" t="str">
        <f>_xlfn.XLOOKUP(E70,'All Products'!D:D,'All Products'!G:G,FALSE)</f>
        <v>-</v>
      </c>
      <c r="M70" s="132">
        <f>_xlfn.XLOOKUP(E70,'All Products'!D:D,'All Products'!H:H,FALSE)</f>
        <v>25.25</v>
      </c>
      <c r="N70" s="179">
        <f>ROUNDUP(M70*Order_Quote!$L$21,2)</f>
        <v>25.25</v>
      </c>
      <c r="O70" s="74"/>
      <c r="P70" s="16"/>
      <c r="Q70" s="171">
        <f t="shared" si="3"/>
        <v>0</v>
      </c>
      <c r="S70" s="215" t="str">
        <f>_xlfn.XLOOKUP(E70,'All Products'!D:D,'All Products'!I:I,FALSE)</f>
        <v>Within 3 Weeks</v>
      </c>
      <c r="T70" s="215" t="str">
        <f>_xlfn.XLOOKUP(E70,'All Products'!D:D,'All Products'!J:J,FALSE)</f>
        <v>Sourced</v>
      </c>
      <c r="U70" s="266">
        <f>_xlfn.XLOOKUP(E70,'All Products'!D:D,'All Products'!K:K,FALSE)</f>
        <v>49081120689</v>
      </c>
      <c r="V70" s="266" t="str">
        <f>_xlfn.XLOOKUP(E70,'All Products'!D:D,'All Products'!L:L,FALSE)</f>
        <v>-</v>
      </c>
      <c r="W70" s="266">
        <f>_xlfn.XLOOKUP(E70,'All Products'!D:D,'All Products'!M:M,FALSE)</f>
        <v>40049081120687</v>
      </c>
      <c r="X70" s="265">
        <f>_xlfn.XLOOKUP(E70,'All Products'!D:D,'All Products'!N:N,FALSE)</f>
        <v>1.2</v>
      </c>
      <c r="Y70" s="265" t="str">
        <f>_xlfn.XLOOKUP(E70,'All Products'!D:D,'All Products'!O:O,FALSE)</f>
        <v>-</v>
      </c>
      <c r="Z70" s="265">
        <f>_xlfn.XLOOKUP(E70,'All Products'!D:D,'All Products'!P:P,FALSE)</f>
        <v>30</v>
      </c>
      <c r="AA70" s="265" t="str">
        <f>_xlfn.XLOOKUP(E70,'All Products'!D:D,'All Products'!Q:Q,FALSE)</f>
        <v>-</v>
      </c>
    </row>
    <row r="71" spans="1:27" ht="14.4" customHeight="1">
      <c r="A71" s="101" t="str">
        <f>IF(O71&gt;0,COUNT($A$8:A70)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71" s="646"/>
      <c r="C71" s="647"/>
      <c r="D71" s="125">
        <f>_xlfn.XLOOKUP(E71,'All Products'!D:D,'All Products'!C:C,FALSE)</f>
        <v>8823</v>
      </c>
      <c r="E71" s="1">
        <v>100026789</v>
      </c>
      <c r="F71" s="15" t="str">
        <f>_xlfn.XLOOKUP(E71,'All Products'!D:D,'All Products'!E:E,FALSE)</f>
        <v>3X12 NIPPLE TBE</v>
      </c>
      <c r="G71" s="1" t="s">
        <v>2222</v>
      </c>
      <c r="H71" s="278" t="s">
        <v>2210</v>
      </c>
      <c r="I71" s="278" t="s">
        <v>2204</v>
      </c>
      <c r="J71" s="1" t="s">
        <v>2253</v>
      </c>
      <c r="K71" s="1">
        <f>_xlfn.XLOOKUP(E71,'All Products'!D:D,'All Products'!F:F,FALSE)</f>
        <v>20</v>
      </c>
      <c r="L71" s="1">
        <f>_xlfn.XLOOKUP(E71,'All Products'!D:D,'All Products'!G:G,FALSE)</f>
        <v>360</v>
      </c>
      <c r="M71" s="132">
        <f>_xlfn.XLOOKUP(E71,'All Products'!D:D,'All Products'!H:H,FALSE)</f>
        <v>34.869999999999997</v>
      </c>
      <c r="N71" s="179">
        <f>ROUNDUP(M71*Order_Quote!$L$21,2)</f>
        <v>34.869999999999997</v>
      </c>
      <c r="O71" s="74"/>
      <c r="P71" s="16"/>
      <c r="Q71" s="171">
        <f t="shared" si="3"/>
        <v>0</v>
      </c>
      <c r="S71" s="215" t="str">
        <f>_xlfn.XLOOKUP(E71,'All Products'!D:D,'All Products'!I:I,FALSE)</f>
        <v>Within 3 Weeks</v>
      </c>
      <c r="T71" s="215" t="str">
        <f>_xlfn.XLOOKUP(E71,'All Products'!D:D,'All Products'!J:J,FALSE)</f>
        <v>Sourced</v>
      </c>
      <c r="U71" s="266">
        <f>_xlfn.XLOOKUP(E71,'All Products'!D:D,'All Products'!K:K,FALSE)</f>
        <v>49081120726</v>
      </c>
      <c r="V71" s="266" t="str">
        <f>_xlfn.XLOOKUP(E71,'All Products'!D:D,'All Products'!L:L,FALSE)</f>
        <v>-</v>
      </c>
      <c r="W71" s="266">
        <f>_xlfn.XLOOKUP(E71,'All Products'!D:D,'All Products'!M:M,FALSE)</f>
        <v>40049081120724</v>
      </c>
      <c r="X71" s="265">
        <f>_xlfn.XLOOKUP(E71,'All Products'!D:D,'All Products'!N:N,FALSE)</f>
        <v>3.738</v>
      </c>
      <c r="Y71" s="265" t="str">
        <f>_xlfn.XLOOKUP(E71,'All Products'!D:D,'All Products'!O:O,FALSE)</f>
        <v>-</v>
      </c>
      <c r="Z71" s="265">
        <f>_xlfn.XLOOKUP(E71,'All Products'!D:D,'All Products'!P:P,FALSE)</f>
        <v>37.380000000000003</v>
      </c>
      <c r="AA71" s="265">
        <f>_xlfn.XLOOKUP(E71,'All Products'!D:D,'All Products'!Q:Q,FALSE)</f>
        <v>2.65</v>
      </c>
    </row>
    <row r="72" spans="1:27" ht="14.4" customHeight="1">
      <c r="A72" s="101" t="str">
        <f>IF(O72&gt;0,COUNT($A$8:A71)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72" s="646"/>
      <c r="C72" s="647"/>
      <c r="D72" s="125">
        <f>_xlfn.XLOOKUP(E72,'All Products'!D:D,'All Products'!C:C,FALSE)</f>
        <v>8907</v>
      </c>
      <c r="E72" s="1">
        <v>100026800</v>
      </c>
      <c r="F72" s="15" t="str">
        <f>_xlfn.XLOOKUP(E72,'All Products'!D:D,'All Products'!E:E,FALSE)</f>
        <v>4X4 NIPPLE TBE</v>
      </c>
      <c r="G72" s="1" t="s">
        <v>2222</v>
      </c>
      <c r="H72" s="278" t="s">
        <v>2210</v>
      </c>
      <c r="I72" s="278" t="s">
        <v>2204</v>
      </c>
      <c r="J72" s="1" t="s">
        <v>2247</v>
      </c>
      <c r="K72" s="1">
        <f>_xlfn.XLOOKUP(E72,'All Products'!D:D,'All Products'!F:F,FALSE)</f>
        <v>30</v>
      </c>
      <c r="L72" s="1" t="str">
        <f>_xlfn.XLOOKUP(E72,'All Products'!D:D,'All Products'!G:G,FALSE)</f>
        <v>-</v>
      </c>
      <c r="M72" s="132">
        <f>_xlfn.XLOOKUP(E72,'All Products'!D:D,'All Products'!H:H,FALSE)</f>
        <v>20.11</v>
      </c>
      <c r="N72" s="179">
        <f>ROUNDUP(M72*Order_Quote!$L$21,2)</f>
        <v>20.11</v>
      </c>
      <c r="O72" s="74"/>
      <c r="P72" s="16"/>
      <c r="Q72" s="171">
        <f t="shared" si="3"/>
        <v>0</v>
      </c>
      <c r="S72" s="215" t="str">
        <f>_xlfn.XLOOKUP(E72,'All Products'!D:D,'All Products'!I:I,FALSE)</f>
        <v>Within 3 Weeks</v>
      </c>
      <c r="T72" s="215" t="str">
        <f>_xlfn.XLOOKUP(E72,'All Products'!D:D,'All Products'!J:J,FALSE)</f>
        <v>Sourced</v>
      </c>
      <c r="U72" s="266">
        <f>_xlfn.XLOOKUP(E72,'All Products'!D:D,'All Products'!K:K,FALSE)</f>
        <v>49081120924</v>
      </c>
      <c r="V72" s="266" t="str">
        <f>_xlfn.XLOOKUP(E72,'All Products'!D:D,'All Products'!L:L,FALSE)</f>
        <v>-</v>
      </c>
      <c r="W72" s="266">
        <f>_xlfn.XLOOKUP(E72,'All Products'!D:D,'All Products'!M:M,FALSE)</f>
        <v>40049081120922</v>
      </c>
      <c r="X72" s="265">
        <f>_xlfn.XLOOKUP(E72,'All Products'!D:D,'All Products'!N:N,FALSE)</f>
        <v>0.83699999999999997</v>
      </c>
      <c r="Y72" s="265" t="str">
        <f>_xlfn.XLOOKUP(E72,'All Products'!D:D,'All Products'!O:O,FALSE)</f>
        <v>-</v>
      </c>
      <c r="Z72" s="265">
        <f>_xlfn.XLOOKUP(E72,'All Products'!D:D,'All Products'!P:P,FALSE)</f>
        <v>25.1</v>
      </c>
      <c r="AA72" s="265" t="str">
        <f>_xlfn.XLOOKUP(E72,'All Products'!D:D,'All Products'!Q:Q,FALSE)</f>
        <v>-</v>
      </c>
    </row>
    <row r="73" spans="1:27" ht="14.4" customHeight="1">
      <c r="A73" s="101" t="str">
        <f>IF(O73&gt;0,COUNT($A$8:A72)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73" s="646"/>
      <c r="C73" s="647"/>
      <c r="D73" s="125">
        <f>_xlfn.XLOOKUP(E73,'All Products'!D:D,'All Products'!C:C,FALSE)</f>
        <v>8911</v>
      </c>
      <c r="E73" s="1">
        <v>100026802</v>
      </c>
      <c r="F73" s="15" t="str">
        <f>_xlfn.XLOOKUP(E73,'All Products'!D:D,'All Products'!E:E,FALSE)</f>
        <v>4X6 NIPPLE TBE</v>
      </c>
      <c r="G73" s="1" t="s">
        <v>2222</v>
      </c>
      <c r="H73" s="278" t="s">
        <v>2210</v>
      </c>
      <c r="I73" s="278" t="s">
        <v>2204</v>
      </c>
      <c r="J73" s="1" t="s">
        <v>2207</v>
      </c>
      <c r="K73" s="1">
        <f>_xlfn.XLOOKUP(E73,'All Products'!D:D,'All Products'!F:F,FALSE)</f>
        <v>20</v>
      </c>
      <c r="L73" s="1" t="str">
        <f>_xlfn.XLOOKUP(E73,'All Products'!D:D,'All Products'!G:G,FALSE)</f>
        <v>-</v>
      </c>
      <c r="M73" s="132">
        <f>_xlfn.XLOOKUP(E73,'All Products'!D:D,'All Products'!H:H,FALSE)</f>
        <v>27.09</v>
      </c>
      <c r="N73" s="179">
        <f>ROUNDUP(M73*Order_Quote!$L$21,2)</f>
        <v>27.09</v>
      </c>
      <c r="O73" s="74"/>
      <c r="P73" s="16"/>
      <c r="Q73" s="171">
        <f t="shared" si="3"/>
        <v>0</v>
      </c>
      <c r="S73" s="215" t="str">
        <f>_xlfn.XLOOKUP(E73,'All Products'!D:D,'All Products'!I:I,FALSE)</f>
        <v>Within 3 Weeks</v>
      </c>
      <c r="T73" s="215" t="str">
        <f>_xlfn.XLOOKUP(E73,'All Products'!D:D,'All Products'!J:J,FALSE)</f>
        <v>Sourced</v>
      </c>
      <c r="U73" s="266">
        <f>_xlfn.XLOOKUP(E73,'All Products'!D:D,'All Products'!K:K,FALSE)</f>
        <v>49081120962</v>
      </c>
      <c r="V73" s="266" t="str">
        <f>_xlfn.XLOOKUP(E73,'All Products'!D:D,'All Products'!L:L,FALSE)</f>
        <v>-</v>
      </c>
      <c r="W73" s="266">
        <f>_xlfn.XLOOKUP(E73,'All Products'!D:D,'All Products'!M:M,FALSE)</f>
        <v>40049081120960</v>
      </c>
      <c r="X73" s="265">
        <f>_xlfn.XLOOKUP(E73,'All Products'!D:D,'All Products'!N:N,FALSE)</f>
        <v>1.268</v>
      </c>
      <c r="Y73" s="265" t="str">
        <f>_xlfn.XLOOKUP(E73,'All Products'!D:D,'All Products'!O:O,FALSE)</f>
        <v>-</v>
      </c>
      <c r="Z73" s="265">
        <f>_xlfn.XLOOKUP(E73,'All Products'!D:D,'All Products'!P:P,FALSE)</f>
        <v>25.35</v>
      </c>
      <c r="AA73" s="265" t="str">
        <f>_xlfn.XLOOKUP(E73,'All Products'!D:D,'All Products'!Q:Q,FALSE)</f>
        <v>-</v>
      </c>
    </row>
    <row r="74" spans="1:27" ht="14.4" customHeight="1" thickBot="1">
      <c r="A74" s="101" t="str">
        <f>IF(O74&gt;0,COUNT($A$8:A73)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74" s="666"/>
      <c r="C74" s="667"/>
      <c r="D74" s="126">
        <f>_xlfn.XLOOKUP(E74,'All Products'!D:D,'All Products'!C:C,FALSE)</f>
        <v>8923</v>
      </c>
      <c r="E74" s="560">
        <v>100026805</v>
      </c>
      <c r="F74" s="561" t="str">
        <f>_xlfn.XLOOKUP(E74,'All Products'!D:D,'All Products'!E:E,FALSE)</f>
        <v>4X12 NIPPLE TBE</v>
      </c>
      <c r="G74" s="560" t="s">
        <v>2222</v>
      </c>
      <c r="H74" s="562" t="s">
        <v>2210</v>
      </c>
      <c r="I74" s="562" t="s">
        <v>2204</v>
      </c>
      <c r="J74" s="560" t="s">
        <v>2253</v>
      </c>
      <c r="K74" s="560">
        <f>_xlfn.XLOOKUP(E74,'All Products'!D:D,'All Products'!F:F,FALSE)</f>
        <v>5</v>
      </c>
      <c r="L74" s="560" t="str">
        <f>_xlfn.XLOOKUP(E74,'All Products'!D:D,'All Products'!G:G,FALSE)</f>
        <v>-</v>
      </c>
      <c r="M74" s="563">
        <f>_xlfn.XLOOKUP(E74,'All Products'!D:D,'All Products'!H:H,FALSE)</f>
        <v>48.15</v>
      </c>
      <c r="N74" s="559">
        <f>ROUNDUP(M74*Order_Quote!$L$21,2)</f>
        <v>48.15</v>
      </c>
      <c r="O74" s="564"/>
      <c r="P74" s="16"/>
      <c r="Q74" s="171">
        <f t="shared" si="3"/>
        <v>0</v>
      </c>
      <c r="S74" s="215" t="str">
        <f>_xlfn.XLOOKUP(E74,'All Products'!D:D,'All Products'!I:I,FALSE)</f>
        <v>Within 3 Weeks</v>
      </c>
      <c r="T74" s="215" t="str">
        <f>_xlfn.XLOOKUP(E74,'All Products'!D:D,'All Products'!J:J,FALSE)</f>
        <v>Sourced</v>
      </c>
      <c r="U74" s="266">
        <f>_xlfn.XLOOKUP(E74,'All Products'!D:D,'All Products'!K:K,FALSE)</f>
        <v>49081121020</v>
      </c>
      <c r="V74" s="266" t="str">
        <f>_xlfn.XLOOKUP(E74,'All Products'!D:D,'All Products'!L:L,FALSE)</f>
        <v>-</v>
      </c>
      <c r="W74" s="266">
        <f>_xlfn.XLOOKUP(E74,'All Products'!D:D,'All Products'!M:M,FALSE)</f>
        <v>40049081121028</v>
      </c>
      <c r="X74" s="265">
        <f>_xlfn.XLOOKUP(E74,'All Products'!D:D,'All Products'!N:N,FALSE)</f>
        <v>2.8</v>
      </c>
      <c r="Y74" s="265" t="str">
        <f>_xlfn.XLOOKUP(E74,'All Products'!D:D,'All Products'!O:O,FALSE)</f>
        <v>-</v>
      </c>
      <c r="Z74" s="265">
        <f>_xlfn.XLOOKUP(E74,'All Products'!D:D,'All Products'!P:P,FALSE)</f>
        <v>14</v>
      </c>
      <c r="AA74" s="265" t="str">
        <f>_xlfn.XLOOKUP(E74,'All Products'!D:D,'All Products'!Q:Q,FALSE)</f>
        <v>-</v>
      </c>
    </row>
    <row r="75" spans="1:27" s="17" customFormat="1" ht="16.2" thickBot="1">
      <c r="A75" s="101" t="str">
        <f>IF(O75&gt;0,COUNT($A$8:A74)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75" s="446" t="s">
        <v>2290</v>
      </c>
      <c r="C75" s="151"/>
      <c r="D75" s="151"/>
      <c r="E75" s="459"/>
      <c r="F75" s="151"/>
      <c r="G75" s="468"/>
      <c r="H75" s="151"/>
      <c r="I75" s="472"/>
      <c r="J75" s="468"/>
      <c r="K75" s="192"/>
      <c r="L75" s="151"/>
      <c r="M75" s="151"/>
      <c r="N75" s="151"/>
      <c r="O75" s="358"/>
      <c r="P75" s="4"/>
      <c r="Q75" s="565"/>
      <c r="R75" s="2"/>
      <c r="S75" s="357"/>
      <c r="T75" s="145"/>
      <c r="U75" s="459"/>
      <c r="V75" s="459"/>
      <c r="W75" s="459"/>
      <c r="X75" s="151"/>
      <c r="Y75" s="151"/>
      <c r="Z75" s="151"/>
      <c r="AA75" s="358"/>
    </row>
    <row r="76" spans="1:27" ht="14.4" customHeight="1">
      <c r="A76" s="101" t="str">
        <f>IF(O76&gt;0,COUNT($A$8:A75)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76" s="664"/>
      <c r="C76" s="665"/>
      <c r="D76" s="553" t="str">
        <f>_xlfn.XLOOKUP(E76,'All Products'!D:D,'All Products'!C:C,FALSE)</f>
        <v>8203-101</v>
      </c>
      <c r="E76" s="554">
        <v>100022181</v>
      </c>
      <c r="F76" s="555" t="str">
        <f>_xlfn.XLOOKUP(E76,'All Products'!D:D,'All Products'!E:E,FALSE)</f>
        <v>3/4X1/2 NIPPLE TBE</v>
      </c>
      <c r="G76" s="554" t="s">
        <v>2202</v>
      </c>
      <c r="H76" s="556" t="s">
        <v>2293</v>
      </c>
      <c r="I76" s="556" t="s">
        <v>2204</v>
      </c>
      <c r="J76" s="554" t="s">
        <v>2294</v>
      </c>
      <c r="K76" s="554">
        <f>_xlfn.XLOOKUP(E76,'All Products'!D:D,'All Products'!F:F,FALSE)</f>
        <v>250</v>
      </c>
      <c r="L76" s="554">
        <f>_xlfn.XLOOKUP(E76,'All Products'!D:D,'All Products'!G:G,FALSE)</f>
        <v>37500</v>
      </c>
      <c r="M76" s="557">
        <f>_xlfn.XLOOKUP(E76,'All Products'!D:D,'All Products'!H:H,FALSE)</f>
        <v>2.42</v>
      </c>
      <c r="N76" s="552">
        <f>ROUNDUP(M76*Order_Quote!$L$21,2)</f>
        <v>2.42</v>
      </c>
      <c r="O76" s="558"/>
      <c r="P76" s="16"/>
      <c r="Q76" s="171">
        <f t="shared" ref="Q76:Q81" si="4">O76/K76</f>
        <v>0</v>
      </c>
      <c r="S76" s="247" t="str">
        <f>_xlfn.XLOOKUP(E76,'All Products'!D:D,'All Products'!I:I,FALSE)</f>
        <v>In Stock</v>
      </c>
      <c r="T76" s="247" t="str">
        <f>_xlfn.XLOOKUP(E76,'All Products'!D:D,'All Products'!J:J,FALSE)</f>
        <v>Manufactured</v>
      </c>
      <c r="U76" s="508">
        <f>_xlfn.XLOOKUP(E76,'All Products'!D:D,'All Products'!K:K,FALSE)</f>
        <v>49081118433</v>
      </c>
      <c r="V76" s="508">
        <f>_xlfn.XLOOKUP(E76,'All Products'!D:D,'All Products'!L:L,FALSE)</f>
        <v>49081618438</v>
      </c>
      <c r="W76" s="508">
        <f>_xlfn.XLOOKUP(E76,'All Products'!D:D,'All Products'!M:M,FALSE)</f>
        <v>40049081118431</v>
      </c>
      <c r="X76" s="474">
        <f>_xlfn.XLOOKUP(E76,'All Products'!D:D,'All Products'!N:N,FALSE)</f>
        <v>2.8000000000000001E-2</v>
      </c>
      <c r="Y76" s="474">
        <f>_xlfn.XLOOKUP(E76,'All Products'!D:D,'All Products'!O:O,FALSE)</f>
        <v>25</v>
      </c>
      <c r="Z76" s="474">
        <f>_xlfn.XLOOKUP(E76,'All Products'!D:D,'All Products'!P:P,FALSE)</f>
        <v>9.9700000000000006</v>
      </c>
      <c r="AA76" s="474">
        <f>_xlfn.XLOOKUP(E76,'All Products'!D:D,'All Products'!Q:Q,FALSE)</f>
        <v>0.5</v>
      </c>
    </row>
    <row r="77" spans="1:27" ht="14.4" customHeight="1">
      <c r="A77" s="101" t="str">
        <f>IF(O77&gt;0,COUNT($A$8:A76)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77" s="646"/>
      <c r="C77" s="647"/>
      <c r="D77" s="125" t="str">
        <f>_xlfn.XLOOKUP(E77,'All Products'!D:D,'All Products'!C:C,FALSE)</f>
        <v>8303-130</v>
      </c>
      <c r="E77" s="1">
        <v>100026832</v>
      </c>
      <c r="F77" s="15" t="str">
        <f>_xlfn.XLOOKUP(E77,'All Products'!D:D,'All Products'!E:E,FALSE)</f>
        <v>1X1/2 NIPPLE TBE</v>
      </c>
      <c r="G77" s="1" t="s">
        <v>2202</v>
      </c>
      <c r="H77" s="278" t="s">
        <v>2293</v>
      </c>
      <c r="I77" s="278" t="s">
        <v>2204</v>
      </c>
      <c r="J77" s="1" t="s">
        <v>2297</v>
      </c>
      <c r="K77" s="1">
        <f>_xlfn.XLOOKUP(E77,'All Products'!D:D,'All Products'!F:F,FALSE)</f>
        <v>250</v>
      </c>
      <c r="L77" s="1">
        <f>_xlfn.XLOOKUP(E77,'All Products'!D:D,'All Products'!G:G,FALSE)</f>
        <v>30000</v>
      </c>
      <c r="M77" s="132">
        <f>_xlfn.XLOOKUP(E77,'All Products'!D:D,'All Products'!H:H,FALSE)</f>
        <v>5.15</v>
      </c>
      <c r="N77" s="179">
        <f>ROUNDUP(M77*Order_Quote!$L$21,2)</f>
        <v>5.15</v>
      </c>
      <c r="O77" s="74"/>
      <c r="P77" s="16"/>
      <c r="Q77" s="171">
        <f t="shared" si="4"/>
        <v>0</v>
      </c>
      <c r="S77" s="215" t="str">
        <f>_xlfn.XLOOKUP(E77,'All Products'!D:D,'All Products'!I:I,FALSE)</f>
        <v>In Stock</v>
      </c>
      <c r="T77" s="215" t="str">
        <f>_xlfn.XLOOKUP(E77,'All Products'!D:D,'All Products'!J:J,FALSE)</f>
        <v>Manufactured</v>
      </c>
      <c r="U77" s="266">
        <f>_xlfn.XLOOKUP(E77,'All Products'!D:D,'All Products'!K:K,FALSE)</f>
        <v>49081118914</v>
      </c>
      <c r="V77" s="266">
        <f>_xlfn.XLOOKUP(E77,'All Products'!D:D,'All Products'!L:L,FALSE)</f>
        <v>49081618919</v>
      </c>
      <c r="W77" s="266">
        <f>_xlfn.XLOOKUP(E77,'All Products'!D:D,'All Products'!M:M,FALSE)</f>
        <v>40049081118912</v>
      </c>
      <c r="X77" s="265">
        <f>_xlfn.XLOOKUP(E77,'All Products'!D:D,'All Products'!N:N,FALSE)</f>
        <v>5.3999999999999999E-2</v>
      </c>
      <c r="Y77" s="265">
        <f>_xlfn.XLOOKUP(E77,'All Products'!D:D,'All Products'!O:O,FALSE)</f>
        <v>25</v>
      </c>
      <c r="Z77" s="265">
        <f>_xlfn.XLOOKUP(E77,'All Products'!D:D,'All Products'!P:P,FALSE)</f>
        <v>13.71</v>
      </c>
      <c r="AA77" s="265">
        <f>_xlfn.XLOOKUP(E77,'All Products'!D:D,'All Products'!Q:Q,FALSE)</f>
        <v>0.65</v>
      </c>
    </row>
    <row r="78" spans="1:27" ht="14.4" customHeight="1">
      <c r="A78" s="101" t="str">
        <f>IF(O78&gt;0,COUNT($A$8:A77)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78" s="646"/>
      <c r="C78" s="647"/>
      <c r="D78" s="125" t="str">
        <f>_xlfn.XLOOKUP(E78,'All Products'!D:D,'All Products'!C:C,FALSE)</f>
        <v>8303-131</v>
      </c>
      <c r="E78" s="1">
        <v>100026833</v>
      </c>
      <c r="F78" s="15" t="str">
        <f>_xlfn.XLOOKUP(E78,'All Products'!D:D,'All Products'!E:E,FALSE)</f>
        <v>1X3/4 NIPPLE TBE</v>
      </c>
      <c r="G78" s="1" t="s">
        <v>2202</v>
      </c>
      <c r="H78" s="278" t="s">
        <v>2293</v>
      </c>
      <c r="I78" s="278" t="s">
        <v>2204</v>
      </c>
      <c r="J78" s="1" t="s">
        <v>2300</v>
      </c>
      <c r="K78" s="1">
        <f>_xlfn.XLOOKUP(E78,'All Products'!D:D,'All Products'!F:F,FALSE)</f>
        <v>250</v>
      </c>
      <c r="L78" s="1">
        <f>_xlfn.XLOOKUP(E78,'All Products'!D:D,'All Products'!G:G,FALSE)</f>
        <v>22500</v>
      </c>
      <c r="M78" s="132">
        <f>_xlfn.XLOOKUP(E78,'All Products'!D:D,'All Products'!H:H,FALSE)</f>
        <v>5.15</v>
      </c>
      <c r="N78" s="179">
        <f>ROUNDUP(M78*Order_Quote!$L$21,2)</f>
        <v>5.15</v>
      </c>
      <c r="O78" s="74"/>
      <c r="P78" s="16"/>
      <c r="Q78" s="171">
        <f t="shared" si="4"/>
        <v>0</v>
      </c>
      <c r="S78" s="215" t="str">
        <f>_xlfn.XLOOKUP(E78,'All Products'!D:D,'All Products'!I:I,FALSE)</f>
        <v>In Stock</v>
      </c>
      <c r="T78" s="215" t="str">
        <f>_xlfn.XLOOKUP(E78,'All Products'!D:D,'All Products'!J:J,FALSE)</f>
        <v>Manufactured</v>
      </c>
      <c r="U78" s="266">
        <f>_xlfn.XLOOKUP(E78,'All Products'!D:D,'All Products'!K:K,FALSE)</f>
        <v>49081118921</v>
      </c>
      <c r="V78" s="266">
        <f>_xlfn.XLOOKUP(E78,'All Products'!D:D,'All Products'!L:L,FALSE)</f>
        <v>49081618926</v>
      </c>
      <c r="W78" s="266">
        <f>_xlfn.XLOOKUP(E78,'All Products'!D:D,'All Products'!M:M,FALSE)</f>
        <v>40049081118929</v>
      </c>
      <c r="X78" s="265">
        <f>_xlfn.XLOOKUP(E78,'All Products'!D:D,'All Products'!N:N,FALSE)</f>
        <v>5.0999999999999997E-2</v>
      </c>
      <c r="Y78" s="265">
        <f>_xlfn.XLOOKUP(E78,'All Products'!D:D,'All Products'!O:O,FALSE)</f>
        <v>25</v>
      </c>
      <c r="Z78" s="265">
        <f>_xlfn.XLOOKUP(E78,'All Products'!D:D,'All Products'!P:P,FALSE)</f>
        <v>13.9</v>
      </c>
      <c r="AA78" s="265">
        <f>_xlfn.XLOOKUP(E78,'All Products'!D:D,'All Products'!Q:Q,FALSE)</f>
        <v>0.8</v>
      </c>
    </row>
    <row r="79" spans="1:27" ht="14.4" customHeight="1">
      <c r="A79" s="101" t="str">
        <f>IF(O79&gt;0,COUNT($A$8:A78)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79" s="646"/>
      <c r="C79" s="647"/>
      <c r="D79" s="125" t="str">
        <f>_xlfn.XLOOKUP(E79,'All Products'!D:D,'All Products'!C:C,FALSE)</f>
        <v>8403-168</v>
      </c>
      <c r="E79" s="1">
        <v>100022182</v>
      </c>
      <c r="F79" s="15" t="str">
        <f>_xlfn.XLOOKUP(E79,'All Products'!D:D,'All Products'!E:E,FALSE)</f>
        <v>1-1/4 X1 NIPPLE TBE</v>
      </c>
      <c r="G79" s="1" t="s">
        <v>2202</v>
      </c>
      <c r="H79" s="278" t="s">
        <v>2293</v>
      </c>
      <c r="I79" s="278" t="s">
        <v>2204</v>
      </c>
      <c r="J79" s="1" t="s">
        <v>2303</v>
      </c>
      <c r="K79" s="1">
        <f>_xlfn.XLOOKUP(E79,'All Products'!D:D,'All Products'!F:F,FALSE)</f>
        <v>125</v>
      </c>
      <c r="L79" s="1">
        <f>_xlfn.XLOOKUP(E79,'All Products'!D:D,'All Products'!G:G,FALSE)</f>
        <v>15000</v>
      </c>
      <c r="M79" s="132">
        <f>_xlfn.XLOOKUP(E79,'All Products'!D:D,'All Products'!H:H,FALSE)</f>
        <v>5.86</v>
      </c>
      <c r="N79" s="179">
        <f>ROUNDUP(M79*Order_Quote!$L$21,2)</f>
        <v>5.86</v>
      </c>
      <c r="O79" s="74"/>
      <c r="P79" s="16"/>
      <c r="Q79" s="171">
        <f t="shared" si="4"/>
        <v>0</v>
      </c>
      <c r="S79" s="215" t="str">
        <f>_xlfn.XLOOKUP(E79,'All Products'!D:D,'All Products'!I:I,FALSE)</f>
        <v>Within 3 Weeks</v>
      </c>
      <c r="T79" s="215" t="str">
        <f>_xlfn.XLOOKUP(E79,'All Products'!D:D,'All Products'!J:J,FALSE)</f>
        <v>Manufactured</v>
      </c>
      <c r="U79" s="266">
        <f>_xlfn.XLOOKUP(E79,'All Products'!D:D,'All Products'!K:K,FALSE)</f>
        <v>49081119270</v>
      </c>
      <c r="V79" s="266" t="str">
        <f>_xlfn.XLOOKUP(E79,'All Products'!D:D,'All Products'!L:L,FALSE)</f>
        <v>-</v>
      </c>
      <c r="W79" s="266">
        <f>_xlfn.XLOOKUP(E79,'All Products'!D:D,'All Products'!M:M,FALSE)</f>
        <v>40049081119278</v>
      </c>
      <c r="X79" s="265">
        <f>_xlfn.XLOOKUP(E79,'All Products'!D:D,'All Products'!N:N,FALSE)</f>
        <v>8.4000000000000005E-2</v>
      </c>
      <c r="Y79" s="265">
        <f>_xlfn.XLOOKUP(E79,'All Products'!D:D,'All Products'!O:O,FALSE)</f>
        <v>25</v>
      </c>
      <c r="Z79" s="265">
        <f>_xlfn.XLOOKUP(E79,'All Products'!D:D,'All Products'!P:P,FALSE)</f>
        <v>10.5</v>
      </c>
      <c r="AA79" s="265">
        <f>_xlfn.XLOOKUP(E79,'All Products'!D:D,'All Products'!Q:Q,FALSE)</f>
        <v>0.65</v>
      </c>
    </row>
    <row r="80" spans="1:27" ht="14.4" customHeight="1">
      <c r="A80" s="101" t="str">
        <f>IF(O80&gt;0,COUNT($A$8:A79)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80" s="646"/>
      <c r="C80" s="647"/>
      <c r="D80" s="125" t="str">
        <f>_xlfn.XLOOKUP(E80,'All Products'!D:D,'All Products'!C:C,FALSE)</f>
        <v>8503-210</v>
      </c>
      <c r="E80" s="1">
        <v>100022184</v>
      </c>
      <c r="F80" s="15" t="str">
        <f>_xlfn.XLOOKUP(E80,'All Products'!D:D,'All Products'!E:E,FALSE)</f>
        <v>1-1/2X3/4 NIPPLE TBE</v>
      </c>
      <c r="G80" s="1" t="s">
        <v>2202</v>
      </c>
      <c r="H80" s="278" t="s">
        <v>2293</v>
      </c>
      <c r="I80" s="278" t="s">
        <v>2204</v>
      </c>
      <c r="J80" s="1" t="s">
        <v>2306</v>
      </c>
      <c r="K80" s="1">
        <f>_xlfn.XLOOKUP(E80,'All Products'!D:D,'All Products'!F:F,FALSE)</f>
        <v>125</v>
      </c>
      <c r="L80" s="1">
        <f>_xlfn.XLOOKUP(E80,'All Products'!D:D,'All Products'!G:G,FALSE)</f>
        <v>11250</v>
      </c>
      <c r="M80" s="132">
        <f>_xlfn.XLOOKUP(E80,'All Products'!D:D,'All Products'!H:H,FALSE)</f>
        <v>8.26</v>
      </c>
      <c r="N80" s="179">
        <f>ROUNDUP(M80*Order_Quote!$L$21,2)</f>
        <v>8.26</v>
      </c>
      <c r="O80" s="74"/>
      <c r="P80" s="16"/>
      <c r="Q80" s="171">
        <f t="shared" si="4"/>
        <v>0</v>
      </c>
      <c r="S80" s="215" t="str">
        <f>_xlfn.XLOOKUP(E80,'All Products'!D:D,'All Products'!I:I,FALSE)</f>
        <v>In Stock</v>
      </c>
      <c r="T80" s="215" t="str">
        <f>_xlfn.XLOOKUP(E80,'All Products'!D:D,'All Products'!J:J,FALSE)</f>
        <v>Manufactured</v>
      </c>
      <c r="U80" s="266">
        <f>_xlfn.XLOOKUP(E80,'All Products'!D:D,'All Products'!K:K,FALSE)</f>
        <v>49081119607</v>
      </c>
      <c r="V80" s="266" t="str">
        <f>_xlfn.XLOOKUP(E80,'All Products'!D:D,'All Products'!L:L,FALSE)</f>
        <v>-</v>
      </c>
      <c r="W80" s="266">
        <f>_xlfn.XLOOKUP(E80,'All Products'!D:D,'All Products'!M:M,FALSE)</f>
        <v>40049081119605</v>
      </c>
      <c r="X80" s="265">
        <f>_xlfn.XLOOKUP(E80,'All Products'!D:D,'All Products'!N:N,FALSE)</f>
        <v>9.9000000000000005E-2</v>
      </c>
      <c r="Y80" s="265">
        <f>_xlfn.XLOOKUP(E80,'All Products'!D:D,'All Products'!O:O,FALSE)</f>
        <v>25</v>
      </c>
      <c r="Z80" s="265">
        <f>_xlfn.XLOOKUP(E80,'All Products'!D:D,'All Products'!P:P,FALSE)</f>
        <v>12.48</v>
      </c>
      <c r="AA80" s="265">
        <f>_xlfn.XLOOKUP(E80,'All Products'!D:D,'All Products'!Q:Q,FALSE)</f>
        <v>0.8</v>
      </c>
    </row>
    <row r="81" spans="1:27" ht="14.4" customHeight="1">
      <c r="A81" s="101" t="str">
        <f>IF(O81&gt;0,COUNT($A$8:A80)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+COUNT(Drainage!$A$8:$A$68)+1,"")</f>
        <v/>
      </c>
      <c r="B81" s="652"/>
      <c r="C81" s="653"/>
      <c r="D81" s="125" t="str">
        <f>_xlfn.XLOOKUP(E81,'All Products'!D:D,'All Products'!C:C,FALSE)</f>
        <v>8503-211</v>
      </c>
      <c r="E81" s="1">
        <v>100022186</v>
      </c>
      <c r="F81" s="15" t="str">
        <f>_xlfn.XLOOKUP(E81,'All Products'!D:D,'All Products'!E:E,FALSE)</f>
        <v>1-1/2X1 NIPPLE TBE</v>
      </c>
      <c r="G81" s="1" t="s">
        <v>2202</v>
      </c>
      <c r="H81" s="278" t="s">
        <v>2293</v>
      </c>
      <c r="I81" s="278" t="s">
        <v>2204</v>
      </c>
      <c r="J81" s="1" t="s">
        <v>2309</v>
      </c>
      <c r="K81" s="1">
        <f>_xlfn.XLOOKUP(E81,'All Products'!D:D,'All Products'!F:F,FALSE)</f>
        <v>125</v>
      </c>
      <c r="L81" s="1">
        <f>_xlfn.XLOOKUP(E81,'All Products'!D:D,'All Products'!G:G,FALSE)</f>
        <v>11250</v>
      </c>
      <c r="M81" s="132">
        <f>_xlfn.XLOOKUP(E81,'All Products'!D:D,'All Products'!H:H,FALSE)</f>
        <v>8.26</v>
      </c>
      <c r="N81" s="179">
        <f>ROUNDUP(M81*Order_Quote!$L$21,2)</f>
        <v>8.26</v>
      </c>
      <c r="O81" s="74"/>
      <c r="P81" s="16"/>
      <c r="Q81" s="171">
        <f t="shared" si="4"/>
        <v>0</v>
      </c>
      <c r="S81" s="215" t="str">
        <f>_xlfn.XLOOKUP(E81,'All Products'!D:D,'All Products'!I:I,FALSE)</f>
        <v>In Stock</v>
      </c>
      <c r="T81" s="215" t="str">
        <f>_xlfn.XLOOKUP(E81,'All Products'!D:D,'All Products'!J:J,FALSE)</f>
        <v>Manufactured</v>
      </c>
      <c r="U81" s="266">
        <f>_xlfn.XLOOKUP(E81,'All Products'!D:D,'All Products'!K:K,FALSE)</f>
        <v>49081119614</v>
      </c>
      <c r="V81" s="266">
        <f>_xlfn.XLOOKUP(E81,'All Products'!D:D,'All Products'!L:L,FALSE)</f>
        <v>49081619619</v>
      </c>
      <c r="W81" s="266">
        <f>_xlfn.XLOOKUP(E81,'All Products'!D:D,'All Products'!M:M,FALSE)</f>
        <v>40049081119612</v>
      </c>
      <c r="X81" s="265">
        <f>_xlfn.XLOOKUP(E81,'All Products'!D:D,'All Products'!N:N,FALSE)</f>
        <v>0.10100000000000001</v>
      </c>
      <c r="Y81" s="265">
        <f>_xlfn.XLOOKUP(E81,'All Products'!D:D,'All Products'!O:O,FALSE)</f>
        <v>25</v>
      </c>
      <c r="Z81" s="265">
        <f>_xlfn.XLOOKUP(E81,'All Products'!D:D,'All Products'!P:P,FALSE)</f>
        <v>12.73</v>
      </c>
      <c r="AA81" s="265">
        <f>_xlfn.XLOOKUP(E81,'All Products'!D:D,'All Products'!Q:Q,FALSE)</f>
        <v>0.8</v>
      </c>
    </row>
    <row r="82" spans="1:27" customFormat="1" ht="14.4" customHeight="1">
      <c r="A82" s="169">
        <f>MAX(A9:A81)+1</f>
        <v>1</v>
      </c>
      <c r="G82" s="471"/>
      <c r="H82" s="279"/>
      <c r="I82" s="279"/>
      <c r="J82" s="471"/>
      <c r="U82" s="506"/>
      <c r="V82" s="506"/>
      <c r="W82" s="506"/>
      <c r="X82" s="473"/>
      <c r="Y82" s="473"/>
      <c r="Z82" s="473"/>
    </row>
  </sheetData>
  <sheetProtection algorithmName="SHA-512" hashValue="30Xn618obg4HGbk5t7S/TdDswe+8lz87MciW8KhWChLQBq+K8cuwRk05MkwtjKKtbLNqm/W2Ano0dNQNPArGGA==" saltValue="ZHkRqhNaaj2pfS1FikhN6A==" spinCount="100000" sheet="1" formatCells="0" formatColumns="0" formatRows="0" insertColumns="0" insertRows="0" insertHyperlinks="0" deleteColumns="0" deleteRows="0" sort="0" autoFilter="0" pivotTables="0"/>
  <mergeCells count="4">
    <mergeCell ref="U6:W6"/>
    <mergeCell ref="B12:C74"/>
    <mergeCell ref="B76:C81"/>
    <mergeCell ref="B9:C10"/>
  </mergeCells>
  <dataValidations count="5">
    <dataValidation type="whole" operator="greaterThanOrEqual" allowBlank="1" showInputMessage="1" showErrorMessage="1" errorTitle="Invalid entry!" error="An invalid quantity has been entered. Please enter only whole numbers. Click Retry to change entry or Cancel to clear entry." sqref="P7:P8 P11 P75" xr:uid="{0235B526-8EEE-4F73-A6F7-DE18223B5952}">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29C1E14A-CA07-4F13-ACDA-917971C43015}">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P83:P63742 P1:P6 P12:P32 P76:P81" xr:uid="{A0296A91-7A21-4111-9210-FDE1DAC0A516}">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P9:P10" xr:uid="{60842E1E-EF79-4A71-A6C3-D95B081B073A}">
      <formula1>1</formula1>
    </dataValidation>
    <dataValidation allowBlank="1" showErrorMessage="1" sqref="O1:O1048576" xr:uid="{626154C4-6E03-4AA8-BC36-AE59E2D308EB}"/>
  </dataValidations>
  <printOptions horizontalCentered="1"/>
  <pageMargins left="0.7" right="0.7" top="0.75" bottom="0.75" header="0.3" footer="0.3"/>
  <pageSetup scale="58" fitToHeight="0" orientation="portrait" horizontalDpi="4294967292" r:id="rId1"/>
  <headerFooter>
    <oddFooter>&amp;L&amp;8V06032014&amp;CCopyright 2014
All rights reserved
For Tigre-ADS USA customer and rep use only_x000D_&amp;1#&amp;"Aptos"&amp;11&amp;K000000 TIGRE:Internal&amp;R&amp;P</oddFooter>
  </headerFooter>
  <rowBreaks count="1" manualBreakCount="1">
    <brk id="74" max="12"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47489-4D28-4DA5-8DAE-4E3F1949CE6C}">
  <sheetPr codeName="Sheet25">
    <tabColor theme="0"/>
    <pageSetUpPr fitToPage="1"/>
  </sheetPr>
  <dimension ref="A1:W33"/>
  <sheetViews>
    <sheetView topLeftCell="A25" workbookViewId="0">
      <selection activeCell="D30" sqref="D30"/>
    </sheetView>
  </sheetViews>
  <sheetFormatPr defaultColWidth="9.109375" defaultRowHeight="0" customHeight="1" zeroHeight="1"/>
  <cols>
    <col min="1" max="1" width="2.33203125" style="101" customWidth="1"/>
    <col min="2" max="3" width="8.6640625" style="17" customWidth="1"/>
    <col min="4" max="5" width="12.6640625" style="20" customWidth="1"/>
    <col min="6" max="6" width="50.6640625" style="184" customWidth="1"/>
    <col min="7" max="8" width="10.6640625" style="20" customWidth="1"/>
    <col min="9" max="10" width="10.6640625" style="240" customWidth="1"/>
    <col min="11" max="11" width="10.6640625" style="20" customWidth="1"/>
    <col min="12" max="12" width="1.44140625" style="20" customWidth="1"/>
    <col min="13" max="13" width="10.6640625" style="20" customWidth="1"/>
    <col min="14" max="14" width="2.33203125" style="17" customWidth="1"/>
    <col min="15" max="15" width="12" style="20" customWidth="1"/>
    <col min="16" max="16" width="10.6640625" style="20" customWidth="1"/>
    <col min="17" max="18" width="11.33203125" style="321" bestFit="1" customWidth="1"/>
    <col min="19" max="19" width="13.109375" style="321" bestFit="1" customWidth="1"/>
    <col min="20" max="20" width="10.6640625" style="411" customWidth="1"/>
    <col min="21" max="21" width="10.6640625" style="390" customWidth="1"/>
    <col min="22" max="22" width="10.6640625" style="411" customWidth="1"/>
    <col min="23" max="23" width="10.6640625" style="20" customWidth="1"/>
    <col min="24" max="34" width="9.109375" style="17" customWidth="1"/>
    <col min="35" max="16384" width="9.109375" style="17"/>
  </cols>
  <sheetData>
    <row r="1" spans="1:23" ht="18">
      <c r="F1" s="155" t="s">
        <v>2310</v>
      </c>
      <c r="G1" s="198"/>
      <c r="H1" s="198"/>
      <c r="O1" s="198"/>
      <c r="P1" s="198"/>
      <c r="T1" s="398"/>
      <c r="U1" s="389"/>
      <c r="V1" s="398"/>
      <c r="W1" s="198"/>
    </row>
    <row r="2" spans="1:23" ht="14.4" customHeight="1">
      <c r="D2" s="441"/>
      <c r="E2" s="201"/>
      <c r="F2" s="198"/>
      <c r="G2" s="198"/>
      <c r="J2" s="262" t="s">
        <v>59</v>
      </c>
      <c r="K2" s="241"/>
      <c r="O2" s="17"/>
      <c r="P2" s="17"/>
      <c r="T2" s="352"/>
      <c r="U2" s="321"/>
      <c r="V2" s="352"/>
      <c r="W2" s="17"/>
    </row>
    <row r="3" spans="1:23" ht="14.4" customHeight="1">
      <c r="F3" s="323" t="s">
        <v>2311</v>
      </c>
      <c r="G3" s="4"/>
      <c r="H3" s="4"/>
      <c r="J3" s="241"/>
      <c r="K3" s="241"/>
    </row>
    <row r="4" spans="1:23" ht="14.4" customHeight="1">
      <c r="E4" s="147" t="s">
        <v>5735</v>
      </c>
      <c r="F4" s="327" t="s">
        <v>5993</v>
      </c>
      <c r="G4" s="4"/>
      <c r="H4" s="4"/>
      <c r="J4" s="182"/>
      <c r="K4" s="17"/>
    </row>
    <row r="5" spans="1:23" ht="14.4" customHeight="1">
      <c r="F5" s="325" t="s">
        <v>5973</v>
      </c>
      <c r="G5" s="4"/>
      <c r="H5" s="4"/>
      <c r="J5" s="182"/>
      <c r="K5" s="17"/>
    </row>
    <row r="6" spans="1:23" ht="14.4" customHeight="1">
      <c r="J6" s="182"/>
      <c r="K6" s="17"/>
      <c r="Q6" s="662" t="s">
        <v>64</v>
      </c>
      <c r="R6" s="662"/>
      <c r="S6" s="662"/>
    </row>
    <row r="7" spans="1:23" s="20" customFormat="1" ht="29.4" thickBot="1">
      <c r="A7" s="147"/>
      <c r="B7" s="136"/>
      <c r="C7" s="136"/>
      <c r="D7" s="136" t="s">
        <v>48</v>
      </c>
      <c r="E7" s="136" t="s">
        <v>49</v>
      </c>
      <c r="F7" s="136" t="s">
        <v>50</v>
      </c>
      <c r="G7" s="136" t="s">
        <v>65</v>
      </c>
      <c r="H7" s="136" t="s">
        <v>66</v>
      </c>
      <c r="I7" s="157" t="s">
        <v>51</v>
      </c>
      <c r="J7" s="157" t="s">
        <v>55</v>
      </c>
      <c r="K7" s="158" t="s">
        <v>52</v>
      </c>
      <c r="M7" s="143" t="s">
        <v>67</v>
      </c>
      <c r="O7" s="213" t="s">
        <v>68</v>
      </c>
      <c r="P7" s="213" t="s">
        <v>69</v>
      </c>
      <c r="Q7" s="396" t="s">
        <v>70</v>
      </c>
      <c r="R7" s="396" t="s">
        <v>71</v>
      </c>
      <c r="S7" s="396" t="s">
        <v>72</v>
      </c>
      <c r="T7" s="383" t="s">
        <v>73</v>
      </c>
      <c r="U7" s="396" t="s">
        <v>333</v>
      </c>
      <c r="V7" s="383" t="s">
        <v>328</v>
      </c>
      <c r="W7" s="213" t="s">
        <v>329</v>
      </c>
    </row>
    <row r="8" spans="1:23" ht="16.2" thickBot="1">
      <c r="B8" s="446" t="s">
        <v>2312</v>
      </c>
      <c r="C8" s="151"/>
      <c r="D8" s="151"/>
      <c r="E8" s="459"/>
      <c r="F8" s="151"/>
      <c r="G8" s="468"/>
      <c r="H8" s="151"/>
      <c r="I8" s="472"/>
      <c r="J8" s="468"/>
      <c r="K8" s="566"/>
      <c r="M8" s="545"/>
      <c r="O8" s="357"/>
      <c r="P8" s="145"/>
      <c r="Q8" s="493"/>
      <c r="R8" s="493"/>
      <c r="S8" s="493"/>
      <c r="T8" s="479"/>
      <c r="U8" s="459"/>
      <c r="V8" s="481"/>
      <c r="W8" s="358"/>
    </row>
    <row r="9" spans="1:23" ht="69.900000000000006" customHeight="1">
      <c r="A9" s="101" t="str">
        <f>IF(K9&gt;0,COUNT($A$8:A8)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9" s="712"/>
      <c r="C9" s="713"/>
      <c r="D9" s="274" t="str">
        <f>_xlfn.XLOOKUP(E9,'All Products'!D:D,'All Products'!C:C,FALSE)</f>
        <v>301-010</v>
      </c>
      <c r="E9" s="103">
        <v>100026337</v>
      </c>
      <c r="F9" s="144" t="str">
        <f>_xlfn.XLOOKUP(E9,'All Products'!D:D,'All Products'!E:E,FALSE)</f>
        <v>1 TEE SWVL/MPT/SWVL MANIFOLD</v>
      </c>
      <c r="G9" s="103">
        <f>_xlfn.XLOOKUP(Manifold!E9,'All Products'!D:D,'All Products'!F:F,FALSE)</f>
        <v>25</v>
      </c>
      <c r="H9" s="103">
        <f>_xlfn.XLOOKUP(E9,'All Products'!D:D,'All Products'!G:G,FALSE)</f>
        <v>6750</v>
      </c>
      <c r="I9" s="142">
        <f>_xlfn.XLOOKUP(E9,'All Products'!D:D,'All Products'!H:H,FALSE)</f>
        <v>17.920000000000002</v>
      </c>
      <c r="J9" s="173">
        <f>ROUNDUP(I9*Order_Quote!$L$22,2)</f>
        <v>17.920000000000002</v>
      </c>
      <c r="K9" s="260"/>
      <c r="L9" s="113"/>
      <c r="M9" s="171">
        <f t="shared" ref="M9:M27" si="0">K9/G9</f>
        <v>0</v>
      </c>
      <c r="O9" s="215" t="str">
        <f>_xlfn.XLOOKUP(E9,'All Products'!D:D,'All Products'!I:I,FALSE)</f>
        <v>In Stock</v>
      </c>
      <c r="P9" s="215" t="str">
        <f>_xlfn.XLOOKUP(E9,'All Products'!D:D,'All Products'!J:J,FALSE)</f>
        <v>Manufactured</v>
      </c>
      <c r="Q9" s="508">
        <f>_xlfn.XLOOKUP(E9,'All Products'!D:D,'All Products'!K:K,FALSE)</f>
        <v>49081144500</v>
      </c>
      <c r="R9" s="266" t="str">
        <f>_xlfn.XLOOKUP(E9,'All Products'!D:D,'All Products'!L:L,FALSE)</f>
        <v>-</v>
      </c>
      <c r="S9" s="266">
        <f>_xlfn.XLOOKUP(E9,'All Products'!D:D,'All Products'!M:M,FALSE)</f>
        <v>40049081144508</v>
      </c>
      <c r="T9" s="265">
        <f>_xlfn.XLOOKUP(E9,'All Products'!D:D,'All Products'!N:N,FALSE)</f>
        <v>0.192</v>
      </c>
      <c r="U9" s="266" t="str">
        <f>_xlfn.XLOOKUP(E9,'All Products'!D:D,'All Products'!O:O,FALSE)</f>
        <v>-</v>
      </c>
      <c r="V9" s="265">
        <f>_xlfn.XLOOKUP(E9,'All Products'!D:D,'All Products'!P:P,FALSE)</f>
        <v>5.4749999999999996</v>
      </c>
      <c r="W9" s="265">
        <f>_xlfn.XLOOKUP(E9,'All Products'!D:D,'All Products'!Q:Q,FALSE)</f>
        <v>0.31</v>
      </c>
    </row>
    <row r="10" spans="1:23" ht="69.900000000000006" customHeight="1">
      <c r="A10" s="101" t="str">
        <f>IF(K10&gt;0,COUNT($A$8:A9)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10" s="616"/>
      <c r="C10" s="617"/>
      <c r="D10" s="274" t="str">
        <f>_xlfn.XLOOKUP(E10,'All Products'!D:D,'All Products'!C:C,FALSE)</f>
        <v>301-011</v>
      </c>
      <c r="E10" s="103">
        <v>100026341</v>
      </c>
      <c r="F10" s="144" t="str">
        <f>_xlfn.XLOOKUP(E10,'All Products'!D:D,'All Products'!E:E,FALSE)</f>
        <v>1 TEE SL/MPT/SWVL MANIFOLD</v>
      </c>
      <c r="G10" s="103">
        <f>_xlfn.XLOOKUP(Manifold!E10,'All Products'!D:D,'All Products'!F:F,FALSE)</f>
        <v>20</v>
      </c>
      <c r="H10" s="103">
        <f>_xlfn.XLOOKUP(E10,'All Products'!D:D,'All Products'!G:G,FALSE)</f>
        <v>5400</v>
      </c>
      <c r="I10" s="142">
        <f>_xlfn.XLOOKUP(E10,'All Products'!D:D,'All Products'!H:H,FALSE)</f>
        <v>17.760000000000002</v>
      </c>
      <c r="J10" s="173">
        <f>ROUNDUP(I10*Order_Quote!$L$22,2)</f>
        <v>17.760000000000002</v>
      </c>
      <c r="K10" s="75"/>
      <c r="L10" s="113"/>
      <c r="M10" s="171">
        <f t="shared" si="0"/>
        <v>0</v>
      </c>
      <c r="O10" s="215" t="str">
        <f>_xlfn.XLOOKUP(E10,'All Products'!D:D,'All Products'!I:I,FALSE)</f>
        <v>In Stock</v>
      </c>
      <c r="P10" s="215" t="str">
        <f>_xlfn.XLOOKUP(E10,'All Products'!D:D,'All Products'!J:J,FALSE)</f>
        <v>Manufactured</v>
      </c>
      <c r="Q10" s="508">
        <f>_xlfn.XLOOKUP(E10,'All Products'!D:D,'All Products'!K:K,FALSE)</f>
        <v>49081144524</v>
      </c>
      <c r="R10" s="266" t="str">
        <f>_xlfn.XLOOKUP(E10,'All Products'!D:D,'All Products'!L:L,FALSE)</f>
        <v>-</v>
      </c>
      <c r="S10" s="266">
        <f>_xlfn.XLOOKUP(E10,'All Products'!D:D,'All Products'!M:M,FALSE)</f>
        <v>40049081144522</v>
      </c>
      <c r="T10" s="265">
        <f>_xlfn.XLOOKUP(E10,'All Products'!D:D,'All Products'!N:N,FALSE)</f>
        <v>0.26200000000000001</v>
      </c>
      <c r="U10" s="266" t="str">
        <f>_xlfn.XLOOKUP(E10,'All Products'!D:D,'All Products'!O:O,FALSE)</f>
        <v>-</v>
      </c>
      <c r="V10" s="265">
        <f>_xlfn.XLOOKUP(E10,'All Products'!D:D,'All Products'!P:P,FALSE)</f>
        <v>4.4249999999999998</v>
      </c>
      <c r="W10" s="265">
        <f>_xlfn.XLOOKUP(E10,'All Products'!D:D,'All Products'!Q:Q,FALSE)</f>
        <v>0.31</v>
      </c>
    </row>
    <row r="11" spans="1:23" ht="42.75" customHeight="1">
      <c r="A11" s="101" t="str">
        <f>IF(K11&gt;0,COUNT($A$8:A10)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11" s="616"/>
      <c r="C11" s="617"/>
      <c r="D11" s="274" t="str">
        <f>_xlfn.XLOOKUP(E11,'All Products'!D:D,'All Products'!C:C,FALSE)</f>
        <v>301-010-2</v>
      </c>
      <c r="E11" s="103">
        <v>100026338</v>
      </c>
      <c r="F11" s="144" t="str">
        <f>_xlfn.XLOOKUP(E11,'All Products'!D:D,'All Products'!E:E,FALSE)</f>
        <v>1 TEE DOUBLE SWIVEL OUTLET MANIFOLD</v>
      </c>
      <c r="G11" s="103">
        <f>_xlfn.XLOOKUP(Manifold!E11,'All Products'!D:D,'All Products'!F:F,FALSE)</f>
        <v>25</v>
      </c>
      <c r="H11" s="103">
        <f>_xlfn.XLOOKUP(E11,'All Products'!D:D,'All Products'!G:G,FALSE)</f>
        <v>3000</v>
      </c>
      <c r="I11" s="142">
        <f>_xlfn.XLOOKUP(E11,'All Products'!D:D,'All Products'!H:H,FALSE)</f>
        <v>35.01</v>
      </c>
      <c r="J11" s="173">
        <f>ROUNDUP(I11*Order_Quote!$L$22,2)</f>
        <v>35.01</v>
      </c>
      <c r="K11" s="75"/>
      <c r="L11" s="113"/>
      <c r="M11" s="171">
        <f t="shared" si="0"/>
        <v>0</v>
      </c>
      <c r="O11" s="215" t="str">
        <f>_xlfn.XLOOKUP(E11,'All Products'!D:D,'All Products'!I:I,FALSE)</f>
        <v>In Stock</v>
      </c>
      <c r="P11" s="215" t="str">
        <f>_xlfn.XLOOKUP(E11,'All Products'!D:D,'All Products'!J:J,FALSE)</f>
        <v>Manufactured</v>
      </c>
      <c r="Q11" s="508">
        <f>_xlfn.XLOOKUP(E11,'All Products'!D:D,'All Products'!K:K,FALSE)</f>
        <v>49081404222</v>
      </c>
      <c r="R11" s="266" t="str">
        <f>_xlfn.XLOOKUP(E11,'All Products'!D:D,'All Products'!L:L,FALSE)</f>
        <v>-</v>
      </c>
      <c r="S11" s="266">
        <f>_xlfn.XLOOKUP(E11,'All Products'!D:D,'All Products'!M:M,FALSE)</f>
        <v>40049081404220</v>
      </c>
      <c r="T11" s="265">
        <f>_xlfn.XLOOKUP(E11,'All Products'!D:D,'All Products'!N:N,FALSE)</f>
        <v>0.34300000000000003</v>
      </c>
      <c r="U11" s="266" t="str">
        <f>_xlfn.XLOOKUP(E11,'All Products'!D:D,'All Products'!O:O,FALSE)</f>
        <v>-</v>
      </c>
      <c r="V11" s="265">
        <f>_xlfn.XLOOKUP(E11,'All Products'!D:D,'All Products'!P:P,FALSE)</f>
        <v>9.3249999999999993</v>
      </c>
      <c r="W11" s="265">
        <f>_xlfn.XLOOKUP(E11,'All Products'!D:D,'All Products'!Q:Q,FALSE)</f>
        <v>0.65</v>
      </c>
    </row>
    <row r="12" spans="1:23" ht="33" customHeight="1">
      <c r="A12" s="101" t="str">
        <f>IF(K12&gt;0,COUNT($A$8:A11)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12" s="616"/>
      <c r="C12" s="617"/>
      <c r="D12" s="274" t="str">
        <f>_xlfn.XLOOKUP(E12,'All Products'!D:D,'All Products'!C:C,FALSE)</f>
        <v>301-010-3</v>
      </c>
      <c r="E12" s="103">
        <v>100026339</v>
      </c>
      <c r="F12" s="144" t="str">
        <f>_xlfn.XLOOKUP(E12,'All Products'!D:D,'All Products'!E:E,FALSE)</f>
        <v>1 TEE TRIPLE SWIVEL OUTLET MANIFOLD</v>
      </c>
      <c r="G12" s="103">
        <f>_xlfn.XLOOKUP(Manifold!E12,'All Products'!D:D,'All Products'!F:F,FALSE)</f>
        <v>25</v>
      </c>
      <c r="H12" s="103">
        <f>_xlfn.XLOOKUP(E12,'All Products'!D:D,'All Products'!G:G,FALSE)</f>
        <v>2250</v>
      </c>
      <c r="I12" s="142">
        <f>_xlfn.XLOOKUP(E12,'All Products'!D:D,'All Products'!H:H,FALSE)</f>
        <v>52.5</v>
      </c>
      <c r="J12" s="173">
        <f>ROUNDUP(I12*Order_Quote!$L$22,2)</f>
        <v>52.5</v>
      </c>
      <c r="K12" s="75"/>
      <c r="L12" s="113"/>
      <c r="M12" s="171">
        <f t="shared" si="0"/>
        <v>0</v>
      </c>
      <c r="O12" s="215" t="str">
        <f>_xlfn.XLOOKUP(E12,'All Products'!D:D,'All Products'!I:I,FALSE)</f>
        <v>In Stock</v>
      </c>
      <c r="P12" s="215" t="str">
        <f>_xlfn.XLOOKUP(E12,'All Products'!D:D,'All Products'!J:J,FALSE)</f>
        <v>Manufactured</v>
      </c>
      <c r="Q12" s="508">
        <f>_xlfn.XLOOKUP(E12,'All Products'!D:D,'All Products'!K:K,FALSE)</f>
        <v>49081404239</v>
      </c>
      <c r="R12" s="266" t="str">
        <f>_xlfn.XLOOKUP(E12,'All Products'!D:D,'All Products'!L:L,FALSE)</f>
        <v>-</v>
      </c>
      <c r="S12" s="266">
        <f>_xlfn.XLOOKUP(E12,'All Products'!D:D,'All Products'!M:M,FALSE)</f>
        <v>40049081404237</v>
      </c>
      <c r="T12" s="265">
        <f>_xlfn.XLOOKUP(E12,'All Products'!D:D,'All Products'!N:N,FALSE)</f>
        <v>0.49399999999999999</v>
      </c>
      <c r="U12" s="266" t="str">
        <f>_xlfn.XLOOKUP(E12,'All Products'!D:D,'All Products'!O:O,FALSE)</f>
        <v>-</v>
      </c>
      <c r="V12" s="265">
        <f>_xlfn.XLOOKUP(E12,'All Products'!D:D,'All Products'!P:P,FALSE)</f>
        <v>13.35</v>
      </c>
      <c r="W12" s="265">
        <f>_xlfn.XLOOKUP(E12,'All Products'!D:D,'All Products'!Q:Q,FALSE)</f>
        <v>0.8</v>
      </c>
    </row>
    <row r="13" spans="1:23" ht="30.75" customHeight="1">
      <c r="A13" s="101" t="str">
        <f>IF(K13&gt;0,COUNT($A$8:A12)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13" s="616"/>
      <c r="C13" s="617"/>
      <c r="D13" s="274" t="str">
        <f>_xlfn.XLOOKUP(E13,'All Products'!D:D,'All Products'!C:C,FALSE)</f>
        <v>301-010-4</v>
      </c>
      <c r="E13" s="103">
        <v>100026340</v>
      </c>
      <c r="F13" s="144" t="str">
        <f>_xlfn.XLOOKUP(E13,'All Products'!D:D,'All Products'!E:E,FALSE)</f>
        <v>1 TEE QUAD SWIVEL OUTLET MANIFOLD</v>
      </c>
      <c r="G13" s="103">
        <f>_xlfn.XLOOKUP(Manifold!E13,'All Products'!D:D,'All Products'!F:F,FALSE)</f>
        <v>25</v>
      </c>
      <c r="H13" s="103">
        <f>_xlfn.XLOOKUP(E13,'All Products'!D:D,'All Products'!G:G,FALSE)</f>
        <v>1875</v>
      </c>
      <c r="I13" s="142">
        <f>_xlfn.XLOOKUP(E13,'All Products'!D:D,'All Products'!H:H,FALSE)</f>
        <v>69.86</v>
      </c>
      <c r="J13" s="173">
        <f>ROUNDUP(I13*Order_Quote!$L$22,2)</f>
        <v>69.86</v>
      </c>
      <c r="K13" s="75"/>
      <c r="L13" s="113"/>
      <c r="M13" s="171">
        <f t="shared" si="0"/>
        <v>0</v>
      </c>
      <c r="O13" s="215" t="str">
        <f>_xlfn.XLOOKUP(E13,'All Products'!D:D,'All Products'!I:I,FALSE)</f>
        <v>In Stock</v>
      </c>
      <c r="P13" s="215" t="str">
        <f>_xlfn.XLOOKUP(E13,'All Products'!D:D,'All Products'!J:J,FALSE)</f>
        <v>Manufactured</v>
      </c>
      <c r="Q13" s="508">
        <f>_xlfn.XLOOKUP(E13,'All Products'!D:D,'All Products'!K:K,FALSE)</f>
        <v>49081404246</v>
      </c>
      <c r="R13" s="266" t="str">
        <f>_xlfn.XLOOKUP(E13,'All Products'!D:D,'All Products'!L:L,FALSE)</f>
        <v>-</v>
      </c>
      <c r="S13" s="266">
        <f>_xlfn.XLOOKUP(E13,'All Products'!D:D,'All Products'!M:M,FALSE)</f>
        <v>40049081404244</v>
      </c>
      <c r="T13" s="265">
        <f>_xlfn.XLOOKUP(E13,'All Products'!D:D,'All Products'!N:N,FALSE)</f>
        <v>0.64300000000000002</v>
      </c>
      <c r="U13" s="266" t="str">
        <f>_xlfn.XLOOKUP(E13,'All Products'!D:D,'All Products'!O:O,FALSE)</f>
        <v>-</v>
      </c>
      <c r="V13" s="265">
        <f>_xlfn.XLOOKUP(E13,'All Products'!D:D,'All Products'!P:P,FALSE)</f>
        <v>17.23</v>
      </c>
      <c r="W13" s="265">
        <f>_xlfn.XLOOKUP(E13,'All Products'!D:D,'All Products'!Q:Q,FALSE)</f>
        <v>1.1000000000000001</v>
      </c>
    </row>
    <row r="14" spans="1:23" ht="76.5" customHeight="1">
      <c r="A14" s="101" t="str">
        <f>IF(K14&gt;0,COUNT($A$8:A13)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14" s="616"/>
      <c r="C14" s="617"/>
      <c r="D14" s="274" t="str">
        <f>_xlfn.XLOOKUP(E14,'All Products'!D:D,'All Products'!C:C,FALSE)</f>
        <v>306-009</v>
      </c>
      <c r="E14" s="103">
        <v>100026342</v>
      </c>
      <c r="F14" s="144" t="str">
        <f>_xlfn.XLOOKUP(E14,'All Products'!D:D,'All Products'!E:E,FALSE)</f>
        <v>1 ELL MPT/SWVL MANIFOLD</v>
      </c>
      <c r="G14" s="103">
        <f>_xlfn.XLOOKUP(Manifold!E14,'All Products'!D:D,'All Products'!F:F,FALSE)</f>
        <v>25</v>
      </c>
      <c r="H14" s="103">
        <f>_xlfn.XLOOKUP(E14,'All Products'!D:D,'All Products'!G:G,FALSE)</f>
        <v>6750</v>
      </c>
      <c r="I14" s="142">
        <f>_xlfn.XLOOKUP(E14,'All Products'!D:D,'All Products'!H:H,FALSE)</f>
        <v>15.32</v>
      </c>
      <c r="J14" s="173">
        <f>ROUNDUP(I14*Order_Quote!$L$22,2)</f>
        <v>15.32</v>
      </c>
      <c r="K14" s="75"/>
      <c r="L14" s="113"/>
      <c r="M14" s="171">
        <f t="shared" si="0"/>
        <v>0</v>
      </c>
      <c r="O14" s="215" t="str">
        <f>_xlfn.XLOOKUP(E14,'All Products'!D:D,'All Products'!I:I,FALSE)</f>
        <v>In Stock</v>
      </c>
      <c r="P14" s="215" t="str">
        <f>_xlfn.XLOOKUP(E14,'All Products'!D:D,'All Products'!J:J,FALSE)</f>
        <v>Manufactured</v>
      </c>
      <c r="Q14" s="508">
        <f>_xlfn.XLOOKUP(E14,'All Products'!D:D,'All Products'!K:K,FALSE)</f>
        <v>49081141554</v>
      </c>
      <c r="R14" s="266" t="str">
        <f>_xlfn.XLOOKUP(E14,'All Products'!D:D,'All Products'!L:L,FALSE)</f>
        <v>-</v>
      </c>
      <c r="S14" s="266">
        <f>_xlfn.XLOOKUP(E14,'All Products'!D:D,'All Products'!M:M,FALSE)</f>
        <v>40049081141552</v>
      </c>
      <c r="T14" s="265">
        <f>_xlfn.XLOOKUP(E14,'All Products'!D:D,'All Products'!N:N,FALSE)</f>
        <v>0.128</v>
      </c>
      <c r="U14" s="266" t="str">
        <f>_xlfn.XLOOKUP(E14,'All Products'!D:D,'All Products'!O:O,FALSE)</f>
        <v>-</v>
      </c>
      <c r="V14" s="265">
        <f>_xlfn.XLOOKUP(E14,'All Products'!D:D,'All Products'!P:P,FALSE)</f>
        <v>3.65</v>
      </c>
      <c r="W14" s="265">
        <f>_xlfn.XLOOKUP(E14,'All Products'!D:D,'All Products'!Q:Q,FALSE)</f>
        <v>0.31</v>
      </c>
    </row>
    <row r="15" spans="1:23" ht="69.900000000000006" customHeight="1">
      <c r="A15" s="101" t="str">
        <f>IF(K15&gt;0,COUNT($A$8:A14)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15" s="616"/>
      <c r="C15" s="617"/>
      <c r="D15" s="274" t="str">
        <f>_xlfn.XLOOKUP(E15,'All Products'!D:D,'All Products'!C:C,FALSE)</f>
        <v>306-010</v>
      </c>
      <c r="E15" s="103">
        <v>100026343</v>
      </c>
      <c r="F15" s="144" t="str">
        <f>_xlfn.XLOOKUP(E15,'All Products'!D:D,'All Products'!E:E,FALSE)</f>
        <v>1 ELL SWVL/SWVL MANIFOLD</v>
      </c>
      <c r="G15" s="103">
        <f>_xlfn.XLOOKUP(Manifold!E15,'All Products'!D:D,'All Products'!F:F,FALSE)</f>
        <v>25</v>
      </c>
      <c r="H15" s="103">
        <f>_xlfn.XLOOKUP(E15,'All Products'!D:D,'All Products'!G:G,FALSE)</f>
        <v>6750</v>
      </c>
      <c r="I15" s="142">
        <f>_xlfn.XLOOKUP(E15,'All Products'!D:D,'All Products'!H:H,FALSE)</f>
        <v>16.899999999999999</v>
      </c>
      <c r="J15" s="173">
        <f>ROUNDUP(I15*Order_Quote!$L$22,2)</f>
        <v>16.899999999999999</v>
      </c>
      <c r="K15" s="75"/>
      <c r="L15" s="113"/>
      <c r="M15" s="171">
        <f t="shared" si="0"/>
        <v>0</v>
      </c>
      <c r="O15" s="215" t="str">
        <f>_xlfn.XLOOKUP(E15,'All Products'!D:D,'All Products'!I:I,FALSE)</f>
        <v>In Stock</v>
      </c>
      <c r="P15" s="215" t="str">
        <f>_xlfn.XLOOKUP(E15,'All Products'!D:D,'All Products'!J:J,FALSE)</f>
        <v>Manufactured</v>
      </c>
      <c r="Q15" s="508">
        <f>_xlfn.XLOOKUP(E15,'All Products'!D:D,'All Products'!K:K,FALSE)</f>
        <v>49081141585</v>
      </c>
      <c r="R15" s="266" t="str">
        <f>_xlfn.XLOOKUP(E15,'All Products'!D:D,'All Products'!L:L,FALSE)</f>
        <v>-</v>
      </c>
      <c r="S15" s="266">
        <f>_xlfn.XLOOKUP(E15,'All Products'!D:D,'All Products'!M:M,FALSE)</f>
        <v>40049081141583</v>
      </c>
      <c r="T15" s="265">
        <f>_xlfn.XLOOKUP(E15,'All Products'!D:D,'All Products'!N:N,FALSE)</f>
        <v>0.156</v>
      </c>
      <c r="U15" s="266" t="str">
        <f>_xlfn.XLOOKUP(E15,'All Products'!D:D,'All Products'!O:O,FALSE)</f>
        <v>-</v>
      </c>
      <c r="V15" s="265">
        <f>_xlfn.XLOOKUP(E15,'All Products'!D:D,'All Products'!P:P,FALSE)</f>
        <v>4.4249999999999998</v>
      </c>
      <c r="W15" s="265">
        <f>_xlfn.XLOOKUP(E15,'All Products'!D:D,'All Products'!Q:Q,FALSE)</f>
        <v>0.31</v>
      </c>
    </row>
    <row r="16" spans="1:23" ht="69.900000000000006" customHeight="1">
      <c r="A16" s="101" t="str">
        <f>IF(K16&gt;0,COUNT($A$8:A15)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16" s="616"/>
      <c r="C16" s="617"/>
      <c r="D16" s="274" t="str">
        <f>_xlfn.XLOOKUP(E16,'All Products'!D:D,'All Products'!C:C,FALSE)</f>
        <v>306-011</v>
      </c>
      <c r="E16" s="103">
        <v>100026344</v>
      </c>
      <c r="F16" s="144" t="str">
        <f>_xlfn.XLOOKUP(E16,'All Products'!D:D,'All Products'!E:E,FALSE)</f>
        <v>1 ELL SL/SWVL MANIFOLD</v>
      </c>
      <c r="G16" s="103">
        <f>_xlfn.XLOOKUP(Manifold!E16,'All Products'!D:D,'All Products'!F:F,FALSE)</f>
        <v>25</v>
      </c>
      <c r="H16" s="103">
        <f>_xlfn.XLOOKUP(E16,'All Products'!D:D,'All Products'!G:G,FALSE)</f>
        <v>6750</v>
      </c>
      <c r="I16" s="142">
        <f>_xlfn.XLOOKUP(E16,'All Products'!D:D,'All Products'!H:H,FALSE)</f>
        <v>14.75</v>
      </c>
      <c r="J16" s="173">
        <f>ROUNDUP(I16*Order_Quote!$L$22,2)</f>
        <v>14.75</v>
      </c>
      <c r="K16" s="75"/>
      <c r="L16" s="113"/>
      <c r="M16" s="171">
        <f t="shared" si="0"/>
        <v>0</v>
      </c>
      <c r="O16" s="215" t="str">
        <f>_xlfn.XLOOKUP(E16,'All Products'!D:D,'All Products'!I:I,FALSE)</f>
        <v>In Stock</v>
      </c>
      <c r="P16" s="215" t="str">
        <f>_xlfn.XLOOKUP(E16,'All Products'!D:D,'All Products'!J:J,FALSE)</f>
        <v>Manufactured</v>
      </c>
      <c r="Q16" s="508">
        <f>_xlfn.XLOOKUP(E16,'All Products'!D:D,'All Products'!K:K,FALSE)</f>
        <v>49081141608</v>
      </c>
      <c r="R16" s="266" t="str">
        <f>_xlfn.XLOOKUP(E16,'All Products'!D:D,'All Products'!L:L,FALSE)</f>
        <v>-</v>
      </c>
      <c r="S16" s="266">
        <f>_xlfn.XLOOKUP(E16,'All Products'!D:D,'All Products'!M:M,FALSE)</f>
        <v>40049081141606</v>
      </c>
      <c r="T16" s="265">
        <f>_xlfn.XLOOKUP(E16,'All Products'!D:D,'All Products'!N:N,FALSE)</f>
        <v>0.218</v>
      </c>
      <c r="U16" s="266" t="str">
        <f>_xlfn.XLOOKUP(E16,'All Products'!D:D,'All Products'!O:O,FALSE)</f>
        <v>-</v>
      </c>
      <c r="V16" s="265">
        <f>_xlfn.XLOOKUP(E16,'All Products'!D:D,'All Products'!P:P,FALSE)</f>
        <v>4.4249999999999998</v>
      </c>
      <c r="W16" s="265">
        <f>_xlfn.XLOOKUP(E16,'All Products'!D:D,'All Products'!Q:Q,FALSE)</f>
        <v>0.31</v>
      </c>
    </row>
    <row r="17" spans="1:23" ht="75" customHeight="1">
      <c r="A17" s="101" t="str">
        <f>IF(K17&gt;0,COUNT($A$8:A16)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17" s="616"/>
      <c r="C17" s="617"/>
      <c r="D17" s="274" t="str">
        <f>_xlfn.XLOOKUP(E17,'All Products'!D:D,'All Products'!C:C,FALSE)</f>
        <v>320-010</v>
      </c>
      <c r="E17" s="103">
        <v>100026345</v>
      </c>
      <c r="F17" s="144" t="str">
        <f>_xlfn.XLOOKUP(E17,'All Products'!D:D,'All Products'!E:E,FALSE)</f>
        <v>1 CROSS SWVL/MPT/SWVL/SWVL MANIFOLD</v>
      </c>
      <c r="G17" s="103">
        <f>_xlfn.XLOOKUP(Manifold!E17,'All Products'!D:D,'All Products'!F:F,FALSE)</f>
        <v>15</v>
      </c>
      <c r="H17" s="103">
        <f>_xlfn.XLOOKUP(E17,'All Products'!D:D,'All Products'!G:G,FALSE)</f>
        <v>4050</v>
      </c>
      <c r="I17" s="142">
        <f>_xlfn.XLOOKUP(E17,'All Products'!D:D,'All Products'!H:H,FALSE)</f>
        <v>23.79</v>
      </c>
      <c r="J17" s="173">
        <f>ROUNDUP(I17*Order_Quote!$L$22,2)</f>
        <v>23.79</v>
      </c>
      <c r="K17" s="75"/>
      <c r="L17" s="113"/>
      <c r="M17" s="171">
        <f t="shared" si="0"/>
        <v>0</v>
      </c>
      <c r="O17" s="215" t="str">
        <f>_xlfn.XLOOKUP(E17,'All Products'!D:D,'All Products'!I:I,FALSE)</f>
        <v>In Stock</v>
      </c>
      <c r="P17" s="215" t="str">
        <f>_xlfn.XLOOKUP(E17,'All Products'!D:D,'All Products'!J:J,FALSE)</f>
        <v>Manufactured</v>
      </c>
      <c r="Q17" s="508">
        <f>_xlfn.XLOOKUP(E17,'All Products'!D:D,'All Products'!K:K,FALSE)</f>
        <v>49081139216</v>
      </c>
      <c r="R17" s="266" t="str">
        <f>_xlfn.XLOOKUP(E17,'All Products'!D:D,'All Products'!L:L,FALSE)</f>
        <v>-</v>
      </c>
      <c r="S17" s="266">
        <f>_xlfn.XLOOKUP(E17,'All Products'!D:D,'All Products'!M:M,FALSE)</f>
        <v>40049081139214</v>
      </c>
      <c r="T17" s="265">
        <f>_xlfn.XLOOKUP(E17,'All Products'!D:D,'All Products'!N:N,FALSE)</f>
        <v>0.248</v>
      </c>
      <c r="U17" s="266" t="str">
        <f>_xlfn.XLOOKUP(E17,'All Products'!D:D,'All Products'!O:O,FALSE)</f>
        <v>-</v>
      </c>
      <c r="V17" s="265">
        <f>_xlfn.XLOOKUP(E17,'All Products'!D:D,'All Products'!P:P,FALSE)</f>
        <v>4.37</v>
      </c>
      <c r="W17" s="265">
        <f>_xlfn.XLOOKUP(E17,'All Products'!D:D,'All Products'!Q:Q,FALSE)</f>
        <v>0.31</v>
      </c>
    </row>
    <row r="18" spans="1:23" ht="69.900000000000006" customHeight="1">
      <c r="A18" s="101" t="str">
        <f>IF(K18&gt;0,COUNT($A$8:A17)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18" s="616"/>
      <c r="C18" s="617"/>
      <c r="D18" s="274" t="str">
        <f>_xlfn.XLOOKUP(E18,'All Products'!D:D,'All Products'!C:C,FALSE)</f>
        <v>329-007</v>
      </c>
      <c r="E18" s="103">
        <v>100026347</v>
      </c>
      <c r="F18" s="144" t="str">
        <f>_xlfn.XLOOKUP(E18,'All Products'!D:D,'All Products'!E:E,FALSE)</f>
        <v>COUPLING 3/4 SLIP/1 SWVL MANIFOLD</v>
      </c>
      <c r="G18" s="103">
        <f>_xlfn.XLOOKUP(Manifold!E18,'All Products'!D:D,'All Products'!F:F,FALSE)</f>
        <v>50</v>
      </c>
      <c r="H18" s="103">
        <f>_xlfn.XLOOKUP(E18,'All Products'!D:D,'All Products'!G:G,FALSE)</f>
        <v>13500</v>
      </c>
      <c r="I18" s="142">
        <f>_xlfn.XLOOKUP(E18,'All Products'!D:D,'All Products'!H:H,FALSE)</f>
        <v>10.37</v>
      </c>
      <c r="J18" s="173">
        <f>ROUNDUP(I18*Order_Quote!$L$22,2)</f>
        <v>10.37</v>
      </c>
      <c r="K18" s="75"/>
      <c r="L18" s="113"/>
      <c r="M18" s="171">
        <f t="shared" si="0"/>
        <v>0</v>
      </c>
      <c r="O18" s="215" t="str">
        <f>_xlfn.XLOOKUP(E18,'All Products'!D:D,'All Products'!I:I,FALSE)</f>
        <v>Within 3 Weeks</v>
      </c>
      <c r="P18" s="215" t="str">
        <f>_xlfn.XLOOKUP(E18,'All Products'!D:D,'All Products'!J:J,FALSE)</f>
        <v>Manufactured</v>
      </c>
      <c r="Q18" s="508">
        <f>_xlfn.XLOOKUP(E18,'All Products'!D:D,'All Products'!K:K,FALSE)</f>
        <v>49081132347</v>
      </c>
      <c r="R18" s="266" t="str">
        <f>_xlfn.XLOOKUP(E18,'All Products'!D:D,'All Products'!L:L,FALSE)</f>
        <v>-</v>
      </c>
      <c r="S18" s="266">
        <f>_xlfn.XLOOKUP(E18,'All Products'!D:D,'All Products'!M:M,FALSE)</f>
        <v>40049081132345</v>
      </c>
      <c r="T18" s="265">
        <f>_xlfn.XLOOKUP(E18,'All Products'!D:D,'All Products'!N:N,FALSE)</f>
        <v>0.106</v>
      </c>
      <c r="U18" s="266" t="str">
        <f>_xlfn.XLOOKUP(E18,'All Products'!D:D,'All Products'!O:O,FALSE)</f>
        <v>-</v>
      </c>
      <c r="V18" s="265">
        <f>_xlfn.XLOOKUP(E18,'All Products'!D:D,'All Products'!P:P,FALSE)</f>
        <v>5.7249999999999996</v>
      </c>
      <c r="W18" s="265">
        <f>_xlfn.XLOOKUP(E18,'All Products'!D:D,'All Products'!Q:Q,FALSE)</f>
        <v>0.31</v>
      </c>
    </row>
    <row r="19" spans="1:23" ht="69.900000000000006" customHeight="1">
      <c r="A19" s="101" t="str">
        <f>IF(K19&gt;0,COUNT($A$8:A18)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19" s="616"/>
      <c r="C19" s="617"/>
      <c r="D19" s="274" t="str">
        <f>_xlfn.XLOOKUP(E19,'All Products'!D:D,'All Products'!C:C,FALSE)</f>
        <v>329-010</v>
      </c>
      <c r="E19" s="103">
        <v>100026349</v>
      </c>
      <c r="F19" s="144" t="str">
        <f>_xlfn.XLOOKUP(E19,'All Products'!D:D,'All Products'!E:E,FALSE)</f>
        <v>1 COUPL SWVL/SWVL MANIFOLD</v>
      </c>
      <c r="G19" s="103">
        <f>_xlfn.XLOOKUP(Manifold!E19,'All Products'!D:D,'All Products'!F:F,FALSE)</f>
        <v>50</v>
      </c>
      <c r="H19" s="103">
        <f>_xlfn.XLOOKUP(E19,'All Products'!D:D,'All Products'!G:G,FALSE)</f>
        <v>13500</v>
      </c>
      <c r="I19" s="142">
        <f>_xlfn.XLOOKUP(E19,'All Products'!D:D,'All Products'!H:H,FALSE)</f>
        <v>12.72</v>
      </c>
      <c r="J19" s="173">
        <f>ROUNDUP(I19*Order_Quote!$L$22,2)</f>
        <v>12.72</v>
      </c>
      <c r="K19" s="75"/>
      <c r="L19" s="113"/>
      <c r="M19" s="171">
        <f t="shared" si="0"/>
        <v>0</v>
      </c>
      <c r="O19" s="215" t="str">
        <f>_xlfn.XLOOKUP(E19,'All Products'!D:D,'All Products'!I:I,FALSE)</f>
        <v>In Stock</v>
      </c>
      <c r="P19" s="215" t="str">
        <f>_xlfn.XLOOKUP(E19,'All Products'!D:D,'All Products'!J:J,FALSE)</f>
        <v>Manufactured</v>
      </c>
      <c r="Q19" s="508">
        <f>_xlfn.XLOOKUP(E19,'All Products'!D:D,'All Products'!K:K,FALSE)</f>
        <v>49081138769</v>
      </c>
      <c r="R19" s="266" t="str">
        <f>_xlfn.XLOOKUP(E19,'All Products'!D:D,'All Products'!L:L,FALSE)</f>
        <v>-</v>
      </c>
      <c r="S19" s="266">
        <f>_xlfn.XLOOKUP(E19,'All Products'!D:D,'All Products'!M:M,FALSE)</f>
        <v>40049081138767</v>
      </c>
      <c r="T19" s="265">
        <f>_xlfn.XLOOKUP(E19,'All Products'!D:D,'All Products'!N:N,FALSE)</f>
        <v>0.13</v>
      </c>
      <c r="U19" s="266" t="str">
        <f>_xlfn.XLOOKUP(E19,'All Products'!D:D,'All Products'!O:O,FALSE)</f>
        <v>-</v>
      </c>
      <c r="V19" s="265">
        <f>_xlfn.XLOOKUP(E19,'All Products'!D:D,'All Products'!P:P,FALSE)</f>
        <v>6.9249999999999998</v>
      </c>
      <c r="W19" s="265">
        <f>_xlfn.XLOOKUP(E19,'All Products'!D:D,'All Products'!Q:Q,FALSE)</f>
        <v>0.31</v>
      </c>
    </row>
    <row r="20" spans="1:23" ht="69.900000000000006" customHeight="1">
      <c r="A20" s="101" t="str">
        <f>IF(K20&gt;0,COUNT($A$8:A19)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20" s="616"/>
      <c r="C20" s="617"/>
      <c r="D20" s="274" t="str">
        <f>_xlfn.XLOOKUP(E20,'All Products'!D:D,'All Products'!C:C,FALSE)</f>
        <v>329-011</v>
      </c>
      <c r="E20" s="103">
        <v>100026350</v>
      </c>
      <c r="F20" s="144" t="str">
        <f>_xlfn.XLOOKUP(E20,'All Products'!D:D,'All Products'!E:E,FALSE)</f>
        <v>1 COUPL SL/SWVL MANIFOLD</v>
      </c>
      <c r="G20" s="103">
        <f>_xlfn.XLOOKUP(Manifold!E20,'All Products'!D:D,'All Products'!F:F,FALSE)</f>
        <v>40</v>
      </c>
      <c r="H20" s="103">
        <f>_xlfn.XLOOKUP(E20,'All Products'!D:D,'All Products'!G:G,FALSE)</f>
        <v>10800</v>
      </c>
      <c r="I20" s="142">
        <f>_xlfn.XLOOKUP(E20,'All Products'!D:D,'All Products'!H:H,FALSE)</f>
        <v>10.37</v>
      </c>
      <c r="J20" s="173">
        <f>ROUNDUP(I20*Order_Quote!$L$22,2)</f>
        <v>10.37</v>
      </c>
      <c r="K20" s="75"/>
      <c r="L20" s="113"/>
      <c r="M20" s="171">
        <f t="shared" si="0"/>
        <v>0</v>
      </c>
      <c r="O20" s="215" t="str">
        <f>_xlfn.XLOOKUP(E20,'All Products'!D:D,'All Products'!I:I,FALSE)</f>
        <v>In Stock</v>
      </c>
      <c r="P20" s="215" t="str">
        <f>_xlfn.XLOOKUP(E20,'All Products'!D:D,'All Products'!J:J,FALSE)</f>
        <v>Manufactured</v>
      </c>
      <c r="Q20" s="508">
        <f>_xlfn.XLOOKUP(E20,'All Products'!D:D,'All Products'!K:K,FALSE)</f>
        <v>49081138783</v>
      </c>
      <c r="R20" s="266">
        <f>_xlfn.XLOOKUP(E20,'All Products'!D:D,'All Products'!L:L,FALSE)</f>
        <v>49081638788</v>
      </c>
      <c r="S20" s="266">
        <f>_xlfn.XLOOKUP(E20,'All Products'!D:D,'All Products'!M:M,FALSE)</f>
        <v>40049081138781</v>
      </c>
      <c r="T20" s="265">
        <f>_xlfn.XLOOKUP(E20,'All Products'!D:D,'All Products'!N:N,FALSE)</f>
        <v>0.11899999999999999</v>
      </c>
      <c r="U20" s="266" t="str">
        <f>_xlfn.XLOOKUP(E20,'All Products'!D:D,'All Products'!O:O,FALSE)</f>
        <v>-</v>
      </c>
      <c r="V20" s="265">
        <f>_xlfn.XLOOKUP(E20,'All Products'!D:D,'All Products'!P:P,FALSE)</f>
        <v>5.4249999999999998</v>
      </c>
      <c r="W20" s="265">
        <f>_xlfn.XLOOKUP(E20,'All Products'!D:D,'All Products'!Q:Q,FALSE)</f>
        <v>0.31</v>
      </c>
    </row>
    <row r="21" spans="1:23" ht="69.900000000000006" customHeight="1">
      <c r="A21" s="101" t="str">
        <f>IF(K21&gt;0,COUNT($A$8:A20)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21" s="616"/>
      <c r="C21" s="617"/>
      <c r="D21" s="274" t="str">
        <f>_xlfn.XLOOKUP(E21,'All Products'!D:D,'All Products'!C:C,FALSE)</f>
        <v>332-010</v>
      </c>
      <c r="E21" s="103">
        <v>100026353</v>
      </c>
      <c r="F21" s="144" t="str">
        <f>_xlfn.XLOOKUP(E21,'All Products'!D:D,'All Products'!E:E,FALSE)</f>
        <v>1 MA SWVL/O-RING MPT MANIFOLD</v>
      </c>
      <c r="G21" s="103">
        <f>_xlfn.XLOOKUP(Manifold!E21,'All Products'!D:D,'All Products'!F:F,FALSE)</f>
        <v>50</v>
      </c>
      <c r="H21" s="103">
        <f>_xlfn.XLOOKUP(E21,'All Products'!D:D,'All Products'!G:G,FALSE)</f>
        <v>13500</v>
      </c>
      <c r="I21" s="142">
        <f>_xlfn.XLOOKUP(E21,'All Products'!D:D,'All Products'!H:H,FALSE)</f>
        <v>11.67</v>
      </c>
      <c r="J21" s="173">
        <f>ROUNDUP(I21*Order_Quote!$L$22,2)</f>
        <v>11.67</v>
      </c>
      <c r="K21" s="75"/>
      <c r="L21" s="113"/>
      <c r="M21" s="171">
        <f t="shared" si="0"/>
        <v>0</v>
      </c>
      <c r="O21" s="215" t="str">
        <f>_xlfn.XLOOKUP(E21,'All Products'!D:D,'All Products'!I:I,FALSE)</f>
        <v>In Stock</v>
      </c>
      <c r="P21" s="215" t="str">
        <f>_xlfn.XLOOKUP(E21,'All Products'!D:D,'All Products'!J:J,FALSE)</f>
        <v>Manufactured</v>
      </c>
      <c r="Q21" s="508">
        <f>_xlfn.XLOOKUP(E21,'All Products'!D:D,'All Products'!K:K,FALSE)</f>
        <v>49081132309</v>
      </c>
      <c r="R21" s="266">
        <f>_xlfn.XLOOKUP(E21,'All Products'!D:D,'All Products'!L:L,FALSE)</f>
        <v>49081632304</v>
      </c>
      <c r="S21" s="266">
        <f>_xlfn.XLOOKUP(E21,'All Products'!D:D,'All Products'!M:M,FALSE)</f>
        <v>40049081132307</v>
      </c>
      <c r="T21" s="265">
        <f>_xlfn.XLOOKUP(E21,'All Products'!D:D,'All Products'!N:N,FALSE)</f>
        <v>0.108</v>
      </c>
      <c r="U21" s="266">
        <f>_xlfn.XLOOKUP(E21,'All Products'!D:D,'All Products'!O:O,FALSE)</f>
        <v>25</v>
      </c>
      <c r="V21" s="265">
        <f>_xlfn.XLOOKUP(E21,'All Products'!D:D,'All Products'!P:P,FALSE)</f>
        <v>6.1749999999999998</v>
      </c>
      <c r="W21" s="265">
        <f>_xlfn.XLOOKUP(E21,'All Products'!D:D,'All Products'!Q:Q,FALSE)</f>
        <v>0.31</v>
      </c>
    </row>
    <row r="22" spans="1:23" ht="69.900000000000006" customHeight="1">
      <c r="A22" s="101" t="str">
        <f>IF(K22&gt;0,COUNT($A$8:A21)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22" s="616"/>
      <c r="C22" s="617"/>
      <c r="D22" s="274" t="str">
        <f>_xlfn.XLOOKUP(E22,'All Products'!D:D,'All Products'!C:C,FALSE)</f>
        <v>334-010</v>
      </c>
      <c r="E22" s="103">
        <v>100026356</v>
      </c>
      <c r="F22" s="144" t="str">
        <f>_xlfn.XLOOKUP(E22,'All Products'!D:D,'All Products'!E:E,FALSE)</f>
        <v>1 MA SWVL/MPT MANIFOLD</v>
      </c>
      <c r="G22" s="103">
        <f>_xlfn.XLOOKUP(Manifold!E22,'All Products'!D:D,'All Products'!F:F,FALSE)</f>
        <v>50</v>
      </c>
      <c r="H22" s="103">
        <f>_xlfn.XLOOKUP(E22,'All Products'!D:D,'All Products'!G:G,FALSE)</f>
        <v>13500</v>
      </c>
      <c r="I22" s="142">
        <f>_xlfn.XLOOKUP(E22,'All Products'!D:D,'All Products'!H:H,FALSE)</f>
        <v>11.24</v>
      </c>
      <c r="J22" s="173">
        <f>ROUNDUP(I22*Order_Quote!$L$22,2)</f>
        <v>11.24</v>
      </c>
      <c r="K22" s="75"/>
      <c r="L22" s="113"/>
      <c r="M22" s="171">
        <f t="shared" si="0"/>
        <v>0</v>
      </c>
      <c r="O22" s="215" t="str">
        <f>_xlfn.XLOOKUP(E22,'All Products'!D:D,'All Products'!I:I,FALSE)</f>
        <v>In Stock</v>
      </c>
      <c r="P22" s="215" t="str">
        <f>_xlfn.XLOOKUP(E22,'All Products'!D:D,'All Products'!J:J,FALSE)</f>
        <v>Manufactured</v>
      </c>
      <c r="Q22" s="508">
        <f>_xlfn.XLOOKUP(E22,'All Products'!D:D,'All Products'!K:K,FALSE)</f>
        <v>49081132316</v>
      </c>
      <c r="R22" s="266">
        <f>_xlfn.XLOOKUP(E22,'All Products'!D:D,'All Products'!L:L,FALSE)</f>
        <v>49081632311</v>
      </c>
      <c r="S22" s="266">
        <f>_xlfn.XLOOKUP(E22,'All Products'!D:D,'All Products'!M:M,FALSE)</f>
        <v>40049081132314</v>
      </c>
      <c r="T22" s="265">
        <f>_xlfn.XLOOKUP(E22,'All Products'!D:D,'All Products'!N:N,FALSE)</f>
        <v>9.2999999999999999E-2</v>
      </c>
      <c r="U22" s="266">
        <f>_xlfn.XLOOKUP(E22,'All Products'!D:D,'All Products'!O:O,FALSE)</f>
        <v>25</v>
      </c>
      <c r="V22" s="265">
        <f>_xlfn.XLOOKUP(E22,'All Products'!D:D,'All Products'!P:P,FALSE)</f>
        <v>5.125</v>
      </c>
      <c r="W22" s="265">
        <f>_xlfn.XLOOKUP(E22,'All Products'!D:D,'All Products'!Q:Q,FALSE)</f>
        <v>0.31</v>
      </c>
    </row>
    <row r="23" spans="1:23" ht="69.900000000000006" customHeight="1">
      <c r="A23" s="101" t="str">
        <f>IF(K23&gt;0,COUNT($A$8:A22)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23" s="616"/>
      <c r="C23" s="617"/>
      <c r="D23" s="274" t="str">
        <f>_xlfn.XLOOKUP(E23,'All Products'!D:D,'All Products'!C:C,FALSE)</f>
        <v>335-007</v>
      </c>
      <c r="E23" s="103">
        <v>100026359</v>
      </c>
      <c r="F23" s="144" t="str">
        <f>_xlfn.XLOOKUP(E23,'All Products'!D:D,'All Products'!E:E,FALSE)</f>
        <v>1 SWVL X 3/4 INSERT MANFLD</v>
      </c>
      <c r="G23" s="103">
        <f>_xlfn.XLOOKUP(Manifold!E23,'All Products'!D:D,'All Products'!F:F,FALSE)</f>
        <v>50</v>
      </c>
      <c r="H23" s="103">
        <f>_xlfn.XLOOKUP(E23,'All Products'!D:D,'All Products'!G:G,FALSE)</f>
        <v>13500</v>
      </c>
      <c r="I23" s="142">
        <f>_xlfn.XLOOKUP(E23,'All Products'!D:D,'All Products'!H:H,FALSE)</f>
        <v>9.6999999999999993</v>
      </c>
      <c r="J23" s="173">
        <f>ROUNDUP(I23*Order_Quote!$L$22,2)</f>
        <v>9.6999999999999993</v>
      </c>
      <c r="K23" s="75"/>
      <c r="L23" s="113"/>
      <c r="M23" s="171">
        <f t="shared" si="0"/>
        <v>0</v>
      </c>
      <c r="O23" s="215" t="str">
        <f>_xlfn.XLOOKUP(E23,'All Products'!D:D,'All Products'!I:I,FALSE)</f>
        <v>In Stock</v>
      </c>
      <c r="P23" s="215" t="str">
        <f>_xlfn.XLOOKUP(E23,'All Products'!D:D,'All Products'!J:J,FALSE)</f>
        <v>Manufactured</v>
      </c>
      <c r="Q23" s="508">
        <f>_xlfn.XLOOKUP(E23,'All Products'!D:D,'All Products'!K:K,FALSE)</f>
        <v>49081142810</v>
      </c>
      <c r="R23" s="266">
        <f>_xlfn.XLOOKUP(E23,'All Products'!D:D,'All Products'!L:L,FALSE)</f>
        <v>49081642815</v>
      </c>
      <c r="S23" s="266">
        <f>_xlfn.XLOOKUP(E23,'All Products'!D:D,'All Products'!M:M,FALSE)</f>
        <v>40049081142818</v>
      </c>
      <c r="T23" s="265">
        <f>_xlfn.XLOOKUP(E23,'All Products'!D:D,'All Products'!N:N,FALSE)</f>
        <v>8.8999999999999996E-2</v>
      </c>
      <c r="U23" s="266">
        <f>_xlfn.XLOOKUP(E23,'All Products'!D:D,'All Products'!O:O,FALSE)</f>
        <v>25</v>
      </c>
      <c r="V23" s="265">
        <f>_xlfn.XLOOKUP(E23,'All Products'!D:D,'All Products'!P:P,FALSE)</f>
        <v>4.9249999999999998</v>
      </c>
      <c r="W23" s="265">
        <f>_xlfn.XLOOKUP(E23,'All Products'!D:D,'All Products'!Q:Q,FALSE)</f>
        <v>0.31</v>
      </c>
    </row>
    <row r="24" spans="1:23" ht="69.900000000000006" customHeight="1">
      <c r="A24" s="101" t="str">
        <f>IF(K24&gt;0,COUNT($A$8:A23)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24" s="616"/>
      <c r="C24" s="617"/>
      <c r="D24" s="274" t="str">
        <f>_xlfn.XLOOKUP(E24,'All Products'!D:D,'All Products'!C:C,FALSE)</f>
        <v>335-010</v>
      </c>
      <c r="E24" s="103">
        <v>100026360</v>
      </c>
      <c r="F24" s="144" t="str">
        <f>_xlfn.XLOOKUP(E24,'All Products'!D:D,'All Products'!E:E,FALSE)</f>
        <v>1 SWVL X 1 INSERT MANFLD</v>
      </c>
      <c r="G24" s="103">
        <f>_xlfn.XLOOKUP(Manifold!E24,'All Products'!D:D,'All Products'!F:F,FALSE)</f>
        <v>50</v>
      </c>
      <c r="H24" s="103">
        <f>_xlfn.XLOOKUP(E24,'All Products'!D:D,'All Products'!G:G,FALSE)</f>
        <v>13500</v>
      </c>
      <c r="I24" s="142">
        <f>_xlfn.XLOOKUP(E24,'All Products'!D:D,'All Products'!H:H,FALSE)</f>
        <v>9.8699999999999992</v>
      </c>
      <c r="J24" s="173">
        <f>ROUNDUP(I24*Order_Quote!$L$22,2)</f>
        <v>9.8699999999999992</v>
      </c>
      <c r="K24" s="75"/>
      <c r="L24" s="113"/>
      <c r="M24" s="171">
        <f t="shared" si="0"/>
        <v>0</v>
      </c>
      <c r="O24" s="215" t="str">
        <f>_xlfn.XLOOKUP(E24,'All Products'!D:D,'All Products'!I:I,FALSE)</f>
        <v>In Stock</v>
      </c>
      <c r="P24" s="215" t="str">
        <f>_xlfn.XLOOKUP(E24,'All Products'!D:D,'All Products'!J:J,FALSE)</f>
        <v>Manufactured</v>
      </c>
      <c r="Q24" s="508">
        <f>_xlfn.XLOOKUP(E24,'All Products'!D:D,'All Products'!K:K,FALSE)</f>
        <v>49081142827</v>
      </c>
      <c r="R24" s="266">
        <f>_xlfn.XLOOKUP(E24,'All Products'!D:D,'All Products'!L:L,FALSE)</f>
        <v>49081642822</v>
      </c>
      <c r="S24" s="266">
        <f>_xlfn.XLOOKUP(E24,'All Products'!D:D,'All Products'!M:M,FALSE)</f>
        <v>40049081142825</v>
      </c>
      <c r="T24" s="265">
        <f>_xlfn.XLOOKUP(E24,'All Products'!D:D,'All Products'!N:N,FALSE)</f>
        <v>0.109</v>
      </c>
      <c r="U24" s="266">
        <f>_xlfn.XLOOKUP(E24,'All Products'!D:D,'All Products'!O:O,FALSE)</f>
        <v>25</v>
      </c>
      <c r="V24" s="265">
        <f>_xlfn.XLOOKUP(E24,'All Products'!D:D,'All Products'!P:P,FALSE)</f>
        <v>5.9249999999999998</v>
      </c>
      <c r="W24" s="265">
        <f>_xlfn.XLOOKUP(E24,'All Products'!D:D,'All Products'!Q:Q,FALSE)</f>
        <v>0.31</v>
      </c>
    </row>
    <row r="25" spans="1:23" ht="69.900000000000006" customHeight="1">
      <c r="A25" s="101" t="str">
        <f>IF(K25&gt;0,COUNT($A$8:A24)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25" s="616"/>
      <c r="C25" s="617"/>
      <c r="D25" s="274" t="str">
        <f>_xlfn.XLOOKUP(E25,'All Products'!D:D,'All Products'!C:C,FALSE)</f>
        <v>348-010</v>
      </c>
      <c r="E25" s="176">
        <v>100026361</v>
      </c>
      <c r="F25" s="144" t="str">
        <f>_xlfn.XLOOKUP(E25,'All Products'!D:D,'All Products'!E:E,FALSE)</f>
        <v>1 CAP FPT W/O-RING, MANIFOLD</v>
      </c>
      <c r="G25" s="103">
        <f>_xlfn.XLOOKUP(Manifold!E25,'All Products'!D:D,'All Products'!F:F,FALSE)</f>
        <v>100</v>
      </c>
      <c r="H25" s="103">
        <f>_xlfn.XLOOKUP(E25,'All Products'!D:D,'All Products'!G:G,FALSE)</f>
        <v>27000</v>
      </c>
      <c r="I25" s="142">
        <f>_xlfn.XLOOKUP(E25,'All Products'!D:D,'All Products'!H:H,FALSE)</f>
        <v>3.92</v>
      </c>
      <c r="J25" s="173">
        <f>ROUNDUP(I25*Order_Quote!$L$22,2)</f>
        <v>3.92</v>
      </c>
      <c r="K25" s="75"/>
      <c r="L25" s="113"/>
      <c r="M25" s="171">
        <f t="shared" si="0"/>
        <v>0</v>
      </c>
      <c r="O25" s="215" t="str">
        <f>_xlfn.XLOOKUP(E25,'All Products'!D:D,'All Products'!I:I,FALSE)</f>
        <v>In Stock</v>
      </c>
      <c r="P25" s="215" t="str">
        <f>_xlfn.XLOOKUP(E25,'All Products'!D:D,'All Products'!J:J,FALSE)</f>
        <v>Manufactured</v>
      </c>
      <c r="Q25" s="508">
        <f>_xlfn.XLOOKUP(E25,'All Products'!D:D,'All Products'!K:K,FALSE)</f>
        <v>49081137373</v>
      </c>
      <c r="R25" s="266">
        <f>_xlfn.XLOOKUP(E25,'All Products'!D:D,'All Products'!L:L,FALSE)</f>
        <v>49081637378</v>
      </c>
      <c r="S25" s="266">
        <f>_xlfn.XLOOKUP(E25,'All Products'!D:D,'All Products'!M:M,FALSE)</f>
        <v>40049081137371</v>
      </c>
      <c r="T25" s="265">
        <f>_xlfn.XLOOKUP(E25,'All Products'!D:D,'All Products'!N:N,FALSE)</f>
        <v>6.4000000000000001E-2</v>
      </c>
      <c r="U25" s="266">
        <f>_xlfn.XLOOKUP(E25,'All Products'!D:D,'All Products'!O:O,FALSE)</f>
        <v>25</v>
      </c>
      <c r="V25" s="265">
        <f>_xlfn.XLOOKUP(E25,'All Products'!D:D,'All Products'!P:P,FALSE)</f>
        <v>6.4249999999999998</v>
      </c>
      <c r="W25" s="265">
        <f>_xlfn.XLOOKUP(E25,'All Products'!D:D,'All Products'!Q:Q,FALSE)</f>
        <v>0.31</v>
      </c>
    </row>
    <row r="26" spans="1:23" ht="69.900000000000006" customHeight="1">
      <c r="A26" s="101" t="str">
        <f>IF(K26&gt;0,COUNT($A$8:A25)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26" s="616"/>
      <c r="C26" s="617"/>
      <c r="D26" s="274" t="str">
        <f>_xlfn.XLOOKUP(E26,'All Products'!D:D,'All Products'!C:C,FALSE)</f>
        <v>Z08303</v>
      </c>
      <c r="E26" s="103">
        <v>100026333</v>
      </c>
      <c r="F26" s="144" t="str">
        <f>_xlfn.XLOOKUP(E26,'All Products'!D:D,'All Products'!E:E,FALSE)</f>
        <v>1 NIPPLE FOR PLAS THD/GY MANIFOLD</v>
      </c>
      <c r="G26" s="103">
        <f>_xlfn.XLOOKUP(Manifold!E26,'All Products'!D:D,'All Products'!F:F,FALSE)</f>
        <v>75</v>
      </c>
      <c r="H26" s="103">
        <f>_xlfn.XLOOKUP(E26,'All Products'!D:D,'All Products'!G:G,FALSE)</f>
        <v>20250</v>
      </c>
      <c r="I26" s="142">
        <f>_xlfn.XLOOKUP(E26,'All Products'!D:D,'All Products'!H:H,FALSE)</f>
        <v>4.1399999999999997</v>
      </c>
      <c r="J26" s="173">
        <f>ROUNDUP(I26*Order_Quote!$L$22,2)</f>
        <v>4.1399999999999997</v>
      </c>
      <c r="K26" s="75"/>
      <c r="L26" s="113"/>
      <c r="M26" s="171">
        <f t="shared" si="0"/>
        <v>0</v>
      </c>
      <c r="O26" s="215" t="str">
        <f>_xlfn.XLOOKUP(E26,'All Products'!D:D,'All Products'!I:I,FALSE)</f>
        <v>In Stock</v>
      </c>
      <c r="P26" s="215" t="str">
        <f>_xlfn.XLOOKUP(E26,'All Products'!D:D,'All Products'!J:J,FALSE)</f>
        <v>Manufactured</v>
      </c>
      <c r="Q26" s="508">
        <f>_xlfn.XLOOKUP(E26,'All Products'!D:D,'All Products'!K:K,FALSE)</f>
        <v>49081118792</v>
      </c>
      <c r="R26" s="266">
        <f>_xlfn.XLOOKUP(E26,'All Products'!D:D,'All Products'!L:L,FALSE)</f>
        <v>49081118792</v>
      </c>
      <c r="S26" s="266">
        <f>_xlfn.XLOOKUP(E26,'All Products'!D:D,'All Products'!M:M,FALSE)</f>
        <v>40049081118790</v>
      </c>
      <c r="T26" s="265">
        <f>_xlfn.XLOOKUP(E26,'All Products'!D:D,'All Products'!N:N,FALSE)</f>
        <v>7.0999999999999994E-2</v>
      </c>
      <c r="U26" s="266">
        <f>_xlfn.XLOOKUP(E26,'All Products'!D:D,'All Products'!O:O,FALSE)</f>
        <v>25</v>
      </c>
      <c r="V26" s="265">
        <f>_xlfn.XLOOKUP(E26,'All Products'!D:D,'All Products'!P:P,FALSE)</f>
        <v>6.05</v>
      </c>
      <c r="W26" s="265">
        <f>_xlfn.XLOOKUP(E26,'All Products'!D:D,'All Products'!Q:Q,FALSE)</f>
        <v>0.31</v>
      </c>
    </row>
    <row r="27" spans="1:23" ht="69.900000000000006" customHeight="1" thickBot="1">
      <c r="A27" s="101" t="str">
        <f>IF(K27&gt;0,COUNT($A$8:A26)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27" s="710"/>
      <c r="C27" s="711"/>
      <c r="D27" s="274" t="str">
        <f>_xlfn.XLOOKUP(E27,'All Products'!D:D,'All Products'!C:C,FALSE)</f>
        <v>08303-131</v>
      </c>
      <c r="E27" s="103">
        <v>100026334</v>
      </c>
      <c r="F27" s="144" t="str">
        <f>_xlfn.XLOOKUP(E27,'All Products'!D:D,'All Products'!E:E,FALSE)</f>
        <v>1X3/4 NIPPLE FPR PLAS THD/GY MANIFOLD</v>
      </c>
      <c r="G27" s="103">
        <f>_xlfn.XLOOKUP(Manifold!E27,'All Products'!D:D,'All Products'!F:F,FALSE)</f>
        <v>75</v>
      </c>
      <c r="H27" s="103">
        <f>_xlfn.XLOOKUP(E27,'All Products'!D:D,'All Products'!G:G,FALSE)</f>
        <v>20250</v>
      </c>
      <c r="I27" s="142">
        <f>_xlfn.XLOOKUP(E27,'All Products'!D:D,'All Products'!H:H,FALSE)</f>
        <v>4.63</v>
      </c>
      <c r="J27" s="173">
        <f>ROUNDUP(I27*Order_Quote!$L$22,2)</f>
        <v>4.63</v>
      </c>
      <c r="K27" s="75"/>
      <c r="L27" s="113"/>
      <c r="M27" s="171">
        <f t="shared" si="0"/>
        <v>0</v>
      </c>
      <c r="O27" s="567" t="str">
        <f>_xlfn.XLOOKUP(E27,'All Products'!D:D,'All Products'!I:I,FALSE)</f>
        <v>In Stock</v>
      </c>
      <c r="P27" s="567" t="str">
        <f>_xlfn.XLOOKUP(E27,'All Products'!D:D,'All Products'!J:J,FALSE)</f>
        <v>Manufactured</v>
      </c>
      <c r="Q27" s="568">
        <f>_xlfn.XLOOKUP(E27,'All Products'!D:D,'All Products'!K:K,FALSE)</f>
        <v>49081118839</v>
      </c>
      <c r="R27" s="569">
        <f>_xlfn.XLOOKUP(E27,'All Products'!D:D,'All Products'!L:L,FALSE)</f>
        <v>49081618834</v>
      </c>
      <c r="S27" s="569">
        <f>_xlfn.XLOOKUP(E27,'All Products'!D:D,'All Products'!M:M,FALSE)</f>
        <v>40049081118837</v>
      </c>
      <c r="T27" s="570">
        <f>_xlfn.XLOOKUP(E27,'All Products'!D:D,'All Products'!N:N,FALSE)</f>
        <v>7.0999999999999994E-2</v>
      </c>
      <c r="U27" s="569">
        <f>_xlfn.XLOOKUP(E27,'All Products'!D:D,'All Products'!O:O,FALSE)</f>
        <v>25</v>
      </c>
      <c r="V27" s="570">
        <f>_xlfn.XLOOKUP(E27,'All Products'!D:D,'All Products'!P:P,FALSE)</f>
        <v>5.3</v>
      </c>
      <c r="W27" s="570">
        <f>_xlfn.XLOOKUP(E27,'All Products'!D:D,'All Products'!Q:Q,FALSE)</f>
        <v>0.31</v>
      </c>
    </row>
    <row r="28" spans="1:23" ht="16.2" thickBot="1">
      <c r="A28" s="101" t="str">
        <f>IF(K28&gt;0,COUNT($A$8:A27)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28" s="446" t="s">
        <v>2351</v>
      </c>
      <c r="C28" s="151"/>
      <c r="D28" s="151"/>
      <c r="E28" s="459"/>
      <c r="F28" s="151"/>
      <c r="G28" s="468"/>
      <c r="H28" s="151"/>
      <c r="I28" s="472"/>
      <c r="J28" s="468"/>
      <c r="K28" s="566"/>
      <c r="M28" s="545"/>
      <c r="O28" s="357"/>
      <c r="P28" s="145"/>
      <c r="Q28" s="493"/>
      <c r="R28" s="493"/>
      <c r="S28" s="493"/>
      <c r="T28" s="479"/>
      <c r="U28" s="459"/>
      <c r="V28" s="481"/>
      <c r="W28" s="358"/>
    </row>
    <row r="29" spans="1:23" ht="39.75" customHeight="1">
      <c r="A29" s="101" t="str">
        <f>IF(K29&gt;0,COUNT($A$8:A28)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29" s="682"/>
      <c r="C29" s="683"/>
      <c r="D29" s="274" t="str">
        <f>_xlfn.XLOOKUP(E29,'All Products'!D:D,'All Products'!C:C,FALSE)</f>
        <v>332-015</v>
      </c>
      <c r="E29" s="103">
        <v>100026354</v>
      </c>
      <c r="F29" s="144" t="str">
        <f>_xlfn.XLOOKUP(E29,'All Products'!D:D,'All Products'!E:E,FALSE)</f>
        <v>1-1/2 MA MPT/SWVL MANIFOLD</v>
      </c>
      <c r="G29" s="103">
        <f>_xlfn.XLOOKUP(Manifold!E29,'All Products'!D:D,'All Products'!F:F,FALSE)</f>
        <v>20</v>
      </c>
      <c r="H29" s="103">
        <f>_xlfn.XLOOKUP(E29,'All Products'!D:D,'All Products'!G:G,FALSE)</f>
        <v>5400</v>
      </c>
      <c r="I29" s="142">
        <f>_xlfn.XLOOKUP(E29,'All Products'!D:D,'All Products'!H:H,FALSE)</f>
        <v>18.420000000000002</v>
      </c>
      <c r="J29" s="173">
        <f>ROUNDUP(I29*Order_Quote!$L$22,2)</f>
        <v>18.420000000000002</v>
      </c>
      <c r="K29" s="75"/>
      <c r="L29" s="113"/>
      <c r="M29" s="171">
        <f>K29/G29</f>
        <v>0</v>
      </c>
      <c r="O29" s="215" t="str">
        <f>_xlfn.XLOOKUP(E29,'All Products'!D:D,'All Products'!I:I,FALSE)</f>
        <v>In Stock</v>
      </c>
      <c r="P29" s="215" t="str">
        <f>_xlfn.XLOOKUP(E29,'All Products'!D:D,'All Products'!J:J,FALSE)</f>
        <v>Manufactured</v>
      </c>
      <c r="Q29" s="508">
        <f>_xlfn.XLOOKUP(E29,'All Products'!D:D,'All Products'!K:K,FALSE)</f>
        <v>49081132286</v>
      </c>
      <c r="R29" s="266" t="str">
        <f>_xlfn.XLOOKUP(E29,'All Products'!D:D,'All Products'!L:L,FALSE)</f>
        <v>-</v>
      </c>
      <c r="S29" s="266">
        <f>_xlfn.XLOOKUP(E29,'All Products'!D:D,'All Products'!M:M,FALSE)</f>
        <v>40049081132284</v>
      </c>
      <c r="T29" s="265">
        <f>_xlfn.XLOOKUP(E29,'All Products'!D:D,'All Products'!N:N,FALSE)</f>
        <v>0.20100000000000001</v>
      </c>
      <c r="U29" s="266" t="str">
        <f>_xlfn.XLOOKUP(E29,'All Products'!D:D,'All Products'!O:O,FALSE)</f>
        <v>-</v>
      </c>
      <c r="V29" s="265">
        <f>_xlfn.XLOOKUP(E29,'All Products'!D:D,'All Products'!P:P,FALSE)</f>
        <v>4.0250000000000004</v>
      </c>
      <c r="W29" s="265">
        <f>_xlfn.XLOOKUP(E29,'All Products'!D:D,'All Products'!Q:Q,FALSE)</f>
        <v>0.31</v>
      </c>
    </row>
    <row r="30" spans="1:23" ht="39.75" customHeight="1">
      <c r="A30" s="101" t="str">
        <f>IF(K30&gt;0,COUNT($A$8:A29)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30" s="612"/>
      <c r="C30" s="613"/>
      <c r="D30" s="274" t="str">
        <f>_xlfn.XLOOKUP(E30,'All Products'!D:D,'All Products'!C:C,FALSE)</f>
        <v>332-020</v>
      </c>
      <c r="E30" s="103">
        <v>100026355</v>
      </c>
      <c r="F30" s="144" t="str">
        <f>_xlfn.XLOOKUP(E30,'All Products'!D:D,'All Products'!E:E,FALSE)</f>
        <v>2 MA MPT/SWVL MANIFOLD</v>
      </c>
      <c r="G30" s="103">
        <f>_xlfn.XLOOKUP(Manifold!E30,'All Products'!D:D,'All Products'!F:F,FALSE)</f>
        <v>20</v>
      </c>
      <c r="H30" s="103">
        <f>_xlfn.XLOOKUP(E30,'All Products'!D:D,'All Products'!G:G,FALSE)</f>
        <v>5400</v>
      </c>
      <c r="I30" s="142">
        <f>_xlfn.XLOOKUP(E30,'All Products'!D:D,'All Products'!H:H,FALSE)</f>
        <v>22.99</v>
      </c>
      <c r="J30" s="173">
        <f>ROUNDUP(I30*Order_Quote!$L$22,2)</f>
        <v>22.99</v>
      </c>
      <c r="K30" s="75"/>
      <c r="L30" s="113"/>
      <c r="M30" s="171">
        <f>K30/G30</f>
        <v>0</v>
      </c>
      <c r="O30" s="215" t="str">
        <f>_xlfn.XLOOKUP(E30,'All Products'!D:D,'All Products'!I:I,FALSE)</f>
        <v>In Stock</v>
      </c>
      <c r="P30" s="215" t="str">
        <f>_xlfn.XLOOKUP(E30,'All Products'!D:D,'All Products'!J:J,FALSE)</f>
        <v>Manufactured</v>
      </c>
      <c r="Q30" s="508">
        <f>_xlfn.XLOOKUP(E30,'All Products'!D:D,'All Products'!K:K,FALSE)</f>
        <v>49081132293</v>
      </c>
      <c r="R30" s="266" t="str">
        <f>_xlfn.XLOOKUP(E30,'All Products'!D:D,'All Products'!L:L,FALSE)</f>
        <v>-</v>
      </c>
      <c r="S30" s="266">
        <f>_xlfn.XLOOKUP(E30,'All Products'!D:D,'All Products'!M:M,FALSE)</f>
        <v>40049081132291</v>
      </c>
      <c r="T30" s="265">
        <f>_xlfn.XLOOKUP(E30,'All Products'!D:D,'All Products'!N:N,FALSE)</f>
        <v>0.27600000000000002</v>
      </c>
      <c r="U30" s="266" t="str">
        <f>_xlfn.XLOOKUP(E30,'All Products'!D:D,'All Products'!O:O,FALSE)</f>
        <v>-</v>
      </c>
      <c r="V30" s="265">
        <f>_xlfn.XLOOKUP(E30,'All Products'!D:D,'All Products'!P:P,FALSE)</f>
        <v>5.5250000000000004</v>
      </c>
      <c r="W30" s="265">
        <f>_xlfn.XLOOKUP(E30,'All Products'!D:D,'All Products'!Q:Q,FALSE)</f>
        <v>0.31</v>
      </c>
    </row>
    <row r="31" spans="1:23" ht="31.5" customHeight="1">
      <c r="A31" s="101" t="str">
        <f>IF(K31&gt;0,COUNT($A$8:A30)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31" s="608"/>
      <c r="C31" s="609"/>
      <c r="D31" s="274" t="str">
        <f>_xlfn.XLOOKUP(E31,'All Products'!D:D,'All Products'!C:C,FALSE)</f>
        <v>350-015</v>
      </c>
      <c r="E31" s="103">
        <v>100026362</v>
      </c>
      <c r="F31" s="144" t="str">
        <f>_xlfn.XLOOKUP(E31,'All Products'!D:D,'All Products'!E:E,FALSE)</f>
        <v>1-1/2 PLUG O-RING MPT MANIFOLD</v>
      </c>
      <c r="G31" s="103">
        <f>_xlfn.XLOOKUP(Manifold!E31,'All Products'!D:D,'All Products'!F:F,FALSE)</f>
        <v>25</v>
      </c>
      <c r="H31" s="103">
        <f>_xlfn.XLOOKUP(E31,'All Products'!D:D,'All Products'!G:G,FALSE)</f>
        <v>6750</v>
      </c>
      <c r="I31" s="142">
        <f>_xlfn.XLOOKUP(E31,'All Products'!D:D,'All Products'!H:H,FALSE)</f>
        <v>5.31</v>
      </c>
      <c r="J31" s="173">
        <f>ROUNDUP(I31*Order_Quote!$L$22,2)</f>
        <v>5.31</v>
      </c>
      <c r="K31" s="75"/>
      <c r="L31" s="113"/>
      <c r="M31" s="171">
        <f>K31/G31</f>
        <v>0</v>
      </c>
      <c r="O31" s="215" t="str">
        <f>_xlfn.XLOOKUP(E31,'All Products'!D:D,'All Products'!I:I,FALSE)</f>
        <v>In Stock</v>
      </c>
      <c r="P31" s="215" t="str">
        <f>_xlfn.XLOOKUP(E31,'All Products'!D:D,'All Products'!J:J,FALSE)</f>
        <v>Manufactured</v>
      </c>
      <c r="Q31" s="508">
        <f>_xlfn.XLOOKUP(E31,'All Products'!D:D,'All Products'!K:K,FALSE)</f>
        <v>49081143060</v>
      </c>
      <c r="R31" s="266">
        <f>_xlfn.XLOOKUP(E31,'All Products'!D:D,'All Products'!L:L,FALSE)</f>
        <v>49081643065</v>
      </c>
      <c r="S31" s="266">
        <f>_xlfn.XLOOKUP(E31,'All Products'!D:D,'All Products'!M:M,FALSE)</f>
        <v>40049081143068</v>
      </c>
      <c r="T31" s="265">
        <f>_xlfn.XLOOKUP(E31,'All Products'!D:D,'All Products'!N:N,FALSE)</f>
        <v>0.122</v>
      </c>
      <c r="U31" s="266">
        <f>_xlfn.XLOOKUP(E31,'All Products'!D:D,'All Products'!O:O,FALSE)</f>
        <v>5</v>
      </c>
      <c r="V31" s="265">
        <f>_xlfn.XLOOKUP(E31,'All Products'!D:D,'All Products'!P:P,FALSE)</f>
        <v>3.05</v>
      </c>
      <c r="W31" s="265">
        <f>_xlfn.XLOOKUP(E31,'All Products'!D:D,'All Products'!Q:Q,FALSE)</f>
        <v>0.31</v>
      </c>
    </row>
    <row r="32" spans="1:23" ht="31.5" customHeight="1">
      <c r="A32" s="101" t="str">
        <f>IF(K32&gt;0,COUNT($A$8:A31)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+COUNT(Nipples!$A$9:$A$81)+1,"")</f>
        <v/>
      </c>
      <c r="B32" s="612"/>
      <c r="C32" s="613"/>
      <c r="D32" s="274" t="str">
        <f>_xlfn.XLOOKUP(E32,'All Products'!D:D,'All Products'!C:C,FALSE)</f>
        <v>350-020</v>
      </c>
      <c r="E32" s="103">
        <v>100026363</v>
      </c>
      <c r="F32" s="144" t="str">
        <f>_xlfn.XLOOKUP(E32,'All Products'!D:D,'All Products'!E:E,FALSE)</f>
        <v>2 PLUG O-RING MPT MANIFOLD</v>
      </c>
      <c r="G32" s="103">
        <f>_xlfn.XLOOKUP(Manifold!E32,'All Products'!D:D,'All Products'!F:F,FALSE)</f>
        <v>25</v>
      </c>
      <c r="H32" s="103">
        <f>_xlfn.XLOOKUP(E32,'All Products'!D:D,'All Products'!G:G,FALSE)</f>
        <v>6750</v>
      </c>
      <c r="I32" s="142">
        <f>_xlfn.XLOOKUP(E32,'All Products'!D:D,'All Products'!H:H,FALSE)</f>
        <v>5.87</v>
      </c>
      <c r="J32" s="173">
        <f>ROUNDUP(I32*Order_Quote!$L$22,2)</f>
        <v>5.87</v>
      </c>
      <c r="K32" s="75"/>
      <c r="L32" s="239"/>
      <c r="M32" s="171">
        <f>K32/G32</f>
        <v>0</v>
      </c>
      <c r="O32" s="215" t="str">
        <f>_xlfn.XLOOKUP(E32,'All Products'!D:D,'All Products'!I:I,FALSE)</f>
        <v>Within 3 Weeks</v>
      </c>
      <c r="P32" s="215" t="str">
        <f>_xlfn.XLOOKUP(E32,'All Products'!D:D,'All Products'!J:J,FALSE)</f>
        <v>Manufactured</v>
      </c>
      <c r="Q32" s="508">
        <f>_xlfn.XLOOKUP(E32,'All Products'!D:D,'All Products'!K:K,FALSE)</f>
        <v>49081143077</v>
      </c>
      <c r="R32" s="266">
        <f>_xlfn.XLOOKUP(E32,'All Products'!D:D,'All Products'!L:L,FALSE)</f>
        <v>49081643072</v>
      </c>
      <c r="S32" s="266">
        <f>_xlfn.XLOOKUP(E32,'All Products'!D:D,'All Products'!M:M,FALSE)</f>
        <v>40049081143075</v>
      </c>
      <c r="T32" s="265">
        <f>_xlfn.XLOOKUP(E32,'All Products'!D:D,'All Products'!N:N,FALSE)</f>
        <v>0.16700000000000001</v>
      </c>
      <c r="U32" s="266">
        <f>_xlfn.XLOOKUP(E32,'All Products'!D:D,'All Products'!O:O,FALSE)</f>
        <v>5</v>
      </c>
      <c r="V32" s="265">
        <f>_xlfn.XLOOKUP(E32,'All Products'!D:D,'All Products'!P:P,FALSE)</f>
        <v>4.1749999999999998</v>
      </c>
      <c r="W32" s="265">
        <f>_xlfn.XLOOKUP(E32,'All Products'!D:D,'All Products'!Q:Q,FALSE)</f>
        <v>0.31</v>
      </c>
    </row>
    <row r="33" spans="1:22" s="139" customFormat="1" ht="14.4">
      <c r="A33" s="261">
        <f>MAX(A9:A32)+1</f>
        <v>1</v>
      </c>
      <c r="I33" s="141"/>
      <c r="Q33" s="463"/>
      <c r="R33" s="463"/>
      <c r="S33" s="463"/>
      <c r="T33" s="480"/>
      <c r="U33" s="463"/>
      <c r="V33" s="480"/>
    </row>
  </sheetData>
  <sheetProtection algorithmName="SHA-512" hashValue="ka4dju6LH7mPpj2mU5XZEUX/E5oMwxcuOI5Fpxg8Q9pFWPERrxg5hXvz8ieiM3cOUuMkqlVY1iyNeWONKYrfwg==" saltValue="gEbhZBnUXw77vq/19xTPtg==" spinCount="100000" sheet="1" formatCells="0" formatColumns="0" formatRows="0" insertColumns="0" insertRows="0" insertHyperlinks="0" deleteColumns="0" deleteRows="0" sort="0" autoFilter="0" pivotTables="0"/>
  <mergeCells count="22">
    <mergeCell ref="Q6:S6"/>
    <mergeCell ref="B9:C9"/>
    <mergeCell ref="B10:C10"/>
    <mergeCell ref="B11:C11"/>
    <mergeCell ref="B14:C14"/>
    <mergeCell ref="B12:C12"/>
    <mergeCell ref="B13:C13"/>
    <mergeCell ref="B15:C15"/>
    <mergeCell ref="B16:C16"/>
    <mergeCell ref="B17:C17"/>
    <mergeCell ref="B18:C18"/>
    <mergeCell ref="B19:C19"/>
    <mergeCell ref="B20:C20"/>
    <mergeCell ref="B21:C21"/>
    <mergeCell ref="B22:C22"/>
    <mergeCell ref="B23:C23"/>
    <mergeCell ref="B24:C24"/>
    <mergeCell ref="B25:C25"/>
    <mergeCell ref="B26:C26"/>
    <mergeCell ref="B27:C27"/>
    <mergeCell ref="B29:C30"/>
    <mergeCell ref="B31:C32"/>
  </mergeCells>
  <dataValidations count="5">
    <dataValidation type="whole" operator="greaterThanOrEqual" allowBlank="1" showInputMessage="1" showErrorMessage="1" errorTitle="Invalid Entry!" error="An invalid quantity has been entered. Please enter only whole numbers. Click Retry to change entry or Cancel to clear entry." sqref="L250:L63917 L1:L6" xr:uid="{3474F73A-B76A-42B6-A3E7-08752CE0E2FC}">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1B972A25-B8CE-42E6-9A47-55B0BB389EF1}">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7:L8 L28" xr:uid="{C76FF823-0AC5-4DA2-8AE0-89D65AECCA9E}">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L9:L27 L29:L32" xr:uid="{E624E192-9C60-41BF-945B-6E568D05D093}">
      <formula1>1</formula1>
    </dataValidation>
    <dataValidation allowBlank="1" showErrorMessage="1" sqref="K1:K1048576" xr:uid="{D24C9E4B-2E1A-4D32-AB7A-3EB562DE5F03}"/>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rowBreaks count="2" manualBreakCount="2">
    <brk id="17" max="8" man="1"/>
    <brk id="24" max="8"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AE599-B50D-40B2-BB17-8C14F30116D0}">
  <sheetPr codeName="Sheet26">
    <tabColor theme="0"/>
    <pageSetUpPr fitToPage="1"/>
  </sheetPr>
  <dimension ref="A1:V12"/>
  <sheetViews>
    <sheetView workbookViewId="0">
      <selection activeCell="K9" sqref="K9"/>
    </sheetView>
  </sheetViews>
  <sheetFormatPr defaultColWidth="9.109375" defaultRowHeight="0" customHeight="1" zeroHeight="1"/>
  <cols>
    <col min="1" max="1" width="2.33203125" style="169" customWidth="1"/>
    <col min="2" max="3" width="8.6640625" customWidth="1"/>
    <col min="4" max="5" width="12.6640625" customWidth="1"/>
    <col min="6" max="6" width="50.6640625" customWidth="1"/>
    <col min="7" max="11" width="10.6640625" customWidth="1"/>
    <col min="12" max="12" width="1.44140625" customWidth="1"/>
    <col min="13" max="13" width="10.6640625" customWidth="1"/>
    <col min="14" max="14" width="2.33203125" style="2" customWidth="1"/>
    <col min="15" max="15" width="8.6640625" customWidth="1"/>
    <col min="16" max="16" width="10.6640625" customWidth="1"/>
    <col min="17" max="17" width="11.33203125" style="506" bestFit="1" customWidth="1"/>
    <col min="18" max="18" width="8.6640625" style="506" customWidth="1"/>
    <col min="19" max="19" width="13.109375" style="506" bestFit="1" customWidth="1"/>
    <col min="20" max="21" width="8.6640625" style="473" customWidth="1"/>
    <col min="22" max="22" width="10.6640625" customWidth="1"/>
    <col min="23" max="34" width="9.109375" style="2" customWidth="1"/>
    <col min="35" max="16384" width="9.109375" style="2"/>
  </cols>
  <sheetData>
    <row r="1" spans="1:22" ht="15" customHeight="1">
      <c r="A1" s="5"/>
      <c r="B1" s="2"/>
      <c r="C1" s="2"/>
      <c r="D1" s="4"/>
      <c r="E1" s="4"/>
      <c r="F1" s="8"/>
      <c r="G1" s="155"/>
      <c r="H1" s="4"/>
      <c r="I1" s="152"/>
      <c r="J1" s="148"/>
      <c r="K1" s="4"/>
      <c r="L1" s="4"/>
      <c r="M1" s="20"/>
      <c r="O1" s="152"/>
      <c r="P1" s="152"/>
      <c r="Q1" s="491"/>
      <c r="R1" s="491"/>
      <c r="S1" s="491"/>
      <c r="T1" s="484"/>
      <c r="U1" s="484"/>
      <c r="V1" s="152"/>
    </row>
    <row r="2" spans="1:22" ht="15" customHeight="1">
      <c r="A2" s="5"/>
      <c r="B2" s="2"/>
      <c r="C2" s="2"/>
      <c r="D2" s="469"/>
      <c r="E2" s="28"/>
      <c r="F2" s="8"/>
      <c r="G2" s="20"/>
      <c r="H2" s="20"/>
      <c r="I2" s="20"/>
      <c r="J2" s="661" t="s">
        <v>59</v>
      </c>
      <c r="K2" s="661"/>
      <c r="L2" s="4"/>
      <c r="M2" s="20"/>
      <c r="O2" s="20"/>
      <c r="P2" s="20"/>
      <c r="Q2" s="390"/>
      <c r="R2" s="390"/>
      <c r="S2" s="390"/>
      <c r="T2" s="411"/>
      <c r="U2" s="411"/>
      <c r="V2" s="20"/>
    </row>
    <row r="3" spans="1:22" ht="15" customHeight="1">
      <c r="A3" s="5"/>
      <c r="B3" s="2"/>
      <c r="C3" s="2"/>
      <c r="D3" s="4"/>
      <c r="E3" s="4"/>
      <c r="F3" s="323" t="s">
        <v>2360</v>
      </c>
      <c r="G3" s="20"/>
      <c r="H3" s="20"/>
      <c r="I3" s="20"/>
      <c r="J3" s="661"/>
      <c r="K3" s="661"/>
      <c r="L3" s="4"/>
      <c r="M3" s="20"/>
      <c r="O3" s="20"/>
      <c r="P3" s="20"/>
      <c r="Q3" s="390"/>
      <c r="R3" s="390"/>
      <c r="S3" s="390"/>
      <c r="T3" s="411"/>
      <c r="U3" s="411"/>
      <c r="V3" s="20"/>
    </row>
    <row r="4" spans="1:22" ht="15" customHeight="1">
      <c r="A4" s="5"/>
      <c r="B4" s="2"/>
      <c r="C4" s="2"/>
      <c r="D4" s="4"/>
      <c r="E4" s="14" t="s">
        <v>5736</v>
      </c>
      <c r="F4" s="327" t="s">
        <v>5994</v>
      </c>
      <c r="G4" s="20"/>
      <c r="H4" s="20"/>
      <c r="I4" s="20"/>
      <c r="J4" s="149"/>
      <c r="K4" s="2"/>
      <c r="L4" s="4"/>
      <c r="M4" s="20"/>
      <c r="O4" s="20"/>
      <c r="P4" s="20"/>
      <c r="Q4" s="390"/>
      <c r="R4" s="390"/>
      <c r="S4" s="390"/>
      <c r="T4" s="411"/>
      <c r="U4" s="411"/>
      <c r="V4" s="20"/>
    </row>
    <row r="5" spans="1:22" ht="15" customHeight="1">
      <c r="A5" s="5"/>
      <c r="B5" s="2"/>
      <c r="C5" s="2"/>
      <c r="D5" s="4"/>
      <c r="E5" s="4"/>
      <c r="F5" s="325" t="s">
        <v>5973</v>
      </c>
      <c r="G5" s="20"/>
      <c r="H5" s="20"/>
      <c r="I5" s="20"/>
      <c r="J5" s="149"/>
      <c r="K5" s="2"/>
      <c r="L5" s="4"/>
      <c r="M5" s="20"/>
      <c r="O5" s="20"/>
      <c r="P5" s="20"/>
      <c r="Q5" s="390"/>
      <c r="R5" s="390"/>
      <c r="S5" s="390"/>
      <c r="T5" s="411"/>
      <c r="U5" s="411"/>
      <c r="V5" s="20"/>
    </row>
    <row r="6" spans="1:22" ht="15" customHeight="1">
      <c r="A6" s="5"/>
      <c r="B6" s="2"/>
      <c r="C6" s="2"/>
      <c r="D6" s="4"/>
      <c r="E6" s="4"/>
      <c r="F6" s="8"/>
      <c r="G6" s="20"/>
      <c r="H6" s="4"/>
      <c r="I6" s="20"/>
      <c r="J6" s="149"/>
      <c r="K6" s="2"/>
      <c r="L6" s="4"/>
      <c r="M6" s="20"/>
      <c r="O6" s="20"/>
      <c r="P6" s="20"/>
      <c r="Q6" s="662" t="s">
        <v>64</v>
      </c>
      <c r="R6" s="662"/>
      <c r="S6" s="662"/>
      <c r="T6" s="411"/>
      <c r="U6" s="411"/>
      <c r="V6" s="20"/>
    </row>
    <row r="7" spans="1:22" s="20" customFormat="1" ht="29.4" thickBot="1">
      <c r="A7" s="147"/>
      <c r="B7" s="136"/>
      <c r="C7" s="136"/>
      <c r="D7" s="136" t="s">
        <v>48</v>
      </c>
      <c r="E7" s="136" t="s">
        <v>49</v>
      </c>
      <c r="F7" s="136" t="s">
        <v>50</v>
      </c>
      <c r="G7" s="136" t="s">
        <v>65</v>
      </c>
      <c r="H7" s="136" t="s">
        <v>66</v>
      </c>
      <c r="I7" s="157" t="s">
        <v>51</v>
      </c>
      <c r="J7" s="157" t="s">
        <v>55</v>
      </c>
      <c r="K7" s="158" t="s">
        <v>52</v>
      </c>
      <c r="M7" s="143" t="s">
        <v>67</v>
      </c>
      <c r="O7" s="213" t="s">
        <v>68</v>
      </c>
      <c r="P7" s="213" t="s">
        <v>69</v>
      </c>
      <c r="Q7" s="396" t="s">
        <v>70</v>
      </c>
      <c r="R7" s="396" t="s">
        <v>71</v>
      </c>
      <c r="S7" s="396" t="s">
        <v>72</v>
      </c>
      <c r="T7" s="383" t="s">
        <v>73</v>
      </c>
      <c r="U7" s="383" t="s">
        <v>328</v>
      </c>
      <c r="V7" s="213" t="s">
        <v>329</v>
      </c>
    </row>
    <row r="8" spans="1:22" s="482" customFormat="1" ht="15" customHeight="1" thickBot="1">
      <c r="A8" s="5"/>
      <c r="B8" s="571" t="s">
        <v>40</v>
      </c>
      <c r="C8" s="572"/>
      <c r="D8" s="573"/>
      <c r="E8" s="572"/>
      <c r="F8" s="572"/>
      <c r="G8" s="574"/>
      <c r="H8" s="572"/>
      <c r="I8" s="574"/>
      <c r="J8" s="575"/>
      <c r="K8" s="576"/>
      <c r="M8" s="577"/>
      <c r="O8" s="578"/>
      <c r="P8" s="574"/>
      <c r="Q8" s="579"/>
      <c r="R8" s="579"/>
      <c r="S8" s="579"/>
      <c r="T8" s="580"/>
      <c r="U8" s="580"/>
      <c r="V8" s="581"/>
    </row>
    <row r="9" spans="1:22" ht="15" customHeight="1">
      <c r="A9" s="101" t="str">
        <f>IF(K9&gt;0,COUNT($A$8:A8)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+COUNT(Manifold!$A$9:$A$32)+1,"")</f>
        <v/>
      </c>
      <c r="B9" s="664"/>
      <c r="C9" s="665"/>
      <c r="D9" s="133" t="str">
        <f>_xlfn.XLOOKUP(E9,'All Products'!D:D,'All Products'!C:C,FALSE)</f>
        <v>FRC-005</v>
      </c>
      <c r="E9" s="133">
        <v>100026151</v>
      </c>
      <c r="F9" s="134" t="str">
        <f>_xlfn.XLOOKUP(E9,'All Products'!D:D,'All Products'!E:E,FALSE)</f>
        <v>1/2 X 18 FLEXIBLE REPAIR CPLG</v>
      </c>
      <c r="G9" s="133">
        <f>_xlfn.XLOOKUP(E9,'All Products'!D:D,'All Products'!F:F,FALSE)</f>
        <v>20</v>
      </c>
      <c r="H9" s="133" t="str">
        <f>_xlfn.XLOOKUP(E9,'All Products'!D:D,'All Products'!G:G,FALSE)</f>
        <v>-</v>
      </c>
      <c r="I9" s="133">
        <f>_xlfn.XLOOKUP(E9,'All Products'!D:D,'All Products'!H:H,FALSE)</f>
        <v>12.53</v>
      </c>
      <c r="J9" s="177">
        <f>ROUNDUP(I9*Order_Quote!$L$23,2)</f>
        <v>12.53</v>
      </c>
      <c r="K9" s="135"/>
      <c r="L9" s="16"/>
      <c r="M9" s="263">
        <f>K9/G9</f>
        <v>0</v>
      </c>
      <c r="O9" s="483" t="str">
        <f>_xlfn.XLOOKUP(E9,'All Products'!D:D,'All Products'!I:I,FALSE)</f>
        <v>In Stock</v>
      </c>
      <c r="P9" s="215" t="str">
        <f>_xlfn.XLOOKUP(E9,'All Products'!D:D,'All Products'!J:J,FALSE)</f>
        <v>Manufactured</v>
      </c>
      <c r="Q9" s="266">
        <f>_xlfn.XLOOKUP(E9,'All Products'!D:D,'All Products'!K:K,FALSE)</f>
        <v>49081285029</v>
      </c>
      <c r="R9" s="266" t="str">
        <f>_xlfn.XLOOKUP(E9,'All Products'!D:D,'All Products'!L:L,FALSE)</f>
        <v>-</v>
      </c>
      <c r="S9" s="266">
        <f>_xlfn.XLOOKUP(E9,'All Products'!D:D,'All Products'!M:M,FALSE)</f>
        <v>50049081285024</v>
      </c>
      <c r="T9" s="265">
        <f>_xlfn.XLOOKUP(E9,'All Products'!D:D,'All Products'!N:N,FALSE)</f>
        <v>0.34399999999999997</v>
      </c>
      <c r="U9" s="265">
        <f>_xlfn.XLOOKUP(E9,'All Products'!D:D,'All Products'!P:P,FALSE)</f>
        <v>7.3860000000000001</v>
      </c>
      <c r="V9" s="215">
        <f>_xlfn.XLOOKUP(E9,'All Products'!D:D,'All Products'!Q:Q,FALSE)</f>
        <v>0.27</v>
      </c>
    </row>
    <row r="10" spans="1:22" ht="15" customHeight="1">
      <c r="A10" s="101" t="str">
        <f>IF(K10&gt;0,COUNT($A$8:A9)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+COUNT(Manifold!$A$9:$A$32)+1,"")</f>
        <v/>
      </c>
      <c r="B10" s="646"/>
      <c r="C10" s="647"/>
      <c r="D10" s="1" t="str">
        <f>_xlfn.XLOOKUP(E10,'All Products'!D:D,'All Products'!C:C,FALSE)</f>
        <v>FRC-007</v>
      </c>
      <c r="E10" s="1">
        <v>100026153</v>
      </c>
      <c r="F10" s="15" t="str">
        <f>_xlfn.XLOOKUP(E10,'All Products'!D:D,'All Products'!E:E,FALSE)</f>
        <v>3/4 X 18 FLEXIBLE REPAIR CPLG</v>
      </c>
      <c r="G10" s="1">
        <f>_xlfn.XLOOKUP(E10,'All Products'!D:D,'All Products'!F:F,FALSE)</f>
        <v>12</v>
      </c>
      <c r="H10" s="1" t="str">
        <f>_xlfn.XLOOKUP(E10,'All Products'!D:D,'All Products'!G:G,FALSE)</f>
        <v>-</v>
      </c>
      <c r="I10" s="1">
        <f>_xlfn.XLOOKUP(E10,'All Products'!D:D,'All Products'!H:H,FALSE)</f>
        <v>15.06</v>
      </c>
      <c r="J10" s="178">
        <f>ROUNDUP(I10*Order_Quote!$L$23,2)</f>
        <v>15.06</v>
      </c>
      <c r="K10" s="74"/>
      <c r="L10" s="16"/>
      <c r="M10" s="171">
        <f>K10/G10</f>
        <v>0</v>
      </c>
      <c r="O10" s="278" t="str">
        <f>_xlfn.XLOOKUP(E10,'All Products'!D:D,'All Products'!I:I,FALSE)</f>
        <v>In Stock</v>
      </c>
      <c r="P10" s="215" t="str">
        <f>_xlfn.XLOOKUP(E10,'All Products'!D:D,'All Products'!J:J,FALSE)</f>
        <v>Manufactured</v>
      </c>
      <c r="Q10" s="266">
        <f>_xlfn.XLOOKUP(E10,'All Products'!D:D,'All Products'!K:K,FALSE)</f>
        <v>49081285050</v>
      </c>
      <c r="R10" s="266" t="str">
        <f>_xlfn.XLOOKUP(E10,'All Products'!D:D,'All Products'!L:L,FALSE)</f>
        <v>-</v>
      </c>
      <c r="S10" s="266">
        <f>_xlfn.XLOOKUP(E10,'All Products'!D:D,'All Products'!M:M,FALSE)</f>
        <v>50049081285055</v>
      </c>
      <c r="T10" s="265">
        <f>_xlfn.XLOOKUP(E10,'All Products'!D:D,'All Products'!N:N,FALSE)</f>
        <v>0.47099999999999997</v>
      </c>
      <c r="U10" s="265">
        <f>_xlfn.XLOOKUP(E10,'All Products'!D:D,'All Products'!P:P,FALSE)</f>
        <v>5.9050000000000002</v>
      </c>
      <c r="V10" s="215">
        <f>_xlfn.XLOOKUP(E10,'All Products'!D:D,'All Products'!Q:Q,FALSE)</f>
        <v>0.27</v>
      </c>
    </row>
    <row r="11" spans="1:22" ht="15" customHeight="1">
      <c r="A11" s="101" t="str">
        <f>IF(K11&gt;0,COUNT($A$8:A10)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+COUNT(Manifold!$A$9:$A$32)+1,"")</f>
        <v/>
      </c>
      <c r="B11" s="652"/>
      <c r="C11" s="653"/>
      <c r="D11" s="1" t="str">
        <f>_xlfn.XLOOKUP(E11,'All Products'!D:D,'All Products'!C:C,FALSE)</f>
        <v>FRC-010</v>
      </c>
      <c r="E11" s="1">
        <v>100026155</v>
      </c>
      <c r="F11" s="15" t="str">
        <f>_xlfn.XLOOKUP(E11,'All Products'!D:D,'All Products'!E:E,FALSE)</f>
        <v>1 X 18 FLEXIBLE REPAIR CPLG</v>
      </c>
      <c r="G11" s="1">
        <f>_xlfn.XLOOKUP(E11,'All Products'!D:D,'All Products'!F:F,FALSE)</f>
        <v>9</v>
      </c>
      <c r="H11" s="1" t="str">
        <f>_xlfn.XLOOKUP(E11,'All Products'!D:D,'All Products'!G:G,FALSE)</f>
        <v>-</v>
      </c>
      <c r="I11" s="1">
        <f>_xlfn.XLOOKUP(E11,'All Products'!D:D,'All Products'!H:H,FALSE)</f>
        <v>18.84</v>
      </c>
      <c r="J11" s="178">
        <f>ROUNDUP(I11*Order_Quote!$L$23,2)</f>
        <v>18.84</v>
      </c>
      <c r="K11" s="74"/>
      <c r="L11" s="212"/>
      <c r="M11" s="171">
        <f>K11/G11</f>
        <v>0</v>
      </c>
      <c r="O11" s="278" t="str">
        <f>_xlfn.XLOOKUP(E11,'All Products'!D:D,'All Products'!I:I,FALSE)</f>
        <v>In Stock</v>
      </c>
      <c r="P11" s="215" t="str">
        <f>_xlfn.XLOOKUP(E11,'All Products'!D:D,'All Products'!J:J,FALSE)</f>
        <v>Manufactured</v>
      </c>
      <c r="Q11" s="266">
        <f>_xlfn.XLOOKUP(E11,'All Products'!D:D,'All Products'!K:K,FALSE)</f>
        <v>49081285074</v>
      </c>
      <c r="R11" s="266" t="str">
        <f>_xlfn.XLOOKUP(E11,'All Products'!D:D,'All Products'!L:L,FALSE)</f>
        <v>-</v>
      </c>
      <c r="S11" s="266">
        <f>_xlfn.XLOOKUP(E11,'All Products'!D:D,'All Products'!M:M,FALSE)</f>
        <v>50049081285079</v>
      </c>
      <c r="T11" s="265">
        <f>_xlfn.XLOOKUP(E11,'All Products'!D:D,'All Products'!N:N,FALSE)</f>
        <v>0.81799999999999995</v>
      </c>
      <c r="U11" s="265">
        <f>_xlfn.XLOOKUP(E11,'All Products'!D:D,'All Products'!P:P,FALSE)</f>
        <v>7.8890000000000002</v>
      </c>
      <c r="V11" s="215">
        <f>_xlfn.XLOOKUP(E11,'All Products'!D:D,'All Products'!Q:Q,FALSE)</f>
        <v>0.27</v>
      </c>
    </row>
    <row r="12" spans="1:22" ht="15" customHeight="1">
      <c r="A12" s="169">
        <f>MAX(A9:A11)+1</f>
        <v>1</v>
      </c>
      <c r="B12" s="2"/>
    </row>
  </sheetData>
  <sheetProtection algorithmName="SHA-512" hashValue="9UFWyRaNFZ5s/nzLOCCBxzw1p3agoryUTq5tLC6w4iu1vmeyILPhGsU8ZCFn8Eu6JBeO4RHf1XcqrU0UkVDfZQ==" saltValue="cmcv5bkg1bvqDkv3vCSM1A==" spinCount="100000" sheet="1" formatCells="0" formatColumns="0" formatRows="0" insertColumns="0" insertRows="0" insertHyperlinks="0" deleteColumns="0" deleteRows="0" sort="0" autoFilter="0" pivotTables="0"/>
  <mergeCells count="3">
    <mergeCell ref="J2:K3"/>
    <mergeCell ref="B9:C11"/>
    <mergeCell ref="Q6:S6"/>
  </mergeCells>
  <dataValidations count="5">
    <dataValidation type="whole" operator="greaterThanOrEqual" allowBlank="1" showInputMessage="1" showErrorMessage="1" errorTitle="Invalid Entry!" error="An invalid quantity has been entered. Please enter only whole numbers. Click Retry to change entry or Cancel to clear entry." sqref="L1:L6" xr:uid="{B5D2D6F8-E673-4980-8A81-B5203A5D539E}">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4AA9BCD1-F318-4C28-8532-D8370CF8B3AB}">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L9:L11" xr:uid="{6004CF50-9338-4B39-8572-7DBAB9922FC0}">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7:L8" xr:uid="{59E3FA54-1B61-46BA-9C67-33257FE4066B}">
      <formula1>1</formula1>
    </dataValidation>
    <dataValidation allowBlank="1" showErrorMessage="1" sqref="K1:K1048576" xr:uid="{07D2C885-66E1-4CCA-B07E-A56425A8EFBB}"/>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D21EF-C7CB-434A-9159-2BF5CCE004F5}">
  <sheetPr codeName="Sheet27">
    <tabColor theme="0"/>
    <pageSetUpPr fitToPage="1"/>
  </sheetPr>
  <dimension ref="A1:W15"/>
  <sheetViews>
    <sheetView workbookViewId="0">
      <selection activeCell="B9" sqref="B9:C14"/>
    </sheetView>
  </sheetViews>
  <sheetFormatPr defaultColWidth="0" defaultRowHeight="0" customHeight="1" zeroHeight="1"/>
  <cols>
    <col min="1" max="1" width="2.33203125" style="101" customWidth="1"/>
    <col min="2" max="3" width="8.6640625" style="17" customWidth="1"/>
    <col min="4" max="5" width="12.6640625" style="20" customWidth="1"/>
    <col min="6" max="6" width="50.6640625" style="184" customWidth="1"/>
    <col min="7" max="8" width="10.6640625" style="20" customWidth="1"/>
    <col min="9" max="10" width="10.6640625" style="240" customWidth="1"/>
    <col min="11" max="11" width="10.6640625" style="20" customWidth="1"/>
    <col min="12" max="12" width="1.6640625" style="20" customWidth="1"/>
    <col min="13" max="13" width="10.6640625" style="20" customWidth="1"/>
    <col min="14" max="14" width="2.33203125" style="17" customWidth="1"/>
    <col min="15" max="15" width="10.88671875" style="20" customWidth="1"/>
    <col min="16" max="16" width="10.6640625" style="20" customWidth="1"/>
    <col min="17" max="17" width="11.33203125" style="321" bestFit="1" customWidth="1"/>
    <col min="18" max="18" width="9.109375" style="321" customWidth="1"/>
    <col min="19" max="19" width="13.109375" style="321" bestFit="1" customWidth="1"/>
    <col min="20" max="21" width="10.88671875" style="20" customWidth="1"/>
    <col min="22" max="22" width="10.6640625" style="20" customWidth="1"/>
    <col min="23" max="23" width="1.6640625" style="17" customWidth="1"/>
    <col min="24" max="16384" width="9.109375" style="17" hidden="1"/>
  </cols>
  <sheetData>
    <row r="1" spans="1:22" ht="21">
      <c r="F1" s="280" t="s">
        <v>41</v>
      </c>
      <c r="G1" s="237"/>
      <c r="H1" s="237"/>
      <c r="O1" s="198"/>
      <c r="P1" s="198"/>
      <c r="T1" s="198"/>
      <c r="U1" s="198"/>
      <c r="V1" s="198"/>
    </row>
    <row r="2" spans="1:22" ht="14.4" customHeight="1">
      <c r="D2" s="441"/>
      <c r="E2" s="201"/>
      <c r="F2" s="237"/>
      <c r="G2" s="237"/>
      <c r="J2" s="262" t="s">
        <v>59</v>
      </c>
      <c r="K2" s="241"/>
    </row>
    <row r="3" spans="1:22" ht="14.4" customHeight="1">
      <c r="F3" s="323" t="s">
        <v>2367</v>
      </c>
      <c r="G3" s="4"/>
      <c r="H3" s="4"/>
      <c r="J3" s="241"/>
      <c r="K3" s="241"/>
    </row>
    <row r="4" spans="1:22" ht="14.4" customHeight="1">
      <c r="E4" s="147" t="s">
        <v>5737</v>
      </c>
      <c r="F4" s="327" t="s">
        <v>5995</v>
      </c>
      <c r="G4" s="4"/>
      <c r="H4" s="4"/>
      <c r="J4" s="182"/>
      <c r="K4" s="17"/>
    </row>
    <row r="5" spans="1:22" ht="14.4" customHeight="1">
      <c r="F5" s="325" t="s">
        <v>5973</v>
      </c>
      <c r="G5" s="4"/>
      <c r="H5" s="4"/>
      <c r="J5" s="182"/>
      <c r="K5" s="17"/>
    </row>
    <row r="6" spans="1:22" ht="14.4" customHeight="1">
      <c r="J6" s="182"/>
      <c r="K6" s="17"/>
      <c r="Q6" s="662" t="s">
        <v>64</v>
      </c>
      <c r="R6" s="662"/>
      <c r="S6" s="662"/>
    </row>
    <row r="7" spans="1:22" ht="29.4" thickBot="1">
      <c r="B7" s="136"/>
      <c r="C7" s="136"/>
      <c r="D7" s="136" t="s">
        <v>48</v>
      </c>
      <c r="E7" s="136" t="s">
        <v>49</v>
      </c>
      <c r="F7" s="136" t="s">
        <v>50</v>
      </c>
      <c r="G7" s="136" t="s">
        <v>65</v>
      </c>
      <c r="H7" s="136" t="s">
        <v>66</v>
      </c>
      <c r="I7" s="157" t="s">
        <v>51</v>
      </c>
      <c r="J7" s="157" t="s">
        <v>55</v>
      </c>
      <c r="K7" s="158" t="s">
        <v>52</v>
      </c>
      <c r="L7" s="17"/>
      <c r="M7" s="143" t="s">
        <v>67</v>
      </c>
      <c r="O7" s="213" t="s">
        <v>68</v>
      </c>
      <c r="P7" s="213" t="s">
        <v>69</v>
      </c>
      <c r="Q7" s="396" t="s">
        <v>70</v>
      </c>
      <c r="R7" s="396" t="s">
        <v>71</v>
      </c>
      <c r="S7" s="396" t="s">
        <v>72</v>
      </c>
      <c r="T7" s="213" t="s">
        <v>73</v>
      </c>
      <c r="U7" s="213" t="s">
        <v>328</v>
      </c>
      <c r="V7" s="213" t="s">
        <v>329</v>
      </c>
    </row>
    <row r="8" spans="1:22" s="482" customFormat="1" ht="15" customHeight="1" thickBot="1">
      <c r="A8" s="101"/>
      <c r="B8" s="571" t="s">
        <v>2368</v>
      </c>
      <c r="C8" s="572"/>
      <c r="D8" s="573"/>
      <c r="E8" s="572"/>
      <c r="F8" s="572"/>
      <c r="G8" s="574"/>
      <c r="H8" s="572"/>
      <c r="I8" s="574"/>
      <c r="J8" s="575"/>
      <c r="K8" s="576"/>
      <c r="M8" s="577"/>
      <c r="O8" s="578"/>
      <c r="P8" s="574"/>
      <c r="Q8" s="579"/>
      <c r="R8" s="579"/>
      <c r="S8" s="579"/>
      <c r="T8" s="580"/>
      <c r="U8" s="580"/>
      <c r="V8" s="581"/>
    </row>
    <row r="9" spans="1:22" ht="14.4">
      <c r="A9" s="101" t="str">
        <f>IF(K9&gt;0,COUNT($A$8:A8)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+COUNT(FlexibleRepairCouplings!$A$9:$A$11)+1,"")</f>
        <v/>
      </c>
      <c r="B9" s="682"/>
      <c r="C9" s="683"/>
      <c r="D9" s="485" t="str">
        <f>_xlfn.XLOOKUP(E9,'All Products'!D:D,'All Products'!C:C,FALSE)</f>
        <v>DF-005</v>
      </c>
      <c r="E9" s="103">
        <v>100026145</v>
      </c>
      <c r="F9" s="144" t="str">
        <f>_xlfn.XLOOKUP(E9,'All Products'!D:D,'All Products'!E:E,FALSE)</f>
        <v>1/2 DURA FIX</v>
      </c>
      <c r="G9" s="103">
        <f>_xlfn.XLOOKUP(E9,'All Products'!D:D,'All Products'!F:F,FALSE)</f>
        <v>25</v>
      </c>
      <c r="H9" s="103">
        <f>_xlfn.XLOOKUP(E9,'All Products'!D:D,'All Products'!G:G,FALSE)</f>
        <v>6750</v>
      </c>
      <c r="I9" s="142">
        <f>_xlfn.XLOOKUP(E9,'All Products'!D:D,'All Products'!H:H,FALSE)</f>
        <v>13.55</v>
      </c>
      <c r="J9" s="173">
        <f>ROUNDUP(I9*Order_Quote!$L$24,2)</f>
        <v>13.55</v>
      </c>
      <c r="K9" s="260"/>
      <c r="L9" s="238"/>
      <c r="M9" s="171">
        <f t="shared" ref="M9:M14" si="0">K9/G9</f>
        <v>0</v>
      </c>
      <c r="O9" s="215" t="str">
        <f>_xlfn.XLOOKUP(E9,'All Products'!D:D,'All Products'!I:I,FALSE)</f>
        <v>In Stock</v>
      </c>
      <c r="P9" s="215" t="str">
        <f>_xlfn.XLOOKUP(E9,'All Products'!D:D,'All Products'!J:J,FALSE)</f>
        <v>Manufactured</v>
      </c>
      <c r="Q9" s="266">
        <f>_xlfn.XLOOKUP(E9,'All Products'!D:D,'All Products'!K:K,FALSE)</f>
        <v>49081137397</v>
      </c>
      <c r="R9" s="266" t="str">
        <f>_xlfn.XLOOKUP(E9,'All Products'!D:D,'All Products'!L:L,FALSE)</f>
        <v>-</v>
      </c>
      <c r="S9" s="266">
        <f>_xlfn.XLOOKUP(E9,'All Products'!D:D,'All Products'!M:M,FALSE)</f>
        <v>40049081137395</v>
      </c>
      <c r="T9" s="265">
        <f>_xlfn.XLOOKUP(E9,'All Products'!D:D,'All Products'!N:N,FALSE)</f>
        <v>0.222</v>
      </c>
      <c r="U9" s="265">
        <f>_xlfn.XLOOKUP(E9,'All Products'!D:D,'All Products'!P:P,FALSE)</f>
        <v>5.55</v>
      </c>
      <c r="V9" s="265">
        <f>_xlfn.XLOOKUP(E9,'All Products'!D:D,'All Products'!Q:Q,FALSE)</f>
        <v>0.31</v>
      </c>
    </row>
    <row r="10" spans="1:22" ht="14.4">
      <c r="A10" s="101" t="str">
        <f>IF(K10&gt;0,COUNT($A$8:A9)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+COUNT(FlexibleRepairCouplings!$A$9:$A$11)+1,"")</f>
        <v/>
      </c>
      <c r="B10" s="610"/>
      <c r="C10" s="611"/>
      <c r="D10" s="485" t="str">
        <f>_xlfn.XLOOKUP(E10,'All Products'!D:D,'All Products'!C:C,FALSE)</f>
        <v>DF-007</v>
      </c>
      <c r="E10" s="103">
        <v>100026146</v>
      </c>
      <c r="F10" s="144" t="str">
        <f>_xlfn.XLOOKUP(E10,'All Products'!D:D,'All Products'!E:E,FALSE)</f>
        <v>3/4 DURA FIX</v>
      </c>
      <c r="G10" s="103">
        <f>_xlfn.XLOOKUP(E10,'All Products'!D:D,'All Products'!F:F,FALSE)</f>
        <v>25</v>
      </c>
      <c r="H10" s="103">
        <f>_xlfn.XLOOKUP(E10,'All Products'!D:D,'All Products'!G:G,FALSE)</f>
        <v>6750</v>
      </c>
      <c r="I10" s="142">
        <f>_xlfn.XLOOKUP(E10,'All Products'!D:D,'All Products'!H:H,FALSE)</f>
        <v>15.03</v>
      </c>
      <c r="J10" s="173">
        <f>ROUNDUP(I10*Order_Quote!$L$24,2)</f>
        <v>15.03</v>
      </c>
      <c r="K10" s="75"/>
      <c r="L10" s="113"/>
      <c r="M10" s="171">
        <f t="shared" si="0"/>
        <v>0</v>
      </c>
      <c r="O10" s="215" t="str">
        <f>_xlfn.XLOOKUP(E10,'All Products'!D:D,'All Products'!I:I,FALSE)</f>
        <v>In Stock</v>
      </c>
      <c r="P10" s="215" t="str">
        <f>_xlfn.XLOOKUP(E10,'All Products'!D:D,'All Products'!J:J,FALSE)</f>
        <v>Manufactured</v>
      </c>
      <c r="Q10" s="266">
        <f>_xlfn.XLOOKUP(E10,'All Products'!D:D,'All Products'!K:K,FALSE)</f>
        <v>49081137403</v>
      </c>
      <c r="R10" s="266" t="str">
        <f>_xlfn.XLOOKUP(E10,'All Products'!D:D,'All Products'!L:L,FALSE)</f>
        <v>-</v>
      </c>
      <c r="S10" s="266">
        <f>_xlfn.XLOOKUP(E10,'All Products'!D:D,'All Products'!M:M,FALSE)</f>
        <v>40049081137401</v>
      </c>
      <c r="T10" s="265">
        <f>_xlfn.XLOOKUP(E10,'All Products'!D:D,'All Products'!N:N,FALSE)</f>
        <v>0.29199999999999998</v>
      </c>
      <c r="U10" s="265">
        <f>_xlfn.XLOOKUP(E10,'All Products'!D:D,'All Products'!P:P,FALSE)</f>
        <v>7.29</v>
      </c>
      <c r="V10" s="265">
        <f>_xlfn.XLOOKUP(E10,'All Products'!D:D,'All Products'!Q:Q,FALSE)</f>
        <v>0.31</v>
      </c>
    </row>
    <row r="11" spans="1:22" ht="14.4">
      <c r="A11" s="101" t="str">
        <f>IF(K11&gt;0,COUNT($A$8:A10)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+COUNT(FlexibleRepairCouplings!$A$9:$A$11)+1,"")</f>
        <v/>
      </c>
      <c r="B11" s="610"/>
      <c r="C11" s="611"/>
      <c r="D11" s="485" t="str">
        <f>_xlfn.XLOOKUP(E11,'All Products'!D:D,'All Products'!C:C,FALSE)</f>
        <v>DF-010</v>
      </c>
      <c r="E11" s="103">
        <v>100026147</v>
      </c>
      <c r="F11" s="144" t="str">
        <f>_xlfn.XLOOKUP(E11,'All Products'!D:D,'All Products'!E:E,FALSE)</f>
        <v>1 DURA FIX</v>
      </c>
      <c r="G11" s="103">
        <f>_xlfn.XLOOKUP(E11,'All Products'!D:D,'All Products'!F:F,FALSE)</f>
        <v>25</v>
      </c>
      <c r="H11" s="103">
        <f>_xlfn.XLOOKUP(E11,'All Products'!D:D,'All Products'!G:G,FALSE)</f>
        <v>3750</v>
      </c>
      <c r="I11" s="142">
        <f>_xlfn.XLOOKUP(E11,'All Products'!D:D,'All Products'!H:H,FALSE)</f>
        <v>17.600000000000001</v>
      </c>
      <c r="J11" s="173">
        <f>ROUNDUP(I11*Order_Quote!$L$24,2)</f>
        <v>17.600000000000001</v>
      </c>
      <c r="K11" s="75"/>
      <c r="L11" s="113"/>
      <c r="M11" s="171">
        <f t="shared" si="0"/>
        <v>0</v>
      </c>
      <c r="O11" s="215" t="str">
        <f>_xlfn.XLOOKUP(E11,'All Products'!D:D,'All Products'!I:I,FALSE)</f>
        <v>In Stock</v>
      </c>
      <c r="P11" s="215" t="str">
        <f>_xlfn.XLOOKUP(E11,'All Products'!D:D,'All Products'!J:J,FALSE)</f>
        <v>Manufactured</v>
      </c>
      <c r="Q11" s="266">
        <f>_xlfn.XLOOKUP(E11,'All Products'!D:D,'All Products'!K:K,FALSE)</f>
        <v>49081137410</v>
      </c>
      <c r="R11" s="266" t="str">
        <f>_xlfn.XLOOKUP(E11,'All Products'!D:D,'All Products'!L:L,FALSE)</f>
        <v>-</v>
      </c>
      <c r="S11" s="266">
        <f>_xlfn.XLOOKUP(E11,'All Products'!D:D,'All Products'!M:M,FALSE)</f>
        <v>40049081137418</v>
      </c>
      <c r="T11" s="265">
        <f>_xlfn.XLOOKUP(E11,'All Products'!D:D,'All Products'!N:N,FALSE)</f>
        <v>0.39500000000000002</v>
      </c>
      <c r="U11" s="265">
        <f>_xlfn.XLOOKUP(E11,'All Products'!D:D,'All Products'!P:P,FALSE)</f>
        <v>9.8800000000000008</v>
      </c>
      <c r="V11" s="265">
        <f>_xlfn.XLOOKUP(E11,'All Products'!D:D,'All Products'!Q:Q,FALSE)</f>
        <v>0.5</v>
      </c>
    </row>
    <row r="12" spans="1:22" ht="14.4">
      <c r="A12" s="101" t="str">
        <f>IF(K12&gt;0,COUNT($A$8:A11)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+COUNT(FlexibleRepairCouplings!$A$9:$A$11)+1,"")</f>
        <v/>
      </c>
      <c r="B12" s="610"/>
      <c r="C12" s="611"/>
      <c r="D12" s="485" t="str">
        <f>_xlfn.XLOOKUP(E12,'All Products'!D:D,'All Products'!C:C,FALSE)</f>
        <v>DF-012</v>
      </c>
      <c r="E12" s="103">
        <v>100026148</v>
      </c>
      <c r="F12" s="144" t="str">
        <f>_xlfn.XLOOKUP(E12,'All Products'!D:D,'All Products'!E:E,FALSE)</f>
        <v>1-1/4 DURA FIX</v>
      </c>
      <c r="G12" s="103">
        <f>_xlfn.XLOOKUP(E12,'All Products'!D:D,'All Products'!F:F,FALSE)</f>
        <v>15</v>
      </c>
      <c r="H12" s="103">
        <f>_xlfn.XLOOKUP(E12,'All Products'!D:D,'All Products'!G:G,FALSE)</f>
        <v>1800</v>
      </c>
      <c r="I12" s="142">
        <f>_xlfn.XLOOKUP(E12,'All Products'!D:D,'All Products'!H:H,FALSE)</f>
        <v>33.11</v>
      </c>
      <c r="J12" s="173">
        <f>ROUNDUP(I12*Order_Quote!$L$24,2)</f>
        <v>33.11</v>
      </c>
      <c r="K12" s="75"/>
      <c r="L12" s="113"/>
      <c r="M12" s="171">
        <f t="shared" si="0"/>
        <v>0</v>
      </c>
      <c r="O12" s="215" t="str">
        <f>_xlfn.XLOOKUP(E12,'All Products'!D:D,'All Products'!I:I,FALSE)</f>
        <v>In Stock</v>
      </c>
      <c r="P12" s="215" t="str">
        <f>_xlfn.XLOOKUP(E12,'All Products'!D:D,'All Products'!J:J,FALSE)</f>
        <v>Manufactured</v>
      </c>
      <c r="Q12" s="266">
        <f>_xlfn.XLOOKUP(E12,'All Products'!D:D,'All Products'!K:K,FALSE)</f>
        <v>49081137427</v>
      </c>
      <c r="R12" s="266" t="str">
        <f>_xlfn.XLOOKUP(E12,'All Products'!D:D,'All Products'!L:L,FALSE)</f>
        <v>-</v>
      </c>
      <c r="S12" s="266">
        <f>_xlfn.XLOOKUP(E12,'All Products'!D:D,'All Products'!M:M,FALSE)</f>
        <v>40049081137425</v>
      </c>
      <c r="T12" s="265">
        <f>_xlfn.XLOOKUP(E12,'All Products'!D:D,'All Products'!N:N,FALSE)</f>
        <v>0.64800000000000002</v>
      </c>
      <c r="U12" s="265">
        <f>_xlfn.XLOOKUP(E12,'All Products'!D:D,'All Products'!P:P,FALSE)</f>
        <v>9.7200000000000006</v>
      </c>
      <c r="V12" s="265">
        <f>_xlfn.XLOOKUP(E12,'All Products'!D:D,'All Products'!Q:Q,FALSE)</f>
        <v>0.65</v>
      </c>
    </row>
    <row r="13" spans="1:22" ht="14.4">
      <c r="A13" s="101" t="str">
        <f>IF(K13&gt;0,COUNT($A$8:A12)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+COUNT(FlexibleRepairCouplings!$A$9:$A$11)+1,"")</f>
        <v/>
      </c>
      <c r="B13" s="610"/>
      <c r="C13" s="611"/>
      <c r="D13" s="485" t="str">
        <f>_xlfn.XLOOKUP(E13,'All Products'!D:D,'All Products'!C:C,FALSE)</f>
        <v>DF-015</v>
      </c>
      <c r="E13" s="103">
        <v>100026149</v>
      </c>
      <c r="F13" s="144" t="str">
        <f>_xlfn.XLOOKUP(E13,'All Products'!D:D,'All Products'!E:E,FALSE)</f>
        <v>1-1/2 DURA FIX</v>
      </c>
      <c r="G13" s="103">
        <f>_xlfn.XLOOKUP(E13,'All Products'!D:D,'All Products'!F:F,FALSE)</f>
        <v>15</v>
      </c>
      <c r="H13" s="103">
        <f>_xlfn.XLOOKUP(E13,'All Products'!D:D,'All Products'!G:G,FALSE)</f>
        <v>1800</v>
      </c>
      <c r="I13" s="142">
        <f>_xlfn.XLOOKUP(E13,'All Products'!D:D,'All Products'!H:H,FALSE)</f>
        <v>33.130000000000003</v>
      </c>
      <c r="J13" s="173">
        <f>ROUNDUP(I13*Order_Quote!$L$24,2)</f>
        <v>33.130000000000003</v>
      </c>
      <c r="K13" s="75"/>
      <c r="L13" s="113"/>
      <c r="M13" s="171">
        <f t="shared" si="0"/>
        <v>0</v>
      </c>
      <c r="O13" s="215" t="str">
        <f>_xlfn.XLOOKUP(E13,'All Products'!D:D,'All Products'!I:I,FALSE)</f>
        <v>In Stock</v>
      </c>
      <c r="P13" s="215" t="str">
        <f>_xlfn.XLOOKUP(E13,'All Products'!D:D,'All Products'!J:J,FALSE)</f>
        <v>Manufactured</v>
      </c>
      <c r="Q13" s="266">
        <f>_xlfn.XLOOKUP(E13,'All Products'!D:D,'All Products'!K:K,FALSE)</f>
        <v>49081137434</v>
      </c>
      <c r="R13" s="266" t="str">
        <f>_xlfn.XLOOKUP(E13,'All Products'!D:D,'All Products'!L:L,FALSE)</f>
        <v>-</v>
      </c>
      <c r="S13" s="266">
        <f>_xlfn.XLOOKUP(E13,'All Products'!D:D,'All Products'!M:M,FALSE)</f>
        <v>40049081137432</v>
      </c>
      <c r="T13" s="265">
        <f>_xlfn.XLOOKUP(E13,'All Products'!D:D,'All Products'!N:N,FALSE)</f>
        <v>0.67200000000000004</v>
      </c>
      <c r="U13" s="265">
        <f>_xlfn.XLOOKUP(E13,'All Products'!D:D,'All Products'!P:P,FALSE)</f>
        <v>9.15</v>
      </c>
      <c r="V13" s="265">
        <f>_xlfn.XLOOKUP(E13,'All Products'!D:D,'All Products'!Q:Q,FALSE)</f>
        <v>0.65</v>
      </c>
    </row>
    <row r="14" spans="1:22" ht="14.4">
      <c r="A14" s="101" t="str">
        <f>IF(K14&gt;0,COUNT($A$8:A13)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+COUNT(FlexibleRepairCouplings!$A$9:$A$11)+1,"")</f>
        <v/>
      </c>
      <c r="B14" s="612"/>
      <c r="C14" s="613"/>
      <c r="D14" s="485" t="str">
        <f>_xlfn.XLOOKUP(E14,'All Products'!D:D,'All Products'!C:C,FALSE)</f>
        <v>DF-020</v>
      </c>
      <c r="E14" s="103">
        <v>100026150</v>
      </c>
      <c r="F14" s="144" t="str">
        <f>_xlfn.XLOOKUP(E14,'All Products'!D:D,'All Products'!E:E,FALSE)</f>
        <v>2 DURA FIX</v>
      </c>
      <c r="G14" s="103">
        <f>_xlfn.XLOOKUP(E14,'All Products'!D:D,'All Products'!F:F,FALSE)</f>
        <v>10</v>
      </c>
      <c r="H14" s="103">
        <f>_xlfn.XLOOKUP(E14,'All Products'!D:D,'All Products'!G:G,FALSE)</f>
        <v>900</v>
      </c>
      <c r="I14" s="142">
        <f>_xlfn.XLOOKUP(E14,'All Products'!D:D,'All Products'!H:H,FALSE)</f>
        <v>55.82</v>
      </c>
      <c r="J14" s="173">
        <f>ROUNDUP(I14*Order_Quote!$L$24,2)</f>
        <v>55.82</v>
      </c>
      <c r="K14" s="75"/>
      <c r="L14" s="239"/>
      <c r="M14" s="171">
        <f t="shared" si="0"/>
        <v>0</v>
      </c>
      <c r="O14" s="215" t="str">
        <f>_xlfn.XLOOKUP(E14,'All Products'!D:D,'All Products'!I:I,FALSE)</f>
        <v>In Stock</v>
      </c>
      <c r="P14" s="215" t="str">
        <f>_xlfn.XLOOKUP(E14,'All Products'!D:D,'All Products'!J:J,FALSE)</f>
        <v>Manufactured</v>
      </c>
      <c r="Q14" s="266">
        <f>_xlfn.XLOOKUP(E14,'All Products'!D:D,'All Products'!K:K,FALSE)</f>
        <v>49081137441</v>
      </c>
      <c r="R14" s="266" t="str">
        <f>_xlfn.XLOOKUP(E14,'All Products'!D:D,'All Products'!L:L,FALSE)</f>
        <v>-</v>
      </c>
      <c r="S14" s="266">
        <f>_xlfn.XLOOKUP(E14,'All Products'!D:D,'All Products'!M:M,FALSE)</f>
        <v>40049081137449</v>
      </c>
      <c r="T14" s="265">
        <f>_xlfn.XLOOKUP(E14,'All Products'!D:D,'All Products'!N:N,FALSE)</f>
        <v>1.34</v>
      </c>
      <c r="U14" s="265">
        <f>_xlfn.XLOOKUP(E14,'All Products'!D:D,'All Products'!P:P,FALSE)</f>
        <v>13.4</v>
      </c>
      <c r="V14" s="265">
        <f>_xlfn.XLOOKUP(E14,'All Products'!D:D,'All Products'!Q:Q,FALSE)</f>
        <v>0.8</v>
      </c>
    </row>
    <row r="15" spans="1:22" s="139" customFormat="1" ht="14.4">
      <c r="A15" s="261">
        <f>MAX(A9:A14)+1</f>
        <v>1</v>
      </c>
      <c r="I15" s="141"/>
      <c r="Q15" s="463"/>
      <c r="R15" s="463"/>
      <c r="S15" s="463"/>
    </row>
  </sheetData>
  <sheetProtection algorithmName="SHA-512" hashValue="feJOreqXdbC/WXcO2qOX+DTq1h75h/bgU6xYCA9ixW8fk9DomoWu46H1cJDa5RNjTOumBzSopW1a4cBJXLGscQ==" saltValue="EmRMMQg11UbOBfNba0IGGw==" spinCount="100000" sheet="1" formatCells="0" formatColumns="0" formatRows="0" insertColumns="0" insertRows="0" insertHyperlinks="0" deleteColumns="0" deleteRows="0" sort="0" autoFilter="0" pivotTables="0"/>
  <mergeCells count="2">
    <mergeCell ref="Q6:S6"/>
    <mergeCell ref="B9:C14"/>
  </mergeCells>
  <dataValidations count="5">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L9:L14" xr:uid="{A50D0C50-8643-4651-80A8-5E34B92B4238}">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7:L8" xr:uid="{1A1E39A8-6299-464A-B00C-7A5C7D01C599}">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E78C045A-9D6F-4061-AFDE-CF51A40D164C}">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232:L63899 L1:L6" xr:uid="{79584A98-E5DD-435A-BAE2-AE934B1A24C9}">
      <formula1>1</formula1>
    </dataValidation>
    <dataValidation allowBlank="1" showErrorMessage="1" sqref="K1:K1048576" xr:uid="{F57C6524-6A5B-4B9E-8661-9D60116AF6A0}"/>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512A0-A8C0-4F55-8B0E-E4307BC94384}">
  <sheetPr codeName="Sheet28">
    <tabColor theme="0"/>
    <pageSetUpPr fitToPage="1"/>
  </sheetPr>
  <dimension ref="A1:AK16"/>
  <sheetViews>
    <sheetView workbookViewId="0">
      <selection activeCell="B8" sqref="B8:C15"/>
    </sheetView>
  </sheetViews>
  <sheetFormatPr defaultColWidth="0" defaultRowHeight="0" customHeight="1" zeroHeight="1"/>
  <cols>
    <col min="1" max="1" width="2.33203125" style="5" customWidth="1"/>
    <col min="2" max="3" width="8.6640625" style="2" customWidth="1"/>
    <col min="4" max="5" width="12.6640625" style="20" customWidth="1"/>
    <col min="6" max="6" width="50.6640625" style="184" customWidth="1"/>
    <col min="7" max="8" width="10.6640625" style="4" customWidth="1"/>
    <col min="9" max="9" width="10.6640625" style="116" customWidth="1"/>
    <col min="10" max="10" width="10.6640625" style="182" customWidth="1"/>
    <col min="11" max="11" width="10.6640625" style="2" customWidth="1"/>
    <col min="12" max="12" width="1" style="2" customWidth="1"/>
    <col min="13" max="13" width="10.6640625" style="2" customWidth="1"/>
    <col min="14" max="14" width="2.33203125" style="2" customWidth="1"/>
    <col min="15" max="15" width="12.6640625" style="184" customWidth="1"/>
    <col min="16" max="16" width="10.6640625" style="184" customWidth="1"/>
    <col min="17" max="17" width="11.33203125" style="395" customWidth="1"/>
    <col min="18" max="18" width="10.6640625" style="395" customWidth="1"/>
    <col min="19" max="19" width="13.109375" style="395" customWidth="1"/>
    <col min="20" max="23" width="10.6640625" style="184" customWidth="1"/>
    <col min="24" max="24" width="9.109375" style="2" customWidth="1"/>
    <col min="25" max="25" width="2.109375" style="2" customWidth="1"/>
    <col min="26" max="26" width="0" style="11" hidden="1" customWidth="1"/>
    <col min="27" max="37" width="0" style="2" hidden="1" customWidth="1"/>
    <col min="38" max="16384" width="9.109375" style="2" hidden="1"/>
  </cols>
  <sheetData>
    <row r="1" spans="1:26" ht="18">
      <c r="F1" s="211" t="s">
        <v>42</v>
      </c>
      <c r="G1" s="152"/>
      <c r="H1" s="152"/>
      <c r="O1" s="152"/>
      <c r="P1" s="152"/>
      <c r="Q1" s="491"/>
      <c r="R1" s="491"/>
      <c r="S1" s="491"/>
      <c r="T1" s="152"/>
      <c r="U1" s="152"/>
      <c r="V1" s="152"/>
      <c r="W1" s="152"/>
    </row>
    <row r="2" spans="1:26" ht="15.75" customHeight="1">
      <c r="D2" s="200"/>
      <c r="E2" s="218"/>
      <c r="J2" s="661" t="s">
        <v>59</v>
      </c>
      <c r="K2" s="661"/>
    </row>
    <row r="3" spans="1:26" ht="14.4">
      <c r="F3" s="323" t="s">
        <v>2381</v>
      </c>
      <c r="J3" s="661"/>
      <c r="K3" s="661"/>
      <c r="O3" s="2"/>
    </row>
    <row r="4" spans="1:26" ht="14.4">
      <c r="E4" s="147" t="s">
        <v>5738</v>
      </c>
      <c r="F4" s="327" t="s">
        <v>5996</v>
      </c>
      <c r="I4" s="117"/>
      <c r="O4" s="2"/>
      <c r="P4" s="2"/>
      <c r="Q4" s="9"/>
      <c r="R4" s="9"/>
      <c r="S4" s="9"/>
      <c r="T4" s="2"/>
      <c r="U4" s="2"/>
      <c r="V4" s="2"/>
      <c r="W4" s="2"/>
    </row>
    <row r="5" spans="1:26" ht="14.4">
      <c r="F5" s="325" t="s">
        <v>5973</v>
      </c>
      <c r="I5" s="117"/>
      <c r="O5" s="2"/>
      <c r="P5" s="2"/>
      <c r="Q5" s="9"/>
      <c r="R5" s="9"/>
      <c r="S5" s="9"/>
      <c r="T5" s="2"/>
      <c r="U5" s="2"/>
      <c r="V5" s="2"/>
      <c r="W5" s="2"/>
    </row>
    <row r="6" spans="1:26" ht="14.4">
      <c r="F6" s="17"/>
      <c r="G6" s="20"/>
      <c r="H6" s="20"/>
      <c r="I6" s="117"/>
      <c r="O6" s="17"/>
      <c r="P6" s="17"/>
      <c r="Q6" s="662" t="s">
        <v>64</v>
      </c>
      <c r="R6" s="662"/>
      <c r="S6" s="662"/>
      <c r="T6" s="17"/>
      <c r="U6" s="17"/>
      <c r="V6" s="17"/>
      <c r="W6" s="17"/>
    </row>
    <row r="7" spans="1:26" s="17" customFormat="1" ht="36" customHeight="1">
      <c r="A7" s="43"/>
      <c r="B7" s="136"/>
      <c r="C7" s="136"/>
      <c r="D7" s="136" t="s">
        <v>48</v>
      </c>
      <c r="E7" s="136" t="s">
        <v>49</v>
      </c>
      <c r="F7" s="136" t="s">
        <v>50</v>
      </c>
      <c r="G7" s="136" t="s">
        <v>65</v>
      </c>
      <c r="H7" s="136" t="s">
        <v>66</v>
      </c>
      <c r="I7" s="157" t="s">
        <v>51</v>
      </c>
      <c r="J7" s="157" t="s">
        <v>55</v>
      </c>
      <c r="K7" s="158" t="s">
        <v>52</v>
      </c>
      <c r="M7" s="143" t="s">
        <v>67</v>
      </c>
      <c r="O7" s="213" t="s">
        <v>68</v>
      </c>
      <c r="P7" s="213" t="s">
        <v>69</v>
      </c>
      <c r="Q7" s="396" t="s">
        <v>70</v>
      </c>
      <c r="R7" s="396" t="s">
        <v>71</v>
      </c>
      <c r="S7" s="396" t="s">
        <v>72</v>
      </c>
      <c r="T7" s="213" t="s">
        <v>73</v>
      </c>
      <c r="U7" s="213" t="s">
        <v>333</v>
      </c>
      <c r="V7" s="213" t="s">
        <v>328</v>
      </c>
      <c r="W7" s="213" t="s">
        <v>329</v>
      </c>
      <c r="Z7" s="216"/>
    </row>
    <row r="8" spans="1:26" ht="15" customHeight="1">
      <c r="A8" s="101" t="str">
        <f>IF(K8&gt;0,COUNT($A7:A$7)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+COUNT(DuraFix!$A$9:$A$14)+1,"")</f>
        <v/>
      </c>
      <c r="B8" s="644"/>
      <c r="C8" s="645"/>
      <c r="D8" s="229" t="str">
        <f>_xlfn.XLOOKUP(E8,'All Products'!D:D,'All Products'!C:C,FALSE)</f>
        <v>SC29-030</v>
      </c>
      <c r="E8" s="51">
        <v>100026070</v>
      </c>
      <c r="F8" s="53" t="str">
        <f>_xlfn.XLOOKUP(E8,'All Products'!D:D,'All Products'!E:E,FALSE)</f>
        <v>3" COMPRESSION COUPL</v>
      </c>
      <c r="G8" s="232">
        <f>_xlfn.XLOOKUP(E8,'All Products'!D:D,'All Products'!F:F,FALSE)</f>
        <v>4</v>
      </c>
      <c r="H8" s="232">
        <f>_xlfn.XLOOKUP(E8,'All Products'!D:D,'All Products'!G:G,FALSE)</f>
        <v>0</v>
      </c>
      <c r="I8" s="123">
        <f>_xlfn.XLOOKUP(E8,'All Products'!D:D,'All Products'!H:H,FALSE)</f>
        <v>91.74</v>
      </c>
      <c r="J8" s="183">
        <f>ROUND(I8*Order_Quote!$L$25,2)</f>
        <v>91.74</v>
      </c>
      <c r="K8" s="71"/>
      <c r="L8" s="48"/>
      <c r="M8" s="46">
        <f t="shared" ref="M8:M15" si="0">K8/G8</f>
        <v>0</v>
      </c>
      <c r="O8" s="215" t="str">
        <f>_xlfn.XLOOKUP(E8,'All Products'!D:D,'All Products'!I:I,FALSE)</f>
        <v>Within 3 Weeks</v>
      </c>
      <c r="P8" s="215" t="str">
        <f>_xlfn.XLOOKUP(E8,'All Products'!D:D,'All Products'!J:J,FALSE)</f>
        <v>Sourced</v>
      </c>
      <c r="Q8" s="266">
        <f>_xlfn.XLOOKUP(E8,'All Products'!D:D,'All Products'!K:K,FALSE)</f>
        <v>49081404147</v>
      </c>
      <c r="R8" s="266" t="str">
        <f>_xlfn.XLOOKUP(E8,'All Products'!D:D,'All Products'!L:L,FALSE)</f>
        <v>-</v>
      </c>
      <c r="S8" s="266">
        <f>_xlfn.XLOOKUP(E8,'All Products'!D:D,'All Products'!M:M,FALSE)</f>
        <v>40049081404145</v>
      </c>
      <c r="T8" s="264">
        <f>_xlfn.XLOOKUP(E8,'All Products'!D:D,'All Products'!N:N,FALSE)</f>
        <v>2.2000000000000002</v>
      </c>
      <c r="U8" s="266" t="str">
        <f>_xlfn.XLOOKUP(E8,'All Products'!D:D,'All Products'!O:O,FALSE)</f>
        <v>-</v>
      </c>
      <c r="V8" s="264">
        <f>_xlfn.XLOOKUP(E8,'All Products'!D:D,'All Products'!P:P,FALSE)</f>
        <v>12.9</v>
      </c>
      <c r="W8" s="265">
        <f>_xlfn.XLOOKUP(E8,'All Products'!D:D,'All Products'!Q:Q,FALSE)</f>
        <v>0.87</v>
      </c>
    </row>
    <row r="9" spans="1:26" ht="15" customHeight="1">
      <c r="A9" s="101" t="str">
        <f>IF(K9&gt;0,COUNT($A$7:A8)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+COUNT(DuraFix!$A$9:$A$14)+1,"")</f>
        <v/>
      </c>
      <c r="B9" s="646"/>
      <c r="C9" s="647"/>
      <c r="D9" s="229" t="str">
        <f>_xlfn.XLOOKUP(E9,'All Products'!D:D,'All Products'!C:C,FALSE)</f>
        <v>SC29-040</v>
      </c>
      <c r="E9" s="194">
        <v>100026071</v>
      </c>
      <c r="F9" s="53" t="str">
        <f>_xlfn.XLOOKUP(E9,'All Products'!D:D,'All Products'!E:E,FALSE)</f>
        <v>4" COMPRESSION COUPL</v>
      </c>
      <c r="G9" s="232">
        <f>_xlfn.XLOOKUP(E9,'All Products'!D:D,'All Products'!F:F,FALSE)</f>
        <v>2</v>
      </c>
      <c r="H9" s="232">
        <f>_xlfn.XLOOKUP(E9,'All Products'!D:D,'All Products'!G:G,FALSE)</f>
        <v>0</v>
      </c>
      <c r="I9" s="123">
        <f>_xlfn.XLOOKUP(E9,'All Products'!D:D,'All Products'!H:H,FALSE)</f>
        <v>137.38</v>
      </c>
      <c r="J9" s="183">
        <f>ROUND(I9*Order_Quote!$L$25,2)</f>
        <v>137.38</v>
      </c>
      <c r="K9" s="71"/>
      <c r="L9" s="48"/>
      <c r="M9" s="46">
        <f t="shared" si="0"/>
        <v>0</v>
      </c>
      <c r="O9" s="215" t="str">
        <f>_xlfn.XLOOKUP(E9,'All Products'!D:D,'All Products'!I:I,FALSE)</f>
        <v>Within 3 Weeks</v>
      </c>
      <c r="P9" s="215" t="str">
        <f>_xlfn.XLOOKUP(E9,'All Products'!D:D,'All Products'!J:J,FALSE)</f>
        <v>Sourced</v>
      </c>
      <c r="Q9" s="266">
        <f>_xlfn.XLOOKUP(E9,'All Products'!D:D,'All Products'!K:K,FALSE)</f>
        <v>49081404161</v>
      </c>
      <c r="R9" s="266" t="str">
        <f>_xlfn.XLOOKUP(E9,'All Products'!D:D,'All Products'!L:L,FALSE)</f>
        <v>-</v>
      </c>
      <c r="S9" s="266">
        <f>_xlfn.XLOOKUP(E9,'All Products'!D:D,'All Products'!M:M,FALSE)</f>
        <v>40049081404169</v>
      </c>
      <c r="T9" s="264">
        <f>_xlfn.XLOOKUP(E9,'All Products'!D:D,'All Products'!N:N,FALSE)</f>
        <v>4.8689999999999998</v>
      </c>
      <c r="U9" s="266" t="str">
        <f>_xlfn.XLOOKUP(E9,'All Products'!D:D,'All Products'!O:O,FALSE)</f>
        <v>-</v>
      </c>
      <c r="V9" s="264">
        <f>_xlfn.XLOOKUP(E9,'All Products'!D:D,'All Products'!P:P,FALSE)</f>
        <v>29.4</v>
      </c>
      <c r="W9" s="265">
        <f>_xlfn.XLOOKUP(E9,'All Products'!D:D,'All Products'!Q:Q,FALSE)</f>
        <v>0.71</v>
      </c>
    </row>
    <row r="10" spans="1:26" ht="15" customHeight="1">
      <c r="A10" s="101" t="str">
        <f>IF(K10&gt;0,COUNT($A$7:A9)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+COUNT(DuraFix!$A$9:$A$14)+1,"")</f>
        <v/>
      </c>
      <c r="B10" s="646"/>
      <c r="C10" s="647"/>
      <c r="D10" s="229" t="str">
        <f>_xlfn.XLOOKUP(E10,'All Products'!D:D,'All Products'!C:C,FALSE)</f>
        <v>SC29-025</v>
      </c>
      <c r="E10" s="194">
        <v>100026069</v>
      </c>
      <c r="F10" s="53" t="str">
        <f>_xlfn.XLOOKUP(E10,'All Products'!D:D,'All Products'!E:E,FALSE)</f>
        <v>2.1/2" COMPRESSION COUPL</v>
      </c>
      <c r="G10" s="232">
        <f>_xlfn.XLOOKUP(E10,'All Products'!D:D,'All Products'!F:F,FALSE)</f>
        <v>10</v>
      </c>
      <c r="H10" s="232">
        <f>_xlfn.XLOOKUP(E10,'All Products'!D:D,'All Products'!G:G,FALSE)</f>
        <v>0</v>
      </c>
      <c r="I10" s="123">
        <f>_xlfn.XLOOKUP(E10,'All Products'!D:D,'All Products'!H:H,FALSE)</f>
        <v>70.03</v>
      </c>
      <c r="J10" s="183">
        <f>ROUND(I10*Order_Quote!$L$25,2)</f>
        <v>70.03</v>
      </c>
      <c r="K10" s="71"/>
      <c r="L10" s="48"/>
      <c r="M10" s="46">
        <f t="shared" si="0"/>
        <v>0</v>
      </c>
      <c r="O10" s="215" t="str">
        <f>_xlfn.XLOOKUP(E10,'All Products'!D:D,'All Products'!I:I,FALSE)</f>
        <v>Within 3 Weeks</v>
      </c>
      <c r="P10" s="215" t="str">
        <f>_xlfn.XLOOKUP(E10,'All Products'!D:D,'All Products'!J:J,FALSE)</f>
        <v>Sourced</v>
      </c>
      <c r="Q10" s="266">
        <f>_xlfn.XLOOKUP(E10,'All Products'!D:D,'All Products'!K:K,FALSE)</f>
        <v>49081404123</v>
      </c>
      <c r="R10" s="266" t="str">
        <f>_xlfn.XLOOKUP(E10,'All Products'!D:D,'All Products'!L:L,FALSE)</f>
        <v>-</v>
      </c>
      <c r="S10" s="266">
        <f>_xlfn.XLOOKUP(E10,'All Products'!D:D,'All Products'!M:M,FALSE)</f>
        <v>40049081404121</v>
      </c>
      <c r="T10" s="264">
        <f>_xlfn.XLOOKUP(E10,'All Products'!D:D,'All Products'!N:N,FALSE)</f>
        <v>2.3290000000000002</v>
      </c>
      <c r="U10" s="266" t="str">
        <f>_xlfn.XLOOKUP(E10,'All Products'!D:D,'All Products'!O:O,FALSE)</f>
        <v>-</v>
      </c>
      <c r="V10" s="264">
        <f>_xlfn.XLOOKUP(E10,'All Products'!D:D,'All Products'!P:P,FALSE)</f>
        <v>23.29</v>
      </c>
      <c r="W10" s="265">
        <f>_xlfn.XLOOKUP(E10,'All Products'!D:D,'All Products'!Q:Q,FALSE)</f>
        <v>1.38</v>
      </c>
    </row>
    <row r="11" spans="1:26" ht="15" customHeight="1">
      <c r="A11" s="101" t="str">
        <f>IF(K11&gt;0,COUNT($A$7:A10)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+COUNT(DuraFix!$A$9:$A$14)+1,"")</f>
        <v/>
      </c>
      <c r="B11" s="646"/>
      <c r="C11" s="647"/>
      <c r="D11" s="229" t="str">
        <f>_xlfn.XLOOKUP(E11,'All Products'!D:D,'All Products'!C:C,FALSE)</f>
        <v>SC29-020</v>
      </c>
      <c r="E11" s="194">
        <v>100026068</v>
      </c>
      <c r="F11" s="53" t="str">
        <f>_xlfn.XLOOKUP(E11,'All Products'!D:D,'All Products'!E:E,FALSE)</f>
        <v>2" COMPRESSION COUPL</v>
      </c>
      <c r="G11" s="232">
        <f>_xlfn.XLOOKUP(E11,'All Products'!D:D,'All Products'!F:F,FALSE)</f>
        <v>20</v>
      </c>
      <c r="H11" s="232">
        <f>_xlfn.XLOOKUP(E11,'All Products'!D:D,'All Products'!G:G,FALSE)</f>
        <v>0</v>
      </c>
      <c r="I11" s="123">
        <f>_xlfn.XLOOKUP(E11,'All Products'!D:D,'All Products'!H:H,FALSE)</f>
        <v>32.79</v>
      </c>
      <c r="J11" s="183">
        <f>ROUND(I11*Order_Quote!$L$25,2)</f>
        <v>32.79</v>
      </c>
      <c r="K11" s="71"/>
      <c r="L11" s="48"/>
      <c r="M11" s="46">
        <f t="shared" si="0"/>
        <v>0</v>
      </c>
      <c r="O11" s="215" t="str">
        <f>_xlfn.XLOOKUP(E11,'All Products'!D:D,'All Products'!I:I,FALSE)</f>
        <v>Within 3 Weeks</v>
      </c>
      <c r="P11" s="215" t="str">
        <f>_xlfn.XLOOKUP(E11,'All Products'!D:D,'All Products'!J:J,FALSE)</f>
        <v>Sourced</v>
      </c>
      <c r="Q11" s="266">
        <f>_xlfn.XLOOKUP(E11,'All Products'!D:D,'All Products'!K:K,FALSE)</f>
        <v>49081404109</v>
      </c>
      <c r="R11" s="266" t="str">
        <f>_xlfn.XLOOKUP(E11,'All Products'!D:D,'All Products'!L:L,FALSE)</f>
        <v>-</v>
      </c>
      <c r="S11" s="266">
        <f>_xlfn.XLOOKUP(E11,'All Products'!D:D,'All Products'!M:M,FALSE)</f>
        <v>40049081404107</v>
      </c>
      <c r="T11" s="264">
        <f>_xlfn.XLOOKUP(E11,'All Products'!D:D,'All Products'!N:N,FALSE)</f>
        <v>2.2549999999999999</v>
      </c>
      <c r="U11" s="266" t="str">
        <f>_xlfn.XLOOKUP(E11,'All Products'!D:D,'All Products'!O:O,FALSE)</f>
        <v>-</v>
      </c>
      <c r="V11" s="264">
        <f>_xlfn.XLOOKUP(E11,'All Products'!D:D,'All Products'!P:P,FALSE)</f>
        <v>24.7</v>
      </c>
      <c r="W11" s="265">
        <f>_xlfn.XLOOKUP(E11,'All Products'!D:D,'All Products'!Q:Q,FALSE)</f>
        <v>1.45</v>
      </c>
    </row>
    <row r="12" spans="1:26" ht="15" customHeight="1">
      <c r="A12" s="101" t="str">
        <f>IF(K12&gt;0,COUNT($A$7:A11)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+COUNT(DuraFix!$A$9:$A$14)+1,"")</f>
        <v/>
      </c>
      <c r="B12" s="646"/>
      <c r="C12" s="647"/>
      <c r="D12" s="229" t="str">
        <f>_xlfn.XLOOKUP(E12,'All Products'!D:D,'All Products'!C:C,FALSE)</f>
        <v>SC29-060</v>
      </c>
      <c r="E12" s="193">
        <v>100026072</v>
      </c>
      <c r="F12" s="53" t="str">
        <f>_xlfn.XLOOKUP(E12,'All Products'!D:D,'All Products'!E:E,FALSE)</f>
        <v>6" COMPRESSION COUPL</v>
      </c>
      <c r="G12" s="232">
        <f>_xlfn.XLOOKUP(E12,'All Products'!D:D,'All Products'!F:F,FALSE)</f>
        <v>6</v>
      </c>
      <c r="H12" s="232">
        <f>_xlfn.XLOOKUP(E12,'All Products'!D:D,'All Products'!G:G,FALSE)</f>
        <v>0</v>
      </c>
      <c r="I12" s="123">
        <f>_xlfn.XLOOKUP(E12,'All Products'!D:D,'All Products'!H:H,FALSE)</f>
        <v>295.75</v>
      </c>
      <c r="J12" s="183">
        <f>ROUND(I12*Order_Quote!$L$25,2)</f>
        <v>295.75</v>
      </c>
      <c r="K12" s="72"/>
      <c r="L12" s="48"/>
      <c r="M12" s="46">
        <f t="shared" si="0"/>
        <v>0</v>
      </c>
      <c r="O12" s="215" t="str">
        <f>_xlfn.XLOOKUP(E12,'All Products'!D:D,'All Products'!I:I,FALSE)</f>
        <v>Within 3 Weeks</v>
      </c>
      <c r="P12" s="215" t="str">
        <f>_xlfn.XLOOKUP(E12,'All Products'!D:D,'All Products'!J:J,FALSE)</f>
        <v>Sourced</v>
      </c>
      <c r="Q12" s="266">
        <f>_xlfn.XLOOKUP(E12,'All Products'!D:D,'All Products'!K:K,FALSE)</f>
        <v>49081404185</v>
      </c>
      <c r="R12" s="266" t="str">
        <f>_xlfn.XLOOKUP(E12,'All Products'!D:D,'All Products'!L:L,FALSE)</f>
        <v>-</v>
      </c>
      <c r="S12" s="266">
        <f>_xlfn.XLOOKUP(E12,'All Products'!D:D,'All Products'!M:M,FALSE)</f>
        <v>40049081404183</v>
      </c>
      <c r="T12" s="264">
        <f>_xlfn.XLOOKUP(E12,'All Products'!D:D,'All Products'!N:N,FALSE)</f>
        <v>7.3570000000000002</v>
      </c>
      <c r="U12" s="266" t="str">
        <f>_xlfn.XLOOKUP(E12,'All Products'!D:D,'All Products'!O:O,FALSE)</f>
        <v>-</v>
      </c>
      <c r="V12" s="264">
        <f>_xlfn.XLOOKUP(E12,'All Products'!D:D,'All Products'!P:P,FALSE)</f>
        <v>44.14</v>
      </c>
      <c r="W12" s="265">
        <f>_xlfn.XLOOKUP(E12,'All Products'!D:D,'All Products'!Q:Q,FALSE)</f>
        <v>3.51</v>
      </c>
    </row>
    <row r="13" spans="1:26" ht="15" customHeight="1">
      <c r="A13" s="101" t="str">
        <f>IF(K13&gt;0,COUNT($A$7:A12)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+COUNT(DuraFix!$A$9:$A$14)+1,"")</f>
        <v/>
      </c>
      <c r="B13" s="646"/>
      <c r="C13" s="647"/>
      <c r="D13" s="229" t="str">
        <f>_xlfn.XLOOKUP(E13,'All Products'!D:D,'All Products'!C:C,FALSE)</f>
        <v>SC29-007</v>
      </c>
      <c r="E13" s="51">
        <v>100026064</v>
      </c>
      <c r="F13" s="53" t="str">
        <f>_xlfn.XLOOKUP(E13,'All Products'!D:D,'All Products'!E:E,FALSE)</f>
        <v>3/4" COMPRESSION COUPL</v>
      </c>
      <c r="G13" s="232">
        <f>_xlfn.XLOOKUP(E13,'All Products'!D:D,'All Products'!F:F,FALSE)</f>
        <v>120</v>
      </c>
      <c r="H13" s="232">
        <f>_xlfn.XLOOKUP(E13,'All Products'!D:D,'All Products'!G:G,FALSE)</f>
        <v>0</v>
      </c>
      <c r="I13" s="123">
        <f>_xlfn.XLOOKUP(E13,'All Products'!D:D,'All Products'!H:H,FALSE)</f>
        <v>10.34</v>
      </c>
      <c r="J13" s="183">
        <f>ROUND(I13*Order_Quote!$L$25,2)</f>
        <v>10.34</v>
      </c>
      <c r="K13" s="71"/>
      <c r="L13" s="48"/>
      <c r="M13" s="46">
        <f t="shared" si="0"/>
        <v>0</v>
      </c>
      <c r="O13" s="215" t="str">
        <f>_xlfn.XLOOKUP(E13,'All Products'!D:D,'All Products'!I:I,FALSE)</f>
        <v>Within 4 Months</v>
      </c>
      <c r="P13" s="215" t="str">
        <f>_xlfn.XLOOKUP(E13,'All Products'!D:D,'All Products'!J:J,FALSE)</f>
        <v>Sourced</v>
      </c>
      <c r="Q13" s="266">
        <f>_xlfn.XLOOKUP(E13,'All Products'!D:D,'All Products'!K:K,FALSE)</f>
        <v>49081404024</v>
      </c>
      <c r="R13" s="266" t="str">
        <f>_xlfn.XLOOKUP(E13,'All Products'!D:D,'All Products'!L:L,FALSE)</f>
        <v>-</v>
      </c>
      <c r="S13" s="266">
        <f>_xlfn.XLOOKUP(E13,'All Products'!D:D,'All Products'!M:M,FALSE)</f>
        <v>40049081404022</v>
      </c>
      <c r="T13" s="264">
        <f>_xlfn.XLOOKUP(E13,'All Products'!D:D,'All Products'!N:N,FALSE)</f>
        <v>0.36199999999999999</v>
      </c>
      <c r="U13" s="266" t="str">
        <f>_xlfn.XLOOKUP(E13,'All Products'!D:D,'All Products'!O:O,FALSE)</f>
        <v>-</v>
      </c>
      <c r="V13" s="264">
        <f>_xlfn.XLOOKUP(E13,'All Products'!D:D,'All Products'!P:P,FALSE)</f>
        <v>31.24</v>
      </c>
      <c r="W13" s="265">
        <f>_xlfn.XLOOKUP(E13,'All Products'!D:D,'All Products'!Q:Q,FALSE)</f>
        <v>1.38</v>
      </c>
    </row>
    <row r="14" spans="1:26" ht="15" customHeight="1">
      <c r="A14" s="101" t="str">
        <f>IF(K14&gt;0,COUNT($A$7:A13)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+COUNT(DuraFix!$A$9:$A$14)+1,"")</f>
        <v/>
      </c>
      <c r="B14" s="646"/>
      <c r="C14" s="647"/>
      <c r="D14" s="229" t="str">
        <f>_xlfn.XLOOKUP(E14,'All Products'!D:D,'All Products'!C:C,FALSE)</f>
        <v>SC29-015</v>
      </c>
      <c r="E14" s="51">
        <v>100026067</v>
      </c>
      <c r="F14" s="53" t="str">
        <f>_xlfn.XLOOKUP(E14,'All Products'!D:D,'All Products'!E:E,FALSE)</f>
        <v>1.1/2" COMPRESSION COUPL</v>
      </c>
      <c r="G14" s="232">
        <f>_xlfn.XLOOKUP(E14,'All Products'!D:D,'All Products'!F:F,FALSE)</f>
        <v>54</v>
      </c>
      <c r="H14" s="232">
        <f>_xlfn.XLOOKUP(E14,'All Products'!D:D,'All Products'!G:G,FALSE)</f>
        <v>0</v>
      </c>
      <c r="I14" s="123">
        <f>_xlfn.XLOOKUP(E14,'All Products'!D:D,'All Products'!H:H,FALSE)</f>
        <v>23.14</v>
      </c>
      <c r="J14" s="183">
        <f>ROUND(I14*Order_Quote!$L$25,2)</f>
        <v>23.14</v>
      </c>
      <c r="K14" s="71"/>
      <c r="L14" s="48"/>
      <c r="M14" s="46">
        <f t="shared" si="0"/>
        <v>0</v>
      </c>
      <c r="O14" s="215" t="str">
        <f>_xlfn.XLOOKUP(E14,'All Products'!D:D,'All Products'!I:I,FALSE)</f>
        <v>Within 4 Months</v>
      </c>
      <c r="P14" s="215" t="str">
        <f>_xlfn.XLOOKUP(E14,'All Products'!D:D,'All Products'!J:J,FALSE)</f>
        <v>Sourced</v>
      </c>
      <c r="Q14" s="266">
        <f>_xlfn.XLOOKUP(E14,'All Products'!D:D,'All Products'!K:K,FALSE)</f>
        <v>49081404086</v>
      </c>
      <c r="R14" s="266" t="str">
        <f>_xlfn.XLOOKUP(E14,'All Products'!D:D,'All Products'!L:L,FALSE)</f>
        <v>-</v>
      </c>
      <c r="S14" s="266">
        <f>_xlfn.XLOOKUP(E14,'All Products'!D:D,'All Products'!M:M,FALSE)</f>
        <v>40049081404084</v>
      </c>
      <c r="T14" s="264">
        <f>_xlfn.XLOOKUP(E14,'All Products'!D:D,'All Products'!N:N,FALSE)</f>
        <v>0.877</v>
      </c>
      <c r="U14" s="266" t="str">
        <f>_xlfn.XLOOKUP(E14,'All Products'!D:D,'All Products'!O:O,FALSE)</f>
        <v>-</v>
      </c>
      <c r="V14" s="264">
        <f>_xlfn.XLOOKUP(E14,'All Products'!D:D,'All Products'!P:P,FALSE)</f>
        <v>47.375</v>
      </c>
      <c r="W14" s="265" t="str">
        <f>_xlfn.XLOOKUP(E14,'All Products'!D:D,'All Products'!Q:Q,FALSE)</f>
        <v>-</v>
      </c>
    </row>
    <row r="15" spans="1:26" ht="15" customHeight="1">
      <c r="A15" s="101" t="str">
        <f>IF(K15&gt;0,COUNT($A$7:A14)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+COUNT(DuraFix!$A$9:$A$14)+1,"")</f>
        <v/>
      </c>
      <c r="B15" s="652"/>
      <c r="C15" s="653"/>
      <c r="D15" s="229" t="str">
        <f>_xlfn.XLOOKUP(E15,'All Products'!D:D,'All Products'!C:C,FALSE)</f>
        <v>SC29-010</v>
      </c>
      <c r="E15" s="51">
        <v>100026065</v>
      </c>
      <c r="F15" s="53" t="str">
        <f>_xlfn.XLOOKUP(E15,'All Products'!D:D,'All Products'!E:E,FALSE)</f>
        <v>1" COMPRESSION COUPL</v>
      </c>
      <c r="G15" s="232">
        <f>_xlfn.XLOOKUP(E15,'All Products'!D:D,'All Products'!F:F,FALSE)</f>
        <v>120</v>
      </c>
      <c r="H15" s="232">
        <f>_xlfn.XLOOKUP(E15,'All Products'!D:D,'All Products'!G:G,FALSE)</f>
        <v>0</v>
      </c>
      <c r="I15" s="123">
        <f>_xlfn.XLOOKUP(E15,'All Products'!D:D,'All Products'!H:H,FALSE)</f>
        <v>13.76</v>
      </c>
      <c r="J15" s="183">
        <f>ROUND(I15*Order_Quote!$L$25,2)</f>
        <v>13.76</v>
      </c>
      <c r="K15" s="71"/>
      <c r="L15" s="48"/>
      <c r="M15" s="46">
        <f t="shared" si="0"/>
        <v>0</v>
      </c>
      <c r="O15" s="215" t="str">
        <f>_xlfn.XLOOKUP(E15,'All Products'!D:D,'All Products'!I:I,FALSE)</f>
        <v>Within 4 Months</v>
      </c>
      <c r="P15" s="215" t="str">
        <f>_xlfn.XLOOKUP(E15,'All Products'!D:D,'All Products'!J:J,FALSE)</f>
        <v>Sourced</v>
      </c>
      <c r="Q15" s="266">
        <f>_xlfn.XLOOKUP(E15,'All Products'!D:D,'All Products'!K:K,FALSE)</f>
        <v>49081404048</v>
      </c>
      <c r="R15" s="266" t="str">
        <f>_xlfn.XLOOKUP(E15,'All Products'!D:D,'All Products'!L:L,FALSE)</f>
        <v>-</v>
      </c>
      <c r="S15" s="266">
        <f>_xlfn.XLOOKUP(E15,'All Products'!D:D,'All Products'!M:M,FALSE)</f>
        <v>40049081404046</v>
      </c>
      <c r="T15" s="264">
        <f>_xlfn.XLOOKUP(E15,'All Products'!D:D,'All Products'!N:N,FALSE)</f>
        <v>0.47599999999999998</v>
      </c>
      <c r="U15" s="266" t="str">
        <f>_xlfn.XLOOKUP(E15,'All Products'!D:D,'All Products'!O:O,FALSE)</f>
        <v>-</v>
      </c>
      <c r="V15" s="264">
        <f>_xlfn.XLOOKUP(E15,'All Products'!D:D,'All Products'!P:P,FALSE)</f>
        <v>28.99</v>
      </c>
      <c r="W15" s="265">
        <f>_xlfn.XLOOKUP(E15,'All Products'!D:D,'All Products'!Q:Q,FALSE)</f>
        <v>1.35</v>
      </c>
    </row>
    <row r="16" spans="1:26" ht="14.4">
      <c r="A16" s="5">
        <f>MAX(A8:A15)+1</f>
        <v>1</v>
      </c>
      <c r="U16" s="267"/>
    </row>
  </sheetData>
  <sheetProtection algorithmName="SHA-512" hashValue="vrijVnHxxcy8vgiJ/ttgRnaFEtwHC/euEkCwngLelSSDwcFYnpVJWQ+NM8WsRbCFZrrmoO8J5A8M5wFhP9BhMg==" saltValue="243O5yT9DwfgEWK+MkpEOA==" spinCount="100000" sheet="1" formatCells="0" formatColumns="0" formatRows="0" insertColumns="0" insertRows="0" insertHyperlinks="0" deleteColumns="0" deleteRows="0" sort="0" autoFilter="0" pivotTables="0"/>
  <mergeCells count="3">
    <mergeCell ref="J2:K3"/>
    <mergeCell ref="Q6:S6"/>
    <mergeCell ref="B8:C15"/>
  </mergeCells>
  <dataValidations count="5">
    <dataValidation type="whole" operator="greaterThanOrEqual" allowBlank="1" showInputMessage="1" showErrorMessage="1" errorTitle="Invalid Entry!" error="An invalid quantity has been entered. Please enter only whole numbers. Click Retry to change entry or Cancel to clear entry." sqref="L1:L6 L16:L65271" xr:uid="{FF483D2C-A3EE-4E75-BA25-AFCB9BC8181C}">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5A13B77F-F8BF-41AE-87C2-DD42789B51F0}">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7" xr:uid="{7B2A634D-C76C-44B9-8238-22C03F88A5D5}">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L8:L15" xr:uid="{7B307F1D-207D-4C74-837F-D7953A48F7A9}">
      <formula1>1</formula1>
    </dataValidation>
    <dataValidation allowBlank="1" showErrorMessage="1" sqref="K1:K1048576" xr:uid="{9D1A0093-4AF4-4779-BB74-9914C34D767B}"/>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BE1C9-27A0-4622-99CE-F0055921962C}">
  <sheetPr codeName="Sheet29">
    <tabColor theme="0"/>
    <pageSetUpPr fitToPage="1"/>
  </sheetPr>
  <dimension ref="A1:AK30"/>
  <sheetViews>
    <sheetView topLeftCell="A13" workbookViewId="0">
      <selection activeCell="B29" sqref="B29:C29"/>
    </sheetView>
  </sheetViews>
  <sheetFormatPr defaultColWidth="0" defaultRowHeight="0" customHeight="1" zeroHeight="1"/>
  <cols>
    <col min="1" max="1" width="2.33203125" style="43" customWidth="1"/>
    <col min="2" max="3" width="8.6640625" style="17" customWidth="1"/>
    <col min="4" max="5" width="12.6640625" style="20" customWidth="1"/>
    <col min="6" max="6" width="50.6640625" style="184" customWidth="1"/>
    <col min="7" max="8" width="10.6640625" style="20" customWidth="1"/>
    <col min="9" max="9" width="10.6640625" style="117" customWidth="1"/>
    <col min="10" max="10" width="10.6640625" style="182" customWidth="1"/>
    <col min="11" max="11" width="10.6640625" style="20" customWidth="1"/>
    <col min="12" max="12" width="1" style="17" customWidth="1"/>
    <col min="13" max="13" width="10.6640625" style="17" customWidth="1"/>
    <col min="14" max="14" width="2.33203125" style="17" customWidth="1"/>
    <col min="15" max="15" width="12.6640625" style="184" customWidth="1"/>
    <col min="16" max="16" width="10.6640625" style="184" customWidth="1"/>
    <col min="17" max="17" width="11.33203125" style="395" customWidth="1"/>
    <col min="18" max="18" width="10.6640625" style="395" customWidth="1"/>
    <col min="19" max="19" width="13.109375" style="395" customWidth="1"/>
    <col min="20" max="23" width="10.6640625" style="184" customWidth="1"/>
    <col min="24" max="24" width="9.109375" style="17" customWidth="1"/>
    <col min="25" max="25" width="2.109375" style="17" customWidth="1"/>
    <col min="26" max="26" width="0" style="216" hidden="1" customWidth="1"/>
    <col min="27" max="37" width="0" style="17" hidden="1" customWidth="1"/>
    <col min="38" max="16384" width="9.109375" style="17" hidden="1"/>
  </cols>
  <sheetData>
    <row r="1" spans="1:23" ht="18">
      <c r="A1" s="101"/>
      <c r="F1" s="155" t="s">
        <v>43</v>
      </c>
      <c r="G1" s="198"/>
      <c r="H1" s="198"/>
      <c r="O1" s="198"/>
      <c r="P1" s="198"/>
      <c r="Q1" s="389"/>
      <c r="R1" s="389"/>
      <c r="S1" s="389"/>
      <c r="T1" s="198"/>
      <c r="U1" s="198"/>
      <c r="V1" s="198"/>
      <c r="W1" s="198"/>
    </row>
    <row r="2" spans="1:23" ht="15.75" customHeight="1">
      <c r="A2" s="101"/>
      <c r="D2" s="200"/>
      <c r="E2" s="218"/>
      <c r="J2" s="607" t="s">
        <v>59</v>
      </c>
      <c r="K2" s="607"/>
    </row>
    <row r="3" spans="1:23" ht="14.4">
      <c r="A3" s="101"/>
      <c r="F3" s="323" t="s">
        <v>2398</v>
      </c>
      <c r="J3" s="607"/>
      <c r="K3" s="607"/>
      <c r="O3" s="17"/>
    </row>
    <row r="4" spans="1:23" ht="14.4">
      <c r="A4" s="101"/>
      <c r="E4" s="147" t="s">
        <v>5739</v>
      </c>
      <c r="F4" s="327" t="s">
        <v>5997</v>
      </c>
      <c r="O4" s="17"/>
      <c r="P4" s="17"/>
      <c r="Q4" s="321"/>
      <c r="R4" s="321"/>
      <c r="S4" s="321"/>
      <c r="T4" s="17"/>
      <c r="U4" s="17"/>
      <c r="V4" s="17"/>
      <c r="W4" s="17"/>
    </row>
    <row r="5" spans="1:23" ht="14.4">
      <c r="A5" s="101"/>
      <c r="F5" s="325" t="s">
        <v>5973</v>
      </c>
      <c r="O5" s="17"/>
      <c r="P5" s="17"/>
      <c r="Q5" s="321"/>
      <c r="R5" s="321"/>
      <c r="S5" s="321"/>
      <c r="T5" s="17"/>
      <c r="U5" s="17"/>
      <c r="V5" s="17"/>
      <c r="W5" s="17"/>
    </row>
    <row r="6" spans="1:23" ht="14.4">
      <c r="A6" s="101"/>
      <c r="F6" s="17"/>
      <c r="O6" s="17"/>
      <c r="P6" s="17"/>
      <c r="Q6" s="662" t="s">
        <v>64</v>
      </c>
      <c r="R6" s="662"/>
      <c r="S6" s="662"/>
      <c r="T6" s="17"/>
      <c r="U6" s="17"/>
      <c r="V6" s="17"/>
      <c r="W6" s="17"/>
    </row>
    <row r="7" spans="1:23" ht="36" customHeight="1" thickBot="1">
      <c r="B7" s="136"/>
      <c r="C7" s="136"/>
      <c r="D7" s="136" t="s">
        <v>48</v>
      </c>
      <c r="E7" s="136" t="s">
        <v>49</v>
      </c>
      <c r="F7" s="136" t="s">
        <v>50</v>
      </c>
      <c r="G7" s="136" t="s">
        <v>65</v>
      </c>
      <c r="H7" s="136" t="s">
        <v>66</v>
      </c>
      <c r="I7" s="157" t="s">
        <v>51</v>
      </c>
      <c r="J7" s="157" t="s">
        <v>55</v>
      </c>
      <c r="K7" s="158" t="s">
        <v>52</v>
      </c>
      <c r="M7" s="143" t="s">
        <v>67</v>
      </c>
      <c r="O7" s="213" t="s">
        <v>68</v>
      </c>
      <c r="P7" s="213" t="s">
        <v>69</v>
      </c>
      <c r="Q7" s="396" t="s">
        <v>70</v>
      </c>
      <c r="R7" s="396" t="s">
        <v>71</v>
      </c>
      <c r="S7" s="396" t="s">
        <v>72</v>
      </c>
      <c r="T7" s="213" t="s">
        <v>73</v>
      </c>
      <c r="U7" s="213" t="s">
        <v>333</v>
      </c>
      <c r="V7" s="213" t="s">
        <v>328</v>
      </c>
      <c r="W7" s="213" t="s">
        <v>329</v>
      </c>
    </row>
    <row r="8" spans="1:23" ht="25.5" customHeight="1">
      <c r="A8" s="101" t="str">
        <f>IF(K8&gt;0,COUNT($A7:A$7)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8" s="608"/>
      <c r="C8" s="609"/>
      <c r="D8" s="229" t="str">
        <f>_xlfn.XLOOKUP(E8,'All Products'!D:D,'All Products'!C:C,FALSE)</f>
        <v>500-005</v>
      </c>
      <c r="E8" s="51">
        <v>100026255</v>
      </c>
      <c r="F8" s="53" t="str">
        <f>_xlfn.XLOOKUP(E8,'All Products'!D:D,'All Products'!E:E,FALSE)</f>
        <v>3/4" FHT SWVL X 1/2" INSERT</v>
      </c>
      <c r="G8" s="232">
        <f>_xlfn.XLOOKUP(E8,'All Products'!D:D,'All Products'!F:F,FALSE)</f>
        <v>200</v>
      </c>
      <c r="H8" s="232">
        <f>_xlfn.XLOOKUP(E8,'All Products'!D:D,'All Products'!G:G,FALSE)</f>
        <v>24000</v>
      </c>
      <c r="I8" s="123">
        <f>_xlfn.XLOOKUP(E8,'All Products'!D:D,'All Products'!H:H,FALSE)</f>
        <v>6.5</v>
      </c>
      <c r="J8" s="183">
        <f>ROUND(I8*Order_Quote!$L$25,2)</f>
        <v>6.5</v>
      </c>
      <c r="K8" s="172"/>
      <c r="L8" s="76"/>
      <c r="M8" s="114">
        <f t="shared" ref="M8:M29" si="0">K8/G8</f>
        <v>0</v>
      </c>
      <c r="N8" s="352"/>
      <c r="O8" s="215" t="str">
        <f>_xlfn.XLOOKUP(E8,'All Products'!D:D,'All Products'!I:I,FALSE)</f>
        <v>In Stock</v>
      </c>
      <c r="P8" s="215" t="str">
        <f>_xlfn.XLOOKUP(E8,'All Products'!D:D,'All Products'!J:J,FALSE)</f>
        <v>Manufactured</v>
      </c>
      <c r="Q8" s="266">
        <f>_xlfn.XLOOKUP(E8,'All Products'!D:D,'All Products'!K:K,FALSE)</f>
        <v>49081139636</v>
      </c>
      <c r="R8" s="266">
        <f>_xlfn.XLOOKUP(E8,'All Products'!D:D,'All Products'!L:L,FALSE)</f>
        <v>49081639631</v>
      </c>
      <c r="S8" s="266">
        <f>_xlfn.XLOOKUP(E8,'All Products'!D:D,'All Products'!M:M,FALSE)</f>
        <v>40049081139634</v>
      </c>
      <c r="T8" s="264">
        <f>_xlfn.XLOOKUP(E8,'All Products'!D:D,'All Products'!N:N,FALSE)</f>
        <v>0.08</v>
      </c>
      <c r="U8" s="266">
        <f>_xlfn.XLOOKUP(E8,'All Products'!D:D,'All Products'!O:O,FALSE)</f>
        <v>25</v>
      </c>
      <c r="V8" s="264">
        <f>_xlfn.XLOOKUP(E8,'All Products'!D:D,'All Products'!P:P,FALSE)</f>
        <v>11.7</v>
      </c>
      <c r="W8" s="265">
        <f>_xlfn.XLOOKUP(E8,'All Products'!D:D,'All Products'!Q:Q,FALSE)</f>
        <v>0.65</v>
      </c>
    </row>
    <row r="9" spans="1:23" ht="25.5" customHeight="1">
      <c r="A9" s="101" t="str">
        <f>IF(K9&gt;0,COUNT($A$7:A8)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9" s="610"/>
      <c r="C9" s="611"/>
      <c r="D9" s="229" t="str">
        <f>_xlfn.XLOOKUP(E9,'All Products'!D:D,'All Products'!C:C,FALSE)</f>
        <v>500-007</v>
      </c>
      <c r="E9" s="51">
        <v>100026256</v>
      </c>
      <c r="F9" s="53" t="str">
        <f>_xlfn.XLOOKUP(E9,'All Products'!D:D,'All Products'!E:E,FALSE)</f>
        <v>3/4" FHT SWVL X 3/4" INSERT</v>
      </c>
      <c r="G9" s="232">
        <f>_xlfn.XLOOKUP(E9,'All Products'!D:D,'All Products'!F:F,FALSE)</f>
        <v>200</v>
      </c>
      <c r="H9" s="232">
        <f>_xlfn.XLOOKUP(E9,'All Products'!D:D,'All Products'!G:G,FALSE)</f>
        <v>24000</v>
      </c>
      <c r="I9" s="123">
        <f>_xlfn.XLOOKUP(E9,'All Products'!D:D,'All Products'!H:H,FALSE)</f>
        <v>6.63</v>
      </c>
      <c r="J9" s="183">
        <f>ROUND(I9*Order_Quote!$L$25,2)</f>
        <v>6.63</v>
      </c>
      <c r="K9" s="75"/>
      <c r="L9" s="76"/>
      <c r="M9" s="114">
        <f t="shared" si="0"/>
        <v>0</v>
      </c>
      <c r="N9" s="352"/>
      <c r="O9" s="215" t="str">
        <f>_xlfn.XLOOKUP(E9,'All Products'!D:D,'All Products'!I:I,FALSE)</f>
        <v>In Stock</v>
      </c>
      <c r="P9" s="215" t="str">
        <f>_xlfn.XLOOKUP(E9,'All Products'!D:D,'All Products'!J:J,FALSE)</f>
        <v>Manufactured</v>
      </c>
      <c r="Q9" s="266">
        <f>_xlfn.XLOOKUP(E9,'All Products'!D:D,'All Products'!K:K,FALSE)</f>
        <v>49081139643</v>
      </c>
      <c r="R9" s="266">
        <f>_xlfn.XLOOKUP(E9,'All Products'!D:D,'All Products'!L:L,FALSE)</f>
        <v>49081639648</v>
      </c>
      <c r="S9" s="266">
        <f>_xlfn.XLOOKUP(E9,'All Products'!D:D,'All Products'!M:M,FALSE)</f>
        <v>40049081139641</v>
      </c>
      <c r="T9" s="264">
        <f>_xlfn.XLOOKUP(E9,'All Products'!D:D,'All Products'!N:N,FALSE)</f>
        <v>8.5000000000000006E-2</v>
      </c>
      <c r="U9" s="266">
        <f>_xlfn.XLOOKUP(E9,'All Products'!D:D,'All Products'!O:O,FALSE)</f>
        <v>25</v>
      </c>
      <c r="V9" s="264">
        <f>_xlfn.XLOOKUP(E9,'All Products'!D:D,'All Products'!P:P,FALSE)</f>
        <v>12.65</v>
      </c>
      <c r="W9" s="265">
        <f>_xlfn.XLOOKUP(E9,'All Products'!D:D,'All Products'!Q:Q,FALSE)</f>
        <v>0.65</v>
      </c>
    </row>
    <row r="10" spans="1:23" ht="25.5" customHeight="1">
      <c r="A10" s="101" t="str">
        <f>IF(K10&gt;0,COUNT($A$7:A9)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10" s="612"/>
      <c r="C10" s="613"/>
      <c r="D10" s="229" t="str">
        <f>_xlfn.XLOOKUP(E10,'All Products'!D:D,'All Products'!C:C,FALSE)</f>
        <v>500-010</v>
      </c>
      <c r="E10" s="51">
        <v>100026257</v>
      </c>
      <c r="F10" s="53" t="str">
        <f>_xlfn.XLOOKUP(E10,'All Products'!D:D,'All Products'!E:E,FALSE)</f>
        <v>3/4" FHT SWVL X 1" INSERT</v>
      </c>
      <c r="G10" s="232">
        <f>_xlfn.XLOOKUP(E10,'All Products'!D:D,'All Products'!F:F,FALSE)</f>
        <v>200</v>
      </c>
      <c r="H10" s="232">
        <f>_xlfn.XLOOKUP(E10,'All Products'!D:D,'All Products'!G:G,FALSE)</f>
        <v>18000</v>
      </c>
      <c r="I10" s="123">
        <f>_xlfn.XLOOKUP(E10,'All Products'!D:D,'All Products'!H:H,FALSE)</f>
        <v>6.68</v>
      </c>
      <c r="J10" s="183">
        <f>ROUND(I10*Order_Quote!$L$25,2)</f>
        <v>6.68</v>
      </c>
      <c r="K10" s="75"/>
      <c r="L10" s="76"/>
      <c r="M10" s="114">
        <f t="shared" si="0"/>
        <v>0</v>
      </c>
      <c r="N10" s="352"/>
      <c r="O10" s="215" t="str">
        <f>_xlfn.XLOOKUP(E10,'All Products'!D:D,'All Products'!I:I,FALSE)</f>
        <v>In Stock</v>
      </c>
      <c r="P10" s="215" t="str">
        <f>_xlfn.XLOOKUP(E10,'All Products'!D:D,'All Products'!J:J,FALSE)</f>
        <v>Manufactured</v>
      </c>
      <c r="Q10" s="266">
        <f>_xlfn.XLOOKUP(E10,'All Products'!D:D,'All Products'!K:K,FALSE)</f>
        <v>49081139650</v>
      </c>
      <c r="R10" s="266">
        <f>_xlfn.XLOOKUP(E10,'All Products'!D:D,'All Products'!L:L,FALSE)</f>
        <v>49081639655</v>
      </c>
      <c r="S10" s="266">
        <f>_xlfn.XLOOKUP(E10,'All Products'!D:D,'All Products'!M:M,FALSE)</f>
        <v>40049081139658</v>
      </c>
      <c r="T10" s="264">
        <f>_xlfn.XLOOKUP(E10,'All Products'!D:D,'All Products'!N:N,FALSE)</f>
        <v>0.1</v>
      </c>
      <c r="U10" s="266">
        <f>_xlfn.XLOOKUP(E10,'All Products'!D:D,'All Products'!O:O,FALSE)</f>
        <v>25</v>
      </c>
      <c r="V10" s="264">
        <f>_xlfn.XLOOKUP(E10,'All Products'!D:D,'All Products'!P:P,FALSE)</f>
        <v>16.2</v>
      </c>
      <c r="W10" s="265">
        <f>_xlfn.XLOOKUP(E10,'All Products'!D:D,'All Products'!Q:Q,FALSE)</f>
        <v>0.8</v>
      </c>
    </row>
    <row r="11" spans="1:23" ht="27" customHeight="1">
      <c r="A11" s="101" t="str">
        <f>IF(K11&gt;0,COUNT($A$7:A10)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11" s="608"/>
      <c r="C11" s="609"/>
      <c r="D11" s="229" t="str">
        <f>_xlfn.XLOOKUP(E11,'All Products'!D:D,'All Products'!C:C,FALSE)</f>
        <v>502-005</v>
      </c>
      <c r="E11" s="194">
        <v>100026259</v>
      </c>
      <c r="F11" s="53" t="str">
        <f>_xlfn.XLOOKUP(E11,'All Products'!D:D,'All Products'!E:E,FALSE)</f>
        <v>3/4" MHT X 1/2" INSERT ADAPTER</v>
      </c>
      <c r="G11" s="232">
        <f>_xlfn.XLOOKUP(E11,'All Products'!D:D,'All Products'!F:F,FALSE)</f>
        <v>200</v>
      </c>
      <c r="H11" s="232">
        <f>_xlfn.XLOOKUP(E11,'All Products'!D:D,'All Products'!G:G,FALSE)</f>
        <v>30000</v>
      </c>
      <c r="I11" s="123">
        <f>_xlfn.XLOOKUP(E11,'All Products'!D:D,'All Products'!H:H,FALSE)</f>
        <v>4.3499999999999996</v>
      </c>
      <c r="J11" s="183">
        <f>ROUND(I11*Order_Quote!$L$25,2)</f>
        <v>4.3499999999999996</v>
      </c>
      <c r="K11" s="75"/>
      <c r="L11" s="76"/>
      <c r="M11" s="114">
        <f t="shared" si="0"/>
        <v>0</v>
      </c>
      <c r="N11" s="352"/>
      <c r="O11" s="215" t="str">
        <f>_xlfn.XLOOKUP(E11,'All Products'!D:D,'All Products'!I:I,FALSE)</f>
        <v>In Stock</v>
      </c>
      <c r="P11" s="215" t="str">
        <f>_xlfn.XLOOKUP(E11,'All Products'!D:D,'All Products'!J:J,FALSE)</f>
        <v>Manufactured</v>
      </c>
      <c r="Q11" s="266">
        <f>_xlfn.XLOOKUP(E11,'All Products'!D:D,'All Products'!K:K,FALSE)</f>
        <v>49081139674</v>
      </c>
      <c r="R11" s="266">
        <f>_xlfn.XLOOKUP(E11,'All Products'!D:D,'All Products'!L:L,FALSE)</f>
        <v>49081639679</v>
      </c>
      <c r="S11" s="266">
        <f>_xlfn.XLOOKUP(E11,'All Products'!D:D,'All Products'!M:M,FALSE)</f>
        <v>40049081139672</v>
      </c>
      <c r="T11" s="264">
        <f>_xlfn.XLOOKUP(E11,'All Products'!D:D,'All Products'!N:N,FALSE)</f>
        <v>4.2000000000000003E-2</v>
      </c>
      <c r="U11" s="266">
        <f>_xlfn.XLOOKUP(E11,'All Products'!D:D,'All Products'!O:O,FALSE)</f>
        <v>25</v>
      </c>
      <c r="V11" s="264">
        <f>_xlfn.XLOOKUP(E11,'All Products'!D:D,'All Products'!P:P,FALSE)</f>
        <v>8.42</v>
      </c>
      <c r="W11" s="265">
        <f>_xlfn.XLOOKUP(E11,'All Products'!D:D,'All Products'!Q:Q,FALSE)</f>
        <v>0.5</v>
      </c>
    </row>
    <row r="12" spans="1:23" ht="27" customHeight="1">
      <c r="A12" s="101" t="str">
        <f>IF(K12&gt;0,COUNT($A$7:A11)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12" s="612"/>
      <c r="C12" s="613"/>
      <c r="D12" s="229" t="str">
        <f>_xlfn.XLOOKUP(E12,'All Products'!D:D,'All Products'!C:C,FALSE)</f>
        <v>502-007</v>
      </c>
      <c r="E12" s="194">
        <v>100026260</v>
      </c>
      <c r="F12" s="53" t="str">
        <f>_xlfn.XLOOKUP(E12,'All Products'!D:D,'All Products'!E:E,FALSE)</f>
        <v>3/4" MHT X 3/4" INSERT ADAPTER</v>
      </c>
      <c r="G12" s="232">
        <f>_xlfn.XLOOKUP(E12,'All Products'!D:D,'All Products'!F:F,FALSE)</f>
        <v>200</v>
      </c>
      <c r="H12" s="232">
        <f>_xlfn.XLOOKUP(E12,'All Products'!D:D,'All Products'!G:G,FALSE)</f>
        <v>24000</v>
      </c>
      <c r="I12" s="123">
        <f>_xlfn.XLOOKUP(E12,'All Products'!D:D,'All Products'!H:H,FALSE)</f>
        <v>4.5599999999999996</v>
      </c>
      <c r="J12" s="183">
        <f>ROUND(I12*Order_Quote!$L$25,2)</f>
        <v>4.5599999999999996</v>
      </c>
      <c r="K12" s="75"/>
      <c r="L12" s="76"/>
      <c r="M12" s="114">
        <f t="shared" si="0"/>
        <v>0</v>
      </c>
      <c r="N12" s="352"/>
      <c r="O12" s="215" t="str">
        <f>_xlfn.XLOOKUP(E12,'All Products'!D:D,'All Products'!I:I,FALSE)</f>
        <v>In Stock</v>
      </c>
      <c r="P12" s="215" t="str">
        <f>_xlfn.XLOOKUP(E12,'All Products'!D:D,'All Products'!J:J,FALSE)</f>
        <v>Manufactured</v>
      </c>
      <c r="Q12" s="266">
        <f>_xlfn.XLOOKUP(E12,'All Products'!D:D,'All Products'!K:K,FALSE)</f>
        <v>49081139681</v>
      </c>
      <c r="R12" s="266">
        <f>_xlfn.XLOOKUP(E12,'All Products'!D:D,'All Products'!L:L,FALSE)</f>
        <v>49081639686</v>
      </c>
      <c r="S12" s="266">
        <f>_xlfn.XLOOKUP(E12,'All Products'!D:D,'All Products'!M:M,FALSE)</f>
        <v>40049081139689</v>
      </c>
      <c r="T12" s="264">
        <f>_xlfn.XLOOKUP(E12,'All Products'!D:D,'All Products'!N:N,FALSE)</f>
        <v>4.5999999999999999E-2</v>
      </c>
      <c r="U12" s="266">
        <f>_xlfn.XLOOKUP(E12,'All Products'!D:D,'All Products'!O:O,FALSE)</f>
        <v>25</v>
      </c>
      <c r="V12" s="264">
        <f>_xlfn.XLOOKUP(E12,'All Products'!D:D,'All Products'!P:P,FALSE)</f>
        <v>9.2799999999999994</v>
      </c>
      <c r="W12" s="265">
        <f>_xlfn.XLOOKUP(E12,'All Products'!D:D,'All Products'!Q:Q,FALSE)</f>
        <v>0.65</v>
      </c>
    </row>
    <row r="13" spans="1:23" ht="15" customHeight="1">
      <c r="A13" s="101" t="str">
        <f>IF(K13&gt;0,COUNT($A$7:A12)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13" s="608"/>
      <c r="C13" s="609"/>
      <c r="D13" s="229" t="str">
        <f>_xlfn.XLOOKUP(E13,'All Products'!D:D,'All Products'!C:C,FALSE)</f>
        <v>503-005</v>
      </c>
      <c r="E13" s="194">
        <v>100026262</v>
      </c>
      <c r="F13" s="53" t="str">
        <f>_xlfn.XLOOKUP(E13,'All Products'!D:D,'All Products'!E:E,FALSE)</f>
        <v>3/4" MHT X 1/2" MPT ADAPTER</v>
      </c>
      <c r="G13" s="232">
        <f>_xlfn.XLOOKUP(E13,'All Products'!D:D,'All Products'!F:F,FALSE)</f>
        <v>200</v>
      </c>
      <c r="H13" s="232">
        <f>_xlfn.XLOOKUP(E13,'All Products'!D:D,'All Products'!G:G,FALSE)</f>
        <v>30000</v>
      </c>
      <c r="I13" s="123">
        <f>_xlfn.XLOOKUP(E13,'All Products'!D:D,'All Products'!H:H,FALSE)</f>
        <v>2.8</v>
      </c>
      <c r="J13" s="183">
        <f>ROUND(I13*Order_Quote!$L$25,2)</f>
        <v>2.8</v>
      </c>
      <c r="K13" s="75"/>
      <c r="L13" s="76"/>
      <c r="M13" s="114">
        <f t="shared" si="0"/>
        <v>0</v>
      </c>
      <c r="N13" s="352"/>
      <c r="O13" s="215" t="str">
        <f>_xlfn.XLOOKUP(E13,'All Products'!D:D,'All Products'!I:I,FALSE)</f>
        <v>In Stock</v>
      </c>
      <c r="P13" s="215" t="str">
        <f>_xlfn.XLOOKUP(E13,'All Products'!D:D,'All Products'!J:J,FALSE)</f>
        <v>Manufactured</v>
      </c>
      <c r="Q13" s="266">
        <f>_xlfn.XLOOKUP(E13,'All Products'!D:D,'All Products'!K:K,FALSE)</f>
        <v>49081139704</v>
      </c>
      <c r="R13" s="266">
        <f>_xlfn.XLOOKUP(E13,'All Products'!D:D,'All Products'!L:L,FALSE)</f>
        <v>49081639709</v>
      </c>
      <c r="S13" s="266">
        <f>_xlfn.XLOOKUP(E13,'All Products'!D:D,'All Products'!M:M,FALSE)</f>
        <v>40049081139702</v>
      </c>
      <c r="T13" s="264">
        <f>_xlfn.XLOOKUP(E13,'All Products'!D:D,'All Products'!N:N,FALSE)</f>
        <v>3.5999999999999997E-2</v>
      </c>
      <c r="U13" s="266">
        <f>_xlfn.XLOOKUP(E13,'All Products'!D:D,'All Products'!O:O,FALSE)</f>
        <v>25</v>
      </c>
      <c r="V13" s="264">
        <f>_xlfn.XLOOKUP(E13,'All Products'!D:D,'All Products'!P:P,FALSE)</f>
        <v>8.11</v>
      </c>
      <c r="W13" s="265">
        <f>_xlfn.XLOOKUP(E13,'All Products'!D:D,'All Products'!Q:Q,FALSE)</f>
        <v>0.5</v>
      </c>
    </row>
    <row r="14" spans="1:23" ht="15" customHeight="1">
      <c r="A14" s="101" t="str">
        <f>IF(K14&gt;0,COUNT($A$7:A13)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14" s="610"/>
      <c r="C14" s="611"/>
      <c r="D14" s="229" t="str">
        <f>_xlfn.XLOOKUP(E14,'All Products'!D:D,'All Products'!C:C,FALSE)</f>
        <v>503-007</v>
      </c>
      <c r="E14" s="194">
        <v>100026263</v>
      </c>
      <c r="F14" s="53" t="str">
        <f>_xlfn.XLOOKUP(E14,'All Products'!D:D,'All Products'!E:E,FALSE)</f>
        <v>3/4" MHT X 3/4" MPT ADAPTER</v>
      </c>
      <c r="G14" s="232">
        <f>_xlfn.XLOOKUP(E14,'All Products'!D:D,'All Products'!F:F,FALSE)</f>
        <v>200</v>
      </c>
      <c r="H14" s="232">
        <f>_xlfn.XLOOKUP(E14,'All Products'!D:D,'All Products'!G:G,FALSE)</f>
        <v>30000</v>
      </c>
      <c r="I14" s="123">
        <f>_xlfn.XLOOKUP(E14,'All Products'!D:D,'All Products'!H:H,FALSE)</f>
        <v>2.8</v>
      </c>
      <c r="J14" s="183">
        <f>ROUND(I14*Order_Quote!$L$25,2)</f>
        <v>2.8</v>
      </c>
      <c r="K14" s="75"/>
      <c r="L14" s="329"/>
      <c r="M14" s="114">
        <f t="shared" si="0"/>
        <v>0</v>
      </c>
      <c r="N14" s="352"/>
      <c r="O14" s="215" t="str">
        <f>_xlfn.XLOOKUP(E14,'All Products'!D:D,'All Products'!I:I,FALSE)</f>
        <v>In Stock</v>
      </c>
      <c r="P14" s="215" t="str">
        <f>_xlfn.XLOOKUP(E14,'All Products'!D:D,'All Products'!J:J,FALSE)</f>
        <v>Manufactured</v>
      </c>
      <c r="Q14" s="266">
        <f>_xlfn.XLOOKUP(E14,'All Products'!D:D,'All Products'!K:K,FALSE)</f>
        <v>49081139711</v>
      </c>
      <c r="R14" s="266">
        <f>_xlfn.XLOOKUP(E14,'All Products'!D:D,'All Products'!L:L,FALSE)</f>
        <v>49081639716</v>
      </c>
      <c r="S14" s="266">
        <f>_xlfn.XLOOKUP(E14,'All Products'!D:D,'All Products'!M:M,FALSE)</f>
        <v>40049081139719</v>
      </c>
      <c r="T14" s="264">
        <f>_xlfn.XLOOKUP(E14,'All Products'!D:D,'All Products'!N:N,FALSE)</f>
        <v>4.1000000000000002E-2</v>
      </c>
      <c r="U14" s="266">
        <f>_xlfn.XLOOKUP(E14,'All Products'!D:D,'All Products'!O:O,FALSE)</f>
        <v>25</v>
      </c>
      <c r="V14" s="264">
        <f>_xlfn.XLOOKUP(E14,'All Products'!D:D,'All Products'!P:P,FALSE)</f>
        <v>8.39</v>
      </c>
      <c r="W14" s="265">
        <f>_xlfn.XLOOKUP(E14,'All Products'!D:D,'All Products'!Q:Q,FALSE)</f>
        <v>0.5</v>
      </c>
    </row>
    <row r="15" spans="1:23" ht="15" customHeight="1">
      <c r="A15" s="101" t="str">
        <f>IF(K15&gt;0,COUNT($A$7:A14)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15" s="612"/>
      <c r="C15" s="613"/>
      <c r="D15" s="229" t="str">
        <f>_xlfn.XLOOKUP(E15,'All Products'!D:D,'All Products'!C:C,FALSE)</f>
        <v>503-010</v>
      </c>
      <c r="E15" s="194">
        <v>100026264</v>
      </c>
      <c r="F15" s="53" t="str">
        <f>_xlfn.XLOOKUP(E15,'All Products'!D:D,'All Products'!E:E,FALSE)</f>
        <v>3/4" MHT X 1" MPT ADAPTER</v>
      </c>
      <c r="G15" s="232">
        <f>_xlfn.XLOOKUP(E15,'All Products'!D:D,'All Products'!F:F,FALSE)</f>
        <v>200</v>
      </c>
      <c r="H15" s="232">
        <f>_xlfn.XLOOKUP(E15,'All Products'!D:D,'All Products'!G:G,FALSE)</f>
        <v>24000</v>
      </c>
      <c r="I15" s="123">
        <f>_xlfn.XLOOKUP(E15,'All Products'!D:D,'All Products'!H:H,FALSE)</f>
        <v>5.0199999999999996</v>
      </c>
      <c r="J15" s="183">
        <f>ROUND(I15*Order_Quote!$L$25,2)</f>
        <v>5.0199999999999996</v>
      </c>
      <c r="K15" s="75"/>
      <c r="L15" s="76"/>
      <c r="M15" s="114">
        <f t="shared" si="0"/>
        <v>0</v>
      </c>
      <c r="N15" s="352"/>
      <c r="O15" s="215" t="str">
        <f>_xlfn.XLOOKUP(E15,'All Products'!D:D,'All Products'!I:I,FALSE)</f>
        <v>In Stock</v>
      </c>
      <c r="P15" s="215" t="str">
        <f>_xlfn.XLOOKUP(E15,'All Products'!D:D,'All Products'!J:J,FALSE)</f>
        <v>Manufactured</v>
      </c>
      <c r="Q15" s="266">
        <f>_xlfn.XLOOKUP(E15,'All Products'!D:D,'All Products'!K:K,FALSE)</f>
        <v>49081139728</v>
      </c>
      <c r="R15" s="266">
        <f>_xlfn.XLOOKUP(E15,'All Products'!D:D,'All Products'!L:L,FALSE)</f>
        <v>49081639723</v>
      </c>
      <c r="S15" s="266">
        <f>_xlfn.XLOOKUP(E15,'All Products'!D:D,'All Products'!M:M,FALSE)</f>
        <v>40049081139726</v>
      </c>
      <c r="T15" s="264">
        <f>_xlfn.XLOOKUP(E15,'All Products'!D:D,'All Products'!N:N,FALSE)</f>
        <v>5.5E-2</v>
      </c>
      <c r="U15" s="266">
        <f>_xlfn.XLOOKUP(E15,'All Products'!D:D,'All Products'!O:O,FALSE)</f>
        <v>25</v>
      </c>
      <c r="V15" s="264">
        <f>_xlfn.XLOOKUP(E15,'All Products'!D:D,'All Products'!P:P,FALSE)</f>
        <v>11.18</v>
      </c>
      <c r="W15" s="265">
        <f>_xlfn.XLOOKUP(E15,'All Products'!D:D,'All Products'!Q:Q,FALSE)</f>
        <v>0.65</v>
      </c>
    </row>
    <row r="16" spans="1:23" ht="47.25" customHeight="1">
      <c r="A16" s="101" t="str">
        <f>IF(K16&gt;0,COUNT($A$7:A15)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16" s="616"/>
      <c r="C16" s="617"/>
      <c r="D16" s="229" t="str">
        <f>_xlfn.XLOOKUP(E16,'All Products'!D:D,'All Products'!C:C,FALSE)</f>
        <v>510-007</v>
      </c>
      <c r="E16" s="194">
        <v>100026270</v>
      </c>
      <c r="F16" s="53" t="str">
        <f>_xlfn.XLOOKUP(E16,'All Products'!D:D,'All Products'!E:E,FALSE)</f>
        <v>3/4" MHT X 3/4" SL ST ELL</v>
      </c>
      <c r="G16" s="232">
        <f>_xlfn.XLOOKUP(E16,'All Products'!D:D,'All Products'!F:F,FALSE)</f>
        <v>200</v>
      </c>
      <c r="H16" s="232">
        <f>_xlfn.XLOOKUP(E16,'All Products'!D:D,'All Products'!G:G,FALSE)</f>
        <v>15000</v>
      </c>
      <c r="I16" s="123">
        <f>_xlfn.XLOOKUP(E16,'All Products'!D:D,'All Products'!H:H,FALSE)</f>
        <v>5.0199999999999996</v>
      </c>
      <c r="J16" s="183">
        <f>ROUND(I16*Order_Quote!$L$25,2)</f>
        <v>5.0199999999999996</v>
      </c>
      <c r="K16" s="75"/>
      <c r="L16" s="76"/>
      <c r="M16" s="114">
        <f t="shared" si="0"/>
        <v>0</v>
      </c>
      <c r="N16" s="352"/>
      <c r="O16" s="215" t="str">
        <f>_xlfn.XLOOKUP(E16,'All Products'!D:D,'All Products'!I:I,FALSE)</f>
        <v>Within 3 Weeks</v>
      </c>
      <c r="P16" s="215" t="str">
        <f>_xlfn.XLOOKUP(E16,'All Products'!D:D,'All Products'!J:J,FALSE)</f>
        <v>Manufactured</v>
      </c>
      <c r="Q16" s="266">
        <f>_xlfn.XLOOKUP(E16,'All Products'!D:D,'All Products'!K:K,FALSE)</f>
        <v>49081139766</v>
      </c>
      <c r="R16" s="266">
        <f>_xlfn.XLOOKUP(E16,'All Products'!D:D,'All Products'!L:L,FALSE)</f>
        <v>49081639761</v>
      </c>
      <c r="S16" s="266">
        <f>_xlfn.XLOOKUP(E16,'All Products'!D:D,'All Products'!M:M,FALSE)</f>
        <v>40049081139764</v>
      </c>
      <c r="T16" s="264">
        <f>_xlfn.XLOOKUP(E16,'All Products'!D:D,'All Products'!N:N,FALSE)</f>
        <v>8.5000000000000006E-2</v>
      </c>
      <c r="U16" s="266">
        <f>_xlfn.XLOOKUP(E16,'All Products'!D:D,'All Products'!O:O,FALSE)</f>
        <v>25</v>
      </c>
      <c r="V16" s="264">
        <f>_xlfn.XLOOKUP(E16,'All Products'!D:D,'All Products'!P:P,FALSE)</f>
        <v>17.14</v>
      </c>
      <c r="W16" s="265">
        <f>_xlfn.XLOOKUP(E16,'All Products'!D:D,'All Products'!Q:Q,FALSE)</f>
        <v>0.95</v>
      </c>
    </row>
    <row r="17" spans="1:23" ht="46.5" customHeight="1">
      <c r="A17" s="101" t="str">
        <f>IF(K17&gt;0,COUNT($A$7:A16)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17" s="616"/>
      <c r="C17" s="617"/>
      <c r="D17" s="229" t="str">
        <f>_xlfn.XLOOKUP(E17,'All Products'!D:D,'All Products'!C:C,FALSE)</f>
        <v>512-007</v>
      </c>
      <c r="E17" s="194">
        <v>100026272</v>
      </c>
      <c r="F17" s="53" t="str">
        <f>_xlfn.XLOOKUP(E17,'All Products'!D:D,'All Products'!E:E,FALSE)</f>
        <v>3/4" MHT X 3/4" FPT</v>
      </c>
      <c r="G17" s="232">
        <f>_xlfn.XLOOKUP(E17,'All Products'!D:D,'All Products'!F:F,FALSE)</f>
        <v>200</v>
      </c>
      <c r="H17" s="232">
        <f>_xlfn.XLOOKUP(E17,'All Products'!D:D,'All Products'!G:G,FALSE)</f>
        <v>15000</v>
      </c>
      <c r="I17" s="123">
        <f>_xlfn.XLOOKUP(E17,'All Products'!D:D,'All Products'!H:H,FALSE)</f>
        <v>5.85</v>
      </c>
      <c r="J17" s="183">
        <f>ROUND(I17*Order_Quote!$L$25,2)</f>
        <v>5.85</v>
      </c>
      <c r="K17" s="75"/>
      <c r="L17" s="76"/>
      <c r="M17" s="114">
        <f t="shared" si="0"/>
        <v>0</v>
      </c>
      <c r="N17" s="352"/>
      <c r="O17" s="215" t="str">
        <f>_xlfn.XLOOKUP(E17,'All Products'!D:D,'All Products'!I:I,FALSE)</f>
        <v>In Stock</v>
      </c>
      <c r="P17" s="215" t="str">
        <f>_xlfn.XLOOKUP(E17,'All Products'!D:D,'All Products'!J:J,FALSE)</f>
        <v>Manufactured</v>
      </c>
      <c r="Q17" s="266">
        <f>_xlfn.XLOOKUP(E17,'All Products'!D:D,'All Products'!K:K,FALSE)</f>
        <v>49081140137</v>
      </c>
      <c r="R17" s="266">
        <f>_xlfn.XLOOKUP(E17,'All Products'!D:D,'All Products'!L:L,FALSE)</f>
        <v>49081640132</v>
      </c>
      <c r="S17" s="266">
        <f>_xlfn.XLOOKUP(E17,'All Products'!D:D,'All Products'!M:M,FALSE)</f>
        <v>40049081140135</v>
      </c>
      <c r="T17" s="264">
        <f>_xlfn.XLOOKUP(E17,'All Products'!D:D,'All Products'!N:N,FALSE)</f>
        <v>0.08</v>
      </c>
      <c r="U17" s="266">
        <f>_xlfn.XLOOKUP(E17,'All Products'!D:D,'All Products'!O:O,FALSE)</f>
        <v>25</v>
      </c>
      <c r="V17" s="264">
        <f>_xlfn.XLOOKUP(E17,'All Products'!D:D,'All Products'!P:P,FALSE)</f>
        <v>17.149999999999999</v>
      </c>
      <c r="W17" s="265">
        <f>_xlfn.XLOOKUP(E17,'All Products'!D:D,'All Products'!Q:Q,FALSE)</f>
        <v>0.95</v>
      </c>
    </row>
    <row r="18" spans="1:23" ht="45.75" customHeight="1">
      <c r="A18" s="101" t="str">
        <f>IF(K18&gt;0,COUNT($A$7:A17)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18" s="616"/>
      <c r="C18" s="617"/>
      <c r="D18" s="229" t="str">
        <f>_xlfn.XLOOKUP(E18,'All Products'!D:D,'All Products'!C:C,FALSE)</f>
        <v>513-007</v>
      </c>
      <c r="E18" s="194">
        <v>100026275</v>
      </c>
      <c r="F18" s="53" t="str">
        <f>_xlfn.XLOOKUP(E18,'All Products'!D:D,'All Products'!E:E,FALSE)</f>
        <v>3/4" FHT SWVL X 3/4" MHT ELL</v>
      </c>
      <c r="G18" s="232">
        <f>_xlfn.XLOOKUP(E18,'All Products'!D:D,'All Products'!F:F,FALSE)</f>
        <v>200</v>
      </c>
      <c r="H18" s="232">
        <f>_xlfn.XLOOKUP(E18,'All Products'!D:D,'All Products'!G:G,FALSE)</f>
        <v>0</v>
      </c>
      <c r="I18" s="123">
        <f>_xlfn.XLOOKUP(E18,'All Products'!D:D,'All Products'!H:H,FALSE)</f>
        <v>11.11</v>
      </c>
      <c r="J18" s="183">
        <f>ROUND(I18*Order_Quote!$L$25,2)</f>
        <v>11.11</v>
      </c>
      <c r="K18" s="75"/>
      <c r="L18" s="76"/>
      <c r="M18" s="114">
        <f t="shared" si="0"/>
        <v>0</v>
      </c>
      <c r="N18" s="352"/>
      <c r="O18" s="215" t="str">
        <f>_xlfn.XLOOKUP(E18,'All Products'!D:D,'All Products'!I:I,FALSE)</f>
        <v>In Stock</v>
      </c>
      <c r="P18" s="215" t="str">
        <f>_xlfn.XLOOKUP(E18,'All Products'!D:D,'All Products'!J:J,FALSE)</f>
        <v>Manufactured</v>
      </c>
      <c r="Q18" s="266">
        <f>_xlfn.XLOOKUP(E18,'All Products'!D:D,'All Products'!K:K,FALSE)</f>
        <v>49081139780</v>
      </c>
      <c r="R18" s="266">
        <f>_xlfn.XLOOKUP(E18,'All Products'!D:D,'All Products'!L:L,FALSE)</f>
        <v>49081639785</v>
      </c>
      <c r="S18" s="266">
        <f>_xlfn.XLOOKUP(E18,'All Products'!D:D,'All Products'!M:M,FALSE)</f>
        <v>40049081139788</v>
      </c>
      <c r="T18" s="264">
        <f>_xlfn.XLOOKUP(E18,'All Products'!D:D,'All Products'!N:N,FALSE)</f>
        <v>0.13500000000000001</v>
      </c>
      <c r="U18" s="266">
        <f>_xlfn.XLOOKUP(E18,'All Products'!D:D,'All Products'!O:O,FALSE)</f>
        <v>25</v>
      </c>
      <c r="V18" s="264">
        <f>_xlfn.XLOOKUP(E18,'All Products'!D:D,'All Products'!P:P,FALSE)</f>
        <v>17.149999999999999</v>
      </c>
      <c r="W18" s="265" t="str">
        <f>_xlfn.XLOOKUP(E18,'All Products'!D:D,'All Products'!Q:Q,FALSE)</f>
        <v>-</v>
      </c>
    </row>
    <row r="19" spans="1:23" ht="45" customHeight="1">
      <c r="A19" s="101" t="str">
        <f>IF(K19&gt;0,COUNT($A$7:A18)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19" s="616"/>
      <c r="C19" s="617"/>
      <c r="D19" s="229" t="str">
        <f>_xlfn.XLOOKUP(E19,'All Products'!D:D,'All Products'!C:C,FALSE)</f>
        <v>530-005</v>
      </c>
      <c r="E19" s="51">
        <v>100026278</v>
      </c>
      <c r="F19" s="53" t="str">
        <f>_xlfn.XLOOKUP(E19,'All Products'!D:D,'All Products'!E:E,FALSE)</f>
        <v>3/4" FHT SWVL X 1/2" FPT ADAPTER</v>
      </c>
      <c r="G19" s="232">
        <f>_xlfn.XLOOKUP(E19,'All Products'!D:D,'All Products'!F:F,FALSE)</f>
        <v>200</v>
      </c>
      <c r="H19" s="232">
        <f>_xlfn.XLOOKUP(E19,'All Products'!D:D,'All Products'!G:G,FALSE)</f>
        <v>24000</v>
      </c>
      <c r="I19" s="123">
        <f>_xlfn.XLOOKUP(E19,'All Products'!D:D,'All Products'!H:H,FALSE)</f>
        <v>5.14</v>
      </c>
      <c r="J19" s="183">
        <f>ROUND(I19*Order_Quote!$L$25,2)</f>
        <v>5.14</v>
      </c>
      <c r="K19" s="75"/>
      <c r="L19" s="76"/>
      <c r="M19" s="114">
        <f t="shared" si="0"/>
        <v>0</v>
      </c>
      <c r="N19" s="352"/>
      <c r="O19" s="215" t="str">
        <f>_xlfn.XLOOKUP(E19,'All Products'!D:D,'All Products'!I:I,FALSE)</f>
        <v>In Stock</v>
      </c>
      <c r="P19" s="215" t="str">
        <f>_xlfn.XLOOKUP(E19,'All Products'!D:D,'All Products'!J:J,FALSE)</f>
        <v>Manufactured</v>
      </c>
      <c r="Q19" s="266">
        <f>_xlfn.XLOOKUP(E19,'All Products'!D:D,'All Products'!K:K,FALSE)</f>
        <v>49081139810</v>
      </c>
      <c r="R19" s="266">
        <f>_xlfn.XLOOKUP(E19,'All Products'!D:D,'All Products'!L:L,FALSE)</f>
        <v>49081639815</v>
      </c>
      <c r="S19" s="266">
        <f>_xlfn.XLOOKUP(E19,'All Products'!D:D,'All Products'!M:M,FALSE)</f>
        <v>40049081139818</v>
      </c>
      <c r="T19" s="264">
        <f>_xlfn.XLOOKUP(E19,'All Products'!D:D,'All Products'!N:N,FALSE)</f>
        <v>7.0000000000000007E-2</v>
      </c>
      <c r="U19" s="266">
        <f>_xlfn.XLOOKUP(E19,'All Products'!D:D,'All Products'!O:O,FALSE)</f>
        <v>25</v>
      </c>
      <c r="V19" s="264">
        <f>_xlfn.XLOOKUP(E19,'All Products'!D:D,'All Products'!P:P,FALSE)</f>
        <v>10.6</v>
      </c>
      <c r="W19" s="265">
        <f>_xlfn.XLOOKUP(E19,'All Products'!D:D,'All Products'!Q:Q,FALSE)</f>
        <v>0.65</v>
      </c>
    </row>
    <row r="20" spans="1:23" ht="24.75" customHeight="1">
      <c r="A20" s="101" t="str">
        <f>IF(K20&gt;0,COUNT($A$7:A19)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20" s="608"/>
      <c r="C20" s="609"/>
      <c r="D20" s="229" t="str">
        <f>_xlfn.XLOOKUP(E20,'All Products'!D:D,'All Products'!C:C,FALSE)</f>
        <v>530-007</v>
      </c>
      <c r="E20" s="51">
        <v>100026279</v>
      </c>
      <c r="F20" s="53" t="str">
        <f>_xlfn.XLOOKUP(E20,'All Products'!D:D,'All Products'!E:E,FALSE)</f>
        <v>3/4" FHT SWVL X 3/4" FHT ADAPTER</v>
      </c>
      <c r="G20" s="232">
        <f>_xlfn.XLOOKUP(E20,'All Products'!D:D,'All Products'!F:F,FALSE)</f>
        <v>200</v>
      </c>
      <c r="H20" s="232">
        <f>_xlfn.XLOOKUP(E20,'All Products'!D:D,'All Products'!G:G,FALSE)</f>
        <v>24000</v>
      </c>
      <c r="I20" s="123">
        <f>_xlfn.XLOOKUP(E20,'All Products'!D:D,'All Products'!H:H,FALSE)</f>
        <v>5.14</v>
      </c>
      <c r="J20" s="183">
        <f>ROUND(I20*Order_Quote!$L$25,2)</f>
        <v>5.14</v>
      </c>
      <c r="K20" s="75"/>
      <c r="L20" s="76"/>
      <c r="M20" s="114">
        <f t="shared" si="0"/>
        <v>0</v>
      </c>
      <c r="N20" s="352"/>
      <c r="O20" s="215" t="str">
        <f>_xlfn.XLOOKUP(E20,'All Products'!D:D,'All Products'!I:I,FALSE)</f>
        <v>In Stock</v>
      </c>
      <c r="P20" s="215" t="str">
        <f>_xlfn.XLOOKUP(E20,'All Products'!D:D,'All Products'!J:J,FALSE)</f>
        <v>Manufactured</v>
      </c>
      <c r="Q20" s="266">
        <f>_xlfn.XLOOKUP(E20,'All Products'!D:D,'All Products'!K:K,FALSE)</f>
        <v>49081139834</v>
      </c>
      <c r="R20" s="266">
        <f>_xlfn.XLOOKUP(E20,'All Products'!D:D,'All Products'!L:L,FALSE)</f>
        <v>49081639839</v>
      </c>
      <c r="S20" s="266">
        <f>_xlfn.XLOOKUP(E20,'All Products'!D:D,'All Products'!M:M,FALSE)</f>
        <v>40049081139832</v>
      </c>
      <c r="T20" s="264">
        <f>_xlfn.XLOOKUP(E20,'All Products'!D:D,'All Products'!N:N,FALSE)</f>
        <v>0.08</v>
      </c>
      <c r="U20" s="266">
        <f>_xlfn.XLOOKUP(E20,'All Products'!D:D,'All Products'!O:O,FALSE)</f>
        <v>25</v>
      </c>
      <c r="V20" s="264">
        <f>_xlfn.XLOOKUP(E20,'All Products'!D:D,'All Products'!P:P,FALSE)</f>
        <v>12.7</v>
      </c>
      <c r="W20" s="265">
        <f>_xlfn.XLOOKUP(E20,'All Products'!D:D,'All Products'!Q:Q,FALSE)</f>
        <v>0.65</v>
      </c>
    </row>
    <row r="21" spans="1:23" ht="24.75" customHeight="1">
      <c r="A21" s="101" t="str">
        <f>IF(K21&gt;0,COUNT($A$7:A20)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21" s="612"/>
      <c r="C21" s="613"/>
      <c r="D21" s="229" t="str">
        <f>_xlfn.XLOOKUP(E21,'All Products'!D:D,'All Products'!C:C,FALSE)</f>
        <v>530-008</v>
      </c>
      <c r="E21" s="51">
        <v>100026280</v>
      </c>
      <c r="F21" s="53" t="str">
        <f>_xlfn.XLOOKUP(E21,'All Products'!D:D,'All Products'!E:E,FALSE)</f>
        <v>3/4" FHT SWVL X 3/4" FPT ADAPTER</v>
      </c>
      <c r="G21" s="232">
        <f>_xlfn.XLOOKUP(E21,'All Products'!D:D,'All Products'!F:F,FALSE)</f>
        <v>200</v>
      </c>
      <c r="H21" s="232">
        <f>_xlfn.XLOOKUP(E21,'All Products'!D:D,'All Products'!G:G,FALSE)</f>
        <v>24000</v>
      </c>
      <c r="I21" s="123">
        <f>_xlfn.XLOOKUP(E21,'All Products'!D:D,'All Products'!H:H,FALSE)</f>
        <v>5.14</v>
      </c>
      <c r="J21" s="183">
        <f>ROUND(I21*Order_Quote!$L$25,2)</f>
        <v>5.14</v>
      </c>
      <c r="K21" s="75"/>
      <c r="L21" s="76"/>
      <c r="M21" s="114">
        <f t="shared" si="0"/>
        <v>0</v>
      </c>
      <c r="N21" s="352"/>
      <c r="O21" s="215" t="str">
        <f>_xlfn.XLOOKUP(E21,'All Products'!D:D,'All Products'!I:I,FALSE)</f>
        <v>In Stock</v>
      </c>
      <c r="P21" s="215" t="str">
        <f>_xlfn.XLOOKUP(E21,'All Products'!D:D,'All Products'!J:J,FALSE)</f>
        <v>Manufactured</v>
      </c>
      <c r="Q21" s="266">
        <f>_xlfn.XLOOKUP(E21,'All Products'!D:D,'All Products'!K:K,FALSE)</f>
        <v>49081139827</v>
      </c>
      <c r="R21" s="266">
        <f>_xlfn.XLOOKUP(E21,'All Products'!D:D,'All Products'!L:L,FALSE)</f>
        <v>49081639822</v>
      </c>
      <c r="S21" s="266">
        <f>_xlfn.XLOOKUP(E21,'All Products'!D:D,'All Products'!M:M,FALSE)</f>
        <v>40049081139825</v>
      </c>
      <c r="T21" s="264">
        <f>_xlfn.XLOOKUP(E21,'All Products'!D:D,'All Products'!N:N,FALSE)</f>
        <v>8.2000000000000003E-2</v>
      </c>
      <c r="U21" s="266">
        <f>_xlfn.XLOOKUP(E21,'All Products'!D:D,'All Products'!O:O,FALSE)</f>
        <v>25</v>
      </c>
      <c r="V21" s="264">
        <f>_xlfn.XLOOKUP(E21,'All Products'!D:D,'All Products'!P:P,FALSE)</f>
        <v>12.6</v>
      </c>
      <c r="W21" s="265">
        <f>_xlfn.XLOOKUP(E21,'All Products'!D:D,'All Products'!Q:Q,FALSE)</f>
        <v>0.65</v>
      </c>
    </row>
    <row r="22" spans="1:23" ht="46.5" customHeight="1">
      <c r="A22" s="101" t="str">
        <f>IF(K22&gt;0,COUNT($A$7:A21)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22" s="616"/>
      <c r="C22" s="617"/>
      <c r="D22" s="229" t="str">
        <f>_xlfn.XLOOKUP(E22,'All Products'!D:D,'All Products'!C:C,FALSE)</f>
        <v>533-007</v>
      </c>
      <c r="E22" s="51">
        <v>100026282</v>
      </c>
      <c r="F22" s="53" t="str">
        <f>_xlfn.XLOOKUP(E22,'All Products'!D:D,'All Products'!E:E,FALSE)</f>
        <v>3/4" MHT X 3/4" SPG ADAPTER</v>
      </c>
      <c r="G22" s="232">
        <f>_xlfn.XLOOKUP(E22,'All Products'!D:D,'All Products'!F:F,FALSE)</f>
        <v>200</v>
      </c>
      <c r="H22" s="232">
        <f>_xlfn.XLOOKUP(E22,'All Products'!D:D,'All Products'!G:G,FALSE)</f>
        <v>30000</v>
      </c>
      <c r="I22" s="123">
        <f>_xlfn.XLOOKUP(E22,'All Products'!D:D,'All Products'!H:H,FALSE)</f>
        <v>4.5599999999999996</v>
      </c>
      <c r="J22" s="183">
        <f>ROUND(I22*Order_Quote!$L$25,2)</f>
        <v>4.5599999999999996</v>
      </c>
      <c r="K22" s="75"/>
      <c r="L22" s="76"/>
      <c r="M22" s="114">
        <f t="shared" si="0"/>
        <v>0</v>
      </c>
      <c r="N22" s="352"/>
      <c r="O22" s="215" t="str">
        <f>_xlfn.XLOOKUP(E22,'All Products'!D:D,'All Products'!I:I,FALSE)</f>
        <v>In Stock</v>
      </c>
      <c r="P22" s="215" t="str">
        <f>_xlfn.XLOOKUP(E22,'All Products'!D:D,'All Products'!J:J,FALSE)</f>
        <v>Manufactured</v>
      </c>
      <c r="Q22" s="266">
        <f>_xlfn.XLOOKUP(E22,'All Products'!D:D,'All Products'!K:K,FALSE)</f>
        <v>49081139841</v>
      </c>
      <c r="R22" s="266">
        <f>_xlfn.XLOOKUP(E22,'All Products'!D:D,'All Products'!L:L,FALSE)</f>
        <v>49081639846</v>
      </c>
      <c r="S22" s="266">
        <f>_xlfn.XLOOKUP(E22,'All Products'!D:D,'All Products'!M:M,FALSE)</f>
        <v>40049081139849</v>
      </c>
      <c r="T22" s="264">
        <f>_xlfn.XLOOKUP(E22,'All Products'!D:D,'All Products'!N:N,FALSE)</f>
        <v>4.7E-2</v>
      </c>
      <c r="U22" s="266">
        <f>_xlfn.XLOOKUP(E22,'All Products'!D:D,'All Products'!O:O,FALSE)</f>
        <v>25</v>
      </c>
      <c r="V22" s="264">
        <f>_xlfn.XLOOKUP(E22,'All Products'!D:D,'All Products'!P:P,FALSE)</f>
        <v>10.08</v>
      </c>
      <c r="W22" s="265">
        <f>_xlfn.XLOOKUP(E22,'All Products'!D:D,'All Products'!Q:Q,FALSE)</f>
        <v>0.5</v>
      </c>
    </row>
    <row r="23" spans="1:23" ht="25.5" customHeight="1">
      <c r="A23" s="101" t="str">
        <f>IF(K23&gt;0,COUNT($A$7:A22)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23" s="608"/>
      <c r="C23" s="609"/>
      <c r="D23" s="229" t="str">
        <f>_xlfn.XLOOKUP(E23,'All Products'!D:D,'All Products'!C:C,FALSE)</f>
        <v>534-005</v>
      </c>
      <c r="E23" s="194">
        <v>100026283</v>
      </c>
      <c r="F23" s="53" t="str">
        <f>_xlfn.XLOOKUP(E23,'All Products'!D:D,'All Products'!E:E,FALSE)</f>
        <v>3/4" FHT SWVL X 1/2" MPT HOSE FTG</v>
      </c>
      <c r="G23" s="232">
        <f>_xlfn.XLOOKUP(E23,'All Products'!D:D,'All Products'!F:F,FALSE)</f>
        <v>200</v>
      </c>
      <c r="H23" s="232">
        <f>_xlfn.XLOOKUP(E23,'All Products'!D:D,'All Products'!G:G,FALSE)</f>
        <v>24000</v>
      </c>
      <c r="I23" s="123">
        <f>_xlfn.XLOOKUP(E23,'All Products'!D:D,'All Products'!H:H,FALSE)</f>
        <v>5.14</v>
      </c>
      <c r="J23" s="183">
        <f>ROUND(I23*Order_Quote!$L$25,2)</f>
        <v>5.14</v>
      </c>
      <c r="K23" s="75"/>
      <c r="L23" s="76"/>
      <c r="M23" s="114">
        <f t="shared" si="0"/>
        <v>0</v>
      </c>
      <c r="N23" s="352"/>
      <c r="O23" s="215" t="str">
        <f>_xlfn.XLOOKUP(E23,'All Products'!D:D,'All Products'!I:I,FALSE)</f>
        <v>In Stock</v>
      </c>
      <c r="P23" s="215" t="str">
        <f>_xlfn.XLOOKUP(E23,'All Products'!D:D,'All Products'!J:J,FALSE)</f>
        <v>Manufactured</v>
      </c>
      <c r="Q23" s="266">
        <f>_xlfn.XLOOKUP(E23,'All Products'!D:D,'All Products'!K:K,FALSE)</f>
        <v>49081139858</v>
      </c>
      <c r="R23" s="266">
        <f>_xlfn.XLOOKUP(E23,'All Products'!D:D,'All Products'!L:L,FALSE)</f>
        <v>49081639853</v>
      </c>
      <c r="S23" s="266">
        <f>_xlfn.XLOOKUP(E23,'All Products'!D:D,'All Products'!M:M,FALSE)</f>
        <v>40049081139856</v>
      </c>
      <c r="T23" s="264">
        <f>_xlfn.XLOOKUP(E23,'All Products'!D:D,'All Products'!N:N,FALSE)</f>
        <v>0.108</v>
      </c>
      <c r="U23" s="266">
        <f>_xlfn.XLOOKUP(E23,'All Products'!D:D,'All Products'!O:O,FALSE)</f>
        <v>25</v>
      </c>
      <c r="V23" s="264">
        <f>_xlfn.XLOOKUP(E23,'All Products'!D:D,'All Products'!P:P,FALSE)</f>
        <v>11.6</v>
      </c>
      <c r="W23" s="265">
        <f>_xlfn.XLOOKUP(E23,'All Products'!D:D,'All Products'!Q:Q,FALSE)</f>
        <v>0.65</v>
      </c>
    </row>
    <row r="24" spans="1:23" ht="25.5" customHeight="1">
      <c r="A24" s="101" t="str">
        <f>IF(K24&gt;0,COUNT($A$7:A23)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24" s="612"/>
      <c r="C24" s="613"/>
      <c r="D24" s="229" t="str">
        <f>_xlfn.XLOOKUP(E24,'All Products'!D:D,'All Products'!C:C,FALSE)</f>
        <v>534-007</v>
      </c>
      <c r="E24" s="51">
        <v>100026284</v>
      </c>
      <c r="F24" s="53" t="str">
        <f>_xlfn.XLOOKUP(E24,'All Products'!D:D,'All Products'!E:E,FALSE)</f>
        <v>3/4" FHT SWVL X 3/4" MPT HOSE FTG</v>
      </c>
      <c r="G24" s="232">
        <f>_xlfn.XLOOKUP(E24,'All Products'!D:D,'All Products'!F:F,FALSE)</f>
        <v>200</v>
      </c>
      <c r="H24" s="232">
        <f>_xlfn.XLOOKUP(E24,'All Products'!D:D,'All Products'!G:G,FALSE)</f>
        <v>24000</v>
      </c>
      <c r="I24" s="123">
        <f>_xlfn.XLOOKUP(E24,'All Products'!D:D,'All Products'!H:H,FALSE)</f>
        <v>5.14</v>
      </c>
      <c r="J24" s="183">
        <f>ROUND(I24*Order_Quote!$L$25,2)</f>
        <v>5.14</v>
      </c>
      <c r="K24" s="75"/>
      <c r="L24" s="76"/>
      <c r="M24" s="114">
        <f t="shared" si="0"/>
        <v>0</v>
      </c>
      <c r="N24" s="352"/>
      <c r="O24" s="215" t="str">
        <f>_xlfn.XLOOKUP(E24,'All Products'!D:D,'All Products'!I:I,FALSE)</f>
        <v>In Stock</v>
      </c>
      <c r="P24" s="215" t="str">
        <f>_xlfn.XLOOKUP(E24,'All Products'!D:D,'All Products'!J:J,FALSE)</f>
        <v>Manufactured</v>
      </c>
      <c r="Q24" s="266">
        <f>_xlfn.XLOOKUP(E24,'All Products'!D:D,'All Products'!K:K,FALSE)</f>
        <v>49081193867</v>
      </c>
      <c r="R24" s="266">
        <f>_xlfn.XLOOKUP(E24,'All Products'!D:D,'All Products'!L:L,FALSE)</f>
        <v>49081693862</v>
      </c>
      <c r="S24" s="266">
        <f>_xlfn.XLOOKUP(E24,'All Products'!D:D,'All Products'!M:M,FALSE)</f>
        <v>40049081193865</v>
      </c>
      <c r="T24" s="264">
        <f>_xlfn.XLOOKUP(E24,'All Products'!D:D,'All Products'!N:N,FALSE)</f>
        <v>8.2000000000000003E-2</v>
      </c>
      <c r="U24" s="266">
        <f>_xlfn.XLOOKUP(E24,'All Products'!D:D,'All Products'!O:O,FALSE)</f>
        <v>25</v>
      </c>
      <c r="V24" s="264">
        <f>_xlfn.XLOOKUP(E24,'All Products'!D:D,'All Products'!P:P,FALSE)</f>
        <v>12.6</v>
      </c>
      <c r="W24" s="265">
        <f>_xlfn.XLOOKUP(E24,'All Products'!D:D,'All Products'!Q:Q,FALSE)</f>
        <v>0.65</v>
      </c>
    </row>
    <row r="25" spans="1:23" ht="39" customHeight="1">
      <c r="A25" s="101" t="str">
        <f>IF(K25&gt;0,COUNT($A$7:A24)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25" s="616"/>
      <c r="C25" s="617"/>
      <c r="D25" s="229" t="str">
        <f>_xlfn.XLOOKUP(E25,'All Products'!D:D,'All Products'!C:C,FALSE)</f>
        <v>535-005</v>
      </c>
      <c r="E25" s="51">
        <v>100026286</v>
      </c>
      <c r="F25" s="53" t="str">
        <f>_xlfn.XLOOKUP(E25,'All Products'!D:D,'All Products'!E:E,FALSE)</f>
        <v>3/4" FHT SWVL X 1/2" IPS/SL ADAP</v>
      </c>
      <c r="G25" s="232">
        <f>_xlfn.XLOOKUP(E25,'All Products'!D:D,'All Products'!F:F,FALSE)</f>
        <v>200</v>
      </c>
      <c r="H25" s="232">
        <f>_xlfn.XLOOKUP(E25,'All Products'!D:D,'All Products'!G:G,FALSE)</f>
        <v>24000</v>
      </c>
      <c r="I25" s="123">
        <f>_xlfn.XLOOKUP(E25,'All Products'!D:D,'All Products'!H:H,FALSE)</f>
        <v>4.78</v>
      </c>
      <c r="J25" s="183">
        <f>ROUND(I25*Order_Quote!$L$25,2)</f>
        <v>4.78</v>
      </c>
      <c r="K25" s="75"/>
      <c r="L25" s="76"/>
      <c r="M25" s="114">
        <f t="shared" si="0"/>
        <v>0</v>
      </c>
      <c r="N25" s="352"/>
      <c r="O25" s="215" t="str">
        <f>_xlfn.XLOOKUP(E25,'All Products'!D:D,'All Products'!I:I,FALSE)</f>
        <v>Within 3 Weeks</v>
      </c>
      <c r="P25" s="215" t="str">
        <f>_xlfn.XLOOKUP(E25,'All Products'!D:D,'All Products'!J:J,FALSE)</f>
        <v>Manufactured</v>
      </c>
      <c r="Q25" s="266">
        <f>_xlfn.XLOOKUP(E25,'All Products'!D:D,'All Products'!K:K,FALSE)</f>
        <v>49081139889</v>
      </c>
      <c r="R25" s="266">
        <f>_xlfn.XLOOKUP(E25,'All Products'!D:D,'All Products'!L:L,FALSE)</f>
        <v>49081639884</v>
      </c>
      <c r="S25" s="266">
        <f>_xlfn.XLOOKUP(E25,'All Products'!D:D,'All Products'!M:M,FALSE)</f>
        <v>40049081139887</v>
      </c>
      <c r="T25" s="264">
        <f>_xlfn.XLOOKUP(E25,'All Products'!D:D,'All Products'!N:N,FALSE)</f>
        <v>7.8E-2</v>
      </c>
      <c r="U25" s="266">
        <f>_xlfn.XLOOKUP(E25,'All Products'!D:D,'All Products'!O:O,FALSE)</f>
        <v>25</v>
      </c>
      <c r="V25" s="264">
        <f>_xlfn.XLOOKUP(E25,'All Products'!D:D,'All Products'!P:P,FALSE)</f>
        <v>11.6</v>
      </c>
      <c r="W25" s="265">
        <f>_xlfn.XLOOKUP(E25,'All Products'!D:D,'All Products'!Q:Q,FALSE)</f>
        <v>0.65</v>
      </c>
    </row>
    <row r="26" spans="1:23" ht="39" customHeight="1">
      <c r="A26" s="101" t="str">
        <f>IF(K26&gt;0,COUNT($A$7:A25)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26" s="616"/>
      <c r="C26" s="617"/>
      <c r="D26" s="229" t="str">
        <f>_xlfn.XLOOKUP(E26,'All Products'!D:D,'All Products'!C:C,FALSE)</f>
        <v>535-007</v>
      </c>
      <c r="E26" s="51">
        <v>100026288</v>
      </c>
      <c r="F26" s="53" t="str">
        <f>_xlfn.XLOOKUP(E26,'All Products'!D:D,'All Products'!E:E,FALSE)</f>
        <v>3/4" FHT SWVL X 3/4" IPS/SL ADAP</v>
      </c>
      <c r="G26" s="232">
        <f>_xlfn.XLOOKUP(E26,'All Products'!D:D,'All Products'!F:F,FALSE)</f>
        <v>200</v>
      </c>
      <c r="H26" s="232">
        <f>_xlfn.XLOOKUP(E26,'All Products'!D:D,'All Products'!G:G,FALSE)</f>
        <v>18000</v>
      </c>
      <c r="I26" s="123">
        <f>_xlfn.XLOOKUP(E26,'All Products'!D:D,'All Products'!H:H,FALSE)</f>
        <v>5.14</v>
      </c>
      <c r="J26" s="183">
        <f>ROUND(I26*Order_Quote!$L$25,2)</f>
        <v>5.14</v>
      </c>
      <c r="K26" s="75"/>
      <c r="L26" s="76"/>
      <c r="M26" s="114">
        <f t="shared" si="0"/>
        <v>0</v>
      </c>
      <c r="N26" s="352"/>
      <c r="O26" s="215" t="str">
        <f>_xlfn.XLOOKUP(E26,'All Products'!D:D,'All Products'!I:I,FALSE)</f>
        <v>In Stock</v>
      </c>
      <c r="P26" s="215" t="str">
        <f>_xlfn.XLOOKUP(E26,'All Products'!D:D,'All Products'!J:J,FALSE)</f>
        <v>Manufactured</v>
      </c>
      <c r="Q26" s="266">
        <f>_xlfn.XLOOKUP(E26,'All Products'!D:D,'All Products'!K:K,FALSE)</f>
        <v>49081139896</v>
      </c>
      <c r="R26" s="266">
        <f>_xlfn.XLOOKUP(E26,'All Products'!D:D,'All Products'!L:L,FALSE)</f>
        <v>49081639891</v>
      </c>
      <c r="S26" s="266">
        <f>_xlfn.XLOOKUP(E26,'All Products'!D:D,'All Products'!M:M,FALSE)</f>
        <v>40049081139894</v>
      </c>
      <c r="T26" s="264">
        <f>_xlfn.XLOOKUP(E26,'All Products'!D:D,'All Products'!N:N,FALSE)</f>
        <v>9.5000000000000001E-2</v>
      </c>
      <c r="U26" s="266">
        <f>_xlfn.XLOOKUP(E26,'All Products'!D:D,'All Products'!O:O,FALSE)</f>
        <v>25</v>
      </c>
      <c r="V26" s="264">
        <f>_xlfn.XLOOKUP(E26,'All Products'!D:D,'All Products'!P:P,FALSE)</f>
        <v>14.75</v>
      </c>
      <c r="W26" s="265">
        <f>_xlfn.XLOOKUP(E26,'All Products'!D:D,'All Products'!Q:Q,FALSE)</f>
        <v>0.8</v>
      </c>
    </row>
    <row r="27" spans="1:23" ht="28.5" customHeight="1">
      <c r="A27" s="101" t="str">
        <f>IF(K27&gt;0,COUNT($A$7:A26)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27" s="608"/>
      <c r="C27" s="609"/>
      <c r="D27" s="229" t="str">
        <f>_xlfn.XLOOKUP(E27,'All Products'!D:D,'All Products'!C:C,FALSE)</f>
        <v>536-007</v>
      </c>
      <c r="E27" s="194">
        <v>100026290</v>
      </c>
      <c r="F27" s="53" t="str">
        <f>_xlfn.XLOOKUP(E27,'All Products'!D:D,'All Products'!E:E,FALSE)</f>
        <v>3/4" MHT X 3/4" SL ADAPTER</v>
      </c>
      <c r="G27" s="232">
        <f>_xlfn.XLOOKUP(E27,'All Products'!D:D,'All Products'!F:F,FALSE)</f>
        <v>200</v>
      </c>
      <c r="H27" s="232">
        <f>_xlfn.XLOOKUP(E27,'All Products'!D:D,'All Products'!G:G,FALSE)</f>
        <v>24000</v>
      </c>
      <c r="I27" s="123">
        <f>_xlfn.XLOOKUP(E27,'All Products'!D:D,'All Products'!H:H,FALSE)</f>
        <v>4.5599999999999996</v>
      </c>
      <c r="J27" s="183">
        <f>ROUND(I27*Order_Quote!$L$25,2)</f>
        <v>4.5599999999999996</v>
      </c>
      <c r="K27" s="75"/>
      <c r="L27" s="76"/>
      <c r="M27" s="114">
        <f t="shared" si="0"/>
        <v>0</v>
      </c>
      <c r="N27" s="352"/>
      <c r="O27" s="215" t="str">
        <f>_xlfn.XLOOKUP(E27,'All Products'!D:D,'All Products'!I:I,FALSE)</f>
        <v>In Stock</v>
      </c>
      <c r="P27" s="215" t="str">
        <f>_xlfn.XLOOKUP(E27,'All Products'!D:D,'All Products'!J:J,FALSE)</f>
        <v>Manufactured</v>
      </c>
      <c r="Q27" s="266">
        <f>_xlfn.XLOOKUP(E27,'All Products'!D:D,'All Products'!K:K,FALSE)</f>
        <v>49081139919</v>
      </c>
      <c r="R27" s="266">
        <f>_xlfn.XLOOKUP(E27,'All Products'!D:D,'All Products'!L:L,FALSE)</f>
        <v>49081639914</v>
      </c>
      <c r="S27" s="266">
        <f>_xlfn.XLOOKUP(E27,'All Products'!D:D,'All Products'!M:M,FALSE)</f>
        <v>40049081139917</v>
      </c>
      <c r="T27" s="264">
        <f>_xlfn.XLOOKUP(E27,'All Products'!D:D,'All Products'!N:N,FALSE)</f>
        <v>6.0999999999999999E-2</v>
      </c>
      <c r="U27" s="266">
        <f>_xlfn.XLOOKUP(E27,'All Products'!D:D,'All Products'!O:O,FALSE)</f>
        <v>25</v>
      </c>
      <c r="V27" s="264">
        <f>_xlfn.XLOOKUP(E27,'All Products'!D:D,'All Products'!P:P,FALSE)</f>
        <v>12.35</v>
      </c>
      <c r="W27" s="265">
        <f>_xlfn.XLOOKUP(E27,'All Products'!D:D,'All Products'!Q:Q,FALSE)</f>
        <v>0.65</v>
      </c>
    </row>
    <row r="28" spans="1:23" ht="28.5" customHeight="1">
      <c r="A28" s="101" t="str">
        <f>IF(K28&gt;0,COUNT($A$7:A27)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28" s="612"/>
      <c r="C28" s="613"/>
      <c r="D28" s="229" t="str">
        <f>_xlfn.XLOOKUP(E28,'All Products'!D:D,'All Products'!C:C,FALSE)</f>
        <v>536-010</v>
      </c>
      <c r="E28" s="194">
        <v>100026291</v>
      </c>
      <c r="F28" s="53" t="str">
        <f>_xlfn.XLOOKUP(E28,'All Products'!D:D,'All Products'!E:E,FALSE)</f>
        <v>3/4" MHT X 1" SL ADAPTER</v>
      </c>
      <c r="G28" s="232">
        <f>_xlfn.XLOOKUP(E28,'All Products'!D:D,'All Products'!F:F,FALSE)</f>
        <v>125</v>
      </c>
      <c r="H28" s="232">
        <f>_xlfn.XLOOKUP(E28,'All Products'!D:D,'All Products'!G:G,FALSE)</f>
        <v>11250</v>
      </c>
      <c r="I28" s="123">
        <f>_xlfn.XLOOKUP(E28,'All Products'!D:D,'All Products'!H:H,FALSE)</f>
        <v>5.0199999999999996</v>
      </c>
      <c r="J28" s="183">
        <f>ROUND(I28*Order_Quote!$L$25,2)</f>
        <v>5.0199999999999996</v>
      </c>
      <c r="K28" s="75"/>
      <c r="L28" s="76"/>
      <c r="M28" s="114">
        <f t="shared" si="0"/>
        <v>0</v>
      </c>
      <c r="N28" s="352"/>
      <c r="O28" s="215" t="str">
        <f>_xlfn.XLOOKUP(E28,'All Products'!D:D,'All Products'!I:I,FALSE)</f>
        <v>In Stock</v>
      </c>
      <c r="P28" s="215" t="str">
        <f>_xlfn.XLOOKUP(E28,'All Products'!D:D,'All Products'!J:J,FALSE)</f>
        <v>Manufactured</v>
      </c>
      <c r="Q28" s="266">
        <f>_xlfn.XLOOKUP(E28,'All Products'!D:D,'All Products'!K:K,FALSE)</f>
        <v>49081139926</v>
      </c>
      <c r="R28" s="266">
        <f>_xlfn.XLOOKUP(E28,'All Products'!D:D,'All Products'!L:L,FALSE)</f>
        <v>49081639921</v>
      </c>
      <c r="S28" s="266">
        <f>_xlfn.XLOOKUP(E28,'All Products'!D:D,'All Products'!M:M,FALSE)</f>
        <v>40049081139924</v>
      </c>
      <c r="T28" s="264">
        <f>_xlfn.XLOOKUP(E28,'All Products'!D:D,'All Products'!N:N,FALSE)</f>
        <v>9.4E-2</v>
      </c>
      <c r="U28" s="266">
        <f>_xlfn.XLOOKUP(E28,'All Products'!D:D,'All Products'!O:O,FALSE)</f>
        <v>25</v>
      </c>
      <c r="V28" s="264">
        <f>_xlfn.XLOOKUP(E28,'All Products'!D:D,'All Products'!P:P,FALSE)</f>
        <v>12.47</v>
      </c>
      <c r="W28" s="265">
        <f>_xlfn.XLOOKUP(E28,'All Products'!D:D,'All Products'!Q:Q,FALSE)</f>
        <v>0.8</v>
      </c>
    </row>
    <row r="29" spans="1:23" ht="15" customHeight="1">
      <c r="A29" s="101" t="str">
        <f>IF(K29&gt;0,COUNT($A$7:A28)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Fittings'!$A$8:$A$15)+1,"")</f>
        <v/>
      </c>
      <c r="B29" s="616"/>
      <c r="C29" s="617"/>
      <c r="D29" s="229" t="str">
        <f>_xlfn.XLOOKUP(E29,'All Products'!D:D,'All Products'!C:C,FALSE)</f>
        <v>548-007</v>
      </c>
      <c r="E29" s="194">
        <v>100026293</v>
      </c>
      <c r="F29" s="53" t="str">
        <f>_xlfn.XLOOKUP(E29,'All Products'!D:D,'All Products'!E:E,FALSE)</f>
        <v>3/4" ORING CAP HOSE FTG</v>
      </c>
      <c r="G29" s="232">
        <f>_xlfn.XLOOKUP(E29,'All Products'!D:D,'All Products'!F:F,FALSE)</f>
        <v>200</v>
      </c>
      <c r="H29" s="232">
        <f>_xlfn.XLOOKUP(E29,'All Products'!D:D,'All Products'!G:G,FALSE)</f>
        <v>54000</v>
      </c>
      <c r="I29" s="123">
        <f>_xlfn.XLOOKUP(E29,'All Products'!D:D,'All Products'!H:H,FALSE)</f>
        <v>2.33</v>
      </c>
      <c r="J29" s="183">
        <f>ROUND(I29*Order_Quote!$L$25,2)</f>
        <v>2.33</v>
      </c>
      <c r="K29" s="75"/>
      <c r="L29" s="76"/>
      <c r="M29" s="114">
        <f t="shared" si="0"/>
        <v>0</v>
      </c>
      <c r="N29" s="352"/>
      <c r="O29" s="215" t="str">
        <f>_xlfn.XLOOKUP(E29,'All Products'!D:D,'All Products'!I:I,FALSE)</f>
        <v>In Stock</v>
      </c>
      <c r="P29" s="215" t="str">
        <f>_xlfn.XLOOKUP(E29,'All Products'!D:D,'All Products'!J:J,FALSE)</f>
        <v>Manufactured</v>
      </c>
      <c r="Q29" s="266">
        <f>_xlfn.XLOOKUP(E29,'All Products'!D:D,'All Products'!K:K,FALSE)</f>
        <v>49081139940</v>
      </c>
      <c r="R29" s="266">
        <f>_xlfn.XLOOKUP(E29,'All Products'!D:D,'All Products'!L:L,FALSE)</f>
        <v>49081639945</v>
      </c>
      <c r="S29" s="266">
        <f>_xlfn.XLOOKUP(E29,'All Products'!D:D,'All Products'!M:M,FALSE)</f>
        <v>40049081139948</v>
      </c>
      <c r="T29" s="264">
        <f>_xlfn.XLOOKUP(E29,'All Products'!D:D,'All Products'!N:N,FALSE)</f>
        <v>0.08</v>
      </c>
      <c r="U29" s="266">
        <f>_xlfn.XLOOKUP(E29,'All Products'!D:D,'All Products'!O:O,FALSE)</f>
        <v>25</v>
      </c>
      <c r="V29" s="264">
        <f>_xlfn.XLOOKUP(E29,'All Products'!D:D,'All Products'!P:P,FALSE)</f>
        <v>7.3</v>
      </c>
      <c r="W29" s="265">
        <f>_xlfn.XLOOKUP(E29,'All Products'!D:D,'All Products'!Q:Q,FALSE)</f>
        <v>0.31</v>
      </c>
    </row>
    <row r="30" spans="1:23" ht="14.4">
      <c r="A30" s="43">
        <f>MAX(A8:A29)+1</f>
        <v>1</v>
      </c>
      <c r="U30" s="267"/>
    </row>
  </sheetData>
  <sheetProtection algorithmName="SHA-512" hashValue="ulG5qdHvQBKP3p1aTWfEoohcjxXACxJDhnCrwJ57nuTZR3ZPnXAc83Y5z/3GBARLKkSc9NOmVIsBMZgtIYGpmA==" saltValue="yC19vJBC+8EI0MyK0ggO+Q==" spinCount="100000" sheet="1" formatCells="0" formatColumns="0" formatRows="0" insertColumns="0" insertRows="0" insertHyperlinks="0" deleteColumns="0" deleteRows="0" sort="0" autoFilter="0" pivotTables="0"/>
  <mergeCells count="16">
    <mergeCell ref="J2:K3"/>
    <mergeCell ref="Q6:S6"/>
    <mergeCell ref="B8:C10"/>
    <mergeCell ref="B11:C12"/>
    <mergeCell ref="B13:C15"/>
    <mergeCell ref="B16:C16"/>
    <mergeCell ref="B17:C17"/>
    <mergeCell ref="B18:C18"/>
    <mergeCell ref="B19:C19"/>
    <mergeCell ref="B20:C21"/>
    <mergeCell ref="B29:C29"/>
    <mergeCell ref="B22:C22"/>
    <mergeCell ref="B23:C24"/>
    <mergeCell ref="B25:C25"/>
    <mergeCell ref="B26:C26"/>
    <mergeCell ref="B27:C28"/>
  </mergeCells>
  <dataValidations count="5">
    <dataValidation type="whole" operator="greaterThanOrEqual" allowBlank="1" showInputMessage="1" showErrorMessage="1" errorTitle="Invalid Entry!" error="An invalid quantity has been entered. Please enter only whole numbers. Click Retry to change entry or Cancel to clear entry." sqref="L8 L1:L6 L30" xr:uid="{C18AEC5A-0302-4720-898F-9F48CFAA431B}">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3ED00BB6-3E5F-4B06-8D8E-1F7A792061D4}">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L9:L17 L19:L29" xr:uid="{4CAD35C5-E4A0-4FC9-B6A1-47E80C4D7A5A}">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7" xr:uid="{7BF6D43D-8E12-489F-B4AC-0F470400FD3A}">
      <formula1>1</formula1>
    </dataValidation>
    <dataValidation allowBlank="1" showErrorMessage="1" sqref="K1:K1048576" xr:uid="{D36C9C4F-7763-4F7A-A2A7-FD1030BE61D3}"/>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F3329-9211-4CB3-8108-EBC914B1D7F6}">
  <sheetPr codeName="Sheet30">
    <tabColor theme="0"/>
    <pageSetUpPr fitToPage="1"/>
  </sheetPr>
  <dimension ref="A1:V926"/>
  <sheetViews>
    <sheetView topLeftCell="A196" workbookViewId="0">
      <selection activeCell="B9" sqref="B9:C215"/>
    </sheetView>
  </sheetViews>
  <sheetFormatPr defaultColWidth="9.109375" defaultRowHeight="0" customHeight="1" zeroHeight="1"/>
  <cols>
    <col min="1" max="1" width="2.33203125" style="101" customWidth="1"/>
    <col min="2" max="3" width="8.6640625" style="17" customWidth="1"/>
    <col min="4" max="4" width="14.109375" style="20" customWidth="1"/>
    <col min="5" max="5" width="12.6640625" style="20" customWidth="1"/>
    <col min="6" max="6" width="50.6640625" style="184" customWidth="1"/>
    <col min="7" max="8" width="10.6640625" style="20" customWidth="1"/>
    <col min="9" max="9" width="10.6640625" style="25" customWidth="1"/>
    <col min="10" max="10" width="10.6640625" style="240" customWidth="1"/>
    <col min="11" max="11" width="10.6640625" style="20" customWidth="1"/>
    <col min="12" max="12" width="1.44140625" style="20" customWidth="1"/>
    <col min="13" max="13" width="10.6640625" style="20" customWidth="1"/>
    <col min="14" max="14" width="2.33203125" style="17" customWidth="1"/>
    <col min="15" max="15" width="12.6640625" style="20" customWidth="1"/>
    <col min="16" max="16" width="10.6640625" style="20" customWidth="1"/>
    <col min="17" max="17" width="11.33203125" style="321" bestFit="1" customWidth="1"/>
    <col min="18" max="18" width="9.109375" style="321" customWidth="1"/>
    <col min="19" max="19" width="13.109375" style="321" bestFit="1" customWidth="1"/>
    <col min="20" max="32" width="9.109375" style="17" customWidth="1"/>
    <col min="33" max="16384" width="9.109375" style="17"/>
  </cols>
  <sheetData>
    <row r="1" spans="1:22" ht="18">
      <c r="F1" s="155" t="s">
        <v>44</v>
      </c>
      <c r="G1" s="198"/>
      <c r="H1" s="198"/>
      <c r="O1" s="198"/>
      <c r="P1" s="198"/>
    </row>
    <row r="2" spans="1:22" ht="14.4" customHeight="1">
      <c r="D2" s="441"/>
      <c r="E2" s="201"/>
      <c r="F2" s="198"/>
      <c r="G2" s="198"/>
      <c r="J2" s="262" t="s">
        <v>59</v>
      </c>
      <c r="K2" s="241"/>
    </row>
    <row r="3" spans="1:22" ht="14.4" customHeight="1">
      <c r="F3" s="323" t="s">
        <v>2443</v>
      </c>
      <c r="G3" s="4"/>
      <c r="H3" s="4"/>
      <c r="J3" s="241"/>
      <c r="K3" s="241"/>
    </row>
    <row r="4" spans="1:22" ht="14.4" customHeight="1">
      <c r="E4" s="147" t="s">
        <v>5740</v>
      </c>
      <c r="F4" s="327" t="s">
        <v>5998</v>
      </c>
      <c r="G4" s="4"/>
      <c r="H4" s="4"/>
      <c r="J4" s="182"/>
      <c r="K4" s="17"/>
    </row>
    <row r="5" spans="1:22" ht="14.4" customHeight="1">
      <c r="F5" s="325" t="s">
        <v>5973</v>
      </c>
      <c r="G5" s="4"/>
      <c r="H5" s="4"/>
      <c r="J5" s="182"/>
      <c r="K5" s="17"/>
    </row>
    <row r="6" spans="1:22" ht="14.4" customHeight="1">
      <c r="J6" s="182"/>
      <c r="K6" s="17"/>
      <c r="Q6" s="698" t="s">
        <v>64</v>
      </c>
      <c r="R6" s="698"/>
      <c r="S6" s="698"/>
      <c r="T6" s="25"/>
      <c r="U6" s="25"/>
      <c r="V6" s="25"/>
    </row>
    <row r="7" spans="1:22" ht="29.4" thickBot="1">
      <c r="B7" s="136"/>
      <c r="C7" s="136"/>
      <c r="D7" s="490" t="s">
        <v>48</v>
      </c>
      <c r="E7" s="136" t="s">
        <v>49</v>
      </c>
      <c r="F7" s="136" t="s">
        <v>50</v>
      </c>
      <c r="G7" s="136" t="s">
        <v>65</v>
      </c>
      <c r="H7" s="136" t="s">
        <v>66</v>
      </c>
      <c r="I7" s="157" t="s">
        <v>51</v>
      </c>
      <c r="J7" s="157" t="s">
        <v>55</v>
      </c>
      <c r="K7" s="158" t="s">
        <v>52</v>
      </c>
      <c r="L7" s="17"/>
      <c r="M7" s="143" t="s">
        <v>67</v>
      </c>
      <c r="O7" s="213" t="s">
        <v>68</v>
      </c>
      <c r="P7" s="213" t="s">
        <v>69</v>
      </c>
      <c r="Q7" s="516" t="s">
        <v>70</v>
      </c>
      <c r="R7" s="516" t="s">
        <v>71</v>
      </c>
      <c r="S7" s="516" t="s">
        <v>72</v>
      </c>
      <c r="T7" s="213" t="s">
        <v>73</v>
      </c>
      <c r="U7" s="213" t="s">
        <v>328</v>
      </c>
      <c r="V7" s="213" t="s">
        <v>329</v>
      </c>
    </row>
    <row r="8" spans="1:22" ht="16.2" thickBot="1">
      <c r="B8" s="446" t="s">
        <v>2444</v>
      </c>
      <c r="C8" s="151"/>
      <c r="D8" s="151"/>
      <c r="E8" s="459"/>
      <c r="F8" s="151"/>
      <c r="G8" s="468"/>
      <c r="H8" s="151"/>
      <c r="I8" s="472"/>
      <c r="J8" s="468"/>
      <c r="K8" s="566"/>
      <c r="M8" s="545"/>
      <c r="O8" s="357"/>
      <c r="P8" s="145"/>
      <c r="Q8" s="493"/>
      <c r="R8" s="493"/>
      <c r="S8" s="493"/>
      <c r="T8" s="479"/>
      <c r="U8" s="459"/>
      <c r="V8" s="582"/>
    </row>
    <row r="9" spans="1:22" ht="14.4" customHeight="1">
      <c r="A9" s="101" t="str">
        <f>IF(K9&gt;0,COUNT($A$8:A8)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9" s="682"/>
      <c r="C9" s="683"/>
      <c r="D9" s="274" t="str">
        <f>_xlfn.XLOOKUP(E9,'All Products'!D:D,'All Products'!C:C,FALSE)</f>
        <v>1-13-13-1-12</v>
      </c>
      <c r="E9" s="103">
        <v>100024858</v>
      </c>
      <c r="F9" s="144" t="str">
        <f>_xlfn.XLOOKUP(E9,'All Products'!D:D,'All Products'!E:E,FALSE)</f>
        <v>1 ACME X 1 ACME SU X 12 LL SJ</v>
      </c>
      <c r="G9" s="103">
        <f>_xlfn.XLOOKUP(E9,'All Products'!D:D,'All Products'!F:F,FALSE)</f>
        <v>10</v>
      </c>
      <c r="H9" s="103">
        <f>_xlfn.XLOOKUP(E9,'All Products'!D:D,'All Products'!G:G,FALSE)</f>
        <v>750</v>
      </c>
      <c r="I9" s="140">
        <f>_xlfn.XLOOKUP(E9,'All Products'!D:D,'All Products'!H:H,FALSE)</f>
        <v>102.64</v>
      </c>
      <c r="J9" s="173">
        <f>ROUNDUP(I9*Order_Quote!$L$26,2)</f>
        <v>102.64</v>
      </c>
      <c r="K9" s="260"/>
      <c r="L9" s="113"/>
      <c r="M9" s="171">
        <f t="shared" ref="M9:M72" si="0">K9/G9</f>
        <v>0</v>
      </c>
      <c r="O9" s="215" t="str">
        <f>_xlfn.XLOOKUP(E9,'All Products'!D:D,'All Products'!I:I,FALSE)</f>
        <v>Within 3 Weeks</v>
      </c>
      <c r="P9" s="215" t="str">
        <f>_xlfn.XLOOKUP(E9,'All Products'!D:D,'All Products'!J:J,FALSE)</f>
        <v>Manufactured</v>
      </c>
      <c r="Q9" s="266">
        <f>_xlfn.XLOOKUP(E9,'All Products'!D:D,'All Products'!K:K,FALSE)</f>
        <v>49081022914</v>
      </c>
      <c r="R9" s="266" t="str">
        <f>_xlfn.XLOOKUP(E9,'All Products'!D:D,'All Products'!L:L,FALSE)</f>
        <v>-</v>
      </c>
      <c r="S9" s="266">
        <f>_xlfn.XLOOKUP(E9,'All Products'!D:D,'All Products'!M:M,FALSE)</f>
        <v>40049081022912</v>
      </c>
      <c r="T9" s="264">
        <f>_xlfn.XLOOKUP(E9,'All Products'!D:D,'All Products'!N:N,FALSE)</f>
        <v>1.2490000000000001</v>
      </c>
      <c r="U9" s="264">
        <f>_xlfn.XLOOKUP(E9,'All Products'!D:D,'All Products'!P:P,FALSE)</f>
        <v>12.66</v>
      </c>
      <c r="V9" s="265">
        <f>_xlfn.XLOOKUP(E9,'All Products'!D:D,'All Products'!Q:Q,FALSE)</f>
        <v>1.1000000000000001</v>
      </c>
    </row>
    <row r="10" spans="1:22" ht="14.4" customHeight="1">
      <c r="A10" s="101" t="str">
        <f>IF(K10&gt;0,COUNT($A$8:A9)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0" s="610"/>
      <c r="C10" s="611"/>
      <c r="D10" s="274" t="str">
        <f>_xlfn.XLOOKUP(E10,'All Products'!D:D,'All Products'!C:C,FALSE)</f>
        <v>1-13-13-1-18</v>
      </c>
      <c r="E10" s="103">
        <v>100023760</v>
      </c>
      <c r="F10" s="144" t="str">
        <f>_xlfn.XLOOKUP(E10,'All Products'!D:D,'All Products'!E:E,FALSE)</f>
        <v>1 ACME X 1 ACME SU X 18 LL SJ</v>
      </c>
      <c r="G10" s="103">
        <f>_xlfn.XLOOKUP(E10,'All Products'!D:D,'All Products'!F:F,FALSE)</f>
        <v>10</v>
      </c>
      <c r="H10" s="103">
        <f>_xlfn.XLOOKUP(E10,'All Products'!D:D,'All Products'!G:G,FALSE)</f>
        <v>600</v>
      </c>
      <c r="I10" s="140">
        <f>_xlfn.XLOOKUP(E10,'All Products'!D:D,'All Products'!H:H,FALSE)</f>
        <v>113.76</v>
      </c>
      <c r="J10" s="173">
        <f>ROUNDUP(I10*Order_Quote!$L$26,2)</f>
        <v>113.76</v>
      </c>
      <c r="K10" s="75"/>
      <c r="L10" s="113"/>
      <c r="M10" s="171">
        <f t="shared" si="0"/>
        <v>0</v>
      </c>
      <c r="O10" s="215" t="str">
        <f>_xlfn.XLOOKUP(E10,'All Products'!D:D,'All Products'!I:I,FALSE)</f>
        <v>Within 3 Weeks</v>
      </c>
      <c r="P10" s="215" t="str">
        <f>_xlfn.XLOOKUP(E10,'All Products'!D:D,'All Products'!J:J,FALSE)</f>
        <v>Manufactured</v>
      </c>
      <c r="Q10" s="266">
        <f>_xlfn.XLOOKUP(E10,'All Products'!D:D,'All Products'!K:K,FALSE)</f>
        <v>49081022921</v>
      </c>
      <c r="R10" s="266" t="str">
        <f>_xlfn.XLOOKUP(E10,'All Products'!D:D,'All Products'!L:L,FALSE)</f>
        <v>-</v>
      </c>
      <c r="S10" s="266">
        <f>_xlfn.XLOOKUP(E10,'All Products'!D:D,'All Products'!M:M,FALSE)</f>
        <v>40049081022929</v>
      </c>
      <c r="T10" s="264">
        <f>_xlfn.XLOOKUP(E10,'All Products'!D:D,'All Products'!N:N,FALSE)</f>
        <v>1.4279999999999999</v>
      </c>
      <c r="U10" s="264">
        <f>_xlfn.XLOOKUP(E10,'All Products'!D:D,'All Products'!P:P,FALSE)</f>
        <v>14.68</v>
      </c>
      <c r="V10" s="265">
        <f>_xlfn.XLOOKUP(E10,'All Products'!D:D,'All Products'!Q:Q,FALSE)</f>
        <v>1.41</v>
      </c>
    </row>
    <row r="11" spans="1:22" ht="14.4" customHeight="1">
      <c r="A11" s="101" t="str">
        <f>IF(K11&gt;0,COUNT($A$8:A10)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1" s="610"/>
      <c r="C11" s="611"/>
      <c r="D11" s="274" t="str">
        <f>_xlfn.XLOOKUP(E11,'All Products'!D:D,'All Products'!C:C,FALSE)</f>
        <v>1-13-22-1-12</v>
      </c>
      <c r="E11" s="103">
        <v>100029615</v>
      </c>
      <c r="F11" s="144" t="str">
        <f>_xlfn.XLOOKUP(E11,'All Products'!D:D,'All Products'!E:E,FALSE)</f>
        <v>1 ACME X 1 BSPT SU X 12 LL SJ</v>
      </c>
      <c r="G11" s="103">
        <f>_xlfn.XLOOKUP(E11,'All Products'!D:D,'All Products'!F:F,FALSE)</f>
        <v>1000</v>
      </c>
      <c r="H11" s="103">
        <f>_xlfn.XLOOKUP(E11,'All Products'!D:D,'All Products'!G:G,FALSE)</f>
        <v>75000</v>
      </c>
      <c r="I11" s="140">
        <f>_xlfn.XLOOKUP(E11,'All Products'!D:D,'All Products'!H:H,FALSE)</f>
        <v>102.64</v>
      </c>
      <c r="J11" s="173">
        <f>ROUNDUP(I11*Order_Quote!$L$26,2)</f>
        <v>102.64</v>
      </c>
      <c r="K11" s="75"/>
      <c r="L11" s="113"/>
      <c r="M11" s="171">
        <f t="shared" si="0"/>
        <v>0</v>
      </c>
      <c r="O11" s="215" t="str">
        <f>_xlfn.XLOOKUP(E11,'All Products'!D:D,'All Products'!I:I,FALSE)</f>
        <v>Within 3 Weeks</v>
      </c>
      <c r="P11" s="215" t="str">
        <f>_xlfn.XLOOKUP(E11,'All Products'!D:D,'All Products'!J:J,FALSE)</f>
        <v>Manufactured</v>
      </c>
      <c r="Q11" s="266">
        <f>_xlfn.XLOOKUP(E11,'All Products'!D:D,'All Products'!K:K,FALSE)</f>
        <v>49081031350</v>
      </c>
      <c r="R11" s="266" t="str">
        <f>_xlfn.XLOOKUP(E11,'All Products'!D:D,'All Products'!L:L,FALSE)</f>
        <v>-</v>
      </c>
      <c r="S11" s="266">
        <f>_xlfn.XLOOKUP(E11,'All Products'!D:D,'All Products'!M:M,FALSE)</f>
        <v>40049081031358</v>
      </c>
      <c r="T11" s="264">
        <f>_xlfn.XLOOKUP(E11,'All Products'!D:D,'All Products'!N:N,FALSE)</f>
        <v>1.2290000000000001</v>
      </c>
      <c r="U11" s="264">
        <f>_xlfn.XLOOKUP(E11,'All Products'!D:D,'All Products'!P:P,FALSE)</f>
        <v>12.8</v>
      </c>
      <c r="V11" s="265">
        <f>_xlfn.XLOOKUP(E11,'All Products'!D:D,'All Products'!Q:Q,FALSE)</f>
        <v>0.95</v>
      </c>
    </row>
    <row r="12" spans="1:22" ht="14.4" customHeight="1">
      <c r="A12" s="101" t="str">
        <f>IF(K12&gt;0,COUNT($A$8:A11)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2" s="610"/>
      <c r="C12" s="611"/>
      <c r="D12" s="274" t="str">
        <f>_xlfn.XLOOKUP(E12,'All Products'!D:D,'All Products'!C:C,FALSE)</f>
        <v>1-13-3-1-12</v>
      </c>
      <c r="E12" s="103">
        <v>100023761</v>
      </c>
      <c r="F12" s="144" t="str">
        <f>_xlfn.XLOOKUP(E12,'All Products'!D:D,'All Products'!E:E,FALSE)</f>
        <v>1 ACME X 1 MPT SU X 12 LL SJ</v>
      </c>
      <c r="G12" s="103">
        <f>_xlfn.XLOOKUP(E12,'All Products'!D:D,'All Products'!F:F,FALSE)</f>
        <v>10</v>
      </c>
      <c r="H12" s="103">
        <f>_xlfn.XLOOKUP(E12,'All Products'!D:D,'All Products'!G:G,FALSE)</f>
        <v>750</v>
      </c>
      <c r="I12" s="140">
        <f>_xlfn.XLOOKUP(E12,'All Products'!D:D,'All Products'!H:H,FALSE)</f>
        <v>102.64</v>
      </c>
      <c r="J12" s="173">
        <f>ROUNDUP(I12*Order_Quote!$L$26,2)</f>
        <v>102.64</v>
      </c>
      <c r="K12" s="75"/>
      <c r="L12" s="113"/>
      <c r="M12" s="171">
        <f t="shared" si="0"/>
        <v>0</v>
      </c>
      <c r="O12" s="215" t="str">
        <f>_xlfn.XLOOKUP(E12,'All Products'!D:D,'All Products'!I:I,FALSE)</f>
        <v>Within 3 Weeks</v>
      </c>
      <c r="P12" s="215" t="str">
        <f>_xlfn.XLOOKUP(E12,'All Products'!D:D,'All Products'!J:J,FALSE)</f>
        <v>Manufactured</v>
      </c>
      <c r="Q12" s="266">
        <f>_xlfn.XLOOKUP(E12,'All Products'!D:D,'All Products'!K:K,FALSE)</f>
        <v>49081022938</v>
      </c>
      <c r="R12" s="266" t="str">
        <f>_xlfn.XLOOKUP(E12,'All Products'!D:D,'All Products'!L:L,FALSE)</f>
        <v>-</v>
      </c>
      <c r="S12" s="266">
        <f>_xlfn.XLOOKUP(E12,'All Products'!D:D,'All Products'!M:M,FALSE)</f>
        <v>40049081022936</v>
      </c>
      <c r="T12" s="264">
        <f>_xlfn.XLOOKUP(E12,'All Products'!D:D,'All Products'!N:N,FALSE)</f>
        <v>1.23</v>
      </c>
      <c r="U12" s="264">
        <f>_xlfn.XLOOKUP(E12,'All Products'!D:D,'All Products'!P:P,FALSE)</f>
        <v>12.565</v>
      </c>
      <c r="V12" s="265">
        <f>_xlfn.XLOOKUP(E12,'All Products'!D:D,'All Products'!Q:Q,FALSE)</f>
        <v>0.95</v>
      </c>
    </row>
    <row r="13" spans="1:22" ht="14.4" customHeight="1">
      <c r="A13" s="101" t="str">
        <f>IF(K13&gt;0,COUNT($A$8:A12)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3" s="610"/>
      <c r="C13" s="611"/>
      <c r="D13" s="274" t="str">
        <f>_xlfn.XLOOKUP(E13,'All Products'!D:D,'All Products'!C:C,FALSE)</f>
        <v>1-13-3-1-18</v>
      </c>
      <c r="E13" s="103">
        <v>100024859</v>
      </c>
      <c r="F13" s="144" t="str">
        <f>_xlfn.XLOOKUP(E13,'All Products'!D:D,'All Products'!E:E,FALSE)</f>
        <v>1 ACME X 1 MPT SU X 18 LL SJ</v>
      </c>
      <c r="G13" s="103">
        <f>_xlfn.XLOOKUP(E13,'All Products'!D:D,'All Products'!F:F,FALSE)</f>
        <v>10</v>
      </c>
      <c r="H13" s="103">
        <f>_xlfn.XLOOKUP(E13,'All Products'!D:D,'All Products'!G:G,FALSE)</f>
        <v>600</v>
      </c>
      <c r="I13" s="140">
        <f>_xlfn.XLOOKUP(E13,'All Products'!D:D,'All Products'!H:H,FALSE)</f>
        <v>113.76</v>
      </c>
      <c r="J13" s="173">
        <f>ROUNDUP(I13*Order_Quote!$L$26,2)</f>
        <v>113.76</v>
      </c>
      <c r="K13" s="75"/>
      <c r="L13" s="113"/>
      <c r="M13" s="171">
        <f t="shared" si="0"/>
        <v>0</v>
      </c>
      <c r="O13" s="215" t="str">
        <f>_xlfn.XLOOKUP(E13,'All Products'!D:D,'All Products'!I:I,FALSE)</f>
        <v>Within 3 Weeks</v>
      </c>
      <c r="P13" s="215" t="str">
        <f>_xlfn.XLOOKUP(E13,'All Products'!D:D,'All Products'!J:J,FALSE)</f>
        <v>Manufactured</v>
      </c>
      <c r="Q13" s="266">
        <f>_xlfn.XLOOKUP(E13,'All Products'!D:D,'All Products'!K:K,FALSE)</f>
        <v>49081022945</v>
      </c>
      <c r="R13" s="266" t="str">
        <f>_xlfn.XLOOKUP(E13,'All Products'!D:D,'All Products'!L:L,FALSE)</f>
        <v>-</v>
      </c>
      <c r="S13" s="266">
        <f>_xlfn.XLOOKUP(E13,'All Products'!D:D,'All Products'!M:M,FALSE)</f>
        <v>40049081022943</v>
      </c>
      <c r="T13" s="264">
        <f>_xlfn.XLOOKUP(E13,'All Products'!D:D,'All Products'!N:N,FALSE)</f>
        <v>1.409</v>
      </c>
      <c r="U13" s="264">
        <f>_xlfn.XLOOKUP(E13,'All Products'!D:D,'All Products'!P:P,FALSE)</f>
        <v>14.68</v>
      </c>
      <c r="V13" s="265">
        <f>_xlfn.XLOOKUP(E13,'All Products'!D:D,'All Products'!Q:Q,FALSE)</f>
        <v>1.41</v>
      </c>
    </row>
    <row r="14" spans="1:22" ht="14.4" customHeight="1">
      <c r="A14" s="101" t="str">
        <f>IF(K14&gt;0,COUNT($A$8:A13)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4" s="610"/>
      <c r="C14" s="611"/>
      <c r="D14" s="274" t="str">
        <f>_xlfn.XLOOKUP(E14,'All Products'!D:D,'All Products'!C:C,FALSE)</f>
        <v>1-15-13-1-12</v>
      </c>
      <c r="E14" s="103">
        <v>100024862</v>
      </c>
      <c r="F14" s="144" t="str">
        <f>_xlfn.XLOOKUP(E14,'All Products'!D:D,'All Products'!E:E,FALSE)</f>
        <v>1-1/2 ACME X 1 ACME SU X 12 LL SJ</v>
      </c>
      <c r="G14" s="103">
        <f>_xlfn.XLOOKUP(E14,'All Products'!D:D,'All Products'!F:F,FALSE)</f>
        <v>10</v>
      </c>
      <c r="H14" s="103">
        <f>_xlfn.XLOOKUP(E14,'All Products'!D:D,'All Products'!G:G,FALSE)</f>
        <v>750</v>
      </c>
      <c r="I14" s="140">
        <f>_xlfn.XLOOKUP(E14,'All Products'!D:D,'All Products'!H:H,FALSE)</f>
        <v>102.64</v>
      </c>
      <c r="J14" s="173">
        <f>ROUNDUP(I14*Order_Quote!$L$26,2)</f>
        <v>102.64</v>
      </c>
      <c r="K14" s="75"/>
      <c r="L14" s="113"/>
      <c r="M14" s="171">
        <f t="shared" si="0"/>
        <v>0</v>
      </c>
      <c r="O14" s="215" t="str">
        <f>_xlfn.XLOOKUP(E14,'All Products'!D:D,'All Products'!I:I,FALSE)</f>
        <v>Within 3 Weeks</v>
      </c>
      <c r="P14" s="215" t="str">
        <f>_xlfn.XLOOKUP(E14,'All Products'!D:D,'All Products'!J:J,FALSE)</f>
        <v>Manufactured</v>
      </c>
      <c r="Q14" s="266">
        <f>_xlfn.XLOOKUP(E14,'All Products'!D:D,'All Products'!K:K,FALSE)</f>
        <v>49081022464</v>
      </c>
      <c r="R14" s="266" t="str">
        <f>_xlfn.XLOOKUP(E14,'All Products'!D:D,'All Products'!L:L,FALSE)</f>
        <v>-</v>
      </c>
      <c r="S14" s="266">
        <f>_xlfn.XLOOKUP(E14,'All Products'!D:D,'All Products'!M:M,FALSE)</f>
        <v>40049081022462</v>
      </c>
      <c r="T14" s="264">
        <f>_xlfn.XLOOKUP(E14,'All Products'!D:D,'All Products'!N:N,FALSE)</f>
        <v>1.292</v>
      </c>
      <c r="U14" s="264">
        <f>_xlfn.XLOOKUP(E14,'All Products'!D:D,'All Products'!P:P,FALSE)</f>
        <v>12.85</v>
      </c>
      <c r="V14" s="265">
        <f>_xlfn.XLOOKUP(E14,'All Products'!D:D,'All Products'!Q:Q,FALSE)</f>
        <v>1.1000000000000001</v>
      </c>
    </row>
    <row r="15" spans="1:22" ht="14.4" customHeight="1">
      <c r="A15" s="101" t="str">
        <f>IF(K15&gt;0,COUNT($A$8:A14)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5" s="610"/>
      <c r="C15" s="611"/>
      <c r="D15" s="274" t="str">
        <f>_xlfn.XLOOKUP(E15,'All Products'!D:D,'All Products'!C:C,FALSE)</f>
        <v>1-15-13-1-18</v>
      </c>
      <c r="E15" s="103">
        <v>100030779</v>
      </c>
      <c r="F15" s="144" t="str">
        <f>_xlfn.XLOOKUP(E15,'All Products'!D:D,'All Products'!E:E,FALSE)</f>
        <v>1-1/2 ACME X 1 ACME SU X 18LL SJ</v>
      </c>
      <c r="G15" s="103">
        <f>_xlfn.XLOOKUP(E15,'All Products'!D:D,'All Products'!F:F,FALSE)</f>
        <v>10</v>
      </c>
      <c r="H15" s="103">
        <f>_xlfn.XLOOKUP(E15,'All Products'!D:D,'All Products'!G:G,FALSE)</f>
        <v>600</v>
      </c>
      <c r="I15" s="140">
        <f>_xlfn.XLOOKUP(E15,'All Products'!D:D,'All Products'!H:H,FALSE)</f>
        <v>113.76</v>
      </c>
      <c r="J15" s="173">
        <f>ROUNDUP(I15*Order_Quote!$L$26,2)</f>
        <v>113.76</v>
      </c>
      <c r="K15" s="75"/>
      <c r="L15" s="113"/>
      <c r="M15" s="171">
        <f t="shared" si="0"/>
        <v>0</v>
      </c>
      <c r="O15" s="215" t="str">
        <f>_xlfn.XLOOKUP(E15,'All Products'!D:D,'All Products'!I:I,FALSE)</f>
        <v>Within 3 Weeks</v>
      </c>
      <c r="P15" s="215" t="str">
        <f>_xlfn.XLOOKUP(E15,'All Products'!D:D,'All Products'!J:J,FALSE)</f>
        <v>Manufactured</v>
      </c>
      <c r="Q15" s="266">
        <f>_xlfn.XLOOKUP(E15,'All Products'!D:D,'All Products'!K:K,FALSE)</f>
        <v>49081031558</v>
      </c>
      <c r="R15" s="266" t="str">
        <f>_xlfn.XLOOKUP(E15,'All Products'!D:D,'All Products'!L:L,FALSE)</f>
        <v>-</v>
      </c>
      <c r="S15" s="266">
        <f>_xlfn.XLOOKUP(E15,'All Products'!D:D,'All Products'!M:M,FALSE)</f>
        <v>40049081031556</v>
      </c>
      <c r="T15" s="264">
        <f>_xlfn.XLOOKUP(E15,'All Products'!D:D,'All Products'!N:N,FALSE)</f>
        <v>1.4710000000000001</v>
      </c>
      <c r="U15" s="264">
        <f>_xlfn.XLOOKUP(E15,'All Products'!D:D,'All Products'!P:P,FALSE)</f>
        <v>15.1</v>
      </c>
      <c r="V15" s="265">
        <f>_xlfn.XLOOKUP(E15,'All Products'!D:D,'All Products'!Q:Q,FALSE)</f>
        <v>1.41</v>
      </c>
    </row>
    <row r="16" spans="1:22" ht="14.4" customHeight="1">
      <c r="A16" s="101" t="str">
        <f>IF(K16&gt;0,COUNT($A$8:A15)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6" s="610"/>
      <c r="C16" s="611"/>
      <c r="D16" s="274" t="str">
        <f>_xlfn.XLOOKUP(E16,'All Products'!D:D,'All Products'!C:C,FALSE)</f>
        <v>1-15-3-1-12</v>
      </c>
      <c r="E16" s="103">
        <v>100024865</v>
      </c>
      <c r="F16" s="144" t="str">
        <f>_xlfn.XLOOKUP(E16,'All Products'!D:D,'All Products'!E:E,FALSE)</f>
        <v>1-1/2 ACME X 1 MPT SU X 12LL SJ</v>
      </c>
      <c r="G16" s="103">
        <f>_xlfn.XLOOKUP(E16,'All Products'!D:D,'All Products'!F:F,FALSE)</f>
        <v>10</v>
      </c>
      <c r="H16" s="103">
        <f>_xlfn.XLOOKUP(E16,'All Products'!D:D,'All Products'!G:G,FALSE)</f>
        <v>750</v>
      </c>
      <c r="I16" s="140">
        <f>_xlfn.XLOOKUP(E16,'All Products'!D:D,'All Products'!H:H,FALSE)</f>
        <v>102.64</v>
      </c>
      <c r="J16" s="173">
        <f>ROUNDUP(I16*Order_Quote!$L$26,2)</f>
        <v>102.64</v>
      </c>
      <c r="K16" s="75"/>
      <c r="L16" s="113"/>
      <c r="M16" s="171">
        <f t="shared" si="0"/>
        <v>0</v>
      </c>
      <c r="O16" s="215" t="str">
        <f>_xlfn.XLOOKUP(E16,'All Products'!D:D,'All Products'!I:I,FALSE)</f>
        <v>Within 3 Weeks</v>
      </c>
      <c r="P16" s="215" t="str">
        <f>_xlfn.XLOOKUP(E16,'All Products'!D:D,'All Products'!J:J,FALSE)</f>
        <v>Manufactured</v>
      </c>
      <c r="Q16" s="266">
        <f>_xlfn.XLOOKUP(E16,'All Products'!D:D,'All Products'!K:K,FALSE)</f>
        <v>49081022457</v>
      </c>
      <c r="R16" s="266" t="str">
        <f>_xlfn.XLOOKUP(E16,'All Products'!D:D,'All Products'!L:L,FALSE)</f>
        <v>-</v>
      </c>
      <c r="S16" s="266">
        <f>_xlfn.XLOOKUP(E16,'All Products'!D:D,'All Products'!M:M,FALSE)</f>
        <v>40049081022455</v>
      </c>
      <c r="T16" s="264">
        <f>_xlfn.XLOOKUP(E16,'All Products'!D:D,'All Products'!N:N,FALSE)</f>
        <v>1.272</v>
      </c>
      <c r="U16" s="264">
        <f>_xlfn.XLOOKUP(E16,'All Products'!D:D,'All Products'!P:P,FALSE)</f>
        <v>12.855</v>
      </c>
      <c r="V16" s="265">
        <f>_xlfn.XLOOKUP(E16,'All Products'!D:D,'All Products'!Q:Q,FALSE)</f>
        <v>1.1000000000000001</v>
      </c>
    </row>
    <row r="17" spans="1:22" ht="14.4" customHeight="1">
      <c r="A17" s="101" t="str">
        <f>IF(K17&gt;0,COUNT($A$8:A16)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7" s="610"/>
      <c r="C17" s="611"/>
      <c r="D17" s="274" t="str">
        <f>_xlfn.XLOOKUP(E17,'All Products'!D:D,'All Products'!C:C,FALSE)</f>
        <v>1-15-QC-1-18</v>
      </c>
      <c r="E17" s="103">
        <v>100023764</v>
      </c>
      <c r="F17" s="144" t="str">
        <f>_xlfn.XLOOKUP(E17,'All Products'!D:D,'All Products'!E:E,FALSE)</f>
        <v>1-1/2 ACME X 1 BRS MPT QCSU X18 SJ</v>
      </c>
      <c r="G17" s="103">
        <f>_xlfn.XLOOKUP(E17,'All Products'!D:D,'All Products'!F:F,FALSE)</f>
        <v>10</v>
      </c>
      <c r="H17" s="103">
        <f>_xlfn.XLOOKUP(E17,'All Products'!D:D,'All Products'!G:G,FALSE)</f>
        <v>240</v>
      </c>
      <c r="I17" s="140">
        <f>_xlfn.XLOOKUP(E17,'All Products'!D:D,'All Products'!H:H,FALSE)</f>
        <v>1.26</v>
      </c>
      <c r="J17" s="173">
        <f>ROUNDUP(I17*Order_Quote!$L$26,2)</f>
        <v>1.26</v>
      </c>
      <c r="K17" s="75"/>
      <c r="L17" s="113"/>
      <c r="M17" s="171">
        <f t="shared" si="0"/>
        <v>0</v>
      </c>
      <c r="O17" s="215" t="str">
        <f>_xlfn.XLOOKUP(E17,'All Products'!D:D,'All Products'!I:I,FALSE)</f>
        <v>Within 3 Weeks</v>
      </c>
      <c r="P17" s="215" t="str">
        <f>_xlfn.XLOOKUP(E17,'All Products'!D:D,'All Products'!J:J,FALSE)</f>
        <v>Manufactured</v>
      </c>
      <c r="Q17" s="266">
        <f>_xlfn.XLOOKUP(E17,'All Products'!D:D,'All Products'!K:K,FALSE)</f>
        <v>49081022686</v>
      </c>
      <c r="R17" s="266" t="str">
        <f>_xlfn.XLOOKUP(E17,'All Products'!D:D,'All Products'!L:L,FALSE)</f>
        <v>-</v>
      </c>
      <c r="S17" s="266">
        <f>_xlfn.XLOOKUP(E17,'All Products'!D:D,'All Products'!M:M,FALSE)</f>
        <v>40049081022684</v>
      </c>
      <c r="T17" s="264">
        <f>_xlfn.XLOOKUP(E17,'All Products'!D:D,'All Products'!N:N,FALSE)</f>
        <v>1.901</v>
      </c>
      <c r="U17" s="264">
        <f>_xlfn.XLOOKUP(E17,'All Products'!D:D,'All Products'!P:P,FALSE)</f>
        <v>23.58</v>
      </c>
      <c r="V17" s="265">
        <f>_xlfn.XLOOKUP(E17,'All Products'!D:D,'All Products'!Q:Q,FALSE)</f>
        <v>2.77</v>
      </c>
    </row>
    <row r="18" spans="1:22" ht="14.4" customHeight="1">
      <c r="A18" s="101" t="str">
        <f>IF(K18&gt;0,COUNT($A$8:A17)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8" s="610"/>
      <c r="C18" s="611"/>
      <c r="D18" s="274" t="str">
        <f>_xlfn.XLOOKUP(E18,'All Products'!D:D,'All Products'!C:C,FALSE)</f>
        <v>1-22-13-1-12</v>
      </c>
      <c r="E18" s="103">
        <v>100024867</v>
      </c>
      <c r="F18" s="144" t="str">
        <f>_xlfn.XLOOKUP(E18,'All Products'!D:D,'All Products'!E:E,FALSE)</f>
        <v>1 BSP X 1 ACME SU X 12 SJ</v>
      </c>
      <c r="G18" s="103">
        <f>_xlfn.XLOOKUP(E18,'All Products'!D:D,'All Products'!F:F,FALSE)</f>
        <v>10</v>
      </c>
      <c r="H18" s="103">
        <f>_xlfn.XLOOKUP(E18,'All Products'!D:D,'All Products'!G:G,FALSE)</f>
        <v>750</v>
      </c>
      <c r="I18" s="140">
        <f>_xlfn.XLOOKUP(E18,'All Products'!D:D,'All Products'!H:H,FALSE)</f>
        <v>102.64</v>
      </c>
      <c r="J18" s="173">
        <f>ROUNDUP(I18*Order_Quote!$L$26,2)</f>
        <v>102.64</v>
      </c>
      <c r="K18" s="75"/>
      <c r="L18" s="113"/>
      <c r="M18" s="171">
        <f t="shared" si="0"/>
        <v>0</v>
      </c>
      <c r="O18" s="215" t="str">
        <f>_xlfn.XLOOKUP(E18,'All Products'!D:D,'All Products'!I:I,FALSE)</f>
        <v>Within 3 Weeks</v>
      </c>
      <c r="P18" s="215" t="str">
        <f>_xlfn.XLOOKUP(E18,'All Products'!D:D,'All Products'!J:J,FALSE)</f>
        <v>Manufactured</v>
      </c>
      <c r="Q18" s="266">
        <f>_xlfn.XLOOKUP(E18,'All Products'!D:D,'All Products'!K:K,FALSE)</f>
        <v>49081020286</v>
      </c>
      <c r="R18" s="266" t="str">
        <f>_xlfn.XLOOKUP(E18,'All Products'!D:D,'All Products'!L:L,FALSE)</f>
        <v>-</v>
      </c>
      <c r="S18" s="266">
        <f>_xlfn.XLOOKUP(E18,'All Products'!D:D,'All Products'!M:M,FALSE)</f>
        <v>40049081020284</v>
      </c>
      <c r="T18" s="264">
        <f>_xlfn.XLOOKUP(E18,'All Products'!D:D,'All Products'!N:N,FALSE)</f>
        <v>1.2290000000000001</v>
      </c>
      <c r="U18" s="264">
        <f>_xlfn.XLOOKUP(E18,'All Products'!D:D,'All Products'!P:P,FALSE)</f>
        <v>12.565</v>
      </c>
      <c r="V18" s="265">
        <f>_xlfn.XLOOKUP(E18,'All Products'!D:D,'All Products'!Q:Q,FALSE)</f>
        <v>0.95</v>
      </c>
    </row>
    <row r="19" spans="1:22" ht="14.4" customHeight="1">
      <c r="A19" s="101" t="str">
        <f>IF(K19&gt;0,COUNT($A$8:A18)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9" s="610"/>
      <c r="C19" s="611"/>
      <c r="D19" s="274" t="str">
        <f>_xlfn.XLOOKUP(E19,'All Products'!D:D,'All Products'!C:C,FALSE)</f>
        <v>1-22-13-1-16</v>
      </c>
      <c r="E19" s="103">
        <v>100023766</v>
      </c>
      <c r="F19" s="144" t="str">
        <f>_xlfn.XLOOKUP(E19,'All Products'!D:D,'All Products'!E:E,FALSE)</f>
        <v>1 BSPT X 1 ACME SU X 16 LL SJ</v>
      </c>
      <c r="G19" s="103">
        <f>_xlfn.XLOOKUP(E19,'All Products'!D:D,'All Products'!F:F,FALSE)</f>
        <v>10</v>
      </c>
      <c r="H19" s="103">
        <f>_xlfn.XLOOKUP(E19,'All Products'!D:D,'All Products'!G:G,FALSE)</f>
        <v>600</v>
      </c>
      <c r="I19" s="140">
        <f>_xlfn.XLOOKUP(E19,'All Products'!D:D,'All Products'!H:H,FALSE)</f>
        <v>113.76</v>
      </c>
      <c r="J19" s="173">
        <f>ROUNDUP(I19*Order_Quote!$L$26,2)</f>
        <v>113.76</v>
      </c>
      <c r="K19" s="75"/>
      <c r="L19" s="113"/>
      <c r="M19" s="171">
        <f t="shared" si="0"/>
        <v>0</v>
      </c>
      <c r="O19" s="215" t="str">
        <f>_xlfn.XLOOKUP(E19,'All Products'!D:D,'All Products'!I:I,FALSE)</f>
        <v>Within 3 Weeks</v>
      </c>
      <c r="P19" s="215" t="str">
        <f>_xlfn.XLOOKUP(E19,'All Products'!D:D,'All Products'!J:J,FALSE)</f>
        <v>Manufactured</v>
      </c>
      <c r="Q19" s="266">
        <f>_xlfn.XLOOKUP(E19,'All Products'!D:D,'All Products'!K:K,FALSE)</f>
        <v>49081031008</v>
      </c>
      <c r="R19" s="266" t="str">
        <f>_xlfn.XLOOKUP(E19,'All Products'!D:D,'All Products'!L:L,FALSE)</f>
        <v>-</v>
      </c>
      <c r="S19" s="266">
        <f>_xlfn.XLOOKUP(E19,'All Products'!D:D,'All Products'!M:M,FALSE)</f>
        <v>40049081031006</v>
      </c>
      <c r="T19" s="264">
        <f>_xlfn.XLOOKUP(E19,'All Products'!D:D,'All Products'!N:N,FALSE)</f>
        <v>1.3380000000000001</v>
      </c>
      <c r="U19" s="264">
        <f>_xlfn.XLOOKUP(E19,'All Products'!D:D,'All Products'!P:P,FALSE)</f>
        <v>14.4</v>
      </c>
      <c r="V19" s="265">
        <f>_xlfn.XLOOKUP(E19,'All Products'!D:D,'All Products'!Q:Q,FALSE)</f>
        <v>1.25</v>
      </c>
    </row>
    <row r="20" spans="1:22" ht="14.4" customHeight="1">
      <c r="A20" s="101" t="str">
        <f>IF(K20&gt;0,COUNT($A$8:A19)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0" s="610"/>
      <c r="C20" s="611"/>
      <c r="D20" s="274" t="str">
        <f>_xlfn.XLOOKUP(E20,'All Products'!D:D,'All Products'!C:C,FALSE)</f>
        <v>1-22-13-1-18</v>
      </c>
      <c r="E20" s="103">
        <v>100024868</v>
      </c>
      <c r="F20" s="144" t="str">
        <f>_xlfn.XLOOKUP(E20,'All Products'!D:D,'All Products'!E:E,FALSE)</f>
        <v>1 BSPT X 1 ACME SU X 18 LL SJ</v>
      </c>
      <c r="G20" s="103">
        <f>_xlfn.XLOOKUP(E20,'All Products'!D:D,'All Products'!F:F,FALSE)</f>
        <v>10</v>
      </c>
      <c r="H20" s="103">
        <f>_xlfn.XLOOKUP(E20,'All Products'!D:D,'All Products'!G:G,FALSE)</f>
        <v>600</v>
      </c>
      <c r="I20" s="140">
        <f>_xlfn.XLOOKUP(E20,'All Products'!D:D,'All Products'!H:H,FALSE)</f>
        <v>113.76</v>
      </c>
      <c r="J20" s="173">
        <f>ROUNDUP(I20*Order_Quote!$L$26,2)</f>
        <v>113.76</v>
      </c>
      <c r="K20" s="75"/>
      <c r="L20" s="113"/>
      <c r="M20" s="171">
        <f t="shared" si="0"/>
        <v>0</v>
      </c>
      <c r="O20" s="215" t="str">
        <f>_xlfn.XLOOKUP(E20,'All Products'!D:D,'All Products'!I:I,FALSE)</f>
        <v>Within 3 Weeks</v>
      </c>
      <c r="P20" s="215" t="str">
        <f>_xlfn.XLOOKUP(E20,'All Products'!D:D,'All Products'!J:J,FALSE)</f>
        <v>Manufactured</v>
      </c>
      <c r="Q20" s="266">
        <f>_xlfn.XLOOKUP(E20,'All Products'!D:D,'All Products'!K:K,FALSE)</f>
        <v>49081031077</v>
      </c>
      <c r="R20" s="266" t="str">
        <f>_xlfn.XLOOKUP(E20,'All Products'!D:D,'All Products'!L:L,FALSE)</f>
        <v>-</v>
      </c>
      <c r="S20" s="266">
        <f>_xlfn.XLOOKUP(E20,'All Products'!D:D,'All Products'!M:M,FALSE)</f>
        <v>40049081031075</v>
      </c>
      <c r="T20" s="264">
        <f>_xlfn.XLOOKUP(E20,'All Products'!D:D,'All Products'!N:N,FALSE)</f>
        <v>1.4079999999999999</v>
      </c>
      <c r="U20" s="264">
        <f>_xlfn.XLOOKUP(E20,'All Products'!D:D,'All Products'!P:P,FALSE)</f>
        <v>14.8</v>
      </c>
      <c r="V20" s="265">
        <f>_xlfn.XLOOKUP(E20,'All Products'!D:D,'All Products'!Q:Q,FALSE)</f>
        <v>1.41</v>
      </c>
    </row>
    <row r="21" spans="1:22" ht="14.4" customHeight="1">
      <c r="A21" s="101" t="str">
        <f>IF(K21&gt;0,COUNT($A$8:A20)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1" s="610"/>
      <c r="C21" s="611"/>
      <c r="D21" s="274" t="str">
        <f>_xlfn.XLOOKUP(E21,'All Products'!D:D,'All Products'!C:C,FALSE)</f>
        <v>1-22-14-1-12</v>
      </c>
      <c r="E21" s="103">
        <v>100024869</v>
      </c>
      <c r="F21" s="144" t="str">
        <f>_xlfn.XLOOKUP(E21,'All Products'!D:D,'All Products'!E:E,FALSE)</f>
        <v>1 BSPT X 1-1/4 ACME SU X 12 LL SJ</v>
      </c>
      <c r="G21" s="103">
        <f>_xlfn.XLOOKUP(E21,'All Products'!D:D,'All Products'!F:F,FALSE)</f>
        <v>10</v>
      </c>
      <c r="H21" s="103">
        <f>_xlfn.XLOOKUP(E21,'All Products'!D:D,'All Products'!G:G,FALSE)</f>
        <v>750</v>
      </c>
      <c r="I21" s="140">
        <f>_xlfn.XLOOKUP(E21,'All Products'!D:D,'All Products'!H:H,FALSE)</f>
        <v>102.64</v>
      </c>
      <c r="J21" s="173">
        <f>ROUNDUP(I21*Order_Quote!$L$26,2)</f>
        <v>102.64</v>
      </c>
      <c r="K21" s="75"/>
      <c r="L21" s="113"/>
      <c r="M21" s="171">
        <f t="shared" si="0"/>
        <v>0</v>
      </c>
      <c r="O21" s="215" t="str">
        <f>_xlfn.XLOOKUP(E21,'All Products'!D:D,'All Products'!I:I,FALSE)</f>
        <v>Within 3 Weeks</v>
      </c>
      <c r="P21" s="215" t="str">
        <f>_xlfn.XLOOKUP(E21,'All Products'!D:D,'All Products'!J:J,FALSE)</f>
        <v>Manufactured</v>
      </c>
      <c r="Q21" s="266">
        <f>_xlfn.XLOOKUP(E21,'All Products'!D:D,'All Products'!K:K,FALSE)</f>
        <v>49081020293</v>
      </c>
      <c r="R21" s="266" t="str">
        <f>_xlfn.XLOOKUP(E21,'All Products'!D:D,'All Products'!L:L,FALSE)</f>
        <v>-</v>
      </c>
      <c r="S21" s="266">
        <f>_xlfn.XLOOKUP(E21,'All Products'!D:D,'All Products'!M:M,FALSE)</f>
        <v>40049081020291</v>
      </c>
      <c r="T21" s="264">
        <f>_xlfn.XLOOKUP(E21,'All Products'!D:D,'All Products'!N:N,FALSE)</f>
        <v>1.246</v>
      </c>
      <c r="U21" s="264">
        <f>_xlfn.XLOOKUP(E21,'All Products'!D:D,'All Products'!P:P,FALSE)</f>
        <v>12.755000000000001</v>
      </c>
      <c r="V21" s="265">
        <f>_xlfn.XLOOKUP(E21,'All Products'!D:D,'All Products'!Q:Q,FALSE)</f>
        <v>1.1000000000000001</v>
      </c>
    </row>
    <row r="22" spans="1:22" ht="14.4" customHeight="1">
      <c r="A22" s="101" t="str">
        <f>IF(K22&gt;0,COUNT($A$8:A21)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2" s="610"/>
      <c r="C22" s="611"/>
      <c r="D22" s="274" t="str">
        <f>_xlfn.XLOOKUP(E22,'All Products'!D:D,'All Products'!C:C,FALSE)</f>
        <v>1-22-15-1-12</v>
      </c>
      <c r="E22" s="103">
        <v>100023767</v>
      </c>
      <c r="F22" s="144" t="str">
        <f>_xlfn.XLOOKUP(E22,'All Products'!D:D,'All Products'!E:E,FALSE)</f>
        <v>1 BSP X 1-1/2 ACME SU X 12 LL SJ</v>
      </c>
      <c r="G22" s="103">
        <f>_xlfn.XLOOKUP(E22,'All Products'!D:D,'All Products'!F:F,FALSE)</f>
        <v>10</v>
      </c>
      <c r="H22" s="103">
        <f>_xlfn.XLOOKUP(E22,'All Products'!D:D,'All Products'!G:G,FALSE)</f>
        <v>750</v>
      </c>
      <c r="I22" s="140">
        <f>_xlfn.XLOOKUP(E22,'All Products'!D:D,'All Products'!H:H,FALSE)</f>
        <v>102.64</v>
      </c>
      <c r="J22" s="173">
        <f>ROUNDUP(I22*Order_Quote!$L$26,2)</f>
        <v>102.64</v>
      </c>
      <c r="K22" s="75"/>
      <c r="L22" s="113"/>
      <c r="M22" s="171">
        <f t="shared" si="0"/>
        <v>0</v>
      </c>
      <c r="O22" s="215" t="str">
        <f>_xlfn.XLOOKUP(E22,'All Products'!D:D,'All Products'!I:I,FALSE)</f>
        <v>Within 3 Weeks</v>
      </c>
      <c r="P22" s="215" t="str">
        <f>_xlfn.XLOOKUP(E22,'All Products'!D:D,'All Products'!J:J,FALSE)</f>
        <v>Manufactured</v>
      </c>
      <c r="Q22" s="266">
        <f>_xlfn.XLOOKUP(E22,'All Products'!D:D,'All Products'!K:K,FALSE)</f>
        <v>49081020309</v>
      </c>
      <c r="R22" s="266" t="str">
        <f>_xlfn.XLOOKUP(E22,'All Products'!D:D,'All Products'!L:L,FALSE)</f>
        <v>-</v>
      </c>
      <c r="S22" s="266">
        <f>_xlfn.XLOOKUP(E22,'All Products'!D:D,'All Products'!M:M,FALSE)</f>
        <v>40049081020307</v>
      </c>
      <c r="T22" s="264">
        <f>_xlfn.XLOOKUP(E22,'All Products'!D:D,'All Products'!N:N,FALSE)</f>
        <v>1.2709999999999999</v>
      </c>
      <c r="U22" s="264">
        <f>_xlfn.XLOOKUP(E22,'All Products'!D:D,'All Products'!P:P,FALSE)</f>
        <v>12.77</v>
      </c>
      <c r="V22" s="265">
        <f>_xlfn.XLOOKUP(E22,'All Products'!D:D,'All Products'!Q:Q,FALSE)</f>
        <v>0.95</v>
      </c>
    </row>
    <row r="23" spans="1:22" ht="14.4" customHeight="1">
      <c r="A23" s="101" t="str">
        <f>IF(K23&gt;0,COUNT($A$8:A22)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3" s="610"/>
      <c r="C23" s="611"/>
      <c r="D23" s="274" t="str">
        <f>_xlfn.XLOOKUP(E23,'All Products'!D:D,'All Products'!C:C,FALSE)</f>
        <v>1-22-22-1-12</v>
      </c>
      <c r="E23" s="103">
        <v>100024870</v>
      </c>
      <c r="F23" s="144" t="str">
        <f>_xlfn.XLOOKUP(E23,'All Products'!D:D,'All Products'!E:E,FALSE)</f>
        <v>1 BSP X 1 BSP SU X 12 SJ</v>
      </c>
      <c r="G23" s="103">
        <f>_xlfn.XLOOKUP(E23,'All Products'!D:D,'All Products'!F:F,FALSE)</f>
        <v>10</v>
      </c>
      <c r="H23" s="103">
        <f>_xlfn.XLOOKUP(E23,'All Products'!D:D,'All Products'!G:G,FALSE)</f>
        <v>750</v>
      </c>
      <c r="I23" s="140">
        <f>_xlfn.XLOOKUP(E23,'All Products'!D:D,'All Products'!H:H,FALSE)</f>
        <v>102.64</v>
      </c>
      <c r="J23" s="173">
        <f>ROUNDUP(I23*Order_Quote!$L$26,2)</f>
        <v>102.64</v>
      </c>
      <c r="K23" s="75"/>
      <c r="L23" s="113"/>
      <c r="M23" s="171">
        <f t="shared" si="0"/>
        <v>0</v>
      </c>
      <c r="O23" s="215" t="str">
        <f>_xlfn.XLOOKUP(E23,'All Products'!D:D,'All Products'!I:I,FALSE)</f>
        <v>In Stock</v>
      </c>
      <c r="P23" s="215" t="str">
        <f>_xlfn.XLOOKUP(E23,'All Products'!D:D,'All Products'!J:J,FALSE)</f>
        <v>Manufactured</v>
      </c>
      <c r="Q23" s="266">
        <f>_xlfn.XLOOKUP(E23,'All Products'!D:D,'All Products'!K:K,FALSE)</f>
        <v>49081020323</v>
      </c>
      <c r="R23" s="266" t="str">
        <f>_xlfn.XLOOKUP(E23,'All Products'!D:D,'All Products'!L:L,FALSE)</f>
        <v>-</v>
      </c>
      <c r="S23" s="266">
        <f>_xlfn.XLOOKUP(E23,'All Products'!D:D,'All Products'!M:M,FALSE)</f>
        <v>40049081020321</v>
      </c>
      <c r="T23" s="264">
        <f>_xlfn.XLOOKUP(E23,'All Products'!D:D,'All Products'!N:N,FALSE)</f>
        <v>1.208</v>
      </c>
      <c r="U23" s="264">
        <f>_xlfn.XLOOKUP(E23,'All Products'!D:D,'All Products'!P:P,FALSE)</f>
        <v>12.565</v>
      </c>
      <c r="V23" s="265">
        <f>_xlfn.XLOOKUP(E23,'All Products'!D:D,'All Products'!Q:Q,FALSE)</f>
        <v>0.95</v>
      </c>
    </row>
    <row r="24" spans="1:22" ht="14.4" customHeight="1">
      <c r="A24" s="101" t="str">
        <f>IF(K24&gt;0,COUNT($A$8:A23)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4" s="610"/>
      <c r="C24" s="611"/>
      <c r="D24" s="274" t="str">
        <f>_xlfn.XLOOKUP(E24,'All Products'!D:D,'All Products'!C:C,FALSE)</f>
        <v>1-22-22-1-16</v>
      </c>
      <c r="E24" s="103">
        <v>100023768</v>
      </c>
      <c r="F24" s="144" t="str">
        <f>_xlfn.XLOOKUP(E24,'All Products'!D:D,'All Products'!E:E,FALSE)</f>
        <v>1 BSP X 1 BSP SU X 16 SJ</v>
      </c>
      <c r="G24" s="103">
        <f>_xlfn.XLOOKUP(E24,'All Products'!D:D,'All Products'!F:F,FALSE)</f>
        <v>10</v>
      </c>
      <c r="H24" s="103">
        <f>_xlfn.XLOOKUP(E24,'All Products'!D:D,'All Products'!G:G,FALSE)</f>
        <v>600</v>
      </c>
      <c r="I24" s="140">
        <f>_xlfn.XLOOKUP(E24,'All Products'!D:D,'All Products'!H:H,FALSE)</f>
        <v>113.76</v>
      </c>
      <c r="J24" s="173">
        <f>ROUNDUP(I24*Order_Quote!$L$26,2)</f>
        <v>113.76</v>
      </c>
      <c r="K24" s="75"/>
      <c r="L24" s="113"/>
      <c r="M24" s="171">
        <f t="shared" si="0"/>
        <v>0</v>
      </c>
      <c r="O24" s="215" t="str">
        <f>_xlfn.XLOOKUP(E24,'All Products'!D:D,'All Products'!I:I,FALSE)</f>
        <v>In Stock</v>
      </c>
      <c r="P24" s="215" t="str">
        <f>_xlfn.XLOOKUP(E24,'All Products'!D:D,'All Products'!J:J,FALSE)</f>
        <v>Manufactured</v>
      </c>
      <c r="Q24" s="266">
        <f>_xlfn.XLOOKUP(E24,'All Products'!D:D,'All Products'!K:K,FALSE)</f>
        <v>49081023034</v>
      </c>
      <c r="R24" s="266" t="str">
        <f>_xlfn.XLOOKUP(E24,'All Products'!D:D,'All Products'!L:L,FALSE)</f>
        <v>-</v>
      </c>
      <c r="S24" s="266">
        <f>_xlfn.XLOOKUP(E24,'All Products'!D:D,'All Products'!M:M,FALSE)</f>
        <v>40049081023032</v>
      </c>
      <c r="T24" s="264">
        <f>_xlfn.XLOOKUP(E24,'All Products'!D:D,'All Products'!N:N,FALSE)</f>
        <v>1.3169999999999999</v>
      </c>
      <c r="U24" s="264">
        <f>_xlfn.XLOOKUP(E24,'All Products'!D:D,'All Products'!P:P,FALSE)</f>
        <v>13.98</v>
      </c>
      <c r="V24" s="265">
        <f>_xlfn.XLOOKUP(E24,'All Products'!D:D,'All Products'!Q:Q,FALSE)</f>
        <v>1.41</v>
      </c>
    </row>
    <row r="25" spans="1:22" ht="14.4" customHeight="1">
      <c r="A25" s="101" t="str">
        <f>IF(K25&gt;0,COUNT($A$8:A24)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5" s="610"/>
      <c r="C25" s="611"/>
      <c r="D25" s="274" t="str">
        <f>_xlfn.XLOOKUP(E25,'All Products'!D:D,'All Products'!C:C,FALSE)</f>
        <v>1-22-22-1-18</v>
      </c>
      <c r="E25" s="103">
        <v>100024871</v>
      </c>
      <c r="F25" s="144" t="str">
        <f>_xlfn.XLOOKUP(E25,'All Products'!D:D,'All Products'!E:E,FALSE)</f>
        <v>1 BSP X 1 BSP SU X 18LL SJ</v>
      </c>
      <c r="G25" s="103">
        <f>_xlfn.XLOOKUP(E25,'All Products'!D:D,'All Products'!F:F,FALSE)</f>
        <v>10</v>
      </c>
      <c r="H25" s="103">
        <f>_xlfn.XLOOKUP(E25,'All Products'!D:D,'All Products'!G:G,FALSE)</f>
        <v>600</v>
      </c>
      <c r="I25" s="140">
        <f>_xlfn.XLOOKUP(E25,'All Products'!D:D,'All Products'!H:H,FALSE)</f>
        <v>113.76</v>
      </c>
      <c r="J25" s="173">
        <f>ROUNDUP(I25*Order_Quote!$L$26,2)</f>
        <v>113.76</v>
      </c>
      <c r="K25" s="75"/>
      <c r="L25" s="113"/>
      <c r="M25" s="171">
        <f t="shared" si="0"/>
        <v>0</v>
      </c>
      <c r="O25" s="215" t="str">
        <f>_xlfn.XLOOKUP(E25,'All Products'!D:D,'All Products'!I:I,FALSE)</f>
        <v>Within 3 Weeks</v>
      </c>
      <c r="P25" s="215" t="str">
        <f>_xlfn.XLOOKUP(E25,'All Products'!D:D,'All Products'!J:J,FALSE)</f>
        <v>Manufactured</v>
      </c>
      <c r="Q25" s="266">
        <f>_xlfn.XLOOKUP(E25,'All Products'!D:D,'All Products'!K:K,FALSE)</f>
        <v>49081020347</v>
      </c>
      <c r="R25" s="266" t="str">
        <f>_xlfn.XLOOKUP(E25,'All Products'!D:D,'All Products'!L:L,FALSE)</f>
        <v>-</v>
      </c>
      <c r="S25" s="266">
        <f>_xlfn.XLOOKUP(E25,'All Products'!D:D,'All Products'!M:M,FALSE)</f>
        <v>40049081020345</v>
      </c>
      <c r="T25" s="264">
        <f>_xlfn.XLOOKUP(E25,'All Products'!D:D,'All Products'!N:N,FALSE)</f>
        <v>1.387</v>
      </c>
      <c r="U25" s="264">
        <f>_xlfn.XLOOKUP(E25,'All Products'!D:D,'All Products'!P:P,FALSE)</f>
        <v>14.68</v>
      </c>
      <c r="V25" s="265">
        <f>_xlfn.XLOOKUP(E25,'All Products'!D:D,'All Products'!Q:Q,FALSE)</f>
        <v>1.41</v>
      </c>
    </row>
    <row r="26" spans="1:22" ht="14.4" customHeight="1">
      <c r="A26" s="101" t="str">
        <f>IF(K26&gt;0,COUNT($A$8:A25)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6" s="610"/>
      <c r="C26" s="611"/>
      <c r="D26" s="274" t="str">
        <f>_xlfn.XLOOKUP(E26,'All Products'!D:D,'All Products'!C:C,FALSE)</f>
        <v>1-22-22-1-8</v>
      </c>
      <c r="E26" s="103">
        <v>100024872</v>
      </c>
      <c r="F26" s="144" t="str">
        <f>_xlfn.XLOOKUP(E26,'All Products'!D:D,'All Products'!E:E,FALSE)</f>
        <v>1 BSPT X 1 BSPT SU X 8 LL SJ</v>
      </c>
      <c r="G26" s="103">
        <f>_xlfn.XLOOKUP(E26,'All Products'!D:D,'All Products'!F:F,FALSE)</f>
        <v>10</v>
      </c>
      <c r="H26" s="103">
        <f>_xlfn.XLOOKUP(E26,'All Products'!D:D,'All Products'!G:G,FALSE)</f>
        <v>900</v>
      </c>
      <c r="I26" s="140">
        <f>_xlfn.XLOOKUP(E26,'All Products'!D:D,'All Products'!H:H,FALSE)</f>
        <v>91.56</v>
      </c>
      <c r="J26" s="173">
        <f>ROUNDUP(I26*Order_Quote!$L$26,2)</f>
        <v>91.56</v>
      </c>
      <c r="K26" s="75"/>
      <c r="L26" s="113"/>
      <c r="M26" s="171">
        <f t="shared" si="0"/>
        <v>0</v>
      </c>
      <c r="O26" s="215" t="str">
        <f>_xlfn.XLOOKUP(E26,'All Products'!D:D,'All Products'!I:I,FALSE)</f>
        <v>In Stock</v>
      </c>
      <c r="P26" s="215" t="str">
        <f>_xlfn.XLOOKUP(E26,'All Products'!D:D,'All Products'!J:J,FALSE)</f>
        <v>Manufactured</v>
      </c>
      <c r="Q26" s="266">
        <f>_xlfn.XLOOKUP(E26,'All Products'!D:D,'All Products'!K:K,FALSE)</f>
        <v>49081020354</v>
      </c>
      <c r="R26" s="266" t="str">
        <f>_xlfn.XLOOKUP(E26,'All Products'!D:D,'All Products'!L:L,FALSE)</f>
        <v>-</v>
      </c>
      <c r="S26" s="266">
        <f>_xlfn.XLOOKUP(E26,'All Products'!D:D,'All Products'!M:M,FALSE)</f>
        <v>40049081020352</v>
      </c>
      <c r="T26" s="264">
        <f>_xlfn.XLOOKUP(E26,'All Products'!D:D,'All Products'!N:N,FALSE)</f>
        <v>1.0549999999999999</v>
      </c>
      <c r="U26" s="264">
        <f>_xlfn.XLOOKUP(E26,'All Products'!D:D,'All Products'!P:P,FALSE)</f>
        <v>11.2</v>
      </c>
      <c r="V26" s="265">
        <f>_xlfn.XLOOKUP(E26,'All Products'!D:D,'All Products'!Q:Q,FALSE)</f>
        <v>0.8</v>
      </c>
    </row>
    <row r="27" spans="1:22" ht="14.4" customHeight="1">
      <c r="A27" s="101" t="str">
        <f>IF(K27&gt;0,COUNT($A$8:A26)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7" s="610"/>
      <c r="C27" s="611"/>
      <c r="D27" s="274" t="str">
        <f>_xlfn.XLOOKUP(E27,'All Products'!D:D,'All Products'!C:C,FALSE)</f>
        <v>1-A1-1-1-10</v>
      </c>
      <c r="E27" s="103">
        <v>100023769</v>
      </c>
      <c r="F27" s="144" t="str">
        <f>_xlfn.XLOOKUP(E27,'All Products'!D:D,'All Products'!E:E,FALSE)</f>
        <v>1 MPT X 1 SOC SU X 10 SJ</v>
      </c>
      <c r="G27" s="103">
        <f>_xlfn.XLOOKUP(E27,'All Products'!D:D,'All Products'!F:F,FALSE)</f>
        <v>10</v>
      </c>
      <c r="H27" s="103">
        <f>_xlfn.XLOOKUP(E27,'All Products'!D:D,'All Products'!G:G,FALSE)</f>
        <v>900</v>
      </c>
      <c r="I27" s="140">
        <f>_xlfn.XLOOKUP(E27,'All Products'!D:D,'All Products'!H:H,FALSE)</f>
        <v>102.64</v>
      </c>
      <c r="J27" s="173">
        <f>ROUNDUP(I27*Order_Quote!$L$26,2)</f>
        <v>102.64</v>
      </c>
      <c r="K27" s="75"/>
      <c r="L27" s="113"/>
      <c r="M27" s="171">
        <f t="shared" si="0"/>
        <v>0</v>
      </c>
      <c r="O27" s="215" t="str">
        <f>_xlfn.XLOOKUP(E27,'All Products'!D:D,'All Products'!I:I,FALSE)</f>
        <v>Within 3 Weeks</v>
      </c>
      <c r="P27" s="215" t="str">
        <f>_xlfn.XLOOKUP(E27,'All Products'!D:D,'All Products'!J:J,FALSE)</f>
        <v>Manufactured</v>
      </c>
      <c r="Q27" s="266">
        <f>_xlfn.XLOOKUP(E27,'All Products'!D:D,'All Products'!K:K,FALSE)</f>
        <v>49081023102</v>
      </c>
      <c r="R27" s="266" t="str">
        <f>_xlfn.XLOOKUP(E27,'All Products'!D:D,'All Products'!L:L,FALSE)</f>
        <v>-</v>
      </c>
      <c r="S27" s="266">
        <f>_xlfn.XLOOKUP(E27,'All Products'!D:D,'All Products'!M:M,FALSE)</f>
        <v>40049081023100</v>
      </c>
      <c r="T27" s="264">
        <f>_xlfn.XLOOKUP(E27,'All Products'!D:D,'All Products'!N:N,FALSE)</f>
        <v>1.07</v>
      </c>
      <c r="U27" s="264">
        <f>_xlfn.XLOOKUP(E27,'All Products'!D:D,'All Products'!P:P,FALSE)</f>
        <v>10.7</v>
      </c>
      <c r="V27" s="265">
        <f>_xlfn.XLOOKUP(E27,'All Products'!D:D,'All Products'!Q:Q,FALSE)</f>
        <v>0.8</v>
      </c>
    </row>
    <row r="28" spans="1:22" ht="14.4" customHeight="1">
      <c r="A28" s="101" t="str">
        <f>IF(K28&gt;0,COUNT($A$8:A27)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8" s="610"/>
      <c r="C28" s="611"/>
      <c r="D28" s="274" t="str">
        <f>_xlfn.XLOOKUP(E28,'All Products'!D:D,'All Products'!C:C,FALSE)</f>
        <v>1-A1-1-1-12</v>
      </c>
      <c r="E28" s="103">
        <v>100023773</v>
      </c>
      <c r="F28" s="144" t="str">
        <f>_xlfn.XLOOKUP(E28,'All Products'!D:D,'All Products'!E:E,FALSE)</f>
        <v>1 MPT X 1 SOC SU X 12 SJ</v>
      </c>
      <c r="G28" s="103">
        <f>_xlfn.XLOOKUP(E28,'All Products'!D:D,'All Products'!F:F,FALSE)</f>
        <v>10</v>
      </c>
      <c r="H28" s="103">
        <f>_xlfn.XLOOKUP(E28,'All Products'!D:D,'All Products'!G:G,FALSE)</f>
        <v>900</v>
      </c>
      <c r="I28" s="140">
        <f>_xlfn.XLOOKUP(E28,'All Products'!D:D,'All Products'!H:H,FALSE)</f>
        <v>102.64</v>
      </c>
      <c r="J28" s="173">
        <f>ROUNDUP(I28*Order_Quote!$L$26,2)</f>
        <v>102.64</v>
      </c>
      <c r="K28" s="75"/>
      <c r="L28" s="113"/>
      <c r="M28" s="171">
        <f t="shared" si="0"/>
        <v>0</v>
      </c>
      <c r="O28" s="215" t="str">
        <f>_xlfn.XLOOKUP(E28,'All Products'!D:D,'All Products'!I:I,FALSE)</f>
        <v>Within 3 Weeks</v>
      </c>
      <c r="P28" s="215" t="str">
        <f>_xlfn.XLOOKUP(E28,'All Products'!D:D,'All Products'!J:J,FALSE)</f>
        <v>Manufactured</v>
      </c>
      <c r="Q28" s="266">
        <f>_xlfn.XLOOKUP(E28,'All Products'!D:D,'All Products'!K:K,FALSE)</f>
        <v>49081020378</v>
      </c>
      <c r="R28" s="266" t="str">
        <f>_xlfn.XLOOKUP(E28,'All Products'!D:D,'All Products'!L:L,FALSE)</f>
        <v>-</v>
      </c>
      <c r="S28" s="266">
        <f>_xlfn.XLOOKUP(E28,'All Products'!D:D,'All Products'!M:M,FALSE)</f>
        <v>40049081020376</v>
      </c>
      <c r="T28" s="264">
        <f>_xlfn.XLOOKUP(E28,'All Products'!D:D,'All Products'!N:N,FALSE)</f>
        <v>1.0880000000000001</v>
      </c>
      <c r="U28" s="264">
        <f>_xlfn.XLOOKUP(E28,'All Products'!D:D,'All Products'!P:P,FALSE)</f>
        <v>11.45</v>
      </c>
      <c r="V28" s="265">
        <f>_xlfn.XLOOKUP(E28,'All Products'!D:D,'All Products'!Q:Q,FALSE)</f>
        <v>0.8</v>
      </c>
    </row>
    <row r="29" spans="1:22" ht="14.4" customHeight="1">
      <c r="A29" s="101" t="str">
        <f>IF(K29&gt;0,COUNT($A$8:A28)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9" s="610"/>
      <c r="C29" s="611"/>
      <c r="D29" s="274" t="str">
        <f>_xlfn.XLOOKUP(E29,'All Products'!D:D,'All Products'!C:C,FALSE)</f>
        <v>1-A1-1-1-14</v>
      </c>
      <c r="E29" s="103">
        <v>100023774</v>
      </c>
      <c r="F29" s="144" t="str">
        <f>_xlfn.XLOOKUP(E29,'All Products'!D:D,'All Products'!E:E,FALSE)</f>
        <v>1 MIPT X 1 SCKT SU X 14 LL SJ</v>
      </c>
      <c r="G29" s="103">
        <f>_xlfn.XLOOKUP(E29,'All Products'!D:D,'All Products'!F:F,FALSE)</f>
        <v>10</v>
      </c>
      <c r="H29" s="103">
        <f>_xlfn.XLOOKUP(E29,'All Products'!D:D,'All Products'!G:G,FALSE)</f>
        <v>600</v>
      </c>
      <c r="I29" s="140">
        <f>_xlfn.XLOOKUP(E29,'All Products'!D:D,'All Products'!H:H,FALSE)</f>
        <v>113.76</v>
      </c>
      <c r="J29" s="173">
        <f>ROUNDUP(I29*Order_Quote!$L$26,2)</f>
        <v>113.76</v>
      </c>
      <c r="K29" s="75"/>
      <c r="L29" s="113"/>
      <c r="M29" s="171">
        <f t="shared" si="0"/>
        <v>0</v>
      </c>
      <c r="O29" s="215" t="str">
        <f>_xlfn.XLOOKUP(E29,'All Products'!D:D,'All Products'!I:I,FALSE)</f>
        <v>Within 3 Weeks</v>
      </c>
      <c r="P29" s="215" t="str">
        <f>_xlfn.XLOOKUP(E29,'All Products'!D:D,'All Products'!J:J,FALSE)</f>
        <v>Manufactured</v>
      </c>
      <c r="Q29" s="266">
        <f>_xlfn.XLOOKUP(E29,'All Products'!D:D,'All Products'!K:K,FALSE)</f>
        <v>49081023119</v>
      </c>
      <c r="R29" s="266" t="str">
        <f>_xlfn.XLOOKUP(E29,'All Products'!D:D,'All Products'!L:L,FALSE)</f>
        <v>-</v>
      </c>
      <c r="S29" s="266">
        <f>_xlfn.XLOOKUP(E29,'All Products'!D:D,'All Products'!M:M,FALSE)</f>
        <v>40049081023117</v>
      </c>
      <c r="T29" s="264">
        <f>_xlfn.XLOOKUP(E29,'All Products'!D:D,'All Products'!N:N,FALSE)</f>
        <v>1.2170000000000001</v>
      </c>
      <c r="U29" s="264">
        <f>_xlfn.XLOOKUP(E29,'All Products'!D:D,'All Products'!P:P,FALSE)</f>
        <v>12.17</v>
      </c>
      <c r="V29" s="265">
        <f>_xlfn.XLOOKUP(E29,'All Products'!D:D,'All Products'!Q:Q,FALSE)</f>
        <v>1.25</v>
      </c>
    </row>
    <row r="30" spans="1:22" ht="14.4" customHeight="1">
      <c r="A30" s="101" t="str">
        <f>IF(K30&gt;0,COUNT($A$8:A29)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0" s="610"/>
      <c r="C30" s="611"/>
      <c r="D30" s="274" t="str">
        <f>_xlfn.XLOOKUP(E30,'All Products'!D:D,'All Products'!C:C,FALSE)</f>
        <v>1-A1-1-1-18</v>
      </c>
      <c r="E30" s="103">
        <v>100023777</v>
      </c>
      <c r="F30" s="144" t="str">
        <f>_xlfn.XLOOKUP(E30,'All Products'!D:D,'All Products'!E:E,FALSE)</f>
        <v>1 MPT X 1 SOC SU X 18 SJ</v>
      </c>
      <c r="G30" s="103">
        <f>_xlfn.XLOOKUP(E30,'All Products'!D:D,'All Products'!F:F,FALSE)</f>
        <v>10</v>
      </c>
      <c r="H30" s="103">
        <f>_xlfn.XLOOKUP(E30,'All Products'!D:D,'All Products'!G:G,FALSE)</f>
        <v>600</v>
      </c>
      <c r="I30" s="140">
        <f>_xlfn.XLOOKUP(E30,'All Products'!D:D,'All Products'!H:H,FALSE)</f>
        <v>113.76</v>
      </c>
      <c r="J30" s="173">
        <f>ROUNDUP(I30*Order_Quote!$L$26,2)</f>
        <v>113.76</v>
      </c>
      <c r="K30" s="75"/>
      <c r="L30" s="113"/>
      <c r="M30" s="171">
        <f t="shared" si="0"/>
        <v>0</v>
      </c>
      <c r="O30" s="215" t="str">
        <f>_xlfn.XLOOKUP(E30,'All Products'!D:D,'All Products'!I:I,FALSE)</f>
        <v>Within 3 Weeks</v>
      </c>
      <c r="P30" s="215" t="str">
        <f>_xlfn.XLOOKUP(E30,'All Products'!D:D,'All Products'!J:J,FALSE)</f>
        <v>Manufactured</v>
      </c>
      <c r="Q30" s="266">
        <f>_xlfn.XLOOKUP(E30,'All Products'!D:D,'All Products'!K:K,FALSE)</f>
        <v>49081023126</v>
      </c>
      <c r="R30" s="266" t="str">
        <f>_xlfn.XLOOKUP(E30,'All Products'!D:D,'All Products'!L:L,FALSE)</f>
        <v>-</v>
      </c>
      <c r="S30" s="266">
        <f>_xlfn.XLOOKUP(E30,'All Products'!D:D,'All Products'!M:M,FALSE)</f>
        <v>40049081023124</v>
      </c>
      <c r="T30" s="264">
        <f>_xlfn.XLOOKUP(E30,'All Products'!D:D,'All Products'!N:N,FALSE)</f>
        <v>1.2669999999999999</v>
      </c>
      <c r="U30" s="264">
        <f>_xlfn.XLOOKUP(E30,'All Products'!D:D,'All Products'!P:P,FALSE)</f>
        <v>13.47</v>
      </c>
      <c r="V30" s="265">
        <f>_xlfn.XLOOKUP(E30,'All Products'!D:D,'All Products'!Q:Q,FALSE)</f>
        <v>1.41</v>
      </c>
    </row>
    <row r="31" spans="1:22" ht="14.4" customHeight="1">
      <c r="A31" s="101" t="str">
        <f>IF(K31&gt;0,COUNT($A$8:A30)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1" s="610"/>
      <c r="C31" s="611"/>
      <c r="D31" s="274" t="str">
        <f>_xlfn.XLOOKUP(E31,'All Products'!D:D,'All Products'!C:C,FALSE)</f>
        <v>1-A1-1-1-6</v>
      </c>
      <c r="E31" s="103">
        <v>100023784</v>
      </c>
      <c r="F31" s="144" t="str">
        <f>_xlfn.XLOOKUP(E31,'All Products'!D:D,'All Products'!E:E,FALSE)</f>
        <v>1 MPT X 1 SOC SU X 6 SJ</v>
      </c>
      <c r="G31" s="103">
        <f>_xlfn.XLOOKUP(E31,'All Products'!D:D,'All Products'!F:F,FALSE)</f>
        <v>10</v>
      </c>
      <c r="H31" s="103">
        <f>_xlfn.XLOOKUP(E31,'All Products'!D:D,'All Products'!G:G,FALSE)</f>
        <v>1200</v>
      </c>
      <c r="I31" s="140">
        <f>_xlfn.XLOOKUP(E31,'All Products'!D:D,'All Products'!H:H,FALSE)</f>
        <v>91.56</v>
      </c>
      <c r="J31" s="173">
        <f>ROUNDUP(I31*Order_Quote!$L$26,2)</f>
        <v>91.56</v>
      </c>
      <c r="K31" s="75"/>
      <c r="L31" s="113"/>
      <c r="M31" s="171">
        <f t="shared" si="0"/>
        <v>0</v>
      </c>
      <c r="O31" s="215" t="str">
        <f>_xlfn.XLOOKUP(E31,'All Products'!D:D,'All Products'!I:I,FALSE)</f>
        <v>Within 3 Weeks</v>
      </c>
      <c r="P31" s="215" t="str">
        <f>_xlfn.XLOOKUP(E31,'All Products'!D:D,'All Products'!J:J,FALSE)</f>
        <v>Manufactured</v>
      </c>
      <c r="Q31" s="266">
        <f>_xlfn.XLOOKUP(E31,'All Products'!D:D,'All Products'!K:K,FALSE)</f>
        <v>49081023133</v>
      </c>
      <c r="R31" s="266" t="str">
        <f>_xlfn.XLOOKUP(E31,'All Products'!D:D,'All Products'!L:L,FALSE)</f>
        <v>-</v>
      </c>
      <c r="S31" s="266">
        <f>_xlfn.XLOOKUP(E31,'All Products'!D:D,'All Products'!M:M,FALSE)</f>
        <v>40049081023131</v>
      </c>
      <c r="T31" s="264">
        <f>_xlfn.XLOOKUP(E31,'All Products'!D:D,'All Products'!N:N,FALSE)</f>
        <v>0.92500000000000004</v>
      </c>
      <c r="U31" s="264">
        <f>_xlfn.XLOOKUP(E31,'All Products'!D:D,'All Products'!P:P,FALSE)</f>
        <v>9.25</v>
      </c>
      <c r="V31" s="265">
        <f>_xlfn.XLOOKUP(E31,'All Products'!D:D,'All Products'!Q:Q,FALSE)</f>
        <v>0.65</v>
      </c>
    </row>
    <row r="32" spans="1:22" ht="14.4" customHeight="1">
      <c r="A32" s="101" t="str">
        <f>IF(K32&gt;0,COUNT($A$8:A31)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2" s="610"/>
      <c r="C32" s="611"/>
      <c r="D32" s="274" t="str">
        <f>_xlfn.XLOOKUP(E32,'All Products'!D:D,'All Products'!C:C,FALSE)</f>
        <v>1-A1-1-1-8</v>
      </c>
      <c r="E32" s="103">
        <v>100023785</v>
      </c>
      <c r="F32" s="144" t="str">
        <f>_xlfn.XLOOKUP(E32,'All Products'!D:D,'All Products'!E:E,FALSE)</f>
        <v>1 MPT X 1 SOC SU X 8 SJ</v>
      </c>
      <c r="G32" s="103">
        <f>_xlfn.XLOOKUP(E32,'All Products'!D:D,'All Products'!F:F,FALSE)</f>
        <v>10</v>
      </c>
      <c r="H32" s="103">
        <f>_xlfn.XLOOKUP(E32,'All Products'!D:D,'All Products'!G:G,FALSE)</f>
        <v>1200</v>
      </c>
      <c r="I32" s="140">
        <f>_xlfn.XLOOKUP(E32,'All Products'!D:D,'All Products'!H:H,FALSE)</f>
        <v>91.56</v>
      </c>
      <c r="J32" s="173">
        <f>ROUNDUP(I32*Order_Quote!$L$26,2)</f>
        <v>91.56</v>
      </c>
      <c r="K32" s="75"/>
      <c r="L32" s="113"/>
      <c r="M32" s="171">
        <f t="shared" si="0"/>
        <v>0</v>
      </c>
      <c r="O32" s="215" t="str">
        <f>_xlfn.XLOOKUP(E32,'All Products'!D:D,'All Products'!I:I,FALSE)</f>
        <v>Within 3 Weeks</v>
      </c>
      <c r="P32" s="215" t="str">
        <f>_xlfn.XLOOKUP(E32,'All Products'!D:D,'All Products'!J:J,FALSE)</f>
        <v>Manufactured</v>
      </c>
      <c r="Q32" s="266">
        <f>_xlfn.XLOOKUP(E32,'All Products'!D:D,'All Products'!K:K,FALSE)</f>
        <v>49081023140</v>
      </c>
      <c r="R32" s="266" t="str">
        <f>_xlfn.XLOOKUP(E32,'All Products'!D:D,'All Products'!L:L,FALSE)</f>
        <v>-</v>
      </c>
      <c r="S32" s="266">
        <f>_xlfn.XLOOKUP(E32,'All Products'!D:D,'All Products'!M:M,FALSE)</f>
        <v>40049081023148</v>
      </c>
      <c r="T32" s="264">
        <f>_xlfn.XLOOKUP(E32,'All Products'!D:D,'All Products'!N:N,FALSE)</f>
        <v>0.995</v>
      </c>
      <c r="U32" s="264">
        <f>_xlfn.XLOOKUP(E32,'All Products'!D:D,'All Products'!P:P,FALSE)</f>
        <v>9.9499999999999993</v>
      </c>
      <c r="V32" s="265">
        <f>_xlfn.XLOOKUP(E32,'All Products'!D:D,'All Products'!Q:Q,FALSE)</f>
        <v>0.65</v>
      </c>
    </row>
    <row r="33" spans="1:22" ht="14.4" customHeight="1">
      <c r="A33" s="101" t="str">
        <f>IF(K33&gt;0,COUNT($A$8:A32)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3" s="610"/>
      <c r="C33" s="611"/>
      <c r="D33" s="274" t="str">
        <f>_xlfn.XLOOKUP(E33,'All Products'!D:D,'All Products'!C:C,FALSE)</f>
        <v>1-A1-13-1-10</v>
      </c>
      <c r="E33" s="103">
        <v>100023791</v>
      </c>
      <c r="F33" s="144" t="str">
        <f>_xlfn.XLOOKUP(E33,'All Products'!D:D,'All Products'!E:E,FALSE)</f>
        <v>1 MPT X 1 ACME SU X 10 SJ</v>
      </c>
      <c r="G33" s="103">
        <f>_xlfn.XLOOKUP(E33,'All Products'!D:D,'All Products'!F:F,FALSE)</f>
        <v>10</v>
      </c>
      <c r="H33" s="103">
        <f>_xlfn.XLOOKUP(E33,'All Products'!D:D,'All Products'!G:G,FALSE)</f>
        <v>900</v>
      </c>
      <c r="I33" s="140">
        <f>_xlfn.XLOOKUP(E33,'All Products'!D:D,'All Products'!H:H,FALSE)</f>
        <v>102.64</v>
      </c>
      <c r="J33" s="173">
        <f>ROUNDUP(I33*Order_Quote!$L$26,2)</f>
        <v>102.64</v>
      </c>
      <c r="K33" s="75"/>
      <c r="L33" s="113"/>
      <c r="M33" s="171">
        <f t="shared" si="0"/>
        <v>0</v>
      </c>
      <c r="O33" s="215" t="str">
        <f>_xlfn.XLOOKUP(E33,'All Products'!D:D,'All Products'!I:I,FALSE)</f>
        <v>Within 3 Weeks</v>
      </c>
      <c r="P33" s="215" t="str">
        <f>_xlfn.XLOOKUP(E33,'All Products'!D:D,'All Products'!J:J,FALSE)</f>
        <v>Manufactured</v>
      </c>
      <c r="Q33" s="266">
        <f>_xlfn.XLOOKUP(E33,'All Products'!D:D,'All Products'!K:K,FALSE)</f>
        <v>49081022297</v>
      </c>
      <c r="R33" s="266" t="str">
        <f>_xlfn.XLOOKUP(E33,'All Products'!D:D,'All Products'!L:L,FALSE)</f>
        <v>-</v>
      </c>
      <c r="S33" s="266">
        <f>_xlfn.XLOOKUP(E33,'All Products'!D:D,'All Products'!M:M,FALSE)</f>
        <v>40049081022295</v>
      </c>
      <c r="T33" s="264">
        <f>_xlfn.XLOOKUP(E33,'All Products'!D:D,'All Products'!N:N,FALSE)</f>
        <v>1.03</v>
      </c>
      <c r="U33" s="264">
        <f>_xlfn.XLOOKUP(E33,'All Products'!D:D,'All Products'!P:P,FALSE)</f>
        <v>10.6</v>
      </c>
      <c r="V33" s="265">
        <f>_xlfn.XLOOKUP(E33,'All Products'!D:D,'All Products'!Q:Q,FALSE)</f>
        <v>0.8</v>
      </c>
    </row>
    <row r="34" spans="1:22" ht="14.4" customHeight="1">
      <c r="A34" s="101" t="str">
        <f>IF(K34&gt;0,COUNT($A$8:A33)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4" s="610"/>
      <c r="C34" s="611"/>
      <c r="D34" s="274" t="str">
        <f>_xlfn.XLOOKUP(E34,'All Products'!D:D,'All Products'!C:C,FALSE)</f>
        <v>1-A1-13-1-12</v>
      </c>
      <c r="E34" s="103">
        <v>100024875</v>
      </c>
      <c r="F34" s="144" t="str">
        <f>_xlfn.XLOOKUP(E34,'All Products'!D:D,'All Products'!E:E,FALSE)</f>
        <v>1 MPT X 1 ACME SU X 12 SJ</v>
      </c>
      <c r="G34" s="103">
        <f>_xlfn.XLOOKUP(E34,'All Products'!D:D,'All Products'!F:F,FALSE)</f>
        <v>10</v>
      </c>
      <c r="H34" s="103">
        <f>_xlfn.XLOOKUP(E34,'All Products'!D:D,'All Products'!G:G,FALSE)</f>
        <v>900</v>
      </c>
      <c r="I34" s="140">
        <f>_xlfn.XLOOKUP(E34,'All Products'!D:D,'All Products'!H:H,FALSE)</f>
        <v>102.64</v>
      </c>
      <c r="J34" s="173">
        <f>ROUNDUP(I34*Order_Quote!$L$26,2)</f>
        <v>102.64</v>
      </c>
      <c r="K34" s="75"/>
      <c r="L34" s="113"/>
      <c r="M34" s="171">
        <f t="shared" si="0"/>
        <v>0</v>
      </c>
      <c r="O34" s="215" t="str">
        <f>_xlfn.XLOOKUP(E34,'All Products'!D:D,'All Products'!I:I,FALSE)</f>
        <v>In Stock</v>
      </c>
      <c r="P34" s="215" t="str">
        <f>_xlfn.XLOOKUP(E34,'All Products'!D:D,'All Products'!J:J,FALSE)</f>
        <v>Manufactured</v>
      </c>
      <c r="Q34" s="266">
        <f>_xlfn.XLOOKUP(E34,'All Products'!D:D,'All Products'!K:K,FALSE)</f>
        <v>49081020453</v>
      </c>
      <c r="R34" s="266" t="str">
        <f>_xlfn.XLOOKUP(E34,'All Products'!D:D,'All Products'!L:L,FALSE)</f>
        <v>-</v>
      </c>
      <c r="S34" s="266">
        <f>_xlfn.XLOOKUP(E34,'All Products'!D:D,'All Products'!M:M,FALSE)</f>
        <v>40049081020451</v>
      </c>
      <c r="T34" s="264">
        <f>_xlfn.XLOOKUP(E34,'All Products'!D:D,'All Products'!N:N,FALSE)</f>
        <v>1.1060000000000001</v>
      </c>
      <c r="U34" s="264">
        <f>_xlfn.XLOOKUP(E34,'All Products'!D:D,'All Products'!P:P,FALSE)</f>
        <v>11.35</v>
      </c>
      <c r="V34" s="265">
        <f>_xlfn.XLOOKUP(E34,'All Products'!D:D,'All Products'!Q:Q,FALSE)</f>
        <v>0.8</v>
      </c>
    </row>
    <row r="35" spans="1:22" ht="14.4" customHeight="1">
      <c r="A35" s="101" t="str">
        <f>IF(K35&gt;0,COUNT($A$8:A34)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5" s="610"/>
      <c r="C35" s="611"/>
      <c r="D35" s="274" t="str">
        <f>_xlfn.XLOOKUP(E35,'All Products'!D:D,'All Products'!C:C,FALSE)</f>
        <v>1-A1-13-1-14</v>
      </c>
      <c r="E35" s="103">
        <v>100023792</v>
      </c>
      <c r="F35" s="144" t="str">
        <f>_xlfn.XLOOKUP(E35,'All Products'!D:D,'All Products'!E:E,FALSE)</f>
        <v>1 MPT X 1 ACME SU X 14 SJ</v>
      </c>
      <c r="G35" s="103">
        <f>_xlfn.XLOOKUP(E35,'All Products'!D:D,'All Products'!F:F,FALSE)</f>
        <v>10</v>
      </c>
      <c r="H35" s="103">
        <f>_xlfn.XLOOKUP(E35,'All Products'!D:D,'All Products'!G:G,FALSE)</f>
        <v>600</v>
      </c>
      <c r="I35" s="140">
        <f>_xlfn.XLOOKUP(E35,'All Products'!D:D,'All Products'!H:H,FALSE)</f>
        <v>113.76</v>
      </c>
      <c r="J35" s="173">
        <f>ROUNDUP(I35*Order_Quote!$L$26,2)</f>
        <v>113.76</v>
      </c>
      <c r="K35" s="75"/>
      <c r="L35" s="113"/>
      <c r="M35" s="171">
        <f t="shared" si="0"/>
        <v>0</v>
      </c>
      <c r="O35" s="215" t="str">
        <f>_xlfn.XLOOKUP(E35,'All Products'!D:D,'All Products'!I:I,FALSE)</f>
        <v>Within 3 Weeks</v>
      </c>
      <c r="P35" s="215" t="str">
        <f>_xlfn.XLOOKUP(E35,'All Products'!D:D,'All Products'!J:J,FALSE)</f>
        <v>Manufactured</v>
      </c>
      <c r="Q35" s="266">
        <f>_xlfn.XLOOKUP(E35,'All Products'!D:D,'All Products'!K:K,FALSE)</f>
        <v>49081023232</v>
      </c>
      <c r="R35" s="266" t="str">
        <f>_xlfn.XLOOKUP(E35,'All Products'!D:D,'All Products'!L:L,FALSE)</f>
        <v>-</v>
      </c>
      <c r="S35" s="266">
        <f>_xlfn.XLOOKUP(E35,'All Products'!D:D,'All Products'!M:M,FALSE)</f>
        <v>40049081023230</v>
      </c>
      <c r="T35" s="264">
        <f>_xlfn.XLOOKUP(E35,'All Products'!D:D,'All Products'!N:N,FALSE)</f>
        <v>1.1499999999999999</v>
      </c>
      <c r="U35" s="264">
        <f>_xlfn.XLOOKUP(E35,'All Products'!D:D,'All Products'!P:P,FALSE)</f>
        <v>12.07</v>
      </c>
      <c r="V35" s="265">
        <f>_xlfn.XLOOKUP(E35,'All Products'!D:D,'All Products'!Q:Q,FALSE)</f>
        <v>1.25</v>
      </c>
    </row>
    <row r="36" spans="1:22" ht="14.4" customHeight="1">
      <c r="A36" s="101" t="str">
        <f>IF(K36&gt;0,COUNT($A$8:A35)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6" s="610"/>
      <c r="C36" s="611"/>
      <c r="D36" s="274" t="str">
        <f>_xlfn.XLOOKUP(E36,'All Products'!D:D,'All Products'!C:C,FALSE)</f>
        <v>1-A1-13-1-16</v>
      </c>
      <c r="E36" s="103">
        <v>100023793</v>
      </c>
      <c r="F36" s="144" t="str">
        <f>_xlfn.XLOOKUP(E36,'All Products'!D:D,'All Products'!E:E,FALSE)</f>
        <v>1 MIPT X 1 ACME SU X 16 LL SJ</v>
      </c>
      <c r="G36" s="103">
        <f>_xlfn.XLOOKUP(E36,'All Products'!D:D,'All Products'!F:F,FALSE)</f>
        <v>10</v>
      </c>
      <c r="H36" s="103">
        <f>_xlfn.XLOOKUP(E36,'All Products'!D:D,'All Products'!G:G,FALSE)</f>
        <v>600</v>
      </c>
      <c r="I36" s="140">
        <f>_xlfn.XLOOKUP(E36,'All Products'!D:D,'All Products'!H:H,FALSE)</f>
        <v>113.76</v>
      </c>
      <c r="J36" s="173">
        <f>ROUNDUP(I36*Order_Quote!$L$26,2)</f>
        <v>113.76</v>
      </c>
      <c r="K36" s="75"/>
      <c r="L36" s="113"/>
      <c r="M36" s="171">
        <f t="shared" si="0"/>
        <v>0</v>
      </c>
      <c r="O36" s="215" t="str">
        <f>_xlfn.XLOOKUP(E36,'All Products'!D:D,'All Products'!I:I,FALSE)</f>
        <v>Within 3 Weeks</v>
      </c>
      <c r="P36" s="215" t="str">
        <f>_xlfn.XLOOKUP(E36,'All Products'!D:D,'All Products'!J:J,FALSE)</f>
        <v>Manufactured</v>
      </c>
      <c r="Q36" s="266">
        <f>_xlfn.XLOOKUP(E36,'All Products'!D:D,'All Products'!K:K,FALSE)</f>
        <v>49081023249</v>
      </c>
      <c r="R36" s="266" t="str">
        <f>_xlfn.XLOOKUP(E36,'All Products'!D:D,'All Products'!L:L,FALSE)</f>
        <v>-</v>
      </c>
      <c r="S36" s="266">
        <f>_xlfn.XLOOKUP(E36,'All Products'!D:D,'All Products'!M:M,FALSE)</f>
        <v>40049081023247</v>
      </c>
      <c r="T36" s="264">
        <f>_xlfn.XLOOKUP(E36,'All Products'!D:D,'All Products'!N:N,FALSE)</f>
        <v>1.2150000000000001</v>
      </c>
      <c r="U36" s="264">
        <f>_xlfn.XLOOKUP(E36,'All Products'!D:D,'All Products'!P:P,FALSE)</f>
        <v>12.78</v>
      </c>
      <c r="V36" s="265">
        <f>_xlfn.XLOOKUP(E36,'All Products'!D:D,'All Products'!Q:Q,FALSE)</f>
        <v>1.41</v>
      </c>
    </row>
    <row r="37" spans="1:22" ht="14.4" customHeight="1">
      <c r="A37" s="101" t="str">
        <f>IF(K37&gt;0,COUNT($A$8:A36)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7" s="610"/>
      <c r="C37" s="611"/>
      <c r="D37" s="274" t="str">
        <f>_xlfn.XLOOKUP(E37,'All Products'!D:D,'All Products'!C:C,FALSE)</f>
        <v>1-A1-13-1-18</v>
      </c>
      <c r="E37" s="103">
        <v>100024876</v>
      </c>
      <c r="F37" s="144" t="str">
        <f>_xlfn.XLOOKUP(E37,'All Products'!D:D,'All Products'!E:E,FALSE)</f>
        <v>1 MPT X 1 ACME SU X 18 SJ</v>
      </c>
      <c r="G37" s="103">
        <f>_xlfn.XLOOKUP(E37,'All Products'!D:D,'All Products'!F:F,FALSE)</f>
        <v>10</v>
      </c>
      <c r="H37" s="103">
        <f>_xlfn.XLOOKUP(E37,'All Products'!D:D,'All Products'!G:G,FALSE)</f>
        <v>600</v>
      </c>
      <c r="I37" s="140">
        <f>_xlfn.XLOOKUP(E37,'All Products'!D:D,'All Products'!H:H,FALSE)</f>
        <v>113.76</v>
      </c>
      <c r="J37" s="173">
        <f>ROUNDUP(I37*Order_Quote!$L$26,2)</f>
        <v>113.76</v>
      </c>
      <c r="K37" s="75"/>
      <c r="L37" s="113"/>
      <c r="M37" s="171">
        <f t="shared" si="0"/>
        <v>0</v>
      </c>
      <c r="O37" s="215" t="str">
        <f>_xlfn.XLOOKUP(E37,'All Products'!D:D,'All Products'!I:I,FALSE)</f>
        <v>Within 3 Weeks</v>
      </c>
      <c r="P37" s="215" t="str">
        <f>_xlfn.XLOOKUP(E37,'All Products'!D:D,'All Products'!J:J,FALSE)</f>
        <v>Manufactured</v>
      </c>
      <c r="Q37" s="266">
        <f>_xlfn.XLOOKUP(E37,'All Products'!D:D,'All Products'!K:K,FALSE)</f>
        <v>49081020460</v>
      </c>
      <c r="R37" s="266" t="str">
        <f>_xlfn.XLOOKUP(E37,'All Products'!D:D,'All Products'!L:L,FALSE)</f>
        <v>-</v>
      </c>
      <c r="S37" s="266">
        <f>_xlfn.XLOOKUP(E37,'All Products'!D:D,'All Products'!M:M,FALSE)</f>
        <v>40049081020468</v>
      </c>
      <c r="T37" s="264">
        <f>_xlfn.XLOOKUP(E37,'All Products'!D:D,'All Products'!N:N,FALSE)</f>
        <v>1.2849999999999999</v>
      </c>
      <c r="U37" s="264">
        <f>_xlfn.XLOOKUP(E37,'All Products'!D:D,'All Products'!P:P,FALSE)</f>
        <v>13.48</v>
      </c>
      <c r="V37" s="265">
        <f>_xlfn.XLOOKUP(E37,'All Products'!D:D,'All Products'!Q:Q,FALSE)</f>
        <v>1.41</v>
      </c>
    </row>
    <row r="38" spans="1:22" ht="14.4" customHeight="1">
      <c r="A38" s="101" t="str">
        <f>IF(K38&gt;0,COUNT($A$8:A37)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8" s="610"/>
      <c r="C38" s="611"/>
      <c r="D38" s="274" t="str">
        <f>_xlfn.XLOOKUP(E38,'All Products'!D:D,'All Products'!C:C,FALSE)</f>
        <v>1-A1-13-1-6</v>
      </c>
      <c r="E38" s="103">
        <v>100023797</v>
      </c>
      <c r="F38" s="144" t="str">
        <f>_xlfn.XLOOKUP(E38,'All Products'!D:D,'All Products'!E:E,FALSE)</f>
        <v>1 MPT X 1 ACME SU X 6 SJ</v>
      </c>
      <c r="G38" s="103">
        <f>_xlfn.XLOOKUP(E38,'All Products'!D:D,'All Products'!F:F,FALSE)</f>
        <v>10</v>
      </c>
      <c r="H38" s="103">
        <f>_xlfn.XLOOKUP(E38,'All Products'!D:D,'All Products'!G:G,FALSE)</f>
        <v>1200</v>
      </c>
      <c r="I38" s="140">
        <f>_xlfn.XLOOKUP(E38,'All Products'!D:D,'All Products'!H:H,FALSE)</f>
        <v>91.56</v>
      </c>
      <c r="J38" s="173">
        <f>ROUNDUP(I38*Order_Quote!$L$26,2)</f>
        <v>91.56</v>
      </c>
      <c r="K38" s="75"/>
      <c r="L38" s="113"/>
      <c r="M38" s="171">
        <f t="shared" si="0"/>
        <v>0</v>
      </c>
      <c r="O38" s="215" t="str">
        <f>_xlfn.XLOOKUP(E38,'All Products'!D:D,'All Products'!I:I,FALSE)</f>
        <v>Within 3 Weeks</v>
      </c>
      <c r="P38" s="215" t="str">
        <f>_xlfn.XLOOKUP(E38,'All Products'!D:D,'All Products'!J:J,FALSE)</f>
        <v>Manufactured</v>
      </c>
      <c r="Q38" s="266">
        <f>_xlfn.XLOOKUP(E38,'All Products'!D:D,'All Products'!K:K,FALSE)</f>
        <v>49081023256</v>
      </c>
      <c r="R38" s="266" t="str">
        <f>_xlfn.XLOOKUP(E38,'All Products'!D:D,'All Products'!L:L,FALSE)</f>
        <v>-</v>
      </c>
      <c r="S38" s="266">
        <f>_xlfn.XLOOKUP(E38,'All Products'!D:D,'All Products'!M:M,FALSE)</f>
        <v>40049081023254</v>
      </c>
      <c r="T38" s="264">
        <f>_xlfn.XLOOKUP(E38,'All Products'!D:D,'All Products'!N:N,FALSE)</f>
        <v>0.88900000000000001</v>
      </c>
      <c r="U38" s="264">
        <f>_xlfn.XLOOKUP(E38,'All Products'!D:D,'All Products'!P:P,FALSE)</f>
        <v>9.3000000000000007</v>
      </c>
      <c r="V38" s="265">
        <f>_xlfn.XLOOKUP(E38,'All Products'!D:D,'All Products'!Q:Q,FALSE)</f>
        <v>0.65</v>
      </c>
    </row>
    <row r="39" spans="1:22" ht="14.4" customHeight="1">
      <c r="A39" s="101" t="str">
        <f>IF(K39&gt;0,COUNT($A$8:A38)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9" s="610"/>
      <c r="C39" s="611"/>
      <c r="D39" s="274" t="str">
        <f>_xlfn.XLOOKUP(E39,'All Products'!D:D,'All Products'!C:C,FALSE)</f>
        <v>1-A1-14-1-12</v>
      </c>
      <c r="E39" s="103">
        <v>100024888</v>
      </c>
      <c r="F39" s="144" t="str">
        <f>_xlfn.XLOOKUP(E39,'All Products'!D:D,'All Products'!E:E,FALSE)</f>
        <v>1 MPT X 1-1/4 ACME SU X 12 SJ</v>
      </c>
      <c r="G39" s="103">
        <f>_xlfn.XLOOKUP(E39,'All Products'!D:D,'All Products'!F:F,FALSE)</f>
        <v>10</v>
      </c>
      <c r="H39" s="103">
        <f>_xlfn.XLOOKUP(E39,'All Products'!D:D,'All Products'!G:G,FALSE)</f>
        <v>900</v>
      </c>
      <c r="I39" s="140">
        <f>_xlfn.XLOOKUP(E39,'All Products'!D:D,'All Products'!H:H,FALSE)</f>
        <v>102.64</v>
      </c>
      <c r="J39" s="173">
        <f>ROUNDUP(I39*Order_Quote!$L$26,2)</f>
        <v>102.64</v>
      </c>
      <c r="K39" s="75"/>
      <c r="L39" s="113"/>
      <c r="M39" s="171">
        <f t="shared" si="0"/>
        <v>0</v>
      </c>
      <c r="O39" s="215" t="str">
        <f>_xlfn.XLOOKUP(E39,'All Products'!D:D,'All Products'!I:I,FALSE)</f>
        <v>Within 3 Weeks</v>
      </c>
      <c r="P39" s="215" t="str">
        <f>_xlfn.XLOOKUP(E39,'All Products'!D:D,'All Products'!J:J,FALSE)</f>
        <v>Manufactured</v>
      </c>
      <c r="Q39" s="266">
        <f>_xlfn.XLOOKUP(E39,'All Products'!D:D,'All Products'!K:K,FALSE)</f>
        <v>49081020569</v>
      </c>
      <c r="R39" s="266" t="str">
        <f>_xlfn.XLOOKUP(E39,'All Products'!D:D,'All Products'!L:L,FALSE)</f>
        <v>-</v>
      </c>
      <c r="S39" s="266">
        <f>_xlfn.XLOOKUP(E39,'All Products'!D:D,'All Products'!M:M,FALSE)</f>
        <v>40049081020567</v>
      </c>
      <c r="T39" s="264">
        <f>_xlfn.XLOOKUP(E39,'All Products'!D:D,'All Products'!N:N,FALSE)</f>
        <v>1.123</v>
      </c>
      <c r="U39" s="264">
        <f>_xlfn.XLOOKUP(E39,'All Products'!D:D,'All Products'!P:P,FALSE)</f>
        <v>11.45</v>
      </c>
      <c r="V39" s="265">
        <f>_xlfn.XLOOKUP(E39,'All Products'!D:D,'All Products'!Q:Q,FALSE)</f>
        <v>0.8</v>
      </c>
    </row>
    <row r="40" spans="1:22" ht="14.4" customHeight="1">
      <c r="A40" s="101" t="str">
        <f>IF(K40&gt;0,COUNT($A$8:A39)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0" s="610"/>
      <c r="C40" s="611"/>
      <c r="D40" s="274" t="str">
        <f>_xlfn.XLOOKUP(E40,'All Products'!D:D,'All Products'!C:C,FALSE)</f>
        <v>1-A1-14-1-18</v>
      </c>
      <c r="E40" s="103">
        <v>100023811</v>
      </c>
      <c r="F40" s="144" t="str">
        <f>_xlfn.XLOOKUP(E40,'All Products'!D:D,'All Products'!E:E,FALSE)</f>
        <v>1 MIPT X 1-1/4 ACME SU X 18 LL SJ</v>
      </c>
      <c r="G40" s="103">
        <f>_xlfn.XLOOKUP(E40,'All Products'!D:D,'All Products'!F:F,FALSE)</f>
        <v>10</v>
      </c>
      <c r="H40" s="103">
        <f>_xlfn.XLOOKUP(E40,'All Products'!D:D,'All Products'!G:G,FALSE)</f>
        <v>600</v>
      </c>
      <c r="I40" s="140">
        <f>_xlfn.XLOOKUP(E40,'All Products'!D:D,'All Products'!H:H,FALSE)</f>
        <v>113.76</v>
      </c>
      <c r="J40" s="173">
        <f>ROUNDUP(I40*Order_Quote!$L$26,2)</f>
        <v>113.76</v>
      </c>
      <c r="K40" s="75"/>
      <c r="L40" s="113"/>
      <c r="M40" s="171">
        <f t="shared" si="0"/>
        <v>0</v>
      </c>
      <c r="O40" s="215" t="str">
        <f>_xlfn.XLOOKUP(E40,'All Products'!D:D,'All Products'!I:I,FALSE)</f>
        <v>Within 3 Weeks</v>
      </c>
      <c r="P40" s="215" t="str">
        <f>_xlfn.XLOOKUP(E40,'All Products'!D:D,'All Products'!J:J,FALSE)</f>
        <v>Manufactured</v>
      </c>
      <c r="Q40" s="266">
        <f>_xlfn.XLOOKUP(E40,'All Products'!D:D,'All Products'!K:K,FALSE)</f>
        <v>49081023324</v>
      </c>
      <c r="R40" s="266" t="str">
        <f>_xlfn.XLOOKUP(E40,'All Products'!D:D,'All Products'!L:L,FALSE)</f>
        <v>-</v>
      </c>
      <c r="S40" s="266">
        <f>_xlfn.XLOOKUP(E40,'All Products'!D:D,'All Products'!M:M,FALSE)</f>
        <v>40049081023322</v>
      </c>
      <c r="T40" s="264">
        <f>_xlfn.XLOOKUP(E40,'All Products'!D:D,'All Products'!N:N,FALSE)</f>
        <v>1.302</v>
      </c>
      <c r="U40" s="264">
        <f>_xlfn.XLOOKUP(E40,'All Products'!D:D,'All Products'!P:P,FALSE)</f>
        <v>13.7</v>
      </c>
      <c r="V40" s="265">
        <f>_xlfn.XLOOKUP(E40,'All Products'!D:D,'All Products'!Q:Q,FALSE)</f>
        <v>1.41</v>
      </c>
    </row>
    <row r="41" spans="1:22" ht="14.4" customHeight="1">
      <c r="A41" s="101" t="str">
        <f>IF(K41&gt;0,COUNT($A$8:A40)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1" s="610"/>
      <c r="C41" s="611"/>
      <c r="D41" s="274" t="str">
        <f>_xlfn.XLOOKUP(E41,'All Products'!D:D,'All Products'!C:C,FALSE)</f>
        <v>1-A1-15-1-12</v>
      </c>
      <c r="E41" s="103">
        <v>100023818</v>
      </c>
      <c r="F41" s="144" t="str">
        <f>_xlfn.XLOOKUP(E41,'All Products'!D:D,'All Products'!E:E,FALSE)</f>
        <v>1 MPT X 1-1/2 ACME SU X 12 LL SJ</v>
      </c>
      <c r="G41" s="103">
        <f>_xlfn.XLOOKUP(E41,'All Products'!D:D,'All Products'!F:F,FALSE)</f>
        <v>10</v>
      </c>
      <c r="H41" s="103">
        <f>_xlfn.XLOOKUP(E41,'All Products'!D:D,'All Products'!G:G,FALSE)</f>
        <v>900</v>
      </c>
      <c r="I41" s="140">
        <f>_xlfn.XLOOKUP(E41,'All Products'!D:D,'All Products'!H:H,FALSE)</f>
        <v>102.64</v>
      </c>
      <c r="J41" s="173">
        <f>ROUNDUP(I41*Order_Quote!$L$26,2)</f>
        <v>102.64</v>
      </c>
      <c r="K41" s="75"/>
      <c r="L41" s="113"/>
      <c r="M41" s="171">
        <f t="shared" si="0"/>
        <v>0</v>
      </c>
      <c r="O41" s="215" t="str">
        <f>_xlfn.XLOOKUP(E41,'All Products'!D:D,'All Products'!I:I,FALSE)</f>
        <v>In Stock</v>
      </c>
      <c r="P41" s="215" t="str">
        <f>_xlfn.XLOOKUP(E41,'All Products'!D:D,'All Products'!J:J,FALSE)</f>
        <v>Manufactured</v>
      </c>
      <c r="Q41" s="266">
        <f>_xlfn.XLOOKUP(E41,'All Products'!D:D,'All Products'!K:K,FALSE)</f>
        <v>49081020576</v>
      </c>
      <c r="R41" s="266" t="str">
        <f>_xlfn.XLOOKUP(E41,'All Products'!D:D,'All Products'!L:L,FALSE)</f>
        <v>-</v>
      </c>
      <c r="S41" s="266">
        <f>_xlfn.XLOOKUP(E41,'All Products'!D:D,'All Products'!M:M,FALSE)</f>
        <v>40049081020574</v>
      </c>
      <c r="T41" s="264">
        <f>_xlfn.XLOOKUP(E41,'All Products'!D:D,'All Products'!N:N,FALSE)</f>
        <v>1.1479999999999999</v>
      </c>
      <c r="U41" s="264">
        <f>_xlfn.XLOOKUP(E41,'All Products'!D:D,'All Products'!P:P,FALSE)</f>
        <v>11.6</v>
      </c>
      <c r="V41" s="265">
        <f>_xlfn.XLOOKUP(E41,'All Products'!D:D,'All Products'!Q:Q,FALSE)</f>
        <v>0.8</v>
      </c>
    </row>
    <row r="42" spans="1:22" ht="14.4" customHeight="1">
      <c r="A42" s="101" t="str">
        <f>IF(K42&gt;0,COUNT($A$8:A41)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2" s="610"/>
      <c r="C42" s="611"/>
      <c r="D42" s="274" t="str">
        <f>_xlfn.XLOOKUP(E42,'All Products'!D:D,'All Products'!C:C,FALSE)</f>
        <v>1-A1-15-1-16</v>
      </c>
      <c r="E42" s="103">
        <v>100023819</v>
      </c>
      <c r="F42" s="144" t="str">
        <f>_xlfn.XLOOKUP(E42,'All Products'!D:D,'All Products'!E:E,FALSE)</f>
        <v>1 MPT X 1-1/2 ACME SU X 16 SJ</v>
      </c>
      <c r="G42" s="103">
        <f>_xlfn.XLOOKUP(E42,'All Products'!D:D,'All Products'!F:F,FALSE)</f>
        <v>10</v>
      </c>
      <c r="H42" s="103">
        <f>_xlfn.XLOOKUP(E42,'All Products'!D:D,'All Products'!G:G,FALSE)</f>
        <v>600</v>
      </c>
      <c r="I42" s="140">
        <f>_xlfn.XLOOKUP(E42,'All Products'!D:D,'All Products'!H:H,FALSE)</f>
        <v>113.76</v>
      </c>
      <c r="J42" s="173">
        <f>ROUNDUP(I42*Order_Quote!$L$26,2)</f>
        <v>113.76</v>
      </c>
      <c r="K42" s="75"/>
      <c r="L42" s="113"/>
      <c r="M42" s="171">
        <f t="shared" si="0"/>
        <v>0</v>
      </c>
      <c r="O42" s="215" t="str">
        <f>_xlfn.XLOOKUP(E42,'All Products'!D:D,'All Products'!I:I,FALSE)</f>
        <v>Within 3 Weeks</v>
      </c>
      <c r="P42" s="215" t="str">
        <f>_xlfn.XLOOKUP(E42,'All Products'!D:D,'All Products'!J:J,FALSE)</f>
        <v>Manufactured</v>
      </c>
      <c r="Q42" s="266">
        <f>_xlfn.XLOOKUP(E42,'All Products'!D:D,'All Products'!K:K,FALSE)</f>
        <v>49081020583</v>
      </c>
      <c r="R42" s="266" t="str">
        <f>_xlfn.XLOOKUP(E42,'All Products'!D:D,'All Products'!L:L,FALSE)</f>
        <v>-</v>
      </c>
      <c r="S42" s="266">
        <f>_xlfn.XLOOKUP(E42,'All Products'!D:D,'All Products'!M:M,FALSE)</f>
        <v>40049081020581</v>
      </c>
      <c r="T42" s="264">
        <f>_xlfn.XLOOKUP(E42,'All Products'!D:D,'All Products'!N:N,FALSE)</f>
        <v>1.2569999999999999</v>
      </c>
      <c r="U42" s="264">
        <f>_xlfn.XLOOKUP(E42,'All Products'!D:D,'All Products'!P:P,FALSE)</f>
        <v>12.98</v>
      </c>
      <c r="V42" s="265">
        <f>_xlfn.XLOOKUP(E42,'All Products'!D:D,'All Products'!Q:Q,FALSE)</f>
        <v>1.41</v>
      </c>
    </row>
    <row r="43" spans="1:22" ht="14.4" customHeight="1">
      <c r="A43" s="101" t="str">
        <f>IF(K43&gt;0,COUNT($A$8:A42)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3" s="610"/>
      <c r="C43" s="611"/>
      <c r="D43" s="274" t="str">
        <f>_xlfn.XLOOKUP(E43,'All Products'!D:D,'All Products'!C:C,FALSE)</f>
        <v>1-A1-2-1-10</v>
      </c>
      <c r="E43" s="103">
        <v>100023826</v>
      </c>
      <c r="F43" s="144" t="str">
        <f>_xlfn.XLOOKUP(E43,'All Products'!D:D,'All Products'!E:E,FALSE)</f>
        <v>1 MPT X 1 FPT SU X 10 SJ</v>
      </c>
      <c r="G43" s="103">
        <f>_xlfn.XLOOKUP(E43,'All Products'!D:D,'All Products'!F:F,FALSE)</f>
        <v>10</v>
      </c>
      <c r="H43" s="103">
        <f>_xlfn.XLOOKUP(E43,'All Products'!D:D,'All Products'!G:G,FALSE)</f>
        <v>600</v>
      </c>
      <c r="I43" s="140">
        <f>_xlfn.XLOOKUP(E43,'All Products'!D:D,'All Products'!H:H,FALSE)</f>
        <v>102.64</v>
      </c>
      <c r="J43" s="173">
        <f>ROUNDUP(I43*Order_Quote!$L$26,2)</f>
        <v>102.64</v>
      </c>
      <c r="K43" s="75"/>
      <c r="L43" s="113"/>
      <c r="M43" s="171">
        <f t="shared" si="0"/>
        <v>0</v>
      </c>
      <c r="O43" s="215" t="str">
        <f>_xlfn.XLOOKUP(E43,'All Products'!D:D,'All Products'!I:I,FALSE)</f>
        <v>Within 3 Weeks</v>
      </c>
      <c r="P43" s="215" t="str">
        <f>_xlfn.XLOOKUP(E43,'All Products'!D:D,'All Products'!J:J,FALSE)</f>
        <v>Manufactured</v>
      </c>
      <c r="Q43" s="266">
        <f>_xlfn.XLOOKUP(E43,'All Products'!D:D,'All Products'!K:K,FALSE)</f>
        <v>49081023447</v>
      </c>
      <c r="R43" s="266" t="str">
        <f>_xlfn.XLOOKUP(E43,'All Products'!D:D,'All Products'!L:L,FALSE)</f>
        <v>-</v>
      </c>
      <c r="S43" s="266">
        <f>_xlfn.XLOOKUP(E43,'All Products'!D:D,'All Products'!M:M,FALSE)</f>
        <v>40049081023445</v>
      </c>
      <c r="T43" s="264">
        <f>_xlfn.XLOOKUP(E43,'All Products'!D:D,'All Products'!N:N,FALSE)</f>
        <v>1.0549999999999999</v>
      </c>
      <c r="U43" s="264">
        <f>_xlfn.XLOOKUP(E43,'All Products'!D:D,'All Products'!P:P,FALSE)</f>
        <v>10.55</v>
      </c>
      <c r="V43" s="265">
        <f>_xlfn.XLOOKUP(E43,'All Products'!D:D,'All Products'!Q:Q,FALSE)</f>
        <v>1.25</v>
      </c>
    </row>
    <row r="44" spans="1:22" ht="14.4" customHeight="1">
      <c r="A44" s="101" t="str">
        <f>IF(K44&gt;0,COUNT($A$8:A43)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4" s="610"/>
      <c r="C44" s="611"/>
      <c r="D44" s="274" t="str">
        <f>_xlfn.XLOOKUP(E44,'All Products'!D:D,'All Products'!C:C,FALSE)</f>
        <v>1-A1-2-1-12</v>
      </c>
      <c r="E44" s="103">
        <v>100023827</v>
      </c>
      <c r="F44" s="144" t="str">
        <f>_xlfn.XLOOKUP(E44,'All Products'!D:D,'All Products'!E:E,FALSE)</f>
        <v>1 MPT X 1 FPT SU X 12 SJ</v>
      </c>
      <c r="G44" s="103">
        <f>_xlfn.XLOOKUP(E44,'All Products'!D:D,'All Products'!F:F,FALSE)</f>
        <v>10</v>
      </c>
      <c r="H44" s="103">
        <f>_xlfn.XLOOKUP(E44,'All Products'!D:D,'All Products'!G:G,FALSE)</f>
        <v>900</v>
      </c>
      <c r="I44" s="140">
        <f>_xlfn.XLOOKUP(E44,'All Products'!D:D,'All Products'!H:H,FALSE)</f>
        <v>102.64</v>
      </c>
      <c r="J44" s="173">
        <f>ROUNDUP(I44*Order_Quote!$L$26,2)</f>
        <v>102.64</v>
      </c>
      <c r="K44" s="75"/>
      <c r="L44" s="113"/>
      <c r="M44" s="171">
        <f t="shared" si="0"/>
        <v>0</v>
      </c>
      <c r="O44" s="215" t="str">
        <f>_xlfn.XLOOKUP(E44,'All Products'!D:D,'All Products'!I:I,FALSE)</f>
        <v>In Stock</v>
      </c>
      <c r="P44" s="215" t="str">
        <f>_xlfn.XLOOKUP(E44,'All Products'!D:D,'All Products'!J:J,FALSE)</f>
        <v>Manufactured</v>
      </c>
      <c r="Q44" s="266">
        <f>_xlfn.XLOOKUP(E44,'All Products'!D:D,'All Products'!K:K,FALSE)</f>
        <v>49081020590</v>
      </c>
      <c r="R44" s="266" t="str">
        <f>_xlfn.XLOOKUP(E44,'All Products'!D:D,'All Products'!L:L,FALSE)</f>
        <v>-</v>
      </c>
      <c r="S44" s="266">
        <f>_xlfn.XLOOKUP(E44,'All Products'!D:D,'All Products'!M:M,FALSE)</f>
        <v>40049081020598</v>
      </c>
      <c r="T44" s="264">
        <f>_xlfn.XLOOKUP(E44,'All Products'!D:D,'All Products'!N:N,FALSE)</f>
        <v>1.1020000000000001</v>
      </c>
      <c r="U44" s="264">
        <f>_xlfn.XLOOKUP(E44,'All Products'!D:D,'All Products'!P:P,FALSE)</f>
        <v>11.65</v>
      </c>
      <c r="V44" s="265">
        <f>_xlfn.XLOOKUP(E44,'All Products'!D:D,'All Products'!Q:Q,FALSE)</f>
        <v>0.8</v>
      </c>
    </row>
    <row r="45" spans="1:22" ht="14.4" customHeight="1">
      <c r="A45" s="101" t="str">
        <f>IF(K45&gt;0,COUNT($A$8:A44)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5" s="610"/>
      <c r="C45" s="611"/>
      <c r="D45" s="274" t="str">
        <f>_xlfn.XLOOKUP(E45,'All Products'!D:D,'All Products'!C:C,FALSE)</f>
        <v>1-A1-2-1-18</v>
      </c>
      <c r="E45" s="103">
        <v>100023828</v>
      </c>
      <c r="F45" s="144" t="str">
        <f>_xlfn.XLOOKUP(E45,'All Products'!D:D,'All Products'!E:E,FALSE)</f>
        <v>1 MIPT X 1 FIPT SU X 18 LL SJ</v>
      </c>
      <c r="G45" s="103">
        <f>_xlfn.XLOOKUP(E45,'All Products'!D:D,'All Products'!F:F,FALSE)</f>
        <v>10</v>
      </c>
      <c r="H45" s="103">
        <f>_xlfn.XLOOKUP(E45,'All Products'!D:D,'All Products'!G:G,FALSE)</f>
        <v>600</v>
      </c>
      <c r="I45" s="140">
        <f>_xlfn.XLOOKUP(E45,'All Products'!D:D,'All Products'!H:H,FALSE)</f>
        <v>113.76</v>
      </c>
      <c r="J45" s="173">
        <f>ROUNDUP(I45*Order_Quote!$L$26,2)</f>
        <v>113.76</v>
      </c>
      <c r="K45" s="75"/>
      <c r="L45" s="113"/>
      <c r="M45" s="171">
        <f t="shared" si="0"/>
        <v>0</v>
      </c>
      <c r="O45" s="215" t="str">
        <f>_xlfn.XLOOKUP(E45,'All Products'!D:D,'All Products'!I:I,FALSE)</f>
        <v>In Stock</v>
      </c>
      <c r="P45" s="215" t="str">
        <f>_xlfn.XLOOKUP(E45,'All Products'!D:D,'All Products'!J:J,FALSE)</f>
        <v>Manufactured</v>
      </c>
      <c r="Q45" s="266" t="str">
        <f>_xlfn.XLOOKUP(E45,'All Products'!D:D,'All Products'!K:K,FALSE)</f>
        <v>-</v>
      </c>
      <c r="R45" s="266" t="str">
        <f>_xlfn.XLOOKUP(E45,'All Products'!D:D,'All Products'!L:L,FALSE)</f>
        <v>-</v>
      </c>
      <c r="S45" s="266">
        <f>_xlfn.XLOOKUP(E45,'All Products'!D:D,'All Products'!M:M,FALSE)</f>
        <v>40049081031419</v>
      </c>
      <c r="T45" s="264">
        <f>_xlfn.XLOOKUP(E45,'All Products'!D:D,'All Products'!N:N,FALSE)</f>
        <v>1.2809999999999999</v>
      </c>
      <c r="U45" s="264">
        <f>_xlfn.XLOOKUP(E45,'All Products'!D:D,'All Products'!P:P,FALSE)</f>
        <v>13.8</v>
      </c>
      <c r="V45" s="265">
        <f>_xlfn.XLOOKUP(E45,'All Products'!D:D,'All Products'!Q:Q,FALSE)</f>
        <v>1.41</v>
      </c>
    </row>
    <row r="46" spans="1:22" ht="14.4" customHeight="1">
      <c r="A46" s="101" t="str">
        <f>IF(K46&gt;0,COUNT($A$8:A45)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6" s="610"/>
      <c r="C46" s="611"/>
      <c r="D46" s="274" t="str">
        <f>_xlfn.XLOOKUP(E46,'All Products'!D:D,'All Products'!C:C,FALSE)</f>
        <v>1-A1-3-1-10</v>
      </c>
      <c r="E46" s="103">
        <v>100024892</v>
      </c>
      <c r="F46" s="144" t="str">
        <f>_xlfn.XLOOKUP(E46,'All Products'!D:D,'All Products'!E:E,FALSE)</f>
        <v>1 MPT X 1 MPT SU X 10 SJ</v>
      </c>
      <c r="G46" s="103">
        <f>_xlfn.XLOOKUP(E46,'All Products'!D:D,'All Products'!F:F,FALSE)</f>
        <v>10</v>
      </c>
      <c r="H46" s="103">
        <f>_xlfn.XLOOKUP(E46,'All Products'!D:D,'All Products'!G:G,FALSE)</f>
        <v>900</v>
      </c>
      <c r="I46" s="140">
        <f>_xlfn.XLOOKUP(E46,'All Products'!D:D,'All Products'!H:H,FALSE)</f>
        <v>102.64</v>
      </c>
      <c r="J46" s="173">
        <f>ROUNDUP(I46*Order_Quote!$L$26,2)</f>
        <v>102.64</v>
      </c>
      <c r="K46" s="75"/>
      <c r="L46" s="113"/>
      <c r="M46" s="171">
        <f t="shared" si="0"/>
        <v>0</v>
      </c>
      <c r="O46" s="215" t="str">
        <f>_xlfn.XLOOKUP(E46,'All Products'!D:D,'All Products'!I:I,FALSE)</f>
        <v>In Stock</v>
      </c>
      <c r="P46" s="215" t="str">
        <f>_xlfn.XLOOKUP(E46,'All Products'!D:D,'All Products'!J:J,FALSE)</f>
        <v>Manufactured</v>
      </c>
      <c r="Q46" s="266">
        <f>_xlfn.XLOOKUP(E46,'All Products'!D:D,'All Products'!K:K,FALSE)</f>
        <v>49081020644</v>
      </c>
      <c r="R46" s="266" t="str">
        <f>_xlfn.XLOOKUP(E46,'All Products'!D:D,'All Products'!L:L,FALSE)</f>
        <v>-</v>
      </c>
      <c r="S46" s="266">
        <f>_xlfn.XLOOKUP(E46,'All Products'!D:D,'All Products'!M:M,FALSE)</f>
        <v>40049081020642</v>
      </c>
      <c r="T46" s="264">
        <f>_xlfn.XLOOKUP(E46,'All Products'!D:D,'All Products'!N:N,FALSE)</f>
        <v>1.01</v>
      </c>
      <c r="U46" s="264">
        <f>_xlfn.XLOOKUP(E46,'All Products'!D:D,'All Products'!P:P,FALSE)</f>
        <v>10.65</v>
      </c>
      <c r="V46" s="265">
        <f>_xlfn.XLOOKUP(E46,'All Products'!D:D,'All Products'!Q:Q,FALSE)</f>
        <v>0.8</v>
      </c>
    </row>
    <row r="47" spans="1:22" ht="14.4" customHeight="1">
      <c r="A47" s="101" t="str">
        <f>IF(K47&gt;0,COUNT($A$8:A46)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7" s="610"/>
      <c r="C47" s="611"/>
      <c r="D47" s="274" t="str">
        <f>_xlfn.XLOOKUP(E47,'All Products'!D:D,'All Products'!C:C,FALSE)</f>
        <v>1-A1-3-1-12</v>
      </c>
      <c r="E47" s="103">
        <v>100024895</v>
      </c>
      <c r="F47" s="144" t="str">
        <f>_xlfn.XLOOKUP(E47,'All Products'!D:D,'All Products'!E:E,FALSE)</f>
        <v>1 MPT X 1 MPT SU X 12 SJ</v>
      </c>
      <c r="G47" s="103">
        <f>_xlfn.XLOOKUP(E47,'All Products'!D:D,'All Products'!F:F,FALSE)</f>
        <v>10</v>
      </c>
      <c r="H47" s="103">
        <f>_xlfn.XLOOKUP(E47,'All Products'!D:D,'All Products'!G:G,FALSE)</f>
        <v>900</v>
      </c>
      <c r="I47" s="140">
        <f>_xlfn.XLOOKUP(E47,'All Products'!D:D,'All Products'!H:H,FALSE)</f>
        <v>102.64</v>
      </c>
      <c r="J47" s="173">
        <f>ROUNDUP(I47*Order_Quote!$L$26,2)</f>
        <v>102.64</v>
      </c>
      <c r="K47" s="75"/>
      <c r="L47" s="113"/>
      <c r="M47" s="171">
        <f t="shared" si="0"/>
        <v>0</v>
      </c>
      <c r="O47" s="215" t="str">
        <f>_xlfn.XLOOKUP(E47,'All Products'!D:D,'All Products'!I:I,FALSE)</f>
        <v>In Stock</v>
      </c>
      <c r="P47" s="215" t="str">
        <f>_xlfn.XLOOKUP(E47,'All Products'!D:D,'All Products'!J:J,FALSE)</f>
        <v>Manufactured</v>
      </c>
      <c r="Q47" s="266">
        <f>_xlfn.XLOOKUP(E47,'All Products'!D:D,'All Products'!K:K,FALSE)</f>
        <v>49081020019</v>
      </c>
      <c r="R47" s="266" t="str">
        <f>_xlfn.XLOOKUP(E47,'All Products'!D:D,'All Products'!L:L,FALSE)</f>
        <v>-</v>
      </c>
      <c r="S47" s="266">
        <f>_xlfn.XLOOKUP(E47,'All Products'!D:D,'All Products'!M:M,FALSE)</f>
        <v>40049081020017</v>
      </c>
      <c r="T47" s="264">
        <f>_xlfn.XLOOKUP(E47,'All Products'!D:D,'All Products'!N:N,FALSE)</f>
        <v>1.0860000000000001</v>
      </c>
      <c r="U47" s="264">
        <f>_xlfn.XLOOKUP(E47,'All Products'!D:D,'All Products'!P:P,FALSE)</f>
        <v>11.54</v>
      </c>
      <c r="V47" s="265">
        <f>_xlfn.XLOOKUP(E47,'All Products'!D:D,'All Products'!Q:Q,FALSE)</f>
        <v>0.8</v>
      </c>
    </row>
    <row r="48" spans="1:22" ht="14.4" customHeight="1">
      <c r="A48" s="101" t="str">
        <f>IF(K48&gt;0,COUNT($A$8:A47)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8" s="610"/>
      <c r="C48" s="611"/>
      <c r="D48" s="274" t="str">
        <f>_xlfn.XLOOKUP(E48,'All Products'!D:D,'All Products'!C:C,FALSE)</f>
        <v>1-A1-3-1-14</v>
      </c>
      <c r="E48" s="103">
        <v>100023850</v>
      </c>
      <c r="F48" s="144" t="str">
        <f>_xlfn.XLOOKUP(E48,'All Products'!D:D,'All Products'!E:E,FALSE)</f>
        <v>1 MPT X 1 MPT SU X 14 SJ</v>
      </c>
      <c r="G48" s="103">
        <f>_xlfn.XLOOKUP(E48,'All Products'!D:D,'All Products'!F:F,FALSE)</f>
        <v>10</v>
      </c>
      <c r="H48" s="103">
        <f>_xlfn.XLOOKUP(E48,'All Products'!D:D,'All Products'!G:G,FALSE)</f>
        <v>240</v>
      </c>
      <c r="I48" s="140">
        <f>_xlfn.XLOOKUP(E48,'All Products'!D:D,'All Products'!H:H,FALSE)</f>
        <v>113.76</v>
      </c>
      <c r="J48" s="173">
        <f>ROUNDUP(I48*Order_Quote!$L$26,2)</f>
        <v>113.76</v>
      </c>
      <c r="K48" s="75"/>
      <c r="L48" s="113"/>
      <c r="M48" s="171">
        <f t="shared" si="0"/>
        <v>0</v>
      </c>
      <c r="O48" s="215" t="str">
        <f>_xlfn.XLOOKUP(E48,'All Products'!D:D,'All Products'!I:I,FALSE)</f>
        <v>Within 3 Weeks</v>
      </c>
      <c r="P48" s="215" t="str">
        <f>_xlfn.XLOOKUP(E48,'All Products'!D:D,'All Products'!J:J,FALSE)</f>
        <v>Manufactured</v>
      </c>
      <c r="Q48" s="266">
        <f>_xlfn.XLOOKUP(E48,'All Products'!D:D,'All Products'!K:K,FALSE)</f>
        <v>49081023560</v>
      </c>
      <c r="R48" s="266" t="str">
        <f>_xlfn.XLOOKUP(E48,'All Products'!D:D,'All Products'!L:L,FALSE)</f>
        <v>-</v>
      </c>
      <c r="S48" s="266">
        <f>_xlfn.XLOOKUP(E48,'All Products'!D:D,'All Products'!M:M,FALSE)</f>
        <v>40049081023568</v>
      </c>
      <c r="T48" s="264">
        <f>_xlfn.XLOOKUP(E48,'All Products'!D:D,'All Products'!N:N,FALSE)</f>
        <v>1.1299999999999999</v>
      </c>
      <c r="U48" s="264">
        <f>_xlfn.XLOOKUP(E48,'All Products'!D:D,'All Products'!P:P,FALSE)</f>
        <v>11.41</v>
      </c>
      <c r="V48" s="265">
        <f>_xlfn.XLOOKUP(E48,'All Products'!D:D,'All Products'!Q:Q,FALSE)</f>
        <v>2.77</v>
      </c>
    </row>
    <row r="49" spans="1:22" ht="14.4" customHeight="1">
      <c r="A49" s="101" t="str">
        <f>IF(K49&gt;0,COUNT($A$8:A48)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9" s="610"/>
      <c r="C49" s="611"/>
      <c r="D49" s="274" t="str">
        <f>_xlfn.XLOOKUP(E49,'All Products'!D:D,'All Products'!C:C,FALSE)</f>
        <v>1-A1-3-1-16</v>
      </c>
      <c r="E49" s="103">
        <v>100023851</v>
      </c>
      <c r="F49" s="144" t="str">
        <f>_xlfn.XLOOKUP(E49,'All Products'!D:D,'All Products'!E:E,FALSE)</f>
        <v>1 MPT X 1 MPT SU X 16 SJ</v>
      </c>
      <c r="G49" s="103">
        <f>_xlfn.XLOOKUP(E49,'All Products'!D:D,'All Products'!F:F,FALSE)</f>
        <v>10</v>
      </c>
      <c r="H49" s="103">
        <f>_xlfn.XLOOKUP(E49,'All Products'!D:D,'All Products'!G:G,FALSE)</f>
        <v>600</v>
      </c>
      <c r="I49" s="140">
        <f>_xlfn.XLOOKUP(E49,'All Products'!D:D,'All Products'!H:H,FALSE)</f>
        <v>113.76</v>
      </c>
      <c r="J49" s="173">
        <f>ROUNDUP(I49*Order_Quote!$L$26,2)</f>
        <v>113.76</v>
      </c>
      <c r="K49" s="75"/>
      <c r="L49" s="113"/>
      <c r="M49" s="171">
        <f t="shared" si="0"/>
        <v>0</v>
      </c>
      <c r="O49" s="215" t="str">
        <f>_xlfn.XLOOKUP(E49,'All Products'!D:D,'All Products'!I:I,FALSE)</f>
        <v>Within 3 Weeks</v>
      </c>
      <c r="P49" s="215" t="str">
        <f>_xlfn.XLOOKUP(E49,'All Products'!D:D,'All Products'!J:J,FALSE)</f>
        <v>Manufactured</v>
      </c>
      <c r="Q49" s="266">
        <f>_xlfn.XLOOKUP(E49,'All Products'!D:D,'All Products'!K:K,FALSE)</f>
        <v>49081020668</v>
      </c>
      <c r="R49" s="266" t="str">
        <f>_xlfn.XLOOKUP(E49,'All Products'!D:D,'All Products'!L:L,FALSE)</f>
        <v>-</v>
      </c>
      <c r="S49" s="266">
        <f>_xlfn.XLOOKUP(E49,'All Products'!D:D,'All Products'!M:M,FALSE)</f>
        <v>40049081020666</v>
      </c>
      <c r="T49" s="264">
        <f>_xlfn.XLOOKUP(E49,'All Products'!D:D,'All Products'!N:N,FALSE)</f>
        <v>1.1950000000000001</v>
      </c>
      <c r="U49" s="264">
        <f>_xlfn.XLOOKUP(E49,'All Products'!D:D,'All Products'!P:P,FALSE)</f>
        <v>12.67</v>
      </c>
      <c r="V49" s="265">
        <f>_xlfn.XLOOKUP(E49,'All Products'!D:D,'All Products'!Q:Q,FALSE)</f>
        <v>1.25</v>
      </c>
    </row>
    <row r="50" spans="1:22" ht="14.4" customHeight="1">
      <c r="A50" s="101" t="str">
        <f>IF(K50&gt;0,COUNT($A$8:A49)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50" s="610"/>
      <c r="C50" s="611"/>
      <c r="D50" s="274" t="str">
        <f>_xlfn.XLOOKUP(E50,'All Products'!D:D,'All Products'!C:C,FALSE)</f>
        <v>1-A1-3-1-18</v>
      </c>
      <c r="E50" s="103">
        <v>100024896</v>
      </c>
      <c r="F50" s="144" t="str">
        <f>_xlfn.XLOOKUP(E50,'All Products'!D:D,'All Products'!E:E,FALSE)</f>
        <v>1 MPT X 1 MPT SU X 18 SJ</v>
      </c>
      <c r="G50" s="103">
        <f>_xlfn.XLOOKUP(E50,'All Products'!D:D,'All Products'!F:F,FALSE)</f>
        <v>10</v>
      </c>
      <c r="H50" s="103">
        <f>_xlfn.XLOOKUP(E50,'All Products'!D:D,'All Products'!G:G,FALSE)</f>
        <v>600</v>
      </c>
      <c r="I50" s="140">
        <f>_xlfn.XLOOKUP(E50,'All Products'!D:D,'All Products'!H:H,FALSE)</f>
        <v>113.76</v>
      </c>
      <c r="J50" s="173">
        <f>ROUNDUP(I50*Order_Quote!$L$26,2)</f>
        <v>113.76</v>
      </c>
      <c r="K50" s="75"/>
      <c r="L50" s="113"/>
      <c r="M50" s="171">
        <f t="shared" si="0"/>
        <v>0</v>
      </c>
      <c r="O50" s="215" t="str">
        <f>_xlfn.XLOOKUP(E50,'All Products'!D:D,'All Products'!I:I,FALSE)</f>
        <v>In Stock</v>
      </c>
      <c r="P50" s="215" t="str">
        <f>_xlfn.XLOOKUP(E50,'All Products'!D:D,'All Products'!J:J,FALSE)</f>
        <v>Manufactured</v>
      </c>
      <c r="Q50" s="266">
        <f>_xlfn.XLOOKUP(E50,'All Products'!D:D,'All Products'!K:K,FALSE)</f>
        <v>49081020675</v>
      </c>
      <c r="R50" s="266" t="str">
        <f>_xlfn.XLOOKUP(E50,'All Products'!D:D,'All Products'!L:L,FALSE)</f>
        <v>-</v>
      </c>
      <c r="S50" s="266">
        <f>_xlfn.XLOOKUP(E50,'All Products'!D:D,'All Products'!M:M,FALSE)</f>
        <v>40049081020673</v>
      </c>
      <c r="T50" s="264">
        <f>_xlfn.XLOOKUP(E50,'All Products'!D:D,'All Products'!N:N,FALSE)</f>
        <v>1.2649999999999999</v>
      </c>
      <c r="U50" s="264">
        <f>_xlfn.XLOOKUP(E50,'All Products'!D:D,'All Products'!P:P,FALSE)</f>
        <v>13.5</v>
      </c>
      <c r="V50" s="265">
        <f>_xlfn.XLOOKUP(E50,'All Products'!D:D,'All Products'!Q:Q,FALSE)</f>
        <v>1.41</v>
      </c>
    </row>
    <row r="51" spans="1:22" ht="14.4" customHeight="1">
      <c r="A51" s="101" t="str">
        <f>IF(K51&gt;0,COUNT($A$8:A50)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51" s="610"/>
      <c r="C51" s="611"/>
      <c r="D51" s="274" t="str">
        <f>_xlfn.XLOOKUP(E51,'All Products'!D:D,'All Products'!C:C,FALSE)</f>
        <v>1-A1-3-1-6</v>
      </c>
      <c r="E51" s="103">
        <v>100024898</v>
      </c>
      <c r="F51" s="144" t="str">
        <f>_xlfn.XLOOKUP(E51,'All Products'!D:D,'All Products'!E:E,FALSE)</f>
        <v>1 MPT X 1 MPT SU X 6 SJ</v>
      </c>
      <c r="G51" s="103">
        <f>_xlfn.XLOOKUP(E51,'All Products'!D:D,'All Products'!F:F,FALSE)</f>
        <v>10</v>
      </c>
      <c r="H51" s="103">
        <f>_xlfn.XLOOKUP(E51,'All Products'!D:D,'All Products'!G:G,FALSE)</f>
        <v>1200</v>
      </c>
      <c r="I51" s="140">
        <f>_xlfn.XLOOKUP(E51,'All Products'!D:D,'All Products'!H:H,FALSE)</f>
        <v>91.56</v>
      </c>
      <c r="J51" s="173">
        <f>ROUNDUP(I51*Order_Quote!$L$26,2)</f>
        <v>91.56</v>
      </c>
      <c r="K51" s="75"/>
      <c r="L51" s="113"/>
      <c r="M51" s="171">
        <f t="shared" si="0"/>
        <v>0</v>
      </c>
      <c r="O51" s="215" t="str">
        <f>_xlfn.XLOOKUP(E51,'All Products'!D:D,'All Products'!I:I,FALSE)</f>
        <v>Within 3 Weeks</v>
      </c>
      <c r="P51" s="215" t="str">
        <f>_xlfn.XLOOKUP(E51,'All Products'!D:D,'All Products'!J:J,FALSE)</f>
        <v>Manufactured</v>
      </c>
      <c r="Q51" s="266">
        <f>_xlfn.XLOOKUP(E51,'All Products'!D:D,'All Products'!K:K,FALSE)</f>
        <v>49081020705</v>
      </c>
      <c r="R51" s="266" t="str">
        <f>_xlfn.XLOOKUP(E51,'All Products'!D:D,'All Products'!L:L,FALSE)</f>
        <v>-</v>
      </c>
      <c r="S51" s="266">
        <f>_xlfn.XLOOKUP(E51,'All Products'!D:D,'All Products'!M:M,FALSE)</f>
        <v>40049081020703</v>
      </c>
      <c r="T51" s="264">
        <f>_xlfn.XLOOKUP(E51,'All Products'!D:D,'All Products'!N:N,FALSE)</f>
        <v>0.86899999999999999</v>
      </c>
      <c r="U51" s="264">
        <f>_xlfn.XLOOKUP(E51,'All Products'!D:D,'All Products'!P:P,FALSE)</f>
        <v>9.15</v>
      </c>
      <c r="V51" s="265">
        <f>_xlfn.XLOOKUP(E51,'All Products'!D:D,'All Products'!Q:Q,FALSE)</f>
        <v>0.65</v>
      </c>
    </row>
    <row r="52" spans="1:22" ht="14.4" customHeight="1">
      <c r="A52" s="101" t="str">
        <f>IF(K52&gt;0,COUNT($A$8:A51)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52" s="610"/>
      <c r="C52" s="611"/>
      <c r="D52" s="274" t="str">
        <f>_xlfn.XLOOKUP(E52,'All Products'!D:D,'All Products'!C:C,FALSE)</f>
        <v>1-A1-3-1-8</v>
      </c>
      <c r="E52" s="103">
        <v>100024899</v>
      </c>
      <c r="F52" s="144" t="str">
        <f>_xlfn.XLOOKUP(E52,'All Products'!D:D,'All Products'!E:E,FALSE)</f>
        <v>1 MPT X 1 MPT SU X 8 SJ</v>
      </c>
      <c r="G52" s="103">
        <f>_xlfn.XLOOKUP(E52,'All Products'!D:D,'All Products'!F:F,FALSE)</f>
        <v>10</v>
      </c>
      <c r="H52" s="103">
        <f>_xlfn.XLOOKUP(E52,'All Products'!D:D,'All Products'!G:G,FALSE)</f>
        <v>1200</v>
      </c>
      <c r="I52" s="140">
        <f>_xlfn.XLOOKUP(E52,'All Products'!D:D,'All Products'!H:H,FALSE)</f>
        <v>91.56</v>
      </c>
      <c r="J52" s="173">
        <f>ROUNDUP(I52*Order_Quote!$L$26,2)</f>
        <v>91.56</v>
      </c>
      <c r="K52" s="75"/>
      <c r="L52" s="113"/>
      <c r="M52" s="171">
        <f t="shared" si="0"/>
        <v>0</v>
      </c>
      <c r="O52" s="215" t="str">
        <f>_xlfn.XLOOKUP(E52,'All Products'!D:D,'All Products'!I:I,FALSE)</f>
        <v>In Stock</v>
      </c>
      <c r="P52" s="215" t="str">
        <f>_xlfn.XLOOKUP(E52,'All Products'!D:D,'All Products'!J:J,FALSE)</f>
        <v>Manufactured</v>
      </c>
      <c r="Q52" s="266">
        <f>_xlfn.XLOOKUP(E52,'All Products'!D:D,'All Products'!K:K,FALSE)</f>
        <v>49081020712</v>
      </c>
      <c r="R52" s="266" t="str">
        <f>_xlfn.XLOOKUP(E52,'All Products'!D:D,'All Products'!L:L,FALSE)</f>
        <v>-</v>
      </c>
      <c r="S52" s="266">
        <f>_xlfn.XLOOKUP(E52,'All Products'!D:D,'All Products'!M:M,FALSE)</f>
        <v>40049081020710</v>
      </c>
      <c r="T52" s="264">
        <f>_xlfn.XLOOKUP(E52,'All Products'!D:D,'All Products'!N:N,FALSE)</f>
        <v>0.93300000000000005</v>
      </c>
      <c r="U52" s="264">
        <f>_xlfn.XLOOKUP(E52,'All Products'!D:D,'All Products'!P:P,FALSE)</f>
        <v>9.9499999999999993</v>
      </c>
      <c r="V52" s="265">
        <f>_xlfn.XLOOKUP(E52,'All Products'!D:D,'All Products'!Q:Q,FALSE)</f>
        <v>0.65</v>
      </c>
    </row>
    <row r="53" spans="1:22" ht="14.4" customHeight="1">
      <c r="A53" s="101" t="str">
        <f>IF(K53&gt;0,COUNT($A$8:A52)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53" s="610"/>
      <c r="C53" s="611"/>
      <c r="D53" s="274" t="str">
        <f>_xlfn.XLOOKUP(E53,'All Products'!D:D,'All Products'!C:C,FALSE)</f>
        <v>1-A1-4-1-12</v>
      </c>
      <c r="E53" s="103">
        <v>100023890</v>
      </c>
      <c r="F53" s="144" t="str">
        <f>_xlfn.XLOOKUP(E53,'All Products'!D:D,'All Products'!E:E,FALSE)</f>
        <v>1 MPT X 1-1/4 MPT SU X 12 SJ</v>
      </c>
      <c r="G53" s="103">
        <f>_xlfn.XLOOKUP(E53,'All Products'!D:D,'All Products'!F:F,FALSE)</f>
        <v>10</v>
      </c>
      <c r="H53" s="103">
        <f>_xlfn.XLOOKUP(E53,'All Products'!D:D,'All Products'!G:G,FALSE)</f>
        <v>900</v>
      </c>
      <c r="I53" s="140">
        <f>_xlfn.XLOOKUP(E53,'All Products'!D:D,'All Products'!H:H,FALSE)</f>
        <v>102.64</v>
      </c>
      <c r="J53" s="173">
        <f>ROUNDUP(I53*Order_Quote!$L$26,2)</f>
        <v>102.64</v>
      </c>
      <c r="K53" s="75"/>
      <c r="L53" s="113"/>
      <c r="M53" s="171">
        <f t="shared" si="0"/>
        <v>0</v>
      </c>
      <c r="O53" s="215" t="str">
        <f>_xlfn.XLOOKUP(E53,'All Products'!D:D,'All Products'!I:I,FALSE)</f>
        <v>Within 3 Weeks</v>
      </c>
      <c r="P53" s="215" t="str">
        <f>_xlfn.XLOOKUP(E53,'All Products'!D:D,'All Products'!J:J,FALSE)</f>
        <v>Manufactured</v>
      </c>
      <c r="Q53" s="266">
        <f>_xlfn.XLOOKUP(E53,'All Products'!D:D,'All Products'!K:K,FALSE)</f>
        <v>49081020743</v>
      </c>
      <c r="R53" s="266" t="str">
        <f>_xlfn.XLOOKUP(E53,'All Products'!D:D,'All Products'!L:L,FALSE)</f>
        <v>-</v>
      </c>
      <c r="S53" s="266">
        <f>_xlfn.XLOOKUP(E53,'All Products'!D:D,'All Products'!M:M,FALSE)</f>
        <v>40049081020741</v>
      </c>
      <c r="T53" s="264">
        <f>_xlfn.XLOOKUP(E53,'All Products'!D:D,'All Products'!N:N,FALSE)</f>
        <v>1.1419999999999999</v>
      </c>
      <c r="U53" s="264">
        <f>_xlfn.XLOOKUP(E53,'All Products'!D:D,'All Products'!P:P,FALSE)</f>
        <v>11.9</v>
      </c>
      <c r="V53" s="265">
        <f>_xlfn.XLOOKUP(E53,'All Products'!D:D,'All Products'!Q:Q,FALSE)</f>
        <v>0.8</v>
      </c>
    </row>
    <row r="54" spans="1:22" ht="14.4" customHeight="1">
      <c r="A54" s="101" t="str">
        <f>IF(K54&gt;0,COUNT($A$8:A53)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54" s="610"/>
      <c r="C54" s="611"/>
      <c r="D54" s="274" t="str">
        <f>_xlfn.XLOOKUP(E54,'All Products'!D:D,'All Products'!C:C,FALSE)</f>
        <v>1-A1-4-1-18</v>
      </c>
      <c r="E54" s="103">
        <v>100023892</v>
      </c>
      <c r="F54" s="144" t="str">
        <f>_xlfn.XLOOKUP(E54,'All Products'!D:D,'All Products'!E:E,FALSE)</f>
        <v>1 MPT X 1-1/4 MPT SU X 18 SJ</v>
      </c>
      <c r="G54" s="103">
        <f>_xlfn.XLOOKUP(E54,'All Products'!D:D,'All Products'!F:F,FALSE)</f>
        <v>10</v>
      </c>
      <c r="H54" s="103">
        <f>_xlfn.XLOOKUP(E54,'All Products'!D:D,'All Products'!G:G,FALSE)</f>
        <v>600</v>
      </c>
      <c r="I54" s="140">
        <f>_xlfn.XLOOKUP(E54,'All Products'!D:D,'All Products'!H:H,FALSE)</f>
        <v>113.76</v>
      </c>
      <c r="J54" s="173">
        <f>ROUNDUP(I54*Order_Quote!$L$26,2)</f>
        <v>113.76</v>
      </c>
      <c r="K54" s="75"/>
      <c r="L54" s="113"/>
      <c r="M54" s="171">
        <f t="shared" si="0"/>
        <v>0</v>
      </c>
      <c r="O54" s="215" t="str">
        <f>_xlfn.XLOOKUP(E54,'All Products'!D:D,'All Products'!I:I,FALSE)</f>
        <v>Within 3 Weeks</v>
      </c>
      <c r="P54" s="215" t="str">
        <f>_xlfn.XLOOKUP(E54,'All Products'!D:D,'All Products'!J:J,FALSE)</f>
        <v>Manufactured</v>
      </c>
      <c r="Q54" s="266">
        <f>_xlfn.XLOOKUP(E54,'All Products'!D:D,'All Products'!K:K,FALSE)</f>
        <v>49081023881</v>
      </c>
      <c r="R54" s="266" t="str">
        <f>_xlfn.XLOOKUP(E54,'All Products'!D:D,'All Products'!L:L,FALSE)</f>
        <v>-</v>
      </c>
      <c r="S54" s="266">
        <f>_xlfn.XLOOKUP(E54,'All Products'!D:D,'All Products'!M:M,FALSE)</f>
        <v>40049081023889</v>
      </c>
      <c r="T54" s="264">
        <f>_xlfn.XLOOKUP(E54,'All Products'!D:D,'All Products'!N:N,FALSE)</f>
        <v>1.321</v>
      </c>
      <c r="U54" s="264">
        <f>_xlfn.XLOOKUP(E54,'All Products'!D:D,'All Products'!P:P,FALSE)</f>
        <v>14.2</v>
      </c>
      <c r="V54" s="265">
        <f>_xlfn.XLOOKUP(E54,'All Products'!D:D,'All Products'!Q:Q,FALSE)</f>
        <v>1.41</v>
      </c>
    </row>
    <row r="55" spans="1:22" ht="14.4" customHeight="1">
      <c r="A55" s="101" t="str">
        <f>IF(K55&gt;0,COUNT($A$8:A54)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55" s="610"/>
      <c r="C55" s="611"/>
      <c r="D55" s="274" t="str">
        <f>_xlfn.XLOOKUP(E55,'All Products'!D:D,'All Products'!C:C,FALSE)</f>
        <v>1-A2-2-1-12</v>
      </c>
      <c r="E55" s="103">
        <v>100024913</v>
      </c>
      <c r="F55" s="144" t="str">
        <f>_xlfn.XLOOKUP(E55,'All Products'!D:D,'All Products'!E:E,FALSE)</f>
        <v>1 SPG X 1 FPT SU X 12 SJ</v>
      </c>
      <c r="G55" s="103">
        <f>_xlfn.XLOOKUP(E55,'All Products'!D:D,'All Products'!F:F,FALSE)</f>
        <v>10</v>
      </c>
      <c r="H55" s="103">
        <f>_xlfn.XLOOKUP(E55,'All Products'!D:D,'All Products'!G:G,FALSE)</f>
        <v>900</v>
      </c>
      <c r="I55" s="140">
        <f>_xlfn.XLOOKUP(E55,'All Products'!D:D,'All Products'!H:H,FALSE)</f>
        <v>102.64</v>
      </c>
      <c r="J55" s="173">
        <f>ROUNDUP(I55*Order_Quote!$L$26,2)</f>
        <v>102.64</v>
      </c>
      <c r="K55" s="75"/>
      <c r="L55" s="113"/>
      <c r="M55" s="171">
        <f t="shared" si="0"/>
        <v>0</v>
      </c>
      <c r="O55" s="215" t="str">
        <f>_xlfn.XLOOKUP(E55,'All Products'!D:D,'All Products'!I:I,FALSE)</f>
        <v>Within 3 Weeks</v>
      </c>
      <c r="P55" s="215" t="str">
        <f>_xlfn.XLOOKUP(E55,'All Products'!D:D,'All Products'!J:J,FALSE)</f>
        <v>Manufactured</v>
      </c>
      <c r="Q55" s="266">
        <f>_xlfn.XLOOKUP(E55,'All Products'!D:D,'All Products'!K:K,FALSE)</f>
        <v>49081020811</v>
      </c>
      <c r="R55" s="266" t="str">
        <f>_xlfn.XLOOKUP(E55,'All Products'!D:D,'All Products'!L:L,FALSE)</f>
        <v>-</v>
      </c>
      <c r="S55" s="266">
        <f>_xlfn.XLOOKUP(E55,'All Products'!D:D,'All Products'!M:M,FALSE)</f>
        <v>40049081020819</v>
      </c>
      <c r="T55" s="264">
        <f>_xlfn.XLOOKUP(E55,'All Products'!D:D,'All Products'!N:N,FALSE)</f>
        <v>1.1259999999999999</v>
      </c>
      <c r="U55" s="264">
        <f>_xlfn.XLOOKUP(E55,'All Products'!D:D,'All Products'!P:P,FALSE)</f>
        <v>11.8</v>
      </c>
      <c r="V55" s="265">
        <f>_xlfn.XLOOKUP(E55,'All Products'!D:D,'All Products'!Q:Q,FALSE)</f>
        <v>0.8</v>
      </c>
    </row>
    <row r="56" spans="1:22" ht="14.4" customHeight="1">
      <c r="A56" s="101" t="str">
        <f>IF(K56&gt;0,COUNT($A$8:A55)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56" s="610"/>
      <c r="C56" s="611"/>
      <c r="D56" s="274" t="str">
        <f>_xlfn.XLOOKUP(E56,'All Products'!D:D,'All Products'!C:C,FALSE)</f>
        <v>1-A2-3-1-10</v>
      </c>
      <c r="E56" s="103">
        <v>100023939</v>
      </c>
      <c r="F56" s="144" t="str">
        <f>_xlfn.XLOOKUP(E56,'All Products'!D:D,'All Products'!E:E,FALSE)</f>
        <v>1 SPG X 1 MPT SU X 10 SJ</v>
      </c>
      <c r="G56" s="103">
        <f>_xlfn.XLOOKUP(E56,'All Products'!D:D,'All Products'!F:F,FALSE)</f>
        <v>10</v>
      </c>
      <c r="H56" s="103">
        <f>_xlfn.XLOOKUP(E56,'All Products'!D:D,'All Products'!G:G,FALSE)</f>
        <v>600</v>
      </c>
      <c r="I56" s="140">
        <f>_xlfn.XLOOKUP(E56,'All Products'!D:D,'All Products'!H:H,FALSE)</f>
        <v>102.64</v>
      </c>
      <c r="J56" s="173">
        <f>ROUNDUP(I56*Order_Quote!$L$26,2)</f>
        <v>102.64</v>
      </c>
      <c r="K56" s="75"/>
      <c r="L56" s="113"/>
      <c r="M56" s="171">
        <f t="shared" si="0"/>
        <v>0</v>
      </c>
      <c r="O56" s="215" t="str">
        <f>_xlfn.XLOOKUP(E56,'All Products'!D:D,'All Products'!I:I,FALSE)</f>
        <v>Within 3 Weeks</v>
      </c>
      <c r="P56" s="215" t="str">
        <f>_xlfn.XLOOKUP(E56,'All Products'!D:D,'All Products'!J:J,FALSE)</f>
        <v>Manufactured</v>
      </c>
      <c r="Q56" s="266">
        <f>_xlfn.XLOOKUP(E56,'All Products'!D:D,'All Products'!K:K,FALSE)</f>
        <v>49081024390</v>
      </c>
      <c r="R56" s="266" t="str">
        <f>_xlfn.XLOOKUP(E56,'All Products'!D:D,'All Products'!L:L,FALSE)</f>
        <v>-</v>
      </c>
      <c r="S56" s="266">
        <f>_xlfn.XLOOKUP(E56,'All Products'!D:D,'All Products'!M:M,FALSE)</f>
        <v>40049081024398</v>
      </c>
      <c r="T56" s="264">
        <f>_xlfn.XLOOKUP(E56,'All Products'!D:D,'All Products'!N:N,FALSE)</f>
        <v>1.034</v>
      </c>
      <c r="U56" s="264">
        <f>_xlfn.XLOOKUP(E56,'All Products'!D:D,'All Products'!P:P,FALSE)</f>
        <v>10.35</v>
      </c>
      <c r="V56" s="265">
        <f>_xlfn.XLOOKUP(E56,'All Products'!D:D,'All Products'!Q:Q,FALSE)</f>
        <v>1.25</v>
      </c>
    </row>
    <row r="57" spans="1:22" ht="14.4" customHeight="1">
      <c r="A57" s="101" t="str">
        <f>IF(K57&gt;0,COUNT($A$8:A56)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57" s="610"/>
      <c r="C57" s="611"/>
      <c r="D57" s="274" t="str">
        <f>_xlfn.XLOOKUP(E57,'All Products'!D:D,'All Products'!C:C,FALSE)</f>
        <v>1-A2-3-1-12</v>
      </c>
      <c r="E57" s="103">
        <v>100024915</v>
      </c>
      <c r="F57" s="144" t="str">
        <f>_xlfn.XLOOKUP(E57,'All Products'!D:D,'All Products'!E:E,FALSE)</f>
        <v>1 SPG X 1 MPT SU X 12 SJ</v>
      </c>
      <c r="G57" s="103">
        <f>_xlfn.XLOOKUP(E57,'All Products'!D:D,'All Products'!F:F,FALSE)</f>
        <v>10</v>
      </c>
      <c r="H57" s="103">
        <f>_xlfn.XLOOKUP(E57,'All Products'!D:D,'All Products'!G:G,FALSE)</f>
        <v>600</v>
      </c>
      <c r="I57" s="140">
        <f>_xlfn.XLOOKUP(E57,'All Products'!D:D,'All Products'!H:H,FALSE)</f>
        <v>102.64</v>
      </c>
      <c r="J57" s="173">
        <f>ROUNDUP(I57*Order_Quote!$L$26,2)</f>
        <v>102.64</v>
      </c>
      <c r="K57" s="75"/>
      <c r="L57" s="113"/>
      <c r="M57" s="171">
        <f t="shared" si="0"/>
        <v>0</v>
      </c>
      <c r="O57" s="215" t="str">
        <f>_xlfn.XLOOKUP(E57,'All Products'!D:D,'All Products'!I:I,FALSE)</f>
        <v>Within 3 Weeks</v>
      </c>
      <c r="P57" s="215" t="str">
        <f>_xlfn.XLOOKUP(E57,'All Products'!D:D,'All Products'!J:J,FALSE)</f>
        <v>Manufactured</v>
      </c>
      <c r="Q57" s="266">
        <f>_xlfn.XLOOKUP(E57,'All Products'!D:D,'All Products'!K:K,FALSE)</f>
        <v>49081020828</v>
      </c>
      <c r="R57" s="266" t="str">
        <f>_xlfn.XLOOKUP(E57,'All Products'!D:D,'All Products'!L:L,FALSE)</f>
        <v>-</v>
      </c>
      <c r="S57" s="266">
        <f>_xlfn.XLOOKUP(E57,'All Products'!D:D,'All Products'!M:M,FALSE)</f>
        <v>40049081020826</v>
      </c>
      <c r="T57" s="264">
        <f>_xlfn.XLOOKUP(E57,'All Products'!D:D,'All Products'!N:N,FALSE)</f>
        <v>1.1100000000000001</v>
      </c>
      <c r="U57" s="264">
        <f>_xlfn.XLOOKUP(E57,'All Products'!D:D,'All Products'!P:P,FALSE)</f>
        <v>11.01</v>
      </c>
      <c r="V57" s="265">
        <f>_xlfn.XLOOKUP(E57,'All Products'!D:D,'All Products'!Q:Q,FALSE)</f>
        <v>1.41</v>
      </c>
    </row>
    <row r="58" spans="1:22" ht="14.4" customHeight="1">
      <c r="A58" s="101" t="str">
        <f>IF(K58&gt;0,COUNT($A$8:A57)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58" s="610"/>
      <c r="C58" s="611"/>
      <c r="D58" s="274" t="str">
        <f>_xlfn.XLOOKUP(E58,'All Products'!D:D,'All Products'!C:C,FALSE)</f>
        <v>1-A2-3-1-16</v>
      </c>
      <c r="E58" s="103">
        <v>100023941</v>
      </c>
      <c r="F58" s="144" t="str">
        <f>_xlfn.XLOOKUP(E58,'All Products'!D:D,'All Products'!E:E,FALSE)</f>
        <v>1 SPG X 1 MIPT SU X 16 LL SJ</v>
      </c>
      <c r="G58" s="103">
        <f>_xlfn.XLOOKUP(E58,'All Products'!D:D,'All Products'!F:F,FALSE)</f>
        <v>10</v>
      </c>
      <c r="H58" s="103">
        <f>_xlfn.XLOOKUP(E58,'All Products'!D:D,'All Products'!G:G,FALSE)</f>
        <v>600</v>
      </c>
      <c r="I58" s="140">
        <f>_xlfn.XLOOKUP(E58,'All Products'!D:D,'All Products'!H:H,FALSE)</f>
        <v>113.76</v>
      </c>
      <c r="J58" s="173">
        <f>ROUNDUP(I58*Order_Quote!$L$26,2)</f>
        <v>113.76</v>
      </c>
      <c r="K58" s="75"/>
      <c r="L58" s="113"/>
      <c r="M58" s="171">
        <f t="shared" si="0"/>
        <v>0</v>
      </c>
      <c r="O58" s="215" t="str">
        <f>_xlfn.XLOOKUP(E58,'All Products'!D:D,'All Products'!I:I,FALSE)</f>
        <v>Within 3 Weeks</v>
      </c>
      <c r="P58" s="215" t="str">
        <f>_xlfn.XLOOKUP(E58,'All Products'!D:D,'All Products'!J:J,FALSE)</f>
        <v>Manufactured</v>
      </c>
      <c r="Q58" s="266">
        <f>_xlfn.XLOOKUP(E58,'All Products'!D:D,'All Products'!K:K,FALSE)</f>
        <v>49081031138</v>
      </c>
      <c r="R58" s="266" t="str">
        <f>_xlfn.XLOOKUP(E58,'All Products'!D:D,'All Products'!L:L,FALSE)</f>
        <v>-</v>
      </c>
      <c r="S58" s="266">
        <f>_xlfn.XLOOKUP(E58,'All Products'!D:D,'All Products'!M:M,FALSE)</f>
        <v>40049081031136</v>
      </c>
      <c r="T58" s="264">
        <f>_xlfn.XLOOKUP(E58,'All Products'!D:D,'All Products'!N:N,FALSE)</f>
        <v>1.2190000000000001</v>
      </c>
      <c r="U58" s="264">
        <f>_xlfn.XLOOKUP(E58,'All Products'!D:D,'All Products'!P:P,FALSE)</f>
        <v>14.1</v>
      </c>
      <c r="V58" s="265">
        <f>_xlfn.XLOOKUP(E58,'All Products'!D:D,'All Products'!Q:Q,FALSE)</f>
        <v>1.25</v>
      </c>
    </row>
    <row r="59" spans="1:22" ht="14.4" customHeight="1">
      <c r="A59" s="101" t="str">
        <f>IF(K59&gt;0,COUNT($A$8:A58)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59" s="610"/>
      <c r="C59" s="611"/>
      <c r="D59" s="274" t="str">
        <f>_xlfn.XLOOKUP(E59,'All Products'!D:D,'All Products'!C:C,FALSE)</f>
        <v>1-A2-3-1-18</v>
      </c>
      <c r="E59" s="103">
        <v>100023942</v>
      </c>
      <c r="F59" s="144" t="str">
        <f>_xlfn.XLOOKUP(E59,'All Products'!D:D,'All Products'!E:E,FALSE)</f>
        <v>1 SPG X 1 MPT SU X 18 SJ</v>
      </c>
      <c r="G59" s="103">
        <f>_xlfn.XLOOKUP(E59,'All Products'!D:D,'All Products'!F:F,FALSE)</f>
        <v>10</v>
      </c>
      <c r="H59" s="103">
        <f>_xlfn.XLOOKUP(E59,'All Products'!D:D,'All Products'!G:G,FALSE)</f>
        <v>240</v>
      </c>
      <c r="I59" s="140">
        <f>_xlfn.XLOOKUP(E59,'All Products'!D:D,'All Products'!H:H,FALSE)</f>
        <v>113.76</v>
      </c>
      <c r="J59" s="173">
        <f>ROUNDUP(I59*Order_Quote!$L$26,2)</f>
        <v>113.76</v>
      </c>
      <c r="K59" s="75"/>
      <c r="L59" s="113"/>
      <c r="M59" s="171">
        <f t="shared" si="0"/>
        <v>0</v>
      </c>
      <c r="O59" s="215" t="str">
        <f>_xlfn.XLOOKUP(E59,'All Products'!D:D,'All Products'!I:I,FALSE)</f>
        <v>Within 3 Weeks</v>
      </c>
      <c r="P59" s="215" t="str">
        <f>_xlfn.XLOOKUP(E59,'All Products'!D:D,'All Products'!J:J,FALSE)</f>
        <v>Manufactured</v>
      </c>
      <c r="Q59" s="266">
        <f>_xlfn.XLOOKUP(E59,'All Products'!D:D,'All Products'!K:K,FALSE)</f>
        <v>49081022488</v>
      </c>
      <c r="R59" s="266" t="str">
        <f>_xlfn.XLOOKUP(E59,'All Products'!D:D,'All Products'!L:L,FALSE)</f>
        <v>-</v>
      </c>
      <c r="S59" s="266">
        <f>_xlfn.XLOOKUP(E59,'All Products'!D:D,'All Products'!M:M,FALSE)</f>
        <v>40049081022486</v>
      </c>
      <c r="T59" s="264">
        <f>_xlfn.XLOOKUP(E59,'All Products'!D:D,'All Products'!N:N,FALSE)</f>
        <v>1.2889999999999999</v>
      </c>
      <c r="U59" s="264">
        <f>_xlfn.XLOOKUP(E59,'All Products'!D:D,'All Products'!P:P,FALSE)</f>
        <v>22.11</v>
      </c>
      <c r="V59" s="265">
        <f>_xlfn.XLOOKUP(E59,'All Products'!D:D,'All Products'!Q:Q,FALSE)</f>
        <v>2.77</v>
      </c>
    </row>
    <row r="60" spans="1:22" ht="14.4" customHeight="1">
      <c r="A60" s="101" t="str">
        <f>IF(K60&gt;0,COUNT($A$8:A59)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60" s="610"/>
      <c r="C60" s="611"/>
      <c r="D60" s="274" t="str">
        <f>_xlfn.XLOOKUP(E60,'All Products'!D:D,'All Products'!C:C,FALSE)</f>
        <v>1-A2-3-1-6</v>
      </c>
      <c r="E60" s="103">
        <v>100023943</v>
      </c>
      <c r="F60" s="144" t="str">
        <f>_xlfn.XLOOKUP(E60,'All Products'!D:D,'All Products'!E:E,FALSE)</f>
        <v>1 SPG X 1 MPT SU X 6 SJ</v>
      </c>
      <c r="G60" s="103">
        <f>_xlfn.XLOOKUP(E60,'All Products'!D:D,'All Products'!F:F,FALSE)</f>
        <v>10</v>
      </c>
      <c r="H60" s="103">
        <f>_xlfn.XLOOKUP(E60,'All Products'!D:D,'All Products'!G:G,FALSE)</f>
        <v>750</v>
      </c>
      <c r="I60" s="140">
        <f>_xlfn.XLOOKUP(E60,'All Products'!D:D,'All Products'!H:H,FALSE)</f>
        <v>91.56</v>
      </c>
      <c r="J60" s="173">
        <f>ROUNDUP(I60*Order_Quote!$L$26,2)</f>
        <v>91.56</v>
      </c>
      <c r="K60" s="75"/>
      <c r="L60" s="113"/>
      <c r="M60" s="171">
        <f t="shared" si="0"/>
        <v>0</v>
      </c>
      <c r="O60" s="215" t="str">
        <f>_xlfn.XLOOKUP(E60,'All Products'!D:D,'All Products'!I:I,FALSE)</f>
        <v>Within 3 Weeks</v>
      </c>
      <c r="P60" s="215" t="str">
        <f>_xlfn.XLOOKUP(E60,'All Products'!D:D,'All Products'!J:J,FALSE)</f>
        <v>Manufactured</v>
      </c>
      <c r="Q60" s="266">
        <f>_xlfn.XLOOKUP(E60,'All Products'!D:D,'All Products'!K:K,FALSE)</f>
        <v>49081024406</v>
      </c>
      <c r="R60" s="266" t="str">
        <f>_xlfn.XLOOKUP(E60,'All Products'!D:D,'All Products'!L:L,FALSE)</f>
        <v>-</v>
      </c>
      <c r="S60" s="266">
        <f>_xlfn.XLOOKUP(E60,'All Products'!D:D,'All Products'!M:M,FALSE)</f>
        <v>40049081024404</v>
      </c>
      <c r="T60" s="264">
        <f>_xlfn.XLOOKUP(E60,'All Products'!D:D,'All Products'!N:N,FALSE)</f>
        <v>0.89300000000000002</v>
      </c>
      <c r="U60" s="264">
        <f>_xlfn.XLOOKUP(E60,'All Products'!D:D,'All Products'!P:P,FALSE)</f>
        <v>8.8699999999999992</v>
      </c>
      <c r="V60" s="265">
        <f>_xlfn.XLOOKUP(E60,'All Products'!D:D,'All Products'!Q:Q,FALSE)</f>
        <v>0.95</v>
      </c>
    </row>
    <row r="61" spans="1:22" ht="14.4" customHeight="1">
      <c r="A61" s="101" t="str">
        <f>IF(K61&gt;0,COUNT($A$8:A60)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61" s="610"/>
      <c r="C61" s="611"/>
      <c r="D61" s="274" t="str">
        <f>_xlfn.XLOOKUP(E61,'All Products'!D:D,'All Products'!C:C,FALSE)</f>
        <v>1-A2-3-1-8</v>
      </c>
      <c r="E61" s="103">
        <v>100023944</v>
      </c>
      <c r="F61" s="144" t="str">
        <f>_xlfn.XLOOKUP(E61,'All Products'!D:D,'All Products'!E:E,FALSE)</f>
        <v>1 SPG X 1 MPT SU X 8 SJ</v>
      </c>
      <c r="G61" s="103">
        <f>_xlfn.XLOOKUP(E61,'All Products'!D:D,'All Products'!F:F,FALSE)</f>
        <v>10</v>
      </c>
      <c r="H61" s="103">
        <f>_xlfn.XLOOKUP(E61,'All Products'!D:D,'All Products'!G:G,FALSE)</f>
        <v>1200</v>
      </c>
      <c r="I61" s="140">
        <f>_xlfn.XLOOKUP(E61,'All Products'!D:D,'All Products'!H:H,FALSE)</f>
        <v>91.56</v>
      </c>
      <c r="J61" s="173">
        <f>ROUNDUP(I61*Order_Quote!$L$26,2)</f>
        <v>91.56</v>
      </c>
      <c r="K61" s="75"/>
      <c r="L61" s="113"/>
      <c r="M61" s="171">
        <f t="shared" si="0"/>
        <v>0</v>
      </c>
      <c r="O61" s="215" t="str">
        <f>_xlfn.XLOOKUP(E61,'All Products'!D:D,'All Products'!I:I,FALSE)</f>
        <v>Within 3 Weeks</v>
      </c>
      <c r="P61" s="215" t="str">
        <f>_xlfn.XLOOKUP(E61,'All Products'!D:D,'All Products'!J:J,FALSE)</f>
        <v>Manufactured</v>
      </c>
      <c r="Q61" s="266">
        <f>_xlfn.XLOOKUP(E61,'All Products'!D:D,'All Products'!K:K,FALSE)</f>
        <v>49081020842</v>
      </c>
      <c r="R61" s="266" t="str">
        <f>_xlfn.XLOOKUP(E61,'All Products'!D:D,'All Products'!L:L,FALSE)</f>
        <v>-</v>
      </c>
      <c r="S61" s="266">
        <f>_xlfn.XLOOKUP(E61,'All Products'!D:D,'All Products'!M:M,FALSE)</f>
        <v>40049081020840</v>
      </c>
      <c r="T61" s="264">
        <f>_xlfn.XLOOKUP(E61,'All Products'!D:D,'All Products'!N:N,FALSE)</f>
        <v>0.95699999999999996</v>
      </c>
      <c r="U61" s="264">
        <f>_xlfn.XLOOKUP(E61,'All Products'!D:D,'All Products'!P:P,FALSE)</f>
        <v>10.1</v>
      </c>
      <c r="V61" s="265">
        <f>_xlfn.XLOOKUP(E61,'All Products'!D:D,'All Products'!Q:Q,FALSE)</f>
        <v>0.65</v>
      </c>
    </row>
    <row r="62" spans="1:22" ht="14.4" customHeight="1">
      <c r="A62" s="101" t="str">
        <f>IF(K62&gt;0,COUNT($A$8:A61)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62" s="610"/>
      <c r="C62" s="611"/>
      <c r="D62" s="274" t="str">
        <f>_xlfn.XLOOKUP(E62,'All Products'!D:D,'All Products'!C:C,FALSE)</f>
        <v>1-A4-1-1-18</v>
      </c>
      <c r="E62" s="103">
        <v>100023973</v>
      </c>
      <c r="F62" s="144" t="str">
        <f>_xlfn.XLOOKUP(E62,'All Products'!D:D,'All Products'!E:E,FALSE)</f>
        <v>1 SOC X 1 SOC SU X 18 SJ</v>
      </c>
      <c r="G62" s="103">
        <f>_xlfn.XLOOKUP(E62,'All Products'!D:D,'All Products'!F:F,FALSE)</f>
        <v>10</v>
      </c>
      <c r="H62" s="103">
        <f>_xlfn.XLOOKUP(E62,'All Products'!D:D,'All Products'!G:G,FALSE)</f>
        <v>240</v>
      </c>
      <c r="I62" s="140">
        <f>_xlfn.XLOOKUP(E62,'All Products'!D:D,'All Products'!H:H,FALSE)</f>
        <v>113.76</v>
      </c>
      <c r="J62" s="173">
        <f>ROUNDUP(I62*Order_Quote!$L$26,2)</f>
        <v>113.76</v>
      </c>
      <c r="K62" s="75"/>
      <c r="L62" s="113"/>
      <c r="M62" s="171">
        <f t="shared" si="0"/>
        <v>0</v>
      </c>
      <c r="O62" s="215" t="str">
        <f>_xlfn.XLOOKUP(E62,'All Products'!D:D,'All Products'!I:I,FALSE)</f>
        <v>Within 3 Weeks</v>
      </c>
      <c r="P62" s="215" t="str">
        <f>_xlfn.XLOOKUP(E62,'All Products'!D:D,'All Products'!J:J,FALSE)</f>
        <v>Manufactured</v>
      </c>
      <c r="Q62" s="266">
        <f>_xlfn.XLOOKUP(E62,'All Products'!D:D,'All Products'!K:K,FALSE)</f>
        <v>49081024635</v>
      </c>
      <c r="R62" s="266" t="str">
        <f>_xlfn.XLOOKUP(E62,'All Products'!D:D,'All Products'!L:L,FALSE)</f>
        <v>-</v>
      </c>
      <c r="S62" s="266">
        <f>_xlfn.XLOOKUP(E62,'All Products'!D:D,'All Products'!M:M,FALSE)</f>
        <v>40049081024633</v>
      </c>
      <c r="T62" s="264">
        <f>_xlfn.XLOOKUP(E62,'All Products'!D:D,'All Products'!N:N,FALSE)</f>
        <v>1.2170000000000001</v>
      </c>
      <c r="U62" s="264">
        <f>_xlfn.XLOOKUP(E62,'All Products'!D:D,'All Products'!P:P,FALSE)</f>
        <v>22.25</v>
      </c>
      <c r="V62" s="265">
        <f>_xlfn.XLOOKUP(E62,'All Products'!D:D,'All Products'!Q:Q,FALSE)</f>
        <v>2.77</v>
      </c>
    </row>
    <row r="63" spans="1:22" ht="14.4" customHeight="1">
      <c r="A63" s="101" t="str">
        <f>IF(K63&gt;0,COUNT($A$8:A62)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63" s="610"/>
      <c r="C63" s="611"/>
      <c r="D63" s="274" t="str">
        <f>_xlfn.XLOOKUP(E63,'All Products'!D:D,'All Products'!C:C,FALSE)</f>
        <v>1-A4-2-1-12</v>
      </c>
      <c r="E63" s="103">
        <v>100023978</v>
      </c>
      <c r="F63" s="144" t="str">
        <f>_xlfn.XLOOKUP(E63,'All Products'!D:D,'All Products'!E:E,FALSE)</f>
        <v>1 SOC X 1 FPT SU X 12 SJ</v>
      </c>
      <c r="G63" s="103">
        <f>_xlfn.XLOOKUP(E63,'All Products'!D:D,'All Products'!F:F,FALSE)</f>
        <v>10</v>
      </c>
      <c r="H63" s="103">
        <f>_xlfn.XLOOKUP(E63,'All Products'!D:D,'All Products'!G:G,FALSE)</f>
        <v>900</v>
      </c>
      <c r="I63" s="140">
        <f>_xlfn.XLOOKUP(E63,'All Products'!D:D,'All Products'!H:H,FALSE)</f>
        <v>102.64</v>
      </c>
      <c r="J63" s="173">
        <f>ROUNDUP(I63*Order_Quote!$L$26,2)</f>
        <v>102.64</v>
      </c>
      <c r="K63" s="75"/>
      <c r="L63" s="113"/>
      <c r="M63" s="171">
        <f t="shared" si="0"/>
        <v>0</v>
      </c>
      <c r="O63" s="215" t="str">
        <f>_xlfn.XLOOKUP(E63,'All Products'!D:D,'All Products'!I:I,FALSE)</f>
        <v>Within 3 Weeks</v>
      </c>
      <c r="P63" s="215" t="str">
        <f>_xlfn.XLOOKUP(E63,'All Products'!D:D,'All Products'!J:J,FALSE)</f>
        <v>Manufactured</v>
      </c>
      <c r="Q63" s="266">
        <f>_xlfn.XLOOKUP(E63,'All Products'!D:D,'All Products'!K:K,FALSE)</f>
        <v>49081020903</v>
      </c>
      <c r="R63" s="266" t="str">
        <f>_xlfn.XLOOKUP(E63,'All Products'!D:D,'All Products'!L:L,FALSE)</f>
        <v>-</v>
      </c>
      <c r="S63" s="266">
        <f>_xlfn.XLOOKUP(E63,'All Products'!D:D,'All Products'!M:M,FALSE)</f>
        <v>40049081020901</v>
      </c>
      <c r="T63" s="264">
        <f>_xlfn.XLOOKUP(E63,'All Products'!D:D,'All Products'!N:N,FALSE)</f>
        <v>1.052</v>
      </c>
      <c r="U63" s="264">
        <f>_xlfn.XLOOKUP(E63,'All Products'!D:D,'All Products'!P:P,FALSE)</f>
        <v>11.85</v>
      </c>
      <c r="V63" s="265">
        <f>_xlfn.XLOOKUP(E63,'All Products'!D:D,'All Products'!Q:Q,FALSE)</f>
        <v>0.8</v>
      </c>
    </row>
    <row r="64" spans="1:22" ht="14.4" customHeight="1">
      <c r="A64" s="101" t="str">
        <f>IF(K64&gt;0,COUNT($A$8:A63)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64" s="610"/>
      <c r="C64" s="611"/>
      <c r="D64" s="274" t="str">
        <f>_xlfn.XLOOKUP(E64,'All Products'!D:D,'All Products'!C:C,FALSE)</f>
        <v>1-A4-2-1-18</v>
      </c>
      <c r="E64" s="103">
        <v>100023979</v>
      </c>
      <c r="F64" s="144" t="str">
        <f>_xlfn.XLOOKUP(E64,'All Products'!D:D,'All Products'!E:E,FALSE)</f>
        <v>1 SOC X 1 FIPT SU X 18 LL SJ</v>
      </c>
      <c r="G64" s="103">
        <f>_xlfn.XLOOKUP(E64,'All Products'!D:D,'All Products'!F:F,FALSE)</f>
        <v>10</v>
      </c>
      <c r="H64" s="103">
        <f>_xlfn.XLOOKUP(E64,'All Products'!D:D,'All Products'!G:G,FALSE)</f>
        <v>600</v>
      </c>
      <c r="I64" s="140">
        <f>_xlfn.XLOOKUP(E64,'All Products'!D:D,'All Products'!H:H,FALSE)</f>
        <v>113.76</v>
      </c>
      <c r="J64" s="173">
        <f>ROUNDUP(I64*Order_Quote!$L$26,2)</f>
        <v>113.76</v>
      </c>
      <c r="K64" s="75"/>
      <c r="L64" s="113"/>
      <c r="M64" s="171">
        <f t="shared" si="0"/>
        <v>0</v>
      </c>
      <c r="O64" s="215" t="str">
        <f>_xlfn.XLOOKUP(E64,'All Products'!D:D,'All Products'!I:I,FALSE)</f>
        <v>Within 3 Weeks</v>
      </c>
      <c r="P64" s="215" t="str">
        <f>_xlfn.XLOOKUP(E64,'All Products'!D:D,'All Products'!J:J,FALSE)</f>
        <v>Manufactured</v>
      </c>
      <c r="Q64" s="266">
        <f>_xlfn.XLOOKUP(E64,'All Products'!D:D,'All Products'!K:K,FALSE)</f>
        <v>49081031428</v>
      </c>
      <c r="R64" s="266" t="str">
        <f>_xlfn.XLOOKUP(E64,'All Products'!D:D,'All Products'!L:L,FALSE)</f>
        <v>-</v>
      </c>
      <c r="S64" s="266">
        <f>_xlfn.XLOOKUP(E64,'All Products'!D:D,'All Products'!M:M,FALSE)</f>
        <v>40049081031426</v>
      </c>
      <c r="T64" s="264">
        <f>_xlfn.XLOOKUP(E64,'All Products'!D:D,'All Products'!N:N,FALSE)</f>
        <v>1.2310000000000001</v>
      </c>
      <c r="U64" s="264">
        <f>_xlfn.XLOOKUP(E64,'All Products'!D:D,'All Products'!P:P,FALSE)</f>
        <v>14.1</v>
      </c>
      <c r="V64" s="265">
        <f>_xlfn.XLOOKUP(E64,'All Products'!D:D,'All Products'!Q:Q,FALSE)</f>
        <v>1.41</v>
      </c>
    </row>
    <row r="65" spans="1:22" ht="14.4" customHeight="1">
      <c r="A65" s="101" t="str">
        <f>IF(K65&gt;0,COUNT($A$8:A64)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65" s="610"/>
      <c r="C65" s="611"/>
      <c r="D65" s="274" t="str">
        <f>_xlfn.XLOOKUP(E65,'All Products'!D:D,'All Products'!C:C,FALSE)</f>
        <v>1-A4-2-1-6</v>
      </c>
      <c r="E65" s="103">
        <v>100023980</v>
      </c>
      <c r="F65" s="144" t="str">
        <f>_xlfn.XLOOKUP(E65,'All Products'!D:D,'All Products'!E:E,FALSE)</f>
        <v>1 SOC X 1 FPT SU X 6 SJ</v>
      </c>
      <c r="G65" s="103">
        <f>_xlfn.XLOOKUP(E65,'All Products'!D:D,'All Products'!F:F,FALSE)</f>
        <v>10</v>
      </c>
      <c r="H65" s="103">
        <f>_xlfn.XLOOKUP(E65,'All Products'!D:D,'All Products'!G:G,FALSE)</f>
        <v>1200</v>
      </c>
      <c r="I65" s="140">
        <f>_xlfn.XLOOKUP(E65,'All Products'!D:D,'All Products'!H:H,FALSE)</f>
        <v>91.56</v>
      </c>
      <c r="J65" s="173">
        <f>ROUNDUP(I65*Order_Quote!$L$26,2)</f>
        <v>91.56</v>
      </c>
      <c r="K65" s="75"/>
      <c r="L65" s="113"/>
      <c r="M65" s="171">
        <f t="shared" si="0"/>
        <v>0</v>
      </c>
      <c r="O65" s="215" t="str">
        <f>_xlfn.XLOOKUP(E65,'All Products'!D:D,'All Products'!I:I,FALSE)</f>
        <v>Within 3 Weeks</v>
      </c>
      <c r="P65" s="215" t="str">
        <f>_xlfn.XLOOKUP(E65,'All Products'!D:D,'All Products'!J:J,FALSE)</f>
        <v>Manufactured</v>
      </c>
      <c r="Q65" s="266">
        <f>_xlfn.XLOOKUP(E65,'All Products'!D:D,'All Products'!K:K,FALSE)</f>
        <v>49081030872</v>
      </c>
      <c r="R65" s="266" t="str">
        <f>_xlfn.XLOOKUP(E65,'All Products'!D:D,'All Products'!L:L,FALSE)</f>
        <v>-</v>
      </c>
      <c r="S65" s="266">
        <f>_xlfn.XLOOKUP(E65,'All Products'!D:D,'All Products'!M:M,FALSE)</f>
        <v>40049081030870</v>
      </c>
      <c r="T65" s="264">
        <f>_xlfn.XLOOKUP(E65,'All Products'!D:D,'All Products'!N:N,FALSE)</f>
        <v>0.99</v>
      </c>
      <c r="U65" s="264">
        <f>_xlfn.XLOOKUP(E65,'All Products'!D:D,'All Products'!P:P,FALSE)</f>
        <v>9.9</v>
      </c>
      <c r="V65" s="265">
        <f>_xlfn.XLOOKUP(E65,'All Products'!D:D,'All Products'!Q:Q,FALSE)</f>
        <v>0.65</v>
      </c>
    </row>
    <row r="66" spans="1:22" ht="14.4" customHeight="1">
      <c r="A66" s="101" t="str">
        <f>IF(K66&gt;0,COUNT($A$8:A65)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66" s="610"/>
      <c r="C66" s="611"/>
      <c r="D66" s="274" t="str">
        <f>_xlfn.XLOOKUP(E66,'All Products'!D:D,'All Products'!C:C,FALSE)</f>
        <v>1-A4-3-1-10</v>
      </c>
      <c r="E66" s="103">
        <v>100023983</v>
      </c>
      <c r="F66" s="144" t="str">
        <f>_xlfn.XLOOKUP(E66,'All Products'!D:D,'All Products'!E:E,FALSE)</f>
        <v>1 SOC X 1 MPT SU X 10 SJ</v>
      </c>
      <c r="G66" s="103">
        <f>_xlfn.XLOOKUP(E66,'All Products'!D:D,'All Products'!F:F,FALSE)</f>
        <v>10</v>
      </c>
      <c r="H66" s="103">
        <f>_xlfn.XLOOKUP(E66,'All Products'!D:D,'All Products'!G:G,FALSE)</f>
        <v>600</v>
      </c>
      <c r="I66" s="140">
        <f>_xlfn.XLOOKUP(E66,'All Products'!D:D,'All Products'!H:H,FALSE)</f>
        <v>102.64</v>
      </c>
      <c r="J66" s="173">
        <f>ROUNDUP(I66*Order_Quote!$L$26,2)</f>
        <v>102.64</v>
      </c>
      <c r="K66" s="75"/>
      <c r="L66" s="113"/>
      <c r="M66" s="171">
        <f t="shared" si="0"/>
        <v>0</v>
      </c>
      <c r="O66" s="215" t="str">
        <f>_xlfn.XLOOKUP(E66,'All Products'!D:D,'All Products'!I:I,FALSE)</f>
        <v>Within 3 Weeks</v>
      </c>
      <c r="P66" s="215" t="str">
        <f>_xlfn.XLOOKUP(E66,'All Products'!D:D,'All Products'!J:J,FALSE)</f>
        <v>Manufactured</v>
      </c>
      <c r="Q66" s="266">
        <f>_xlfn.XLOOKUP(E66,'All Products'!D:D,'All Products'!K:K,FALSE)</f>
        <v>49081024765</v>
      </c>
      <c r="R66" s="266" t="str">
        <f>_xlfn.XLOOKUP(E66,'All Products'!D:D,'All Products'!L:L,FALSE)</f>
        <v>-</v>
      </c>
      <c r="S66" s="266">
        <f>_xlfn.XLOOKUP(E66,'All Products'!D:D,'All Products'!M:M,FALSE)</f>
        <v>40049081024763</v>
      </c>
      <c r="T66" s="264">
        <f>_xlfn.XLOOKUP(E66,'All Products'!D:D,'All Products'!N:N,FALSE)</f>
        <v>0.96</v>
      </c>
      <c r="U66" s="264">
        <f>_xlfn.XLOOKUP(E66,'All Products'!D:D,'All Products'!P:P,FALSE)</f>
        <v>10.29</v>
      </c>
      <c r="V66" s="265">
        <f>_xlfn.XLOOKUP(E66,'All Products'!D:D,'All Products'!Q:Q,FALSE)</f>
        <v>1.25</v>
      </c>
    </row>
    <row r="67" spans="1:22" ht="14.4" customHeight="1">
      <c r="A67" s="101" t="str">
        <f>IF(K67&gt;0,COUNT($A$8:A66)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67" s="610"/>
      <c r="C67" s="611"/>
      <c r="D67" s="274" t="str">
        <f>_xlfn.XLOOKUP(E67,'All Products'!D:D,'All Products'!C:C,FALSE)</f>
        <v>1-A4-3-1-12</v>
      </c>
      <c r="E67" s="103">
        <v>100023985</v>
      </c>
      <c r="F67" s="144" t="str">
        <f>_xlfn.XLOOKUP(E67,'All Products'!D:D,'All Products'!E:E,FALSE)</f>
        <v>1 SOC X 1 MPT SU X 12 SJ</v>
      </c>
      <c r="G67" s="103">
        <f>_xlfn.XLOOKUP(E67,'All Products'!D:D,'All Products'!F:F,FALSE)</f>
        <v>10</v>
      </c>
      <c r="H67" s="103">
        <f>_xlfn.XLOOKUP(E67,'All Products'!D:D,'All Products'!G:G,FALSE)</f>
        <v>600</v>
      </c>
      <c r="I67" s="140">
        <f>_xlfn.XLOOKUP(E67,'All Products'!D:D,'All Products'!H:H,FALSE)</f>
        <v>102.64</v>
      </c>
      <c r="J67" s="173">
        <f>ROUNDUP(I67*Order_Quote!$L$26,2)</f>
        <v>102.64</v>
      </c>
      <c r="K67" s="75"/>
      <c r="L67" s="113"/>
      <c r="M67" s="171">
        <f t="shared" si="0"/>
        <v>0</v>
      </c>
      <c r="O67" s="215" t="str">
        <f>_xlfn.XLOOKUP(E67,'All Products'!D:D,'All Products'!I:I,FALSE)</f>
        <v>Within 3 Weeks</v>
      </c>
      <c r="P67" s="215" t="str">
        <f>_xlfn.XLOOKUP(E67,'All Products'!D:D,'All Products'!J:J,FALSE)</f>
        <v>Manufactured</v>
      </c>
      <c r="Q67" s="266">
        <f>_xlfn.XLOOKUP(E67,'All Products'!D:D,'All Products'!K:K,FALSE)</f>
        <v>49081022242</v>
      </c>
      <c r="R67" s="266" t="str">
        <f>_xlfn.XLOOKUP(E67,'All Products'!D:D,'All Products'!L:L,FALSE)</f>
        <v>-</v>
      </c>
      <c r="S67" s="266">
        <f>_xlfn.XLOOKUP(E67,'All Products'!D:D,'All Products'!M:M,FALSE)</f>
        <v>40049081022240</v>
      </c>
      <c r="T67" s="264">
        <f>_xlfn.XLOOKUP(E67,'All Products'!D:D,'All Products'!N:N,FALSE)</f>
        <v>1.036</v>
      </c>
      <c r="U67" s="264">
        <f>_xlfn.XLOOKUP(E67,'All Products'!D:D,'All Products'!P:P,FALSE)</f>
        <v>10.95</v>
      </c>
      <c r="V67" s="265">
        <f>_xlfn.XLOOKUP(E67,'All Products'!D:D,'All Products'!Q:Q,FALSE)</f>
        <v>1.41</v>
      </c>
    </row>
    <row r="68" spans="1:22" ht="14.4" customHeight="1">
      <c r="A68" s="101" t="str">
        <f>IF(K68&gt;0,COUNT($A$8:A67)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68" s="610"/>
      <c r="C68" s="611"/>
      <c r="D68" s="274" t="str">
        <f>_xlfn.XLOOKUP(E68,'All Products'!D:D,'All Products'!C:C,FALSE)</f>
        <v>1-A8-13-1-12</v>
      </c>
      <c r="E68" s="103">
        <v>100024925</v>
      </c>
      <c r="F68" s="144" t="str">
        <f>_xlfn.XLOOKUP(E68,'All Products'!D:D,'All Products'!E:E,FALSE)</f>
        <v>4 SPG X 1 ACME SU X 12 SJ</v>
      </c>
      <c r="G68" s="103">
        <f>_xlfn.XLOOKUP(E68,'All Products'!D:D,'All Products'!F:F,FALSE)</f>
        <v>10</v>
      </c>
      <c r="H68" s="103">
        <f>_xlfn.XLOOKUP(E68,'All Products'!D:D,'All Products'!G:G,FALSE)</f>
        <v>900</v>
      </c>
      <c r="I68" s="140">
        <f>_xlfn.XLOOKUP(E68,'All Products'!D:D,'All Products'!H:H,FALSE)</f>
        <v>102.64</v>
      </c>
      <c r="J68" s="173">
        <f>ROUNDUP(I68*Order_Quote!$L$26,2)</f>
        <v>102.64</v>
      </c>
      <c r="K68" s="75"/>
      <c r="L68" s="113"/>
      <c r="M68" s="171">
        <f t="shared" si="0"/>
        <v>0</v>
      </c>
      <c r="O68" s="215" t="str">
        <f>_xlfn.XLOOKUP(E68,'All Products'!D:D,'All Products'!I:I,FALSE)</f>
        <v>Within 3 Weeks</v>
      </c>
      <c r="P68" s="215" t="str">
        <f>_xlfn.XLOOKUP(E68,'All Products'!D:D,'All Products'!J:J,FALSE)</f>
        <v>Manufactured</v>
      </c>
      <c r="Q68" s="266">
        <f>_xlfn.XLOOKUP(E68,'All Products'!D:D,'All Products'!K:K,FALSE)</f>
        <v>49081020033</v>
      </c>
      <c r="R68" s="266" t="str">
        <f>_xlfn.XLOOKUP(E68,'All Products'!D:D,'All Products'!L:L,FALSE)</f>
        <v>-</v>
      </c>
      <c r="S68" s="266">
        <f>_xlfn.XLOOKUP(E68,'All Products'!D:D,'All Products'!M:M,FALSE)</f>
        <v>40049081020031</v>
      </c>
      <c r="T68" s="264">
        <f>_xlfn.XLOOKUP(E68,'All Products'!D:D,'All Products'!N:N,FALSE)</f>
        <v>1.2070000000000001</v>
      </c>
      <c r="U68" s="264">
        <f>_xlfn.XLOOKUP(E68,'All Products'!D:D,'All Products'!P:P,FALSE)</f>
        <v>12.35</v>
      </c>
      <c r="V68" s="265">
        <f>_xlfn.XLOOKUP(E68,'All Products'!D:D,'All Products'!Q:Q,FALSE)</f>
        <v>0.8</v>
      </c>
    </row>
    <row r="69" spans="1:22" ht="14.4" customHeight="1">
      <c r="A69" s="101" t="str">
        <f>IF(K69&gt;0,COUNT($A$8:A68)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69" s="610"/>
      <c r="C69" s="611"/>
      <c r="D69" s="274" t="str">
        <f>_xlfn.XLOOKUP(E69,'All Products'!D:D,'All Products'!C:C,FALSE)</f>
        <v>1-A8-14-1-12</v>
      </c>
      <c r="E69" s="103">
        <v>100024024</v>
      </c>
      <c r="F69" s="144" t="str">
        <f>_xlfn.XLOOKUP(E69,'All Products'!D:D,'All Products'!E:E,FALSE)</f>
        <v>4 SPG X 1-1/4 ACME SU X 12LL SJ</v>
      </c>
      <c r="G69" s="103">
        <f>_xlfn.XLOOKUP(E69,'All Products'!D:D,'All Products'!F:F,FALSE)</f>
        <v>10</v>
      </c>
      <c r="H69" s="103">
        <f>_xlfn.XLOOKUP(E69,'All Products'!D:D,'All Products'!G:G,FALSE)</f>
        <v>900</v>
      </c>
      <c r="I69" s="140">
        <f>_xlfn.XLOOKUP(E69,'All Products'!D:D,'All Products'!H:H,FALSE)</f>
        <v>102.64</v>
      </c>
      <c r="J69" s="173">
        <f>ROUNDUP(I69*Order_Quote!$L$26,2)</f>
        <v>102.64</v>
      </c>
      <c r="K69" s="75"/>
      <c r="L69" s="113"/>
      <c r="M69" s="171">
        <f t="shared" si="0"/>
        <v>0</v>
      </c>
      <c r="O69" s="215" t="str">
        <f>_xlfn.XLOOKUP(E69,'All Products'!D:D,'All Products'!I:I,FALSE)</f>
        <v>Within 3 Weeks</v>
      </c>
      <c r="P69" s="215" t="str">
        <f>_xlfn.XLOOKUP(E69,'All Products'!D:D,'All Products'!J:J,FALSE)</f>
        <v>Manufactured</v>
      </c>
      <c r="Q69" s="266">
        <f>_xlfn.XLOOKUP(E69,'All Products'!D:D,'All Products'!K:K,FALSE)</f>
        <v>49081022273</v>
      </c>
      <c r="R69" s="266" t="str">
        <f>_xlfn.XLOOKUP(E69,'All Products'!D:D,'All Products'!L:L,FALSE)</f>
        <v>-</v>
      </c>
      <c r="S69" s="266">
        <f>_xlfn.XLOOKUP(E69,'All Products'!D:D,'All Products'!M:M,FALSE)</f>
        <v>40049081022271</v>
      </c>
      <c r="T69" s="264">
        <f>_xlfn.XLOOKUP(E69,'All Products'!D:D,'All Products'!N:N,FALSE)</f>
        <v>1.224</v>
      </c>
      <c r="U69" s="264">
        <f>_xlfn.XLOOKUP(E69,'All Products'!D:D,'All Products'!P:P,FALSE)</f>
        <v>12.45</v>
      </c>
      <c r="V69" s="265">
        <f>_xlfn.XLOOKUP(E69,'All Products'!D:D,'All Products'!Q:Q,FALSE)</f>
        <v>0.8</v>
      </c>
    </row>
    <row r="70" spans="1:22" ht="14.4" customHeight="1">
      <c r="A70" s="101" t="str">
        <f>IF(K70&gt;0,COUNT($A$8:A69)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70" s="610"/>
      <c r="C70" s="611"/>
      <c r="D70" s="274" t="str">
        <f>_xlfn.XLOOKUP(E70,'All Products'!D:D,'All Products'!C:C,FALSE)</f>
        <v>1-A8-22-1-12</v>
      </c>
      <c r="E70" s="103">
        <v>100024029</v>
      </c>
      <c r="F70" s="144" t="str">
        <f>_xlfn.XLOOKUP(E70,'All Products'!D:D,'All Products'!E:E,FALSE)</f>
        <v>4 SPG X 1 BSP SU X 12 SJ</v>
      </c>
      <c r="G70" s="103">
        <f>_xlfn.XLOOKUP(E70,'All Products'!D:D,'All Products'!F:F,FALSE)</f>
        <v>10</v>
      </c>
      <c r="H70" s="103">
        <f>_xlfn.XLOOKUP(E70,'All Products'!D:D,'All Products'!G:G,FALSE)</f>
        <v>900</v>
      </c>
      <c r="I70" s="140">
        <f>_xlfn.XLOOKUP(E70,'All Products'!D:D,'All Products'!H:H,FALSE)</f>
        <v>102.64</v>
      </c>
      <c r="J70" s="173">
        <f>ROUNDUP(I70*Order_Quote!$L$26,2)</f>
        <v>102.64</v>
      </c>
      <c r="K70" s="75"/>
      <c r="L70" s="113"/>
      <c r="M70" s="171">
        <f t="shared" si="0"/>
        <v>0</v>
      </c>
      <c r="O70" s="215" t="str">
        <f>_xlfn.XLOOKUP(E70,'All Products'!D:D,'All Products'!I:I,FALSE)</f>
        <v>In Stock</v>
      </c>
      <c r="P70" s="215" t="str">
        <f>_xlfn.XLOOKUP(E70,'All Products'!D:D,'All Products'!J:J,FALSE)</f>
        <v>Manufactured</v>
      </c>
      <c r="Q70" s="266">
        <f>_xlfn.XLOOKUP(E70,'All Products'!D:D,'All Products'!K:K,FALSE)</f>
        <v>49081020989</v>
      </c>
      <c r="R70" s="266" t="str">
        <f>_xlfn.XLOOKUP(E70,'All Products'!D:D,'All Products'!L:L,FALSE)</f>
        <v>-</v>
      </c>
      <c r="S70" s="266">
        <f>_xlfn.XLOOKUP(E70,'All Products'!D:D,'All Products'!M:M,FALSE)</f>
        <v>40049081020987</v>
      </c>
      <c r="T70" s="264">
        <f>_xlfn.XLOOKUP(E70,'All Products'!D:D,'All Products'!N:N,FALSE)</f>
        <v>1.0629999999999999</v>
      </c>
      <c r="U70" s="264">
        <f>_xlfn.XLOOKUP(E70,'All Products'!D:D,'All Products'!P:P,FALSE)</f>
        <v>12.35</v>
      </c>
      <c r="V70" s="265">
        <f>_xlfn.XLOOKUP(E70,'All Products'!D:D,'All Products'!Q:Q,FALSE)</f>
        <v>0.8</v>
      </c>
    </row>
    <row r="71" spans="1:22" ht="14.4" customHeight="1">
      <c r="A71" s="101" t="str">
        <f>IF(K71&gt;0,COUNT($A$8:A70)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71" s="610"/>
      <c r="C71" s="611"/>
      <c r="D71" s="274" t="str">
        <f>_xlfn.XLOOKUP(E71,'All Products'!D:D,'All Products'!C:C,FALSE)</f>
        <v>1-A8-22-1-18</v>
      </c>
      <c r="E71" s="103">
        <v>100024030</v>
      </c>
      <c r="F71" s="144" t="str">
        <f>_xlfn.XLOOKUP(E71,'All Products'!D:D,'All Products'!E:E,FALSE)</f>
        <v>4 SPG X 1 BSPT SU X 18 LL SJ</v>
      </c>
      <c r="G71" s="103">
        <f>_xlfn.XLOOKUP(E71,'All Products'!D:D,'All Products'!F:F,FALSE)</f>
        <v>10</v>
      </c>
      <c r="H71" s="103">
        <f>_xlfn.XLOOKUP(E71,'All Products'!D:D,'All Products'!G:G,FALSE)</f>
        <v>1200</v>
      </c>
      <c r="I71" s="140">
        <f>_xlfn.XLOOKUP(E71,'All Products'!D:D,'All Products'!H:H,FALSE)</f>
        <v>113.76</v>
      </c>
      <c r="J71" s="173">
        <f>ROUNDUP(I71*Order_Quote!$L$26,2)</f>
        <v>113.76</v>
      </c>
      <c r="K71" s="75"/>
      <c r="L71" s="113"/>
      <c r="M71" s="171">
        <f t="shared" si="0"/>
        <v>0</v>
      </c>
      <c r="O71" s="215" t="str">
        <f>_xlfn.XLOOKUP(E71,'All Products'!D:D,'All Products'!I:I,FALSE)</f>
        <v>Within 3 Weeks</v>
      </c>
      <c r="P71" s="215" t="str">
        <f>_xlfn.XLOOKUP(E71,'All Products'!D:D,'All Products'!J:J,FALSE)</f>
        <v>Manufactured</v>
      </c>
      <c r="Q71" s="266">
        <f>_xlfn.XLOOKUP(E71,'All Products'!D:D,'All Products'!K:K,FALSE)</f>
        <v>49081022051</v>
      </c>
      <c r="R71" s="266" t="str">
        <f>_xlfn.XLOOKUP(E71,'All Products'!D:D,'All Products'!L:L,FALSE)</f>
        <v>-</v>
      </c>
      <c r="S71" s="266">
        <f>_xlfn.XLOOKUP(E71,'All Products'!D:D,'All Products'!M:M,FALSE)</f>
        <v>40049081022059</v>
      </c>
      <c r="T71" s="264">
        <f>_xlfn.XLOOKUP(E71,'All Products'!D:D,'All Products'!N:N,FALSE)</f>
        <v>1.242</v>
      </c>
      <c r="U71" s="264">
        <f>_xlfn.XLOOKUP(E71,'All Products'!D:D,'All Products'!P:P,FALSE)</f>
        <v>14.9</v>
      </c>
      <c r="V71" s="265">
        <f>_xlfn.XLOOKUP(E71,'All Products'!D:D,'All Products'!Q:Q,FALSE)</f>
        <v>0.65</v>
      </c>
    </row>
    <row r="72" spans="1:22" ht="14.4" customHeight="1">
      <c r="A72" s="101" t="str">
        <f>IF(K72&gt;0,COUNT($A$8:A71)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72" s="610"/>
      <c r="C72" s="611"/>
      <c r="D72" s="274" t="str">
        <f>_xlfn.XLOOKUP(E72,'All Products'!D:D,'All Products'!C:C,FALSE)</f>
        <v>1-A8-3-1-12</v>
      </c>
      <c r="E72" s="103">
        <v>100024928</v>
      </c>
      <c r="F72" s="144" t="str">
        <f>_xlfn.XLOOKUP(E72,'All Products'!D:D,'All Products'!E:E,FALSE)</f>
        <v>4 SPG X 1 MPT SU X 12 SJ</v>
      </c>
      <c r="G72" s="103">
        <f>_xlfn.XLOOKUP(E72,'All Products'!D:D,'All Products'!F:F,FALSE)</f>
        <v>10</v>
      </c>
      <c r="H72" s="103">
        <f>_xlfn.XLOOKUP(E72,'All Products'!D:D,'All Products'!G:G,FALSE)</f>
        <v>900</v>
      </c>
      <c r="I72" s="140">
        <f>_xlfn.XLOOKUP(E72,'All Products'!D:D,'All Products'!H:H,FALSE)</f>
        <v>102.64</v>
      </c>
      <c r="J72" s="173">
        <f>ROUNDUP(I72*Order_Quote!$L$26,2)</f>
        <v>102.64</v>
      </c>
      <c r="K72" s="75"/>
      <c r="L72" s="113"/>
      <c r="M72" s="171">
        <f t="shared" si="0"/>
        <v>0</v>
      </c>
      <c r="O72" s="215" t="str">
        <f>_xlfn.XLOOKUP(E72,'All Products'!D:D,'All Products'!I:I,FALSE)</f>
        <v>Within 3 Weeks</v>
      </c>
      <c r="P72" s="215" t="str">
        <f>_xlfn.XLOOKUP(E72,'All Products'!D:D,'All Products'!J:J,FALSE)</f>
        <v>Manufactured</v>
      </c>
      <c r="Q72" s="266">
        <f>_xlfn.XLOOKUP(E72,'All Products'!D:D,'All Products'!K:K,FALSE)</f>
        <v>49081020057</v>
      </c>
      <c r="R72" s="266" t="str">
        <f>_xlfn.XLOOKUP(E72,'All Products'!D:D,'All Products'!L:L,FALSE)</f>
        <v>-</v>
      </c>
      <c r="S72" s="266">
        <f>_xlfn.XLOOKUP(E72,'All Products'!D:D,'All Products'!M:M,FALSE)</f>
        <v>40049081020055</v>
      </c>
      <c r="T72" s="264">
        <f>_xlfn.XLOOKUP(E72,'All Products'!D:D,'All Products'!N:N,FALSE)</f>
        <v>1.1870000000000001</v>
      </c>
      <c r="U72" s="264">
        <f>_xlfn.XLOOKUP(E72,'All Products'!D:D,'All Products'!P:P,FALSE)</f>
        <v>12.35</v>
      </c>
      <c r="V72" s="265">
        <f>_xlfn.XLOOKUP(E72,'All Products'!D:D,'All Products'!Q:Q,FALSE)</f>
        <v>0.8</v>
      </c>
    </row>
    <row r="73" spans="1:22" ht="14.4" customHeight="1">
      <c r="A73" s="101" t="str">
        <f>IF(K73&gt;0,COUNT($A$8:A72)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73" s="610"/>
      <c r="C73" s="611"/>
      <c r="D73" s="274" t="str">
        <f>_xlfn.XLOOKUP(E73,'All Products'!D:D,'All Products'!C:C,FALSE)</f>
        <v>1-A8-3-1-14</v>
      </c>
      <c r="E73" s="103">
        <v>100024034</v>
      </c>
      <c r="F73" s="144" t="str">
        <f>_xlfn.XLOOKUP(E73,'All Products'!D:D,'All Products'!E:E,FALSE)</f>
        <v>4 SPG X 1 MIPT SU X 14 LL SJ</v>
      </c>
      <c r="G73" s="103">
        <f>_xlfn.XLOOKUP(E73,'All Products'!D:D,'All Products'!F:F,FALSE)</f>
        <v>10</v>
      </c>
      <c r="H73" s="103">
        <f>_xlfn.XLOOKUP(E73,'All Products'!D:D,'All Products'!G:G,FALSE)</f>
        <v>240</v>
      </c>
      <c r="I73" s="140">
        <f>_xlfn.XLOOKUP(E73,'All Products'!D:D,'All Products'!H:H,FALSE)</f>
        <v>113.76</v>
      </c>
      <c r="J73" s="173">
        <f>ROUNDUP(I73*Order_Quote!$L$26,2)</f>
        <v>113.76</v>
      </c>
      <c r="K73" s="75"/>
      <c r="L73" s="113"/>
      <c r="M73" s="171">
        <f t="shared" ref="M73:M136" si="1">K73/G73</f>
        <v>0</v>
      </c>
      <c r="O73" s="215" t="str">
        <f>_xlfn.XLOOKUP(E73,'All Products'!D:D,'All Products'!I:I,FALSE)</f>
        <v>Within 3 Weeks</v>
      </c>
      <c r="P73" s="215" t="str">
        <f>_xlfn.XLOOKUP(E73,'All Products'!D:D,'All Products'!J:J,FALSE)</f>
        <v>Manufactured</v>
      </c>
      <c r="Q73" s="266">
        <f>_xlfn.XLOOKUP(E73,'All Products'!D:D,'All Products'!K:K,FALSE)</f>
        <v>49081031237</v>
      </c>
      <c r="R73" s="266" t="str">
        <f>_xlfn.XLOOKUP(E73,'All Products'!D:D,'All Products'!L:L,FALSE)</f>
        <v>-</v>
      </c>
      <c r="S73" s="266">
        <f>_xlfn.XLOOKUP(E73,'All Products'!D:D,'All Products'!M:M,FALSE)</f>
        <v>40049081031235</v>
      </c>
      <c r="T73" s="264">
        <f>_xlfn.XLOOKUP(E73,'All Products'!D:D,'All Products'!N:N,FALSE)</f>
        <v>1.2310000000000001</v>
      </c>
      <c r="U73" s="264">
        <f>_xlfn.XLOOKUP(E73,'All Products'!D:D,'All Products'!P:P,FALSE)</f>
        <v>14.5</v>
      </c>
      <c r="V73" s="265">
        <f>_xlfn.XLOOKUP(E73,'All Products'!D:D,'All Products'!Q:Q,FALSE)</f>
        <v>2.77</v>
      </c>
    </row>
    <row r="74" spans="1:22" ht="14.4" customHeight="1">
      <c r="A74" s="101" t="str">
        <f>IF(K74&gt;0,COUNT($A$8:A73)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74" s="610"/>
      <c r="C74" s="611"/>
      <c r="D74" s="274" t="str">
        <f>_xlfn.XLOOKUP(E74,'All Products'!D:D,'All Products'!C:C,FALSE)</f>
        <v>1-A8-3-1-16</v>
      </c>
      <c r="E74" s="103">
        <v>100024035</v>
      </c>
      <c r="F74" s="144" t="str">
        <f>_xlfn.XLOOKUP(E74,'All Products'!D:D,'All Products'!E:E,FALSE)</f>
        <v>4 SPG X 1 MPT SU X 16 LL SJ</v>
      </c>
      <c r="G74" s="103">
        <f>_xlfn.XLOOKUP(E74,'All Products'!D:D,'All Products'!F:F,FALSE)</f>
        <v>10</v>
      </c>
      <c r="H74" s="103">
        <f>_xlfn.XLOOKUP(E74,'All Products'!D:D,'All Products'!G:G,FALSE)</f>
        <v>600</v>
      </c>
      <c r="I74" s="140">
        <f>_xlfn.XLOOKUP(E74,'All Products'!D:D,'All Products'!H:H,FALSE)</f>
        <v>113.76</v>
      </c>
      <c r="J74" s="173">
        <f>ROUNDUP(I74*Order_Quote!$L$26,2)</f>
        <v>113.76</v>
      </c>
      <c r="K74" s="75"/>
      <c r="L74" s="113"/>
      <c r="M74" s="171">
        <f t="shared" si="1"/>
        <v>0</v>
      </c>
      <c r="O74" s="215" t="str">
        <f>_xlfn.XLOOKUP(E74,'All Products'!D:D,'All Products'!I:I,FALSE)</f>
        <v>Within 3 Weeks</v>
      </c>
      <c r="P74" s="215" t="str">
        <f>_xlfn.XLOOKUP(E74,'All Products'!D:D,'All Products'!J:J,FALSE)</f>
        <v>Manufactured</v>
      </c>
      <c r="Q74" s="266">
        <f>_xlfn.XLOOKUP(E74,'All Products'!D:D,'All Products'!K:K,FALSE)</f>
        <v>49081020040</v>
      </c>
      <c r="R74" s="266" t="str">
        <f>_xlfn.XLOOKUP(E74,'All Products'!D:D,'All Products'!L:L,FALSE)</f>
        <v>-</v>
      </c>
      <c r="S74" s="266">
        <f>_xlfn.XLOOKUP(E74,'All Products'!D:D,'All Products'!M:M,FALSE)</f>
        <v>40049081020048</v>
      </c>
      <c r="T74" s="264">
        <f>_xlfn.XLOOKUP(E74,'All Products'!D:D,'All Products'!N:N,FALSE)</f>
        <v>1.296</v>
      </c>
      <c r="U74" s="264">
        <f>_xlfn.XLOOKUP(E74,'All Products'!D:D,'All Products'!P:P,FALSE)</f>
        <v>13.78</v>
      </c>
      <c r="V74" s="265">
        <f>_xlfn.XLOOKUP(E74,'All Products'!D:D,'All Products'!Q:Q,FALSE)</f>
        <v>1.41</v>
      </c>
    </row>
    <row r="75" spans="1:22" ht="14.4" customHeight="1">
      <c r="A75" s="101" t="str">
        <f>IF(K75&gt;0,COUNT($A$8:A74)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75" s="610"/>
      <c r="C75" s="611"/>
      <c r="D75" s="274" t="str">
        <f>_xlfn.XLOOKUP(E75,'All Products'!D:D,'All Products'!C:C,FALSE)</f>
        <v>1-A8-3-1-18</v>
      </c>
      <c r="E75" s="103">
        <v>100024929</v>
      </c>
      <c r="F75" s="144" t="str">
        <f>_xlfn.XLOOKUP(E75,'All Products'!D:D,'All Products'!E:E,FALSE)</f>
        <v>4 SPG X 1 MPT SU X 18 SJ</v>
      </c>
      <c r="G75" s="103">
        <f>_xlfn.XLOOKUP(E75,'All Products'!D:D,'All Products'!F:F,FALSE)</f>
        <v>10</v>
      </c>
      <c r="H75" s="103">
        <f>_xlfn.XLOOKUP(E75,'All Products'!D:D,'All Products'!G:G,FALSE)</f>
        <v>240</v>
      </c>
      <c r="I75" s="140">
        <f>_xlfn.XLOOKUP(E75,'All Products'!D:D,'All Products'!H:H,FALSE)</f>
        <v>113.76</v>
      </c>
      <c r="J75" s="173">
        <f>ROUNDUP(I75*Order_Quote!$L$26,2)</f>
        <v>113.76</v>
      </c>
      <c r="K75" s="75"/>
      <c r="L75" s="113"/>
      <c r="M75" s="171">
        <f t="shared" si="1"/>
        <v>0</v>
      </c>
      <c r="O75" s="215" t="str">
        <f>_xlfn.XLOOKUP(E75,'All Products'!D:D,'All Products'!I:I,FALSE)</f>
        <v>Within 3 Weeks</v>
      </c>
      <c r="P75" s="215" t="str">
        <f>_xlfn.XLOOKUP(E75,'All Products'!D:D,'All Products'!J:J,FALSE)</f>
        <v>Manufactured</v>
      </c>
      <c r="Q75" s="266">
        <f>_xlfn.XLOOKUP(E75,'All Products'!D:D,'All Products'!K:K,FALSE)</f>
        <v>49081025120</v>
      </c>
      <c r="R75" s="266" t="str">
        <f>_xlfn.XLOOKUP(E75,'All Products'!D:D,'All Products'!L:L,FALSE)</f>
        <v>-</v>
      </c>
      <c r="S75" s="266">
        <f>_xlfn.XLOOKUP(E75,'All Products'!D:D,'All Products'!M:M,FALSE)</f>
        <v>40049081025128</v>
      </c>
      <c r="T75" s="264">
        <f>_xlfn.XLOOKUP(E75,'All Products'!D:D,'All Products'!N:N,FALSE)</f>
        <v>1.3660000000000001</v>
      </c>
      <c r="U75" s="264">
        <f>_xlfn.XLOOKUP(E75,'All Products'!D:D,'All Products'!P:P,FALSE)</f>
        <v>15.5</v>
      </c>
      <c r="V75" s="265">
        <f>_xlfn.XLOOKUP(E75,'All Products'!D:D,'All Products'!Q:Q,FALSE)</f>
        <v>2.77</v>
      </c>
    </row>
    <row r="76" spans="1:22" ht="14.4" customHeight="1">
      <c r="A76" s="101" t="str">
        <f>IF(K76&gt;0,COUNT($A$8:A75)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76" s="610"/>
      <c r="C76" s="611"/>
      <c r="D76" s="274" t="str">
        <f>_xlfn.XLOOKUP(E76,'All Products'!D:D,'All Products'!C:C,FALSE)</f>
        <v>1-AF-13-1-12</v>
      </c>
      <c r="E76" s="103">
        <v>100024933</v>
      </c>
      <c r="F76" s="144" t="str">
        <f>_xlfn.XLOOKUP(E76,'All Products'!D:D,'All Products'!E:E,FALSE)</f>
        <v>1-1/2 AQUAFUSE X 1 ACME SU X 12 SJ</v>
      </c>
      <c r="G76" s="103">
        <f>_xlfn.XLOOKUP(E76,'All Products'!D:D,'All Products'!F:F,FALSE)</f>
        <v>10</v>
      </c>
      <c r="H76" s="103">
        <f>_xlfn.XLOOKUP(E76,'All Products'!D:D,'All Products'!G:G,FALSE)</f>
        <v>750</v>
      </c>
      <c r="I76" s="140">
        <f>_xlfn.XLOOKUP(E76,'All Products'!D:D,'All Products'!H:H,FALSE)</f>
        <v>132.65</v>
      </c>
      <c r="J76" s="173">
        <f>ROUNDUP(I76*Order_Quote!$L$26,2)</f>
        <v>132.65</v>
      </c>
      <c r="K76" s="75"/>
      <c r="L76" s="113"/>
      <c r="M76" s="171">
        <f t="shared" si="1"/>
        <v>0</v>
      </c>
      <c r="O76" s="215" t="str">
        <f>_xlfn.XLOOKUP(E76,'All Products'!D:D,'All Products'!I:I,FALSE)</f>
        <v>Within 3 Weeks</v>
      </c>
      <c r="P76" s="215" t="str">
        <f>_xlfn.XLOOKUP(E76,'All Products'!D:D,'All Products'!J:J,FALSE)</f>
        <v>Manufactured</v>
      </c>
      <c r="Q76" s="266">
        <f>_xlfn.XLOOKUP(E76,'All Products'!D:D,'All Products'!K:K,FALSE)</f>
        <v>49081031596</v>
      </c>
      <c r="R76" s="266" t="str">
        <f>_xlfn.XLOOKUP(E76,'All Products'!D:D,'All Products'!L:L,FALSE)</f>
        <v>-</v>
      </c>
      <c r="S76" s="266">
        <f>_xlfn.XLOOKUP(E76,'All Products'!D:D,'All Products'!M:M,FALSE)</f>
        <v>40049081031594</v>
      </c>
      <c r="T76" s="264">
        <f>_xlfn.XLOOKUP(E76,'All Products'!D:D,'All Products'!N:N,FALSE)</f>
        <v>1.5469999999999999</v>
      </c>
      <c r="U76" s="264">
        <f>_xlfn.XLOOKUP(E76,'All Products'!D:D,'All Products'!P:P,FALSE)</f>
        <v>14.1</v>
      </c>
      <c r="V76" s="265">
        <f>_xlfn.XLOOKUP(E76,'All Products'!D:D,'All Products'!Q:Q,FALSE)</f>
        <v>1.1000000000000001</v>
      </c>
    </row>
    <row r="77" spans="1:22" ht="14.4" customHeight="1">
      <c r="A77" s="101" t="str">
        <f>IF(K77&gt;0,COUNT($A$8:A76)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77" s="610"/>
      <c r="C77" s="611"/>
      <c r="D77" s="274" t="str">
        <f>_xlfn.XLOOKUP(E77,'All Products'!D:D,'All Products'!C:C,FALSE)</f>
        <v>1-AF-13-1-8</v>
      </c>
      <c r="E77" s="103">
        <v>100024934</v>
      </c>
      <c r="F77" s="144" t="str">
        <f>_xlfn.XLOOKUP(E77,'All Products'!D:D,'All Products'!E:E,FALSE)</f>
        <v>1-1/2 AQUAFUSE X 1 ACME SU X 8 SJ</v>
      </c>
      <c r="G77" s="103">
        <f>_xlfn.XLOOKUP(E77,'All Products'!D:D,'All Products'!F:F,FALSE)</f>
        <v>10</v>
      </c>
      <c r="H77" s="103">
        <f>_xlfn.XLOOKUP(E77,'All Products'!D:D,'All Products'!G:G,FALSE)</f>
        <v>900</v>
      </c>
      <c r="I77" s="140">
        <f>_xlfn.XLOOKUP(E77,'All Products'!D:D,'All Products'!H:H,FALSE)</f>
        <v>121.5</v>
      </c>
      <c r="J77" s="173">
        <f>ROUNDUP(I77*Order_Quote!$L$26,2)</f>
        <v>121.5</v>
      </c>
      <c r="K77" s="75"/>
      <c r="L77" s="113"/>
      <c r="M77" s="171">
        <f t="shared" si="1"/>
        <v>0</v>
      </c>
      <c r="O77" s="215" t="str">
        <f>_xlfn.XLOOKUP(E77,'All Products'!D:D,'All Products'!I:I,FALSE)</f>
        <v>Within 3 Weeks</v>
      </c>
      <c r="P77" s="215" t="str">
        <f>_xlfn.XLOOKUP(E77,'All Products'!D:D,'All Products'!J:J,FALSE)</f>
        <v>Manufactured</v>
      </c>
      <c r="Q77" s="266">
        <f>_xlfn.XLOOKUP(E77,'All Products'!D:D,'All Products'!K:K,FALSE)</f>
        <v>49081031640</v>
      </c>
      <c r="R77" s="266" t="str">
        <f>_xlfn.XLOOKUP(E77,'All Products'!D:D,'All Products'!L:L,FALSE)</f>
        <v>-</v>
      </c>
      <c r="S77" s="266">
        <f>_xlfn.XLOOKUP(E77,'All Products'!D:D,'All Products'!M:M,FALSE)</f>
        <v>40049081031648</v>
      </c>
      <c r="T77" s="264">
        <f>_xlfn.XLOOKUP(E77,'All Products'!D:D,'All Products'!N:N,FALSE)</f>
        <v>1.3939999999999999</v>
      </c>
      <c r="U77" s="264">
        <f>_xlfn.XLOOKUP(E77,'All Products'!D:D,'All Products'!P:P,FALSE)</f>
        <v>12.1</v>
      </c>
      <c r="V77" s="265">
        <f>_xlfn.XLOOKUP(E77,'All Products'!D:D,'All Products'!Q:Q,FALSE)</f>
        <v>0.8</v>
      </c>
    </row>
    <row r="78" spans="1:22" ht="14.4" customHeight="1">
      <c r="A78" s="101" t="str">
        <f>IF(K78&gt;0,COUNT($A$8:A77)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78" s="610"/>
      <c r="C78" s="611"/>
      <c r="D78" s="274" t="str">
        <f>_xlfn.XLOOKUP(E78,'All Products'!D:D,'All Products'!C:C,FALSE)</f>
        <v>1-B1-1-1-12</v>
      </c>
      <c r="E78" s="103">
        <v>100024047</v>
      </c>
      <c r="F78" s="144" t="str">
        <f>_xlfn.XLOOKUP(E78,'All Products'!D:D,'All Products'!E:E,FALSE)</f>
        <v>1 BSP X 1 SOC SU X 12 SJ</v>
      </c>
      <c r="G78" s="103">
        <f>_xlfn.XLOOKUP(E78,'All Products'!D:D,'All Products'!F:F,FALSE)</f>
        <v>10</v>
      </c>
      <c r="H78" s="103">
        <f>_xlfn.XLOOKUP(E78,'All Products'!D:D,'All Products'!G:G,FALSE)</f>
        <v>600</v>
      </c>
      <c r="I78" s="140">
        <f>_xlfn.XLOOKUP(E78,'All Products'!D:D,'All Products'!H:H,FALSE)</f>
        <v>102.64</v>
      </c>
      <c r="J78" s="173">
        <f>ROUNDUP(I78*Order_Quote!$L$26,2)</f>
        <v>102.64</v>
      </c>
      <c r="K78" s="75"/>
      <c r="L78" s="113"/>
      <c r="M78" s="171">
        <f t="shared" si="1"/>
        <v>0</v>
      </c>
      <c r="O78" s="215" t="str">
        <f>_xlfn.XLOOKUP(E78,'All Products'!D:D,'All Products'!I:I,FALSE)</f>
        <v>Within 3 Weeks</v>
      </c>
      <c r="P78" s="215" t="str">
        <f>_xlfn.XLOOKUP(E78,'All Products'!D:D,'All Products'!J:J,FALSE)</f>
        <v>Manufactured</v>
      </c>
      <c r="Q78" s="266">
        <f>_xlfn.XLOOKUP(E78,'All Products'!D:D,'All Products'!K:K,FALSE)</f>
        <v>49081021023</v>
      </c>
      <c r="R78" s="266" t="str">
        <f>_xlfn.XLOOKUP(E78,'All Products'!D:D,'All Products'!L:L,FALSE)</f>
        <v>-</v>
      </c>
      <c r="S78" s="266">
        <f>_xlfn.XLOOKUP(E78,'All Products'!D:D,'All Products'!M:M,FALSE)</f>
        <v>40049081021021</v>
      </c>
      <c r="T78" s="264">
        <f>_xlfn.XLOOKUP(E78,'All Products'!D:D,'All Products'!N:N,FALSE)</f>
        <v>1.0880000000000001</v>
      </c>
      <c r="U78" s="264">
        <f>_xlfn.XLOOKUP(E78,'All Products'!D:D,'All Products'!P:P,FALSE)</f>
        <v>11</v>
      </c>
      <c r="V78" s="265">
        <f>_xlfn.XLOOKUP(E78,'All Products'!D:D,'All Products'!Q:Q,FALSE)</f>
        <v>1.41</v>
      </c>
    </row>
    <row r="79" spans="1:22" ht="14.4" customHeight="1">
      <c r="A79" s="101" t="str">
        <f>IF(K79&gt;0,COUNT($A$8:A78)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79" s="610"/>
      <c r="C79" s="611"/>
      <c r="D79" s="274" t="str">
        <f>_xlfn.XLOOKUP(E79,'All Products'!D:D,'All Products'!C:C,FALSE)</f>
        <v>1-B1-13-1-12</v>
      </c>
      <c r="E79" s="103">
        <v>100024938</v>
      </c>
      <c r="F79" s="144" t="str">
        <f>_xlfn.XLOOKUP(E79,'All Products'!D:D,'All Products'!E:E,FALSE)</f>
        <v>1 BSP X 1 ACME SU X 12 SJ</v>
      </c>
      <c r="G79" s="103">
        <f>_xlfn.XLOOKUP(E79,'All Products'!D:D,'All Products'!F:F,FALSE)</f>
        <v>10</v>
      </c>
      <c r="H79" s="103">
        <f>_xlfn.XLOOKUP(E79,'All Products'!D:D,'All Products'!G:G,FALSE)</f>
        <v>900</v>
      </c>
      <c r="I79" s="140">
        <f>_xlfn.XLOOKUP(E79,'All Products'!D:D,'All Products'!H:H,FALSE)</f>
        <v>102.64</v>
      </c>
      <c r="J79" s="173">
        <f>ROUNDUP(I79*Order_Quote!$L$26,2)</f>
        <v>102.64</v>
      </c>
      <c r="K79" s="75"/>
      <c r="L79" s="113"/>
      <c r="M79" s="171">
        <f t="shared" si="1"/>
        <v>0</v>
      </c>
      <c r="O79" s="215" t="str">
        <f>_xlfn.XLOOKUP(E79,'All Products'!D:D,'All Products'!I:I,FALSE)</f>
        <v>Within 3 Weeks</v>
      </c>
      <c r="P79" s="215" t="str">
        <f>_xlfn.XLOOKUP(E79,'All Products'!D:D,'All Products'!J:J,FALSE)</f>
        <v>Manufactured</v>
      </c>
      <c r="Q79" s="266">
        <f>_xlfn.XLOOKUP(E79,'All Products'!D:D,'All Products'!K:K,FALSE)</f>
        <v>49081021030</v>
      </c>
      <c r="R79" s="266" t="str">
        <f>_xlfn.XLOOKUP(E79,'All Products'!D:D,'All Products'!L:L,FALSE)</f>
        <v>-</v>
      </c>
      <c r="S79" s="266">
        <f>_xlfn.XLOOKUP(E79,'All Products'!D:D,'All Products'!M:M,FALSE)</f>
        <v>40049081021038</v>
      </c>
      <c r="T79" s="264">
        <f>_xlfn.XLOOKUP(E79,'All Products'!D:D,'All Products'!N:N,FALSE)</f>
        <v>1.1060000000000001</v>
      </c>
      <c r="U79" s="264">
        <f>_xlfn.XLOOKUP(E79,'All Products'!D:D,'All Products'!P:P,FALSE)</f>
        <v>11.35</v>
      </c>
      <c r="V79" s="265">
        <f>_xlfn.XLOOKUP(E79,'All Products'!D:D,'All Products'!Q:Q,FALSE)</f>
        <v>0.8</v>
      </c>
    </row>
    <row r="80" spans="1:22" ht="14.4" customHeight="1">
      <c r="A80" s="101" t="str">
        <f>IF(K80&gt;0,COUNT($A$8:A79)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80" s="610"/>
      <c r="C80" s="611"/>
      <c r="D80" s="274" t="str">
        <f>_xlfn.XLOOKUP(E80,'All Products'!D:D,'All Products'!C:C,FALSE)</f>
        <v>1-B1-13-1-16</v>
      </c>
      <c r="E80" s="103">
        <v>100024051</v>
      </c>
      <c r="F80" s="144" t="str">
        <f>_xlfn.XLOOKUP(E80,'All Products'!D:D,'All Products'!E:E,FALSE)</f>
        <v>1 BSPT X 1 ACME SU X 16 LL SJ</v>
      </c>
      <c r="G80" s="103">
        <f>_xlfn.XLOOKUP(E80,'All Products'!D:D,'All Products'!F:F,FALSE)</f>
        <v>10</v>
      </c>
      <c r="H80" s="103">
        <f>_xlfn.XLOOKUP(E80,'All Products'!D:D,'All Products'!G:G,FALSE)</f>
        <v>600</v>
      </c>
      <c r="I80" s="140">
        <f>_xlfn.XLOOKUP(E80,'All Products'!D:D,'All Products'!H:H,FALSE)</f>
        <v>113.76</v>
      </c>
      <c r="J80" s="173">
        <f>ROUNDUP(I80*Order_Quote!$L$26,2)</f>
        <v>113.76</v>
      </c>
      <c r="K80" s="75"/>
      <c r="L80" s="113"/>
      <c r="M80" s="171">
        <f t="shared" si="1"/>
        <v>0</v>
      </c>
      <c r="O80" s="215" t="str">
        <f>_xlfn.XLOOKUP(E80,'All Products'!D:D,'All Products'!I:I,FALSE)</f>
        <v>Within 3 Weeks</v>
      </c>
      <c r="P80" s="215" t="str">
        <f>_xlfn.XLOOKUP(E80,'All Products'!D:D,'All Products'!J:J,FALSE)</f>
        <v>Manufactured</v>
      </c>
      <c r="Q80" s="266">
        <f>_xlfn.XLOOKUP(E80,'All Products'!D:D,'All Products'!K:K,FALSE)</f>
        <v>49081030216</v>
      </c>
      <c r="R80" s="266" t="str">
        <f>_xlfn.XLOOKUP(E80,'All Products'!D:D,'All Products'!L:L,FALSE)</f>
        <v>-</v>
      </c>
      <c r="S80" s="266">
        <f>_xlfn.XLOOKUP(E80,'All Products'!D:D,'All Products'!M:M,FALSE)</f>
        <v>40049081030214</v>
      </c>
      <c r="T80" s="264">
        <f>_xlfn.XLOOKUP(E80,'All Products'!D:D,'All Products'!N:N,FALSE)</f>
        <v>1.2150000000000001</v>
      </c>
      <c r="U80" s="264">
        <f>_xlfn.XLOOKUP(E80,'All Products'!D:D,'All Products'!P:P,FALSE)</f>
        <v>12.7</v>
      </c>
      <c r="V80" s="265">
        <f>_xlfn.XLOOKUP(E80,'All Products'!D:D,'All Products'!Q:Q,FALSE)</f>
        <v>1.25</v>
      </c>
    </row>
    <row r="81" spans="1:22" ht="14.4" customHeight="1">
      <c r="A81" s="101" t="str">
        <f>IF(K81&gt;0,COUNT($A$8:A80)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81" s="610"/>
      <c r="C81" s="611"/>
      <c r="D81" s="274" t="str">
        <f>_xlfn.XLOOKUP(E81,'All Products'!D:D,'All Products'!C:C,FALSE)</f>
        <v>1-B1-13-1-18</v>
      </c>
      <c r="E81" s="103">
        <v>100024939</v>
      </c>
      <c r="F81" s="144" t="str">
        <f>_xlfn.XLOOKUP(E81,'All Products'!D:D,'All Products'!E:E,FALSE)</f>
        <v>1 BSP X 1 ACME SU X 18 SJ</v>
      </c>
      <c r="G81" s="103">
        <f>_xlfn.XLOOKUP(E81,'All Products'!D:D,'All Products'!F:F,FALSE)</f>
        <v>10</v>
      </c>
      <c r="H81" s="103">
        <f>_xlfn.XLOOKUP(E81,'All Products'!D:D,'All Products'!G:G,FALSE)</f>
        <v>600</v>
      </c>
      <c r="I81" s="140">
        <f>_xlfn.XLOOKUP(E81,'All Products'!D:D,'All Products'!H:H,FALSE)</f>
        <v>113.76</v>
      </c>
      <c r="J81" s="173">
        <f>ROUNDUP(I81*Order_Quote!$L$26,2)</f>
        <v>113.76</v>
      </c>
      <c r="K81" s="75"/>
      <c r="L81" s="113"/>
      <c r="M81" s="171">
        <f t="shared" si="1"/>
        <v>0</v>
      </c>
      <c r="O81" s="215" t="str">
        <f>_xlfn.XLOOKUP(E81,'All Products'!D:D,'All Products'!I:I,FALSE)</f>
        <v>Within 3 Weeks</v>
      </c>
      <c r="P81" s="215" t="str">
        <f>_xlfn.XLOOKUP(E81,'All Products'!D:D,'All Products'!J:J,FALSE)</f>
        <v>Manufactured</v>
      </c>
      <c r="Q81" s="266">
        <f>_xlfn.XLOOKUP(E81,'All Products'!D:D,'All Products'!K:K,FALSE)</f>
        <v>49081021047</v>
      </c>
      <c r="R81" s="266" t="str">
        <f>_xlfn.XLOOKUP(E81,'All Products'!D:D,'All Products'!L:L,FALSE)</f>
        <v>-</v>
      </c>
      <c r="S81" s="266">
        <f>_xlfn.XLOOKUP(E81,'All Products'!D:D,'All Products'!M:M,FALSE)</f>
        <v>40049081021045</v>
      </c>
      <c r="T81" s="264">
        <f>_xlfn.XLOOKUP(E81,'All Products'!D:D,'All Products'!N:N,FALSE)</f>
        <v>1.2849999999999999</v>
      </c>
      <c r="U81" s="264">
        <f>_xlfn.XLOOKUP(E81,'All Products'!D:D,'All Products'!P:P,FALSE)</f>
        <v>13.48</v>
      </c>
      <c r="V81" s="265">
        <f>_xlfn.XLOOKUP(E81,'All Products'!D:D,'All Products'!Q:Q,FALSE)</f>
        <v>1.41</v>
      </c>
    </row>
    <row r="82" spans="1:22" ht="14.4" customHeight="1">
      <c r="A82" s="101" t="str">
        <f>IF(K82&gt;0,COUNT($A$8:A81)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82" s="610"/>
      <c r="C82" s="611"/>
      <c r="D82" s="274" t="str">
        <f>_xlfn.XLOOKUP(E82,'All Products'!D:D,'All Products'!C:C,FALSE)</f>
        <v>1-B1-14-1-10</v>
      </c>
      <c r="E82" s="103">
        <v>100024054</v>
      </c>
      <c r="F82" s="144" t="str">
        <f>_xlfn.XLOOKUP(E82,'All Products'!D:D,'All Products'!E:E,FALSE)</f>
        <v>1 BSP X 1-1/4 ACME SU X 10 SJ</v>
      </c>
      <c r="G82" s="103">
        <f>_xlfn.XLOOKUP(E82,'All Products'!D:D,'All Products'!F:F,FALSE)</f>
        <v>10</v>
      </c>
      <c r="H82" s="103" t="str">
        <f>_xlfn.XLOOKUP(E82,'All Products'!D:D,'All Products'!G:G,FALSE)</f>
        <v>-</v>
      </c>
      <c r="I82" s="140">
        <f>_xlfn.XLOOKUP(E82,'All Products'!D:D,'All Products'!H:H,FALSE)</f>
        <v>102.64</v>
      </c>
      <c r="J82" s="173">
        <f>ROUNDUP(I82*Order_Quote!$L$26,2)</f>
        <v>102.64</v>
      </c>
      <c r="K82" s="75"/>
      <c r="L82" s="113"/>
      <c r="M82" s="171">
        <f t="shared" si="1"/>
        <v>0</v>
      </c>
      <c r="O82" s="215" t="str">
        <f>_xlfn.XLOOKUP(E82,'All Products'!D:D,'All Products'!I:I,FALSE)</f>
        <v>In Stock</v>
      </c>
      <c r="P82" s="215" t="str">
        <f>_xlfn.XLOOKUP(E82,'All Products'!D:D,'All Products'!J:J,FALSE)</f>
        <v>Manufactured</v>
      </c>
      <c r="Q82" s="266">
        <f>_xlfn.XLOOKUP(E82,'All Products'!D:D,'All Products'!K:K,FALSE)</f>
        <v>49081025243</v>
      </c>
      <c r="R82" s="266" t="str">
        <f>_xlfn.XLOOKUP(E82,'All Products'!D:D,'All Products'!L:L,FALSE)</f>
        <v>-</v>
      </c>
      <c r="S82" s="266">
        <f>_xlfn.XLOOKUP(E82,'All Products'!D:D,'All Products'!M:M,FALSE)</f>
        <v>40049081025241</v>
      </c>
      <c r="T82" s="264">
        <f>_xlfn.XLOOKUP(E82,'All Products'!D:D,'All Products'!N:N,FALSE)</f>
        <v>1.0469999999999999</v>
      </c>
      <c r="U82" s="264">
        <f>_xlfn.XLOOKUP(E82,'All Products'!D:D,'All Products'!P:P,FALSE)</f>
        <v>10.95</v>
      </c>
      <c r="V82" s="265" t="str">
        <f>_xlfn.XLOOKUP(E82,'All Products'!D:D,'All Products'!Q:Q,FALSE)</f>
        <v>-</v>
      </c>
    </row>
    <row r="83" spans="1:22" ht="14.4" customHeight="1">
      <c r="A83" s="101" t="str">
        <f>IF(K83&gt;0,COUNT($A$8:A82)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83" s="610"/>
      <c r="C83" s="611"/>
      <c r="D83" s="274" t="str">
        <f>_xlfn.XLOOKUP(E83,'All Products'!D:D,'All Products'!C:C,FALSE)</f>
        <v>1-B1-14-1-12</v>
      </c>
      <c r="E83" s="103">
        <v>100024055</v>
      </c>
      <c r="F83" s="144" t="str">
        <f>_xlfn.XLOOKUP(E83,'All Products'!D:D,'All Products'!E:E,FALSE)</f>
        <v>1 BSP X 1-1/4 ACME SU X 12 SJ</v>
      </c>
      <c r="G83" s="103">
        <f>_xlfn.XLOOKUP(E83,'All Products'!D:D,'All Products'!F:F,FALSE)</f>
        <v>10</v>
      </c>
      <c r="H83" s="103">
        <f>_xlfn.XLOOKUP(E83,'All Products'!D:D,'All Products'!G:G,FALSE)</f>
        <v>900</v>
      </c>
      <c r="I83" s="140">
        <f>_xlfn.XLOOKUP(E83,'All Products'!D:D,'All Products'!H:H,FALSE)</f>
        <v>102.64</v>
      </c>
      <c r="J83" s="173">
        <f>ROUNDUP(I83*Order_Quote!$L$26,2)</f>
        <v>102.64</v>
      </c>
      <c r="K83" s="75"/>
      <c r="L83" s="113"/>
      <c r="M83" s="171">
        <f t="shared" si="1"/>
        <v>0</v>
      </c>
      <c r="O83" s="215" t="str">
        <f>_xlfn.XLOOKUP(E83,'All Products'!D:D,'All Products'!I:I,FALSE)</f>
        <v>Within 3 Weeks</v>
      </c>
      <c r="P83" s="215" t="str">
        <f>_xlfn.XLOOKUP(E83,'All Products'!D:D,'All Products'!J:J,FALSE)</f>
        <v>Manufactured</v>
      </c>
      <c r="Q83" s="266">
        <f>_xlfn.XLOOKUP(E83,'All Products'!D:D,'All Products'!K:K,FALSE)</f>
        <v>49081021061</v>
      </c>
      <c r="R83" s="266" t="str">
        <f>_xlfn.XLOOKUP(E83,'All Products'!D:D,'All Products'!L:L,FALSE)</f>
        <v>-</v>
      </c>
      <c r="S83" s="266">
        <f>_xlfn.XLOOKUP(E83,'All Products'!D:D,'All Products'!M:M,FALSE)</f>
        <v>40049081021069</v>
      </c>
      <c r="T83" s="264">
        <f>_xlfn.XLOOKUP(E83,'All Products'!D:D,'All Products'!N:N,FALSE)</f>
        <v>1.123</v>
      </c>
      <c r="U83" s="264">
        <f>_xlfn.XLOOKUP(E83,'All Products'!D:D,'All Products'!P:P,FALSE)</f>
        <v>11.45</v>
      </c>
      <c r="V83" s="265">
        <f>_xlfn.XLOOKUP(E83,'All Products'!D:D,'All Products'!Q:Q,FALSE)</f>
        <v>0.8</v>
      </c>
    </row>
    <row r="84" spans="1:22" ht="14.4" customHeight="1">
      <c r="A84" s="101" t="str">
        <f>IF(K84&gt;0,COUNT($A$8:A83)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84" s="610"/>
      <c r="C84" s="611"/>
      <c r="D84" s="274" t="str">
        <f>_xlfn.XLOOKUP(E84,'All Products'!D:D,'All Products'!C:C,FALSE)</f>
        <v>1-B1-14-1-6</v>
      </c>
      <c r="E84" s="103">
        <v>100024058</v>
      </c>
      <c r="F84" s="144" t="str">
        <f>_xlfn.XLOOKUP(E84,'All Products'!D:D,'All Products'!E:E,FALSE)</f>
        <v>1 BSPB X 1-1/4 ACME SU X 6 LL SJ</v>
      </c>
      <c r="G84" s="103">
        <f>_xlfn.XLOOKUP(E84,'All Products'!D:D,'All Products'!F:F,FALSE)</f>
        <v>10</v>
      </c>
      <c r="H84" s="103">
        <f>_xlfn.XLOOKUP(E84,'All Products'!D:D,'All Products'!G:G,FALSE)</f>
        <v>1200</v>
      </c>
      <c r="I84" s="140">
        <f>_xlfn.XLOOKUP(E84,'All Products'!D:D,'All Products'!H:H,FALSE)</f>
        <v>91.56</v>
      </c>
      <c r="J84" s="173">
        <f>ROUNDUP(I84*Order_Quote!$L$26,2)</f>
        <v>91.56</v>
      </c>
      <c r="K84" s="75"/>
      <c r="L84" s="113"/>
      <c r="M84" s="171">
        <f t="shared" si="1"/>
        <v>0</v>
      </c>
      <c r="O84" s="215" t="str">
        <f>_xlfn.XLOOKUP(E84,'All Products'!D:D,'All Products'!I:I,FALSE)</f>
        <v>Within 3 Weeks</v>
      </c>
      <c r="P84" s="215" t="str">
        <f>_xlfn.XLOOKUP(E84,'All Products'!D:D,'All Products'!J:J,FALSE)</f>
        <v>Manufactured</v>
      </c>
      <c r="Q84" s="266">
        <f>_xlfn.XLOOKUP(E84,'All Products'!D:D,'All Products'!K:K,FALSE)</f>
        <v>49081030285</v>
      </c>
      <c r="R84" s="266" t="str">
        <f>_xlfn.XLOOKUP(E84,'All Products'!D:D,'All Products'!L:L,FALSE)</f>
        <v>-</v>
      </c>
      <c r="S84" s="266">
        <f>_xlfn.XLOOKUP(E84,'All Products'!D:D,'All Products'!M:M,FALSE)</f>
        <v>40049081030283</v>
      </c>
      <c r="T84" s="264">
        <f>_xlfn.XLOOKUP(E84,'All Products'!D:D,'All Products'!N:N,FALSE)</f>
        <v>0.90600000000000003</v>
      </c>
      <c r="U84" s="264">
        <f>_xlfn.XLOOKUP(E84,'All Products'!D:D,'All Products'!P:P,FALSE)</f>
        <v>9.25</v>
      </c>
      <c r="V84" s="265">
        <f>_xlfn.XLOOKUP(E84,'All Products'!D:D,'All Products'!Q:Q,FALSE)</f>
        <v>0.65</v>
      </c>
    </row>
    <row r="85" spans="1:22" ht="14.4" customHeight="1">
      <c r="A85" s="101" t="str">
        <f>IF(K85&gt;0,COUNT($A$8:A84)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85" s="610"/>
      <c r="C85" s="611"/>
      <c r="D85" s="274" t="str">
        <f>_xlfn.XLOOKUP(E85,'All Products'!D:D,'All Products'!C:C,FALSE)</f>
        <v>1-B1-15-1-12</v>
      </c>
      <c r="E85" s="103">
        <v>100024061</v>
      </c>
      <c r="F85" s="144" t="str">
        <f>_xlfn.XLOOKUP(E85,'All Products'!D:D,'All Products'!E:E,FALSE)</f>
        <v>1 BSPT X 1-1/2 ACME SU X 12 SJ</v>
      </c>
      <c r="G85" s="103">
        <f>_xlfn.XLOOKUP(E85,'All Products'!D:D,'All Products'!F:F,FALSE)</f>
        <v>10</v>
      </c>
      <c r="H85" s="103">
        <f>_xlfn.XLOOKUP(E85,'All Products'!D:D,'All Products'!G:G,FALSE)</f>
        <v>900</v>
      </c>
      <c r="I85" s="140">
        <f>_xlfn.XLOOKUP(E85,'All Products'!D:D,'All Products'!H:H,FALSE)</f>
        <v>102.64</v>
      </c>
      <c r="J85" s="173">
        <f>ROUNDUP(I85*Order_Quote!$L$26,2)</f>
        <v>102.64</v>
      </c>
      <c r="K85" s="75"/>
      <c r="L85" s="113"/>
      <c r="M85" s="171">
        <f t="shared" si="1"/>
        <v>0</v>
      </c>
      <c r="O85" s="215" t="str">
        <f>_xlfn.XLOOKUP(E85,'All Products'!D:D,'All Products'!I:I,FALSE)</f>
        <v>Within 3 Weeks</v>
      </c>
      <c r="P85" s="215" t="str">
        <f>_xlfn.XLOOKUP(E85,'All Products'!D:D,'All Products'!J:J,FALSE)</f>
        <v>Manufactured</v>
      </c>
      <c r="Q85" s="266">
        <f>_xlfn.XLOOKUP(E85,'All Products'!D:D,'All Products'!K:K,FALSE)</f>
        <v>49081021078</v>
      </c>
      <c r="R85" s="266" t="str">
        <f>_xlfn.XLOOKUP(E85,'All Products'!D:D,'All Products'!L:L,FALSE)</f>
        <v>-</v>
      </c>
      <c r="S85" s="266">
        <f>_xlfn.XLOOKUP(E85,'All Products'!D:D,'All Products'!M:M,FALSE)</f>
        <v>40049081021076</v>
      </c>
      <c r="T85" s="264">
        <f>_xlfn.XLOOKUP(E85,'All Products'!D:D,'All Products'!N:N,FALSE)</f>
        <v>1.1479999999999999</v>
      </c>
      <c r="U85" s="264">
        <f>_xlfn.XLOOKUP(E85,'All Products'!D:D,'All Products'!P:P,FALSE)</f>
        <v>11.55</v>
      </c>
      <c r="V85" s="265">
        <f>_xlfn.XLOOKUP(E85,'All Products'!D:D,'All Products'!Q:Q,FALSE)</f>
        <v>0.8</v>
      </c>
    </row>
    <row r="86" spans="1:22" ht="14.4" customHeight="1">
      <c r="A86" s="101" t="str">
        <f>IF(K86&gt;0,COUNT($A$8:A85)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86" s="610"/>
      <c r="C86" s="611"/>
      <c r="D86" s="274" t="str">
        <f>_xlfn.XLOOKUP(E86,'All Products'!D:D,'All Products'!C:C,FALSE)</f>
        <v>1-B1-15-1-6</v>
      </c>
      <c r="E86" s="103">
        <v>100024062</v>
      </c>
      <c r="F86" s="144" t="str">
        <f>_xlfn.XLOOKUP(E86,'All Products'!D:D,'All Products'!E:E,FALSE)</f>
        <v>1 BSP X 1-1/2 ACME SU X 6 SJ</v>
      </c>
      <c r="G86" s="103">
        <f>_xlfn.XLOOKUP(E86,'All Products'!D:D,'All Products'!F:F,FALSE)</f>
        <v>10</v>
      </c>
      <c r="H86" s="103">
        <f>_xlfn.XLOOKUP(E86,'All Products'!D:D,'All Products'!G:G,FALSE)</f>
        <v>1200</v>
      </c>
      <c r="I86" s="140">
        <f>_xlfn.XLOOKUP(E86,'All Products'!D:D,'All Products'!H:H,FALSE)</f>
        <v>91.56</v>
      </c>
      <c r="J86" s="173">
        <f>ROUNDUP(I86*Order_Quote!$L$26,2)</f>
        <v>91.56</v>
      </c>
      <c r="K86" s="75"/>
      <c r="L86" s="113"/>
      <c r="M86" s="171">
        <f t="shared" si="1"/>
        <v>0</v>
      </c>
      <c r="O86" s="215" t="str">
        <f>_xlfn.XLOOKUP(E86,'All Products'!D:D,'All Products'!I:I,FALSE)</f>
        <v>Within 3 Weeks</v>
      </c>
      <c r="P86" s="215" t="str">
        <f>_xlfn.XLOOKUP(E86,'All Products'!D:D,'All Products'!J:J,FALSE)</f>
        <v>Manufactured</v>
      </c>
      <c r="Q86" s="266">
        <f>_xlfn.XLOOKUP(E86,'All Products'!D:D,'All Products'!K:K,FALSE)</f>
        <v>49081021085</v>
      </c>
      <c r="R86" s="266" t="str">
        <f>_xlfn.XLOOKUP(E86,'All Products'!D:D,'All Products'!L:L,FALSE)</f>
        <v>-</v>
      </c>
      <c r="S86" s="266">
        <f>_xlfn.XLOOKUP(E86,'All Products'!D:D,'All Products'!M:M,FALSE)</f>
        <v>40049081021083</v>
      </c>
      <c r="T86" s="264">
        <f>_xlfn.XLOOKUP(E86,'All Products'!D:D,'All Products'!N:N,FALSE)</f>
        <v>0.93100000000000005</v>
      </c>
      <c r="U86" s="264">
        <f>_xlfn.XLOOKUP(E86,'All Products'!D:D,'All Products'!P:P,FALSE)</f>
        <v>9.35</v>
      </c>
      <c r="V86" s="265">
        <f>_xlfn.XLOOKUP(E86,'All Products'!D:D,'All Products'!Q:Q,FALSE)</f>
        <v>0.65</v>
      </c>
    </row>
    <row r="87" spans="1:22" ht="14.4" customHeight="1">
      <c r="A87" s="101" t="str">
        <f>IF(K87&gt;0,COUNT($A$8:A86)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87" s="610"/>
      <c r="C87" s="611"/>
      <c r="D87" s="274" t="str">
        <f>_xlfn.XLOOKUP(E87,'All Products'!D:D,'All Products'!C:C,FALSE)</f>
        <v>1-B1-22-1-12</v>
      </c>
      <c r="E87" s="103">
        <v>100024942</v>
      </c>
      <c r="F87" s="144" t="str">
        <f>_xlfn.XLOOKUP(E87,'All Products'!D:D,'All Products'!E:E,FALSE)</f>
        <v>1 BSP X 1 BSP SU X 12 SJ</v>
      </c>
      <c r="G87" s="103">
        <f>_xlfn.XLOOKUP(E87,'All Products'!D:D,'All Products'!F:F,FALSE)</f>
        <v>10</v>
      </c>
      <c r="H87" s="103">
        <f>_xlfn.XLOOKUP(E87,'All Products'!D:D,'All Products'!G:G,FALSE)</f>
        <v>900</v>
      </c>
      <c r="I87" s="140">
        <f>_xlfn.XLOOKUP(E87,'All Products'!D:D,'All Products'!H:H,FALSE)</f>
        <v>102.64</v>
      </c>
      <c r="J87" s="173">
        <f>ROUNDUP(I87*Order_Quote!$L$26,2)</f>
        <v>102.64</v>
      </c>
      <c r="K87" s="75"/>
      <c r="L87" s="113"/>
      <c r="M87" s="171">
        <f t="shared" si="1"/>
        <v>0</v>
      </c>
      <c r="O87" s="215" t="str">
        <f>_xlfn.XLOOKUP(E87,'All Products'!D:D,'All Products'!I:I,FALSE)</f>
        <v>In Stock</v>
      </c>
      <c r="P87" s="215" t="str">
        <f>_xlfn.XLOOKUP(E87,'All Products'!D:D,'All Products'!J:J,FALSE)</f>
        <v>Manufactured</v>
      </c>
      <c r="Q87" s="266">
        <f>_xlfn.XLOOKUP(E87,'All Products'!D:D,'All Products'!K:K,FALSE)</f>
        <v>49081021108</v>
      </c>
      <c r="R87" s="266" t="str">
        <f>_xlfn.XLOOKUP(E87,'All Products'!D:D,'All Products'!L:L,FALSE)</f>
        <v>-</v>
      </c>
      <c r="S87" s="266">
        <f>_xlfn.XLOOKUP(E87,'All Products'!D:D,'All Products'!M:M,FALSE)</f>
        <v>40049081021106</v>
      </c>
      <c r="T87" s="264">
        <f>_xlfn.XLOOKUP(E87,'All Products'!D:D,'All Products'!N:N,FALSE)</f>
        <v>1.085</v>
      </c>
      <c r="U87" s="264">
        <f>_xlfn.XLOOKUP(E87,'All Products'!D:D,'All Products'!P:P,FALSE)</f>
        <v>11</v>
      </c>
      <c r="V87" s="265">
        <f>_xlfn.XLOOKUP(E87,'All Products'!D:D,'All Products'!Q:Q,FALSE)</f>
        <v>0.8</v>
      </c>
    </row>
    <row r="88" spans="1:22" ht="14.4" customHeight="1">
      <c r="A88" s="101" t="str">
        <f>IF(K88&gt;0,COUNT($A$8:A87)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88" s="610"/>
      <c r="C88" s="611"/>
      <c r="D88" s="274" t="str">
        <f>_xlfn.XLOOKUP(E88,'All Products'!D:D,'All Products'!C:C,FALSE)</f>
        <v>1-B1-22-1-14</v>
      </c>
      <c r="E88" s="103">
        <v>100024069</v>
      </c>
      <c r="F88" s="144" t="str">
        <f>_xlfn.XLOOKUP(E88,'All Products'!D:D,'All Products'!E:E,FALSE)</f>
        <v>1 BSP X 1 BSP SU X 14 SJ</v>
      </c>
      <c r="G88" s="103">
        <f>_xlfn.XLOOKUP(E88,'All Products'!D:D,'All Products'!F:F,FALSE)</f>
        <v>10</v>
      </c>
      <c r="H88" s="103">
        <f>_xlfn.XLOOKUP(E88,'All Products'!D:D,'All Products'!G:G,FALSE)</f>
        <v>750</v>
      </c>
      <c r="I88" s="140">
        <f>_xlfn.XLOOKUP(E88,'All Products'!D:D,'All Products'!H:H,FALSE)</f>
        <v>113.76</v>
      </c>
      <c r="J88" s="173">
        <f>ROUNDUP(I88*Order_Quote!$L$26,2)</f>
        <v>113.76</v>
      </c>
      <c r="K88" s="75"/>
      <c r="L88" s="113"/>
      <c r="M88" s="171">
        <f t="shared" si="1"/>
        <v>0</v>
      </c>
      <c r="O88" s="215" t="str">
        <f>_xlfn.XLOOKUP(E88,'All Products'!D:D,'All Products'!I:I,FALSE)</f>
        <v>Within 3 Weeks</v>
      </c>
      <c r="P88" s="215" t="str">
        <f>_xlfn.XLOOKUP(E88,'All Products'!D:D,'All Products'!J:J,FALSE)</f>
        <v>Manufactured</v>
      </c>
      <c r="Q88" s="266">
        <f>_xlfn.XLOOKUP(E88,'All Products'!D:D,'All Products'!K:K,FALSE)</f>
        <v>49081021115</v>
      </c>
      <c r="R88" s="266" t="str">
        <f>_xlfn.XLOOKUP(E88,'All Products'!D:D,'All Products'!L:L,FALSE)</f>
        <v>-</v>
      </c>
      <c r="S88" s="266">
        <f>_xlfn.XLOOKUP(E88,'All Products'!D:D,'All Products'!M:M,FALSE)</f>
        <v>40049081021113</v>
      </c>
      <c r="T88" s="264">
        <f>_xlfn.XLOOKUP(E88,'All Products'!D:D,'All Products'!N:N,FALSE)</f>
        <v>1.129</v>
      </c>
      <c r="U88" s="264">
        <f>_xlfn.XLOOKUP(E88,'All Products'!D:D,'All Products'!P:P,FALSE)</f>
        <v>12.055</v>
      </c>
      <c r="V88" s="265">
        <f>_xlfn.XLOOKUP(E88,'All Products'!D:D,'All Products'!Q:Q,FALSE)</f>
        <v>1.1000000000000001</v>
      </c>
    </row>
    <row r="89" spans="1:22" ht="14.4" customHeight="1">
      <c r="A89" s="101" t="str">
        <f>IF(K89&gt;0,COUNT($A$8:A88)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89" s="610"/>
      <c r="C89" s="611"/>
      <c r="D89" s="274" t="str">
        <f>_xlfn.XLOOKUP(E89,'All Products'!D:D,'All Products'!C:C,FALSE)</f>
        <v>1-B1-22-1-16</v>
      </c>
      <c r="E89" s="103">
        <v>100024070</v>
      </c>
      <c r="F89" s="144" t="str">
        <f>_xlfn.XLOOKUP(E89,'All Products'!D:D,'All Products'!E:E,FALSE)</f>
        <v>1 BSP X 1 BSP SU X 16 SJ</v>
      </c>
      <c r="G89" s="103">
        <f>_xlfn.XLOOKUP(E89,'All Products'!D:D,'All Products'!F:F,FALSE)</f>
        <v>10</v>
      </c>
      <c r="H89" s="103">
        <f>_xlfn.XLOOKUP(E89,'All Products'!D:D,'All Products'!G:G,FALSE)</f>
        <v>600</v>
      </c>
      <c r="I89" s="140">
        <f>_xlfn.XLOOKUP(E89,'All Products'!D:D,'All Products'!H:H,FALSE)</f>
        <v>113.76</v>
      </c>
      <c r="J89" s="173">
        <f>ROUNDUP(I89*Order_Quote!$L$26,2)</f>
        <v>113.76</v>
      </c>
      <c r="K89" s="75"/>
      <c r="L89" s="113"/>
      <c r="M89" s="171">
        <f t="shared" si="1"/>
        <v>0</v>
      </c>
      <c r="O89" s="215" t="str">
        <f>_xlfn.XLOOKUP(E89,'All Products'!D:D,'All Products'!I:I,FALSE)</f>
        <v>Within 3 Weeks</v>
      </c>
      <c r="P89" s="215" t="str">
        <f>_xlfn.XLOOKUP(E89,'All Products'!D:D,'All Products'!J:J,FALSE)</f>
        <v>Manufactured</v>
      </c>
      <c r="Q89" s="266">
        <f>_xlfn.XLOOKUP(E89,'All Products'!D:D,'All Products'!K:K,FALSE)</f>
        <v>49081021122</v>
      </c>
      <c r="R89" s="266" t="str">
        <f>_xlfn.XLOOKUP(E89,'All Products'!D:D,'All Products'!L:L,FALSE)</f>
        <v>-</v>
      </c>
      <c r="S89" s="266">
        <f>_xlfn.XLOOKUP(E89,'All Products'!D:D,'All Products'!M:M,FALSE)</f>
        <v>40049081021120</v>
      </c>
      <c r="T89" s="264">
        <f>_xlfn.XLOOKUP(E89,'All Products'!D:D,'All Products'!N:N,FALSE)</f>
        <v>1.194</v>
      </c>
      <c r="U89" s="264">
        <f>_xlfn.XLOOKUP(E89,'All Products'!D:D,'All Products'!P:P,FALSE)</f>
        <v>12.67</v>
      </c>
      <c r="V89" s="265">
        <f>_xlfn.XLOOKUP(E89,'All Products'!D:D,'All Products'!Q:Q,FALSE)</f>
        <v>1.25</v>
      </c>
    </row>
    <row r="90" spans="1:22" ht="14.4" customHeight="1">
      <c r="A90" s="101" t="str">
        <f>IF(K90&gt;0,COUNT($A$8:A89)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90" s="610"/>
      <c r="C90" s="611"/>
      <c r="D90" s="274" t="str">
        <f>_xlfn.XLOOKUP(E90,'All Products'!D:D,'All Products'!C:C,FALSE)</f>
        <v>1-B1-22-1-18</v>
      </c>
      <c r="E90" s="103">
        <v>100024943</v>
      </c>
      <c r="F90" s="144" t="str">
        <f>_xlfn.XLOOKUP(E90,'All Products'!D:D,'All Products'!E:E,FALSE)</f>
        <v>1 BSP X 1 BSP SU X 18 SJ</v>
      </c>
      <c r="G90" s="103">
        <f>_xlfn.XLOOKUP(E90,'All Products'!D:D,'All Products'!F:F,FALSE)</f>
        <v>10</v>
      </c>
      <c r="H90" s="103">
        <f>_xlfn.XLOOKUP(E90,'All Products'!D:D,'All Products'!G:G,FALSE)</f>
        <v>600</v>
      </c>
      <c r="I90" s="140">
        <f>_xlfn.XLOOKUP(E90,'All Products'!D:D,'All Products'!H:H,FALSE)</f>
        <v>113.76</v>
      </c>
      <c r="J90" s="173">
        <f>ROUNDUP(I90*Order_Quote!$L$26,2)</f>
        <v>113.76</v>
      </c>
      <c r="K90" s="75"/>
      <c r="L90" s="113"/>
      <c r="M90" s="171">
        <f t="shared" si="1"/>
        <v>0</v>
      </c>
      <c r="O90" s="215" t="str">
        <f>_xlfn.XLOOKUP(E90,'All Products'!D:D,'All Products'!I:I,FALSE)</f>
        <v>Within 3 Weeks</v>
      </c>
      <c r="P90" s="215" t="str">
        <f>_xlfn.XLOOKUP(E90,'All Products'!D:D,'All Products'!J:J,FALSE)</f>
        <v>Manufactured</v>
      </c>
      <c r="Q90" s="266">
        <f>_xlfn.XLOOKUP(E90,'All Products'!D:D,'All Products'!K:K,FALSE)</f>
        <v>49081021139</v>
      </c>
      <c r="R90" s="266" t="str">
        <f>_xlfn.XLOOKUP(E90,'All Products'!D:D,'All Products'!L:L,FALSE)</f>
        <v>-</v>
      </c>
      <c r="S90" s="266">
        <f>_xlfn.XLOOKUP(E90,'All Products'!D:D,'All Products'!M:M,FALSE)</f>
        <v>40049081021137</v>
      </c>
      <c r="T90" s="264">
        <f>_xlfn.XLOOKUP(E90,'All Products'!D:D,'All Products'!N:N,FALSE)</f>
        <v>1.264</v>
      </c>
      <c r="U90" s="264">
        <f>_xlfn.XLOOKUP(E90,'All Products'!D:D,'All Products'!P:P,FALSE)</f>
        <v>13.48</v>
      </c>
      <c r="V90" s="265">
        <f>_xlfn.XLOOKUP(E90,'All Products'!D:D,'All Products'!Q:Q,FALSE)</f>
        <v>1.41</v>
      </c>
    </row>
    <row r="91" spans="1:22" ht="14.4" customHeight="1">
      <c r="A91" s="101" t="str">
        <f>IF(K91&gt;0,COUNT($A$8:A90)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91" s="610"/>
      <c r="C91" s="611"/>
      <c r="D91" s="274" t="str">
        <f>_xlfn.XLOOKUP(E91,'All Products'!D:D,'All Products'!C:C,FALSE)</f>
        <v>1-B1-22-1-6</v>
      </c>
      <c r="E91" s="103">
        <v>100024944</v>
      </c>
      <c r="F91" s="144" t="str">
        <f>_xlfn.XLOOKUP(E91,'All Products'!D:D,'All Products'!E:E,FALSE)</f>
        <v>1 BSP X 1 BSP SU X 6 SJ</v>
      </c>
      <c r="G91" s="103">
        <f>_xlfn.XLOOKUP(E91,'All Products'!D:D,'All Products'!F:F,FALSE)</f>
        <v>10</v>
      </c>
      <c r="H91" s="103">
        <f>_xlfn.XLOOKUP(E91,'All Products'!D:D,'All Products'!G:G,FALSE)</f>
        <v>1200</v>
      </c>
      <c r="I91" s="140">
        <f>_xlfn.XLOOKUP(E91,'All Products'!D:D,'All Products'!H:H,FALSE)</f>
        <v>91.56</v>
      </c>
      <c r="J91" s="173">
        <f>ROUNDUP(I91*Order_Quote!$L$26,2)</f>
        <v>91.56</v>
      </c>
      <c r="K91" s="75"/>
      <c r="L91" s="113"/>
      <c r="M91" s="171">
        <f t="shared" si="1"/>
        <v>0</v>
      </c>
      <c r="O91" s="215" t="str">
        <f>_xlfn.XLOOKUP(E91,'All Products'!D:D,'All Products'!I:I,FALSE)</f>
        <v>In Stock</v>
      </c>
      <c r="P91" s="215" t="str">
        <f>_xlfn.XLOOKUP(E91,'All Products'!D:D,'All Products'!J:J,FALSE)</f>
        <v>Manufactured</v>
      </c>
      <c r="Q91" s="266">
        <f>_xlfn.XLOOKUP(E91,'All Products'!D:D,'All Products'!K:K,FALSE)</f>
        <v>49081021146</v>
      </c>
      <c r="R91" s="266" t="str">
        <f>_xlfn.XLOOKUP(E91,'All Products'!D:D,'All Products'!L:L,FALSE)</f>
        <v>-</v>
      </c>
      <c r="S91" s="266">
        <f>_xlfn.XLOOKUP(E91,'All Products'!D:D,'All Products'!M:M,FALSE)</f>
        <v>40049081021144</v>
      </c>
      <c r="T91" s="264">
        <f>_xlfn.XLOOKUP(E91,'All Products'!D:D,'All Products'!N:N,FALSE)</f>
        <v>0.86799999999999999</v>
      </c>
      <c r="U91" s="264">
        <f>_xlfn.XLOOKUP(E91,'All Products'!D:D,'All Products'!P:P,FALSE)</f>
        <v>9.35</v>
      </c>
      <c r="V91" s="265">
        <f>_xlfn.XLOOKUP(E91,'All Products'!D:D,'All Products'!Q:Q,FALSE)</f>
        <v>0.65</v>
      </c>
    </row>
    <row r="92" spans="1:22" ht="14.4" customHeight="1">
      <c r="A92" s="101" t="str">
        <f>IF(K92&gt;0,COUNT($A$8:A91)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92" s="610"/>
      <c r="C92" s="611"/>
      <c r="D92" s="274" t="str">
        <f>_xlfn.XLOOKUP(E92,'All Products'!D:D,'All Products'!C:C,FALSE)</f>
        <v>1-B1-22-1-8</v>
      </c>
      <c r="E92" s="103">
        <v>100024945</v>
      </c>
      <c r="F92" s="144" t="str">
        <f>_xlfn.XLOOKUP(E92,'All Products'!D:D,'All Products'!E:E,FALSE)</f>
        <v>1 BSP X 1 BSP SU X 8 SJ</v>
      </c>
      <c r="G92" s="103">
        <f>_xlfn.XLOOKUP(E92,'All Products'!D:D,'All Products'!F:F,FALSE)</f>
        <v>10</v>
      </c>
      <c r="H92" s="103">
        <f>_xlfn.XLOOKUP(E92,'All Products'!D:D,'All Products'!G:G,FALSE)</f>
        <v>1200</v>
      </c>
      <c r="I92" s="140">
        <f>_xlfn.XLOOKUP(E92,'All Products'!D:D,'All Products'!H:H,FALSE)</f>
        <v>91.56</v>
      </c>
      <c r="J92" s="173">
        <f>ROUNDUP(I92*Order_Quote!$L$26,2)</f>
        <v>91.56</v>
      </c>
      <c r="K92" s="75"/>
      <c r="L92" s="113"/>
      <c r="M92" s="171">
        <f t="shared" si="1"/>
        <v>0</v>
      </c>
      <c r="O92" s="215" t="str">
        <f>_xlfn.XLOOKUP(E92,'All Products'!D:D,'All Products'!I:I,FALSE)</f>
        <v>Within 3 Weeks</v>
      </c>
      <c r="P92" s="215" t="str">
        <f>_xlfn.XLOOKUP(E92,'All Products'!D:D,'All Products'!J:J,FALSE)</f>
        <v>Manufactured</v>
      </c>
      <c r="Q92" s="266">
        <f>_xlfn.XLOOKUP(E92,'All Products'!D:D,'All Products'!K:K,FALSE)</f>
        <v>49081021153</v>
      </c>
      <c r="R92" s="266" t="str">
        <f>_xlfn.XLOOKUP(E92,'All Products'!D:D,'All Products'!L:L,FALSE)</f>
        <v>-</v>
      </c>
      <c r="S92" s="266">
        <f>_xlfn.XLOOKUP(E92,'All Products'!D:D,'All Products'!M:M,FALSE)</f>
        <v>40049081021151</v>
      </c>
      <c r="T92" s="264">
        <f>_xlfn.XLOOKUP(E92,'All Products'!D:D,'All Products'!N:N,FALSE)</f>
        <v>0.93200000000000005</v>
      </c>
      <c r="U92" s="264">
        <f>_xlfn.XLOOKUP(E92,'All Products'!D:D,'All Products'!P:P,FALSE)</f>
        <v>9.85</v>
      </c>
      <c r="V92" s="265">
        <f>_xlfn.XLOOKUP(E92,'All Products'!D:D,'All Products'!Q:Q,FALSE)</f>
        <v>0.65</v>
      </c>
    </row>
    <row r="93" spans="1:22" ht="14.4" customHeight="1">
      <c r="A93" s="101" t="str">
        <f>IF(K93&gt;0,COUNT($A$8:A92)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93" s="610"/>
      <c r="C93" s="611"/>
      <c r="D93" s="274" t="str">
        <f>_xlfn.XLOOKUP(E93,'All Products'!D:D,'All Products'!C:C,FALSE)</f>
        <v>1-B1-23-1-12</v>
      </c>
      <c r="E93" s="103">
        <v>100024079</v>
      </c>
      <c r="F93" s="144" t="str">
        <f>_xlfn.XLOOKUP(E93,'All Products'!D:D,'All Products'!E:E,FALSE)</f>
        <v>1 BSP X 1-1/4 BSP SU X 12 SJ</v>
      </c>
      <c r="G93" s="103">
        <f>_xlfn.XLOOKUP(E93,'All Products'!D:D,'All Products'!F:F,FALSE)</f>
        <v>10</v>
      </c>
      <c r="H93" s="103">
        <f>_xlfn.XLOOKUP(E93,'All Products'!D:D,'All Products'!G:G,FALSE)</f>
        <v>900</v>
      </c>
      <c r="I93" s="140">
        <f>_xlfn.XLOOKUP(E93,'All Products'!D:D,'All Products'!H:H,FALSE)</f>
        <v>102.64</v>
      </c>
      <c r="J93" s="173">
        <f>ROUNDUP(I93*Order_Quote!$L$26,2)</f>
        <v>102.64</v>
      </c>
      <c r="K93" s="75"/>
      <c r="L93" s="113"/>
      <c r="M93" s="171">
        <f t="shared" si="1"/>
        <v>0</v>
      </c>
      <c r="O93" s="215" t="str">
        <f>_xlfn.XLOOKUP(E93,'All Products'!D:D,'All Products'!I:I,FALSE)</f>
        <v>Within 3 Weeks</v>
      </c>
      <c r="P93" s="215" t="str">
        <f>_xlfn.XLOOKUP(E93,'All Products'!D:D,'All Products'!J:J,FALSE)</f>
        <v>Manufactured</v>
      </c>
      <c r="Q93" s="266">
        <f>_xlfn.XLOOKUP(E93,'All Products'!D:D,'All Products'!K:K,FALSE)</f>
        <v>49081021191</v>
      </c>
      <c r="R93" s="266" t="str">
        <f>_xlfn.XLOOKUP(E93,'All Products'!D:D,'All Products'!L:L,FALSE)</f>
        <v>-</v>
      </c>
      <c r="S93" s="266">
        <f>_xlfn.XLOOKUP(E93,'All Products'!D:D,'All Products'!M:M,FALSE)</f>
        <v>40049081021199</v>
      </c>
      <c r="T93" s="264">
        <f>_xlfn.XLOOKUP(E93,'All Products'!D:D,'All Products'!N:N,FALSE)</f>
        <v>1.157</v>
      </c>
      <c r="U93" s="264">
        <f>_xlfn.XLOOKUP(E93,'All Products'!D:D,'All Products'!P:P,FALSE)</f>
        <v>11.9</v>
      </c>
      <c r="V93" s="265">
        <f>_xlfn.XLOOKUP(E93,'All Products'!D:D,'All Products'!Q:Q,FALSE)</f>
        <v>0.8</v>
      </c>
    </row>
    <row r="94" spans="1:22" ht="14.4" customHeight="1">
      <c r="A94" s="101" t="str">
        <f>IF(K94&gt;0,COUNT($A$8:A93)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94" s="610"/>
      <c r="C94" s="611"/>
      <c r="D94" s="274" t="str">
        <f>_xlfn.XLOOKUP(E94,'All Products'!D:D,'All Products'!C:C,FALSE)</f>
        <v>1-B1-3-1-12</v>
      </c>
      <c r="E94" s="103">
        <v>100024947</v>
      </c>
      <c r="F94" s="144" t="str">
        <f>_xlfn.XLOOKUP(E94,'All Products'!D:D,'All Products'!E:E,FALSE)</f>
        <v>1 BSP X 1 MPT SU X 12 SJ</v>
      </c>
      <c r="G94" s="103">
        <f>_xlfn.XLOOKUP(E94,'All Products'!D:D,'All Products'!F:F,FALSE)</f>
        <v>10</v>
      </c>
      <c r="H94" s="103">
        <f>_xlfn.XLOOKUP(E94,'All Products'!D:D,'All Products'!G:G,FALSE)</f>
        <v>900</v>
      </c>
      <c r="I94" s="140">
        <f>_xlfn.XLOOKUP(E94,'All Products'!D:D,'All Products'!H:H,FALSE)</f>
        <v>102.64</v>
      </c>
      <c r="J94" s="173">
        <f>ROUNDUP(I94*Order_Quote!$L$26,2)</f>
        <v>102.64</v>
      </c>
      <c r="K94" s="75"/>
      <c r="L94" s="113"/>
      <c r="M94" s="171">
        <f t="shared" si="1"/>
        <v>0</v>
      </c>
      <c r="O94" s="215" t="str">
        <f>_xlfn.XLOOKUP(E94,'All Products'!D:D,'All Products'!I:I,FALSE)</f>
        <v>Within 3 Weeks</v>
      </c>
      <c r="P94" s="215" t="str">
        <f>_xlfn.XLOOKUP(E94,'All Products'!D:D,'All Products'!J:J,FALSE)</f>
        <v>Manufactured</v>
      </c>
      <c r="Q94" s="266">
        <f>_xlfn.XLOOKUP(E94,'All Products'!D:D,'All Products'!K:K,FALSE)</f>
        <v>49081021207</v>
      </c>
      <c r="R94" s="266" t="str">
        <f>_xlfn.XLOOKUP(E94,'All Products'!D:D,'All Products'!L:L,FALSE)</f>
        <v>-</v>
      </c>
      <c r="S94" s="266">
        <f>_xlfn.XLOOKUP(E94,'All Products'!D:D,'All Products'!M:M,FALSE)</f>
        <v>40049081021205</v>
      </c>
      <c r="T94" s="264">
        <f>_xlfn.XLOOKUP(E94,'All Products'!D:D,'All Products'!N:N,FALSE)</f>
        <v>1.0860000000000001</v>
      </c>
      <c r="U94" s="264">
        <f>_xlfn.XLOOKUP(E94,'All Products'!D:D,'All Products'!P:P,FALSE)</f>
        <v>11.35</v>
      </c>
      <c r="V94" s="265">
        <f>_xlfn.XLOOKUP(E94,'All Products'!D:D,'All Products'!Q:Q,FALSE)</f>
        <v>0.8</v>
      </c>
    </row>
    <row r="95" spans="1:22" ht="14.4" customHeight="1">
      <c r="A95" s="101" t="str">
        <f>IF(K95&gt;0,COUNT($A$8:A94)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95" s="610"/>
      <c r="C95" s="611"/>
      <c r="D95" s="274" t="str">
        <f>_xlfn.XLOOKUP(E95,'All Products'!D:D,'All Products'!C:C,FALSE)</f>
        <v>1-D1-13-1-12</v>
      </c>
      <c r="E95" s="103">
        <v>100024091</v>
      </c>
      <c r="F95" s="144" t="str">
        <f>_xlfn.XLOOKUP(E95,'All Products'!D:D,'All Products'!E:E,FALSE)</f>
        <v>25 DN SPG X 1 ACME SU X 12 LL SJ</v>
      </c>
      <c r="G95" s="103">
        <f>_xlfn.XLOOKUP(E95,'All Products'!D:D,'All Products'!F:F,FALSE)</f>
        <v>10</v>
      </c>
      <c r="H95" s="103">
        <f>_xlfn.XLOOKUP(E95,'All Products'!D:D,'All Products'!G:G,FALSE)</f>
        <v>900</v>
      </c>
      <c r="I95" s="140">
        <f>_xlfn.XLOOKUP(E95,'All Products'!D:D,'All Products'!H:H,FALSE)</f>
        <v>102.64</v>
      </c>
      <c r="J95" s="173">
        <f>ROUNDUP(I95*Order_Quote!$L$26,2)</f>
        <v>102.64</v>
      </c>
      <c r="K95" s="75"/>
      <c r="L95" s="113"/>
      <c r="M95" s="171">
        <f t="shared" si="1"/>
        <v>0</v>
      </c>
      <c r="O95" s="215" t="str">
        <f>_xlfn.XLOOKUP(E95,'All Products'!D:D,'All Products'!I:I,FALSE)</f>
        <v>Within 3 Weeks</v>
      </c>
      <c r="P95" s="215" t="str">
        <f>_xlfn.XLOOKUP(E95,'All Products'!D:D,'All Products'!J:J,FALSE)</f>
        <v>Manufactured</v>
      </c>
      <c r="Q95" s="266">
        <f>_xlfn.XLOOKUP(E95,'All Products'!D:D,'All Products'!K:K,FALSE)</f>
        <v>49081022815</v>
      </c>
      <c r="R95" s="266" t="str">
        <f>_xlfn.XLOOKUP(E95,'All Products'!D:D,'All Products'!L:L,FALSE)</f>
        <v>-</v>
      </c>
      <c r="S95" s="266">
        <f>_xlfn.XLOOKUP(E95,'All Products'!D:D,'All Products'!M:M,FALSE)</f>
        <v>40049081022813</v>
      </c>
      <c r="T95" s="264">
        <f>_xlfn.XLOOKUP(E95,'All Products'!D:D,'All Products'!N:N,FALSE)</f>
        <v>1.1100000000000001</v>
      </c>
      <c r="U95" s="264">
        <f>_xlfn.XLOOKUP(E95,'All Products'!D:D,'All Products'!P:P,FALSE)</f>
        <v>11.6</v>
      </c>
      <c r="V95" s="265">
        <f>_xlfn.XLOOKUP(E95,'All Products'!D:D,'All Products'!Q:Q,FALSE)</f>
        <v>0.8</v>
      </c>
    </row>
    <row r="96" spans="1:22" ht="14.4" customHeight="1">
      <c r="A96" s="101" t="str">
        <f>IF(K96&gt;0,COUNT($A$8:A95)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96" s="610"/>
      <c r="C96" s="611"/>
      <c r="D96" s="274" t="str">
        <f>_xlfn.XLOOKUP(E96,'All Products'!D:D,'All Products'!C:C,FALSE)</f>
        <v>1-D1-14-1-12</v>
      </c>
      <c r="E96" s="103">
        <v>100024095</v>
      </c>
      <c r="F96" s="144" t="str">
        <f>_xlfn.XLOOKUP(E96,'All Products'!D:D,'All Products'!E:E,FALSE)</f>
        <v>32MM SPG X 1-1/4 ACME SU X 12 SJ</v>
      </c>
      <c r="G96" s="103">
        <f>_xlfn.XLOOKUP(E96,'All Products'!D:D,'All Products'!F:F,FALSE)</f>
        <v>10</v>
      </c>
      <c r="H96" s="103">
        <f>_xlfn.XLOOKUP(E96,'All Products'!D:D,'All Products'!G:G,FALSE)</f>
        <v>900</v>
      </c>
      <c r="I96" s="140">
        <f>_xlfn.XLOOKUP(E96,'All Products'!D:D,'All Products'!H:H,FALSE)</f>
        <v>102.64</v>
      </c>
      <c r="J96" s="173">
        <f>ROUNDUP(I96*Order_Quote!$L$26,2)</f>
        <v>102.64</v>
      </c>
      <c r="K96" s="75"/>
      <c r="L96" s="113"/>
      <c r="M96" s="171">
        <f t="shared" si="1"/>
        <v>0</v>
      </c>
      <c r="O96" s="215" t="str">
        <f>_xlfn.XLOOKUP(E96,'All Products'!D:D,'All Products'!I:I,FALSE)</f>
        <v>Within 3 Weeks</v>
      </c>
      <c r="P96" s="215" t="str">
        <f>_xlfn.XLOOKUP(E96,'All Products'!D:D,'All Products'!J:J,FALSE)</f>
        <v>Manufactured</v>
      </c>
      <c r="Q96" s="266">
        <f>_xlfn.XLOOKUP(E96,'All Products'!D:D,'All Products'!K:K,FALSE)</f>
        <v>49081020071</v>
      </c>
      <c r="R96" s="266" t="str">
        <f>_xlfn.XLOOKUP(E96,'All Products'!D:D,'All Products'!L:L,FALSE)</f>
        <v>-</v>
      </c>
      <c r="S96" s="266">
        <f>_xlfn.XLOOKUP(E96,'All Products'!D:D,'All Products'!M:M,FALSE)</f>
        <v>40049081020079</v>
      </c>
      <c r="T96" s="264">
        <f>_xlfn.XLOOKUP(E96,'All Products'!D:D,'All Products'!N:N,FALSE)</f>
        <v>1.127</v>
      </c>
      <c r="U96" s="264">
        <f>_xlfn.XLOOKUP(E96,'All Products'!D:D,'All Products'!P:P,FALSE)</f>
        <v>11.7</v>
      </c>
      <c r="V96" s="265">
        <f>_xlfn.XLOOKUP(E96,'All Products'!D:D,'All Products'!Q:Q,FALSE)</f>
        <v>0.8</v>
      </c>
    </row>
    <row r="97" spans="1:22" ht="14.4" customHeight="1">
      <c r="A97" s="101" t="str">
        <f>IF(K97&gt;0,COUNT($A$8:A96)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97" s="610"/>
      <c r="C97" s="611"/>
      <c r="D97" s="274" t="str">
        <f>_xlfn.XLOOKUP(E97,'All Products'!D:D,'All Products'!C:C,FALSE)</f>
        <v>1-D1-22-1-12</v>
      </c>
      <c r="E97" s="103">
        <v>100024096</v>
      </c>
      <c r="F97" s="144" t="str">
        <f>_xlfn.XLOOKUP(E97,'All Products'!D:D,'All Products'!E:E,FALSE)</f>
        <v>25DN SPG X 1 BSP SU X 12 SJ</v>
      </c>
      <c r="G97" s="103">
        <f>_xlfn.XLOOKUP(E97,'All Products'!D:D,'All Products'!F:F,FALSE)</f>
        <v>10</v>
      </c>
      <c r="H97" s="103">
        <f>_xlfn.XLOOKUP(E97,'All Products'!D:D,'All Products'!G:G,FALSE)</f>
        <v>900</v>
      </c>
      <c r="I97" s="140">
        <f>_xlfn.XLOOKUP(E97,'All Products'!D:D,'All Products'!H:H,FALSE)</f>
        <v>102.64</v>
      </c>
      <c r="J97" s="173">
        <f>ROUNDUP(I97*Order_Quote!$L$26,2)</f>
        <v>102.64</v>
      </c>
      <c r="K97" s="75"/>
      <c r="L97" s="113"/>
      <c r="M97" s="171">
        <f t="shared" si="1"/>
        <v>0</v>
      </c>
      <c r="O97" s="215" t="str">
        <f>_xlfn.XLOOKUP(E97,'All Products'!D:D,'All Products'!I:I,FALSE)</f>
        <v>Within 3 Weeks</v>
      </c>
      <c r="P97" s="215" t="str">
        <f>_xlfn.XLOOKUP(E97,'All Products'!D:D,'All Products'!J:J,FALSE)</f>
        <v>Manufactured</v>
      </c>
      <c r="Q97" s="266">
        <f>_xlfn.XLOOKUP(E97,'All Products'!D:D,'All Products'!K:K,FALSE)</f>
        <v>49081021214</v>
      </c>
      <c r="R97" s="266" t="str">
        <f>_xlfn.XLOOKUP(E97,'All Products'!D:D,'All Products'!L:L,FALSE)</f>
        <v>-</v>
      </c>
      <c r="S97" s="266">
        <f>_xlfn.XLOOKUP(E97,'All Products'!D:D,'All Products'!M:M,FALSE)</f>
        <v>40049081021212</v>
      </c>
      <c r="T97" s="264">
        <f>_xlfn.XLOOKUP(E97,'All Products'!D:D,'All Products'!N:N,FALSE)</f>
        <v>0.96599999999999997</v>
      </c>
      <c r="U97" s="264">
        <f>_xlfn.XLOOKUP(E97,'All Products'!D:D,'All Products'!P:P,FALSE)</f>
        <v>11.6</v>
      </c>
      <c r="V97" s="265">
        <f>_xlfn.XLOOKUP(E97,'All Products'!D:D,'All Products'!Q:Q,FALSE)</f>
        <v>0.8</v>
      </c>
    </row>
    <row r="98" spans="1:22" ht="14.4" customHeight="1">
      <c r="A98" s="101" t="str">
        <f>IF(K98&gt;0,COUNT($A$8:A97)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98" s="610"/>
      <c r="C98" s="611"/>
      <c r="D98" s="274" t="str">
        <f>_xlfn.XLOOKUP(E98,'All Products'!D:D,'All Products'!C:C,FALSE)</f>
        <v>1-D1-23-1-12</v>
      </c>
      <c r="E98" s="103">
        <v>100024099</v>
      </c>
      <c r="F98" s="144" t="str">
        <f>_xlfn.XLOOKUP(E98,'All Products'!D:D,'All Products'!E:E,FALSE)</f>
        <v>25DN SPG X 1-1/4 BSP SU X 12 LL SJ</v>
      </c>
      <c r="G98" s="103">
        <f>_xlfn.XLOOKUP(E98,'All Products'!D:D,'All Products'!F:F,FALSE)</f>
        <v>10</v>
      </c>
      <c r="H98" s="103">
        <f>_xlfn.XLOOKUP(E98,'All Products'!D:D,'All Products'!G:G,FALSE)</f>
        <v>900</v>
      </c>
      <c r="I98" s="140">
        <f>_xlfn.XLOOKUP(E98,'All Products'!D:D,'All Products'!H:H,FALSE)</f>
        <v>102.64</v>
      </c>
      <c r="J98" s="173">
        <f>ROUNDUP(I98*Order_Quote!$L$26,2)</f>
        <v>102.64</v>
      </c>
      <c r="K98" s="75"/>
      <c r="L98" s="113"/>
      <c r="M98" s="171">
        <f t="shared" si="1"/>
        <v>0</v>
      </c>
      <c r="O98" s="215" t="str">
        <f>_xlfn.XLOOKUP(E98,'All Products'!D:D,'All Products'!I:I,FALSE)</f>
        <v>Within 3 Weeks</v>
      </c>
      <c r="P98" s="215" t="str">
        <f>_xlfn.XLOOKUP(E98,'All Products'!D:D,'All Products'!J:J,FALSE)</f>
        <v>Manufactured</v>
      </c>
      <c r="Q98" s="266">
        <f>_xlfn.XLOOKUP(E98,'All Products'!D:D,'All Products'!K:K,FALSE)</f>
        <v>49081021238</v>
      </c>
      <c r="R98" s="266" t="str">
        <f>_xlfn.XLOOKUP(E98,'All Products'!D:D,'All Products'!L:L,FALSE)</f>
        <v>-</v>
      </c>
      <c r="S98" s="266">
        <f>_xlfn.XLOOKUP(E98,'All Products'!D:D,'All Products'!M:M,FALSE)</f>
        <v>40049081021236</v>
      </c>
      <c r="T98" s="264">
        <f>_xlfn.XLOOKUP(E98,'All Products'!D:D,'All Products'!N:N,FALSE)</f>
        <v>1.161</v>
      </c>
      <c r="U98" s="264">
        <f>_xlfn.XLOOKUP(E98,'All Products'!D:D,'All Products'!P:P,FALSE)</f>
        <v>12.15</v>
      </c>
      <c r="V98" s="265">
        <f>_xlfn.XLOOKUP(E98,'All Products'!D:D,'All Products'!Q:Q,FALSE)</f>
        <v>0.8</v>
      </c>
    </row>
    <row r="99" spans="1:22" ht="14.4" customHeight="1">
      <c r="A99" s="101" t="str">
        <f>IF(K99&gt;0,COUNT($A$8:A98)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99" s="610"/>
      <c r="C99" s="611"/>
      <c r="D99" s="274" t="str">
        <f>_xlfn.XLOOKUP(E99,'All Products'!D:D,'All Products'!C:C,FALSE)</f>
        <v>1-D1-3-1-12</v>
      </c>
      <c r="E99" s="103">
        <v>100024100</v>
      </c>
      <c r="F99" s="144" t="str">
        <f>_xlfn.XLOOKUP(E99,'All Products'!D:D,'All Products'!E:E,FALSE)</f>
        <v>25DN SPG X 1 MPT SU X 12 SJ</v>
      </c>
      <c r="G99" s="103">
        <f>_xlfn.XLOOKUP(E99,'All Products'!D:D,'All Products'!F:F,FALSE)</f>
        <v>10</v>
      </c>
      <c r="H99" s="103">
        <f>_xlfn.XLOOKUP(E99,'All Products'!D:D,'All Products'!G:G,FALSE)</f>
        <v>900</v>
      </c>
      <c r="I99" s="140">
        <f>_xlfn.XLOOKUP(E99,'All Products'!D:D,'All Products'!H:H,FALSE)</f>
        <v>102.64</v>
      </c>
      <c r="J99" s="173">
        <f>ROUNDUP(I99*Order_Quote!$L$26,2)</f>
        <v>102.64</v>
      </c>
      <c r="K99" s="75"/>
      <c r="L99" s="113"/>
      <c r="M99" s="171">
        <f t="shared" si="1"/>
        <v>0</v>
      </c>
      <c r="O99" s="215" t="str">
        <f>_xlfn.XLOOKUP(E99,'All Products'!D:D,'All Products'!I:I,FALSE)</f>
        <v>Within 3 Weeks</v>
      </c>
      <c r="P99" s="215" t="str">
        <f>_xlfn.XLOOKUP(E99,'All Products'!D:D,'All Products'!J:J,FALSE)</f>
        <v>Manufactured</v>
      </c>
      <c r="Q99" s="266">
        <f>_xlfn.XLOOKUP(E99,'All Products'!D:D,'All Products'!K:K,FALSE)</f>
        <v>49081021245</v>
      </c>
      <c r="R99" s="266" t="str">
        <f>_xlfn.XLOOKUP(E99,'All Products'!D:D,'All Products'!L:L,FALSE)</f>
        <v>-</v>
      </c>
      <c r="S99" s="266">
        <f>_xlfn.XLOOKUP(E99,'All Products'!D:D,'All Products'!M:M,FALSE)</f>
        <v>40049081021243</v>
      </c>
      <c r="T99" s="264">
        <f>_xlfn.XLOOKUP(E99,'All Products'!D:D,'All Products'!N:N,FALSE)</f>
        <v>1.0900000000000001</v>
      </c>
      <c r="U99" s="264">
        <f>_xlfn.XLOOKUP(E99,'All Products'!D:D,'All Products'!P:P,FALSE)</f>
        <v>11.6</v>
      </c>
      <c r="V99" s="265">
        <f>_xlfn.XLOOKUP(E99,'All Products'!D:D,'All Products'!Q:Q,FALSE)</f>
        <v>0.8</v>
      </c>
    </row>
    <row r="100" spans="1:22" ht="14.4" customHeight="1">
      <c r="A100" s="101" t="str">
        <f>IF(K100&gt;0,COUNT($A$8:A99)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00" s="610"/>
      <c r="C100" s="611"/>
      <c r="D100" s="274" t="str">
        <f>_xlfn.XLOOKUP(E100,'All Products'!D:D,'All Products'!C:C,FALSE)</f>
        <v>1-J4-13-1-12</v>
      </c>
      <c r="E100" s="103">
        <v>100024953</v>
      </c>
      <c r="F100" s="144" t="str">
        <f>_xlfn.XLOOKUP(E100,'All Products'!D:D,'All Products'!E:E,FALSE)</f>
        <v>25MM SOC X 1 ACME SU X 12 SJ</v>
      </c>
      <c r="G100" s="103">
        <f>_xlfn.XLOOKUP(E100,'All Products'!D:D,'All Products'!F:F,FALSE)</f>
        <v>10</v>
      </c>
      <c r="H100" s="103">
        <f>_xlfn.XLOOKUP(E100,'All Products'!D:D,'All Products'!G:G,FALSE)</f>
        <v>900</v>
      </c>
      <c r="I100" s="140">
        <f>_xlfn.XLOOKUP(E100,'All Products'!D:D,'All Products'!H:H,FALSE)</f>
        <v>102.64</v>
      </c>
      <c r="J100" s="173">
        <f>ROUNDUP(I100*Order_Quote!$L$26,2)</f>
        <v>102.64</v>
      </c>
      <c r="K100" s="75"/>
      <c r="L100" s="113"/>
      <c r="M100" s="171">
        <f t="shared" si="1"/>
        <v>0</v>
      </c>
      <c r="O100" s="215" t="str">
        <f>_xlfn.XLOOKUP(E100,'All Products'!D:D,'All Products'!I:I,FALSE)</f>
        <v>Within 3 Weeks</v>
      </c>
      <c r="P100" s="215" t="str">
        <f>_xlfn.XLOOKUP(E100,'All Products'!D:D,'All Products'!J:J,FALSE)</f>
        <v>Manufactured</v>
      </c>
      <c r="Q100" s="266">
        <f>_xlfn.XLOOKUP(E100,'All Products'!D:D,'All Products'!K:K,FALSE)</f>
        <v>49081021283</v>
      </c>
      <c r="R100" s="266" t="str">
        <f>_xlfn.XLOOKUP(E100,'All Products'!D:D,'All Products'!L:L,FALSE)</f>
        <v>-</v>
      </c>
      <c r="S100" s="266">
        <f>_xlfn.XLOOKUP(E100,'All Products'!D:D,'All Products'!M:M,FALSE)</f>
        <v>40049081021281</v>
      </c>
      <c r="T100" s="264">
        <f>_xlfn.XLOOKUP(E100,'All Products'!D:D,'All Products'!N:N,FALSE)</f>
        <v>1.1140000000000001</v>
      </c>
      <c r="U100" s="264">
        <f>_xlfn.XLOOKUP(E100,'All Products'!D:D,'All Products'!P:P,FALSE)</f>
        <v>11.65</v>
      </c>
      <c r="V100" s="265">
        <f>_xlfn.XLOOKUP(E100,'All Products'!D:D,'All Products'!Q:Q,FALSE)</f>
        <v>0.8</v>
      </c>
    </row>
    <row r="101" spans="1:22" ht="14.4" customHeight="1">
      <c r="A101" s="101" t="str">
        <f>IF(K101&gt;0,COUNT($A$8:A100)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01" s="610"/>
      <c r="C101" s="611"/>
      <c r="D101" s="274" t="str">
        <f>_xlfn.XLOOKUP(E101,'All Products'!D:D,'All Products'!C:C,FALSE)</f>
        <v>1-J4-22-1-12</v>
      </c>
      <c r="E101" s="103">
        <v>100024112</v>
      </c>
      <c r="F101" s="144" t="str">
        <f>_xlfn.XLOOKUP(E101,'All Products'!D:D,'All Products'!E:E,FALSE)</f>
        <v>25MM SOC X 1 BSPT SU X 12 SJ</v>
      </c>
      <c r="G101" s="103">
        <f>_xlfn.XLOOKUP(E101,'All Products'!D:D,'All Products'!F:F,FALSE)</f>
        <v>10</v>
      </c>
      <c r="H101" s="103">
        <f>_xlfn.XLOOKUP(E101,'All Products'!D:D,'All Products'!G:G,FALSE)</f>
        <v>900</v>
      </c>
      <c r="I101" s="140">
        <f>_xlfn.XLOOKUP(E101,'All Products'!D:D,'All Products'!H:H,FALSE)</f>
        <v>102.64</v>
      </c>
      <c r="J101" s="173">
        <f>ROUNDUP(I101*Order_Quote!$L$26,2)</f>
        <v>102.64</v>
      </c>
      <c r="K101" s="75"/>
      <c r="L101" s="113"/>
      <c r="M101" s="171">
        <f t="shared" si="1"/>
        <v>0</v>
      </c>
      <c r="O101" s="215" t="str">
        <f>_xlfn.XLOOKUP(E101,'All Products'!D:D,'All Products'!I:I,FALSE)</f>
        <v>Within 3 Weeks</v>
      </c>
      <c r="P101" s="215" t="str">
        <f>_xlfn.XLOOKUP(E101,'All Products'!D:D,'All Products'!J:J,FALSE)</f>
        <v>Manufactured</v>
      </c>
      <c r="Q101" s="266">
        <f>_xlfn.XLOOKUP(E101,'All Products'!D:D,'All Products'!K:K,FALSE)</f>
        <v>49081021290</v>
      </c>
      <c r="R101" s="266" t="str">
        <f>_xlfn.XLOOKUP(E101,'All Products'!D:D,'All Products'!L:L,FALSE)</f>
        <v>-</v>
      </c>
      <c r="S101" s="266">
        <f>_xlfn.XLOOKUP(E101,'All Products'!D:D,'All Products'!M:M,FALSE)</f>
        <v>40049081021298</v>
      </c>
      <c r="T101" s="264">
        <f>_xlfn.XLOOKUP(E101,'All Products'!D:D,'All Products'!N:N,FALSE)</f>
        <v>1.093</v>
      </c>
      <c r="U101" s="264">
        <f>_xlfn.XLOOKUP(E101,'All Products'!D:D,'All Products'!P:P,FALSE)</f>
        <v>11.65</v>
      </c>
      <c r="V101" s="265">
        <f>_xlfn.XLOOKUP(E101,'All Products'!D:D,'All Products'!Q:Q,FALSE)</f>
        <v>0.8</v>
      </c>
    </row>
    <row r="102" spans="1:22" ht="14.4" customHeight="1">
      <c r="A102" s="101" t="str">
        <f>IF(K102&gt;0,COUNT($A$8:A101)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02" s="610"/>
      <c r="C102" s="611"/>
      <c r="D102" s="274" t="str">
        <f>_xlfn.XLOOKUP(E102,'All Products'!D:D,'All Products'!C:C,FALSE)</f>
        <v>1-J4-3-1-12</v>
      </c>
      <c r="E102" s="103">
        <v>100024113</v>
      </c>
      <c r="F102" s="144" t="str">
        <f>_xlfn.XLOOKUP(E102,'All Products'!D:D,'All Products'!E:E,FALSE)</f>
        <v>25MM SOC X 1 MPT SU X 12 SJ</v>
      </c>
      <c r="G102" s="103">
        <f>_xlfn.XLOOKUP(E102,'All Products'!D:D,'All Products'!F:F,FALSE)</f>
        <v>10</v>
      </c>
      <c r="H102" s="103">
        <f>_xlfn.XLOOKUP(E102,'All Products'!D:D,'All Products'!G:G,FALSE)</f>
        <v>600</v>
      </c>
      <c r="I102" s="140">
        <f>_xlfn.XLOOKUP(E102,'All Products'!D:D,'All Products'!H:H,FALSE)</f>
        <v>102.64</v>
      </c>
      <c r="J102" s="173">
        <f>ROUNDUP(I102*Order_Quote!$L$26,2)</f>
        <v>102.64</v>
      </c>
      <c r="K102" s="75"/>
      <c r="L102" s="113"/>
      <c r="M102" s="171">
        <f t="shared" si="1"/>
        <v>0</v>
      </c>
      <c r="O102" s="215" t="str">
        <f>_xlfn.XLOOKUP(E102,'All Products'!D:D,'All Products'!I:I,FALSE)</f>
        <v>Within 3 Weeks</v>
      </c>
      <c r="P102" s="215" t="str">
        <f>_xlfn.XLOOKUP(E102,'All Products'!D:D,'All Products'!J:J,FALSE)</f>
        <v>Manufactured</v>
      </c>
      <c r="Q102" s="266">
        <f>_xlfn.XLOOKUP(E102,'All Products'!D:D,'All Products'!K:K,FALSE)</f>
        <v>49081021306</v>
      </c>
      <c r="R102" s="266" t="str">
        <f>_xlfn.XLOOKUP(E102,'All Products'!D:D,'All Products'!L:L,FALSE)</f>
        <v>-</v>
      </c>
      <c r="S102" s="266">
        <f>_xlfn.XLOOKUP(E102,'All Products'!D:D,'All Products'!M:M,FALSE)</f>
        <v>40049081021304</v>
      </c>
      <c r="T102" s="264">
        <f>_xlfn.XLOOKUP(E102,'All Products'!D:D,'All Products'!N:N,FALSE)</f>
        <v>1.0940000000000001</v>
      </c>
      <c r="U102" s="264">
        <f>_xlfn.XLOOKUP(E102,'All Products'!D:D,'All Products'!P:P,FALSE)</f>
        <v>11.01</v>
      </c>
      <c r="V102" s="265">
        <f>_xlfn.XLOOKUP(E102,'All Products'!D:D,'All Products'!Q:Q,FALSE)</f>
        <v>1.41</v>
      </c>
    </row>
    <row r="103" spans="1:22" ht="14.4" customHeight="1">
      <c r="A103" s="101" t="str">
        <f>IF(K103&gt;0,COUNT($A$8:A102)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03" s="610"/>
      <c r="C103" s="611"/>
      <c r="D103" s="274" t="str">
        <f>_xlfn.XLOOKUP(E103,'All Products'!D:D,'All Products'!C:C,FALSE)</f>
        <v>2-17-16-1-12</v>
      </c>
      <c r="E103" s="103">
        <v>100024114</v>
      </c>
      <c r="F103" s="144" t="str">
        <f>_xlfn.XLOOKUP(E103,'All Products'!D:D,'All Products'!E:E,FALSE)</f>
        <v>1-1/4 ACME X 1 ACME SU X 12 LL SJ</v>
      </c>
      <c r="G103" s="103">
        <f>_xlfn.XLOOKUP(E103,'All Products'!D:D,'All Products'!F:F,FALSE)</f>
        <v>10</v>
      </c>
      <c r="H103" s="103" t="str">
        <f>_xlfn.XLOOKUP(E103,'All Products'!D:D,'All Products'!G:G,FALSE)</f>
        <v>-</v>
      </c>
      <c r="I103" s="140">
        <f>_xlfn.XLOOKUP(E103,'All Products'!D:D,'All Products'!H:H,FALSE)</f>
        <v>136.21</v>
      </c>
      <c r="J103" s="173">
        <f>ROUNDUP(I103*Order_Quote!$L$26,2)</f>
        <v>136.21</v>
      </c>
      <c r="K103" s="75"/>
      <c r="L103" s="113"/>
      <c r="M103" s="171">
        <f t="shared" si="1"/>
        <v>0</v>
      </c>
      <c r="O103" s="215" t="str">
        <f>_xlfn.XLOOKUP(E103,'All Products'!D:D,'All Products'!I:I,FALSE)</f>
        <v>Within 3 Weeks</v>
      </c>
      <c r="P103" s="215" t="str">
        <f>_xlfn.XLOOKUP(E103,'All Products'!D:D,'All Products'!J:J,FALSE)</f>
        <v>Manufactured</v>
      </c>
      <c r="Q103" s="266">
        <f>_xlfn.XLOOKUP(E103,'All Products'!D:D,'All Products'!K:K,FALSE)</f>
        <v>49081025632</v>
      </c>
      <c r="R103" s="266" t="str">
        <f>_xlfn.XLOOKUP(E103,'All Products'!D:D,'All Products'!L:L,FALSE)</f>
        <v>-</v>
      </c>
      <c r="S103" s="266">
        <f>_xlfn.XLOOKUP(E103,'All Products'!D:D,'All Products'!M:M,FALSE)</f>
        <v>40049081025630</v>
      </c>
      <c r="T103" s="264">
        <f>_xlfn.XLOOKUP(E103,'All Products'!D:D,'All Products'!N:N,FALSE)</f>
        <v>1.7789999999999999</v>
      </c>
      <c r="U103" s="264">
        <f>_xlfn.XLOOKUP(E103,'All Products'!D:D,'All Products'!P:P,FALSE)</f>
        <v>17.43</v>
      </c>
      <c r="V103" s="265" t="str">
        <f>_xlfn.XLOOKUP(E103,'All Products'!D:D,'All Products'!Q:Q,FALSE)</f>
        <v>-</v>
      </c>
    </row>
    <row r="104" spans="1:22" ht="14.4" customHeight="1">
      <c r="A104" s="101" t="str">
        <f>IF(K104&gt;0,COUNT($A$8:A103)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04" s="610"/>
      <c r="C104" s="611"/>
      <c r="D104" s="274" t="str">
        <f>_xlfn.XLOOKUP(E104,'All Products'!D:D,'All Products'!C:C,FALSE)</f>
        <v>2-18-16-1-12</v>
      </c>
      <c r="E104" s="103">
        <v>100024954</v>
      </c>
      <c r="F104" s="144" t="str">
        <f>_xlfn.XLOOKUP(E104,'All Products'!D:D,'All Products'!E:E,FALSE)</f>
        <v>1-1/2 ACME X 1 ACME SU X 12 SJ</v>
      </c>
      <c r="G104" s="103">
        <f>_xlfn.XLOOKUP(E104,'All Products'!D:D,'All Products'!F:F,FALSE)</f>
        <v>10</v>
      </c>
      <c r="H104" s="103">
        <f>_xlfn.XLOOKUP(E104,'All Products'!D:D,'All Products'!G:G,FALSE)</f>
        <v>600</v>
      </c>
      <c r="I104" s="140">
        <f>_xlfn.XLOOKUP(E104,'All Products'!D:D,'All Products'!H:H,FALSE)</f>
        <v>136.21</v>
      </c>
      <c r="J104" s="173">
        <f>ROUNDUP(I104*Order_Quote!$L$26,2)</f>
        <v>136.21</v>
      </c>
      <c r="K104" s="75"/>
      <c r="L104" s="113"/>
      <c r="M104" s="171">
        <f t="shared" si="1"/>
        <v>0</v>
      </c>
      <c r="O104" s="215" t="str">
        <f>_xlfn.XLOOKUP(E104,'All Products'!D:D,'All Products'!I:I,FALSE)</f>
        <v>Within 3 Weeks</v>
      </c>
      <c r="P104" s="215" t="str">
        <f>_xlfn.XLOOKUP(E104,'All Products'!D:D,'All Products'!J:J,FALSE)</f>
        <v>Manufactured</v>
      </c>
      <c r="Q104" s="266">
        <f>_xlfn.XLOOKUP(E104,'All Products'!D:D,'All Products'!K:K,FALSE)</f>
        <v>49081025717</v>
      </c>
      <c r="R104" s="266" t="str">
        <f>_xlfn.XLOOKUP(E104,'All Products'!D:D,'All Products'!L:L,FALSE)</f>
        <v>-</v>
      </c>
      <c r="S104" s="266">
        <f>_xlfn.XLOOKUP(E104,'All Products'!D:D,'All Products'!M:M,FALSE)</f>
        <v>40049081025715</v>
      </c>
      <c r="T104" s="264">
        <f>_xlfn.XLOOKUP(E104,'All Products'!D:D,'All Products'!N:N,FALSE)</f>
        <v>1.8109999999999999</v>
      </c>
      <c r="U104" s="264">
        <f>_xlfn.XLOOKUP(E104,'All Products'!D:D,'All Products'!P:P,FALSE)</f>
        <v>17.78</v>
      </c>
      <c r="V104" s="265">
        <f>_xlfn.XLOOKUP(E104,'All Products'!D:D,'All Products'!Q:Q,FALSE)</f>
        <v>1.41</v>
      </c>
    </row>
    <row r="105" spans="1:22" ht="14.4" customHeight="1">
      <c r="A105" s="101" t="str">
        <f>IF(K105&gt;0,COUNT($A$8:A104)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05" s="610"/>
      <c r="C105" s="611"/>
      <c r="D105" s="274" t="str">
        <f>_xlfn.XLOOKUP(E105,'All Products'!D:D,'All Products'!C:C,FALSE)</f>
        <v>2-18-16-1-18</v>
      </c>
      <c r="E105" s="103">
        <v>100024115</v>
      </c>
      <c r="F105" s="144" t="str">
        <f>_xlfn.XLOOKUP(E105,'All Products'!D:D,'All Products'!E:E,FALSE)</f>
        <v>1-1/2 ACME X 1 ACME SU X 18 LL SJ</v>
      </c>
      <c r="G105" s="103">
        <f>_xlfn.XLOOKUP(E105,'All Products'!D:D,'All Products'!F:F,FALSE)</f>
        <v>10</v>
      </c>
      <c r="H105" s="103">
        <f>_xlfn.XLOOKUP(E105,'All Products'!D:D,'All Products'!G:G,FALSE)</f>
        <v>1200</v>
      </c>
      <c r="I105" s="140">
        <f>_xlfn.XLOOKUP(E105,'All Products'!D:D,'All Products'!H:H,FALSE)</f>
        <v>147.31</v>
      </c>
      <c r="J105" s="173">
        <f>ROUNDUP(I105*Order_Quote!$L$26,2)</f>
        <v>147.31</v>
      </c>
      <c r="K105" s="75"/>
      <c r="L105" s="113"/>
      <c r="M105" s="171">
        <f t="shared" si="1"/>
        <v>0</v>
      </c>
      <c r="O105" s="215" t="str">
        <f>_xlfn.XLOOKUP(E105,'All Products'!D:D,'All Products'!I:I,FALSE)</f>
        <v>Within 3 Weeks</v>
      </c>
      <c r="P105" s="215" t="str">
        <f>_xlfn.XLOOKUP(E105,'All Products'!D:D,'All Products'!J:J,FALSE)</f>
        <v>Manufactured</v>
      </c>
      <c r="Q105" s="266">
        <f>_xlfn.XLOOKUP(E105,'All Products'!D:D,'All Products'!K:K,FALSE)</f>
        <v>49081031664</v>
      </c>
      <c r="R105" s="266" t="str">
        <f>_xlfn.XLOOKUP(E105,'All Products'!D:D,'All Products'!L:L,FALSE)</f>
        <v>-</v>
      </c>
      <c r="S105" s="266">
        <f>_xlfn.XLOOKUP(E105,'All Products'!D:D,'All Products'!M:M,FALSE)</f>
        <v>40049081031662</v>
      </c>
      <c r="T105" s="264">
        <f>_xlfn.XLOOKUP(E105,'All Products'!D:D,'All Products'!N:N,FALSE)</f>
        <v>2.085</v>
      </c>
      <c r="U105" s="264">
        <f>_xlfn.XLOOKUP(E105,'All Products'!D:D,'All Products'!P:P,FALSE)</f>
        <v>21.7</v>
      </c>
      <c r="V105" s="265">
        <f>_xlfn.XLOOKUP(E105,'All Products'!D:D,'All Products'!Q:Q,FALSE)</f>
        <v>0.65</v>
      </c>
    </row>
    <row r="106" spans="1:22" ht="14.4" customHeight="1">
      <c r="A106" s="101" t="str">
        <f>IF(K106&gt;0,COUNT($A$8:A105)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06" s="610"/>
      <c r="C106" s="611"/>
      <c r="D106" s="274" t="str">
        <f>_xlfn.XLOOKUP(E106,'All Products'!D:D,'All Products'!C:C,FALSE)</f>
        <v>2-22-16-1-12</v>
      </c>
      <c r="E106" s="103">
        <v>100024958</v>
      </c>
      <c r="F106" s="144" t="str">
        <f>_xlfn.XLOOKUP(E106,'All Products'!D:D,'All Products'!E:E,FALSE)</f>
        <v>1-1/4 BSP X 1 ACME SU X 12 SJ</v>
      </c>
      <c r="G106" s="103">
        <f>_xlfn.XLOOKUP(E106,'All Products'!D:D,'All Products'!F:F,FALSE)</f>
        <v>10</v>
      </c>
      <c r="H106" s="103">
        <f>_xlfn.XLOOKUP(E106,'All Products'!D:D,'All Products'!G:G,FALSE)</f>
        <v>600</v>
      </c>
      <c r="I106" s="140">
        <f>_xlfn.XLOOKUP(E106,'All Products'!D:D,'All Products'!H:H,FALSE)</f>
        <v>136.21</v>
      </c>
      <c r="J106" s="173">
        <f>ROUNDUP(I106*Order_Quote!$L$26,2)</f>
        <v>136.21</v>
      </c>
      <c r="K106" s="75"/>
      <c r="L106" s="113"/>
      <c r="M106" s="171">
        <f t="shared" si="1"/>
        <v>0</v>
      </c>
      <c r="O106" s="215" t="str">
        <f>_xlfn.XLOOKUP(E106,'All Products'!D:D,'All Products'!I:I,FALSE)</f>
        <v>In Stock</v>
      </c>
      <c r="P106" s="215" t="str">
        <f>_xlfn.XLOOKUP(E106,'All Products'!D:D,'All Products'!J:J,FALSE)</f>
        <v>Manufactured</v>
      </c>
      <c r="Q106" s="266">
        <f>_xlfn.XLOOKUP(E106,'All Products'!D:D,'All Products'!K:K,FALSE)</f>
        <v>49081021313</v>
      </c>
      <c r="R106" s="266" t="str">
        <f>_xlfn.XLOOKUP(E106,'All Products'!D:D,'All Products'!L:L,FALSE)</f>
        <v>-</v>
      </c>
      <c r="S106" s="266">
        <f>_xlfn.XLOOKUP(E106,'All Products'!D:D,'All Products'!M:M,FALSE)</f>
        <v>40049081021311</v>
      </c>
      <c r="T106" s="264">
        <f>_xlfn.XLOOKUP(E106,'All Products'!D:D,'All Products'!N:N,FALSE)</f>
        <v>1.766</v>
      </c>
      <c r="U106" s="264">
        <f>_xlfn.XLOOKUP(E106,'All Products'!D:D,'All Products'!P:P,FALSE)</f>
        <v>17.399999999999999</v>
      </c>
      <c r="V106" s="265">
        <f>_xlfn.XLOOKUP(E106,'All Products'!D:D,'All Products'!Q:Q,FALSE)</f>
        <v>1.41</v>
      </c>
    </row>
    <row r="107" spans="1:22" ht="14.4" customHeight="1">
      <c r="A107" s="101" t="str">
        <f>IF(K107&gt;0,COUNT($A$8:A106)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07" s="610"/>
      <c r="C107" s="611"/>
      <c r="D107" s="274" t="str">
        <f>_xlfn.XLOOKUP(E107,'All Products'!D:D,'All Products'!C:C,FALSE)</f>
        <v>2-22-17-1-12</v>
      </c>
      <c r="E107" s="103">
        <v>100024116</v>
      </c>
      <c r="F107" s="144" t="str">
        <f>_xlfn.XLOOKUP(E107,'All Products'!D:D,'All Products'!E:E,FALSE)</f>
        <v>1-1/4 BSP X 1-1/4 ACME SU X 12 SJ</v>
      </c>
      <c r="G107" s="103">
        <f>_xlfn.XLOOKUP(E107,'All Products'!D:D,'All Products'!F:F,FALSE)</f>
        <v>10</v>
      </c>
      <c r="H107" s="103">
        <f>_xlfn.XLOOKUP(E107,'All Products'!D:D,'All Products'!G:G,FALSE)</f>
        <v>600</v>
      </c>
      <c r="I107" s="140">
        <f>_xlfn.XLOOKUP(E107,'All Products'!D:D,'All Products'!H:H,FALSE)</f>
        <v>136.21</v>
      </c>
      <c r="J107" s="173">
        <f>ROUNDUP(I107*Order_Quote!$L$26,2)</f>
        <v>136.21</v>
      </c>
      <c r="K107" s="75"/>
      <c r="L107" s="113"/>
      <c r="M107" s="171">
        <f t="shared" si="1"/>
        <v>0</v>
      </c>
      <c r="O107" s="215" t="str">
        <f>_xlfn.XLOOKUP(E107,'All Products'!D:D,'All Products'!I:I,FALSE)</f>
        <v>Within 3 Weeks</v>
      </c>
      <c r="P107" s="215" t="str">
        <f>_xlfn.XLOOKUP(E107,'All Products'!D:D,'All Products'!J:J,FALSE)</f>
        <v>Manufactured</v>
      </c>
      <c r="Q107" s="266">
        <f>_xlfn.XLOOKUP(E107,'All Products'!D:D,'All Products'!K:K,FALSE)</f>
        <v>49081021320</v>
      </c>
      <c r="R107" s="266" t="str">
        <f>_xlfn.XLOOKUP(E107,'All Products'!D:D,'All Products'!L:L,FALSE)</f>
        <v>-</v>
      </c>
      <c r="S107" s="266">
        <f>_xlfn.XLOOKUP(E107,'All Products'!D:D,'All Products'!M:M,FALSE)</f>
        <v>40049081021328</v>
      </c>
      <c r="T107" s="264">
        <f>_xlfn.XLOOKUP(E107,'All Products'!D:D,'All Products'!N:N,FALSE)</f>
        <v>1.742</v>
      </c>
      <c r="U107" s="264">
        <f>_xlfn.XLOOKUP(E107,'All Products'!D:D,'All Products'!P:P,FALSE)</f>
        <v>17.12</v>
      </c>
      <c r="V107" s="265">
        <f>_xlfn.XLOOKUP(E107,'All Products'!D:D,'All Products'!Q:Q,FALSE)</f>
        <v>1.25</v>
      </c>
    </row>
    <row r="108" spans="1:22" ht="14.4" customHeight="1">
      <c r="A108" s="101" t="str">
        <f>IF(K108&gt;0,COUNT($A$8:A107)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08" s="610"/>
      <c r="C108" s="611"/>
      <c r="D108" s="274" t="str">
        <f>_xlfn.XLOOKUP(E108,'All Products'!D:D,'All Products'!C:C,FALSE)</f>
        <v>2-22-18-1-12</v>
      </c>
      <c r="E108" s="103">
        <v>100024959</v>
      </c>
      <c r="F108" s="144" t="str">
        <f>_xlfn.XLOOKUP(E108,'All Products'!D:D,'All Products'!E:E,FALSE)</f>
        <v>1-1/4 BSP X 1-1/2 ACME SU X 12 SJ</v>
      </c>
      <c r="G108" s="103">
        <f>_xlfn.XLOOKUP(E108,'All Products'!D:D,'All Products'!F:F,FALSE)</f>
        <v>10</v>
      </c>
      <c r="H108" s="103">
        <f>_xlfn.XLOOKUP(E108,'All Products'!D:D,'All Products'!G:G,FALSE)</f>
        <v>600</v>
      </c>
      <c r="I108" s="140">
        <f>_xlfn.XLOOKUP(E108,'All Products'!D:D,'All Products'!H:H,FALSE)</f>
        <v>136.21</v>
      </c>
      <c r="J108" s="173">
        <f>ROUNDUP(I108*Order_Quote!$L$26,2)</f>
        <v>136.21</v>
      </c>
      <c r="K108" s="75"/>
      <c r="L108" s="113"/>
      <c r="M108" s="171">
        <f t="shared" si="1"/>
        <v>0</v>
      </c>
      <c r="O108" s="215" t="str">
        <f>_xlfn.XLOOKUP(E108,'All Products'!D:D,'All Products'!I:I,FALSE)</f>
        <v>In Stock</v>
      </c>
      <c r="P108" s="215" t="str">
        <f>_xlfn.XLOOKUP(E108,'All Products'!D:D,'All Products'!J:J,FALSE)</f>
        <v>Manufactured</v>
      </c>
      <c r="Q108" s="266">
        <f>_xlfn.XLOOKUP(E108,'All Products'!D:D,'All Products'!K:K,FALSE)</f>
        <v>49081021337</v>
      </c>
      <c r="R108" s="266" t="str">
        <f>_xlfn.XLOOKUP(E108,'All Products'!D:D,'All Products'!L:L,FALSE)</f>
        <v>-</v>
      </c>
      <c r="S108" s="266">
        <f>_xlfn.XLOOKUP(E108,'All Products'!D:D,'All Products'!M:M,FALSE)</f>
        <v>40049081021335</v>
      </c>
      <c r="T108" s="264">
        <f>_xlfn.XLOOKUP(E108,'All Products'!D:D,'All Products'!N:N,FALSE)</f>
        <v>1.774</v>
      </c>
      <c r="U108" s="264">
        <f>_xlfn.XLOOKUP(E108,'All Products'!D:D,'All Products'!P:P,FALSE)</f>
        <v>17.47</v>
      </c>
      <c r="V108" s="265">
        <f>_xlfn.XLOOKUP(E108,'All Products'!D:D,'All Products'!Q:Q,FALSE)</f>
        <v>1.25</v>
      </c>
    </row>
    <row r="109" spans="1:22" ht="14.4" customHeight="1">
      <c r="A109" s="101" t="str">
        <f>IF(K109&gt;0,COUNT($A$8:A108)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09" s="610"/>
      <c r="C109" s="611"/>
      <c r="D109" s="274" t="str">
        <f>_xlfn.XLOOKUP(E109,'All Products'!D:D,'All Products'!C:C,FALSE)</f>
        <v>2-22-22-1-12</v>
      </c>
      <c r="E109" s="103">
        <v>100024960</v>
      </c>
      <c r="F109" s="144" t="str">
        <f>_xlfn.XLOOKUP(E109,'All Products'!D:D,'All Products'!E:E,FALSE)</f>
        <v>1-1/4 BSP X 1-1/4 BSP SU X12 SJ</v>
      </c>
      <c r="G109" s="103">
        <f>_xlfn.XLOOKUP(E109,'All Products'!D:D,'All Products'!F:F,FALSE)</f>
        <v>10</v>
      </c>
      <c r="H109" s="103">
        <f>_xlfn.XLOOKUP(E109,'All Products'!D:D,'All Products'!G:G,FALSE)</f>
        <v>600</v>
      </c>
      <c r="I109" s="140">
        <f>_xlfn.XLOOKUP(E109,'All Products'!D:D,'All Products'!H:H,FALSE)</f>
        <v>136.21</v>
      </c>
      <c r="J109" s="173">
        <f>ROUNDUP(I109*Order_Quote!$L$26,2)</f>
        <v>136.21</v>
      </c>
      <c r="K109" s="75"/>
      <c r="L109" s="113"/>
      <c r="M109" s="171">
        <f t="shared" si="1"/>
        <v>0</v>
      </c>
      <c r="O109" s="215" t="str">
        <f>_xlfn.XLOOKUP(E109,'All Products'!D:D,'All Products'!I:I,FALSE)</f>
        <v>In Stock</v>
      </c>
      <c r="P109" s="215" t="str">
        <f>_xlfn.XLOOKUP(E109,'All Products'!D:D,'All Products'!J:J,FALSE)</f>
        <v>Manufactured</v>
      </c>
      <c r="Q109" s="266">
        <f>_xlfn.XLOOKUP(E109,'All Products'!D:D,'All Products'!K:K,FALSE)</f>
        <v>49081021344</v>
      </c>
      <c r="R109" s="266" t="str">
        <f>_xlfn.XLOOKUP(E109,'All Products'!D:D,'All Products'!L:L,FALSE)</f>
        <v>-</v>
      </c>
      <c r="S109" s="266">
        <f>_xlfn.XLOOKUP(E109,'All Products'!D:D,'All Products'!M:M,FALSE)</f>
        <v>40049081021342</v>
      </c>
      <c r="T109" s="264">
        <f>_xlfn.XLOOKUP(E109,'All Products'!D:D,'All Products'!N:N,FALSE)</f>
        <v>1.7290000000000001</v>
      </c>
      <c r="U109" s="264">
        <f>_xlfn.XLOOKUP(E109,'All Products'!D:D,'All Products'!P:P,FALSE)</f>
        <v>16.97</v>
      </c>
      <c r="V109" s="265">
        <f>_xlfn.XLOOKUP(E109,'All Products'!D:D,'All Products'!Q:Q,FALSE)</f>
        <v>1.25</v>
      </c>
    </row>
    <row r="110" spans="1:22" ht="14.4" customHeight="1">
      <c r="A110" s="101" t="str">
        <f>IF(K110&gt;0,COUNT($A$8:A109)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10" s="610"/>
      <c r="C110" s="611"/>
      <c r="D110" s="274" t="str">
        <f>_xlfn.XLOOKUP(E110,'All Products'!D:D,'All Products'!C:C,FALSE)</f>
        <v>2-A1-16-1-12</v>
      </c>
      <c r="E110" s="103">
        <v>100024961</v>
      </c>
      <c r="F110" s="144" t="str">
        <f>_xlfn.XLOOKUP(E110,'All Products'!D:D,'All Products'!E:E,FALSE)</f>
        <v>1-1/4 MPT X 1 ACME X 12 SU SJ</v>
      </c>
      <c r="G110" s="103">
        <f>_xlfn.XLOOKUP(E110,'All Products'!D:D,'All Products'!F:F,FALSE)</f>
        <v>10</v>
      </c>
      <c r="H110" s="103">
        <f>_xlfn.XLOOKUP(E110,'All Products'!D:D,'All Products'!G:G,FALSE)</f>
        <v>750</v>
      </c>
      <c r="I110" s="140">
        <f>_xlfn.XLOOKUP(E110,'All Products'!D:D,'All Products'!H:H,FALSE)</f>
        <v>136.21</v>
      </c>
      <c r="J110" s="173">
        <f>ROUNDUP(I110*Order_Quote!$L$26,2)</f>
        <v>136.21</v>
      </c>
      <c r="K110" s="75"/>
      <c r="L110" s="113"/>
      <c r="M110" s="171">
        <f t="shared" si="1"/>
        <v>0</v>
      </c>
      <c r="O110" s="215" t="str">
        <f>_xlfn.XLOOKUP(E110,'All Products'!D:D,'All Products'!I:I,FALSE)</f>
        <v>Within 3 Weeks</v>
      </c>
      <c r="P110" s="215" t="str">
        <f>_xlfn.XLOOKUP(E110,'All Products'!D:D,'All Products'!J:J,FALSE)</f>
        <v>Manufactured</v>
      </c>
      <c r="Q110" s="266">
        <f>_xlfn.XLOOKUP(E110,'All Products'!D:D,'All Products'!K:K,FALSE)</f>
        <v>49081025779</v>
      </c>
      <c r="R110" s="266" t="str">
        <f>_xlfn.XLOOKUP(E110,'All Products'!D:D,'All Products'!L:L,FALSE)</f>
        <v>-</v>
      </c>
      <c r="S110" s="266">
        <f>_xlfn.XLOOKUP(E110,'All Products'!D:D,'All Products'!M:M,FALSE)</f>
        <v>40049081025777</v>
      </c>
      <c r="T110" s="264">
        <f>_xlfn.XLOOKUP(E110,'All Products'!D:D,'All Products'!N:N,FALSE)</f>
        <v>1.593</v>
      </c>
      <c r="U110" s="264">
        <f>_xlfn.XLOOKUP(E110,'All Products'!D:D,'All Products'!P:P,FALSE)</f>
        <v>15.81</v>
      </c>
      <c r="V110" s="265">
        <f>_xlfn.XLOOKUP(E110,'All Products'!D:D,'All Products'!Q:Q,FALSE)</f>
        <v>1.1000000000000001</v>
      </c>
    </row>
    <row r="111" spans="1:22" ht="14.4" customHeight="1">
      <c r="A111" s="101" t="str">
        <f>IF(K111&gt;0,COUNT($A$8:A110)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11" s="610"/>
      <c r="C111" s="611"/>
      <c r="D111" s="274" t="str">
        <f>_xlfn.XLOOKUP(E111,'All Products'!D:D,'All Products'!C:C,FALSE)</f>
        <v>2-A1-16-1-18</v>
      </c>
      <c r="E111" s="103">
        <v>100024962</v>
      </c>
      <c r="F111" s="144" t="str">
        <f>_xlfn.XLOOKUP(E111,'All Products'!D:D,'All Products'!E:E,FALSE)</f>
        <v>1-1/4 MPT X 1 ACME SU X 18 SJ</v>
      </c>
      <c r="G111" s="103">
        <f>_xlfn.XLOOKUP(E111,'All Products'!D:D,'All Products'!F:F,FALSE)</f>
        <v>10</v>
      </c>
      <c r="H111" s="103">
        <f>_xlfn.XLOOKUP(E111,'All Products'!D:D,'All Products'!G:G,FALSE)</f>
        <v>240</v>
      </c>
      <c r="I111" s="140">
        <f>_xlfn.XLOOKUP(E111,'All Products'!D:D,'All Products'!H:H,FALSE)</f>
        <v>147.31</v>
      </c>
      <c r="J111" s="173">
        <f>ROUNDUP(I111*Order_Quote!$L$26,2)</f>
        <v>147.31</v>
      </c>
      <c r="K111" s="75"/>
      <c r="L111" s="113"/>
      <c r="M111" s="171">
        <f t="shared" si="1"/>
        <v>0</v>
      </c>
      <c r="O111" s="215" t="str">
        <f>_xlfn.XLOOKUP(E111,'All Products'!D:D,'All Products'!I:I,FALSE)</f>
        <v>Within 3 Weeks</v>
      </c>
      <c r="P111" s="215" t="str">
        <f>_xlfn.XLOOKUP(E111,'All Products'!D:D,'All Products'!J:J,FALSE)</f>
        <v>Manufactured</v>
      </c>
      <c r="Q111" s="266">
        <f>_xlfn.XLOOKUP(E111,'All Products'!D:D,'All Products'!K:K,FALSE)</f>
        <v>49081025786</v>
      </c>
      <c r="R111" s="266" t="str">
        <f>_xlfn.XLOOKUP(E111,'All Products'!D:D,'All Products'!L:L,FALSE)</f>
        <v>-</v>
      </c>
      <c r="S111" s="266">
        <f>_xlfn.XLOOKUP(E111,'All Products'!D:D,'All Products'!M:M,FALSE)</f>
        <v>40049081025784</v>
      </c>
      <c r="T111" s="264">
        <f>_xlfn.XLOOKUP(E111,'All Products'!D:D,'All Products'!N:N,FALSE)</f>
        <v>1.867</v>
      </c>
      <c r="U111" s="264">
        <f>_xlfn.XLOOKUP(E111,'All Products'!D:D,'All Products'!P:P,FALSE)</f>
        <v>19.55</v>
      </c>
      <c r="V111" s="265">
        <f>_xlfn.XLOOKUP(E111,'All Products'!D:D,'All Products'!Q:Q,FALSE)</f>
        <v>2.77</v>
      </c>
    </row>
    <row r="112" spans="1:22" ht="14.4" customHeight="1">
      <c r="A112" s="101" t="str">
        <f>IF(K112&gt;0,COUNT($A$8:A111)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12" s="610"/>
      <c r="C112" s="611"/>
      <c r="D112" s="274" t="str">
        <f>_xlfn.XLOOKUP(E112,'All Products'!D:D,'All Products'!C:C,FALSE)</f>
        <v>2-A1-17-1-12</v>
      </c>
      <c r="E112" s="103">
        <v>100024963</v>
      </c>
      <c r="F112" s="144" t="str">
        <f>_xlfn.XLOOKUP(E112,'All Products'!D:D,'All Products'!E:E,FALSE)</f>
        <v>1-1/4 MPT X 1-1/4 ACME SU X 12 SJ</v>
      </c>
      <c r="G112" s="103">
        <f>_xlfn.XLOOKUP(E112,'All Products'!D:D,'All Products'!F:F,FALSE)</f>
        <v>10</v>
      </c>
      <c r="H112" s="103">
        <f>_xlfn.XLOOKUP(E112,'All Products'!D:D,'All Products'!G:G,FALSE)</f>
        <v>750</v>
      </c>
      <c r="I112" s="140">
        <f>_xlfn.XLOOKUP(E112,'All Products'!D:D,'All Products'!H:H,FALSE)</f>
        <v>136.21</v>
      </c>
      <c r="J112" s="173">
        <f>ROUNDUP(I112*Order_Quote!$L$26,2)</f>
        <v>136.21</v>
      </c>
      <c r="K112" s="75"/>
      <c r="L112" s="113"/>
      <c r="M112" s="171">
        <f t="shared" si="1"/>
        <v>0</v>
      </c>
      <c r="O112" s="215" t="str">
        <f>_xlfn.XLOOKUP(E112,'All Products'!D:D,'All Products'!I:I,FALSE)</f>
        <v>Within 3 Weeks</v>
      </c>
      <c r="P112" s="215" t="str">
        <f>_xlfn.XLOOKUP(E112,'All Products'!D:D,'All Products'!J:J,FALSE)</f>
        <v>Manufactured</v>
      </c>
      <c r="Q112" s="266">
        <f>_xlfn.XLOOKUP(E112,'All Products'!D:D,'All Products'!K:K,FALSE)</f>
        <v>49081021351</v>
      </c>
      <c r="R112" s="266" t="str">
        <f>_xlfn.XLOOKUP(E112,'All Products'!D:D,'All Products'!L:L,FALSE)</f>
        <v>-</v>
      </c>
      <c r="S112" s="266">
        <f>_xlfn.XLOOKUP(E112,'All Products'!D:D,'All Products'!M:M,FALSE)</f>
        <v>40049081021359</v>
      </c>
      <c r="T112" s="264">
        <f>_xlfn.XLOOKUP(E112,'All Products'!D:D,'All Products'!N:N,FALSE)</f>
        <v>1.569</v>
      </c>
      <c r="U112" s="264">
        <f>_xlfn.XLOOKUP(E112,'All Products'!D:D,'All Products'!P:P,FALSE)</f>
        <v>15.75</v>
      </c>
      <c r="V112" s="265">
        <f>_xlfn.XLOOKUP(E112,'All Products'!D:D,'All Products'!Q:Q,FALSE)</f>
        <v>1.1000000000000001</v>
      </c>
    </row>
    <row r="113" spans="1:22" ht="14.4" customHeight="1">
      <c r="A113" s="101" t="str">
        <f>IF(K113&gt;0,COUNT($A$8:A112)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13" s="610"/>
      <c r="C113" s="611"/>
      <c r="D113" s="274" t="str">
        <f>_xlfn.XLOOKUP(E113,'All Products'!D:D,'All Products'!C:C,FALSE)</f>
        <v>2-A1-17-1-18</v>
      </c>
      <c r="E113" s="103">
        <v>100024125</v>
      </c>
      <c r="F113" s="144" t="str">
        <f>_xlfn.XLOOKUP(E113,'All Products'!D:D,'All Products'!E:E,FALSE)</f>
        <v>1-1/4 MPT X 1-1/4 ACME SU X 18 SJ</v>
      </c>
      <c r="G113" s="103">
        <f>_xlfn.XLOOKUP(E113,'All Products'!D:D,'All Products'!F:F,FALSE)</f>
        <v>10</v>
      </c>
      <c r="H113" s="103">
        <f>_xlfn.XLOOKUP(E113,'All Products'!D:D,'All Products'!G:G,FALSE)</f>
        <v>240</v>
      </c>
      <c r="I113" s="140">
        <f>_xlfn.XLOOKUP(E113,'All Products'!D:D,'All Products'!H:H,FALSE)</f>
        <v>147.31</v>
      </c>
      <c r="J113" s="173">
        <f>ROUNDUP(I113*Order_Quote!$L$26,2)</f>
        <v>147.31</v>
      </c>
      <c r="K113" s="75"/>
      <c r="L113" s="113"/>
      <c r="M113" s="171">
        <f t="shared" si="1"/>
        <v>0</v>
      </c>
      <c r="O113" s="215" t="str">
        <f>_xlfn.XLOOKUP(E113,'All Products'!D:D,'All Products'!I:I,FALSE)</f>
        <v>Within 3 Weeks</v>
      </c>
      <c r="P113" s="215" t="str">
        <f>_xlfn.XLOOKUP(E113,'All Products'!D:D,'All Products'!J:J,FALSE)</f>
        <v>Manufactured</v>
      </c>
      <c r="Q113" s="266">
        <f>_xlfn.XLOOKUP(E113,'All Products'!D:D,'All Products'!K:K,FALSE)</f>
        <v>49081025830</v>
      </c>
      <c r="R113" s="266" t="str">
        <f>_xlfn.XLOOKUP(E113,'All Products'!D:D,'All Products'!L:L,FALSE)</f>
        <v>-</v>
      </c>
      <c r="S113" s="266">
        <f>_xlfn.XLOOKUP(E113,'All Products'!D:D,'All Products'!M:M,FALSE)</f>
        <v>40049081025838</v>
      </c>
      <c r="T113" s="264">
        <f>_xlfn.XLOOKUP(E113,'All Products'!D:D,'All Products'!N:N,FALSE)</f>
        <v>1.843</v>
      </c>
      <c r="U113" s="264">
        <f>_xlfn.XLOOKUP(E113,'All Products'!D:D,'All Products'!P:P,FALSE)</f>
        <v>19.5</v>
      </c>
      <c r="V113" s="265">
        <f>_xlfn.XLOOKUP(E113,'All Products'!D:D,'All Products'!Q:Q,FALSE)</f>
        <v>2.77</v>
      </c>
    </row>
    <row r="114" spans="1:22" ht="14.4" customHeight="1">
      <c r="A114" s="101" t="str">
        <f>IF(K114&gt;0,COUNT($A$8:A113)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14" s="610"/>
      <c r="C114" s="611"/>
      <c r="D114" s="274" t="str">
        <f>_xlfn.XLOOKUP(E114,'All Products'!D:D,'All Products'!C:C,FALSE)</f>
        <v>2-A1-18-1-12</v>
      </c>
      <c r="E114" s="103">
        <v>100024964</v>
      </c>
      <c r="F114" s="144" t="str">
        <f>_xlfn.XLOOKUP(E114,'All Products'!D:D,'All Products'!E:E,FALSE)</f>
        <v>1-1/4 MPT X 1-1/2 ACME SU X 12 SJ</v>
      </c>
      <c r="G114" s="103">
        <f>_xlfn.XLOOKUP(E114,'All Products'!D:D,'All Products'!F:F,FALSE)</f>
        <v>10</v>
      </c>
      <c r="H114" s="103">
        <f>_xlfn.XLOOKUP(E114,'All Products'!D:D,'All Products'!G:G,FALSE)</f>
        <v>750</v>
      </c>
      <c r="I114" s="140">
        <f>_xlfn.XLOOKUP(E114,'All Products'!D:D,'All Products'!H:H,FALSE)</f>
        <v>136.21</v>
      </c>
      <c r="J114" s="173">
        <f>ROUNDUP(I114*Order_Quote!$L$26,2)</f>
        <v>136.21</v>
      </c>
      <c r="K114" s="75"/>
      <c r="L114" s="113"/>
      <c r="M114" s="171">
        <f t="shared" si="1"/>
        <v>0</v>
      </c>
      <c r="O114" s="215" t="str">
        <f>_xlfn.XLOOKUP(E114,'All Products'!D:D,'All Products'!I:I,FALSE)</f>
        <v>Within 3 Weeks</v>
      </c>
      <c r="P114" s="215" t="str">
        <f>_xlfn.XLOOKUP(E114,'All Products'!D:D,'All Products'!J:J,FALSE)</f>
        <v>Manufactured</v>
      </c>
      <c r="Q114" s="266">
        <f>_xlfn.XLOOKUP(E114,'All Products'!D:D,'All Products'!K:K,FALSE)</f>
        <v>49081021368</v>
      </c>
      <c r="R114" s="266" t="str">
        <f>_xlfn.XLOOKUP(E114,'All Products'!D:D,'All Products'!L:L,FALSE)</f>
        <v>-</v>
      </c>
      <c r="S114" s="266">
        <f>_xlfn.XLOOKUP(E114,'All Products'!D:D,'All Products'!M:M,FALSE)</f>
        <v>40049081021366</v>
      </c>
      <c r="T114" s="264">
        <f>_xlfn.XLOOKUP(E114,'All Products'!D:D,'All Products'!N:N,FALSE)</f>
        <v>1.601</v>
      </c>
      <c r="U114" s="264">
        <f>_xlfn.XLOOKUP(E114,'All Products'!D:D,'All Products'!P:P,FALSE)</f>
        <v>16.100000000000001</v>
      </c>
      <c r="V114" s="265">
        <f>_xlfn.XLOOKUP(E114,'All Products'!D:D,'All Products'!Q:Q,FALSE)</f>
        <v>1.1000000000000001</v>
      </c>
    </row>
    <row r="115" spans="1:22" ht="14.4" customHeight="1">
      <c r="A115" s="101" t="str">
        <f>IF(K115&gt;0,COUNT($A$8:A114)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15" s="610"/>
      <c r="C115" s="611"/>
      <c r="D115" s="274" t="str">
        <f>_xlfn.XLOOKUP(E115,'All Products'!D:D,'All Products'!C:C,FALSE)</f>
        <v>2-A1-18-1-18</v>
      </c>
      <c r="E115" s="103">
        <v>100024130</v>
      </c>
      <c r="F115" s="144" t="str">
        <f>_xlfn.XLOOKUP(E115,'All Products'!D:D,'All Products'!E:E,FALSE)</f>
        <v>1-1/4 MPT X 1-1/2 ACME SU X 18 SJ</v>
      </c>
      <c r="G115" s="103">
        <f>_xlfn.XLOOKUP(E115,'All Products'!D:D,'All Products'!F:F,FALSE)</f>
        <v>10</v>
      </c>
      <c r="H115" s="103">
        <f>_xlfn.XLOOKUP(E115,'All Products'!D:D,'All Products'!G:G,FALSE)</f>
        <v>240</v>
      </c>
      <c r="I115" s="140">
        <f>_xlfn.XLOOKUP(E115,'All Products'!D:D,'All Products'!H:H,FALSE)</f>
        <v>147.31</v>
      </c>
      <c r="J115" s="173">
        <f>ROUNDUP(I115*Order_Quote!$L$26,2)</f>
        <v>147.31</v>
      </c>
      <c r="K115" s="75"/>
      <c r="L115" s="113"/>
      <c r="M115" s="171">
        <f t="shared" si="1"/>
        <v>0</v>
      </c>
      <c r="O115" s="215" t="str">
        <f>_xlfn.XLOOKUP(E115,'All Products'!D:D,'All Products'!I:I,FALSE)</f>
        <v>Within 3 Weeks</v>
      </c>
      <c r="P115" s="215" t="str">
        <f>_xlfn.XLOOKUP(E115,'All Products'!D:D,'All Products'!J:J,FALSE)</f>
        <v>Manufactured</v>
      </c>
      <c r="Q115" s="266">
        <f>_xlfn.XLOOKUP(E115,'All Products'!D:D,'All Products'!K:K,FALSE)</f>
        <v>49081025885</v>
      </c>
      <c r="R115" s="266" t="str">
        <f>_xlfn.XLOOKUP(E115,'All Products'!D:D,'All Products'!L:L,FALSE)</f>
        <v>-</v>
      </c>
      <c r="S115" s="266">
        <f>_xlfn.XLOOKUP(E115,'All Products'!D:D,'All Products'!M:M,FALSE)</f>
        <v>40049081025883</v>
      </c>
      <c r="T115" s="264">
        <f>_xlfn.XLOOKUP(E115,'All Products'!D:D,'All Products'!N:N,FALSE)</f>
        <v>1.875</v>
      </c>
      <c r="U115" s="264">
        <f>_xlfn.XLOOKUP(E115,'All Products'!D:D,'All Products'!P:P,FALSE)</f>
        <v>19.899999999999999</v>
      </c>
      <c r="V115" s="265">
        <f>_xlfn.XLOOKUP(E115,'All Products'!D:D,'All Products'!Q:Q,FALSE)</f>
        <v>2.77</v>
      </c>
    </row>
    <row r="116" spans="1:22" ht="14.4" customHeight="1">
      <c r="A116" s="101" t="str">
        <f>IF(K116&gt;0,COUNT($A$8:A115)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16" s="610"/>
      <c r="C116" s="611"/>
      <c r="D116" s="274" t="str">
        <f>_xlfn.XLOOKUP(E116,'All Products'!D:D,'All Products'!C:C,FALSE)</f>
        <v>2-A1-3-1-10</v>
      </c>
      <c r="E116" s="103">
        <v>100024137</v>
      </c>
      <c r="F116" s="144" t="str">
        <f>_xlfn.XLOOKUP(E116,'All Products'!D:D,'All Products'!E:E,FALSE)</f>
        <v>1-1/4 MPT X 1-1/4 MPT SU X 10 SJ</v>
      </c>
      <c r="G116" s="103">
        <f>_xlfn.XLOOKUP(E116,'All Products'!D:D,'All Products'!F:F,FALSE)</f>
        <v>10</v>
      </c>
      <c r="H116" s="103" t="str">
        <f>_xlfn.XLOOKUP(E116,'All Products'!D:D,'All Products'!G:G,FALSE)</f>
        <v>-</v>
      </c>
      <c r="I116" s="140">
        <f>_xlfn.XLOOKUP(E116,'All Products'!D:D,'All Products'!H:H,FALSE)</f>
        <v>136.21</v>
      </c>
      <c r="J116" s="173">
        <f>ROUNDUP(I116*Order_Quote!$L$26,2)</f>
        <v>136.21</v>
      </c>
      <c r="K116" s="75"/>
      <c r="L116" s="113"/>
      <c r="M116" s="171">
        <f t="shared" si="1"/>
        <v>0</v>
      </c>
      <c r="O116" s="215" t="str">
        <f>_xlfn.XLOOKUP(E116,'All Products'!D:D,'All Products'!I:I,FALSE)</f>
        <v>Within 3 Weeks</v>
      </c>
      <c r="P116" s="215" t="str">
        <f>_xlfn.XLOOKUP(E116,'All Products'!D:D,'All Products'!J:J,FALSE)</f>
        <v>Manufactured</v>
      </c>
      <c r="Q116" s="266">
        <f>_xlfn.XLOOKUP(E116,'All Products'!D:D,'All Products'!K:K,FALSE)</f>
        <v>49081025946</v>
      </c>
      <c r="R116" s="266" t="str">
        <f>_xlfn.XLOOKUP(E116,'All Products'!D:D,'All Products'!L:L,FALSE)</f>
        <v>-</v>
      </c>
      <c r="S116" s="266">
        <f>_xlfn.XLOOKUP(E116,'All Products'!D:D,'All Products'!M:M,FALSE)</f>
        <v>40049081025944</v>
      </c>
      <c r="T116" s="264">
        <f>_xlfn.XLOOKUP(E116,'All Products'!D:D,'All Products'!N:N,FALSE)</f>
        <v>1.1659999999999999</v>
      </c>
      <c r="U116" s="264">
        <f>_xlfn.XLOOKUP(E116,'All Products'!D:D,'All Products'!P:P,FALSE)</f>
        <v>14.55</v>
      </c>
      <c r="V116" s="265" t="str">
        <f>_xlfn.XLOOKUP(E116,'All Products'!D:D,'All Products'!Q:Q,FALSE)</f>
        <v>-</v>
      </c>
    </row>
    <row r="117" spans="1:22" ht="14.4" customHeight="1">
      <c r="A117" s="101" t="str">
        <f>IF(K117&gt;0,COUNT($A$8:A116)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17" s="610"/>
      <c r="C117" s="611"/>
      <c r="D117" s="274" t="str">
        <f>_xlfn.XLOOKUP(E117,'All Products'!D:D,'All Products'!C:C,FALSE)</f>
        <v>2-A1-3-1-12</v>
      </c>
      <c r="E117" s="103">
        <v>100024965</v>
      </c>
      <c r="F117" s="144" t="str">
        <f>_xlfn.XLOOKUP(E117,'All Products'!D:D,'All Products'!E:E,FALSE)</f>
        <v>1-1/4 MPT X 1-1/4 MPT SU X 12 SJ</v>
      </c>
      <c r="G117" s="103">
        <f>_xlfn.XLOOKUP(E117,'All Products'!D:D,'All Products'!F:F,FALSE)</f>
        <v>10</v>
      </c>
      <c r="H117" s="103" t="str">
        <f>_xlfn.XLOOKUP(E117,'All Products'!D:D,'All Products'!G:G,FALSE)</f>
        <v>-</v>
      </c>
      <c r="I117" s="140">
        <f>_xlfn.XLOOKUP(E117,'All Products'!D:D,'All Products'!H:H,FALSE)</f>
        <v>136.21</v>
      </c>
      <c r="J117" s="173">
        <f>ROUNDUP(I117*Order_Quote!$L$26,2)</f>
        <v>136.21</v>
      </c>
      <c r="K117" s="75"/>
      <c r="L117" s="113"/>
      <c r="M117" s="171">
        <f t="shared" si="1"/>
        <v>0</v>
      </c>
      <c r="O117" s="215" t="str">
        <f>_xlfn.XLOOKUP(E117,'All Products'!D:D,'All Products'!I:I,FALSE)</f>
        <v>In Stock</v>
      </c>
      <c r="P117" s="215" t="str">
        <f>_xlfn.XLOOKUP(E117,'All Products'!D:D,'All Products'!J:J,FALSE)</f>
        <v>Manufactured</v>
      </c>
      <c r="Q117" s="266">
        <f>_xlfn.XLOOKUP(E117,'All Products'!D:D,'All Products'!K:K,FALSE)</f>
        <v>49081021382</v>
      </c>
      <c r="R117" s="266" t="str">
        <f>_xlfn.XLOOKUP(E117,'All Products'!D:D,'All Products'!L:L,FALSE)</f>
        <v>-</v>
      </c>
      <c r="S117" s="266">
        <f>_xlfn.XLOOKUP(E117,'All Products'!D:D,'All Products'!M:M,FALSE)</f>
        <v>40049081021380</v>
      </c>
      <c r="T117" s="264">
        <f>_xlfn.XLOOKUP(E117,'All Products'!D:D,'All Products'!N:N,FALSE)</f>
        <v>1.5529999999999999</v>
      </c>
      <c r="U117" s="264">
        <f>_xlfn.XLOOKUP(E117,'All Products'!D:D,'All Products'!P:P,FALSE)</f>
        <v>15.44</v>
      </c>
      <c r="V117" s="265">
        <f>_xlfn.XLOOKUP(E117,'All Products'!D:D,'All Products'!Q:Q,FALSE)</f>
        <v>2.11</v>
      </c>
    </row>
    <row r="118" spans="1:22" ht="14.4" customHeight="1">
      <c r="A118" s="101" t="str">
        <f>IF(K118&gt;0,COUNT($A$8:A117)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18" s="610"/>
      <c r="C118" s="611"/>
      <c r="D118" s="274" t="str">
        <f>_xlfn.XLOOKUP(E118,'All Products'!D:D,'All Products'!C:C,FALSE)</f>
        <v>2-A1-3-1-18</v>
      </c>
      <c r="E118" s="103">
        <v>100024140</v>
      </c>
      <c r="F118" s="144" t="str">
        <f>_xlfn.XLOOKUP(E118,'All Products'!D:D,'All Products'!E:E,FALSE)</f>
        <v>1-1/4 MPT X 1-1/4 MPT SU X 18 SJ</v>
      </c>
      <c r="G118" s="103">
        <f>_xlfn.XLOOKUP(E118,'All Products'!D:D,'All Products'!F:F,FALSE)</f>
        <v>10</v>
      </c>
      <c r="H118" s="103">
        <f>_xlfn.XLOOKUP(E118,'All Products'!D:D,'All Products'!G:G,FALSE)</f>
        <v>240</v>
      </c>
      <c r="I118" s="140">
        <f>_xlfn.XLOOKUP(E118,'All Products'!D:D,'All Products'!H:H,FALSE)</f>
        <v>147.31</v>
      </c>
      <c r="J118" s="173">
        <f>ROUNDUP(I118*Order_Quote!$L$26,2)</f>
        <v>147.31</v>
      </c>
      <c r="K118" s="75"/>
      <c r="L118" s="113"/>
      <c r="M118" s="171">
        <f t="shared" si="1"/>
        <v>0</v>
      </c>
      <c r="O118" s="215" t="str">
        <f>_xlfn.XLOOKUP(E118,'All Products'!D:D,'All Products'!I:I,FALSE)</f>
        <v>Within 3 Weeks</v>
      </c>
      <c r="P118" s="215" t="str">
        <f>_xlfn.XLOOKUP(E118,'All Products'!D:D,'All Products'!J:J,FALSE)</f>
        <v>Manufactured</v>
      </c>
      <c r="Q118" s="266">
        <f>_xlfn.XLOOKUP(E118,'All Products'!D:D,'All Products'!K:K,FALSE)</f>
        <v>49081025977</v>
      </c>
      <c r="R118" s="266" t="str">
        <f>_xlfn.XLOOKUP(E118,'All Products'!D:D,'All Products'!L:L,FALSE)</f>
        <v>-</v>
      </c>
      <c r="S118" s="266">
        <f>_xlfn.XLOOKUP(E118,'All Products'!D:D,'All Products'!M:M,FALSE)</f>
        <v>40049081025975</v>
      </c>
      <c r="T118" s="264">
        <f>_xlfn.XLOOKUP(E118,'All Products'!D:D,'All Products'!N:N,FALSE)</f>
        <v>1.827</v>
      </c>
      <c r="U118" s="264">
        <f>_xlfn.XLOOKUP(E118,'All Products'!D:D,'All Products'!P:P,FALSE)</f>
        <v>19.350000000000001</v>
      </c>
      <c r="V118" s="265">
        <f>_xlfn.XLOOKUP(E118,'All Products'!D:D,'All Products'!Q:Q,FALSE)</f>
        <v>2.77</v>
      </c>
    </row>
    <row r="119" spans="1:22" ht="14.4" customHeight="1">
      <c r="A119" s="101" t="str">
        <f>IF(K119&gt;0,COUNT($A$8:A118)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19" s="610"/>
      <c r="C119" s="611"/>
      <c r="D119" s="274" t="str">
        <f>_xlfn.XLOOKUP(E119,'All Products'!D:D,'All Products'!C:C,FALSE)</f>
        <v>2-A1-3-1-8</v>
      </c>
      <c r="E119" s="103">
        <v>100024142</v>
      </c>
      <c r="F119" s="144" t="str">
        <f>_xlfn.XLOOKUP(E119,'All Products'!D:D,'All Products'!E:E,FALSE)</f>
        <v>1-1/4 MPT X 1-1/4 MPT SU X 8 SJ</v>
      </c>
      <c r="G119" s="103">
        <f>_xlfn.XLOOKUP(E119,'All Products'!D:D,'All Products'!F:F,FALSE)</f>
        <v>10</v>
      </c>
      <c r="H119" s="103">
        <f>_xlfn.XLOOKUP(E119,'All Products'!D:D,'All Products'!G:G,FALSE)</f>
        <v>750</v>
      </c>
      <c r="I119" s="140">
        <f>_xlfn.XLOOKUP(E119,'All Products'!D:D,'All Products'!H:H,FALSE)</f>
        <v>125</v>
      </c>
      <c r="J119" s="173">
        <f>ROUNDUP(I119*Order_Quote!$L$26,2)</f>
        <v>125</v>
      </c>
      <c r="K119" s="75"/>
      <c r="L119" s="113"/>
      <c r="M119" s="171">
        <f t="shared" si="1"/>
        <v>0</v>
      </c>
      <c r="O119" s="215" t="str">
        <f>_xlfn.XLOOKUP(E119,'All Products'!D:D,'All Products'!I:I,FALSE)</f>
        <v>Within 3 Weeks</v>
      </c>
      <c r="P119" s="215" t="str">
        <f>_xlfn.XLOOKUP(E119,'All Products'!D:D,'All Products'!J:J,FALSE)</f>
        <v>Manufactured</v>
      </c>
      <c r="Q119" s="266">
        <f>_xlfn.XLOOKUP(E119,'All Products'!D:D,'All Products'!K:K,FALSE)</f>
        <v>49081022778</v>
      </c>
      <c r="R119" s="266" t="str">
        <f>_xlfn.XLOOKUP(E119,'All Products'!D:D,'All Products'!L:L,FALSE)</f>
        <v>-</v>
      </c>
      <c r="S119" s="266">
        <f>_xlfn.XLOOKUP(E119,'All Products'!D:D,'All Products'!M:M,FALSE)</f>
        <v>40049081022776</v>
      </c>
      <c r="T119" s="264">
        <f>_xlfn.XLOOKUP(E119,'All Products'!D:D,'All Products'!N:N,FALSE)</f>
        <v>1.371</v>
      </c>
      <c r="U119" s="264">
        <f>_xlfn.XLOOKUP(E119,'All Products'!D:D,'All Products'!P:P,FALSE)</f>
        <v>13.57</v>
      </c>
      <c r="V119" s="265">
        <f>_xlfn.XLOOKUP(E119,'All Products'!D:D,'All Products'!Q:Q,FALSE)</f>
        <v>0.95</v>
      </c>
    </row>
    <row r="120" spans="1:22" ht="14.4" customHeight="1">
      <c r="A120" s="101" t="str">
        <f>IF(K120&gt;0,COUNT($A$8:A119)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20" s="610"/>
      <c r="C120" s="611"/>
      <c r="D120" s="274" t="str">
        <f>_xlfn.XLOOKUP(E120,'All Products'!D:D,'All Products'!C:C,FALSE)</f>
        <v>2-A1-6-1-12</v>
      </c>
      <c r="E120" s="103">
        <v>100024966</v>
      </c>
      <c r="F120" s="144" t="str">
        <f>_xlfn.XLOOKUP(E120,'All Products'!D:D,'All Products'!E:E,FALSE)</f>
        <v>1-1/4 MPT X 1-1/2 MPT SU X 12 SJ</v>
      </c>
      <c r="G120" s="103">
        <f>_xlfn.XLOOKUP(E120,'All Products'!D:D,'All Products'!F:F,FALSE)</f>
        <v>10</v>
      </c>
      <c r="H120" s="103">
        <f>_xlfn.XLOOKUP(E120,'All Products'!D:D,'All Products'!G:G,FALSE)</f>
        <v>750</v>
      </c>
      <c r="I120" s="140">
        <f>_xlfn.XLOOKUP(E120,'All Products'!D:D,'All Products'!H:H,FALSE)</f>
        <v>136.21</v>
      </c>
      <c r="J120" s="173">
        <f>ROUNDUP(I120*Order_Quote!$L$26,2)</f>
        <v>136.21</v>
      </c>
      <c r="K120" s="75"/>
      <c r="L120" s="113"/>
      <c r="M120" s="171">
        <f t="shared" si="1"/>
        <v>0</v>
      </c>
      <c r="O120" s="215" t="str">
        <f>_xlfn.XLOOKUP(E120,'All Products'!D:D,'All Products'!I:I,FALSE)</f>
        <v>Within 3 Weeks</v>
      </c>
      <c r="P120" s="215" t="str">
        <f>_xlfn.XLOOKUP(E120,'All Products'!D:D,'All Products'!J:J,FALSE)</f>
        <v>Manufactured</v>
      </c>
      <c r="Q120" s="266">
        <f>_xlfn.XLOOKUP(E120,'All Products'!D:D,'All Products'!K:K,FALSE)</f>
        <v>49081020132</v>
      </c>
      <c r="R120" s="266" t="str">
        <f>_xlfn.XLOOKUP(E120,'All Products'!D:D,'All Products'!L:L,FALSE)</f>
        <v>-</v>
      </c>
      <c r="S120" s="266">
        <f>_xlfn.XLOOKUP(E120,'All Products'!D:D,'All Products'!M:M,FALSE)</f>
        <v>40049081020130</v>
      </c>
      <c r="T120" s="264">
        <f>_xlfn.XLOOKUP(E120,'All Products'!D:D,'All Products'!N:N,FALSE)</f>
        <v>1.631</v>
      </c>
      <c r="U120" s="264">
        <f>_xlfn.XLOOKUP(E120,'All Products'!D:D,'All Products'!P:P,FALSE)</f>
        <v>16.36</v>
      </c>
      <c r="V120" s="265">
        <f>_xlfn.XLOOKUP(E120,'All Products'!D:D,'All Products'!Q:Q,FALSE)</f>
        <v>1.1000000000000001</v>
      </c>
    </row>
    <row r="121" spans="1:22" ht="14.4" customHeight="1">
      <c r="A121" s="101" t="str">
        <f>IF(K121&gt;0,COUNT($A$8:A120)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21" s="610"/>
      <c r="C121" s="611"/>
      <c r="D121" s="274" t="str">
        <f>_xlfn.XLOOKUP(E121,'All Products'!D:D,'All Products'!C:C,FALSE)</f>
        <v>2-A1-6-1-18</v>
      </c>
      <c r="E121" s="103">
        <v>100024152</v>
      </c>
      <c r="F121" s="144" t="str">
        <f>_xlfn.XLOOKUP(E121,'All Products'!D:D,'All Products'!E:E,FALSE)</f>
        <v>1-1/4 MPT X 1-1/2 MPT SU X 18 SJ</v>
      </c>
      <c r="G121" s="103">
        <f>_xlfn.XLOOKUP(E121,'All Products'!D:D,'All Products'!F:F,FALSE)</f>
        <v>10</v>
      </c>
      <c r="H121" s="103">
        <f>_xlfn.XLOOKUP(E121,'All Products'!D:D,'All Products'!G:G,FALSE)</f>
        <v>240</v>
      </c>
      <c r="I121" s="140">
        <f>_xlfn.XLOOKUP(E121,'All Products'!D:D,'All Products'!H:H,FALSE)</f>
        <v>147.31</v>
      </c>
      <c r="J121" s="173">
        <f>ROUNDUP(I121*Order_Quote!$L$26,2)</f>
        <v>147.31</v>
      </c>
      <c r="K121" s="75"/>
      <c r="L121" s="113"/>
      <c r="M121" s="171">
        <f t="shared" si="1"/>
        <v>0</v>
      </c>
      <c r="O121" s="215" t="str">
        <f>_xlfn.XLOOKUP(E121,'All Products'!D:D,'All Products'!I:I,FALSE)</f>
        <v>Within 3 Weeks</v>
      </c>
      <c r="P121" s="215" t="str">
        <f>_xlfn.XLOOKUP(E121,'All Products'!D:D,'All Products'!J:J,FALSE)</f>
        <v>Manufactured</v>
      </c>
      <c r="Q121" s="266">
        <f>_xlfn.XLOOKUP(E121,'All Products'!D:D,'All Products'!K:K,FALSE)</f>
        <v>49081026073</v>
      </c>
      <c r="R121" s="266" t="str">
        <f>_xlfn.XLOOKUP(E121,'All Products'!D:D,'All Products'!L:L,FALSE)</f>
        <v>-</v>
      </c>
      <c r="S121" s="266">
        <f>_xlfn.XLOOKUP(E121,'All Products'!D:D,'All Products'!M:M,FALSE)</f>
        <v>40049081026071</v>
      </c>
      <c r="T121" s="264">
        <f>_xlfn.XLOOKUP(E121,'All Products'!D:D,'All Products'!N:N,FALSE)</f>
        <v>1.905</v>
      </c>
      <c r="U121" s="264">
        <f>_xlfn.XLOOKUP(E121,'All Products'!D:D,'All Products'!P:P,FALSE)</f>
        <v>20.5</v>
      </c>
      <c r="V121" s="265">
        <f>_xlfn.XLOOKUP(E121,'All Products'!D:D,'All Products'!Q:Q,FALSE)</f>
        <v>2.77</v>
      </c>
    </row>
    <row r="122" spans="1:22" ht="14.4" customHeight="1">
      <c r="A122" s="101" t="str">
        <f>IF(K122&gt;0,COUNT($A$8:A121)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22" s="610"/>
      <c r="C122" s="611"/>
      <c r="D122" s="274" t="str">
        <f>_xlfn.XLOOKUP(E122,'All Products'!D:D,'All Products'!C:C,FALSE)</f>
        <v>2-A1-7-1-10</v>
      </c>
      <c r="E122" s="103">
        <v>100024156</v>
      </c>
      <c r="F122" s="144" t="str">
        <f>_xlfn.XLOOKUP(E122,'All Products'!D:D,'All Products'!E:E,FALSE)</f>
        <v>1-1/4 MPT X 1 MPT SU X 10 SJ</v>
      </c>
      <c r="G122" s="103">
        <f>_xlfn.XLOOKUP(E122,'All Products'!D:D,'All Products'!F:F,FALSE)</f>
        <v>10</v>
      </c>
      <c r="H122" s="103">
        <f>_xlfn.XLOOKUP(E122,'All Products'!D:D,'All Products'!G:G,FALSE)</f>
        <v>750</v>
      </c>
      <c r="I122" s="140">
        <f>_xlfn.XLOOKUP(E122,'All Products'!D:D,'All Products'!H:H,FALSE)</f>
        <v>136.21</v>
      </c>
      <c r="J122" s="173">
        <f>ROUNDUP(I122*Order_Quote!$L$26,2)</f>
        <v>136.21</v>
      </c>
      <c r="K122" s="75"/>
      <c r="L122" s="113"/>
      <c r="M122" s="171">
        <f t="shared" si="1"/>
        <v>0</v>
      </c>
      <c r="O122" s="215" t="str">
        <f>_xlfn.XLOOKUP(E122,'All Products'!D:D,'All Products'!I:I,FALSE)</f>
        <v>Within 3 Weeks</v>
      </c>
      <c r="P122" s="215" t="str">
        <f>_xlfn.XLOOKUP(E122,'All Products'!D:D,'All Products'!J:J,FALSE)</f>
        <v>Manufactured</v>
      </c>
      <c r="Q122" s="266" t="str">
        <f>_xlfn.XLOOKUP(E122,'All Products'!D:D,'All Products'!K:K,FALSE)</f>
        <v>-</v>
      </c>
      <c r="R122" s="266" t="str">
        <f>_xlfn.XLOOKUP(E122,'All Products'!D:D,'All Products'!L:L,FALSE)</f>
        <v>-</v>
      </c>
      <c r="S122" s="266" t="str">
        <f>_xlfn.XLOOKUP(E122,'All Products'!D:D,'All Products'!M:M,FALSE)</f>
        <v>-</v>
      </c>
      <c r="T122" s="264">
        <f>_xlfn.XLOOKUP(E122,'All Products'!D:D,'All Products'!N:N,FALSE)</f>
        <v>1.173</v>
      </c>
      <c r="U122" s="264">
        <f>_xlfn.XLOOKUP(E122,'All Products'!D:D,'All Products'!P:P,FALSE)</f>
        <v>14.57</v>
      </c>
      <c r="V122" s="265">
        <f>_xlfn.XLOOKUP(E122,'All Products'!D:D,'All Products'!Q:Q,FALSE)</f>
        <v>0.95</v>
      </c>
    </row>
    <row r="123" spans="1:22" ht="14.4" customHeight="1">
      <c r="A123" s="101" t="str">
        <f>IF(K123&gt;0,COUNT($A$8:A122)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23" s="610"/>
      <c r="C123" s="611"/>
      <c r="D123" s="274" t="str">
        <f>_xlfn.XLOOKUP(E123,'All Products'!D:D,'All Products'!C:C,FALSE)</f>
        <v>2-A1-7-1-12</v>
      </c>
      <c r="E123" s="103">
        <v>100024967</v>
      </c>
      <c r="F123" s="144" t="str">
        <f>_xlfn.XLOOKUP(E123,'All Products'!D:D,'All Products'!E:E,FALSE)</f>
        <v>1-1/4 MPT X 1 MPT SU X 12 SJ</v>
      </c>
      <c r="G123" s="103">
        <f>_xlfn.XLOOKUP(E123,'All Products'!D:D,'All Products'!F:F,FALSE)</f>
        <v>10</v>
      </c>
      <c r="H123" s="103">
        <f>_xlfn.XLOOKUP(E123,'All Products'!D:D,'All Products'!G:G,FALSE)</f>
        <v>750</v>
      </c>
      <c r="I123" s="140">
        <f>_xlfn.XLOOKUP(E123,'All Products'!D:D,'All Products'!H:H,FALSE)</f>
        <v>136.21</v>
      </c>
      <c r="J123" s="173">
        <f>ROUNDUP(I123*Order_Quote!$L$26,2)</f>
        <v>136.21</v>
      </c>
      <c r="K123" s="75"/>
      <c r="L123" s="113"/>
      <c r="M123" s="171">
        <f t="shared" si="1"/>
        <v>0</v>
      </c>
      <c r="O123" s="215" t="str">
        <f>_xlfn.XLOOKUP(E123,'All Products'!D:D,'All Products'!I:I,FALSE)</f>
        <v>Within 3 Weeks</v>
      </c>
      <c r="P123" s="215" t="str">
        <f>_xlfn.XLOOKUP(E123,'All Products'!D:D,'All Products'!J:J,FALSE)</f>
        <v>Manufactured</v>
      </c>
      <c r="Q123" s="266">
        <f>_xlfn.XLOOKUP(E123,'All Products'!D:D,'All Products'!K:K,FALSE)</f>
        <v>49081022501</v>
      </c>
      <c r="R123" s="266" t="str">
        <f>_xlfn.XLOOKUP(E123,'All Products'!D:D,'All Products'!L:L,FALSE)</f>
        <v>-</v>
      </c>
      <c r="S123" s="266">
        <f>_xlfn.XLOOKUP(E123,'All Products'!D:D,'All Products'!M:M,FALSE)</f>
        <v>40049081022509</v>
      </c>
      <c r="T123" s="264">
        <f>_xlfn.XLOOKUP(E123,'All Products'!D:D,'All Products'!N:N,FALSE)</f>
        <v>1.56</v>
      </c>
      <c r="U123" s="264">
        <f>_xlfn.XLOOKUP(E123,'All Products'!D:D,'All Products'!P:P,FALSE)</f>
        <v>15.75</v>
      </c>
      <c r="V123" s="265">
        <f>_xlfn.XLOOKUP(E123,'All Products'!D:D,'All Products'!Q:Q,FALSE)</f>
        <v>1.1000000000000001</v>
      </c>
    </row>
    <row r="124" spans="1:22" ht="14.4" customHeight="1">
      <c r="A124" s="101" t="str">
        <f>IF(K124&gt;0,COUNT($A$8:A123)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24" s="610"/>
      <c r="C124" s="611"/>
      <c r="D124" s="274" t="str">
        <f>_xlfn.XLOOKUP(E124,'All Products'!D:D,'All Products'!C:C,FALSE)</f>
        <v>2-A1-7-1-14</v>
      </c>
      <c r="E124" s="103">
        <v>100024157</v>
      </c>
      <c r="F124" s="144" t="str">
        <f>_xlfn.XLOOKUP(E124,'All Products'!D:D,'All Products'!E:E,FALSE)</f>
        <v>1-1/4 MPT X 1 MPT SU X 14 SJ</v>
      </c>
      <c r="G124" s="103">
        <f>_xlfn.XLOOKUP(E124,'All Products'!D:D,'All Products'!F:F,FALSE)</f>
        <v>10</v>
      </c>
      <c r="H124" s="103" t="str">
        <f>_xlfn.XLOOKUP(E124,'All Products'!D:D,'All Products'!G:G,FALSE)</f>
        <v>-</v>
      </c>
      <c r="I124" s="140">
        <f>_xlfn.XLOOKUP(E124,'All Products'!D:D,'All Products'!H:H,FALSE)</f>
        <v>147.31</v>
      </c>
      <c r="J124" s="173">
        <f>ROUNDUP(I124*Order_Quote!$L$26,2)</f>
        <v>147.31</v>
      </c>
      <c r="K124" s="75"/>
      <c r="L124" s="113"/>
      <c r="M124" s="171">
        <f t="shared" si="1"/>
        <v>0</v>
      </c>
      <c r="O124" s="215" t="str">
        <f>_xlfn.XLOOKUP(E124,'All Products'!D:D,'All Products'!I:I,FALSE)</f>
        <v>Within 3 Weeks</v>
      </c>
      <c r="P124" s="215" t="str">
        <f>_xlfn.XLOOKUP(E124,'All Products'!D:D,'All Products'!J:J,FALSE)</f>
        <v>Manufactured</v>
      </c>
      <c r="Q124" s="266">
        <f>_xlfn.XLOOKUP(E124,'All Products'!D:D,'All Products'!K:K,FALSE)</f>
        <v>49081026103</v>
      </c>
      <c r="R124" s="266" t="str">
        <f>_xlfn.XLOOKUP(E124,'All Products'!D:D,'All Products'!L:L,FALSE)</f>
        <v>-</v>
      </c>
      <c r="S124" s="266">
        <f>_xlfn.XLOOKUP(E124,'All Products'!D:D,'All Products'!M:M,FALSE)</f>
        <v>40049081026101</v>
      </c>
      <c r="T124" s="264">
        <f>_xlfn.XLOOKUP(E124,'All Products'!D:D,'All Products'!N:N,FALSE)</f>
        <v>1.599</v>
      </c>
      <c r="U124" s="264">
        <f>_xlfn.XLOOKUP(E124,'All Products'!D:D,'All Products'!P:P,FALSE)</f>
        <v>33.22</v>
      </c>
      <c r="V124" s="265">
        <f>_xlfn.XLOOKUP(E124,'All Products'!D:D,'All Products'!Q:Q,FALSE)</f>
        <v>2.11</v>
      </c>
    </row>
    <row r="125" spans="1:22" ht="14.4" customHeight="1">
      <c r="A125" s="101" t="str">
        <f>IF(K125&gt;0,COUNT($A$8:A124)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25" s="610"/>
      <c r="C125" s="611"/>
      <c r="D125" s="274" t="str">
        <f>_xlfn.XLOOKUP(E125,'All Products'!D:D,'All Products'!C:C,FALSE)</f>
        <v>2-A1-7-1-18</v>
      </c>
      <c r="E125" s="103">
        <v>100024158</v>
      </c>
      <c r="F125" s="144" t="str">
        <f>_xlfn.XLOOKUP(E125,'All Products'!D:D,'All Products'!E:E,FALSE)</f>
        <v>1-1/4 MPT X 1 MPT SU X 18 SJ</v>
      </c>
      <c r="G125" s="103">
        <f>_xlfn.XLOOKUP(E125,'All Products'!D:D,'All Products'!F:F,FALSE)</f>
        <v>10</v>
      </c>
      <c r="H125" s="103">
        <f>_xlfn.XLOOKUP(E125,'All Products'!D:D,'All Products'!G:G,FALSE)</f>
        <v>180</v>
      </c>
      <c r="I125" s="140">
        <f>_xlfn.XLOOKUP(E125,'All Products'!D:D,'All Products'!H:H,FALSE)</f>
        <v>147.31</v>
      </c>
      <c r="J125" s="173">
        <f>ROUNDUP(I125*Order_Quote!$L$26,2)</f>
        <v>147.31</v>
      </c>
      <c r="K125" s="75"/>
      <c r="L125" s="113"/>
      <c r="M125" s="171">
        <f t="shared" si="1"/>
        <v>0</v>
      </c>
      <c r="O125" s="215" t="str">
        <f>_xlfn.XLOOKUP(E125,'All Products'!D:D,'All Products'!I:I,FALSE)</f>
        <v>Within 3 Weeks</v>
      </c>
      <c r="P125" s="215" t="str">
        <f>_xlfn.XLOOKUP(E125,'All Products'!D:D,'All Products'!J:J,FALSE)</f>
        <v>Manufactured</v>
      </c>
      <c r="Q125" s="266">
        <f>_xlfn.XLOOKUP(E125,'All Products'!D:D,'All Products'!K:K,FALSE)</f>
        <v>49081026127</v>
      </c>
      <c r="R125" s="266" t="str">
        <f>_xlfn.XLOOKUP(E125,'All Products'!D:D,'All Products'!L:L,FALSE)</f>
        <v>-</v>
      </c>
      <c r="S125" s="266">
        <f>_xlfn.XLOOKUP(E125,'All Products'!D:D,'All Products'!M:M,FALSE)</f>
        <v>40049081026125</v>
      </c>
      <c r="T125" s="264">
        <f>_xlfn.XLOOKUP(E125,'All Products'!D:D,'All Products'!N:N,FALSE)</f>
        <v>1.8340000000000001</v>
      </c>
      <c r="U125" s="264">
        <f>_xlfn.XLOOKUP(E125,'All Products'!D:D,'All Products'!P:P,FALSE)</f>
        <v>18.100000000000001</v>
      </c>
      <c r="V125" s="265">
        <f>_xlfn.XLOOKUP(E125,'All Products'!D:D,'All Products'!Q:Q,FALSE)</f>
        <v>2.65</v>
      </c>
    </row>
    <row r="126" spans="1:22" ht="14.4" customHeight="1">
      <c r="A126" s="101" t="str">
        <f>IF(K126&gt;0,COUNT($A$8:A125)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26" s="610"/>
      <c r="C126" s="611"/>
      <c r="D126" s="274" t="str">
        <f>_xlfn.XLOOKUP(E126,'All Products'!D:D,'All Products'!C:C,FALSE)</f>
        <v>2-A2-16-1-12</v>
      </c>
      <c r="E126" s="103">
        <v>100024164</v>
      </c>
      <c r="F126" s="144" t="str">
        <f>_xlfn.XLOOKUP(E126,'All Products'!D:D,'All Products'!E:E,FALSE)</f>
        <v>1-1/4 SPG X 1 ACME OUTLET 12 SJ</v>
      </c>
      <c r="G126" s="103">
        <f>_xlfn.XLOOKUP(E126,'All Products'!D:D,'All Products'!F:F,FALSE)</f>
        <v>10</v>
      </c>
      <c r="H126" s="103">
        <f>_xlfn.XLOOKUP(E126,'All Products'!D:D,'All Products'!G:G,FALSE)</f>
        <v>750</v>
      </c>
      <c r="I126" s="140">
        <f>_xlfn.XLOOKUP(E126,'All Products'!D:D,'All Products'!H:H,FALSE)</f>
        <v>136.21</v>
      </c>
      <c r="J126" s="173">
        <f>ROUNDUP(I126*Order_Quote!$L$26,2)</f>
        <v>136.21</v>
      </c>
      <c r="K126" s="75"/>
      <c r="L126" s="113"/>
      <c r="M126" s="171">
        <f t="shared" si="1"/>
        <v>0</v>
      </c>
      <c r="O126" s="215" t="str">
        <f>_xlfn.XLOOKUP(E126,'All Products'!D:D,'All Products'!I:I,FALSE)</f>
        <v>Within 3 Weeks</v>
      </c>
      <c r="P126" s="215" t="str">
        <f>_xlfn.XLOOKUP(E126,'All Products'!D:D,'All Products'!J:J,FALSE)</f>
        <v>Manufactured</v>
      </c>
      <c r="Q126" s="266">
        <f>_xlfn.XLOOKUP(E126,'All Products'!D:D,'All Products'!K:K,FALSE)</f>
        <v>49081021405</v>
      </c>
      <c r="R126" s="266" t="str">
        <f>_xlfn.XLOOKUP(E126,'All Products'!D:D,'All Products'!L:L,FALSE)</f>
        <v>-</v>
      </c>
      <c r="S126" s="266">
        <f>_xlfn.XLOOKUP(E126,'All Products'!D:D,'All Products'!M:M,FALSE)</f>
        <v>40049081021403</v>
      </c>
      <c r="T126" s="264">
        <f>_xlfn.XLOOKUP(E126,'All Products'!D:D,'All Products'!N:N,FALSE)</f>
        <v>1.6180000000000001</v>
      </c>
      <c r="U126" s="264">
        <f>_xlfn.XLOOKUP(E126,'All Products'!D:D,'All Products'!P:P,FALSE)</f>
        <v>16.11</v>
      </c>
      <c r="V126" s="265">
        <f>_xlfn.XLOOKUP(E126,'All Products'!D:D,'All Products'!Q:Q,FALSE)</f>
        <v>1.1000000000000001</v>
      </c>
    </row>
    <row r="127" spans="1:22" ht="14.4" customHeight="1">
      <c r="A127" s="101" t="str">
        <f>IF(K127&gt;0,COUNT($A$8:A126)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27" s="610"/>
      <c r="C127" s="611"/>
      <c r="D127" s="274" t="str">
        <f>_xlfn.XLOOKUP(E127,'All Products'!D:D,'All Products'!C:C,FALSE)</f>
        <v>2-A2-17-1-12</v>
      </c>
      <c r="E127" s="103">
        <v>100024174</v>
      </c>
      <c r="F127" s="144" t="str">
        <f>_xlfn.XLOOKUP(E127,'All Products'!D:D,'All Products'!E:E,FALSE)</f>
        <v>1-1/4 SPG X 1-1/4 ACME SU X 12 SJ</v>
      </c>
      <c r="G127" s="103">
        <f>_xlfn.XLOOKUP(E127,'All Products'!D:D,'All Products'!F:F,FALSE)</f>
        <v>10</v>
      </c>
      <c r="H127" s="103">
        <f>_xlfn.XLOOKUP(E127,'All Products'!D:D,'All Products'!G:G,FALSE)</f>
        <v>750</v>
      </c>
      <c r="I127" s="140">
        <f>_xlfn.XLOOKUP(E127,'All Products'!D:D,'All Products'!H:H,FALSE)</f>
        <v>136.21</v>
      </c>
      <c r="J127" s="173">
        <f>ROUNDUP(I127*Order_Quote!$L$26,2)</f>
        <v>136.21</v>
      </c>
      <c r="K127" s="75"/>
      <c r="L127" s="113"/>
      <c r="M127" s="171">
        <f t="shared" si="1"/>
        <v>0</v>
      </c>
      <c r="O127" s="215" t="str">
        <f>_xlfn.XLOOKUP(E127,'All Products'!D:D,'All Products'!I:I,FALSE)</f>
        <v>Within 3 Weeks</v>
      </c>
      <c r="P127" s="215" t="str">
        <f>_xlfn.XLOOKUP(E127,'All Products'!D:D,'All Products'!J:J,FALSE)</f>
        <v>Manufactured</v>
      </c>
      <c r="Q127" s="266">
        <f>_xlfn.XLOOKUP(E127,'All Products'!D:D,'All Products'!K:K,FALSE)</f>
        <v>49081022877</v>
      </c>
      <c r="R127" s="266" t="str">
        <f>_xlfn.XLOOKUP(E127,'All Products'!D:D,'All Products'!L:L,FALSE)</f>
        <v>-</v>
      </c>
      <c r="S127" s="266">
        <f>_xlfn.XLOOKUP(E127,'All Products'!D:D,'All Products'!M:M,FALSE)</f>
        <v>40049081022875</v>
      </c>
      <c r="T127" s="264">
        <f>_xlfn.XLOOKUP(E127,'All Products'!D:D,'All Products'!N:N,FALSE)</f>
        <v>1.5940000000000001</v>
      </c>
      <c r="U127" s="264">
        <f>_xlfn.XLOOKUP(E127,'All Products'!D:D,'All Products'!P:P,FALSE)</f>
        <v>16.055</v>
      </c>
      <c r="V127" s="265">
        <f>_xlfn.XLOOKUP(E127,'All Products'!D:D,'All Products'!Q:Q,FALSE)</f>
        <v>1.1000000000000001</v>
      </c>
    </row>
    <row r="128" spans="1:22" ht="14.4" customHeight="1">
      <c r="A128" s="101" t="str">
        <f>IF(K128&gt;0,COUNT($A$8:A127)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28" s="610"/>
      <c r="C128" s="611"/>
      <c r="D128" s="274" t="str">
        <f>_xlfn.XLOOKUP(E128,'All Products'!D:D,'All Products'!C:C,FALSE)</f>
        <v>2-A2-3-1-12</v>
      </c>
      <c r="E128" s="103">
        <v>100024206</v>
      </c>
      <c r="F128" s="144" t="str">
        <f>_xlfn.XLOOKUP(E128,'All Products'!D:D,'All Products'!E:E,FALSE)</f>
        <v>1-1/4 SPG X 1-1/4 MPT SU X 12 SJ</v>
      </c>
      <c r="G128" s="103">
        <f>_xlfn.XLOOKUP(E128,'All Products'!D:D,'All Products'!F:F,FALSE)</f>
        <v>10</v>
      </c>
      <c r="H128" s="103" t="str">
        <f>_xlfn.XLOOKUP(E128,'All Products'!D:D,'All Products'!G:G,FALSE)</f>
        <v>-</v>
      </c>
      <c r="I128" s="140">
        <f>_xlfn.XLOOKUP(E128,'All Products'!D:D,'All Products'!H:H,FALSE)</f>
        <v>136.21</v>
      </c>
      <c r="J128" s="173">
        <f>ROUNDUP(I128*Order_Quote!$L$26,2)</f>
        <v>136.21</v>
      </c>
      <c r="K128" s="75"/>
      <c r="L128" s="113"/>
      <c r="M128" s="171">
        <f t="shared" si="1"/>
        <v>0</v>
      </c>
      <c r="O128" s="215" t="str">
        <f>_xlfn.XLOOKUP(E128,'All Products'!D:D,'All Products'!I:I,FALSE)</f>
        <v>Within 3 Weeks</v>
      </c>
      <c r="P128" s="215" t="str">
        <f>_xlfn.XLOOKUP(E128,'All Products'!D:D,'All Products'!J:J,FALSE)</f>
        <v>Manufactured</v>
      </c>
      <c r="Q128" s="266">
        <f>_xlfn.XLOOKUP(E128,'All Products'!D:D,'All Products'!K:K,FALSE)</f>
        <v>49081026424</v>
      </c>
      <c r="R128" s="266" t="str">
        <f>_xlfn.XLOOKUP(E128,'All Products'!D:D,'All Products'!L:L,FALSE)</f>
        <v>-</v>
      </c>
      <c r="S128" s="266">
        <f>_xlfn.XLOOKUP(E128,'All Products'!D:D,'All Products'!M:M,FALSE)</f>
        <v>40049081026422</v>
      </c>
      <c r="T128" s="264">
        <f>_xlfn.XLOOKUP(E128,'All Products'!D:D,'All Products'!N:N,FALSE)</f>
        <v>1.5780000000000001</v>
      </c>
      <c r="U128" s="264">
        <f>_xlfn.XLOOKUP(E128,'All Products'!D:D,'All Products'!P:P,FALSE)</f>
        <v>16.18</v>
      </c>
      <c r="V128" s="265">
        <f>_xlfn.XLOOKUP(E128,'All Products'!D:D,'All Products'!Q:Q,FALSE)</f>
        <v>2.11</v>
      </c>
    </row>
    <row r="129" spans="1:22" ht="14.4" customHeight="1">
      <c r="A129" s="101" t="str">
        <f>IF(K129&gt;0,COUNT($A$8:A128)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29" s="610"/>
      <c r="C129" s="611"/>
      <c r="D129" s="274" t="str">
        <f>_xlfn.XLOOKUP(E129,'All Products'!D:D,'All Products'!C:C,FALSE)</f>
        <v>2-A2-3-1-8</v>
      </c>
      <c r="E129" s="103">
        <v>100024208</v>
      </c>
      <c r="F129" s="144" t="str">
        <f>_xlfn.XLOOKUP(E129,'All Products'!D:D,'All Products'!E:E,FALSE)</f>
        <v>1-1/4 SPG X 1-1/4 MPT SU X 8 SJ</v>
      </c>
      <c r="G129" s="103">
        <f>_xlfn.XLOOKUP(E129,'All Products'!D:D,'All Products'!F:F,FALSE)</f>
        <v>10</v>
      </c>
      <c r="H129" s="103" t="str">
        <f>_xlfn.XLOOKUP(E129,'All Products'!D:D,'All Products'!G:G,FALSE)</f>
        <v>-</v>
      </c>
      <c r="I129" s="140">
        <f>_xlfn.XLOOKUP(E129,'All Products'!D:D,'All Products'!H:H,FALSE)</f>
        <v>125</v>
      </c>
      <c r="J129" s="173">
        <f>ROUNDUP(I129*Order_Quote!$L$26,2)</f>
        <v>125</v>
      </c>
      <c r="K129" s="75"/>
      <c r="L129" s="113"/>
      <c r="M129" s="171">
        <f t="shared" si="1"/>
        <v>0</v>
      </c>
      <c r="O129" s="215" t="str">
        <f>_xlfn.XLOOKUP(E129,'All Products'!D:D,'All Products'!I:I,FALSE)</f>
        <v>Within 3 Weeks</v>
      </c>
      <c r="P129" s="215" t="str">
        <f>_xlfn.XLOOKUP(E129,'All Products'!D:D,'All Products'!J:J,FALSE)</f>
        <v>Manufactured</v>
      </c>
      <c r="Q129" s="266">
        <f>_xlfn.XLOOKUP(E129,'All Products'!D:D,'All Products'!K:K,FALSE)</f>
        <v>49081026431</v>
      </c>
      <c r="R129" s="266" t="str">
        <f>_xlfn.XLOOKUP(E129,'All Products'!D:D,'All Products'!L:L,FALSE)</f>
        <v>-</v>
      </c>
      <c r="S129" s="266">
        <f>_xlfn.XLOOKUP(E129,'All Products'!D:D,'All Products'!M:M,FALSE)</f>
        <v>40049081026439</v>
      </c>
      <c r="T129" s="264">
        <f>_xlfn.XLOOKUP(E129,'All Products'!D:D,'All Products'!N:N,FALSE)</f>
        <v>1.3959999999999999</v>
      </c>
      <c r="U129" s="264">
        <f>_xlfn.XLOOKUP(E129,'All Products'!D:D,'All Products'!P:P,FALSE)</f>
        <v>28.35</v>
      </c>
      <c r="V129" s="265">
        <f>_xlfn.XLOOKUP(E129,'All Products'!D:D,'All Products'!Q:Q,FALSE)</f>
        <v>2.11</v>
      </c>
    </row>
    <row r="130" spans="1:22" ht="14.4" customHeight="1">
      <c r="A130" s="101" t="str">
        <f>IF(K130&gt;0,COUNT($A$8:A129)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30" s="610"/>
      <c r="C130" s="611"/>
      <c r="D130" s="274" t="str">
        <f>_xlfn.XLOOKUP(E130,'All Products'!D:D,'All Products'!C:C,FALSE)</f>
        <v>2-A2-7-1-18</v>
      </c>
      <c r="E130" s="103">
        <v>100024239</v>
      </c>
      <c r="F130" s="144" t="str">
        <f>_xlfn.XLOOKUP(E130,'All Products'!D:D,'All Products'!E:E,FALSE)</f>
        <v>1-1/4 SPG X 1 MPT SU X 18 SJ</v>
      </c>
      <c r="G130" s="103">
        <f>_xlfn.XLOOKUP(E130,'All Products'!D:D,'All Products'!F:F,FALSE)</f>
        <v>10</v>
      </c>
      <c r="H130" s="103">
        <f>_xlfn.XLOOKUP(E130,'All Products'!D:D,'All Products'!G:G,FALSE)</f>
        <v>240</v>
      </c>
      <c r="I130" s="140">
        <f>_xlfn.XLOOKUP(E130,'All Products'!D:D,'All Products'!H:H,FALSE)</f>
        <v>147.31</v>
      </c>
      <c r="J130" s="173">
        <f>ROUNDUP(I130*Order_Quote!$L$26,2)</f>
        <v>147.31</v>
      </c>
      <c r="K130" s="75"/>
      <c r="L130" s="113"/>
      <c r="M130" s="171">
        <f t="shared" si="1"/>
        <v>0</v>
      </c>
      <c r="O130" s="215" t="str">
        <f>_xlfn.XLOOKUP(E130,'All Products'!D:D,'All Products'!I:I,FALSE)</f>
        <v>Within 3 Weeks</v>
      </c>
      <c r="P130" s="215" t="str">
        <f>_xlfn.XLOOKUP(E130,'All Products'!D:D,'All Products'!J:J,FALSE)</f>
        <v>Manufactured</v>
      </c>
      <c r="Q130" s="266">
        <f>_xlfn.XLOOKUP(E130,'All Products'!D:D,'All Products'!K:K,FALSE)</f>
        <v>49081026684</v>
      </c>
      <c r="R130" s="266" t="str">
        <f>_xlfn.XLOOKUP(E130,'All Products'!D:D,'All Products'!L:L,FALSE)</f>
        <v>-</v>
      </c>
      <c r="S130" s="266">
        <f>_xlfn.XLOOKUP(E130,'All Products'!D:D,'All Products'!M:M,FALSE)</f>
        <v>40049081026682</v>
      </c>
      <c r="T130" s="264">
        <f>_xlfn.XLOOKUP(E130,'All Products'!D:D,'All Products'!N:N,FALSE)</f>
        <v>1.859</v>
      </c>
      <c r="U130" s="264">
        <f>_xlfn.XLOOKUP(E130,'All Products'!D:D,'All Products'!P:P,FALSE)</f>
        <v>19.8</v>
      </c>
      <c r="V130" s="265">
        <f>_xlfn.XLOOKUP(E130,'All Products'!D:D,'All Products'!Q:Q,FALSE)</f>
        <v>2.77</v>
      </c>
    </row>
    <row r="131" spans="1:22" ht="14.4" customHeight="1">
      <c r="A131" s="101" t="str">
        <f>IF(K131&gt;0,COUNT($A$8:A130)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31" s="610"/>
      <c r="C131" s="611"/>
      <c r="D131" s="274" t="str">
        <f>_xlfn.XLOOKUP(E131,'All Products'!D:D,'All Products'!C:C,FALSE)</f>
        <v>2-A4-1-1-12</v>
      </c>
      <c r="E131" s="103">
        <v>100024253</v>
      </c>
      <c r="F131" s="144" t="str">
        <f>_xlfn.XLOOKUP(E131,'All Products'!D:D,'All Products'!E:E,FALSE)</f>
        <v>1-1/4 SOC X 1-1/4 SOC SU X 12LL SJ</v>
      </c>
      <c r="G131" s="103">
        <f>_xlfn.XLOOKUP(E131,'All Products'!D:D,'All Products'!F:F,FALSE)</f>
        <v>10</v>
      </c>
      <c r="H131" s="103">
        <f>_xlfn.XLOOKUP(E131,'All Products'!D:D,'All Products'!G:G,FALSE)</f>
        <v>750</v>
      </c>
      <c r="I131" s="140">
        <f>_xlfn.XLOOKUP(E131,'All Products'!D:D,'All Products'!H:H,FALSE)</f>
        <v>136.21</v>
      </c>
      <c r="J131" s="173">
        <f>ROUNDUP(I131*Order_Quote!$L$26,2)</f>
        <v>136.21</v>
      </c>
      <c r="K131" s="75"/>
      <c r="L131" s="113"/>
      <c r="M131" s="171">
        <f t="shared" si="1"/>
        <v>0</v>
      </c>
      <c r="O131" s="215" t="str">
        <f>_xlfn.XLOOKUP(E131,'All Products'!D:D,'All Products'!I:I,FALSE)</f>
        <v>Within 3 Weeks</v>
      </c>
      <c r="P131" s="215" t="str">
        <f>_xlfn.XLOOKUP(E131,'All Products'!D:D,'All Products'!J:J,FALSE)</f>
        <v>Manufactured</v>
      </c>
      <c r="Q131" s="266">
        <f>_xlfn.XLOOKUP(E131,'All Products'!D:D,'All Products'!K:K,FALSE)</f>
        <v>49081031190</v>
      </c>
      <c r="R131" s="266" t="str">
        <f>_xlfn.XLOOKUP(E131,'All Products'!D:D,'All Products'!L:L,FALSE)</f>
        <v>-</v>
      </c>
      <c r="S131" s="266">
        <f>_xlfn.XLOOKUP(E131,'All Products'!D:D,'All Products'!M:M,FALSE)</f>
        <v>40049081031198</v>
      </c>
      <c r="T131" s="264">
        <f>_xlfn.XLOOKUP(E131,'All Products'!D:D,'All Products'!N:N,FALSE)</f>
        <v>1.61</v>
      </c>
      <c r="U131" s="264">
        <f>_xlfn.XLOOKUP(E131,'All Products'!D:D,'All Products'!P:P,FALSE)</f>
        <v>16.899999999999999</v>
      </c>
      <c r="V131" s="265">
        <f>_xlfn.XLOOKUP(E131,'All Products'!D:D,'All Products'!Q:Q,FALSE)</f>
        <v>1.1000000000000001</v>
      </c>
    </row>
    <row r="132" spans="1:22" ht="14.4" customHeight="1">
      <c r="A132" s="101" t="str">
        <f>IF(K132&gt;0,COUNT($A$8:A131)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32" s="610"/>
      <c r="C132" s="611"/>
      <c r="D132" s="274" t="str">
        <f>_xlfn.XLOOKUP(E132,'All Products'!D:D,'All Products'!C:C,FALSE)</f>
        <v>2-A4-16-1-12</v>
      </c>
      <c r="E132" s="103">
        <v>100024255</v>
      </c>
      <c r="F132" s="144" t="str">
        <f>_xlfn.XLOOKUP(E132,'All Products'!D:D,'All Products'!E:E,FALSE)</f>
        <v>1-1/4 SOC X 1 ACME SU X 12 LL SJ</v>
      </c>
      <c r="G132" s="103">
        <f>_xlfn.XLOOKUP(E132,'All Products'!D:D,'All Products'!F:F,FALSE)</f>
        <v>10</v>
      </c>
      <c r="H132" s="103">
        <f>_xlfn.XLOOKUP(E132,'All Products'!D:D,'All Products'!G:G,FALSE)</f>
        <v>750</v>
      </c>
      <c r="I132" s="140">
        <f>_xlfn.XLOOKUP(E132,'All Products'!D:D,'All Products'!H:H,FALSE)</f>
        <v>136.21</v>
      </c>
      <c r="J132" s="173">
        <f>ROUNDUP(I132*Order_Quote!$L$26,2)</f>
        <v>136.21</v>
      </c>
      <c r="K132" s="75"/>
      <c r="L132" s="113"/>
      <c r="M132" s="171">
        <f t="shared" si="1"/>
        <v>0</v>
      </c>
      <c r="O132" s="215" t="str">
        <f>_xlfn.XLOOKUP(E132,'All Products'!D:D,'All Products'!I:I,FALSE)</f>
        <v>Within 3 Weeks</v>
      </c>
      <c r="P132" s="215" t="str">
        <f>_xlfn.XLOOKUP(E132,'All Products'!D:D,'All Products'!J:J,FALSE)</f>
        <v>Manufactured</v>
      </c>
      <c r="Q132" s="266">
        <f>_xlfn.XLOOKUP(E132,'All Products'!D:D,'All Products'!K:K,FALSE)</f>
        <v>49081031473</v>
      </c>
      <c r="R132" s="266" t="str">
        <f>_xlfn.XLOOKUP(E132,'All Products'!D:D,'All Products'!L:L,FALSE)</f>
        <v>-</v>
      </c>
      <c r="S132" s="266">
        <f>_xlfn.XLOOKUP(E132,'All Products'!D:D,'All Products'!M:M,FALSE)</f>
        <v>40049081031471</v>
      </c>
      <c r="T132" s="264">
        <f>_xlfn.XLOOKUP(E132,'All Products'!D:D,'All Products'!N:N,FALSE)</f>
        <v>1.623</v>
      </c>
      <c r="U132" s="264">
        <f>_xlfn.XLOOKUP(E132,'All Products'!D:D,'All Products'!P:P,FALSE)</f>
        <v>16.5</v>
      </c>
      <c r="V132" s="265">
        <f>_xlfn.XLOOKUP(E132,'All Products'!D:D,'All Products'!Q:Q,FALSE)</f>
        <v>1.1000000000000001</v>
      </c>
    </row>
    <row r="133" spans="1:22" ht="14.4" customHeight="1">
      <c r="A133" s="101" t="str">
        <f>IF(K133&gt;0,COUNT($A$8:A132)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33" s="610"/>
      <c r="C133" s="611"/>
      <c r="D133" s="274" t="str">
        <f>_xlfn.XLOOKUP(E133,'All Products'!D:D,'All Products'!C:C,FALSE)</f>
        <v>2-A8-16-1-12</v>
      </c>
      <c r="E133" s="103">
        <v>100024981</v>
      </c>
      <c r="F133" s="144" t="str">
        <f>_xlfn.XLOOKUP(E133,'All Products'!D:D,'All Products'!E:E,FALSE)</f>
        <v>4 SPG (1-1/4) X 1 ACME SU X 12 SJ</v>
      </c>
      <c r="G133" s="103">
        <f>_xlfn.XLOOKUP(E133,'All Products'!D:D,'All Products'!F:F,FALSE)</f>
        <v>10</v>
      </c>
      <c r="H133" s="103">
        <f>_xlfn.XLOOKUP(E133,'All Products'!D:D,'All Products'!G:G,FALSE)</f>
        <v>600</v>
      </c>
      <c r="I133" s="140">
        <f>_xlfn.XLOOKUP(E133,'All Products'!D:D,'All Products'!H:H,FALSE)</f>
        <v>136.21</v>
      </c>
      <c r="J133" s="173">
        <f>ROUNDUP(I133*Order_Quote!$L$26,2)</f>
        <v>136.21</v>
      </c>
      <c r="K133" s="75"/>
      <c r="L133" s="113"/>
      <c r="M133" s="171">
        <f t="shared" si="1"/>
        <v>0</v>
      </c>
      <c r="O133" s="215" t="str">
        <f>_xlfn.XLOOKUP(E133,'All Products'!D:D,'All Products'!I:I,FALSE)</f>
        <v>Within 3 Weeks</v>
      </c>
      <c r="P133" s="215" t="str">
        <f>_xlfn.XLOOKUP(E133,'All Products'!D:D,'All Products'!J:J,FALSE)</f>
        <v>Manufactured</v>
      </c>
      <c r="Q133" s="266">
        <f>_xlfn.XLOOKUP(E133,'All Products'!D:D,'All Products'!K:K,FALSE)</f>
        <v>49081022518</v>
      </c>
      <c r="R133" s="266" t="str">
        <f>_xlfn.XLOOKUP(E133,'All Products'!D:D,'All Products'!L:L,FALSE)</f>
        <v>-</v>
      </c>
      <c r="S133" s="266">
        <f>_xlfn.XLOOKUP(E133,'All Products'!D:D,'All Products'!M:M,FALSE)</f>
        <v>40049081022516</v>
      </c>
      <c r="T133" s="264">
        <f>_xlfn.XLOOKUP(E133,'All Products'!D:D,'All Products'!N:N,FALSE)</f>
        <v>1.724</v>
      </c>
      <c r="U133" s="264">
        <f>_xlfn.XLOOKUP(E133,'All Products'!D:D,'All Products'!P:P,FALSE)</f>
        <v>17.18</v>
      </c>
      <c r="V133" s="265">
        <f>_xlfn.XLOOKUP(E133,'All Products'!D:D,'All Products'!Q:Q,FALSE)</f>
        <v>1.41</v>
      </c>
    </row>
    <row r="134" spans="1:22" ht="14.4" customHeight="1">
      <c r="A134" s="101" t="str">
        <f>IF(K134&gt;0,COUNT($A$8:A133)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34" s="610"/>
      <c r="C134" s="611"/>
      <c r="D134" s="274" t="str">
        <f>_xlfn.XLOOKUP(E134,'All Products'!D:D,'All Products'!C:C,FALSE)</f>
        <v>2-A8-16-1-18</v>
      </c>
      <c r="E134" s="103">
        <v>100024982</v>
      </c>
      <c r="F134" s="144" t="str">
        <f>_xlfn.XLOOKUP(E134,'All Products'!D:D,'All Products'!E:E,FALSE)</f>
        <v>4 SPG X 1 ACME SU X 18 SJ</v>
      </c>
      <c r="G134" s="103">
        <f>_xlfn.XLOOKUP(E134,'All Products'!D:D,'All Products'!F:F,FALSE)</f>
        <v>10</v>
      </c>
      <c r="H134" s="103">
        <f>_xlfn.XLOOKUP(E134,'All Products'!D:D,'All Products'!G:G,FALSE)</f>
        <v>240</v>
      </c>
      <c r="I134" s="140">
        <f>_xlfn.XLOOKUP(E134,'All Products'!D:D,'All Products'!H:H,FALSE)</f>
        <v>147.31</v>
      </c>
      <c r="J134" s="173">
        <f>ROUNDUP(I134*Order_Quote!$L$26,2)</f>
        <v>147.31</v>
      </c>
      <c r="K134" s="75"/>
      <c r="L134" s="113"/>
      <c r="M134" s="171">
        <f t="shared" si="1"/>
        <v>0</v>
      </c>
      <c r="O134" s="215" t="str">
        <f>_xlfn.XLOOKUP(E134,'All Products'!D:D,'All Products'!I:I,FALSE)</f>
        <v>Within 3 Weeks</v>
      </c>
      <c r="P134" s="215" t="str">
        <f>_xlfn.XLOOKUP(E134,'All Products'!D:D,'All Products'!J:J,FALSE)</f>
        <v>Manufactured</v>
      </c>
      <c r="Q134" s="266">
        <f>_xlfn.XLOOKUP(E134,'All Products'!D:D,'All Products'!K:K,FALSE)</f>
        <v>49081022112</v>
      </c>
      <c r="R134" s="266" t="str">
        <f>_xlfn.XLOOKUP(E134,'All Products'!D:D,'All Products'!L:L,FALSE)</f>
        <v>-</v>
      </c>
      <c r="S134" s="266">
        <f>_xlfn.XLOOKUP(E134,'All Products'!D:D,'All Products'!M:M,FALSE)</f>
        <v>40049081022110</v>
      </c>
      <c r="T134" s="264">
        <f>_xlfn.XLOOKUP(E134,'All Products'!D:D,'All Products'!N:N,FALSE)</f>
        <v>1.998</v>
      </c>
      <c r="U134" s="264">
        <f>_xlfn.XLOOKUP(E134,'All Products'!D:D,'All Products'!P:P,FALSE)</f>
        <v>20.8</v>
      </c>
      <c r="V134" s="265">
        <f>_xlfn.XLOOKUP(E134,'All Products'!D:D,'All Products'!Q:Q,FALSE)</f>
        <v>2.77</v>
      </c>
    </row>
    <row r="135" spans="1:22" ht="14.4" customHeight="1">
      <c r="A135" s="101" t="str">
        <f>IF(K135&gt;0,COUNT($A$8:A134)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35" s="610"/>
      <c r="C135" s="611"/>
      <c r="D135" s="274" t="str">
        <f>_xlfn.XLOOKUP(E135,'All Products'!D:D,'All Products'!C:C,FALSE)</f>
        <v>2-A8-17-1-12</v>
      </c>
      <c r="E135" s="103">
        <v>100024297</v>
      </c>
      <c r="F135" s="144" t="str">
        <f>_xlfn.XLOOKUP(E135,'All Products'!D:D,'All Products'!E:E,FALSE)</f>
        <v>4 SPG X 1-1/4 ACME SU X 12 SJ</v>
      </c>
      <c r="G135" s="103">
        <f>_xlfn.XLOOKUP(E135,'All Products'!D:D,'All Products'!F:F,FALSE)</f>
        <v>10</v>
      </c>
      <c r="H135" s="103">
        <f>_xlfn.XLOOKUP(E135,'All Products'!D:D,'All Products'!G:G,FALSE)</f>
        <v>900</v>
      </c>
      <c r="I135" s="140">
        <f>_xlfn.XLOOKUP(E135,'All Products'!D:D,'All Products'!H:H,FALSE)</f>
        <v>136.21</v>
      </c>
      <c r="J135" s="173">
        <f>ROUNDUP(I135*Order_Quote!$L$26,2)</f>
        <v>136.21</v>
      </c>
      <c r="K135" s="75"/>
      <c r="L135" s="113"/>
      <c r="M135" s="171">
        <f t="shared" si="1"/>
        <v>0</v>
      </c>
      <c r="O135" s="215" t="str">
        <f>_xlfn.XLOOKUP(E135,'All Products'!D:D,'All Products'!I:I,FALSE)</f>
        <v>Within 3 Weeks</v>
      </c>
      <c r="P135" s="215" t="str">
        <f>_xlfn.XLOOKUP(E135,'All Products'!D:D,'All Products'!J:J,FALSE)</f>
        <v>Manufactured</v>
      </c>
      <c r="Q135" s="266">
        <f>_xlfn.XLOOKUP(E135,'All Products'!D:D,'All Products'!K:K,FALSE)</f>
        <v>49081026981</v>
      </c>
      <c r="R135" s="266" t="str">
        <f>_xlfn.XLOOKUP(E135,'All Products'!D:D,'All Products'!L:L,FALSE)</f>
        <v>-</v>
      </c>
      <c r="S135" s="266">
        <f>_xlfn.XLOOKUP(E135,'All Products'!D:D,'All Products'!M:M,FALSE)</f>
        <v>40049081026989</v>
      </c>
      <c r="T135" s="264">
        <f>_xlfn.XLOOKUP(E135,'All Products'!D:D,'All Products'!N:N,FALSE)</f>
        <v>1.7</v>
      </c>
      <c r="U135" s="264">
        <f>_xlfn.XLOOKUP(E135,'All Products'!D:D,'All Products'!P:P,FALSE)</f>
        <v>34</v>
      </c>
      <c r="V135" s="265">
        <f>_xlfn.XLOOKUP(E135,'All Products'!D:D,'All Products'!Q:Q,FALSE)</f>
        <v>0.8</v>
      </c>
    </row>
    <row r="136" spans="1:22" ht="14.4" customHeight="1">
      <c r="A136" s="101" t="str">
        <f>IF(K136&gt;0,COUNT($A$8:A135)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36" s="610"/>
      <c r="C136" s="611"/>
      <c r="D136" s="274" t="str">
        <f>_xlfn.XLOOKUP(E136,'All Products'!D:D,'All Products'!C:C,FALSE)</f>
        <v>2-A8-18-1-12</v>
      </c>
      <c r="E136" s="103">
        <v>100024300</v>
      </c>
      <c r="F136" s="144" t="str">
        <f>_xlfn.XLOOKUP(E136,'All Products'!D:D,'All Products'!E:E,FALSE)</f>
        <v>4 SPG X 1-1/2 ACME SU X 12 SJ</v>
      </c>
      <c r="G136" s="103">
        <f>_xlfn.XLOOKUP(E136,'All Products'!D:D,'All Products'!F:F,FALSE)</f>
        <v>10</v>
      </c>
      <c r="H136" s="103">
        <f>_xlfn.XLOOKUP(E136,'All Products'!D:D,'All Products'!G:G,FALSE)</f>
        <v>600</v>
      </c>
      <c r="I136" s="140">
        <f>_xlfn.XLOOKUP(E136,'All Products'!D:D,'All Products'!H:H,FALSE)</f>
        <v>136.21</v>
      </c>
      <c r="J136" s="173">
        <f>ROUNDUP(I136*Order_Quote!$L$26,2)</f>
        <v>136.21</v>
      </c>
      <c r="K136" s="75"/>
      <c r="L136" s="113"/>
      <c r="M136" s="171">
        <f t="shared" si="1"/>
        <v>0</v>
      </c>
      <c r="O136" s="215" t="str">
        <f>_xlfn.XLOOKUP(E136,'All Products'!D:D,'All Products'!I:I,FALSE)</f>
        <v>Within 3 Weeks</v>
      </c>
      <c r="P136" s="215" t="str">
        <f>_xlfn.XLOOKUP(E136,'All Products'!D:D,'All Products'!J:J,FALSE)</f>
        <v>Manufactured</v>
      </c>
      <c r="Q136" s="266">
        <f>_xlfn.XLOOKUP(E136,'All Products'!D:D,'All Products'!K:K,FALSE)</f>
        <v>49081027018</v>
      </c>
      <c r="R136" s="266" t="str">
        <f>_xlfn.XLOOKUP(E136,'All Products'!D:D,'All Products'!L:L,FALSE)</f>
        <v>-</v>
      </c>
      <c r="S136" s="266">
        <f>_xlfn.XLOOKUP(E136,'All Products'!D:D,'All Products'!M:M,FALSE)</f>
        <v>40049081027016</v>
      </c>
      <c r="T136" s="264">
        <f>_xlfn.XLOOKUP(E136,'All Products'!D:D,'All Products'!N:N,FALSE)</f>
        <v>1.732</v>
      </c>
      <c r="U136" s="264">
        <f>_xlfn.XLOOKUP(E136,'All Products'!D:D,'All Products'!P:P,FALSE)</f>
        <v>17.48</v>
      </c>
      <c r="V136" s="265">
        <f>_xlfn.XLOOKUP(E136,'All Products'!D:D,'All Products'!Q:Q,FALSE)</f>
        <v>1.41</v>
      </c>
    </row>
    <row r="137" spans="1:22" ht="14.4" customHeight="1">
      <c r="A137" s="101" t="str">
        <f>IF(K137&gt;0,COUNT($A$8:A136)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37" s="610"/>
      <c r="C137" s="611"/>
      <c r="D137" s="274" t="str">
        <f>_xlfn.XLOOKUP(E137,'All Products'!D:D,'All Products'!C:C,FALSE)</f>
        <v>2-A8-3-1-10</v>
      </c>
      <c r="E137" s="103">
        <v>100024304</v>
      </c>
      <c r="F137" s="144" t="str">
        <f>_xlfn.XLOOKUP(E137,'All Products'!D:D,'All Products'!E:E,FALSE)</f>
        <v>4 SPG X 1-1/4 MPT SU X 10 SJ</v>
      </c>
      <c r="G137" s="103">
        <f>_xlfn.XLOOKUP(E137,'All Products'!D:D,'All Products'!F:F,FALSE)</f>
        <v>10</v>
      </c>
      <c r="H137" s="103" t="str">
        <f>_xlfn.XLOOKUP(E137,'All Products'!D:D,'All Products'!G:G,FALSE)</f>
        <v>-</v>
      </c>
      <c r="I137" s="140">
        <f>_xlfn.XLOOKUP(E137,'All Products'!D:D,'All Products'!H:H,FALSE)</f>
        <v>136.21</v>
      </c>
      <c r="J137" s="173">
        <f>ROUNDUP(I137*Order_Quote!$L$26,2)</f>
        <v>136.21</v>
      </c>
      <c r="K137" s="75"/>
      <c r="L137" s="113"/>
      <c r="M137" s="171">
        <f t="shared" ref="M137:M200" si="2">K137/G137</f>
        <v>0</v>
      </c>
      <c r="O137" s="215" t="str">
        <f>_xlfn.XLOOKUP(E137,'All Products'!D:D,'All Products'!I:I,FALSE)</f>
        <v>Within 3 Weeks</v>
      </c>
      <c r="P137" s="215" t="str">
        <f>_xlfn.XLOOKUP(E137,'All Products'!D:D,'All Products'!J:J,FALSE)</f>
        <v>Manufactured</v>
      </c>
      <c r="Q137" s="266">
        <f>_xlfn.XLOOKUP(E137,'All Products'!D:D,'All Products'!K:K,FALSE)</f>
        <v>49081027032</v>
      </c>
      <c r="R137" s="266" t="str">
        <f>_xlfn.XLOOKUP(E137,'All Products'!D:D,'All Products'!L:L,FALSE)</f>
        <v>-</v>
      </c>
      <c r="S137" s="266">
        <f>_xlfn.XLOOKUP(E137,'All Products'!D:D,'All Products'!M:M,FALSE)</f>
        <v>40049081027030</v>
      </c>
      <c r="T137" s="264">
        <f>_xlfn.XLOOKUP(E137,'All Products'!D:D,'All Products'!N:N,FALSE)</f>
        <v>1.2969999999999999</v>
      </c>
      <c r="U137" s="264">
        <f>_xlfn.XLOOKUP(E137,'All Products'!D:D,'All Products'!P:P,FALSE)</f>
        <v>16</v>
      </c>
      <c r="V137" s="265">
        <f>_xlfn.XLOOKUP(E137,'All Products'!D:D,'All Products'!Q:Q,FALSE)</f>
        <v>2.11</v>
      </c>
    </row>
    <row r="138" spans="1:22" ht="14.4" customHeight="1">
      <c r="A138" s="101" t="str">
        <f>IF(K138&gt;0,COUNT($A$8:A137)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38" s="610"/>
      <c r="C138" s="611"/>
      <c r="D138" s="274" t="str">
        <f>_xlfn.XLOOKUP(E138,'All Products'!D:D,'All Products'!C:C,FALSE)</f>
        <v>2-A8-3-1-12</v>
      </c>
      <c r="E138" s="103">
        <v>100024305</v>
      </c>
      <c r="F138" s="144" t="str">
        <f>_xlfn.XLOOKUP(E138,'All Products'!D:D,'All Products'!E:E,FALSE)</f>
        <v>4 SPG X 1-1/4 MPT SU X 12 SJ</v>
      </c>
      <c r="G138" s="103">
        <f>_xlfn.XLOOKUP(E138,'All Products'!D:D,'All Products'!F:F,FALSE)</f>
        <v>10</v>
      </c>
      <c r="H138" s="103" t="str">
        <f>_xlfn.XLOOKUP(E138,'All Products'!D:D,'All Products'!G:G,FALSE)</f>
        <v>-</v>
      </c>
      <c r="I138" s="140">
        <f>_xlfn.XLOOKUP(E138,'All Products'!D:D,'All Products'!H:H,FALSE)</f>
        <v>136.21</v>
      </c>
      <c r="J138" s="173">
        <f>ROUNDUP(I138*Order_Quote!$L$26,2)</f>
        <v>136.21</v>
      </c>
      <c r="K138" s="75"/>
      <c r="L138" s="113"/>
      <c r="M138" s="171">
        <f t="shared" si="2"/>
        <v>0</v>
      </c>
      <c r="O138" s="215" t="str">
        <f>_xlfn.XLOOKUP(E138,'All Products'!D:D,'All Products'!I:I,FALSE)</f>
        <v>Within 3 Weeks</v>
      </c>
      <c r="P138" s="215" t="str">
        <f>_xlfn.XLOOKUP(E138,'All Products'!D:D,'All Products'!J:J,FALSE)</f>
        <v>Manufactured</v>
      </c>
      <c r="Q138" s="266">
        <f>_xlfn.XLOOKUP(E138,'All Products'!D:D,'All Products'!K:K,FALSE)</f>
        <v>49081021474</v>
      </c>
      <c r="R138" s="266" t="str">
        <f>_xlfn.XLOOKUP(E138,'All Products'!D:D,'All Products'!L:L,FALSE)</f>
        <v>-</v>
      </c>
      <c r="S138" s="266">
        <f>_xlfn.XLOOKUP(E138,'All Products'!D:D,'All Products'!M:M,FALSE)</f>
        <v>40049081021472</v>
      </c>
      <c r="T138" s="264">
        <f>_xlfn.XLOOKUP(E138,'All Products'!D:D,'All Products'!N:N,FALSE)</f>
        <v>1.6839999999999999</v>
      </c>
      <c r="U138" s="264">
        <f>_xlfn.XLOOKUP(E138,'All Products'!D:D,'All Products'!P:P,FALSE)</f>
        <v>16.5</v>
      </c>
      <c r="V138" s="265" t="str">
        <f>_xlfn.XLOOKUP(E138,'All Products'!D:D,'All Products'!Q:Q,FALSE)</f>
        <v>-</v>
      </c>
    </row>
    <row r="139" spans="1:22" ht="14.4" customHeight="1">
      <c r="A139" s="101" t="str">
        <f>IF(K139&gt;0,COUNT($A$8:A138)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39" s="610"/>
      <c r="C139" s="611"/>
      <c r="D139" s="274" t="str">
        <f>_xlfn.XLOOKUP(E139,'All Products'!D:D,'All Products'!C:C,FALSE)</f>
        <v>2-A8-7-1-12</v>
      </c>
      <c r="E139" s="103">
        <v>100024986</v>
      </c>
      <c r="F139" s="144" t="str">
        <f>_xlfn.XLOOKUP(E139,'All Products'!D:D,'All Products'!E:E,FALSE)</f>
        <v>4 SPG X 1 MPT SU X 12 SJ</v>
      </c>
      <c r="G139" s="103">
        <f>_xlfn.XLOOKUP(E139,'All Products'!D:D,'All Products'!F:F,FALSE)</f>
        <v>10</v>
      </c>
      <c r="H139" s="103">
        <f>_xlfn.XLOOKUP(E139,'All Products'!D:D,'All Products'!G:G,FALSE)</f>
        <v>180</v>
      </c>
      <c r="I139" s="140">
        <f>_xlfn.XLOOKUP(E139,'All Products'!D:D,'All Products'!H:H,FALSE)</f>
        <v>136.21</v>
      </c>
      <c r="J139" s="173">
        <f>ROUNDUP(I139*Order_Quote!$L$26,2)</f>
        <v>136.21</v>
      </c>
      <c r="K139" s="75"/>
      <c r="L139" s="113"/>
      <c r="M139" s="171">
        <f t="shared" si="2"/>
        <v>0</v>
      </c>
      <c r="O139" s="215" t="str">
        <f>_xlfn.XLOOKUP(E139,'All Products'!D:D,'All Products'!I:I,FALSE)</f>
        <v>Within 3 Weeks</v>
      </c>
      <c r="P139" s="215" t="str">
        <f>_xlfn.XLOOKUP(E139,'All Products'!D:D,'All Products'!J:J,FALSE)</f>
        <v>Manufactured</v>
      </c>
      <c r="Q139" s="266">
        <f>_xlfn.XLOOKUP(E139,'All Products'!D:D,'All Products'!K:K,FALSE)</f>
        <v>49081021481</v>
      </c>
      <c r="R139" s="266" t="str">
        <f>_xlfn.XLOOKUP(E139,'All Products'!D:D,'All Products'!L:L,FALSE)</f>
        <v>-</v>
      </c>
      <c r="S139" s="266">
        <f>_xlfn.XLOOKUP(E139,'All Products'!D:D,'All Products'!M:M,FALSE)</f>
        <v>40049081021489</v>
      </c>
      <c r="T139" s="264">
        <f>_xlfn.XLOOKUP(E139,'All Products'!D:D,'All Products'!N:N,FALSE)</f>
        <v>1.6910000000000001</v>
      </c>
      <c r="U139" s="264">
        <f>_xlfn.XLOOKUP(E139,'All Products'!D:D,'All Products'!P:P,FALSE)</f>
        <v>17.739999999999998</v>
      </c>
      <c r="V139" s="265">
        <f>_xlfn.XLOOKUP(E139,'All Products'!D:D,'All Products'!Q:Q,FALSE)</f>
        <v>2.65</v>
      </c>
    </row>
    <row r="140" spans="1:22" ht="14.4" customHeight="1">
      <c r="A140" s="101" t="str">
        <f>IF(K140&gt;0,COUNT($A$8:A139)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40" s="610"/>
      <c r="C140" s="611"/>
      <c r="D140" s="274" t="str">
        <f>_xlfn.XLOOKUP(E140,'All Products'!D:D,'All Products'!C:C,FALSE)</f>
        <v>2-AF-16-1-12</v>
      </c>
      <c r="E140" s="103">
        <v>100024988</v>
      </c>
      <c r="F140" s="144" t="str">
        <f>_xlfn.XLOOKUP(E140,'All Products'!D:D,'All Products'!E:E,FALSE)</f>
        <v>1-1/2 AQUAFUSE X 1 ACME SU X 12 SJ</v>
      </c>
      <c r="G140" s="103">
        <f>_xlfn.XLOOKUP(E140,'All Products'!D:D,'All Products'!F:F,FALSE)</f>
        <v>10</v>
      </c>
      <c r="H140" s="103">
        <f>_xlfn.XLOOKUP(E140,'All Products'!D:D,'All Products'!G:G,FALSE)</f>
        <v>600</v>
      </c>
      <c r="I140" s="140">
        <f>_xlfn.XLOOKUP(E140,'All Products'!D:D,'All Products'!H:H,FALSE)</f>
        <v>173.7</v>
      </c>
      <c r="J140" s="173">
        <f>ROUNDUP(I140*Order_Quote!$L$26,2)</f>
        <v>173.7</v>
      </c>
      <c r="K140" s="75"/>
      <c r="L140" s="113"/>
      <c r="M140" s="171">
        <f t="shared" si="2"/>
        <v>0</v>
      </c>
      <c r="O140" s="215" t="str">
        <f>_xlfn.XLOOKUP(E140,'All Products'!D:D,'All Products'!I:I,FALSE)</f>
        <v>Within 3 Weeks</v>
      </c>
      <c r="P140" s="215" t="str">
        <f>_xlfn.XLOOKUP(E140,'All Products'!D:D,'All Products'!J:J,FALSE)</f>
        <v>Manufactured</v>
      </c>
      <c r="Q140" s="266">
        <f>_xlfn.XLOOKUP(E140,'All Products'!D:D,'All Products'!K:K,FALSE)</f>
        <v>49081031589</v>
      </c>
      <c r="R140" s="266" t="str">
        <f>_xlfn.XLOOKUP(E140,'All Products'!D:D,'All Products'!L:L,FALSE)</f>
        <v>-</v>
      </c>
      <c r="S140" s="266">
        <f>_xlfn.XLOOKUP(E140,'All Products'!D:D,'All Products'!M:M,FALSE)</f>
        <v>40049081031587</v>
      </c>
      <c r="T140" s="264">
        <f>_xlfn.XLOOKUP(E140,'All Products'!D:D,'All Products'!N:N,FALSE)</f>
        <v>2.1040000000000001</v>
      </c>
      <c r="U140" s="264">
        <f>_xlfn.XLOOKUP(E140,'All Products'!D:D,'All Products'!P:P,FALSE)</f>
        <v>17.2</v>
      </c>
      <c r="V140" s="265">
        <f>_xlfn.XLOOKUP(E140,'All Products'!D:D,'All Products'!Q:Q,FALSE)</f>
        <v>1.41</v>
      </c>
    </row>
    <row r="141" spans="1:22" ht="14.4" customHeight="1">
      <c r="A141" s="101" t="str">
        <f>IF(K141&gt;0,COUNT($A$8:A140)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41" s="610"/>
      <c r="C141" s="611"/>
      <c r="D141" s="274" t="str">
        <f>_xlfn.XLOOKUP(E141,'All Products'!D:D,'All Products'!C:C,FALSE)</f>
        <v>2-AF-16-1-8</v>
      </c>
      <c r="E141" s="103">
        <v>100024989</v>
      </c>
      <c r="F141" s="144" t="str">
        <f>_xlfn.XLOOKUP(E141,'All Products'!D:D,'All Products'!E:E,FALSE)</f>
        <v>1-1/2 AQUAFUSE X 1 ACME SU X 8 SJ</v>
      </c>
      <c r="G141" s="103">
        <f>_xlfn.XLOOKUP(E141,'All Products'!D:D,'All Products'!F:F,FALSE)</f>
        <v>10</v>
      </c>
      <c r="H141" s="103">
        <f>_xlfn.XLOOKUP(E141,'All Products'!D:D,'All Products'!G:G,FALSE)</f>
        <v>750</v>
      </c>
      <c r="I141" s="140">
        <f>_xlfn.XLOOKUP(E141,'All Products'!D:D,'All Products'!H:H,FALSE)</f>
        <v>162.63</v>
      </c>
      <c r="J141" s="173">
        <f>ROUNDUP(I141*Order_Quote!$L$26,2)</f>
        <v>162.63</v>
      </c>
      <c r="K141" s="75"/>
      <c r="L141" s="113"/>
      <c r="M141" s="171">
        <f t="shared" si="2"/>
        <v>0</v>
      </c>
      <c r="O141" s="215" t="str">
        <f>_xlfn.XLOOKUP(E141,'All Products'!D:D,'All Products'!I:I,FALSE)</f>
        <v>Within 3 Weeks</v>
      </c>
      <c r="P141" s="215" t="str">
        <f>_xlfn.XLOOKUP(E141,'All Products'!D:D,'All Products'!J:J,FALSE)</f>
        <v>Manufactured</v>
      </c>
      <c r="Q141" s="266">
        <f>_xlfn.XLOOKUP(E141,'All Products'!D:D,'All Products'!K:K,FALSE)</f>
        <v>49081031527</v>
      </c>
      <c r="R141" s="266" t="str">
        <f>_xlfn.XLOOKUP(E141,'All Products'!D:D,'All Products'!L:L,FALSE)</f>
        <v>-</v>
      </c>
      <c r="S141" s="266">
        <f>_xlfn.XLOOKUP(E141,'All Products'!D:D,'All Products'!M:M,FALSE)</f>
        <v>40049081031525</v>
      </c>
      <c r="T141" s="264">
        <f>_xlfn.XLOOKUP(E141,'All Products'!D:D,'All Products'!N:N,FALSE)</f>
        <v>1.9219999999999999</v>
      </c>
      <c r="U141" s="264">
        <f>_xlfn.XLOOKUP(E141,'All Products'!D:D,'All Products'!P:P,FALSE)</f>
        <v>15.1</v>
      </c>
      <c r="V141" s="265">
        <f>_xlfn.XLOOKUP(E141,'All Products'!D:D,'All Products'!Q:Q,FALSE)</f>
        <v>1.1000000000000001</v>
      </c>
    </row>
    <row r="142" spans="1:22" ht="14.4" customHeight="1">
      <c r="A142" s="101" t="str">
        <f>IF(K142&gt;0,COUNT($A$8:A141)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42" s="610"/>
      <c r="C142" s="611"/>
      <c r="D142" s="274" t="str">
        <f>_xlfn.XLOOKUP(E142,'All Products'!D:D,'All Products'!C:C,FALSE)</f>
        <v>2-AF-16-2-12</v>
      </c>
      <c r="E142" s="103">
        <v>100024990</v>
      </c>
      <c r="F142" s="144" t="str">
        <f>_xlfn.XLOOKUP(E142,'All Products'!D:D,'All Products'!E:E,FALSE)</f>
        <v>1-1/2 AQUAFUSE X 1 ACME UU X 12 SJ</v>
      </c>
      <c r="G142" s="103">
        <f>_xlfn.XLOOKUP(E142,'All Products'!D:D,'All Products'!F:F,FALSE)</f>
        <v>10</v>
      </c>
      <c r="H142" s="103">
        <f>_xlfn.XLOOKUP(E142,'All Products'!D:D,'All Products'!G:G,FALSE)</f>
        <v>180</v>
      </c>
      <c r="I142" s="140">
        <f>_xlfn.XLOOKUP(E142,'All Products'!D:D,'All Products'!H:H,FALSE)</f>
        <v>237.55</v>
      </c>
      <c r="J142" s="173">
        <f>ROUNDUP(I142*Order_Quote!$L$26,2)</f>
        <v>237.55</v>
      </c>
      <c r="K142" s="75"/>
      <c r="L142" s="113"/>
      <c r="M142" s="171">
        <f t="shared" si="2"/>
        <v>0</v>
      </c>
      <c r="O142" s="215" t="str">
        <f>_xlfn.XLOOKUP(E142,'All Products'!D:D,'All Products'!I:I,FALSE)</f>
        <v>Within 3 Weeks</v>
      </c>
      <c r="P142" s="215" t="str">
        <f>_xlfn.XLOOKUP(E142,'All Products'!D:D,'All Products'!J:J,FALSE)</f>
        <v>Manufactured</v>
      </c>
      <c r="Q142" s="266">
        <f>_xlfn.XLOOKUP(E142,'All Products'!D:D,'All Products'!K:K,FALSE)</f>
        <v>49081031480</v>
      </c>
      <c r="R142" s="266" t="str">
        <f>_xlfn.XLOOKUP(E142,'All Products'!D:D,'All Products'!L:L,FALSE)</f>
        <v>-</v>
      </c>
      <c r="S142" s="266">
        <f>_xlfn.XLOOKUP(E142,'All Products'!D:D,'All Products'!M:M,FALSE)</f>
        <v>40049081031488</v>
      </c>
      <c r="T142" s="264">
        <f>_xlfn.XLOOKUP(E142,'All Products'!D:D,'All Products'!N:N,FALSE)</f>
        <v>2.1040000000000001</v>
      </c>
      <c r="U142" s="264">
        <f>_xlfn.XLOOKUP(E142,'All Products'!D:D,'All Products'!P:P,FALSE)</f>
        <v>24.7</v>
      </c>
      <c r="V142" s="265">
        <f>_xlfn.XLOOKUP(E142,'All Products'!D:D,'All Products'!Q:Q,FALSE)</f>
        <v>2.65</v>
      </c>
    </row>
    <row r="143" spans="1:22" ht="14.4" customHeight="1">
      <c r="A143" s="101" t="str">
        <f>IF(K143&gt;0,COUNT($A$8:A142)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43" s="610"/>
      <c r="C143" s="611"/>
      <c r="D143" s="274" t="str">
        <f>_xlfn.XLOOKUP(E143,'All Products'!D:D,'All Products'!C:C,FALSE)</f>
        <v>2-AF-16-2-8</v>
      </c>
      <c r="E143" s="103">
        <v>100024991</v>
      </c>
      <c r="F143" s="144" t="str">
        <f>_xlfn.XLOOKUP(E143,'All Products'!D:D,'All Products'!E:E,FALSE)</f>
        <v>1-1/2 AQUAFUSE X 1 ACME UU X 8 SJ</v>
      </c>
      <c r="G143" s="103">
        <f>_xlfn.XLOOKUP(E143,'All Products'!D:D,'All Products'!F:F,FALSE)</f>
        <v>10</v>
      </c>
      <c r="H143" s="103">
        <f>_xlfn.XLOOKUP(E143,'All Products'!D:D,'All Products'!G:G,FALSE)</f>
        <v>180</v>
      </c>
      <c r="I143" s="140">
        <f>_xlfn.XLOOKUP(E143,'All Products'!D:D,'All Products'!H:H,FALSE)</f>
        <v>226.46</v>
      </c>
      <c r="J143" s="173">
        <f>ROUNDUP(I143*Order_Quote!$L$26,2)</f>
        <v>226.46</v>
      </c>
      <c r="K143" s="75"/>
      <c r="L143" s="113"/>
      <c r="M143" s="171">
        <f t="shared" si="2"/>
        <v>0</v>
      </c>
      <c r="O143" s="215" t="str">
        <f>_xlfn.XLOOKUP(E143,'All Products'!D:D,'All Products'!I:I,FALSE)</f>
        <v>Within 3 Weeks</v>
      </c>
      <c r="P143" s="215" t="str">
        <f>_xlfn.XLOOKUP(E143,'All Products'!D:D,'All Products'!J:J,FALSE)</f>
        <v>Manufactured</v>
      </c>
      <c r="Q143" s="266">
        <f>_xlfn.XLOOKUP(E143,'All Products'!D:D,'All Products'!K:K,FALSE)</f>
        <v>49081031602</v>
      </c>
      <c r="R143" s="266" t="str">
        <f>_xlfn.XLOOKUP(E143,'All Products'!D:D,'All Products'!L:L,FALSE)</f>
        <v>-</v>
      </c>
      <c r="S143" s="266">
        <f>_xlfn.XLOOKUP(E143,'All Products'!D:D,'All Products'!M:M,FALSE)</f>
        <v>40049081031600</v>
      </c>
      <c r="T143" s="264">
        <f>_xlfn.XLOOKUP(E143,'All Products'!D:D,'All Products'!N:N,FALSE)</f>
        <v>2.698</v>
      </c>
      <c r="U143" s="264">
        <f>_xlfn.XLOOKUP(E143,'All Products'!D:D,'All Products'!P:P,FALSE)</f>
        <v>22.7</v>
      </c>
      <c r="V143" s="265">
        <f>_xlfn.XLOOKUP(E143,'All Products'!D:D,'All Products'!Q:Q,FALSE)</f>
        <v>2.65</v>
      </c>
    </row>
    <row r="144" spans="1:22" ht="14.4" customHeight="1">
      <c r="A144" s="101" t="str">
        <f>IF(K144&gt;0,COUNT($A$8:A143)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44" s="610"/>
      <c r="C144" s="611"/>
      <c r="D144" s="274" t="str">
        <f>_xlfn.XLOOKUP(E144,'All Products'!D:D,'All Products'!C:C,FALSE)</f>
        <v>2-B1-16-1-12</v>
      </c>
      <c r="E144" s="103">
        <v>100024992</v>
      </c>
      <c r="F144" s="144" t="str">
        <f>_xlfn.XLOOKUP(E144,'All Products'!D:D,'All Products'!E:E,FALSE)</f>
        <v>1-1/4 BSPT X 1 ACME SU X 12 SJ</v>
      </c>
      <c r="G144" s="103">
        <f>_xlfn.XLOOKUP(E144,'All Products'!D:D,'All Products'!F:F,FALSE)</f>
        <v>10</v>
      </c>
      <c r="H144" s="103" t="str">
        <f>_xlfn.XLOOKUP(E144,'All Products'!D:D,'All Products'!G:G,FALSE)</f>
        <v>-</v>
      </c>
      <c r="I144" s="140">
        <f>_xlfn.XLOOKUP(E144,'All Products'!D:D,'All Products'!H:H,FALSE)</f>
        <v>136.21</v>
      </c>
      <c r="J144" s="173">
        <f>ROUNDUP(I144*Order_Quote!$L$26,2)</f>
        <v>136.21</v>
      </c>
      <c r="K144" s="75"/>
      <c r="L144" s="113"/>
      <c r="M144" s="171">
        <f t="shared" si="2"/>
        <v>0</v>
      </c>
      <c r="O144" s="215" t="str">
        <f>_xlfn.XLOOKUP(E144,'All Products'!D:D,'All Products'!I:I,FALSE)</f>
        <v>Within 3 Weeks</v>
      </c>
      <c r="P144" s="215" t="str">
        <f>_xlfn.XLOOKUP(E144,'All Products'!D:D,'All Products'!J:J,FALSE)</f>
        <v>Manufactured</v>
      </c>
      <c r="Q144" s="266">
        <f>_xlfn.XLOOKUP(E144,'All Products'!D:D,'All Products'!K:K,FALSE)</f>
        <v>49081027131</v>
      </c>
      <c r="R144" s="266" t="str">
        <f>_xlfn.XLOOKUP(E144,'All Products'!D:D,'All Products'!L:L,FALSE)</f>
        <v>-</v>
      </c>
      <c r="S144" s="266">
        <f>_xlfn.XLOOKUP(E144,'All Products'!D:D,'All Products'!M:M,FALSE)</f>
        <v>40049081027139</v>
      </c>
      <c r="T144" s="264">
        <f>_xlfn.XLOOKUP(E144,'All Products'!D:D,'All Products'!N:N,FALSE)</f>
        <v>1.595</v>
      </c>
      <c r="U144" s="264" t="str">
        <f>_xlfn.XLOOKUP(E144,'All Products'!D:D,'All Products'!P:P,FALSE)</f>
        <v>-</v>
      </c>
      <c r="V144" s="265" t="str">
        <f>_xlfn.XLOOKUP(E144,'All Products'!D:D,'All Products'!Q:Q,FALSE)</f>
        <v>-</v>
      </c>
    </row>
    <row r="145" spans="1:22" ht="14.4" customHeight="1">
      <c r="A145" s="101" t="str">
        <f>IF(K145&gt;0,COUNT($A$8:A144)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45" s="610"/>
      <c r="C145" s="611"/>
      <c r="D145" s="274" t="str">
        <f>_xlfn.XLOOKUP(E145,'All Products'!D:D,'All Products'!C:C,FALSE)</f>
        <v>2-B1-17-1-12</v>
      </c>
      <c r="E145" s="103">
        <v>100024316</v>
      </c>
      <c r="F145" s="144" t="str">
        <f>_xlfn.XLOOKUP(E145,'All Products'!D:D,'All Products'!E:E,FALSE)</f>
        <v>1-1/4 BSPT X 1-1/4 ACME SU X 12 SJ</v>
      </c>
      <c r="G145" s="103">
        <f>_xlfn.XLOOKUP(E145,'All Products'!D:D,'All Products'!F:F,FALSE)</f>
        <v>10</v>
      </c>
      <c r="H145" s="103">
        <f>_xlfn.XLOOKUP(E145,'All Products'!D:D,'All Products'!G:G,FALSE)</f>
        <v>750</v>
      </c>
      <c r="I145" s="140">
        <f>_xlfn.XLOOKUP(E145,'All Products'!D:D,'All Products'!H:H,FALSE)</f>
        <v>136.21</v>
      </c>
      <c r="J145" s="173">
        <f>ROUNDUP(I145*Order_Quote!$L$26,2)</f>
        <v>136.21</v>
      </c>
      <c r="K145" s="75"/>
      <c r="L145" s="113"/>
      <c r="M145" s="171">
        <f t="shared" si="2"/>
        <v>0</v>
      </c>
      <c r="O145" s="215" t="str">
        <f>_xlfn.XLOOKUP(E145,'All Products'!D:D,'All Products'!I:I,FALSE)</f>
        <v>Within 3 Weeks</v>
      </c>
      <c r="P145" s="215" t="str">
        <f>_xlfn.XLOOKUP(E145,'All Products'!D:D,'All Products'!J:J,FALSE)</f>
        <v>Manufactured</v>
      </c>
      <c r="Q145" s="266">
        <f>_xlfn.XLOOKUP(E145,'All Products'!D:D,'All Products'!K:K,FALSE)</f>
        <v>49081021504</v>
      </c>
      <c r="R145" s="266" t="str">
        <f>_xlfn.XLOOKUP(E145,'All Products'!D:D,'All Products'!L:L,FALSE)</f>
        <v>-</v>
      </c>
      <c r="S145" s="266">
        <f>_xlfn.XLOOKUP(E145,'All Products'!D:D,'All Products'!M:M,FALSE)</f>
        <v>40049081021502</v>
      </c>
      <c r="T145" s="264">
        <f>_xlfn.XLOOKUP(E145,'All Products'!D:D,'All Products'!N:N,FALSE)</f>
        <v>1.571</v>
      </c>
      <c r="U145" s="264">
        <f>_xlfn.XLOOKUP(E145,'All Products'!D:D,'All Products'!P:P,FALSE)</f>
        <v>15.755000000000001</v>
      </c>
      <c r="V145" s="265">
        <f>_xlfn.XLOOKUP(E145,'All Products'!D:D,'All Products'!Q:Q,FALSE)</f>
        <v>1.1000000000000001</v>
      </c>
    </row>
    <row r="146" spans="1:22" ht="14.4" customHeight="1">
      <c r="A146" s="101" t="str">
        <f>IF(K146&gt;0,COUNT($A$8:A145)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46" s="610"/>
      <c r="C146" s="611"/>
      <c r="D146" s="274" t="str">
        <f>_xlfn.XLOOKUP(E146,'All Products'!D:D,'All Products'!C:C,FALSE)</f>
        <v>2-B1-18-1-12</v>
      </c>
      <c r="E146" s="103">
        <v>100024318</v>
      </c>
      <c r="F146" s="144" t="str">
        <f>_xlfn.XLOOKUP(E146,'All Products'!D:D,'All Products'!E:E,FALSE)</f>
        <v>1-1/4 BSP X 1-1/2 ACME SU X 12 SJ</v>
      </c>
      <c r="G146" s="103">
        <f>_xlfn.XLOOKUP(E146,'All Products'!D:D,'All Products'!F:F,FALSE)</f>
        <v>10</v>
      </c>
      <c r="H146" s="103">
        <f>_xlfn.XLOOKUP(E146,'All Products'!D:D,'All Products'!G:G,FALSE)</f>
        <v>750</v>
      </c>
      <c r="I146" s="140">
        <f>_xlfn.XLOOKUP(E146,'All Products'!D:D,'All Products'!H:H,FALSE)</f>
        <v>136.21</v>
      </c>
      <c r="J146" s="173">
        <f>ROUNDUP(I146*Order_Quote!$L$26,2)</f>
        <v>136.21</v>
      </c>
      <c r="K146" s="75"/>
      <c r="L146" s="113"/>
      <c r="M146" s="171">
        <f t="shared" si="2"/>
        <v>0</v>
      </c>
      <c r="O146" s="215" t="str">
        <f>_xlfn.XLOOKUP(E146,'All Products'!D:D,'All Products'!I:I,FALSE)</f>
        <v>Within 3 Weeks</v>
      </c>
      <c r="P146" s="215" t="str">
        <f>_xlfn.XLOOKUP(E146,'All Products'!D:D,'All Products'!J:J,FALSE)</f>
        <v>Manufactured</v>
      </c>
      <c r="Q146" s="266">
        <f>_xlfn.XLOOKUP(E146,'All Products'!D:D,'All Products'!K:K,FALSE)</f>
        <v>49081021511</v>
      </c>
      <c r="R146" s="266" t="str">
        <f>_xlfn.XLOOKUP(E146,'All Products'!D:D,'All Products'!L:L,FALSE)</f>
        <v>-</v>
      </c>
      <c r="S146" s="266">
        <f>_xlfn.XLOOKUP(E146,'All Products'!D:D,'All Products'!M:M,FALSE)</f>
        <v>40049081021519</v>
      </c>
      <c r="T146" s="264">
        <f>_xlfn.XLOOKUP(E146,'All Products'!D:D,'All Products'!N:N,FALSE)</f>
        <v>1.603</v>
      </c>
      <c r="U146" s="264">
        <f>_xlfn.XLOOKUP(E146,'All Products'!D:D,'All Products'!P:P,FALSE)</f>
        <v>16.105</v>
      </c>
      <c r="V146" s="265">
        <f>_xlfn.XLOOKUP(E146,'All Products'!D:D,'All Products'!Q:Q,FALSE)</f>
        <v>1.1000000000000001</v>
      </c>
    </row>
    <row r="147" spans="1:22" ht="14.4" customHeight="1">
      <c r="A147" s="101" t="str">
        <f>IF(K147&gt;0,COUNT($A$8:A146)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47" s="610"/>
      <c r="C147" s="611"/>
      <c r="D147" s="274" t="str">
        <f>_xlfn.XLOOKUP(E147,'All Products'!D:D,'All Products'!C:C,FALSE)</f>
        <v>2-B1-22-1-12</v>
      </c>
      <c r="E147" s="103">
        <v>100024321</v>
      </c>
      <c r="F147" s="144" t="str">
        <f>_xlfn.XLOOKUP(E147,'All Products'!D:D,'All Products'!E:E,FALSE)</f>
        <v>1-1/4 BSP X 1-1/4 BSP SU X 12 SJ</v>
      </c>
      <c r="G147" s="103">
        <f>_xlfn.XLOOKUP(E147,'All Products'!D:D,'All Products'!F:F,FALSE)</f>
        <v>10</v>
      </c>
      <c r="H147" s="103">
        <f>_xlfn.XLOOKUP(E147,'All Products'!D:D,'All Products'!G:G,FALSE)</f>
        <v>750</v>
      </c>
      <c r="I147" s="140">
        <f>_xlfn.XLOOKUP(E147,'All Products'!D:D,'All Products'!H:H,FALSE)</f>
        <v>136.21</v>
      </c>
      <c r="J147" s="173">
        <f>ROUNDUP(I147*Order_Quote!$L$26,2)</f>
        <v>136.21</v>
      </c>
      <c r="K147" s="75"/>
      <c r="L147" s="113"/>
      <c r="M147" s="171">
        <f t="shared" si="2"/>
        <v>0</v>
      </c>
      <c r="O147" s="215" t="str">
        <f>_xlfn.XLOOKUP(E147,'All Products'!D:D,'All Products'!I:I,FALSE)</f>
        <v>In Stock</v>
      </c>
      <c r="P147" s="215" t="str">
        <f>_xlfn.XLOOKUP(E147,'All Products'!D:D,'All Products'!J:J,FALSE)</f>
        <v>Manufactured</v>
      </c>
      <c r="Q147" s="266">
        <f>_xlfn.XLOOKUP(E147,'All Products'!D:D,'All Products'!K:K,FALSE)</f>
        <v>49081021528</v>
      </c>
      <c r="R147" s="266" t="str">
        <f>_xlfn.XLOOKUP(E147,'All Products'!D:D,'All Products'!L:L,FALSE)</f>
        <v>-</v>
      </c>
      <c r="S147" s="266">
        <f>_xlfn.XLOOKUP(E147,'All Products'!D:D,'All Products'!M:M,FALSE)</f>
        <v>40049081021526</v>
      </c>
      <c r="T147" s="264">
        <f>_xlfn.XLOOKUP(E147,'All Products'!D:D,'All Products'!N:N,FALSE)</f>
        <v>1.5580000000000001</v>
      </c>
      <c r="U147" s="264">
        <f>_xlfn.XLOOKUP(E147,'All Products'!D:D,'All Products'!P:P,FALSE)</f>
        <v>15.61</v>
      </c>
      <c r="V147" s="265">
        <f>_xlfn.XLOOKUP(E147,'All Products'!D:D,'All Products'!Q:Q,FALSE)</f>
        <v>1.1000000000000001</v>
      </c>
    </row>
    <row r="148" spans="1:22" ht="14.4" customHeight="1">
      <c r="A148" s="101" t="str">
        <f>IF(K148&gt;0,COUNT($A$8:A147)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48" s="610"/>
      <c r="C148" s="611"/>
      <c r="D148" s="274" t="str">
        <f>_xlfn.XLOOKUP(E148,'All Products'!D:D,'All Products'!C:C,FALSE)</f>
        <v>2-B1-25-1-12</v>
      </c>
      <c r="E148" s="103">
        <v>100024326</v>
      </c>
      <c r="F148" s="144" t="str">
        <f>_xlfn.XLOOKUP(E148,'All Products'!D:D,'All Products'!E:E,FALSE)</f>
        <v>1-1/4 BSP X 1-1/2 BSP SU X 12 SJ</v>
      </c>
      <c r="G148" s="103">
        <f>_xlfn.XLOOKUP(E148,'All Products'!D:D,'All Products'!F:F,FALSE)</f>
        <v>10</v>
      </c>
      <c r="H148" s="103">
        <f>_xlfn.XLOOKUP(E148,'All Products'!D:D,'All Products'!G:G,FALSE)</f>
        <v>750</v>
      </c>
      <c r="I148" s="140">
        <f>_xlfn.XLOOKUP(E148,'All Products'!D:D,'All Products'!H:H,FALSE)</f>
        <v>136.21</v>
      </c>
      <c r="J148" s="173">
        <f>ROUNDUP(I148*Order_Quote!$L$26,2)</f>
        <v>136.21</v>
      </c>
      <c r="K148" s="75"/>
      <c r="L148" s="113"/>
      <c r="M148" s="171">
        <f t="shared" si="2"/>
        <v>0</v>
      </c>
      <c r="O148" s="215" t="str">
        <f>_xlfn.XLOOKUP(E148,'All Products'!D:D,'All Products'!I:I,FALSE)</f>
        <v>Within 3 Weeks</v>
      </c>
      <c r="P148" s="215" t="str">
        <f>_xlfn.XLOOKUP(E148,'All Products'!D:D,'All Products'!J:J,FALSE)</f>
        <v>Manufactured</v>
      </c>
      <c r="Q148" s="266">
        <f>_xlfn.XLOOKUP(E148,'All Products'!D:D,'All Products'!K:K,FALSE)</f>
        <v>49081027209</v>
      </c>
      <c r="R148" s="266" t="str">
        <f>_xlfn.XLOOKUP(E148,'All Products'!D:D,'All Products'!L:L,FALSE)</f>
        <v>-</v>
      </c>
      <c r="S148" s="266">
        <f>_xlfn.XLOOKUP(E148,'All Products'!D:D,'All Products'!M:M,FALSE)</f>
        <v>40049081027207</v>
      </c>
      <c r="T148" s="264">
        <f>_xlfn.XLOOKUP(E148,'All Products'!D:D,'All Products'!N:N,FALSE)</f>
        <v>1.38</v>
      </c>
      <c r="U148" s="264">
        <f>_xlfn.XLOOKUP(E148,'All Products'!D:D,'All Products'!P:P,FALSE)</f>
        <v>16.399999999999999</v>
      </c>
      <c r="V148" s="265">
        <f>_xlfn.XLOOKUP(E148,'All Products'!D:D,'All Products'!Q:Q,FALSE)</f>
        <v>1.1000000000000001</v>
      </c>
    </row>
    <row r="149" spans="1:22" ht="14.4" customHeight="1">
      <c r="A149" s="101" t="str">
        <f>IF(K149&gt;0,COUNT($A$8:A148)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49" s="610"/>
      <c r="C149" s="611"/>
      <c r="D149" s="274" t="str">
        <f>_xlfn.XLOOKUP(E149,'All Products'!D:D,'All Products'!C:C,FALSE)</f>
        <v>2-B1-26-1-12</v>
      </c>
      <c r="E149" s="103">
        <v>100024328</v>
      </c>
      <c r="F149" s="144" t="str">
        <f>_xlfn.XLOOKUP(E149,'All Products'!D:D,'All Products'!E:E,FALSE)</f>
        <v>1-1/4 BSP X 1 BSP SU X 12 LL SJ</v>
      </c>
      <c r="G149" s="103">
        <f>_xlfn.XLOOKUP(E149,'All Products'!D:D,'All Products'!F:F,FALSE)</f>
        <v>10</v>
      </c>
      <c r="H149" s="103">
        <f>_xlfn.XLOOKUP(E149,'All Products'!D:D,'All Products'!G:G,FALSE)</f>
        <v>750</v>
      </c>
      <c r="I149" s="140">
        <f>_xlfn.XLOOKUP(E149,'All Products'!D:D,'All Products'!H:H,FALSE)</f>
        <v>136.21</v>
      </c>
      <c r="J149" s="173">
        <f>ROUNDUP(I149*Order_Quote!$L$26,2)</f>
        <v>136.21</v>
      </c>
      <c r="K149" s="75"/>
      <c r="L149" s="113"/>
      <c r="M149" s="171">
        <f t="shared" si="2"/>
        <v>0</v>
      </c>
      <c r="O149" s="215" t="str">
        <f>_xlfn.XLOOKUP(E149,'All Products'!D:D,'All Products'!I:I,FALSE)</f>
        <v>Within 3 Weeks</v>
      </c>
      <c r="P149" s="215" t="str">
        <f>_xlfn.XLOOKUP(E149,'All Products'!D:D,'All Products'!J:J,FALSE)</f>
        <v>Manufactured</v>
      </c>
      <c r="Q149" s="266">
        <f>_xlfn.XLOOKUP(E149,'All Products'!D:D,'All Products'!K:K,FALSE)</f>
        <v>49081021542</v>
      </c>
      <c r="R149" s="266" t="str">
        <f>_xlfn.XLOOKUP(E149,'All Products'!D:D,'All Products'!L:L,FALSE)</f>
        <v>-</v>
      </c>
      <c r="S149" s="266">
        <f>_xlfn.XLOOKUP(E149,'All Products'!D:D,'All Products'!M:M,FALSE)</f>
        <v>40049081021540</v>
      </c>
      <c r="T149" s="264">
        <f>_xlfn.XLOOKUP(E149,'All Products'!D:D,'All Products'!N:N,FALSE)</f>
        <v>1.54</v>
      </c>
      <c r="U149" s="264">
        <f>_xlfn.XLOOKUP(E149,'All Products'!D:D,'All Products'!P:P,FALSE)</f>
        <v>15.76</v>
      </c>
      <c r="V149" s="265">
        <f>_xlfn.XLOOKUP(E149,'All Products'!D:D,'All Products'!Q:Q,FALSE)</f>
        <v>1.1000000000000001</v>
      </c>
    </row>
    <row r="150" spans="1:22" ht="14.4" customHeight="1">
      <c r="A150" s="101" t="str">
        <f>IF(K150&gt;0,COUNT($A$8:A149)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50" s="610"/>
      <c r="C150" s="611"/>
      <c r="D150" s="274" t="str">
        <f>_xlfn.XLOOKUP(E150,'All Products'!D:D,'All Products'!C:C,FALSE)</f>
        <v>2-D2-17-1-12</v>
      </c>
      <c r="E150" s="103">
        <v>100024335</v>
      </c>
      <c r="F150" s="144" t="str">
        <f>_xlfn.XLOOKUP(E150,'All Products'!D:D,'All Products'!E:E,FALSE)</f>
        <v>32DN SPG X 1-1/4 ACME SU X 12LL SJ</v>
      </c>
      <c r="G150" s="103">
        <f>_xlfn.XLOOKUP(E150,'All Products'!D:D,'All Products'!F:F,FALSE)</f>
        <v>10</v>
      </c>
      <c r="H150" s="103">
        <f>_xlfn.XLOOKUP(E150,'All Products'!D:D,'All Products'!G:G,FALSE)</f>
        <v>750</v>
      </c>
      <c r="I150" s="140">
        <f>_xlfn.XLOOKUP(E150,'All Products'!D:D,'All Products'!H:H,FALSE)</f>
        <v>136.21</v>
      </c>
      <c r="J150" s="173">
        <f>ROUNDUP(I150*Order_Quote!$L$26,2)</f>
        <v>136.21</v>
      </c>
      <c r="K150" s="75"/>
      <c r="L150" s="113"/>
      <c r="M150" s="171">
        <f t="shared" si="2"/>
        <v>0</v>
      </c>
      <c r="O150" s="215" t="str">
        <f>_xlfn.XLOOKUP(E150,'All Products'!D:D,'All Products'!I:I,FALSE)</f>
        <v>Within 3 Weeks</v>
      </c>
      <c r="P150" s="215" t="str">
        <f>_xlfn.XLOOKUP(E150,'All Products'!D:D,'All Products'!J:J,FALSE)</f>
        <v>Manufactured</v>
      </c>
      <c r="Q150" s="266">
        <f>_xlfn.XLOOKUP(E150,'All Products'!D:D,'All Products'!K:K,FALSE)</f>
        <v>49081022709</v>
      </c>
      <c r="R150" s="266" t="str">
        <f>_xlfn.XLOOKUP(E150,'All Products'!D:D,'All Products'!L:L,FALSE)</f>
        <v>-</v>
      </c>
      <c r="S150" s="266">
        <f>_xlfn.XLOOKUP(E150,'All Products'!D:D,'All Products'!M:M,FALSE)</f>
        <v>40049081022707</v>
      </c>
      <c r="T150" s="264">
        <f>_xlfn.XLOOKUP(E150,'All Products'!D:D,'All Products'!N:N,FALSE)</f>
        <v>1.569</v>
      </c>
      <c r="U150" s="264">
        <f>_xlfn.XLOOKUP(E150,'All Products'!D:D,'All Products'!P:P,FALSE)</f>
        <v>15.9</v>
      </c>
      <c r="V150" s="265">
        <f>_xlfn.XLOOKUP(E150,'All Products'!D:D,'All Products'!Q:Q,FALSE)</f>
        <v>1.1000000000000001</v>
      </c>
    </row>
    <row r="151" spans="1:22" ht="14.4" customHeight="1">
      <c r="A151" s="101" t="str">
        <f>IF(K151&gt;0,COUNT($A$8:A150)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51" s="610"/>
      <c r="C151" s="611"/>
      <c r="D151" s="274" t="str">
        <f>_xlfn.XLOOKUP(E151,'All Products'!D:D,'All Products'!C:C,FALSE)</f>
        <v>3-21-21-1-12</v>
      </c>
      <c r="E151" s="103">
        <v>100024996</v>
      </c>
      <c r="F151" s="144" t="str">
        <f>_xlfn.XLOOKUP(E151,'All Products'!D:D,'All Products'!E:E,FALSE)</f>
        <v>1-1/2 ACME X 1-1/2 ACME SU X 12 SJ</v>
      </c>
      <c r="G151" s="103">
        <f>_xlfn.XLOOKUP(E151,'All Products'!D:D,'All Products'!F:F,FALSE)</f>
        <v>10</v>
      </c>
      <c r="H151" s="103">
        <f>_xlfn.XLOOKUP(E151,'All Products'!D:D,'All Products'!G:G,FALSE)</f>
        <v>180</v>
      </c>
      <c r="I151" s="140">
        <f>_xlfn.XLOOKUP(E151,'All Products'!D:D,'All Products'!H:H,FALSE)</f>
        <v>165.57</v>
      </c>
      <c r="J151" s="173">
        <f>ROUNDUP(I151*Order_Quote!$L$26,2)</f>
        <v>165.57</v>
      </c>
      <c r="K151" s="75"/>
      <c r="L151" s="113"/>
      <c r="M151" s="171">
        <f t="shared" si="2"/>
        <v>0</v>
      </c>
      <c r="O151" s="215" t="str">
        <f>_xlfn.XLOOKUP(E151,'All Products'!D:D,'All Products'!I:I,FALSE)</f>
        <v>Within 3 Weeks</v>
      </c>
      <c r="P151" s="215" t="str">
        <f>_xlfn.XLOOKUP(E151,'All Products'!D:D,'All Products'!J:J,FALSE)</f>
        <v>Manufactured</v>
      </c>
      <c r="Q151" s="266">
        <f>_xlfn.XLOOKUP(E151,'All Products'!D:D,'All Products'!K:K,FALSE)</f>
        <v>49081022525</v>
      </c>
      <c r="R151" s="266" t="str">
        <f>_xlfn.XLOOKUP(E151,'All Products'!D:D,'All Products'!L:L,FALSE)</f>
        <v>-</v>
      </c>
      <c r="S151" s="266">
        <f>_xlfn.XLOOKUP(E151,'All Products'!D:D,'All Products'!M:M,FALSE)</f>
        <v>40049081022523</v>
      </c>
      <c r="T151" s="264">
        <f>_xlfn.XLOOKUP(E151,'All Products'!D:D,'All Products'!N:N,FALSE)</f>
        <v>2.1989999999999998</v>
      </c>
      <c r="U151" s="264">
        <f>_xlfn.XLOOKUP(E151,'All Products'!D:D,'All Products'!P:P,FALSE)</f>
        <v>22.59</v>
      </c>
      <c r="V151" s="265">
        <f>_xlfn.XLOOKUP(E151,'All Products'!D:D,'All Products'!Q:Q,FALSE)</f>
        <v>2.65</v>
      </c>
    </row>
    <row r="152" spans="1:22" ht="14.4" customHeight="1">
      <c r="A152" s="101" t="str">
        <f>IF(K152&gt;0,COUNT($A$8:A151)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52" s="610"/>
      <c r="C152" s="611"/>
      <c r="D152" s="274" t="str">
        <f>_xlfn.XLOOKUP(E152,'All Products'!D:D,'All Products'!C:C,FALSE)</f>
        <v>3-21-21-1-18</v>
      </c>
      <c r="E152" s="103">
        <v>100024997</v>
      </c>
      <c r="F152" s="144" t="str">
        <f>_xlfn.XLOOKUP(E152,'All Products'!D:D,'All Products'!E:E,FALSE)</f>
        <v>1-1/2 ACME X 1-1/2 ACME SU X 18 SJ</v>
      </c>
      <c r="G152" s="103">
        <f>_xlfn.XLOOKUP(E152,'All Products'!D:D,'All Products'!F:F,FALSE)</f>
        <v>10</v>
      </c>
      <c r="H152" s="103">
        <f>_xlfn.XLOOKUP(E152,'All Products'!D:D,'All Products'!G:G,FALSE)</f>
        <v>240</v>
      </c>
      <c r="I152" s="140">
        <f>_xlfn.XLOOKUP(E152,'All Products'!D:D,'All Products'!H:H,FALSE)</f>
        <v>176.71</v>
      </c>
      <c r="J152" s="173">
        <f>ROUNDUP(I152*Order_Quote!$L$26,2)</f>
        <v>176.71</v>
      </c>
      <c r="K152" s="75"/>
      <c r="L152" s="113"/>
      <c r="M152" s="171">
        <f t="shared" si="2"/>
        <v>0</v>
      </c>
      <c r="O152" s="215" t="str">
        <f>_xlfn.XLOOKUP(E152,'All Products'!D:D,'All Products'!I:I,FALSE)</f>
        <v>Within 3 Weeks</v>
      </c>
      <c r="P152" s="215" t="str">
        <f>_xlfn.XLOOKUP(E152,'All Products'!D:D,'All Products'!J:J,FALSE)</f>
        <v>Manufactured</v>
      </c>
      <c r="Q152" s="266">
        <f>_xlfn.XLOOKUP(E152,'All Products'!D:D,'All Products'!K:K,FALSE)</f>
        <v>49081027292</v>
      </c>
      <c r="R152" s="266" t="str">
        <f>_xlfn.XLOOKUP(E152,'All Products'!D:D,'All Products'!L:L,FALSE)</f>
        <v>-</v>
      </c>
      <c r="S152" s="266">
        <f>_xlfn.XLOOKUP(E152,'All Products'!D:D,'All Products'!M:M,FALSE)</f>
        <v>40049081027290</v>
      </c>
      <c r="T152" s="264">
        <f>_xlfn.XLOOKUP(E152,'All Products'!D:D,'All Products'!N:N,FALSE)</f>
        <v>2.5129999999999999</v>
      </c>
      <c r="U152" s="264">
        <f>_xlfn.XLOOKUP(E152,'All Products'!D:D,'All Products'!P:P,FALSE)</f>
        <v>28.5</v>
      </c>
      <c r="V152" s="265">
        <f>_xlfn.XLOOKUP(E152,'All Products'!D:D,'All Products'!Q:Q,FALSE)</f>
        <v>2.77</v>
      </c>
    </row>
    <row r="153" spans="1:22" ht="14.4" customHeight="1">
      <c r="A153" s="101" t="str">
        <f>IF(K153&gt;0,COUNT($A$8:A152)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53" s="610"/>
      <c r="C153" s="611"/>
      <c r="D153" s="274" t="str">
        <f>_xlfn.XLOOKUP(E153,'All Products'!D:D,'All Products'!C:C,FALSE)</f>
        <v>3-21-21-1-8</v>
      </c>
      <c r="E153" s="103">
        <v>100024998</v>
      </c>
      <c r="F153" s="144" t="str">
        <f>_xlfn.XLOOKUP(E153,'All Products'!D:D,'All Products'!E:E,FALSE)</f>
        <v>1-1/2 ACME X 1-1/2 ACME SU X 8 SJ</v>
      </c>
      <c r="G153" s="103">
        <f>_xlfn.XLOOKUP(E153,'All Products'!D:D,'All Products'!F:F,FALSE)</f>
        <v>10</v>
      </c>
      <c r="H153" s="103">
        <f>_xlfn.XLOOKUP(E153,'All Products'!D:D,'All Products'!G:G,FALSE)</f>
        <v>600</v>
      </c>
      <c r="I153" s="140">
        <f>_xlfn.XLOOKUP(E153,'All Products'!D:D,'All Products'!H:H,FALSE)</f>
        <v>154.49</v>
      </c>
      <c r="J153" s="173">
        <f>ROUNDUP(I153*Order_Quote!$L$26,2)</f>
        <v>154.49</v>
      </c>
      <c r="K153" s="75"/>
      <c r="L153" s="113"/>
      <c r="M153" s="171">
        <f t="shared" si="2"/>
        <v>0</v>
      </c>
      <c r="O153" s="215" t="str">
        <f>_xlfn.XLOOKUP(E153,'All Products'!D:D,'All Products'!I:I,FALSE)</f>
        <v>Within 3 Weeks</v>
      </c>
      <c r="P153" s="215" t="str">
        <f>_xlfn.XLOOKUP(E153,'All Products'!D:D,'All Products'!J:J,FALSE)</f>
        <v>Manufactured</v>
      </c>
      <c r="Q153" s="266">
        <f>_xlfn.XLOOKUP(E153,'All Products'!D:D,'All Products'!K:K,FALSE)</f>
        <v>49081029685</v>
      </c>
      <c r="R153" s="266" t="str">
        <f>_xlfn.XLOOKUP(E153,'All Products'!D:D,'All Products'!L:L,FALSE)</f>
        <v>-</v>
      </c>
      <c r="S153" s="266">
        <f>_xlfn.XLOOKUP(E153,'All Products'!D:D,'All Products'!M:M,FALSE)</f>
        <v>40049081029683</v>
      </c>
      <c r="T153" s="264">
        <f>_xlfn.XLOOKUP(E153,'All Products'!D:D,'All Products'!N:N,FALSE)</f>
        <v>1.988</v>
      </c>
      <c r="U153" s="264">
        <f>_xlfn.XLOOKUP(E153,'All Products'!D:D,'All Products'!P:P,FALSE)</f>
        <v>19.68</v>
      </c>
      <c r="V153" s="265">
        <f>_xlfn.XLOOKUP(E153,'All Products'!D:D,'All Products'!Q:Q,FALSE)</f>
        <v>1.41</v>
      </c>
    </row>
    <row r="154" spans="1:22" ht="14.4" customHeight="1">
      <c r="A154" s="101" t="str">
        <f>IF(K154&gt;0,COUNT($A$8:A153)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54" s="610"/>
      <c r="C154" s="611"/>
      <c r="D154" s="274" t="str">
        <f>_xlfn.XLOOKUP(E154,'All Products'!D:D,'All Products'!C:C,FALSE)</f>
        <v>3-21-22-1-12</v>
      </c>
      <c r="E154" s="103">
        <v>100025000</v>
      </c>
      <c r="F154" s="144" t="str">
        <f>_xlfn.XLOOKUP(E154,'All Products'!D:D,'All Products'!E:E,FALSE)</f>
        <v>1-1/2 ACME X 1-1/2 BSPT SU X 12 SJ</v>
      </c>
      <c r="G154" s="103">
        <f>_xlfn.XLOOKUP(E154,'All Products'!D:D,'All Products'!F:F,FALSE)</f>
        <v>10</v>
      </c>
      <c r="H154" s="103">
        <f>_xlfn.XLOOKUP(E154,'All Products'!D:D,'All Products'!G:G,FALSE)</f>
        <v>180</v>
      </c>
      <c r="I154" s="140">
        <f>_xlfn.XLOOKUP(E154,'All Products'!D:D,'All Products'!H:H,FALSE)</f>
        <v>165.57</v>
      </c>
      <c r="J154" s="173">
        <f>ROUNDUP(I154*Order_Quote!$L$26,2)</f>
        <v>165.57</v>
      </c>
      <c r="K154" s="75"/>
      <c r="L154" s="113"/>
      <c r="M154" s="171">
        <f t="shared" si="2"/>
        <v>0</v>
      </c>
      <c r="O154" s="215" t="str">
        <f>_xlfn.XLOOKUP(E154,'All Products'!D:D,'All Products'!I:I,FALSE)</f>
        <v>Within 3 Weeks</v>
      </c>
      <c r="P154" s="215" t="str">
        <f>_xlfn.XLOOKUP(E154,'All Products'!D:D,'All Products'!J:J,FALSE)</f>
        <v>Manufactured</v>
      </c>
      <c r="Q154" s="266">
        <f>_xlfn.XLOOKUP(E154,'All Products'!D:D,'All Products'!K:K,FALSE)</f>
        <v>49081031381</v>
      </c>
      <c r="R154" s="266" t="str">
        <f>_xlfn.XLOOKUP(E154,'All Products'!D:D,'All Products'!L:L,FALSE)</f>
        <v>-</v>
      </c>
      <c r="S154" s="266">
        <f>_xlfn.XLOOKUP(E154,'All Products'!D:D,'All Products'!M:M,FALSE)</f>
        <v>40049081031389</v>
      </c>
      <c r="T154" s="264">
        <f>_xlfn.XLOOKUP(E154,'All Products'!D:D,'All Products'!N:N,FALSE)</f>
        <v>2.149</v>
      </c>
      <c r="U154" s="264">
        <f>_xlfn.XLOOKUP(E154,'All Products'!D:D,'All Products'!P:P,FALSE)</f>
        <v>22.7</v>
      </c>
      <c r="V154" s="265">
        <f>_xlfn.XLOOKUP(E154,'All Products'!D:D,'All Products'!Q:Q,FALSE)</f>
        <v>2.65</v>
      </c>
    </row>
    <row r="155" spans="1:22" ht="14.4" customHeight="1">
      <c r="A155" s="101" t="str">
        <f>IF(K155&gt;0,COUNT($A$8:A154)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55" s="610"/>
      <c r="C155" s="611"/>
      <c r="D155" s="274" t="str">
        <f>_xlfn.XLOOKUP(E155,'All Products'!D:D,'All Products'!C:C,FALSE)</f>
        <v>3-21-3-1-12</v>
      </c>
      <c r="E155" s="103">
        <v>100025001</v>
      </c>
      <c r="F155" s="144" t="str">
        <f>_xlfn.XLOOKUP(E155,'All Products'!D:D,'All Products'!E:E,FALSE)</f>
        <v>1-1/2 ACME X 1-1/2 MPT SU X 12 SJ</v>
      </c>
      <c r="G155" s="103">
        <f>_xlfn.XLOOKUP(E155,'All Products'!D:D,'All Products'!F:F,FALSE)</f>
        <v>10</v>
      </c>
      <c r="H155" s="103">
        <f>_xlfn.XLOOKUP(E155,'All Products'!D:D,'All Products'!G:G,FALSE)</f>
        <v>180</v>
      </c>
      <c r="I155" s="140">
        <f>_xlfn.XLOOKUP(E155,'All Products'!D:D,'All Products'!H:H,FALSE)</f>
        <v>165.57</v>
      </c>
      <c r="J155" s="173">
        <f>ROUNDUP(I155*Order_Quote!$L$26,2)</f>
        <v>165.57</v>
      </c>
      <c r="K155" s="75"/>
      <c r="L155" s="113"/>
      <c r="M155" s="171">
        <f t="shared" si="2"/>
        <v>0</v>
      </c>
      <c r="O155" s="215" t="str">
        <f>_xlfn.XLOOKUP(E155,'All Products'!D:D,'All Products'!I:I,FALSE)</f>
        <v>Within 3 Weeks</v>
      </c>
      <c r="P155" s="215" t="str">
        <f>_xlfn.XLOOKUP(E155,'All Products'!D:D,'All Products'!J:J,FALSE)</f>
        <v>Manufactured</v>
      </c>
      <c r="Q155" s="266">
        <f>_xlfn.XLOOKUP(E155,'All Products'!D:D,'All Products'!K:K,FALSE)</f>
        <v>49081027308</v>
      </c>
      <c r="R155" s="266" t="str">
        <f>_xlfn.XLOOKUP(E155,'All Products'!D:D,'All Products'!L:L,FALSE)</f>
        <v>-</v>
      </c>
      <c r="S155" s="266">
        <f>_xlfn.XLOOKUP(E155,'All Products'!D:D,'All Products'!M:M,FALSE)</f>
        <v>40049081027306</v>
      </c>
      <c r="T155" s="264">
        <f>_xlfn.XLOOKUP(E155,'All Products'!D:D,'All Products'!N:N,FALSE)</f>
        <v>2.1440000000000001</v>
      </c>
      <c r="U155" s="264">
        <f>_xlfn.XLOOKUP(E155,'All Products'!D:D,'All Products'!P:P,FALSE)</f>
        <v>22.9</v>
      </c>
      <c r="V155" s="265">
        <f>_xlfn.XLOOKUP(E155,'All Products'!D:D,'All Products'!Q:Q,FALSE)</f>
        <v>2.65</v>
      </c>
    </row>
    <row r="156" spans="1:22" ht="14.4" customHeight="1">
      <c r="A156" s="101" t="str">
        <f>IF(K156&gt;0,COUNT($A$8:A155)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56" s="610"/>
      <c r="C156" s="611"/>
      <c r="D156" s="274" t="str">
        <f>_xlfn.XLOOKUP(E156,'All Products'!D:D,'All Products'!C:C,FALSE)</f>
        <v>3-21-QC-1-12</v>
      </c>
      <c r="E156" s="103">
        <v>100025003</v>
      </c>
      <c r="F156" s="144" t="str">
        <f>_xlfn.XLOOKUP(E156,'All Products'!D:D,'All Products'!E:E,FALSE)</f>
        <v>1-1/2 ACME X 1-1/2 QC SU X 12 SJ</v>
      </c>
      <c r="G156" s="103">
        <f>_xlfn.XLOOKUP(E156,'All Products'!D:D,'All Products'!F:F,FALSE)</f>
        <v>10</v>
      </c>
      <c r="H156" s="103">
        <f>_xlfn.XLOOKUP(E156,'All Products'!D:D,'All Products'!G:G,FALSE)</f>
        <v>180</v>
      </c>
      <c r="I156" s="140">
        <f>_xlfn.XLOOKUP(E156,'All Products'!D:D,'All Products'!H:H,FALSE)</f>
        <v>320.88</v>
      </c>
      <c r="J156" s="173">
        <f>ROUNDUP(I156*Order_Quote!$L$26,2)</f>
        <v>320.88</v>
      </c>
      <c r="K156" s="75"/>
      <c r="L156" s="113"/>
      <c r="M156" s="171">
        <f t="shared" si="2"/>
        <v>0</v>
      </c>
      <c r="O156" s="215" t="str">
        <f>_xlfn.XLOOKUP(E156,'All Products'!D:D,'All Products'!I:I,FALSE)</f>
        <v>Within 3 Weeks</v>
      </c>
      <c r="P156" s="215" t="str">
        <f>_xlfn.XLOOKUP(E156,'All Products'!D:D,'All Products'!J:J,FALSE)</f>
        <v>Manufactured</v>
      </c>
      <c r="Q156" s="266">
        <f>_xlfn.XLOOKUP(E156,'All Products'!D:D,'All Products'!K:K,FALSE)</f>
        <v>49081027322</v>
      </c>
      <c r="R156" s="266" t="str">
        <f>_xlfn.XLOOKUP(E156,'All Products'!D:D,'All Products'!L:L,FALSE)</f>
        <v>-</v>
      </c>
      <c r="S156" s="266">
        <f>_xlfn.XLOOKUP(E156,'All Products'!D:D,'All Products'!M:M,FALSE)</f>
        <v>40049081027320</v>
      </c>
      <c r="T156" s="264">
        <f>_xlfn.XLOOKUP(E156,'All Products'!D:D,'All Products'!N:N,FALSE)</f>
        <v>2.9079999999999999</v>
      </c>
      <c r="U156" s="264">
        <f>_xlfn.XLOOKUP(E156,'All Products'!D:D,'All Products'!P:P,FALSE)</f>
        <v>30.1</v>
      </c>
      <c r="V156" s="265">
        <f>_xlfn.XLOOKUP(E156,'All Products'!D:D,'All Products'!Q:Q,FALSE)</f>
        <v>2.65</v>
      </c>
    </row>
    <row r="157" spans="1:22" ht="14.4" customHeight="1">
      <c r="A157" s="101" t="str">
        <f>IF(K157&gt;0,COUNT($A$8:A156)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57" s="610"/>
      <c r="C157" s="611"/>
      <c r="D157" s="274" t="str">
        <f>_xlfn.XLOOKUP(E157,'All Products'!D:D,'All Products'!C:C,FALSE)</f>
        <v>3-21-QC-1-18</v>
      </c>
      <c r="E157" s="103">
        <v>100025004</v>
      </c>
      <c r="F157" s="144" t="str">
        <f>_xlfn.XLOOKUP(E157,'All Products'!D:D,'All Products'!E:E,FALSE)</f>
        <v>1-1/2 ACME X 1-1/2 QC SU X 18 SJ</v>
      </c>
      <c r="G157" s="103">
        <f>_xlfn.XLOOKUP(E157,'All Products'!D:D,'All Products'!F:F,FALSE)</f>
        <v>10</v>
      </c>
      <c r="H157" s="103" t="str">
        <f>_xlfn.XLOOKUP(E157,'All Products'!D:D,'All Products'!G:G,FALSE)</f>
        <v>-</v>
      </c>
      <c r="I157" s="140">
        <f>_xlfn.XLOOKUP(E157,'All Products'!D:D,'All Products'!H:H,FALSE)</f>
        <v>335.89</v>
      </c>
      <c r="J157" s="173">
        <f>ROUNDUP(I157*Order_Quote!$L$26,2)</f>
        <v>335.89</v>
      </c>
      <c r="K157" s="75"/>
      <c r="L157" s="113"/>
      <c r="M157" s="171">
        <f t="shared" si="2"/>
        <v>0</v>
      </c>
      <c r="O157" s="215" t="str">
        <f>_xlfn.XLOOKUP(E157,'All Products'!D:D,'All Products'!I:I,FALSE)</f>
        <v>Within 3 Weeks</v>
      </c>
      <c r="P157" s="215" t="str">
        <f>_xlfn.XLOOKUP(E157,'All Products'!D:D,'All Products'!J:J,FALSE)</f>
        <v>Manufactured</v>
      </c>
      <c r="Q157" s="266">
        <f>_xlfn.XLOOKUP(E157,'All Products'!D:D,'All Products'!K:K,FALSE)</f>
        <v>49081027339</v>
      </c>
      <c r="R157" s="266" t="str">
        <f>_xlfn.XLOOKUP(E157,'All Products'!D:D,'All Products'!L:L,FALSE)</f>
        <v>-</v>
      </c>
      <c r="S157" s="266">
        <f>_xlfn.XLOOKUP(E157,'All Products'!D:D,'All Products'!M:M,FALSE)</f>
        <v>40049081027337</v>
      </c>
      <c r="T157" s="264">
        <f>_xlfn.XLOOKUP(E157,'All Products'!D:D,'All Products'!N:N,FALSE)</f>
        <v>3.2229999999999999</v>
      </c>
      <c r="U157" s="264">
        <f>_xlfn.XLOOKUP(E157,'All Products'!D:D,'All Products'!P:P,FALSE)</f>
        <v>31</v>
      </c>
      <c r="V157" s="265" t="str">
        <f>_xlfn.XLOOKUP(E157,'All Products'!D:D,'All Products'!Q:Q,FALSE)</f>
        <v>-</v>
      </c>
    </row>
    <row r="158" spans="1:22" ht="14.4" customHeight="1">
      <c r="A158" s="101" t="str">
        <f>IF(K158&gt;0,COUNT($A$8:A157)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58" s="610"/>
      <c r="C158" s="611"/>
      <c r="D158" s="274" t="str">
        <f>_xlfn.XLOOKUP(E158,'All Products'!D:D,'All Products'!C:C,FALSE)</f>
        <v>3-22-21-1-12</v>
      </c>
      <c r="E158" s="103">
        <v>100025005</v>
      </c>
      <c r="F158" s="144" t="str">
        <f>_xlfn.XLOOKUP(E158,'All Products'!D:D,'All Products'!E:E,FALSE)</f>
        <v>1-1/2 BSP X 1-1/2 ACME X 12 SJ</v>
      </c>
      <c r="G158" s="103">
        <f>_xlfn.XLOOKUP(E158,'All Products'!D:D,'All Products'!F:F,FALSE)</f>
        <v>10</v>
      </c>
      <c r="H158" s="103">
        <f>_xlfn.XLOOKUP(E158,'All Products'!D:D,'All Products'!G:G,FALSE)</f>
        <v>180</v>
      </c>
      <c r="I158" s="140">
        <f>_xlfn.XLOOKUP(E158,'All Products'!D:D,'All Products'!H:H,FALSE)</f>
        <v>165.57</v>
      </c>
      <c r="J158" s="173">
        <f>ROUNDUP(I158*Order_Quote!$L$26,2)</f>
        <v>165.57</v>
      </c>
      <c r="K158" s="75"/>
      <c r="L158" s="113"/>
      <c r="M158" s="171">
        <f t="shared" si="2"/>
        <v>0</v>
      </c>
      <c r="O158" s="215" t="str">
        <f>_xlfn.XLOOKUP(E158,'All Products'!D:D,'All Products'!I:I,FALSE)</f>
        <v>Within 3 Weeks</v>
      </c>
      <c r="P158" s="215" t="str">
        <f>_xlfn.XLOOKUP(E158,'All Products'!D:D,'All Products'!J:J,FALSE)</f>
        <v>Manufactured</v>
      </c>
      <c r="Q158" s="266">
        <f>_xlfn.XLOOKUP(E158,'All Products'!D:D,'All Products'!K:K,FALSE)</f>
        <v>49081021566</v>
      </c>
      <c r="R158" s="266" t="str">
        <f>_xlfn.XLOOKUP(E158,'All Products'!D:D,'All Products'!L:L,FALSE)</f>
        <v>-</v>
      </c>
      <c r="S158" s="266">
        <f>_xlfn.XLOOKUP(E158,'All Products'!D:D,'All Products'!M:M,FALSE)</f>
        <v>40049081021564</v>
      </c>
      <c r="T158" s="264">
        <f>_xlfn.XLOOKUP(E158,'All Products'!D:D,'All Products'!N:N,FALSE)</f>
        <v>2.149</v>
      </c>
      <c r="U158" s="264">
        <f>_xlfn.XLOOKUP(E158,'All Products'!D:D,'All Products'!P:P,FALSE)</f>
        <v>22.64</v>
      </c>
      <c r="V158" s="265">
        <f>_xlfn.XLOOKUP(E158,'All Products'!D:D,'All Products'!Q:Q,FALSE)</f>
        <v>2.65</v>
      </c>
    </row>
    <row r="159" spans="1:22" ht="14.4" customHeight="1">
      <c r="A159" s="101" t="str">
        <f>IF(K159&gt;0,COUNT($A$8:A158)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59" s="610"/>
      <c r="C159" s="611"/>
      <c r="D159" s="274" t="str">
        <f>_xlfn.XLOOKUP(E159,'All Products'!D:D,'All Products'!C:C,FALSE)</f>
        <v>3-22-21-1-16</v>
      </c>
      <c r="E159" s="103">
        <v>100024342</v>
      </c>
      <c r="F159" s="144" t="str">
        <f>_xlfn.XLOOKUP(E159,'All Products'!D:D,'All Products'!E:E,FALSE)</f>
        <v>1-1/2 BSPT X 1-1/2 ACME SU X 16 SJ</v>
      </c>
      <c r="G159" s="103">
        <f>_xlfn.XLOOKUP(E159,'All Products'!D:D,'All Products'!F:F,FALSE)</f>
        <v>10</v>
      </c>
      <c r="H159" s="103">
        <f>_xlfn.XLOOKUP(E159,'All Products'!D:D,'All Products'!G:G,FALSE)</f>
        <v>240</v>
      </c>
      <c r="I159" s="140">
        <f>_xlfn.XLOOKUP(E159,'All Products'!D:D,'All Products'!H:H,FALSE)</f>
        <v>176.71</v>
      </c>
      <c r="J159" s="173">
        <f>ROUNDUP(I159*Order_Quote!$L$26,2)</f>
        <v>176.71</v>
      </c>
      <c r="K159" s="75"/>
      <c r="L159" s="113"/>
      <c r="M159" s="171">
        <f t="shared" si="2"/>
        <v>0</v>
      </c>
      <c r="O159" s="215" t="str">
        <f>_xlfn.XLOOKUP(E159,'All Products'!D:D,'All Products'!I:I,FALSE)</f>
        <v>Within 3 Weeks</v>
      </c>
      <c r="P159" s="215" t="str">
        <f>_xlfn.XLOOKUP(E159,'All Products'!D:D,'All Products'!J:J,FALSE)</f>
        <v>Manufactured</v>
      </c>
      <c r="Q159" s="266">
        <f>_xlfn.XLOOKUP(E159,'All Products'!D:D,'All Products'!K:K,FALSE)</f>
        <v>49081031275</v>
      </c>
      <c r="R159" s="266" t="str">
        <f>_xlfn.XLOOKUP(E159,'All Products'!D:D,'All Products'!L:L,FALSE)</f>
        <v>-</v>
      </c>
      <c r="S159" s="266">
        <f>_xlfn.XLOOKUP(E159,'All Products'!D:D,'All Products'!M:M,FALSE)</f>
        <v>40049081031273</v>
      </c>
      <c r="T159" s="264">
        <f>_xlfn.XLOOKUP(E159,'All Products'!D:D,'All Products'!N:N,FALSE)</f>
        <v>2.3679999999999999</v>
      </c>
      <c r="U159" s="264">
        <f>_xlfn.XLOOKUP(E159,'All Products'!D:D,'All Products'!P:P,FALSE)</f>
        <v>25.1</v>
      </c>
      <c r="V159" s="265">
        <f>_xlfn.XLOOKUP(E159,'All Products'!D:D,'All Products'!Q:Q,FALSE)</f>
        <v>2.77</v>
      </c>
    </row>
    <row r="160" spans="1:22" ht="14.4" customHeight="1">
      <c r="A160" s="101" t="str">
        <f>IF(K160&gt;0,COUNT($A$8:A159)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60" s="610"/>
      <c r="C160" s="611"/>
      <c r="D160" s="274" t="str">
        <f>_xlfn.XLOOKUP(E160,'All Products'!D:D,'All Products'!C:C,FALSE)</f>
        <v>3-22-21-1-18</v>
      </c>
      <c r="E160" s="103">
        <v>100025006</v>
      </c>
      <c r="F160" s="144" t="str">
        <f>_xlfn.XLOOKUP(E160,'All Products'!D:D,'All Products'!E:E,FALSE)</f>
        <v>1-1/2 BSPT X 1-1/2 ACME SU X 18 SJ</v>
      </c>
      <c r="G160" s="103">
        <f>_xlfn.XLOOKUP(E160,'All Products'!D:D,'All Products'!F:F,FALSE)</f>
        <v>10</v>
      </c>
      <c r="H160" s="103">
        <f>_xlfn.XLOOKUP(E160,'All Products'!D:D,'All Products'!G:G,FALSE)</f>
        <v>240</v>
      </c>
      <c r="I160" s="140">
        <f>_xlfn.XLOOKUP(E160,'All Products'!D:D,'All Products'!H:H,FALSE)</f>
        <v>176.71</v>
      </c>
      <c r="J160" s="173">
        <f>ROUNDUP(I160*Order_Quote!$L$26,2)</f>
        <v>176.71</v>
      </c>
      <c r="K160" s="75"/>
      <c r="L160" s="113"/>
      <c r="M160" s="171">
        <f t="shared" si="2"/>
        <v>0</v>
      </c>
      <c r="O160" s="215" t="str">
        <f>_xlfn.XLOOKUP(E160,'All Products'!D:D,'All Products'!I:I,FALSE)</f>
        <v>Within 3 Weeks</v>
      </c>
      <c r="P160" s="215" t="str">
        <f>_xlfn.XLOOKUP(E160,'All Products'!D:D,'All Products'!J:J,FALSE)</f>
        <v>Manufactured</v>
      </c>
      <c r="Q160" s="266">
        <f>_xlfn.XLOOKUP(E160,'All Products'!D:D,'All Products'!K:K,FALSE)</f>
        <v>49081030353</v>
      </c>
      <c r="R160" s="266" t="str">
        <f>_xlfn.XLOOKUP(E160,'All Products'!D:D,'All Products'!L:L,FALSE)</f>
        <v>-</v>
      </c>
      <c r="S160" s="266">
        <f>_xlfn.XLOOKUP(E160,'All Products'!D:D,'All Products'!M:M,FALSE)</f>
        <v>40049081030351</v>
      </c>
      <c r="T160" s="264">
        <f>_xlfn.XLOOKUP(E160,'All Products'!D:D,'All Products'!N:N,FALSE)</f>
        <v>2.464</v>
      </c>
      <c r="U160" s="264">
        <f>_xlfn.XLOOKUP(E160,'All Products'!D:D,'All Products'!P:P,FALSE)</f>
        <v>25.3</v>
      </c>
      <c r="V160" s="265">
        <f>_xlfn.XLOOKUP(E160,'All Products'!D:D,'All Products'!Q:Q,FALSE)</f>
        <v>2.77</v>
      </c>
    </row>
    <row r="161" spans="1:22" ht="14.4" customHeight="1">
      <c r="A161" s="101" t="str">
        <f>IF(K161&gt;0,COUNT($A$8:A160)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61" s="610"/>
      <c r="C161" s="611"/>
      <c r="D161" s="274" t="str">
        <f>_xlfn.XLOOKUP(E161,'All Products'!D:D,'All Products'!C:C,FALSE)</f>
        <v>3-22-22-1-12</v>
      </c>
      <c r="E161" s="103">
        <v>100025007</v>
      </c>
      <c r="F161" s="144" t="str">
        <f>_xlfn.XLOOKUP(E161,'All Products'!D:D,'All Products'!E:E,FALSE)</f>
        <v>1-1/2 BSP X 1-1/2 BSP SU X12 SJ</v>
      </c>
      <c r="G161" s="103">
        <f>_xlfn.XLOOKUP(E161,'All Products'!D:D,'All Products'!F:F,FALSE)</f>
        <v>10</v>
      </c>
      <c r="H161" s="103">
        <f>_xlfn.XLOOKUP(E161,'All Products'!D:D,'All Products'!G:G,FALSE)</f>
        <v>180</v>
      </c>
      <c r="I161" s="140">
        <f>_xlfn.XLOOKUP(E161,'All Products'!D:D,'All Products'!H:H,FALSE)</f>
        <v>165.57</v>
      </c>
      <c r="J161" s="173">
        <f>ROUNDUP(I161*Order_Quote!$L$26,2)</f>
        <v>165.57</v>
      </c>
      <c r="K161" s="75"/>
      <c r="L161" s="113"/>
      <c r="M161" s="171">
        <f t="shared" si="2"/>
        <v>0</v>
      </c>
      <c r="O161" s="215" t="str">
        <f>_xlfn.XLOOKUP(E161,'All Products'!D:D,'All Products'!I:I,FALSE)</f>
        <v>In Stock</v>
      </c>
      <c r="P161" s="215" t="str">
        <f>_xlfn.XLOOKUP(E161,'All Products'!D:D,'All Products'!J:J,FALSE)</f>
        <v>Manufactured</v>
      </c>
      <c r="Q161" s="266">
        <f>_xlfn.XLOOKUP(E161,'All Products'!D:D,'All Products'!K:K,FALSE)</f>
        <v>49081021573</v>
      </c>
      <c r="R161" s="266" t="str">
        <f>_xlfn.XLOOKUP(E161,'All Products'!D:D,'All Products'!L:L,FALSE)</f>
        <v>-</v>
      </c>
      <c r="S161" s="266">
        <f>_xlfn.XLOOKUP(E161,'All Products'!D:D,'All Products'!M:M,FALSE)</f>
        <v>40049081021571</v>
      </c>
      <c r="T161" s="264">
        <f>_xlfn.XLOOKUP(E161,'All Products'!D:D,'All Products'!N:N,FALSE)</f>
        <v>2.0990000000000002</v>
      </c>
      <c r="U161" s="264">
        <f>_xlfn.XLOOKUP(E161,'All Products'!D:D,'All Products'!P:P,FALSE)</f>
        <v>22.69</v>
      </c>
      <c r="V161" s="265">
        <f>_xlfn.XLOOKUP(E161,'All Products'!D:D,'All Products'!Q:Q,FALSE)</f>
        <v>2.65</v>
      </c>
    </row>
    <row r="162" spans="1:22" ht="14.4" customHeight="1">
      <c r="A162" s="101" t="str">
        <f>IF(K162&gt;0,COUNT($A$8:A161)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62" s="610"/>
      <c r="C162" s="611"/>
      <c r="D162" s="274" t="str">
        <f>_xlfn.XLOOKUP(E162,'All Products'!D:D,'All Products'!C:C,FALSE)</f>
        <v>3-27-21-1-12</v>
      </c>
      <c r="E162" s="103">
        <v>100024344</v>
      </c>
      <c r="F162" s="144" t="str">
        <f>_xlfn.XLOOKUP(E162,'All Products'!D:D,'All Products'!E:E,FALSE)</f>
        <v>1-1/4 BSPT X 1-1/2 ACME SU X 12 SJ</v>
      </c>
      <c r="G162" s="103">
        <f>_xlfn.XLOOKUP(E162,'All Products'!D:D,'All Products'!F:F,FALSE)</f>
        <v>10</v>
      </c>
      <c r="H162" s="103">
        <f>_xlfn.XLOOKUP(E162,'All Products'!D:D,'All Products'!G:G,FALSE)</f>
        <v>180</v>
      </c>
      <c r="I162" s="140">
        <f>_xlfn.XLOOKUP(E162,'All Products'!D:D,'All Products'!H:H,FALSE)</f>
        <v>165.57</v>
      </c>
      <c r="J162" s="173">
        <f>ROUNDUP(I162*Order_Quote!$L$26,2)</f>
        <v>165.57</v>
      </c>
      <c r="K162" s="75"/>
      <c r="L162" s="113"/>
      <c r="M162" s="171">
        <f t="shared" si="2"/>
        <v>0</v>
      </c>
      <c r="O162" s="215" t="str">
        <f>_xlfn.XLOOKUP(E162,'All Products'!D:D,'All Products'!I:I,FALSE)</f>
        <v>Within 3 Weeks</v>
      </c>
      <c r="P162" s="215" t="str">
        <f>_xlfn.XLOOKUP(E162,'All Products'!D:D,'All Products'!J:J,FALSE)</f>
        <v>Manufactured</v>
      </c>
      <c r="Q162" s="266">
        <f>_xlfn.XLOOKUP(E162,'All Products'!D:D,'All Products'!K:K,FALSE)</f>
        <v>49081031565</v>
      </c>
      <c r="R162" s="266" t="str">
        <f>_xlfn.XLOOKUP(E162,'All Products'!D:D,'All Products'!L:L,FALSE)</f>
        <v>-</v>
      </c>
      <c r="S162" s="266">
        <f>_xlfn.XLOOKUP(E162,'All Products'!D:D,'All Products'!M:M,FALSE)</f>
        <v>40049081031563</v>
      </c>
      <c r="T162" s="264">
        <f>_xlfn.XLOOKUP(E162,'All Products'!D:D,'All Products'!N:N,FALSE)</f>
        <v>2.1640000000000001</v>
      </c>
      <c r="U162" s="264">
        <f>_xlfn.XLOOKUP(E162,'All Products'!D:D,'All Products'!P:P,FALSE)</f>
        <v>23.2</v>
      </c>
      <c r="V162" s="265">
        <f>_xlfn.XLOOKUP(E162,'All Products'!D:D,'All Products'!Q:Q,FALSE)</f>
        <v>2.65</v>
      </c>
    </row>
    <row r="163" spans="1:22" ht="14.4" customHeight="1">
      <c r="A163" s="101" t="str">
        <f>IF(K163&gt;0,COUNT($A$8:A162)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63" s="610"/>
      <c r="C163" s="611"/>
      <c r="D163" s="274" t="str">
        <f>_xlfn.XLOOKUP(E163,'All Products'!D:D,'All Products'!C:C,FALSE)</f>
        <v>3-A1-19-1-12</v>
      </c>
      <c r="E163" s="103">
        <v>100024351</v>
      </c>
      <c r="F163" s="144" t="str">
        <f>_xlfn.XLOOKUP(E163,'All Products'!D:D,'All Products'!E:E,FALSE)</f>
        <v>1-1/2 MPT X 1 ACME SU X 12 SJ</v>
      </c>
      <c r="G163" s="103">
        <f>_xlfn.XLOOKUP(E163,'All Products'!D:D,'All Products'!F:F,FALSE)</f>
        <v>10</v>
      </c>
      <c r="H163" s="103" t="str">
        <f>_xlfn.XLOOKUP(E163,'All Products'!D:D,'All Products'!G:G,FALSE)</f>
        <v>-</v>
      </c>
      <c r="I163" s="140">
        <f>_xlfn.XLOOKUP(E163,'All Products'!D:D,'All Products'!H:H,FALSE)</f>
        <v>165.57</v>
      </c>
      <c r="J163" s="173">
        <f>ROUNDUP(I163*Order_Quote!$L$26,2)</f>
        <v>165.57</v>
      </c>
      <c r="K163" s="75"/>
      <c r="L163" s="113"/>
      <c r="M163" s="171">
        <f t="shared" si="2"/>
        <v>0</v>
      </c>
      <c r="O163" s="215" t="str">
        <f>_xlfn.XLOOKUP(E163,'All Products'!D:D,'All Products'!I:I,FALSE)</f>
        <v>Within 3 Weeks</v>
      </c>
      <c r="P163" s="215" t="str">
        <f>_xlfn.XLOOKUP(E163,'All Products'!D:D,'All Products'!J:J,FALSE)</f>
        <v>Manufactured</v>
      </c>
      <c r="Q163" s="266">
        <f>_xlfn.XLOOKUP(E163,'All Products'!D:D,'All Products'!K:K,FALSE)</f>
        <v>49081021610</v>
      </c>
      <c r="R163" s="266" t="str">
        <f>_xlfn.XLOOKUP(E163,'All Products'!D:D,'All Products'!L:L,FALSE)</f>
        <v>-</v>
      </c>
      <c r="S163" s="266">
        <f>_xlfn.XLOOKUP(E163,'All Products'!D:D,'All Products'!M:M,FALSE)</f>
        <v>40049081021618</v>
      </c>
      <c r="T163" s="264">
        <f>_xlfn.XLOOKUP(E163,'All Products'!D:D,'All Products'!N:N,FALSE)</f>
        <v>1.994</v>
      </c>
      <c r="U163" s="264" t="str">
        <f>_xlfn.XLOOKUP(E163,'All Products'!D:D,'All Products'!P:P,FALSE)</f>
        <v>-</v>
      </c>
      <c r="V163" s="265" t="str">
        <f>_xlfn.XLOOKUP(E163,'All Products'!D:D,'All Products'!Q:Q,FALSE)</f>
        <v>-</v>
      </c>
    </row>
    <row r="164" spans="1:22" ht="14.4" customHeight="1">
      <c r="A164" s="101" t="str">
        <f>IF(K164&gt;0,COUNT($A$8:A163)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64" s="610"/>
      <c r="C164" s="611"/>
      <c r="D164" s="274" t="str">
        <f>_xlfn.XLOOKUP(E164,'All Products'!D:D,'All Products'!C:C,FALSE)</f>
        <v>3-A1-20-1-12</v>
      </c>
      <c r="E164" s="103">
        <v>100024354</v>
      </c>
      <c r="F164" s="144" t="str">
        <f>_xlfn.XLOOKUP(E164,'All Products'!D:D,'All Products'!E:E,FALSE)</f>
        <v>1-1/2 MPT X 1-1/4 ACME SU X 12 SJ</v>
      </c>
      <c r="G164" s="103">
        <f>_xlfn.XLOOKUP(E164,'All Products'!D:D,'All Products'!F:F,FALSE)</f>
        <v>10</v>
      </c>
      <c r="H164" s="103">
        <f>_xlfn.XLOOKUP(E164,'All Products'!D:D,'All Products'!G:G,FALSE)</f>
        <v>600</v>
      </c>
      <c r="I164" s="140">
        <f>_xlfn.XLOOKUP(E164,'All Products'!D:D,'All Products'!H:H,FALSE)</f>
        <v>165.57</v>
      </c>
      <c r="J164" s="173">
        <f>ROUNDUP(I164*Order_Quote!$L$26,2)</f>
        <v>165.57</v>
      </c>
      <c r="K164" s="75"/>
      <c r="L164" s="113"/>
      <c r="M164" s="171">
        <f t="shared" si="2"/>
        <v>0</v>
      </c>
      <c r="O164" s="215" t="str">
        <f>_xlfn.XLOOKUP(E164,'All Products'!D:D,'All Products'!I:I,FALSE)</f>
        <v>Within 3 Weeks</v>
      </c>
      <c r="P164" s="215" t="str">
        <f>_xlfn.XLOOKUP(E164,'All Products'!D:D,'All Products'!J:J,FALSE)</f>
        <v>Manufactured</v>
      </c>
      <c r="Q164" s="266">
        <f>_xlfn.XLOOKUP(E164,'All Products'!D:D,'All Products'!K:K,FALSE)</f>
        <v>49081021627</v>
      </c>
      <c r="R164" s="266" t="str">
        <f>_xlfn.XLOOKUP(E164,'All Products'!D:D,'All Products'!L:L,FALSE)</f>
        <v>-</v>
      </c>
      <c r="S164" s="266">
        <f>_xlfn.XLOOKUP(E164,'All Products'!D:D,'All Products'!M:M,FALSE)</f>
        <v>40049081021625</v>
      </c>
      <c r="T164" s="264">
        <f>_xlfn.XLOOKUP(E164,'All Products'!D:D,'All Products'!N:N,FALSE)</f>
        <v>1.927</v>
      </c>
      <c r="U164" s="264">
        <f>_xlfn.XLOOKUP(E164,'All Products'!D:D,'All Products'!P:P,FALSE)</f>
        <v>20.48</v>
      </c>
      <c r="V164" s="265">
        <f>_xlfn.XLOOKUP(E164,'All Products'!D:D,'All Products'!Q:Q,FALSE)</f>
        <v>1.41</v>
      </c>
    </row>
    <row r="165" spans="1:22" ht="14.4" customHeight="1">
      <c r="A165" s="101" t="str">
        <f>IF(K165&gt;0,COUNT($A$8:A164)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65" s="610"/>
      <c r="C165" s="611"/>
      <c r="D165" s="274" t="str">
        <f>_xlfn.XLOOKUP(E165,'All Products'!D:D,'All Products'!C:C,FALSE)</f>
        <v>3-A1-21-1-12</v>
      </c>
      <c r="E165" s="103">
        <v>100025008</v>
      </c>
      <c r="F165" s="144" t="str">
        <f>_xlfn.XLOOKUP(E165,'All Products'!D:D,'All Products'!E:E,FALSE)</f>
        <v>1-1/2 MPT X 1-1/2 ACME SU X 12 SJ</v>
      </c>
      <c r="G165" s="103">
        <f>_xlfn.XLOOKUP(E165,'All Products'!D:D,'All Products'!F:F,FALSE)</f>
        <v>10</v>
      </c>
      <c r="H165" s="103">
        <f>_xlfn.XLOOKUP(E165,'All Products'!D:D,'All Products'!G:G,FALSE)</f>
        <v>600</v>
      </c>
      <c r="I165" s="140">
        <f>_xlfn.XLOOKUP(E165,'All Products'!D:D,'All Products'!H:H,FALSE)</f>
        <v>165.57</v>
      </c>
      <c r="J165" s="173">
        <f>ROUNDUP(I165*Order_Quote!$L$26,2)</f>
        <v>165.57</v>
      </c>
      <c r="K165" s="75"/>
      <c r="L165" s="113"/>
      <c r="M165" s="171">
        <f t="shared" si="2"/>
        <v>0</v>
      </c>
      <c r="O165" s="215" t="str">
        <f>_xlfn.XLOOKUP(E165,'All Products'!D:D,'All Products'!I:I,FALSE)</f>
        <v>In Stock</v>
      </c>
      <c r="P165" s="215" t="str">
        <f>_xlfn.XLOOKUP(E165,'All Products'!D:D,'All Products'!J:J,FALSE)</f>
        <v>Manufactured</v>
      </c>
      <c r="Q165" s="266">
        <f>_xlfn.XLOOKUP(E165,'All Products'!D:D,'All Products'!K:K,FALSE)</f>
        <v>49081021665</v>
      </c>
      <c r="R165" s="266" t="str">
        <f>_xlfn.XLOOKUP(E165,'All Products'!D:D,'All Products'!L:L,FALSE)</f>
        <v>-</v>
      </c>
      <c r="S165" s="266">
        <f>_xlfn.XLOOKUP(E165,'All Products'!D:D,'All Products'!M:M,FALSE)</f>
        <v>40049081021663</v>
      </c>
      <c r="T165" s="264">
        <f>_xlfn.XLOOKUP(E165,'All Products'!D:D,'All Products'!N:N,FALSE)</f>
        <v>1.966</v>
      </c>
      <c r="U165" s="264">
        <f>_xlfn.XLOOKUP(E165,'All Products'!D:D,'All Products'!P:P,FALSE)</f>
        <v>20.2</v>
      </c>
      <c r="V165" s="265">
        <f>_xlfn.XLOOKUP(E165,'All Products'!D:D,'All Products'!Q:Q,FALSE)</f>
        <v>1.41</v>
      </c>
    </row>
    <row r="166" spans="1:22" ht="14.4" customHeight="1">
      <c r="A166" s="101" t="str">
        <f>IF(K166&gt;0,COUNT($A$8:A165)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66" s="610"/>
      <c r="C166" s="611"/>
      <c r="D166" s="274" t="str">
        <f>_xlfn.XLOOKUP(E166,'All Products'!D:D,'All Products'!C:C,FALSE)</f>
        <v>3-A1-21-1-16</v>
      </c>
      <c r="E166" s="103">
        <v>100024368</v>
      </c>
      <c r="F166" s="144" t="str">
        <f>_xlfn.XLOOKUP(E166,'All Products'!D:D,'All Products'!E:E,FALSE)</f>
        <v>1-1/2 MPT X 1-1/2 ACME SU X 16 SJ</v>
      </c>
      <c r="G166" s="103">
        <f>_xlfn.XLOOKUP(E166,'All Products'!D:D,'All Products'!F:F,FALSE)</f>
        <v>10</v>
      </c>
      <c r="H166" s="103">
        <f>_xlfn.XLOOKUP(E166,'All Products'!D:D,'All Products'!G:G,FALSE)</f>
        <v>240</v>
      </c>
      <c r="I166" s="140">
        <f>_xlfn.XLOOKUP(E166,'All Products'!D:D,'All Products'!H:H,FALSE)</f>
        <v>176.71</v>
      </c>
      <c r="J166" s="173">
        <f>ROUNDUP(I166*Order_Quote!$L$26,2)</f>
        <v>176.71</v>
      </c>
      <c r="K166" s="75"/>
      <c r="L166" s="113"/>
      <c r="M166" s="171">
        <f t="shared" si="2"/>
        <v>0</v>
      </c>
      <c r="O166" s="215" t="str">
        <f>_xlfn.XLOOKUP(E166,'All Products'!D:D,'All Products'!I:I,FALSE)</f>
        <v>Within 3 Weeks</v>
      </c>
      <c r="P166" s="215" t="str">
        <f>_xlfn.XLOOKUP(E166,'All Products'!D:D,'All Products'!J:J,FALSE)</f>
        <v>Manufactured</v>
      </c>
      <c r="Q166" s="266">
        <f>_xlfn.XLOOKUP(E166,'All Products'!D:D,'All Products'!K:K,FALSE)</f>
        <v>49081022846</v>
      </c>
      <c r="R166" s="266" t="str">
        <f>_xlfn.XLOOKUP(E166,'All Products'!D:D,'All Products'!L:L,FALSE)</f>
        <v>-</v>
      </c>
      <c r="S166" s="266">
        <f>_xlfn.XLOOKUP(E166,'All Products'!D:D,'All Products'!M:M,FALSE)</f>
        <v>40049081022844</v>
      </c>
      <c r="T166" s="264">
        <f>_xlfn.XLOOKUP(E166,'All Products'!D:D,'All Products'!N:N,FALSE)</f>
        <v>2.1850000000000001</v>
      </c>
      <c r="U166" s="264">
        <f>_xlfn.XLOOKUP(E166,'All Products'!D:D,'All Products'!P:P,FALSE)</f>
        <v>23.1</v>
      </c>
      <c r="V166" s="265">
        <f>_xlfn.XLOOKUP(E166,'All Products'!D:D,'All Products'!Q:Q,FALSE)</f>
        <v>2.77</v>
      </c>
    </row>
    <row r="167" spans="1:22" ht="14.4" customHeight="1">
      <c r="A167" s="101" t="str">
        <f>IF(K167&gt;0,COUNT($A$8:A166)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67" s="610"/>
      <c r="C167" s="611"/>
      <c r="D167" s="274" t="str">
        <f>_xlfn.XLOOKUP(E167,'All Products'!D:D,'All Products'!C:C,FALSE)</f>
        <v>3-A1-21-1-18</v>
      </c>
      <c r="E167" s="103">
        <v>100025010</v>
      </c>
      <c r="F167" s="144" t="str">
        <f>_xlfn.XLOOKUP(E167,'All Products'!D:D,'All Products'!E:E,FALSE)</f>
        <v>1-1/2 MPT X 1-1/2 ACME SU X 18 SJ</v>
      </c>
      <c r="G167" s="103">
        <f>_xlfn.XLOOKUP(E167,'All Products'!D:D,'All Products'!F:F,FALSE)</f>
        <v>10</v>
      </c>
      <c r="H167" s="103">
        <f>_xlfn.XLOOKUP(E167,'All Products'!D:D,'All Products'!G:G,FALSE)</f>
        <v>240</v>
      </c>
      <c r="I167" s="140">
        <f>_xlfn.XLOOKUP(E167,'All Products'!D:D,'All Products'!H:H,FALSE)</f>
        <v>176.71</v>
      </c>
      <c r="J167" s="173">
        <f>ROUNDUP(I167*Order_Quote!$L$26,2)</f>
        <v>176.71</v>
      </c>
      <c r="K167" s="75"/>
      <c r="L167" s="113"/>
      <c r="M167" s="171">
        <f t="shared" si="2"/>
        <v>0</v>
      </c>
      <c r="O167" s="215" t="str">
        <f>_xlfn.XLOOKUP(E167,'All Products'!D:D,'All Products'!I:I,FALSE)</f>
        <v>Within 3 Weeks</v>
      </c>
      <c r="P167" s="215" t="str">
        <f>_xlfn.XLOOKUP(E167,'All Products'!D:D,'All Products'!J:J,FALSE)</f>
        <v>Manufactured</v>
      </c>
      <c r="Q167" s="266">
        <f>_xlfn.XLOOKUP(E167,'All Products'!D:D,'All Products'!K:K,FALSE)</f>
        <v>49081027674</v>
      </c>
      <c r="R167" s="266" t="str">
        <f>_xlfn.XLOOKUP(E167,'All Products'!D:D,'All Products'!L:L,FALSE)</f>
        <v>-</v>
      </c>
      <c r="S167" s="266">
        <f>_xlfn.XLOOKUP(E167,'All Products'!D:D,'All Products'!M:M,FALSE)</f>
        <v>40049081027672</v>
      </c>
      <c r="T167" s="264">
        <f>_xlfn.XLOOKUP(E167,'All Products'!D:D,'All Products'!N:N,FALSE)</f>
        <v>2.2810000000000001</v>
      </c>
      <c r="U167" s="264">
        <f>_xlfn.XLOOKUP(E167,'All Products'!D:D,'All Products'!P:P,FALSE)</f>
        <v>24.35</v>
      </c>
      <c r="V167" s="265">
        <f>_xlfn.XLOOKUP(E167,'All Products'!D:D,'All Products'!Q:Q,FALSE)</f>
        <v>2.77</v>
      </c>
    </row>
    <row r="168" spans="1:22" ht="14.4" customHeight="1">
      <c r="A168" s="101" t="str">
        <f>IF(K168&gt;0,COUNT($A$8:A167)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68" s="610"/>
      <c r="C168" s="611"/>
      <c r="D168" s="274" t="str">
        <f>_xlfn.XLOOKUP(E168,'All Products'!D:D,'All Products'!C:C,FALSE)</f>
        <v>3-A1-21-1-6</v>
      </c>
      <c r="E168" s="103">
        <v>100024372</v>
      </c>
      <c r="F168" s="144" t="str">
        <f>_xlfn.XLOOKUP(E168,'All Products'!D:D,'All Products'!E:E,FALSE)</f>
        <v>1-1/2 MIPT X 1-1/2 ACME SU X 6 SJ</v>
      </c>
      <c r="G168" s="103">
        <f>_xlfn.XLOOKUP(E168,'All Products'!D:D,'All Products'!F:F,FALSE)</f>
        <v>10</v>
      </c>
      <c r="H168" s="103">
        <f>_xlfn.XLOOKUP(E168,'All Products'!D:D,'All Products'!G:G,FALSE)</f>
        <v>750</v>
      </c>
      <c r="I168" s="140">
        <f>_xlfn.XLOOKUP(E168,'All Products'!D:D,'All Products'!H:H,FALSE)</f>
        <v>154.49</v>
      </c>
      <c r="J168" s="173">
        <f>ROUNDUP(I168*Order_Quote!$L$26,2)</f>
        <v>154.49</v>
      </c>
      <c r="K168" s="75"/>
      <c r="L168" s="113"/>
      <c r="M168" s="171">
        <f t="shared" si="2"/>
        <v>0</v>
      </c>
      <c r="O168" s="215" t="str">
        <f>_xlfn.XLOOKUP(E168,'All Products'!D:D,'All Products'!I:I,FALSE)</f>
        <v>Within 3 Weeks</v>
      </c>
      <c r="P168" s="215" t="str">
        <f>_xlfn.XLOOKUP(E168,'All Products'!D:D,'All Products'!J:J,FALSE)</f>
        <v>Manufactured</v>
      </c>
      <c r="Q168" s="266">
        <f>_xlfn.XLOOKUP(E168,'All Products'!D:D,'All Products'!K:K,FALSE)</f>
        <v>49081030780</v>
      </c>
      <c r="R168" s="266" t="str">
        <f>_xlfn.XLOOKUP(E168,'All Products'!D:D,'All Products'!L:L,FALSE)</f>
        <v>-</v>
      </c>
      <c r="S168" s="266">
        <f>_xlfn.XLOOKUP(E168,'All Products'!D:D,'All Products'!M:M,FALSE)</f>
        <v>40049081030788</v>
      </c>
      <c r="T168" s="264">
        <f>_xlfn.XLOOKUP(E168,'All Products'!D:D,'All Products'!N:N,FALSE)</f>
        <v>1.645</v>
      </c>
      <c r="U168" s="264">
        <f>_xlfn.XLOOKUP(E168,'All Products'!D:D,'All Products'!P:P,FALSE)</f>
        <v>16.86</v>
      </c>
      <c r="V168" s="265">
        <f>_xlfn.XLOOKUP(E168,'All Products'!D:D,'All Products'!Q:Q,FALSE)</f>
        <v>1.1000000000000001</v>
      </c>
    </row>
    <row r="169" spans="1:22" ht="14.4" customHeight="1">
      <c r="A169" s="101" t="str">
        <f>IF(K169&gt;0,COUNT($A$8:A168)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69" s="610"/>
      <c r="C169" s="611"/>
      <c r="D169" s="274" t="str">
        <f>_xlfn.XLOOKUP(E169,'All Products'!D:D,'All Products'!C:C,FALSE)</f>
        <v>3-A1-3-1-10</v>
      </c>
      <c r="E169" s="103">
        <v>100024389</v>
      </c>
      <c r="F169" s="144" t="str">
        <f>_xlfn.XLOOKUP(E169,'All Products'!D:D,'All Products'!E:E,FALSE)</f>
        <v>1-1/2 MPT X 1-1/2 MPT SU X 10 SJ</v>
      </c>
      <c r="G169" s="103">
        <f>_xlfn.XLOOKUP(E169,'All Products'!D:D,'All Products'!F:F,FALSE)</f>
        <v>10</v>
      </c>
      <c r="H169" s="103">
        <f>_xlfn.XLOOKUP(E169,'All Products'!D:D,'All Products'!G:G,FALSE)</f>
        <v>180</v>
      </c>
      <c r="I169" s="140">
        <f>_xlfn.XLOOKUP(E169,'All Products'!D:D,'All Products'!H:H,FALSE)</f>
        <v>165.57</v>
      </c>
      <c r="J169" s="173">
        <f>ROUNDUP(I169*Order_Quote!$L$26,2)</f>
        <v>165.57</v>
      </c>
      <c r="K169" s="75"/>
      <c r="L169" s="113"/>
      <c r="M169" s="171">
        <f t="shared" si="2"/>
        <v>0</v>
      </c>
      <c r="O169" s="215" t="str">
        <f>_xlfn.XLOOKUP(E169,'All Products'!D:D,'All Products'!I:I,FALSE)</f>
        <v>Within 3 Weeks</v>
      </c>
      <c r="P169" s="215" t="str">
        <f>_xlfn.XLOOKUP(E169,'All Products'!D:D,'All Products'!J:J,FALSE)</f>
        <v>Manufactured</v>
      </c>
      <c r="Q169" s="266">
        <f>_xlfn.XLOOKUP(E169,'All Products'!D:D,'All Products'!K:K,FALSE)</f>
        <v>49081021696</v>
      </c>
      <c r="R169" s="266" t="str">
        <f>_xlfn.XLOOKUP(E169,'All Products'!D:D,'All Products'!L:L,FALSE)</f>
        <v>-</v>
      </c>
      <c r="S169" s="266">
        <f>_xlfn.XLOOKUP(E169,'All Products'!D:D,'All Products'!M:M,FALSE)</f>
        <v>40049081021694</v>
      </c>
      <c r="T169" s="264">
        <f>_xlfn.XLOOKUP(E169,'All Products'!D:D,'All Products'!N:N,FALSE)</f>
        <v>1.8049999999999999</v>
      </c>
      <c r="U169" s="264">
        <f>_xlfn.XLOOKUP(E169,'All Products'!D:D,'All Products'!P:P,FALSE)</f>
        <v>19</v>
      </c>
      <c r="V169" s="265">
        <f>_xlfn.XLOOKUP(E169,'All Products'!D:D,'All Products'!Q:Q,FALSE)</f>
        <v>2.65</v>
      </c>
    </row>
    <row r="170" spans="1:22" ht="14.4" customHeight="1">
      <c r="A170" s="101" t="str">
        <f>IF(K170&gt;0,COUNT($A$8:A169)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70" s="610"/>
      <c r="C170" s="611"/>
      <c r="D170" s="274" t="str">
        <f>_xlfn.XLOOKUP(E170,'All Products'!D:D,'All Products'!C:C,FALSE)</f>
        <v>3-A1-3-1-12</v>
      </c>
      <c r="E170" s="103">
        <v>100025014</v>
      </c>
      <c r="F170" s="144" t="str">
        <f>_xlfn.XLOOKUP(E170,'All Products'!D:D,'All Products'!E:E,FALSE)</f>
        <v>1-1/2 MPT X 1-1/2 MPT SU X 12 SJ</v>
      </c>
      <c r="G170" s="103">
        <f>_xlfn.XLOOKUP(E170,'All Products'!D:D,'All Products'!F:F,FALSE)</f>
        <v>10</v>
      </c>
      <c r="H170" s="103">
        <f>_xlfn.XLOOKUP(E170,'All Products'!D:D,'All Products'!G:G,FALSE)</f>
        <v>600</v>
      </c>
      <c r="I170" s="140">
        <f>_xlfn.XLOOKUP(E170,'All Products'!D:D,'All Products'!H:H,FALSE)</f>
        <v>165.57</v>
      </c>
      <c r="J170" s="173">
        <f>ROUNDUP(I170*Order_Quote!$L$26,2)</f>
        <v>165.57</v>
      </c>
      <c r="K170" s="75"/>
      <c r="L170" s="113"/>
      <c r="M170" s="171">
        <f t="shared" si="2"/>
        <v>0</v>
      </c>
      <c r="O170" s="215" t="str">
        <f>_xlfn.XLOOKUP(E170,'All Products'!D:D,'All Products'!I:I,FALSE)</f>
        <v>In Stock</v>
      </c>
      <c r="P170" s="215" t="str">
        <f>_xlfn.XLOOKUP(E170,'All Products'!D:D,'All Products'!J:J,FALSE)</f>
        <v>Manufactured</v>
      </c>
      <c r="Q170" s="266">
        <f>_xlfn.XLOOKUP(E170,'All Products'!D:D,'All Products'!K:K,FALSE)</f>
        <v>49081020194</v>
      </c>
      <c r="R170" s="266" t="str">
        <f>_xlfn.XLOOKUP(E170,'All Products'!D:D,'All Products'!L:L,FALSE)</f>
        <v>-</v>
      </c>
      <c r="S170" s="266">
        <f>_xlfn.XLOOKUP(E170,'All Products'!D:D,'All Products'!M:M,FALSE)</f>
        <v>40049081020192</v>
      </c>
      <c r="T170" s="264">
        <f>_xlfn.XLOOKUP(E170,'All Products'!D:D,'All Products'!N:N,FALSE)</f>
        <v>1.911</v>
      </c>
      <c r="U170" s="264">
        <f>_xlfn.XLOOKUP(E170,'All Products'!D:D,'All Products'!P:P,FALSE)</f>
        <v>20.399999999999999</v>
      </c>
      <c r="V170" s="265">
        <f>_xlfn.XLOOKUP(E170,'All Products'!D:D,'All Products'!Q:Q,FALSE)</f>
        <v>1.41</v>
      </c>
    </row>
    <row r="171" spans="1:22" ht="14.4" customHeight="1">
      <c r="A171" s="101" t="str">
        <f>IF(K171&gt;0,COUNT($A$8:A170)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71" s="610"/>
      <c r="C171" s="611"/>
      <c r="D171" s="274" t="str">
        <f>_xlfn.XLOOKUP(E171,'All Products'!D:D,'All Products'!C:C,FALSE)</f>
        <v>3-A1-3-1-14</v>
      </c>
      <c r="E171" s="103">
        <v>100024390</v>
      </c>
      <c r="F171" s="144" t="str">
        <f>_xlfn.XLOOKUP(E171,'All Products'!D:D,'All Products'!E:E,FALSE)</f>
        <v>1-1/2 MPT X 1-1/2 MPT SU X 14 SJ</v>
      </c>
      <c r="G171" s="103">
        <f>_xlfn.XLOOKUP(E171,'All Products'!D:D,'All Products'!F:F,FALSE)</f>
        <v>10</v>
      </c>
      <c r="H171" s="103">
        <f>_xlfn.XLOOKUP(E171,'All Products'!D:D,'All Products'!G:G,FALSE)</f>
        <v>180</v>
      </c>
      <c r="I171" s="140">
        <f>_xlfn.XLOOKUP(E171,'All Products'!D:D,'All Products'!H:H,FALSE)</f>
        <v>176.71</v>
      </c>
      <c r="J171" s="173">
        <f>ROUNDUP(I171*Order_Quote!$L$26,2)</f>
        <v>176.71</v>
      </c>
      <c r="K171" s="75"/>
      <c r="L171" s="113"/>
      <c r="M171" s="171">
        <f t="shared" si="2"/>
        <v>0</v>
      </c>
      <c r="O171" s="215" t="str">
        <f>_xlfn.XLOOKUP(E171,'All Products'!D:D,'All Products'!I:I,FALSE)</f>
        <v>Within 3 Weeks</v>
      </c>
      <c r="P171" s="215" t="str">
        <f>_xlfn.XLOOKUP(E171,'All Products'!D:D,'All Products'!J:J,FALSE)</f>
        <v>Manufactured</v>
      </c>
      <c r="Q171" s="266">
        <f>_xlfn.XLOOKUP(E171,'All Products'!D:D,'All Products'!K:K,FALSE)</f>
        <v>49081027773</v>
      </c>
      <c r="R171" s="266" t="str">
        <f>_xlfn.XLOOKUP(E171,'All Products'!D:D,'All Products'!L:L,FALSE)</f>
        <v>-</v>
      </c>
      <c r="S171" s="266">
        <f>_xlfn.XLOOKUP(E171,'All Products'!D:D,'All Products'!M:M,FALSE)</f>
        <v>40049081027771</v>
      </c>
      <c r="T171" s="264">
        <f>_xlfn.XLOOKUP(E171,'All Products'!D:D,'All Products'!N:N,FALSE)</f>
        <v>2</v>
      </c>
      <c r="U171" s="264">
        <f>_xlfn.XLOOKUP(E171,'All Products'!D:D,'All Products'!P:P,FALSE)</f>
        <v>21.15</v>
      </c>
      <c r="V171" s="265">
        <f>_xlfn.XLOOKUP(E171,'All Products'!D:D,'All Products'!Q:Q,FALSE)</f>
        <v>2.65</v>
      </c>
    </row>
    <row r="172" spans="1:22" ht="14.4" customHeight="1">
      <c r="A172" s="101" t="str">
        <f>IF(K172&gt;0,COUNT($A$8:A171)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72" s="610"/>
      <c r="C172" s="611"/>
      <c r="D172" s="274" t="str">
        <f>_xlfn.XLOOKUP(E172,'All Products'!D:D,'All Products'!C:C,FALSE)</f>
        <v>3-A1-3-1-16</v>
      </c>
      <c r="E172" s="103">
        <v>100024391</v>
      </c>
      <c r="F172" s="144" t="str">
        <f>_xlfn.XLOOKUP(E172,'All Products'!D:D,'All Products'!E:E,FALSE)</f>
        <v>1-1/2 MPT X 1-1/2 MPT SU X 16 SJ</v>
      </c>
      <c r="G172" s="103">
        <f>_xlfn.XLOOKUP(E172,'All Products'!D:D,'All Products'!F:F,FALSE)</f>
        <v>10</v>
      </c>
      <c r="H172" s="103">
        <f>_xlfn.XLOOKUP(E172,'All Products'!D:D,'All Products'!G:G,FALSE)</f>
        <v>180</v>
      </c>
      <c r="I172" s="140">
        <f>_xlfn.XLOOKUP(E172,'All Products'!D:D,'All Products'!H:H,FALSE)</f>
        <v>176.71</v>
      </c>
      <c r="J172" s="173">
        <f>ROUNDUP(I172*Order_Quote!$L$26,2)</f>
        <v>176.71</v>
      </c>
      <c r="K172" s="75"/>
      <c r="L172" s="113"/>
      <c r="M172" s="171">
        <f t="shared" si="2"/>
        <v>0</v>
      </c>
      <c r="O172" s="215" t="str">
        <f>_xlfn.XLOOKUP(E172,'All Products'!D:D,'All Products'!I:I,FALSE)</f>
        <v>Within 3 Weeks</v>
      </c>
      <c r="P172" s="215" t="str">
        <f>_xlfn.XLOOKUP(E172,'All Products'!D:D,'All Products'!J:J,FALSE)</f>
        <v>Manufactured</v>
      </c>
      <c r="Q172" s="266">
        <f>_xlfn.XLOOKUP(E172,'All Products'!D:D,'All Products'!K:K,FALSE)</f>
        <v>49081027780</v>
      </c>
      <c r="R172" s="266" t="str">
        <f>_xlfn.XLOOKUP(E172,'All Products'!D:D,'All Products'!L:L,FALSE)</f>
        <v>-</v>
      </c>
      <c r="S172" s="266">
        <f>_xlfn.XLOOKUP(E172,'All Products'!D:D,'All Products'!M:M,FALSE)</f>
        <v>40049081027788</v>
      </c>
      <c r="T172" s="264">
        <f>_xlfn.XLOOKUP(E172,'All Products'!D:D,'All Products'!N:N,FALSE)</f>
        <v>2.13</v>
      </c>
      <c r="U172" s="264">
        <f>_xlfn.XLOOKUP(E172,'All Products'!D:D,'All Products'!P:P,FALSE)</f>
        <v>22.45</v>
      </c>
      <c r="V172" s="265">
        <f>_xlfn.XLOOKUP(E172,'All Products'!D:D,'All Products'!Q:Q,FALSE)</f>
        <v>4.38</v>
      </c>
    </row>
    <row r="173" spans="1:22" ht="14.4" customHeight="1">
      <c r="A173" s="101" t="str">
        <f>IF(K173&gt;0,COUNT($A$8:A172)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73" s="610"/>
      <c r="C173" s="611"/>
      <c r="D173" s="274" t="str">
        <f>_xlfn.XLOOKUP(E173,'All Products'!D:D,'All Products'!C:C,FALSE)</f>
        <v>3-A1-3-1-18</v>
      </c>
      <c r="E173" s="103">
        <v>100025015</v>
      </c>
      <c r="F173" s="144" t="str">
        <f>_xlfn.XLOOKUP(E173,'All Products'!D:D,'All Products'!E:E,FALSE)</f>
        <v>1-1/2 MPT X 1-1/2 MPT SU X 18 SJ</v>
      </c>
      <c r="G173" s="103">
        <f>_xlfn.XLOOKUP(E173,'All Products'!D:D,'All Products'!F:F,FALSE)</f>
        <v>10</v>
      </c>
      <c r="H173" s="103">
        <f>_xlfn.XLOOKUP(E173,'All Products'!D:D,'All Products'!G:G,FALSE)</f>
        <v>240</v>
      </c>
      <c r="I173" s="140">
        <f>_xlfn.XLOOKUP(E173,'All Products'!D:D,'All Products'!H:H,FALSE)</f>
        <v>176.71</v>
      </c>
      <c r="J173" s="173">
        <f>ROUNDUP(I173*Order_Quote!$L$26,2)</f>
        <v>176.71</v>
      </c>
      <c r="K173" s="75"/>
      <c r="L173" s="113"/>
      <c r="M173" s="171">
        <f t="shared" si="2"/>
        <v>0</v>
      </c>
      <c r="O173" s="215" t="str">
        <f>_xlfn.XLOOKUP(E173,'All Products'!D:D,'All Products'!I:I,FALSE)</f>
        <v>Within 3 Weeks</v>
      </c>
      <c r="P173" s="215" t="str">
        <f>_xlfn.XLOOKUP(E173,'All Products'!D:D,'All Products'!J:J,FALSE)</f>
        <v>Manufactured</v>
      </c>
      <c r="Q173" s="266">
        <f>_xlfn.XLOOKUP(E173,'All Products'!D:D,'All Products'!K:K,FALSE)</f>
        <v>49081022181</v>
      </c>
      <c r="R173" s="266" t="str">
        <f>_xlfn.XLOOKUP(E173,'All Products'!D:D,'All Products'!L:L,FALSE)</f>
        <v>-</v>
      </c>
      <c r="S173" s="266">
        <f>_xlfn.XLOOKUP(E173,'All Products'!D:D,'All Products'!M:M,FALSE)</f>
        <v>40049081022189</v>
      </c>
      <c r="T173" s="264">
        <f>_xlfn.XLOOKUP(E173,'All Products'!D:D,'All Products'!N:N,FALSE)</f>
        <v>2.226</v>
      </c>
      <c r="U173" s="264">
        <f>_xlfn.XLOOKUP(E173,'All Products'!D:D,'All Products'!P:P,FALSE)</f>
        <v>24.5</v>
      </c>
      <c r="V173" s="265">
        <f>_xlfn.XLOOKUP(E173,'All Products'!D:D,'All Products'!Q:Q,FALSE)</f>
        <v>2.77</v>
      </c>
    </row>
    <row r="174" spans="1:22" ht="14.4" customHeight="1">
      <c r="A174" s="101" t="str">
        <f>IF(K174&gt;0,COUNT($A$8:A173)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74" s="610"/>
      <c r="C174" s="611"/>
      <c r="D174" s="274" t="str">
        <f>_xlfn.XLOOKUP(E174,'All Products'!D:D,'All Products'!C:C,FALSE)</f>
        <v>3-A1-3-1-8</v>
      </c>
      <c r="E174" s="103">
        <v>100024393</v>
      </c>
      <c r="F174" s="144" t="str">
        <f>_xlfn.XLOOKUP(E174,'All Products'!D:D,'All Products'!E:E,FALSE)</f>
        <v>1-1/2 MPT X 1-1/2 MPT SU X 8 SJ</v>
      </c>
      <c r="G174" s="103">
        <f>_xlfn.XLOOKUP(E174,'All Products'!D:D,'All Products'!F:F,FALSE)</f>
        <v>10</v>
      </c>
      <c r="H174" s="103">
        <f>_xlfn.XLOOKUP(E174,'All Products'!D:D,'All Products'!G:G,FALSE)</f>
        <v>180</v>
      </c>
      <c r="I174" s="140">
        <f>_xlfn.XLOOKUP(E174,'All Products'!D:D,'All Products'!H:H,FALSE)</f>
        <v>154.49</v>
      </c>
      <c r="J174" s="173">
        <f>ROUNDUP(I174*Order_Quote!$L$26,2)</f>
        <v>154.49</v>
      </c>
      <c r="K174" s="75"/>
      <c r="L174" s="113"/>
      <c r="M174" s="171">
        <f t="shared" si="2"/>
        <v>0</v>
      </c>
      <c r="O174" s="215" t="str">
        <f>_xlfn.XLOOKUP(E174,'All Products'!D:D,'All Products'!I:I,FALSE)</f>
        <v>Within 3 Weeks</v>
      </c>
      <c r="P174" s="215" t="str">
        <f>_xlfn.XLOOKUP(E174,'All Products'!D:D,'All Products'!J:J,FALSE)</f>
        <v>Manufactured</v>
      </c>
      <c r="Q174" s="266">
        <f>_xlfn.XLOOKUP(E174,'All Products'!D:D,'All Products'!K:K,FALSE)</f>
        <v>49081021702</v>
      </c>
      <c r="R174" s="266" t="str">
        <f>_xlfn.XLOOKUP(E174,'All Products'!D:D,'All Products'!L:L,FALSE)</f>
        <v>-</v>
      </c>
      <c r="S174" s="266">
        <f>_xlfn.XLOOKUP(E174,'All Products'!D:D,'All Products'!M:M,FALSE)</f>
        <v>40049081021700</v>
      </c>
      <c r="T174" s="264">
        <f>_xlfn.XLOOKUP(E174,'All Products'!D:D,'All Products'!N:N,FALSE)</f>
        <v>1.7</v>
      </c>
      <c r="U174" s="264">
        <f>_xlfn.XLOOKUP(E174,'All Products'!D:D,'All Products'!P:P,FALSE)</f>
        <v>17.8</v>
      </c>
      <c r="V174" s="265">
        <f>_xlfn.XLOOKUP(E174,'All Products'!D:D,'All Products'!Q:Q,FALSE)</f>
        <v>2.65</v>
      </c>
    </row>
    <row r="175" spans="1:22" ht="14.4" customHeight="1">
      <c r="A175" s="101" t="str">
        <f>IF(K175&gt;0,COUNT($A$8:A174)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75" s="610"/>
      <c r="C175" s="611"/>
      <c r="D175" s="274" t="str">
        <f>_xlfn.XLOOKUP(E175,'All Products'!D:D,'All Products'!C:C,FALSE)</f>
        <v>3-A1-8-1-12</v>
      </c>
      <c r="E175" s="103">
        <v>100024404</v>
      </c>
      <c r="F175" s="144" t="str">
        <f>_xlfn.XLOOKUP(E175,'All Products'!D:D,'All Products'!E:E,FALSE)</f>
        <v>1-1/2 MPT X 1 MPT SU X 12 SJ</v>
      </c>
      <c r="G175" s="103">
        <f>_xlfn.XLOOKUP(E175,'All Products'!D:D,'All Products'!F:F,FALSE)</f>
        <v>10</v>
      </c>
      <c r="H175" s="103" t="str">
        <f>_xlfn.XLOOKUP(E175,'All Products'!D:D,'All Products'!G:G,FALSE)</f>
        <v>-</v>
      </c>
      <c r="I175" s="140">
        <f>_xlfn.XLOOKUP(E175,'All Products'!D:D,'All Products'!H:H,FALSE)</f>
        <v>165.57</v>
      </c>
      <c r="J175" s="173">
        <f>ROUNDUP(I175*Order_Quote!$L$26,2)</f>
        <v>165.57</v>
      </c>
      <c r="K175" s="75"/>
      <c r="L175" s="113"/>
      <c r="M175" s="171">
        <f t="shared" si="2"/>
        <v>0</v>
      </c>
      <c r="O175" s="215" t="str">
        <f>_xlfn.XLOOKUP(E175,'All Products'!D:D,'All Products'!I:I,FALSE)</f>
        <v>Within 3 Weeks</v>
      </c>
      <c r="P175" s="215" t="str">
        <f>_xlfn.XLOOKUP(E175,'All Products'!D:D,'All Products'!J:J,FALSE)</f>
        <v>Manufactured</v>
      </c>
      <c r="Q175" s="266">
        <f>_xlfn.XLOOKUP(E175,'All Products'!D:D,'All Products'!K:K,FALSE)</f>
        <v>49081021733</v>
      </c>
      <c r="R175" s="266" t="str">
        <f>_xlfn.XLOOKUP(E175,'All Products'!D:D,'All Products'!L:L,FALSE)</f>
        <v>-</v>
      </c>
      <c r="S175" s="266">
        <f>_xlfn.XLOOKUP(E175,'All Products'!D:D,'All Products'!M:M,FALSE)</f>
        <v>40049081021731</v>
      </c>
      <c r="T175" s="264">
        <f>_xlfn.XLOOKUP(E175,'All Products'!D:D,'All Products'!N:N,FALSE)</f>
        <v>1.9259999999999999</v>
      </c>
      <c r="U175" s="264" t="str">
        <f>_xlfn.XLOOKUP(E175,'All Products'!D:D,'All Products'!P:P,FALSE)</f>
        <v>-</v>
      </c>
      <c r="V175" s="265" t="str">
        <f>_xlfn.XLOOKUP(E175,'All Products'!D:D,'All Products'!Q:Q,FALSE)</f>
        <v>-</v>
      </c>
    </row>
    <row r="176" spans="1:22" ht="14.4" customHeight="1">
      <c r="A176" s="101" t="str">
        <f>IF(K176&gt;0,COUNT($A$8:A175)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76" s="610"/>
      <c r="C176" s="611"/>
      <c r="D176" s="274" t="str">
        <f>_xlfn.XLOOKUP(E176,'All Products'!D:D,'All Products'!C:C,FALSE)</f>
        <v>3-A1-9-1-12</v>
      </c>
      <c r="E176" s="103">
        <v>100024409</v>
      </c>
      <c r="F176" s="144" t="str">
        <f>_xlfn.XLOOKUP(E176,'All Products'!D:D,'All Products'!E:E,FALSE)</f>
        <v>1-1/2 MPT X 1-1/4 MPT SU X 12 SJ</v>
      </c>
      <c r="G176" s="103">
        <f>_xlfn.XLOOKUP(E176,'All Products'!D:D,'All Products'!F:F,FALSE)</f>
        <v>10</v>
      </c>
      <c r="H176" s="103">
        <f>_xlfn.XLOOKUP(E176,'All Products'!D:D,'All Products'!G:G,FALSE)</f>
        <v>180</v>
      </c>
      <c r="I176" s="140">
        <f>_xlfn.XLOOKUP(E176,'All Products'!D:D,'All Products'!H:H,FALSE)</f>
        <v>165.57</v>
      </c>
      <c r="J176" s="173">
        <f>ROUNDUP(I176*Order_Quote!$L$26,2)</f>
        <v>165.57</v>
      </c>
      <c r="K176" s="75"/>
      <c r="L176" s="113"/>
      <c r="M176" s="171">
        <f t="shared" si="2"/>
        <v>0</v>
      </c>
      <c r="O176" s="215" t="str">
        <f>_xlfn.XLOOKUP(E176,'All Products'!D:D,'All Products'!I:I,FALSE)</f>
        <v>Within 3 Weeks</v>
      </c>
      <c r="P176" s="215" t="str">
        <f>_xlfn.XLOOKUP(E176,'All Products'!D:D,'All Products'!J:J,FALSE)</f>
        <v>Manufactured</v>
      </c>
      <c r="Q176" s="266">
        <f>_xlfn.XLOOKUP(E176,'All Products'!D:D,'All Products'!K:K,FALSE)</f>
        <v>49081027940</v>
      </c>
      <c r="R176" s="266" t="str">
        <f>_xlfn.XLOOKUP(E176,'All Products'!D:D,'All Products'!L:L,FALSE)</f>
        <v>-</v>
      </c>
      <c r="S176" s="266">
        <f>_xlfn.XLOOKUP(E176,'All Products'!D:D,'All Products'!M:M,FALSE)</f>
        <v>40049081027948</v>
      </c>
      <c r="T176" s="264">
        <f>_xlfn.XLOOKUP(E176,'All Products'!D:D,'All Products'!N:N,FALSE)</f>
        <v>1.9359999999999999</v>
      </c>
      <c r="U176" s="264">
        <f>_xlfn.XLOOKUP(E176,'All Products'!D:D,'All Products'!P:P,FALSE)</f>
        <v>19.899999999999999</v>
      </c>
      <c r="V176" s="265">
        <f>_xlfn.XLOOKUP(E176,'All Products'!D:D,'All Products'!Q:Q,FALSE)</f>
        <v>2.65</v>
      </c>
    </row>
    <row r="177" spans="1:22" ht="14.4" customHeight="1">
      <c r="A177" s="101" t="str">
        <f>IF(K177&gt;0,COUNT($A$8:A176)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77" s="610"/>
      <c r="C177" s="611"/>
      <c r="D177" s="274" t="str">
        <f>_xlfn.XLOOKUP(E177,'All Products'!D:D,'All Products'!C:C,FALSE)</f>
        <v>3-A1-9-1-18</v>
      </c>
      <c r="E177" s="103">
        <v>100024411</v>
      </c>
      <c r="F177" s="144" t="str">
        <f>_xlfn.XLOOKUP(E177,'All Products'!D:D,'All Products'!E:E,FALSE)</f>
        <v>1-1/2 MPT X 1-1/4 MPT SU X 18 SJ</v>
      </c>
      <c r="G177" s="103">
        <f>_xlfn.XLOOKUP(E177,'All Products'!D:D,'All Products'!F:F,FALSE)</f>
        <v>10</v>
      </c>
      <c r="H177" s="103">
        <f>_xlfn.XLOOKUP(E177,'All Products'!D:D,'All Products'!G:G,FALSE)</f>
        <v>180</v>
      </c>
      <c r="I177" s="140">
        <f>_xlfn.XLOOKUP(E177,'All Products'!D:D,'All Products'!H:H,FALSE)</f>
        <v>176.71</v>
      </c>
      <c r="J177" s="173">
        <f>ROUNDUP(I177*Order_Quote!$L$26,2)</f>
        <v>176.71</v>
      </c>
      <c r="K177" s="75"/>
      <c r="L177" s="113"/>
      <c r="M177" s="171">
        <f t="shared" si="2"/>
        <v>0</v>
      </c>
      <c r="O177" s="215" t="str">
        <f>_xlfn.XLOOKUP(E177,'All Products'!D:D,'All Products'!I:I,FALSE)</f>
        <v>Within 3 Weeks</v>
      </c>
      <c r="P177" s="215" t="str">
        <f>_xlfn.XLOOKUP(E177,'All Products'!D:D,'All Products'!J:J,FALSE)</f>
        <v>Manufactured</v>
      </c>
      <c r="Q177" s="266">
        <f>_xlfn.XLOOKUP(E177,'All Products'!D:D,'All Products'!K:K,FALSE)</f>
        <v>49081027964</v>
      </c>
      <c r="R177" s="266" t="str">
        <f>_xlfn.XLOOKUP(E177,'All Products'!D:D,'All Products'!L:L,FALSE)</f>
        <v>-</v>
      </c>
      <c r="S177" s="266">
        <f>_xlfn.XLOOKUP(E177,'All Products'!D:D,'All Products'!M:M,FALSE)</f>
        <v>40049081027962</v>
      </c>
      <c r="T177" s="264">
        <f>_xlfn.XLOOKUP(E177,'All Products'!D:D,'All Products'!N:N,FALSE)</f>
        <v>2.2509999999999999</v>
      </c>
      <c r="U177" s="264">
        <f>_xlfn.XLOOKUP(E177,'All Products'!D:D,'All Products'!P:P,FALSE)</f>
        <v>24.62</v>
      </c>
      <c r="V177" s="265">
        <f>_xlfn.XLOOKUP(E177,'All Products'!D:D,'All Products'!Q:Q,FALSE)</f>
        <v>4.38</v>
      </c>
    </row>
    <row r="178" spans="1:22" ht="14.4" customHeight="1">
      <c r="A178" s="101" t="str">
        <f>IF(K178&gt;0,COUNT($A$8:A177)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78" s="610"/>
      <c r="C178" s="611"/>
      <c r="D178" s="274" t="str">
        <f>_xlfn.XLOOKUP(E178,'All Products'!D:D,'All Products'!C:C,FALSE)</f>
        <v>3-A2-21-1-12</v>
      </c>
      <c r="E178" s="103">
        <v>100025019</v>
      </c>
      <c r="F178" s="144" t="str">
        <f>_xlfn.XLOOKUP(E178,'All Products'!D:D,'All Products'!E:E,FALSE)</f>
        <v>1-1/2 SPG X 1-1/2 ACME SU X 12 SJ</v>
      </c>
      <c r="G178" s="103">
        <f>_xlfn.XLOOKUP(E178,'All Products'!D:D,'All Products'!F:F,FALSE)</f>
        <v>10</v>
      </c>
      <c r="H178" s="103" t="str">
        <f>_xlfn.XLOOKUP(E178,'All Products'!D:D,'All Products'!G:G,FALSE)</f>
        <v>-</v>
      </c>
      <c r="I178" s="140">
        <f>_xlfn.XLOOKUP(E178,'All Products'!D:D,'All Products'!H:H,FALSE)</f>
        <v>165.57</v>
      </c>
      <c r="J178" s="173">
        <f>ROUNDUP(I178*Order_Quote!$L$26,2)</f>
        <v>165.57</v>
      </c>
      <c r="K178" s="75"/>
      <c r="L178" s="113"/>
      <c r="M178" s="171">
        <f t="shared" si="2"/>
        <v>0</v>
      </c>
      <c r="O178" s="215" t="str">
        <f>_xlfn.XLOOKUP(E178,'All Products'!D:D,'All Products'!I:I,FALSE)</f>
        <v>Within 3 Weeks</v>
      </c>
      <c r="P178" s="215" t="str">
        <f>_xlfn.XLOOKUP(E178,'All Products'!D:D,'All Products'!J:J,FALSE)</f>
        <v>Manufactured</v>
      </c>
      <c r="Q178" s="266">
        <f>_xlfn.XLOOKUP(E178,'All Products'!D:D,'All Products'!K:K,FALSE)</f>
        <v>49081021740</v>
      </c>
      <c r="R178" s="266" t="str">
        <f>_xlfn.XLOOKUP(E178,'All Products'!D:D,'All Products'!L:L,FALSE)</f>
        <v>-</v>
      </c>
      <c r="S178" s="266">
        <f>_xlfn.XLOOKUP(E178,'All Products'!D:D,'All Products'!M:M,FALSE)</f>
        <v>40049081021748</v>
      </c>
      <c r="T178" s="264">
        <f>_xlfn.XLOOKUP(E178,'All Products'!D:D,'All Products'!N:N,FALSE)</f>
        <v>1.984</v>
      </c>
      <c r="U178" s="264">
        <f>_xlfn.XLOOKUP(E178,'All Products'!D:D,'All Products'!P:P,FALSE)</f>
        <v>19</v>
      </c>
      <c r="V178" s="265" t="str">
        <f>_xlfn.XLOOKUP(E178,'All Products'!D:D,'All Products'!Q:Q,FALSE)</f>
        <v>-</v>
      </c>
    </row>
    <row r="179" spans="1:22" ht="14.4" customHeight="1">
      <c r="A179" s="101" t="str">
        <f>IF(K179&gt;0,COUNT($A$8:A178)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79" s="610"/>
      <c r="C179" s="611"/>
      <c r="D179" s="274" t="str">
        <f>_xlfn.XLOOKUP(E179,'All Products'!D:D,'All Products'!C:C,FALSE)</f>
        <v>3-A2-3-1-12</v>
      </c>
      <c r="E179" s="103">
        <v>100025020</v>
      </c>
      <c r="F179" s="144" t="str">
        <f>_xlfn.XLOOKUP(E179,'All Products'!D:D,'All Products'!E:E,FALSE)</f>
        <v>1-1/2 SPG X 1-1/2 MPT SU X 12 SJ</v>
      </c>
      <c r="G179" s="103">
        <f>_xlfn.XLOOKUP(E179,'All Products'!D:D,'All Products'!F:F,FALSE)</f>
        <v>10</v>
      </c>
      <c r="H179" s="103">
        <f>_xlfn.XLOOKUP(E179,'All Products'!D:D,'All Products'!G:G,FALSE)</f>
        <v>180</v>
      </c>
      <c r="I179" s="140">
        <f>_xlfn.XLOOKUP(E179,'All Products'!D:D,'All Products'!H:H,FALSE)</f>
        <v>165.57</v>
      </c>
      <c r="J179" s="173">
        <f>ROUNDUP(I179*Order_Quote!$L$26,2)</f>
        <v>165.57</v>
      </c>
      <c r="K179" s="75"/>
      <c r="L179" s="113"/>
      <c r="M179" s="171">
        <f t="shared" si="2"/>
        <v>0</v>
      </c>
      <c r="O179" s="215" t="str">
        <f>_xlfn.XLOOKUP(E179,'All Products'!D:D,'All Products'!I:I,FALSE)</f>
        <v>Within 3 Weeks</v>
      </c>
      <c r="P179" s="215" t="str">
        <f>_xlfn.XLOOKUP(E179,'All Products'!D:D,'All Products'!J:J,FALSE)</f>
        <v>Manufactured</v>
      </c>
      <c r="Q179" s="266">
        <f>_xlfn.XLOOKUP(E179,'All Products'!D:D,'All Products'!K:K,FALSE)</f>
        <v>49081021757</v>
      </c>
      <c r="R179" s="266" t="str">
        <f>_xlfn.XLOOKUP(E179,'All Products'!D:D,'All Products'!L:L,FALSE)</f>
        <v>-</v>
      </c>
      <c r="S179" s="266">
        <f>_xlfn.XLOOKUP(E179,'All Products'!D:D,'All Products'!M:M,FALSE)</f>
        <v>40049081021755</v>
      </c>
      <c r="T179" s="264">
        <f>_xlfn.XLOOKUP(E179,'All Products'!D:D,'All Products'!N:N,FALSE)</f>
        <v>1.929</v>
      </c>
      <c r="U179" s="264">
        <f>_xlfn.XLOOKUP(E179,'All Products'!D:D,'All Products'!P:P,FALSE)</f>
        <v>20.27</v>
      </c>
      <c r="V179" s="265">
        <f>_xlfn.XLOOKUP(E179,'All Products'!D:D,'All Products'!Q:Q,FALSE)</f>
        <v>2.65</v>
      </c>
    </row>
    <row r="180" spans="1:22" ht="14.4" customHeight="1">
      <c r="A180" s="101" t="str">
        <f>IF(K180&gt;0,COUNT($A$8:A179)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80" s="610"/>
      <c r="C180" s="611"/>
      <c r="D180" s="274" t="str">
        <f>_xlfn.XLOOKUP(E180,'All Products'!D:D,'All Products'!C:C,FALSE)</f>
        <v>3-A2-3-1-18</v>
      </c>
      <c r="E180" s="103">
        <v>100024429</v>
      </c>
      <c r="F180" s="144" t="str">
        <f>_xlfn.XLOOKUP(E180,'All Products'!D:D,'All Products'!E:E,FALSE)</f>
        <v>1-1/2 SPG X 1-1/2 MPT SU X 18 SJ</v>
      </c>
      <c r="G180" s="103">
        <f>_xlfn.XLOOKUP(E180,'All Products'!D:D,'All Products'!F:F,FALSE)</f>
        <v>10</v>
      </c>
      <c r="H180" s="103">
        <f>_xlfn.XLOOKUP(E180,'All Products'!D:D,'All Products'!G:G,FALSE)</f>
        <v>180</v>
      </c>
      <c r="I180" s="140">
        <f>_xlfn.XLOOKUP(E180,'All Products'!D:D,'All Products'!H:H,FALSE)</f>
        <v>176.71</v>
      </c>
      <c r="J180" s="173">
        <f>ROUNDUP(I180*Order_Quote!$L$26,2)</f>
        <v>176.71</v>
      </c>
      <c r="K180" s="75"/>
      <c r="L180" s="113"/>
      <c r="M180" s="171">
        <f t="shared" si="2"/>
        <v>0</v>
      </c>
      <c r="O180" s="215" t="str">
        <f>_xlfn.XLOOKUP(E180,'All Products'!D:D,'All Products'!I:I,FALSE)</f>
        <v>Within 3 Weeks</v>
      </c>
      <c r="P180" s="215" t="str">
        <f>_xlfn.XLOOKUP(E180,'All Products'!D:D,'All Products'!J:J,FALSE)</f>
        <v>Manufactured</v>
      </c>
      <c r="Q180" s="266">
        <f>_xlfn.XLOOKUP(E180,'All Products'!D:D,'All Products'!K:K,FALSE)</f>
        <v>49081028145</v>
      </c>
      <c r="R180" s="266" t="str">
        <f>_xlfn.XLOOKUP(E180,'All Products'!D:D,'All Products'!L:L,FALSE)</f>
        <v>-</v>
      </c>
      <c r="S180" s="266">
        <f>_xlfn.XLOOKUP(E180,'All Products'!D:D,'All Products'!M:M,FALSE)</f>
        <v>40049081028143</v>
      </c>
      <c r="T180" s="264">
        <f>_xlfn.XLOOKUP(E180,'All Products'!D:D,'All Products'!N:N,FALSE)</f>
        <v>2.2440000000000002</v>
      </c>
      <c r="U180" s="264">
        <f>_xlfn.XLOOKUP(E180,'All Products'!D:D,'All Products'!P:P,FALSE)</f>
        <v>24</v>
      </c>
      <c r="V180" s="265">
        <f>_xlfn.XLOOKUP(E180,'All Products'!D:D,'All Products'!Q:Q,FALSE)</f>
        <v>4.38</v>
      </c>
    </row>
    <row r="181" spans="1:22" ht="14.4" customHeight="1">
      <c r="A181" s="101" t="str">
        <f>IF(K181&gt;0,COUNT($A$8:A180)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81" s="610"/>
      <c r="C181" s="611"/>
      <c r="D181" s="274" t="str">
        <f>_xlfn.XLOOKUP(E181,'All Products'!D:D,'All Products'!C:C,FALSE)</f>
        <v>3-A3-21-1-12</v>
      </c>
      <c r="E181" s="103">
        <v>100025021</v>
      </c>
      <c r="F181" s="144" t="str">
        <f>_xlfn.XLOOKUP(E181,'All Products'!D:D,'All Products'!E:E,FALSE)</f>
        <v>2 SPG X 1-1/2 ACME SU X 12 SJ</v>
      </c>
      <c r="G181" s="103">
        <f>_xlfn.XLOOKUP(E181,'All Products'!D:D,'All Products'!F:F,FALSE)</f>
        <v>10</v>
      </c>
      <c r="H181" s="103">
        <f>_xlfn.XLOOKUP(E181,'All Products'!D:D,'All Products'!G:G,FALSE)</f>
        <v>600</v>
      </c>
      <c r="I181" s="140">
        <f>_xlfn.XLOOKUP(E181,'All Products'!D:D,'All Products'!H:H,FALSE)</f>
        <v>165.57</v>
      </c>
      <c r="J181" s="173">
        <f>ROUNDUP(I181*Order_Quote!$L$26,2)</f>
        <v>165.57</v>
      </c>
      <c r="K181" s="75"/>
      <c r="L181" s="113"/>
      <c r="M181" s="171">
        <f t="shared" si="2"/>
        <v>0</v>
      </c>
      <c r="O181" s="215" t="str">
        <f>_xlfn.XLOOKUP(E181,'All Products'!D:D,'All Products'!I:I,FALSE)</f>
        <v>Within 3 Weeks</v>
      </c>
      <c r="P181" s="215" t="str">
        <f>_xlfn.XLOOKUP(E181,'All Products'!D:D,'All Products'!J:J,FALSE)</f>
        <v>Manufactured</v>
      </c>
      <c r="Q181" s="266">
        <f>_xlfn.XLOOKUP(E181,'All Products'!D:D,'All Products'!K:K,FALSE)</f>
        <v>49081030889</v>
      </c>
      <c r="R181" s="266" t="str">
        <f>_xlfn.XLOOKUP(E181,'All Products'!D:D,'All Products'!L:L,FALSE)</f>
        <v>-</v>
      </c>
      <c r="S181" s="266">
        <f>_xlfn.XLOOKUP(E181,'All Products'!D:D,'All Products'!M:M,FALSE)</f>
        <v>40049081030887</v>
      </c>
      <c r="T181" s="264">
        <f>_xlfn.XLOOKUP(E181,'All Products'!D:D,'All Products'!N:N,FALSE)</f>
        <v>1.8340000000000001</v>
      </c>
      <c r="U181" s="264">
        <f>_xlfn.XLOOKUP(E181,'All Products'!D:D,'All Products'!P:P,FALSE)</f>
        <v>20.8</v>
      </c>
      <c r="V181" s="265">
        <f>_xlfn.XLOOKUP(E181,'All Products'!D:D,'All Products'!Q:Q,FALSE)</f>
        <v>1.41</v>
      </c>
    </row>
    <row r="182" spans="1:22" ht="14.4" customHeight="1">
      <c r="A182" s="101" t="str">
        <f>IF(K182&gt;0,COUNT($A$8:A181)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82" s="610"/>
      <c r="C182" s="611"/>
      <c r="D182" s="274" t="str">
        <f>_xlfn.XLOOKUP(E182,'All Products'!D:D,'All Products'!C:C,FALSE)</f>
        <v>3-A3-3-1-12</v>
      </c>
      <c r="E182" s="103">
        <v>100024469</v>
      </c>
      <c r="F182" s="144" t="str">
        <f>_xlfn.XLOOKUP(E182,'All Products'!D:D,'All Products'!E:E,FALSE)</f>
        <v>2 SPG X 1-1/2 MPT SU X 12 SJ</v>
      </c>
      <c r="G182" s="103">
        <f>_xlfn.XLOOKUP(E182,'All Products'!D:D,'All Products'!F:F,FALSE)</f>
        <v>10</v>
      </c>
      <c r="H182" s="103">
        <f>_xlfn.XLOOKUP(E182,'All Products'!D:D,'All Products'!G:G,FALSE)</f>
        <v>180</v>
      </c>
      <c r="I182" s="140">
        <f>_xlfn.XLOOKUP(E182,'All Products'!D:D,'All Products'!H:H,FALSE)</f>
        <v>165.57</v>
      </c>
      <c r="J182" s="173">
        <f>ROUNDUP(I182*Order_Quote!$L$26,2)</f>
        <v>165.57</v>
      </c>
      <c r="K182" s="75"/>
      <c r="L182" s="113"/>
      <c r="M182" s="171">
        <f t="shared" si="2"/>
        <v>0</v>
      </c>
      <c r="O182" s="215" t="str">
        <f>_xlfn.XLOOKUP(E182,'All Products'!D:D,'All Products'!I:I,FALSE)</f>
        <v>Within 3 Weeks</v>
      </c>
      <c r="P182" s="215" t="str">
        <f>_xlfn.XLOOKUP(E182,'All Products'!D:D,'All Products'!J:J,FALSE)</f>
        <v>Manufactured</v>
      </c>
      <c r="Q182" s="266">
        <f>_xlfn.XLOOKUP(E182,'All Products'!D:D,'All Products'!K:K,FALSE)</f>
        <v>49081028404</v>
      </c>
      <c r="R182" s="266" t="str">
        <f>_xlfn.XLOOKUP(E182,'All Products'!D:D,'All Products'!L:L,FALSE)</f>
        <v>-</v>
      </c>
      <c r="S182" s="266">
        <f>_xlfn.XLOOKUP(E182,'All Products'!D:D,'All Products'!M:M,FALSE)</f>
        <v>40049081028402</v>
      </c>
      <c r="T182" s="264">
        <f>_xlfn.XLOOKUP(E182,'All Products'!D:D,'All Products'!N:N,FALSE)</f>
        <v>1.7789999999999999</v>
      </c>
      <c r="U182" s="264">
        <f>_xlfn.XLOOKUP(E182,'All Products'!D:D,'All Products'!P:P,FALSE)</f>
        <v>20.350000000000001</v>
      </c>
      <c r="V182" s="265">
        <f>_xlfn.XLOOKUP(E182,'All Products'!D:D,'All Products'!Q:Q,FALSE)</f>
        <v>2.65</v>
      </c>
    </row>
    <row r="183" spans="1:22" ht="14.4" customHeight="1">
      <c r="A183" s="101" t="str">
        <f>IF(K183&gt;0,COUNT($A$8:A182)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83" s="610"/>
      <c r="C183" s="611"/>
      <c r="D183" s="274" t="str">
        <f>_xlfn.XLOOKUP(E183,'All Products'!D:D,'All Products'!C:C,FALSE)</f>
        <v>3-A4-1-1-18</v>
      </c>
      <c r="E183" s="103">
        <v>100024501</v>
      </c>
      <c r="F183" s="144" t="str">
        <f>_xlfn.XLOOKUP(E183,'All Products'!D:D,'All Products'!E:E,FALSE)</f>
        <v>1-1/2 SOC X 1-1/2 SOC SU X 18 SJ</v>
      </c>
      <c r="G183" s="103">
        <f>_xlfn.XLOOKUP(E183,'All Products'!D:D,'All Products'!F:F,FALSE)</f>
        <v>10</v>
      </c>
      <c r="H183" s="103" t="str">
        <f>_xlfn.XLOOKUP(E183,'All Products'!D:D,'All Products'!G:G,FALSE)</f>
        <v>-</v>
      </c>
      <c r="I183" s="140">
        <f>_xlfn.XLOOKUP(E183,'All Products'!D:D,'All Products'!H:H,FALSE)</f>
        <v>176.71</v>
      </c>
      <c r="J183" s="173">
        <f>ROUNDUP(I183*Order_Quote!$L$26,2)</f>
        <v>176.71</v>
      </c>
      <c r="K183" s="75"/>
      <c r="L183" s="113"/>
      <c r="M183" s="171">
        <f t="shared" si="2"/>
        <v>0</v>
      </c>
      <c r="O183" s="215" t="str">
        <f>_xlfn.XLOOKUP(E183,'All Products'!D:D,'All Products'!I:I,FALSE)</f>
        <v>Within 3 Weeks</v>
      </c>
      <c r="P183" s="215" t="str">
        <f>_xlfn.XLOOKUP(E183,'All Products'!D:D,'All Products'!J:J,FALSE)</f>
        <v>Manufactured</v>
      </c>
      <c r="Q183" s="266">
        <f>_xlfn.XLOOKUP(E183,'All Products'!D:D,'All Products'!K:K,FALSE)</f>
        <v>49081028725</v>
      </c>
      <c r="R183" s="266" t="str">
        <f>_xlfn.XLOOKUP(E183,'All Products'!D:D,'All Products'!L:L,FALSE)</f>
        <v>-</v>
      </c>
      <c r="S183" s="266">
        <f>_xlfn.XLOOKUP(E183,'All Products'!D:D,'All Products'!M:M,FALSE)</f>
        <v>40049081028723</v>
      </c>
      <c r="T183" s="264">
        <f>_xlfn.XLOOKUP(E183,'All Products'!D:D,'All Products'!N:N,FALSE)</f>
        <v>2.339</v>
      </c>
      <c r="U183" s="264">
        <f>_xlfn.XLOOKUP(E183,'All Products'!D:D,'All Products'!P:P,FALSE)</f>
        <v>13.1</v>
      </c>
      <c r="V183" s="265" t="str">
        <f>_xlfn.XLOOKUP(E183,'All Products'!D:D,'All Products'!Q:Q,FALSE)</f>
        <v>-</v>
      </c>
    </row>
    <row r="184" spans="1:22" ht="14.4" customHeight="1">
      <c r="A184" s="101" t="str">
        <f>IF(K184&gt;0,COUNT($A$8:A183)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84" s="610"/>
      <c r="C184" s="611"/>
      <c r="D184" s="274" t="str">
        <f>_xlfn.XLOOKUP(E184,'All Products'!D:D,'All Products'!C:C,FALSE)</f>
        <v>3-A4-3-1-12</v>
      </c>
      <c r="E184" s="103">
        <v>100024507</v>
      </c>
      <c r="F184" s="144" t="str">
        <f>_xlfn.XLOOKUP(E184,'All Products'!D:D,'All Products'!E:E,FALSE)</f>
        <v>1-1/2 SOC X 1-1/2 MPT SU X 12 SJ</v>
      </c>
      <c r="G184" s="103">
        <f>_xlfn.XLOOKUP(E184,'All Products'!D:D,'All Products'!F:F,FALSE)</f>
        <v>10</v>
      </c>
      <c r="H184" s="103">
        <f>_xlfn.XLOOKUP(E184,'All Products'!D:D,'All Products'!G:G,FALSE)</f>
        <v>600</v>
      </c>
      <c r="I184" s="140">
        <f>_xlfn.XLOOKUP(E184,'All Products'!D:D,'All Products'!H:H,FALSE)</f>
        <v>165.57</v>
      </c>
      <c r="J184" s="173">
        <f>ROUNDUP(I184*Order_Quote!$L$26,2)</f>
        <v>165.57</v>
      </c>
      <c r="K184" s="75"/>
      <c r="L184" s="113"/>
      <c r="M184" s="171">
        <f t="shared" si="2"/>
        <v>0</v>
      </c>
      <c r="O184" s="215" t="str">
        <f>_xlfn.XLOOKUP(E184,'All Products'!D:D,'All Products'!I:I,FALSE)</f>
        <v>Within 3 Weeks</v>
      </c>
      <c r="P184" s="215" t="str">
        <f>_xlfn.XLOOKUP(E184,'All Products'!D:D,'All Products'!J:J,FALSE)</f>
        <v>Manufactured</v>
      </c>
      <c r="Q184" s="266">
        <f>_xlfn.XLOOKUP(E184,'All Products'!D:D,'All Products'!K:K,FALSE)</f>
        <v>49081022891</v>
      </c>
      <c r="R184" s="266" t="str">
        <f>_xlfn.XLOOKUP(E184,'All Products'!D:D,'All Products'!L:L,FALSE)</f>
        <v>-</v>
      </c>
      <c r="S184" s="266">
        <f>_xlfn.XLOOKUP(E184,'All Products'!D:D,'All Products'!M:M,FALSE)</f>
        <v>40049081022899</v>
      </c>
      <c r="T184" s="264">
        <f>_xlfn.XLOOKUP(E184,'All Products'!D:D,'All Products'!N:N,FALSE)</f>
        <v>1.944</v>
      </c>
      <c r="U184" s="264">
        <f>_xlfn.XLOOKUP(E184,'All Products'!D:D,'All Products'!P:P,FALSE)</f>
        <v>20.58</v>
      </c>
      <c r="V184" s="265">
        <f>_xlfn.XLOOKUP(E184,'All Products'!D:D,'All Products'!Q:Q,FALSE)</f>
        <v>1.41</v>
      </c>
    </row>
    <row r="185" spans="1:22" ht="14.4" customHeight="1">
      <c r="A185" s="101" t="str">
        <f>IF(K185&gt;0,COUNT($A$8:A184)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85" s="610"/>
      <c r="C185" s="611"/>
      <c r="D185" s="274" t="str">
        <f>_xlfn.XLOOKUP(E185,'All Products'!D:D,'All Products'!C:C,FALSE)</f>
        <v>3-A5-21-1-12</v>
      </c>
      <c r="E185" s="103">
        <v>100024520</v>
      </c>
      <c r="F185" s="144" t="str">
        <f>_xlfn.XLOOKUP(E185,'All Products'!D:D,'All Products'!E:E,FALSE)</f>
        <v>2 SOC X 1-1/2 ACME SU X 12 SJ</v>
      </c>
      <c r="G185" s="103">
        <f>_xlfn.XLOOKUP(E185,'All Products'!D:D,'All Products'!F:F,FALSE)</f>
        <v>10</v>
      </c>
      <c r="H185" s="103">
        <f>_xlfn.XLOOKUP(E185,'All Products'!D:D,'All Products'!G:G,FALSE)</f>
        <v>600</v>
      </c>
      <c r="I185" s="140">
        <f>_xlfn.XLOOKUP(E185,'All Products'!D:D,'All Products'!H:H,FALSE)</f>
        <v>165.57</v>
      </c>
      <c r="J185" s="173">
        <f>ROUNDUP(I185*Order_Quote!$L$26,2)</f>
        <v>165.57</v>
      </c>
      <c r="K185" s="75"/>
      <c r="L185" s="113"/>
      <c r="M185" s="171">
        <f t="shared" si="2"/>
        <v>0</v>
      </c>
      <c r="O185" s="215" t="str">
        <f>_xlfn.XLOOKUP(E185,'All Products'!D:D,'All Products'!I:I,FALSE)</f>
        <v>Within 3 Weeks</v>
      </c>
      <c r="P185" s="215" t="str">
        <f>_xlfn.XLOOKUP(E185,'All Products'!D:D,'All Products'!J:J,FALSE)</f>
        <v>Manufactured</v>
      </c>
      <c r="Q185" s="266">
        <f>_xlfn.XLOOKUP(E185,'All Products'!D:D,'All Products'!K:K,FALSE)</f>
        <v>49081030773</v>
      </c>
      <c r="R185" s="266" t="str">
        <f>_xlfn.XLOOKUP(E185,'All Products'!D:D,'All Products'!L:L,FALSE)</f>
        <v>-</v>
      </c>
      <c r="S185" s="266">
        <f>_xlfn.XLOOKUP(E185,'All Products'!D:D,'All Products'!M:M,FALSE)</f>
        <v>40049081030771</v>
      </c>
      <c r="T185" s="264">
        <f>_xlfn.XLOOKUP(E185,'All Products'!D:D,'All Products'!N:N,FALSE)</f>
        <v>2.0089999999999999</v>
      </c>
      <c r="U185" s="264">
        <f>_xlfn.XLOOKUP(E185,'All Products'!D:D,'All Products'!P:P,FALSE)</f>
        <v>20.63</v>
      </c>
      <c r="V185" s="265">
        <f>_xlfn.XLOOKUP(E185,'All Products'!D:D,'All Products'!Q:Q,FALSE)</f>
        <v>1.41</v>
      </c>
    </row>
    <row r="186" spans="1:22" ht="14.4" customHeight="1">
      <c r="A186" s="101" t="str">
        <f>IF(K186&gt;0,COUNT($A$8:A185)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86" s="610"/>
      <c r="C186" s="611"/>
      <c r="D186" s="274" t="str">
        <f>_xlfn.XLOOKUP(E186,'All Products'!D:D,'All Products'!C:C,FALSE)</f>
        <v>3-A8-21-1-12</v>
      </c>
      <c r="E186" s="103">
        <v>100025034</v>
      </c>
      <c r="F186" s="144" t="str">
        <f>_xlfn.XLOOKUP(E186,'All Products'!D:D,'All Products'!E:E,FALSE)</f>
        <v>4 SPG X 1-1/2 ACME SU X 12 SJ</v>
      </c>
      <c r="G186" s="103">
        <f>_xlfn.XLOOKUP(E186,'All Products'!D:D,'All Products'!F:F,FALSE)</f>
        <v>10</v>
      </c>
      <c r="H186" s="103">
        <f>_xlfn.XLOOKUP(E186,'All Products'!D:D,'All Products'!G:G,FALSE)</f>
        <v>180</v>
      </c>
      <c r="I186" s="140">
        <f>_xlfn.XLOOKUP(E186,'All Products'!D:D,'All Products'!H:H,FALSE)</f>
        <v>165.57</v>
      </c>
      <c r="J186" s="173">
        <f>ROUNDUP(I186*Order_Quote!$L$26,2)</f>
        <v>165.57</v>
      </c>
      <c r="K186" s="75"/>
      <c r="L186" s="113"/>
      <c r="M186" s="171">
        <f t="shared" si="2"/>
        <v>0</v>
      </c>
      <c r="O186" s="215" t="str">
        <f>_xlfn.XLOOKUP(E186,'All Products'!D:D,'All Products'!I:I,FALSE)</f>
        <v>Within 3 Weeks</v>
      </c>
      <c r="P186" s="215" t="str">
        <f>_xlfn.XLOOKUP(E186,'All Products'!D:D,'All Products'!J:J,FALSE)</f>
        <v>Manufactured</v>
      </c>
      <c r="Q186" s="266">
        <f>_xlfn.XLOOKUP(E186,'All Products'!D:D,'All Products'!K:K,FALSE)</f>
        <v>49081022105</v>
      </c>
      <c r="R186" s="266" t="str">
        <f>_xlfn.XLOOKUP(E186,'All Products'!D:D,'All Products'!L:L,FALSE)</f>
        <v>-</v>
      </c>
      <c r="S186" s="266">
        <f>_xlfn.XLOOKUP(E186,'All Products'!D:D,'All Products'!M:M,FALSE)</f>
        <v>40049081022103</v>
      </c>
      <c r="T186" s="264">
        <f>_xlfn.XLOOKUP(E186,'All Products'!D:D,'All Products'!N:N,FALSE)</f>
        <v>2.0990000000000002</v>
      </c>
      <c r="U186" s="264">
        <f>_xlfn.XLOOKUP(E186,'All Products'!D:D,'All Products'!P:P,FALSE)</f>
        <v>21.94</v>
      </c>
      <c r="V186" s="265">
        <f>_xlfn.XLOOKUP(E186,'All Products'!D:D,'All Products'!Q:Q,FALSE)</f>
        <v>2.65</v>
      </c>
    </row>
    <row r="187" spans="1:22" ht="14.4" customHeight="1">
      <c r="A187" s="101" t="str">
        <f>IF(K187&gt;0,COUNT($A$8:A186)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87" s="610"/>
      <c r="C187" s="611"/>
      <c r="D187" s="274" t="str">
        <f>_xlfn.XLOOKUP(E187,'All Products'!D:D,'All Products'!C:C,FALSE)</f>
        <v>3-A8-21-1-18</v>
      </c>
      <c r="E187" s="103">
        <v>100024534</v>
      </c>
      <c r="F187" s="144" t="str">
        <f>_xlfn.XLOOKUP(E187,'All Products'!D:D,'All Products'!E:E,FALSE)</f>
        <v>4 SPG X 1-1/2 ACME SU X 18 SJ</v>
      </c>
      <c r="G187" s="103">
        <f>_xlfn.XLOOKUP(E187,'All Products'!D:D,'All Products'!F:F,FALSE)</f>
        <v>10</v>
      </c>
      <c r="H187" s="103">
        <f>_xlfn.XLOOKUP(E187,'All Products'!D:D,'All Products'!G:G,FALSE)</f>
        <v>240</v>
      </c>
      <c r="I187" s="140">
        <f>_xlfn.XLOOKUP(E187,'All Products'!D:D,'All Products'!H:H,FALSE)</f>
        <v>176.71</v>
      </c>
      <c r="J187" s="173">
        <f>ROUNDUP(I187*Order_Quote!$L$26,2)</f>
        <v>176.71</v>
      </c>
      <c r="K187" s="75"/>
      <c r="L187" s="113"/>
      <c r="M187" s="171">
        <f t="shared" si="2"/>
        <v>0</v>
      </c>
      <c r="O187" s="215" t="str">
        <f>_xlfn.XLOOKUP(E187,'All Products'!D:D,'All Products'!I:I,FALSE)</f>
        <v>Within 3 Weeks</v>
      </c>
      <c r="P187" s="215" t="str">
        <f>_xlfn.XLOOKUP(E187,'All Products'!D:D,'All Products'!J:J,FALSE)</f>
        <v>Manufactured</v>
      </c>
      <c r="Q187" s="266">
        <f>_xlfn.XLOOKUP(E187,'All Products'!D:D,'All Products'!K:K,FALSE)</f>
        <v>49081022129</v>
      </c>
      <c r="R187" s="266" t="str">
        <f>_xlfn.XLOOKUP(E187,'All Products'!D:D,'All Products'!L:L,FALSE)</f>
        <v>-</v>
      </c>
      <c r="S187" s="266">
        <f>_xlfn.XLOOKUP(E187,'All Products'!D:D,'All Products'!M:M,FALSE)</f>
        <v>40049081022127</v>
      </c>
      <c r="T187" s="264">
        <f>_xlfn.XLOOKUP(E187,'All Products'!D:D,'All Products'!N:N,FALSE)</f>
        <v>2.4140000000000001</v>
      </c>
      <c r="U187" s="264">
        <f>_xlfn.XLOOKUP(E187,'All Products'!D:D,'All Products'!P:P,FALSE)</f>
        <v>25.55</v>
      </c>
      <c r="V187" s="265">
        <f>_xlfn.XLOOKUP(E187,'All Products'!D:D,'All Products'!Q:Q,FALSE)</f>
        <v>2.77</v>
      </c>
    </row>
    <row r="188" spans="1:22" ht="14.4" customHeight="1">
      <c r="A188" s="101" t="str">
        <f>IF(K188&gt;0,COUNT($A$8:A187)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88" s="610"/>
      <c r="C188" s="611"/>
      <c r="D188" s="274" t="str">
        <f>_xlfn.XLOOKUP(E188,'All Products'!D:D,'All Products'!C:C,FALSE)</f>
        <v>3-A8-3-1-12</v>
      </c>
      <c r="E188" s="103">
        <v>100025036</v>
      </c>
      <c r="F188" s="144" t="str">
        <f>_xlfn.XLOOKUP(E188,'All Products'!D:D,'All Products'!E:E,FALSE)</f>
        <v>4 SPG X 1-1/2 MPT SU X 12 SJ</v>
      </c>
      <c r="G188" s="103">
        <f>_xlfn.XLOOKUP(E188,'All Products'!D:D,'All Products'!F:F,FALSE)</f>
        <v>10</v>
      </c>
      <c r="H188" s="103">
        <f>_xlfn.XLOOKUP(E188,'All Products'!D:D,'All Products'!G:G,FALSE)</f>
        <v>180</v>
      </c>
      <c r="I188" s="140">
        <f>_xlfn.XLOOKUP(E188,'All Products'!D:D,'All Products'!H:H,FALSE)</f>
        <v>165.57</v>
      </c>
      <c r="J188" s="173">
        <f>ROUNDUP(I188*Order_Quote!$L$26,2)</f>
        <v>165.57</v>
      </c>
      <c r="K188" s="75"/>
      <c r="L188" s="113"/>
      <c r="M188" s="171">
        <f t="shared" si="2"/>
        <v>0</v>
      </c>
      <c r="O188" s="215" t="str">
        <f>_xlfn.XLOOKUP(E188,'All Products'!D:D,'All Products'!I:I,FALSE)</f>
        <v>Within 3 Weeks</v>
      </c>
      <c r="P188" s="215" t="str">
        <f>_xlfn.XLOOKUP(E188,'All Products'!D:D,'All Products'!J:J,FALSE)</f>
        <v>Manufactured</v>
      </c>
      <c r="Q188" s="266">
        <f>_xlfn.XLOOKUP(E188,'All Products'!D:D,'All Products'!K:K,FALSE)</f>
        <v>49081021801</v>
      </c>
      <c r="R188" s="266" t="str">
        <f>_xlfn.XLOOKUP(E188,'All Products'!D:D,'All Products'!L:L,FALSE)</f>
        <v>-</v>
      </c>
      <c r="S188" s="266">
        <f>_xlfn.XLOOKUP(E188,'All Products'!D:D,'All Products'!M:M,FALSE)</f>
        <v>40049081021809</v>
      </c>
      <c r="T188" s="264">
        <f>_xlfn.XLOOKUP(E188,'All Products'!D:D,'All Products'!N:N,FALSE)</f>
        <v>2.044</v>
      </c>
      <c r="U188" s="264">
        <f>_xlfn.XLOOKUP(E188,'All Products'!D:D,'All Products'!P:P,FALSE)</f>
        <v>22.5</v>
      </c>
      <c r="V188" s="265">
        <f>_xlfn.XLOOKUP(E188,'All Products'!D:D,'All Products'!Q:Q,FALSE)</f>
        <v>2.65</v>
      </c>
    </row>
    <row r="189" spans="1:22" ht="14.4" customHeight="1">
      <c r="A189" s="101" t="str">
        <f>IF(K189&gt;0,COUNT($A$8:A188)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89" s="610"/>
      <c r="C189" s="611"/>
      <c r="D189" s="274" t="str">
        <f>_xlfn.XLOOKUP(E189,'All Products'!D:D,'All Products'!C:C,FALSE)</f>
        <v>3-A8-3-1-14</v>
      </c>
      <c r="E189" s="103">
        <v>100024539</v>
      </c>
      <c r="F189" s="144" t="str">
        <f>_xlfn.XLOOKUP(E189,'All Products'!D:D,'All Products'!E:E,FALSE)</f>
        <v>4 SPG X 1-1/2 MIPT SU X 14LL SJ</v>
      </c>
      <c r="G189" s="103">
        <f>_xlfn.XLOOKUP(E189,'All Products'!D:D,'All Products'!F:F,FALSE)</f>
        <v>10</v>
      </c>
      <c r="H189" s="103">
        <f>_xlfn.XLOOKUP(E189,'All Products'!D:D,'All Products'!G:G,FALSE)</f>
        <v>240</v>
      </c>
      <c r="I189" s="140">
        <f>_xlfn.XLOOKUP(E189,'All Products'!D:D,'All Products'!H:H,FALSE)</f>
        <v>176.71</v>
      </c>
      <c r="J189" s="173">
        <f>ROUNDUP(I189*Order_Quote!$L$26,2)</f>
        <v>176.71</v>
      </c>
      <c r="K189" s="75"/>
      <c r="L189" s="113"/>
      <c r="M189" s="171">
        <f t="shared" si="2"/>
        <v>0</v>
      </c>
      <c r="O189" s="215" t="str">
        <f>_xlfn.XLOOKUP(E189,'All Products'!D:D,'All Products'!I:I,FALSE)</f>
        <v>Within 3 Weeks</v>
      </c>
      <c r="P189" s="215" t="str">
        <f>_xlfn.XLOOKUP(E189,'All Products'!D:D,'All Products'!J:J,FALSE)</f>
        <v>Manufactured</v>
      </c>
      <c r="Q189" s="266">
        <f>_xlfn.XLOOKUP(E189,'All Products'!D:D,'All Products'!K:K,FALSE)</f>
        <v>49081029609</v>
      </c>
      <c r="R189" s="266" t="str">
        <f>_xlfn.XLOOKUP(E189,'All Products'!D:D,'All Products'!L:L,FALSE)</f>
        <v>-</v>
      </c>
      <c r="S189" s="266">
        <f>_xlfn.XLOOKUP(E189,'All Products'!D:D,'All Products'!M:M,FALSE)</f>
        <v>40049081029607</v>
      </c>
      <c r="T189" s="264">
        <f>_xlfn.XLOOKUP(E189,'All Products'!D:D,'All Products'!N:N,FALSE)</f>
        <v>2.133</v>
      </c>
      <c r="U189" s="264">
        <f>_xlfn.XLOOKUP(E189,'All Products'!D:D,'All Products'!P:P,FALSE)</f>
        <v>23.3</v>
      </c>
      <c r="V189" s="265">
        <f>_xlfn.XLOOKUP(E189,'All Products'!D:D,'All Products'!Q:Q,FALSE)</f>
        <v>2.77</v>
      </c>
    </row>
    <row r="190" spans="1:22" ht="14.4" customHeight="1">
      <c r="A190" s="101" t="str">
        <f>IF(K190&gt;0,COUNT($A$8:A189)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90" s="610"/>
      <c r="C190" s="611"/>
      <c r="D190" s="274" t="str">
        <f>_xlfn.XLOOKUP(E190,'All Products'!D:D,'All Products'!C:C,FALSE)</f>
        <v>3-A8-3-1-16</v>
      </c>
      <c r="E190" s="103">
        <v>100024540</v>
      </c>
      <c r="F190" s="144" t="str">
        <f>_xlfn.XLOOKUP(E190,'All Products'!D:D,'All Products'!E:E,FALSE)</f>
        <v>1-1/2(4)SPGX1-1/2MPT SUX16LL SJ</v>
      </c>
      <c r="G190" s="103">
        <f>_xlfn.XLOOKUP(E190,'All Products'!D:D,'All Products'!F:F,FALSE)</f>
        <v>10</v>
      </c>
      <c r="H190" s="103">
        <f>_xlfn.XLOOKUP(E190,'All Products'!D:D,'All Products'!G:G,FALSE)</f>
        <v>240</v>
      </c>
      <c r="I190" s="140">
        <f>_xlfn.XLOOKUP(E190,'All Products'!D:D,'All Products'!H:H,FALSE)</f>
        <v>176.71</v>
      </c>
      <c r="J190" s="173">
        <f>ROUNDUP(I190*Order_Quote!$L$26,2)</f>
        <v>176.71</v>
      </c>
      <c r="K190" s="75"/>
      <c r="L190" s="113"/>
      <c r="M190" s="171">
        <f t="shared" si="2"/>
        <v>0</v>
      </c>
      <c r="O190" s="215" t="str">
        <f>_xlfn.XLOOKUP(E190,'All Products'!D:D,'All Products'!I:I,FALSE)</f>
        <v>Within 3 Weeks</v>
      </c>
      <c r="P190" s="215" t="str">
        <f>_xlfn.XLOOKUP(E190,'All Products'!D:D,'All Products'!J:J,FALSE)</f>
        <v>Manufactured</v>
      </c>
      <c r="Q190" s="266">
        <f>_xlfn.XLOOKUP(E190,'All Products'!D:D,'All Products'!K:K,FALSE)</f>
        <v>49081029029</v>
      </c>
      <c r="R190" s="266" t="str">
        <f>_xlfn.XLOOKUP(E190,'All Products'!D:D,'All Products'!L:L,FALSE)</f>
        <v>-</v>
      </c>
      <c r="S190" s="266">
        <f>_xlfn.XLOOKUP(E190,'All Products'!D:D,'All Products'!M:M,FALSE)</f>
        <v>40049081029027</v>
      </c>
      <c r="T190" s="264">
        <f>_xlfn.XLOOKUP(E190,'All Products'!D:D,'All Products'!N:N,FALSE)</f>
        <v>2.2629999999999999</v>
      </c>
      <c r="U190" s="264">
        <f>_xlfn.XLOOKUP(E190,'All Products'!D:D,'All Products'!P:P,FALSE)</f>
        <v>24.3</v>
      </c>
      <c r="V190" s="265">
        <f>_xlfn.XLOOKUP(E190,'All Products'!D:D,'All Products'!Q:Q,FALSE)</f>
        <v>2.77</v>
      </c>
    </row>
    <row r="191" spans="1:22" ht="14.4" customHeight="1">
      <c r="A191" s="101" t="str">
        <f>IF(K191&gt;0,COUNT($A$8:A190)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91" s="610"/>
      <c r="C191" s="611"/>
      <c r="D191" s="274" t="str">
        <f>_xlfn.XLOOKUP(E191,'All Products'!D:D,'All Products'!C:C,FALSE)</f>
        <v>3-A8-3-1-18</v>
      </c>
      <c r="E191" s="103">
        <v>100024541</v>
      </c>
      <c r="F191" s="144" t="str">
        <f>_xlfn.XLOOKUP(E191,'All Products'!D:D,'All Products'!E:E,FALSE)</f>
        <v>4 SPG X 1-1/2 MPT SU X 18LL SJ</v>
      </c>
      <c r="G191" s="103">
        <f>_xlfn.XLOOKUP(E191,'All Products'!D:D,'All Products'!F:F,FALSE)</f>
        <v>10</v>
      </c>
      <c r="H191" s="103">
        <f>_xlfn.XLOOKUP(E191,'All Products'!D:D,'All Products'!G:G,FALSE)</f>
        <v>240</v>
      </c>
      <c r="I191" s="140">
        <f>_xlfn.XLOOKUP(E191,'All Products'!D:D,'All Products'!H:H,FALSE)</f>
        <v>176.71</v>
      </c>
      <c r="J191" s="173">
        <f>ROUNDUP(I191*Order_Quote!$L$26,2)</f>
        <v>176.71</v>
      </c>
      <c r="K191" s="75"/>
      <c r="L191" s="113"/>
      <c r="M191" s="171">
        <f t="shared" si="2"/>
        <v>0</v>
      </c>
      <c r="O191" s="215" t="str">
        <f>_xlfn.XLOOKUP(E191,'All Products'!D:D,'All Products'!I:I,FALSE)</f>
        <v>Within 3 Weeks</v>
      </c>
      <c r="P191" s="215" t="str">
        <f>_xlfn.XLOOKUP(E191,'All Products'!D:D,'All Products'!J:J,FALSE)</f>
        <v>Manufactured</v>
      </c>
      <c r="Q191" s="266">
        <f>_xlfn.XLOOKUP(E191,'All Products'!D:D,'All Products'!K:K,FALSE)</f>
        <v>49081021818</v>
      </c>
      <c r="R191" s="266" t="str">
        <f>_xlfn.XLOOKUP(E191,'All Products'!D:D,'All Products'!L:L,FALSE)</f>
        <v>-</v>
      </c>
      <c r="S191" s="266">
        <f>_xlfn.XLOOKUP(E191,'All Products'!D:D,'All Products'!M:M,FALSE)</f>
        <v>40049081021816</v>
      </c>
      <c r="T191" s="264">
        <f>_xlfn.XLOOKUP(E191,'All Products'!D:D,'All Products'!N:N,FALSE)</f>
        <v>2.359</v>
      </c>
      <c r="U191" s="264">
        <f>_xlfn.XLOOKUP(E191,'All Products'!D:D,'All Products'!P:P,FALSE)</f>
        <v>25.6</v>
      </c>
      <c r="V191" s="265">
        <f>_xlfn.XLOOKUP(E191,'All Products'!D:D,'All Products'!Q:Q,FALSE)</f>
        <v>2.77</v>
      </c>
    </row>
    <row r="192" spans="1:22" ht="14.4" customHeight="1">
      <c r="A192" s="101" t="str">
        <f>IF(K192&gt;0,COUNT($A$8:A191)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92" s="610"/>
      <c r="C192" s="611"/>
      <c r="D192" s="274" t="str">
        <f>_xlfn.XLOOKUP(E192,'All Products'!D:D,'All Products'!C:C,FALSE)</f>
        <v>3-AF-21-1-12</v>
      </c>
      <c r="E192" s="103">
        <v>100025048</v>
      </c>
      <c r="F192" s="144" t="str">
        <f>_xlfn.XLOOKUP(E192,'All Products'!D:D,'All Products'!E:E,FALSE)</f>
        <v>1-1/2 AQFS X 1-1/2 ACME SU X 12 SJ</v>
      </c>
      <c r="G192" s="103">
        <f>_xlfn.XLOOKUP(E192,'All Products'!D:D,'All Products'!F:F,FALSE)</f>
        <v>10</v>
      </c>
      <c r="H192" s="103">
        <f>_xlfn.XLOOKUP(E192,'All Products'!D:D,'All Products'!G:G,FALSE)</f>
        <v>180</v>
      </c>
      <c r="I192" s="140">
        <f>_xlfn.XLOOKUP(E192,'All Products'!D:D,'All Products'!H:H,FALSE)</f>
        <v>210.6</v>
      </c>
      <c r="J192" s="173">
        <f>ROUNDUP(I192*Order_Quote!$L$26,2)</f>
        <v>210.6</v>
      </c>
      <c r="K192" s="75"/>
      <c r="L192" s="113"/>
      <c r="M192" s="171">
        <f t="shared" si="2"/>
        <v>0</v>
      </c>
      <c r="O192" s="215" t="str">
        <f>_xlfn.XLOOKUP(E192,'All Products'!D:D,'All Products'!I:I,FALSE)</f>
        <v>Within 3 Weeks</v>
      </c>
      <c r="P192" s="215" t="str">
        <f>_xlfn.XLOOKUP(E192,'All Products'!D:D,'All Products'!J:J,FALSE)</f>
        <v>Manufactured</v>
      </c>
      <c r="Q192" s="266">
        <f>_xlfn.XLOOKUP(E192,'All Products'!D:D,'All Products'!K:K,FALSE)</f>
        <v>49081031541</v>
      </c>
      <c r="R192" s="266" t="str">
        <f>_xlfn.XLOOKUP(E192,'All Products'!D:D,'All Products'!L:L,FALSE)</f>
        <v>-</v>
      </c>
      <c r="S192" s="266">
        <f>_xlfn.XLOOKUP(E192,'All Products'!D:D,'All Products'!M:M,FALSE)</f>
        <v>40049081031549</v>
      </c>
      <c r="T192" s="264">
        <f>_xlfn.XLOOKUP(E192,'All Products'!D:D,'All Products'!N:N,FALSE)</f>
        <v>2.444</v>
      </c>
      <c r="U192" s="264">
        <f>_xlfn.XLOOKUP(E192,'All Products'!D:D,'All Products'!P:P,FALSE)</f>
        <v>20.9</v>
      </c>
      <c r="V192" s="265">
        <f>_xlfn.XLOOKUP(E192,'All Products'!D:D,'All Products'!Q:Q,FALSE)</f>
        <v>2.65</v>
      </c>
    </row>
    <row r="193" spans="1:22" ht="14.4" customHeight="1">
      <c r="A193" s="101" t="str">
        <f>IF(K193&gt;0,COUNT($A$8:A192)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93" s="610"/>
      <c r="C193" s="611"/>
      <c r="D193" s="274" t="str">
        <f>_xlfn.XLOOKUP(E193,'All Products'!D:D,'All Products'!C:C,FALSE)</f>
        <v>3-AF-2-11-12</v>
      </c>
      <c r="E193" s="103">
        <v>100025049</v>
      </c>
      <c r="F193" s="144" t="str">
        <f>_xlfn.XLOOKUP(E193,'All Products'!D:D,'All Products'!E:E,FALSE)</f>
        <v>1-1/2AQFS X 1-1/2BRS MPT SU X12 SJ</v>
      </c>
      <c r="G193" s="103">
        <f>_xlfn.XLOOKUP(E193,'All Products'!D:D,'All Products'!F:F,FALSE)</f>
        <v>10</v>
      </c>
      <c r="H193" s="103">
        <f>_xlfn.XLOOKUP(E193,'All Products'!D:D,'All Products'!G:G,FALSE)</f>
        <v>180</v>
      </c>
      <c r="I193" s="140">
        <f>_xlfn.XLOOKUP(E193,'All Products'!D:D,'All Products'!H:H,FALSE)</f>
        <v>343.34</v>
      </c>
      <c r="J193" s="173">
        <f>ROUNDUP(I193*Order_Quote!$L$26,2)</f>
        <v>343.34</v>
      </c>
      <c r="K193" s="75"/>
      <c r="L193" s="113"/>
      <c r="M193" s="171">
        <f t="shared" si="2"/>
        <v>0</v>
      </c>
      <c r="O193" s="215" t="str">
        <f>_xlfn.XLOOKUP(E193,'All Products'!D:D,'All Products'!I:I,FALSE)</f>
        <v>Within 3 Weeks</v>
      </c>
      <c r="P193" s="215" t="str">
        <f>_xlfn.XLOOKUP(E193,'All Products'!D:D,'All Products'!J:J,FALSE)</f>
        <v>Manufactured</v>
      </c>
      <c r="Q193" s="266">
        <f>_xlfn.XLOOKUP(E193,'All Products'!D:D,'All Products'!K:K,FALSE)</f>
        <v>49081031619</v>
      </c>
      <c r="R193" s="266" t="str">
        <f>_xlfn.XLOOKUP(E193,'All Products'!D:D,'All Products'!L:L,FALSE)</f>
        <v>-</v>
      </c>
      <c r="S193" s="266">
        <f>_xlfn.XLOOKUP(E193,'All Products'!D:D,'All Products'!M:M,FALSE)</f>
        <v>40049081031617</v>
      </c>
      <c r="T193" s="264">
        <f>_xlfn.XLOOKUP(E193,'All Products'!D:D,'All Products'!N:N,FALSE)</f>
        <v>3.153</v>
      </c>
      <c r="U193" s="264">
        <f>_xlfn.XLOOKUP(E193,'All Products'!D:D,'All Products'!P:P,FALSE)</f>
        <v>29.1</v>
      </c>
      <c r="V193" s="265">
        <f>_xlfn.XLOOKUP(E193,'All Products'!D:D,'All Products'!Q:Q,FALSE)</f>
        <v>2.65</v>
      </c>
    </row>
    <row r="194" spans="1:22" ht="14.4" customHeight="1">
      <c r="A194" s="101" t="str">
        <f>IF(K194&gt;0,COUNT($A$8:A193)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94" s="610"/>
      <c r="C194" s="611"/>
      <c r="D194" s="274" t="str">
        <f>_xlfn.XLOOKUP(E194,'All Products'!D:D,'All Products'!C:C,FALSE)</f>
        <v>3-AF-2-11-18</v>
      </c>
      <c r="E194" s="103">
        <v>100025050</v>
      </c>
      <c r="F194" s="144" t="str">
        <f>_xlfn.XLOOKUP(E194,'All Products'!D:D,'All Products'!E:E,FALSE)</f>
        <v>1-1/2AQFS X 1-1/2BRS MPT SU X18 SJ</v>
      </c>
      <c r="G194" s="103">
        <f>_xlfn.XLOOKUP(E194,'All Products'!D:D,'All Products'!F:F,FALSE)</f>
        <v>10</v>
      </c>
      <c r="H194" s="103">
        <f>_xlfn.XLOOKUP(E194,'All Products'!D:D,'All Products'!G:G,FALSE)</f>
        <v>240</v>
      </c>
      <c r="I194" s="140">
        <f>_xlfn.XLOOKUP(E194,'All Products'!D:D,'All Products'!H:H,FALSE)</f>
        <v>358.21</v>
      </c>
      <c r="J194" s="173">
        <f>ROUNDUP(I194*Order_Quote!$L$26,2)</f>
        <v>358.21</v>
      </c>
      <c r="K194" s="75"/>
      <c r="L194" s="113"/>
      <c r="M194" s="171">
        <f t="shared" si="2"/>
        <v>0</v>
      </c>
      <c r="O194" s="215" t="str">
        <f>_xlfn.XLOOKUP(E194,'All Products'!D:D,'All Products'!I:I,FALSE)</f>
        <v>Within 3 Weeks</v>
      </c>
      <c r="P194" s="215" t="str">
        <f>_xlfn.XLOOKUP(E194,'All Products'!D:D,'All Products'!J:J,FALSE)</f>
        <v>Manufactured</v>
      </c>
      <c r="Q194" s="266">
        <f>_xlfn.XLOOKUP(E194,'All Products'!D:D,'All Products'!K:K,FALSE)</f>
        <v>49081031626</v>
      </c>
      <c r="R194" s="266" t="str">
        <f>_xlfn.XLOOKUP(E194,'All Products'!D:D,'All Products'!L:L,FALSE)</f>
        <v>-</v>
      </c>
      <c r="S194" s="266">
        <f>_xlfn.XLOOKUP(E194,'All Products'!D:D,'All Products'!M:M,FALSE)</f>
        <v>40049081031624</v>
      </c>
      <c r="T194" s="264">
        <f>_xlfn.XLOOKUP(E194,'All Products'!D:D,'All Products'!N:N,FALSE)</f>
        <v>3.468</v>
      </c>
      <c r="U194" s="264">
        <f>_xlfn.XLOOKUP(E194,'All Products'!D:D,'All Products'!P:P,FALSE)</f>
        <v>32.799999999999997</v>
      </c>
      <c r="V194" s="265">
        <f>_xlfn.XLOOKUP(E194,'All Products'!D:D,'All Products'!Q:Q,FALSE)</f>
        <v>2.77</v>
      </c>
    </row>
    <row r="195" spans="1:22" ht="14.4" customHeight="1">
      <c r="A195" s="101" t="str">
        <f>IF(K195&gt;0,COUNT($A$8:A194)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95" s="610"/>
      <c r="C195" s="611"/>
      <c r="D195" s="274" t="str">
        <f>_xlfn.XLOOKUP(E195,'All Products'!D:D,'All Products'!C:C,FALSE)</f>
        <v>3-AF-21-1-8</v>
      </c>
      <c r="E195" s="103">
        <v>100025051</v>
      </c>
      <c r="F195" s="144" t="str">
        <f>_xlfn.XLOOKUP(E195,'All Products'!D:D,'All Products'!E:E,FALSE)</f>
        <v>1-1/2 AQFS X 1-1/2 ACME SU X 8 SJ</v>
      </c>
      <c r="G195" s="103">
        <f>_xlfn.XLOOKUP(E195,'All Products'!D:D,'All Products'!F:F,FALSE)</f>
        <v>10</v>
      </c>
      <c r="H195" s="103">
        <f>_xlfn.XLOOKUP(E195,'All Products'!D:D,'All Products'!G:G,FALSE)</f>
        <v>600</v>
      </c>
      <c r="I195" s="140">
        <f>_xlfn.XLOOKUP(E195,'All Products'!D:D,'All Products'!H:H,FALSE)</f>
        <v>199.54</v>
      </c>
      <c r="J195" s="173">
        <f>ROUNDUP(I195*Order_Quote!$L$26,2)</f>
        <v>199.54</v>
      </c>
      <c r="K195" s="75"/>
      <c r="L195" s="113"/>
      <c r="M195" s="171">
        <f t="shared" si="2"/>
        <v>0</v>
      </c>
      <c r="O195" s="215" t="str">
        <f>_xlfn.XLOOKUP(E195,'All Products'!D:D,'All Products'!I:I,FALSE)</f>
        <v>Within 3 Weeks</v>
      </c>
      <c r="P195" s="215" t="str">
        <f>_xlfn.XLOOKUP(E195,'All Products'!D:D,'All Products'!J:J,FALSE)</f>
        <v>Manufactured</v>
      </c>
      <c r="Q195" s="266">
        <f>_xlfn.XLOOKUP(E195,'All Products'!D:D,'All Products'!K:K,FALSE)</f>
        <v>49081031633</v>
      </c>
      <c r="R195" s="266" t="str">
        <f>_xlfn.XLOOKUP(E195,'All Products'!D:D,'All Products'!L:L,FALSE)</f>
        <v>-</v>
      </c>
      <c r="S195" s="266">
        <f>_xlfn.XLOOKUP(E195,'All Products'!D:D,'All Products'!M:M,FALSE)</f>
        <v>40049081031631</v>
      </c>
      <c r="T195" s="264">
        <f>_xlfn.XLOOKUP(E195,'All Products'!D:D,'All Products'!N:N,FALSE)</f>
        <v>2.2330000000000001</v>
      </c>
      <c r="U195" s="264">
        <f>_xlfn.XLOOKUP(E195,'All Products'!D:D,'All Products'!P:P,FALSE)</f>
        <v>18.100000000000001</v>
      </c>
      <c r="V195" s="265">
        <f>_xlfn.XLOOKUP(E195,'All Products'!D:D,'All Products'!Q:Q,FALSE)</f>
        <v>1.41</v>
      </c>
    </row>
    <row r="196" spans="1:22" ht="14.4" customHeight="1">
      <c r="A196" s="101" t="str">
        <f>IF(K196&gt;0,COUNT($A$8:A195)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96" s="610"/>
      <c r="C196" s="611"/>
      <c r="D196" s="274" t="str">
        <f>_xlfn.XLOOKUP(E196,'All Products'!D:D,'All Products'!C:C,FALSE)</f>
        <v>3-B1-19-1-12</v>
      </c>
      <c r="E196" s="103">
        <v>100024562</v>
      </c>
      <c r="F196" s="144" t="str">
        <f>_xlfn.XLOOKUP(E196,'All Products'!D:D,'All Products'!E:E,FALSE)</f>
        <v>1-1/2 BSPT X 1 ACME SU X 12LL SJ</v>
      </c>
      <c r="G196" s="103">
        <f>_xlfn.XLOOKUP(E196,'All Products'!D:D,'All Products'!F:F,FALSE)</f>
        <v>10</v>
      </c>
      <c r="H196" s="103">
        <f>_xlfn.XLOOKUP(E196,'All Products'!D:D,'All Products'!G:G,FALSE)</f>
        <v>600</v>
      </c>
      <c r="I196" s="140">
        <f>_xlfn.XLOOKUP(E196,'All Products'!D:D,'All Products'!H:H,FALSE)</f>
        <v>165.57</v>
      </c>
      <c r="J196" s="173">
        <f>ROUNDUP(I196*Order_Quote!$L$26,2)</f>
        <v>165.57</v>
      </c>
      <c r="K196" s="75"/>
      <c r="L196" s="113"/>
      <c r="M196" s="171">
        <f t="shared" si="2"/>
        <v>0</v>
      </c>
      <c r="O196" s="215" t="str">
        <f>_xlfn.XLOOKUP(E196,'All Products'!D:D,'All Products'!I:I,FALSE)</f>
        <v>Within 3 Weeks</v>
      </c>
      <c r="P196" s="215" t="str">
        <f>_xlfn.XLOOKUP(E196,'All Products'!D:D,'All Products'!J:J,FALSE)</f>
        <v>Manufactured</v>
      </c>
      <c r="Q196" s="266">
        <f>_xlfn.XLOOKUP(E196,'All Products'!D:D,'All Products'!K:K,FALSE)</f>
        <v>49081029630</v>
      </c>
      <c r="R196" s="266" t="str">
        <f>_xlfn.XLOOKUP(E196,'All Products'!D:D,'All Products'!L:L,FALSE)</f>
        <v>-</v>
      </c>
      <c r="S196" s="266">
        <f>_xlfn.XLOOKUP(E196,'All Products'!D:D,'All Products'!M:M,FALSE)</f>
        <v>40049081029638</v>
      </c>
      <c r="T196" s="264">
        <f>_xlfn.XLOOKUP(E196,'All Products'!D:D,'All Products'!N:N,FALSE)</f>
        <v>1.99</v>
      </c>
      <c r="U196" s="264">
        <f>_xlfn.XLOOKUP(E196,'All Products'!D:D,'All Products'!P:P,FALSE)</f>
        <v>20.18</v>
      </c>
      <c r="V196" s="265">
        <f>_xlfn.XLOOKUP(E196,'All Products'!D:D,'All Products'!Q:Q,FALSE)</f>
        <v>1.41</v>
      </c>
    </row>
    <row r="197" spans="1:22" ht="14.4" customHeight="1">
      <c r="A197" s="101" t="str">
        <f>IF(K197&gt;0,COUNT($A$8:A196)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97" s="610"/>
      <c r="C197" s="611"/>
      <c r="D197" s="274" t="str">
        <f>_xlfn.XLOOKUP(E197,'All Products'!D:D,'All Products'!C:C,FALSE)</f>
        <v>3-B1-20-1-12</v>
      </c>
      <c r="E197" s="103">
        <v>100024563</v>
      </c>
      <c r="F197" s="144" t="str">
        <f>_xlfn.XLOOKUP(E197,'All Products'!D:D,'All Products'!E:E,FALSE)</f>
        <v>1-1/2 BSP X 1-1/4 ACME SU X 12 SJ</v>
      </c>
      <c r="G197" s="103">
        <f>_xlfn.XLOOKUP(E197,'All Products'!D:D,'All Products'!F:F,FALSE)</f>
        <v>10</v>
      </c>
      <c r="H197" s="103">
        <f>_xlfn.XLOOKUP(E197,'All Products'!D:D,'All Products'!G:G,FALSE)</f>
        <v>600</v>
      </c>
      <c r="I197" s="140">
        <f>_xlfn.XLOOKUP(E197,'All Products'!D:D,'All Products'!H:H,FALSE)</f>
        <v>165.57</v>
      </c>
      <c r="J197" s="173">
        <f>ROUNDUP(I197*Order_Quote!$L$26,2)</f>
        <v>165.57</v>
      </c>
      <c r="K197" s="75"/>
      <c r="L197" s="113"/>
      <c r="M197" s="171">
        <f t="shared" si="2"/>
        <v>0</v>
      </c>
      <c r="O197" s="215" t="str">
        <f>_xlfn.XLOOKUP(E197,'All Products'!D:D,'All Products'!I:I,FALSE)</f>
        <v>Within 3 Weeks</v>
      </c>
      <c r="P197" s="215" t="str">
        <f>_xlfn.XLOOKUP(E197,'All Products'!D:D,'All Products'!J:J,FALSE)</f>
        <v>Manufactured</v>
      </c>
      <c r="Q197" s="266">
        <f>_xlfn.XLOOKUP(E197,'All Products'!D:D,'All Products'!K:K,FALSE)</f>
        <v>49081021863</v>
      </c>
      <c r="R197" s="266" t="str">
        <f>_xlfn.XLOOKUP(E197,'All Products'!D:D,'All Products'!L:L,FALSE)</f>
        <v>-</v>
      </c>
      <c r="S197" s="266">
        <f>_xlfn.XLOOKUP(E197,'All Products'!D:D,'All Products'!M:M,FALSE)</f>
        <v>40049081021861</v>
      </c>
      <c r="T197" s="264">
        <f>_xlfn.XLOOKUP(E197,'All Products'!D:D,'All Products'!N:N,FALSE)</f>
        <v>1.923</v>
      </c>
      <c r="U197" s="264">
        <f>_xlfn.XLOOKUP(E197,'All Products'!D:D,'All Products'!P:P,FALSE)</f>
        <v>20.58</v>
      </c>
      <c r="V197" s="265">
        <f>_xlfn.XLOOKUP(E197,'All Products'!D:D,'All Products'!Q:Q,FALSE)</f>
        <v>1.41</v>
      </c>
    </row>
    <row r="198" spans="1:22" ht="14.4" customHeight="1">
      <c r="A198" s="101" t="str">
        <f>IF(K198&gt;0,COUNT($A$8:A197)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98" s="610"/>
      <c r="C198" s="611"/>
      <c r="D198" s="274" t="str">
        <f>_xlfn.XLOOKUP(E198,'All Products'!D:D,'All Products'!C:C,FALSE)</f>
        <v>3-B1-20-1-6</v>
      </c>
      <c r="E198" s="103">
        <v>100024564</v>
      </c>
      <c r="F198" s="144" t="str">
        <f>_xlfn.XLOOKUP(E198,'All Products'!D:D,'All Products'!E:E,FALSE)</f>
        <v>1-1/2 BSPT X 1-1/4 ACME SU X 6 SJ</v>
      </c>
      <c r="G198" s="103">
        <f>_xlfn.XLOOKUP(E198,'All Products'!D:D,'All Products'!F:F,FALSE)</f>
        <v>10</v>
      </c>
      <c r="H198" s="103">
        <f>_xlfn.XLOOKUP(E198,'All Products'!D:D,'All Products'!G:G,FALSE)</f>
        <v>750</v>
      </c>
      <c r="I198" s="140">
        <f>_xlfn.XLOOKUP(E198,'All Products'!D:D,'All Products'!H:H,FALSE)</f>
        <v>154.49</v>
      </c>
      <c r="J198" s="173">
        <f>ROUNDUP(I198*Order_Quote!$L$26,2)</f>
        <v>154.49</v>
      </c>
      <c r="K198" s="75"/>
      <c r="L198" s="113"/>
      <c r="M198" s="171">
        <f t="shared" si="2"/>
        <v>0</v>
      </c>
      <c r="O198" s="215" t="str">
        <f>_xlfn.XLOOKUP(E198,'All Products'!D:D,'All Products'!I:I,FALSE)</f>
        <v>Within 3 Weeks</v>
      </c>
      <c r="P198" s="215" t="str">
        <f>_xlfn.XLOOKUP(E198,'All Products'!D:D,'All Products'!J:J,FALSE)</f>
        <v>Manufactured</v>
      </c>
      <c r="Q198" s="266">
        <f>_xlfn.XLOOKUP(E198,'All Products'!D:D,'All Products'!K:K,FALSE)</f>
        <v>49081022259</v>
      </c>
      <c r="R198" s="266" t="str">
        <f>_xlfn.XLOOKUP(E198,'All Products'!D:D,'All Products'!L:L,FALSE)</f>
        <v>-</v>
      </c>
      <c r="S198" s="266">
        <f>_xlfn.XLOOKUP(E198,'All Products'!D:D,'All Products'!M:M,FALSE)</f>
        <v>40049081022257</v>
      </c>
      <c r="T198" s="264">
        <f>_xlfn.XLOOKUP(E198,'All Products'!D:D,'All Products'!N:N,FALSE)</f>
        <v>1.6020000000000001</v>
      </c>
      <c r="U198" s="264">
        <f>_xlfn.XLOOKUP(E198,'All Products'!D:D,'All Products'!P:P,FALSE)</f>
        <v>17.21</v>
      </c>
      <c r="V198" s="265">
        <f>_xlfn.XLOOKUP(E198,'All Products'!D:D,'All Products'!Q:Q,FALSE)</f>
        <v>1.1000000000000001</v>
      </c>
    </row>
    <row r="199" spans="1:22" ht="14.4" customHeight="1">
      <c r="A199" s="101" t="str">
        <f>IF(K199&gt;0,COUNT($A$8:A198)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199" s="610"/>
      <c r="C199" s="611"/>
      <c r="D199" s="274" t="str">
        <f>_xlfn.XLOOKUP(E199,'All Products'!D:D,'All Products'!C:C,FALSE)</f>
        <v>3-B1-21-1-12</v>
      </c>
      <c r="E199" s="103">
        <v>100025054</v>
      </c>
      <c r="F199" s="144" t="str">
        <f>_xlfn.XLOOKUP(E199,'All Products'!D:D,'All Products'!E:E,FALSE)</f>
        <v>1-1/2 BSP X 1-1/2 ACME SU X 12 SJ</v>
      </c>
      <c r="G199" s="103">
        <f>_xlfn.XLOOKUP(E199,'All Products'!D:D,'All Products'!F:F,FALSE)</f>
        <v>10</v>
      </c>
      <c r="H199" s="103">
        <f>_xlfn.XLOOKUP(E199,'All Products'!D:D,'All Products'!G:G,FALSE)</f>
        <v>600</v>
      </c>
      <c r="I199" s="140">
        <f>_xlfn.XLOOKUP(E199,'All Products'!D:D,'All Products'!H:H,FALSE)</f>
        <v>165.57</v>
      </c>
      <c r="J199" s="173">
        <f>ROUNDUP(I199*Order_Quote!$L$26,2)</f>
        <v>165.57</v>
      </c>
      <c r="K199" s="75"/>
      <c r="L199" s="113"/>
      <c r="M199" s="171">
        <f t="shared" si="2"/>
        <v>0</v>
      </c>
      <c r="O199" s="215" t="str">
        <f>_xlfn.XLOOKUP(E199,'All Products'!D:D,'All Products'!I:I,FALSE)</f>
        <v>Within 3 Weeks</v>
      </c>
      <c r="P199" s="215" t="str">
        <f>_xlfn.XLOOKUP(E199,'All Products'!D:D,'All Products'!J:J,FALSE)</f>
        <v>Manufactured</v>
      </c>
      <c r="Q199" s="266">
        <f>_xlfn.XLOOKUP(E199,'All Products'!D:D,'All Products'!K:K,FALSE)</f>
        <v>49081021887</v>
      </c>
      <c r="R199" s="266" t="str">
        <f>_xlfn.XLOOKUP(E199,'All Products'!D:D,'All Products'!L:L,FALSE)</f>
        <v>-</v>
      </c>
      <c r="S199" s="266">
        <f>_xlfn.XLOOKUP(E199,'All Products'!D:D,'All Products'!M:M,FALSE)</f>
        <v>40049081021885</v>
      </c>
      <c r="T199" s="264">
        <f>_xlfn.XLOOKUP(E199,'All Products'!D:D,'All Products'!N:N,FALSE)</f>
        <v>1.962</v>
      </c>
      <c r="U199" s="264">
        <f>_xlfn.XLOOKUP(E199,'All Products'!D:D,'All Products'!P:P,FALSE)</f>
        <v>20.58</v>
      </c>
      <c r="V199" s="265">
        <f>_xlfn.XLOOKUP(E199,'All Products'!D:D,'All Products'!Q:Q,FALSE)</f>
        <v>1.41</v>
      </c>
    </row>
    <row r="200" spans="1:22" ht="14.4" customHeight="1">
      <c r="A200" s="101" t="str">
        <f>IF(K200&gt;0,COUNT($A$8:A199)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00" s="610"/>
      <c r="C200" s="611"/>
      <c r="D200" s="274" t="str">
        <f>_xlfn.XLOOKUP(E200,'All Products'!D:D,'All Products'!C:C,FALSE)</f>
        <v>3-B1-21-1-14</v>
      </c>
      <c r="E200" s="103">
        <v>100024568</v>
      </c>
      <c r="F200" s="144" t="str">
        <f>_xlfn.XLOOKUP(E200,'All Products'!D:D,'All Products'!E:E,FALSE)</f>
        <v>1-1/2 BSPT X 1-1/2 ACME SU X 14 SJ</v>
      </c>
      <c r="G200" s="103">
        <f>_xlfn.XLOOKUP(E200,'All Products'!D:D,'All Products'!F:F,FALSE)</f>
        <v>10</v>
      </c>
      <c r="H200" s="103">
        <f>_xlfn.XLOOKUP(E200,'All Products'!D:D,'All Products'!G:G,FALSE)</f>
        <v>180</v>
      </c>
      <c r="I200" s="140">
        <f>_xlfn.XLOOKUP(E200,'All Products'!D:D,'All Products'!H:H,FALSE)</f>
        <v>176.71</v>
      </c>
      <c r="J200" s="173">
        <f>ROUNDUP(I200*Order_Quote!$L$26,2)</f>
        <v>176.71</v>
      </c>
      <c r="K200" s="75"/>
      <c r="L200" s="113"/>
      <c r="M200" s="171">
        <f t="shared" si="2"/>
        <v>0</v>
      </c>
      <c r="O200" s="215" t="str">
        <f>_xlfn.XLOOKUP(E200,'All Products'!D:D,'All Products'!I:I,FALSE)</f>
        <v>Within 3 Weeks</v>
      </c>
      <c r="P200" s="215" t="str">
        <f>_xlfn.XLOOKUP(E200,'All Products'!D:D,'All Products'!J:J,FALSE)</f>
        <v>Manufactured</v>
      </c>
      <c r="Q200" s="266">
        <f>_xlfn.XLOOKUP(E200,'All Products'!D:D,'All Products'!K:K,FALSE)</f>
        <v>49081030766</v>
      </c>
      <c r="R200" s="266" t="str">
        <f>_xlfn.XLOOKUP(E200,'All Products'!D:D,'All Products'!L:L,FALSE)</f>
        <v>-</v>
      </c>
      <c r="S200" s="266">
        <f>_xlfn.XLOOKUP(E200,'All Products'!D:D,'All Products'!M:M,FALSE)</f>
        <v>40049081030764</v>
      </c>
      <c r="T200" s="264">
        <f>_xlfn.XLOOKUP(E200,'All Products'!D:D,'All Products'!N:N,FALSE)</f>
        <v>2.0510000000000002</v>
      </c>
      <c r="U200" s="264">
        <f>_xlfn.XLOOKUP(E200,'All Products'!D:D,'All Products'!P:P,FALSE)</f>
        <v>21.65</v>
      </c>
      <c r="V200" s="265">
        <f>_xlfn.XLOOKUP(E200,'All Products'!D:D,'All Products'!Q:Q,FALSE)</f>
        <v>2.65</v>
      </c>
    </row>
    <row r="201" spans="1:22" ht="14.4" customHeight="1">
      <c r="A201" s="101" t="str">
        <f>IF(K201&gt;0,COUNT($A$8:A200)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01" s="610"/>
      <c r="C201" s="611"/>
      <c r="D201" s="274" t="str">
        <f>_xlfn.XLOOKUP(E201,'All Products'!D:D,'All Products'!C:C,FALSE)</f>
        <v>3-B1-21-1-16</v>
      </c>
      <c r="E201" s="103">
        <v>100024569</v>
      </c>
      <c r="F201" s="144" t="str">
        <f>_xlfn.XLOOKUP(E201,'All Products'!D:D,'All Products'!E:E,FALSE)</f>
        <v>1-1/2 BSPT X 1-1/2 ACME SU X 16 SJ</v>
      </c>
      <c r="G201" s="103">
        <f>_xlfn.XLOOKUP(E201,'All Products'!D:D,'All Products'!F:F,FALSE)</f>
        <v>10</v>
      </c>
      <c r="H201" s="103">
        <f>_xlfn.XLOOKUP(E201,'All Products'!D:D,'All Products'!G:G,FALSE)</f>
        <v>240</v>
      </c>
      <c r="I201" s="140">
        <f>_xlfn.XLOOKUP(E201,'All Products'!D:D,'All Products'!H:H,FALSE)</f>
        <v>176.71</v>
      </c>
      <c r="J201" s="173">
        <f>ROUNDUP(I201*Order_Quote!$L$26,2)</f>
        <v>176.71</v>
      </c>
      <c r="K201" s="75"/>
      <c r="L201" s="113"/>
      <c r="M201" s="171">
        <f t="shared" ref="M201:M215" si="3">K201/G201</f>
        <v>0</v>
      </c>
      <c r="O201" s="215" t="str">
        <f>_xlfn.XLOOKUP(E201,'All Products'!D:D,'All Products'!I:I,FALSE)</f>
        <v>Within 3 Weeks</v>
      </c>
      <c r="P201" s="215" t="str">
        <f>_xlfn.XLOOKUP(E201,'All Products'!D:D,'All Products'!J:J,FALSE)</f>
        <v>Manufactured</v>
      </c>
      <c r="Q201" s="266">
        <f>_xlfn.XLOOKUP(E201,'All Products'!D:D,'All Products'!K:K,FALSE)</f>
        <v>49081031053</v>
      </c>
      <c r="R201" s="266" t="str">
        <f>_xlfn.XLOOKUP(E201,'All Products'!D:D,'All Products'!L:L,FALSE)</f>
        <v>-</v>
      </c>
      <c r="S201" s="266">
        <f>_xlfn.XLOOKUP(E201,'All Products'!D:D,'All Products'!M:M,FALSE)</f>
        <v>40049081031051</v>
      </c>
      <c r="T201" s="264">
        <f>_xlfn.XLOOKUP(E201,'All Products'!D:D,'All Products'!N:N,FALSE)</f>
        <v>2.181</v>
      </c>
      <c r="U201" s="264">
        <f>_xlfn.XLOOKUP(E201,'All Products'!D:D,'All Products'!P:P,FALSE)</f>
        <v>23.3</v>
      </c>
      <c r="V201" s="265">
        <f>_xlfn.XLOOKUP(E201,'All Products'!D:D,'All Products'!Q:Q,FALSE)</f>
        <v>2.77</v>
      </c>
    </row>
    <row r="202" spans="1:22" ht="14.4" customHeight="1">
      <c r="A202" s="101" t="str">
        <f>IF(K202&gt;0,COUNT($A$8:A201)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02" s="610"/>
      <c r="C202" s="611"/>
      <c r="D202" s="274" t="str">
        <f>_xlfn.XLOOKUP(E202,'All Products'!D:D,'All Products'!C:C,FALSE)</f>
        <v>3-B1-21-1-18</v>
      </c>
      <c r="E202" s="103">
        <v>100025055</v>
      </c>
      <c r="F202" s="144" t="str">
        <f>_xlfn.XLOOKUP(E202,'All Products'!D:D,'All Products'!E:E,FALSE)</f>
        <v>1-1/2 BSP X 1-1/2 ACME SU X 18 SJ</v>
      </c>
      <c r="G202" s="103">
        <f>_xlfn.XLOOKUP(E202,'All Products'!D:D,'All Products'!F:F,FALSE)</f>
        <v>10</v>
      </c>
      <c r="H202" s="103">
        <f>_xlfn.XLOOKUP(E202,'All Products'!D:D,'All Products'!G:G,FALSE)</f>
        <v>240</v>
      </c>
      <c r="I202" s="140">
        <f>_xlfn.XLOOKUP(E202,'All Products'!D:D,'All Products'!H:H,FALSE)</f>
        <v>176.71</v>
      </c>
      <c r="J202" s="173">
        <f>ROUNDUP(I202*Order_Quote!$L$26,2)</f>
        <v>176.71</v>
      </c>
      <c r="K202" s="75"/>
      <c r="L202" s="113"/>
      <c r="M202" s="171">
        <f t="shared" si="3"/>
        <v>0</v>
      </c>
      <c r="O202" s="215" t="str">
        <f>_xlfn.XLOOKUP(E202,'All Products'!D:D,'All Products'!I:I,FALSE)</f>
        <v>Within 3 Weeks</v>
      </c>
      <c r="P202" s="215" t="str">
        <f>_xlfn.XLOOKUP(E202,'All Products'!D:D,'All Products'!J:J,FALSE)</f>
        <v>Manufactured</v>
      </c>
      <c r="Q202" s="266">
        <f>_xlfn.XLOOKUP(E202,'All Products'!D:D,'All Products'!K:K,FALSE)</f>
        <v>49081021894</v>
      </c>
      <c r="R202" s="266" t="str">
        <f>_xlfn.XLOOKUP(E202,'All Products'!D:D,'All Products'!L:L,FALSE)</f>
        <v>-</v>
      </c>
      <c r="S202" s="266">
        <f>_xlfn.XLOOKUP(E202,'All Products'!D:D,'All Products'!M:M,FALSE)</f>
        <v>40049081021892</v>
      </c>
      <c r="T202" s="264">
        <f>_xlfn.XLOOKUP(E202,'All Products'!D:D,'All Products'!N:N,FALSE)</f>
        <v>2.2770000000000001</v>
      </c>
      <c r="U202" s="264">
        <f>_xlfn.XLOOKUP(E202,'All Products'!D:D,'All Products'!P:P,FALSE)</f>
        <v>24.41</v>
      </c>
      <c r="V202" s="265">
        <f>_xlfn.XLOOKUP(E202,'All Products'!D:D,'All Products'!Q:Q,FALSE)</f>
        <v>2.77</v>
      </c>
    </row>
    <row r="203" spans="1:22" ht="14.4" customHeight="1">
      <c r="A203" s="101" t="str">
        <f>IF(K203&gt;0,COUNT($A$8:A202)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03" s="610"/>
      <c r="C203" s="611"/>
      <c r="D203" s="274" t="str">
        <f>_xlfn.XLOOKUP(E203,'All Products'!D:D,'All Products'!C:C,FALSE)</f>
        <v>3-B1-21-1-6</v>
      </c>
      <c r="E203" s="103">
        <v>100024571</v>
      </c>
      <c r="F203" s="144" t="str">
        <f>_xlfn.XLOOKUP(E203,'All Products'!D:D,'All Products'!E:E,FALSE)</f>
        <v>1-1/2 BSPT X 1-1/2 ACME SU X 6 SJ</v>
      </c>
      <c r="G203" s="103">
        <f>_xlfn.XLOOKUP(E203,'All Products'!D:D,'All Products'!F:F,FALSE)</f>
        <v>10</v>
      </c>
      <c r="H203" s="103">
        <f>_xlfn.XLOOKUP(E203,'All Products'!D:D,'All Products'!G:G,FALSE)</f>
        <v>750</v>
      </c>
      <c r="I203" s="140">
        <f>_xlfn.XLOOKUP(E203,'All Products'!D:D,'All Products'!H:H,FALSE)</f>
        <v>154.49</v>
      </c>
      <c r="J203" s="173">
        <f>ROUNDUP(I203*Order_Quote!$L$26,2)</f>
        <v>154.49</v>
      </c>
      <c r="K203" s="75"/>
      <c r="L203" s="113"/>
      <c r="M203" s="171">
        <f t="shared" si="3"/>
        <v>0</v>
      </c>
      <c r="O203" s="215" t="str">
        <f>_xlfn.XLOOKUP(E203,'All Products'!D:D,'All Products'!I:I,FALSE)</f>
        <v>Within 3 Weeks</v>
      </c>
      <c r="P203" s="215" t="str">
        <f>_xlfn.XLOOKUP(E203,'All Products'!D:D,'All Products'!J:J,FALSE)</f>
        <v>Manufactured</v>
      </c>
      <c r="Q203" s="266">
        <f>_xlfn.XLOOKUP(E203,'All Products'!D:D,'All Products'!K:K,FALSE)</f>
        <v>49081022266</v>
      </c>
      <c r="R203" s="266" t="str">
        <f>_xlfn.XLOOKUP(E203,'All Products'!D:D,'All Products'!L:L,FALSE)</f>
        <v>-</v>
      </c>
      <c r="S203" s="266">
        <f>_xlfn.XLOOKUP(E203,'All Products'!D:D,'All Products'!M:M,FALSE)</f>
        <v>40049081022264</v>
      </c>
      <c r="T203" s="264">
        <f>_xlfn.XLOOKUP(E203,'All Products'!D:D,'All Products'!N:N,FALSE)</f>
        <v>1.641</v>
      </c>
      <c r="U203" s="264">
        <f>_xlfn.XLOOKUP(E203,'All Products'!D:D,'All Products'!P:P,FALSE)</f>
        <v>16.91</v>
      </c>
      <c r="V203" s="265">
        <f>_xlfn.XLOOKUP(E203,'All Products'!D:D,'All Products'!Q:Q,FALSE)</f>
        <v>1.1000000000000001</v>
      </c>
    </row>
    <row r="204" spans="1:22" ht="14.4" customHeight="1">
      <c r="A204" s="101" t="str">
        <f>IF(K204&gt;0,COUNT($A$8:A203)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04" s="610"/>
      <c r="C204" s="611"/>
      <c r="D204" s="274" t="str">
        <f>_xlfn.XLOOKUP(E204,'All Products'!D:D,'All Products'!C:C,FALSE)</f>
        <v>3-B1-22-1-12</v>
      </c>
      <c r="E204" s="103">
        <v>100025059</v>
      </c>
      <c r="F204" s="144" t="str">
        <f>_xlfn.XLOOKUP(E204,'All Products'!D:D,'All Products'!E:E,FALSE)</f>
        <v>1-1/2 BSP X 1-1/2 BSP SU X 12 SJ</v>
      </c>
      <c r="G204" s="103">
        <f>_xlfn.XLOOKUP(E204,'All Products'!D:D,'All Products'!F:F,FALSE)</f>
        <v>10</v>
      </c>
      <c r="H204" s="103">
        <f>_xlfn.XLOOKUP(E204,'All Products'!D:D,'All Products'!G:G,FALSE)</f>
        <v>600</v>
      </c>
      <c r="I204" s="140">
        <f>_xlfn.XLOOKUP(E204,'All Products'!D:D,'All Products'!H:H,FALSE)</f>
        <v>165.57</v>
      </c>
      <c r="J204" s="173">
        <f>ROUNDUP(I204*Order_Quote!$L$26,2)</f>
        <v>165.57</v>
      </c>
      <c r="K204" s="75"/>
      <c r="L204" s="113"/>
      <c r="M204" s="171">
        <f t="shared" si="3"/>
        <v>0</v>
      </c>
      <c r="O204" s="215" t="str">
        <f>_xlfn.XLOOKUP(E204,'All Products'!D:D,'All Products'!I:I,FALSE)</f>
        <v>In Stock</v>
      </c>
      <c r="P204" s="215" t="str">
        <f>_xlfn.XLOOKUP(E204,'All Products'!D:D,'All Products'!J:J,FALSE)</f>
        <v>Manufactured</v>
      </c>
      <c r="Q204" s="266">
        <f>_xlfn.XLOOKUP(E204,'All Products'!D:D,'All Products'!K:K,FALSE)</f>
        <v>49081021924</v>
      </c>
      <c r="R204" s="266" t="str">
        <f>_xlfn.XLOOKUP(E204,'All Products'!D:D,'All Products'!L:L,FALSE)</f>
        <v>-</v>
      </c>
      <c r="S204" s="266">
        <f>_xlfn.XLOOKUP(E204,'All Products'!D:D,'All Products'!M:M,FALSE)</f>
        <v>40049081021922</v>
      </c>
      <c r="T204" s="264">
        <f>_xlfn.XLOOKUP(E204,'All Products'!D:D,'All Products'!N:N,FALSE)</f>
        <v>1.9119999999999999</v>
      </c>
      <c r="U204" s="264">
        <f>_xlfn.XLOOKUP(E204,'All Products'!D:D,'All Products'!P:P,FALSE)</f>
        <v>20.18</v>
      </c>
      <c r="V204" s="265">
        <f>_xlfn.XLOOKUP(E204,'All Products'!D:D,'All Products'!Q:Q,FALSE)</f>
        <v>1.41</v>
      </c>
    </row>
    <row r="205" spans="1:22" ht="14.4" customHeight="1">
      <c r="A205" s="101" t="str">
        <f>IF(K205&gt;0,COUNT($A$8:A204)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05" s="610"/>
      <c r="C205" s="611"/>
      <c r="D205" s="274" t="str">
        <f>_xlfn.XLOOKUP(E205,'All Products'!D:D,'All Products'!C:C,FALSE)</f>
        <v>3-B1-22-1-16</v>
      </c>
      <c r="E205" s="103">
        <v>100024575</v>
      </c>
      <c r="F205" s="144" t="str">
        <f>_xlfn.XLOOKUP(E205,'All Products'!D:D,'All Products'!E:E,FALSE)</f>
        <v>1-1/2 BSP X 1-1/2 BSP SU X 16 SJ</v>
      </c>
      <c r="G205" s="103">
        <f>_xlfn.XLOOKUP(E205,'All Products'!D:D,'All Products'!F:F,FALSE)</f>
        <v>10</v>
      </c>
      <c r="H205" s="103">
        <f>_xlfn.XLOOKUP(E205,'All Products'!D:D,'All Products'!G:G,FALSE)</f>
        <v>240</v>
      </c>
      <c r="I205" s="140">
        <f>_xlfn.XLOOKUP(E205,'All Products'!D:D,'All Products'!H:H,FALSE)</f>
        <v>176.71</v>
      </c>
      <c r="J205" s="173">
        <f>ROUNDUP(I205*Order_Quote!$L$26,2)</f>
        <v>176.71</v>
      </c>
      <c r="K205" s="75"/>
      <c r="L205" s="113"/>
      <c r="M205" s="171">
        <f t="shared" si="3"/>
        <v>0</v>
      </c>
      <c r="O205" s="215" t="str">
        <f>_xlfn.XLOOKUP(E205,'All Products'!D:D,'All Products'!I:I,FALSE)</f>
        <v>Within 3 Weeks</v>
      </c>
      <c r="P205" s="215" t="str">
        <f>_xlfn.XLOOKUP(E205,'All Products'!D:D,'All Products'!J:J,FALSE)</f>
        <v>Manufactured</v>
      </c>
      <c r="Q205" s="266">
        <f>_xlfn.XLOOKUP(E205,'All Products'!D:D,'All Products'!K:K,FALSE)</f>
        <v>49081021931</v>
      </c>
      <c r="R205" s="266" t="str">
        <f>_xlfn.XLOOKUP(E205,'All Products'!D:D,'All Products'!L:L,FALSE)</f>
        <v>-</v>
      </c>
      <c r="S205" s="266">
        <f>_xlfn.XLOOKUP(E205,'All Products'!D:D,'All Products'!M:M,FALSE)</f>
        <v>40049081021939</v>
      </c>
      <c r="T205" s="264">
        <f>_xlfn.XLOOKUP(E205,'All Products'!D:D,'All Products'!N:N,FALSE)</f>
        <v>2.1309999999999998</v>
      </c>
      <c r="U205" s="264">
        <f>_xlfn.XLOOKUP(E205,'All Products'!D:D,'All Products'!P:P,FALSE)</f>
        <v>23.15</v>
      </c>
      <c r="V205" s="265">
        <f>_xlfn.XLOOKUP(E205,'All Products'!D:D,'All Products'!Q:Q,FALSE)</f>
        <v>2.77</v>
      </c>
    </row>
    <row r="206" spans="1:22" ht="14.4" customHeight="1">
      <c r="A206" s="101" t="str">
        <f>IF(K206&gt;0,COUNT($A$8:A205)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06" s="610"/>
      <c r="C206" s="611"/>
      <c r="D206" s="274" t="str">
        <f>_xlfn.XLOOKUP(E206,'All Products'!D:D,'All Products'!C:C,FALSE)</f>
        <v>3-B1-22-1-18</v>
      </c>
      <c r="E206" s="103">
        <v>100025060</v>
      </c>
      <c r="F206" s="144" t="str">
        <f>_xlfn.XLOOKUP(E206,'All Products'!D:D,'All Products'!E:E,FALSE)</f>
        <v>1-1/2 BSP X 1-1/2 BSP SU X 18 SJ</v>
      </c>
      <c r="G206" s="103">
        <f>_xlfn.XLOOKUP(E206,'All Products'!D:D,'All Products'!F:F,FALSE)</f>
        <v>10</v>
      </c>
      <c r="H206" s="103">
        <f>_xlfn.XLOOKUP(E206,'All Products'!D:D,'All Products'!G:G,FALSE)</f>
        <v>240</v>
      </c>
      <c r="I206" s="140">
        <f>_xlfn.XLOOKUP(E206,'All Products'!D:D,'All Products'!H:H,FALSE)</f>
        <v>176.71</v>
      </c>
      <c r="J206" s="173">
        <f>ROUNDUP(I206*Order_Quote!$L$26,2)</f>
        <v>176.71</v>
      </c>
      <c r="K206" s="75"/>
      <c r="L206" s="113"/>
      <c r="M206" s="171">
        <f t="shared" si="3"/>
        <v>0</v>
      </c>
      <c r="O206" s="215" t="str">
        <f>_xlfn.XLOOKUP(E206,'All Products'!D:D,'All Products'!I:I,FALSE)</f>
        <v>In Stock</v>
      </c>
      <c r="P206" s="215" t="str">
        <f>_xlfn.XLOOKUP(E206,'All Products'!D:D,'All Products'!J:J,FALSE)</f>
        <v>Manufactured</v>
      </c>
      <c r="Q206" s="266">
        <f>_xlfn.XLOOKUP(E206,'All Products'!D:D,'All Products'!K:K,FALSE)</f>
        <v>49081021948</v>
      </c>
      <c r="R206" s="266" t="str">
        <f>_xlfn.XLOOKUP(E206,'All Products'!D:D,'All Products'!L:L,FALSE)</f>
        <v>-</v>
      </c>
      <c r="S206" s="266">
        <f>_xlfn.XLOOKUP(E206,'All Products'!D:D,'All Products'!M:M,FALSE)</f>
        <v>40049081021946</v>
      </c>
      <c r="T206" s="264">
        <f>_xlfn.XLOOKUP(E206,'All Products'!D:D,'All Products'!N:N,FALSE)</f>
        <v>2.2269999999999999</v>
      </c>
      <c r="U206" s="264">
        <f>_xlfn.XLOOKUP(E206,'All Products'!D:D,'All Products'!P:P,FALSE)</f>
        <v>24.4</v>
      </c>
      <c r="V206" s="265">
        <f>_xlfn.XLOOKUP(E206,'All Products'!D:D,'All Products'!Q:Q,FALSE)</f>
        <v>2.77</v>
      </c>
    </row>
    <row r="207" spans="1:22" ht="14.4" customHeight="1">
      <c r="A207" s="101" t="str">
        <f>IF(K207&gt;0,COUNT($A$8:A206)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07" s="610"/>
      <c r="C207" s="611"/>
      <c r="D207" s="274" t="str">
        <f>_xlfn.XLOOKUP(E207,'All Products'!D:D,'All Products'!C:C,FALSE)</f>
        <v>3-B1-22-1-6</v>
      </c>
      <c r="E207" s="103">
        <v>100024576</v>
      </c>
      <c r="F207" s="144" t="str">
        <f>_xlfn.XLOOKUP(E207,'All Products'!D:D,'All Products'!E:E,FALSE)</f>
        <v>1-1/2 BSP X 1-1/2 BSP SU X 6 SJ</v>
      </c>
      <c r="G207" s="103">
        <f>_xlfn.XLOOKUP(E207,'All Products'!D:D,'All Products'!F:F,FALSE)</f>
        <v>10</v>
      </c>
      <c r="H207" s="103">
        <f>_xlfn.XLOOKUP(E207,'All Products'!D:D,'All Products'!G:G,FALSE)</f>
        <v>750</v>
      </c>
      <c r="I207" s="140">
        <f>_xlfn.XLOOKUP(E207,'All Products'!D:D,'All Products'!H:H,FALSE)</f>
        <v>154.49</v>
      </c>
      <c r="J207" s="173">
        <f>ROUNDUP(I207*Order_Quote!$L$26,2)</f>
        <v>154.49</v>
      </c>
      <c r="K207" s="75"/>
      <c r="L207" s="113"/>
      <c r="M207" s="171">
        <f t="shared" si="3"/>
        <v>0</v>
      </c>
      <c r="O207" s="215" t="str">
        <f>_xlfn.XLOOKUP(E207,'All Products'!D:D,'All Products'!I:I,FALSE)</f>
        <v>Within 3 Weeks</v>
      </c>
      <c r="P207" s="215" t="str">
        <f>_xlfn.XLOOKUP(E207,'All Products'!D:D,'All Products'!J:J,FALSE)</f>
        <v>Manufactured</v>
      </c>
      <c r="Q207" s="266">
        <f>_xlfn.XLOOKUP(E207,'All Products'!D:D,'All Products'!K:K,FALSE)</f>
        <v>49081021955</v>
      </c>
      <c r="R207" s="266" t="str">
        <f>_xlfn.XLOOKUP(E207,'All Products'!D:D,'All Products'!L:L,FALSE)</f>
        <v>-</v>
      </c>
      <c r="S207" s="266">
        <f>_xlfn.XLOOKUP(E207,'All Products'!D:D,'All Products'!M:M,FALSE)</f>
        <v>40049081021953</v>
      </c>
      <c r="T207" s="264">
        <f>_xlfn.XLOOKUP(E207,'All Products'!D:D,'All Products'!N:N,FALSE)</f>
        <v>1.591</v>
      </c>
      <c r="U207" s="264">
        <f>_xlfn.XLOOKUP(E207,'All Products'!D:D,'All Products'!P:P,FALSE)</f>
        <v>16.905000000000001</v>
      </c>
      <c r="V207" s="265">
        <f>_xlfn.XLOOKUP(E207,'All Products'!D:D,'All Products'!Q:Q,FALSE)</f>
        <v>1.1000000000000001</v>
      </c>
    </row>
    <row r="208" spans="1:22" ht="14.4" customHeight="1">
      <c r="A208" s="101" t="str">
        <f>IF(K208&gt;0,COUNT($A$8:A207)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08" s="610"/>
      <c r="C208" s="611"/>
      <c r="D208" s="274" t="str">
        <f>_xlfn.XLOOKUP(E208,'All Products'!D:D,'All Products'!C:C,FALSE)</f>
        <v>3-B1-22-1-8</v>
      </c>
      <c r="E208" s="103">
        <v>100025061</v>
      </c>
      <c r="F208" s="144" t="str">
        <f>_xlfn.XLOOKUP(E208,'All Products'!D:D,'All Products'!E:E,FALSE)</f>
        <v>1-1/2 BSP X 1-1/2 BSP SU X 8 SJ</v>
      </c>
      <c r="G208" s="103">
        <f>_xlfn.XLOOKUP(E208,'All Products'!D:D,'All Products'!F:F,FALSE)</f>
        <v>10</v>
      </c>
      <c r="H208" s="103">
        <f>_xlfn.XLOOKUP(E208,'All Products'!D:D,'All Products'!G:G,FALSE)</f>
        <v>180</v>
      </c>
      <c r="I208" s="140">
        <f>_xlfn.XLOOKUP(E208,'All Products'!D:D,'All Products'!H:H,FALSE)</f>
        <v>154.49</v>
      </c>
      <c r="J208" s="173">
        <f>ROUNDUP(I208*Order_Quote!$L$26,2)</f>
        <v>154.49</v>
      </c>
      <c r="K208" s="75"/>
      <c r="L208" s="113"/>
      <c r="M208" s="171">
        <f t="shared" si="3"/>
        <v>0</v>
      </c>
      <c r="O208" s="215" t="str">
        <f>_xlfn.XLOOKUP(E208,'All Products'!D:D,'All Products'!I:I,FALSE)</f>
        <v>Within 3 Weeks</v>
      </c>
      <c r="P208" s="215" t="str">
        <f>_xlfn.XLOOKUP(E208,'All Products'!D:D,'All Products'!J:J,FALSE)</f>
        <v>Manufactured</v>
      </c>
      <c r="Q208" s="266">
        <f>_xlfn.XLOOKUP(E208,'All Products'!D:D,'All Products'!K:K,FALSE)</f>
        <v>49081021962</v>
      </c>
      <c r="R208" s="266" t="str">
        <f>_xlfn.XLOOKUP(E208,'All Products'!D:D,'All Products'!L:L,FALSE)</f>
        <v>-</v>
      </c>
      <c r="S208" s="266">
        <f>_xlfn.XLOOKUP(E208,'All Products'!D:D,'All Products'!M:M,FALSE)</f>
        <v>40049081021960</v>
      </c>
      <c r="T208" s="264">
        <f>_xlfn.XLOOKUP(E208,'All Products'!D:D,'All Products'!N:N,FALSE)</f>
        <v>1.7010000000000001</v>
      </c>
      <c r="U208" s="264">
        <f>_xlfn.XLOOKUP(E208,'All Products'!D:D,'All Products'!P:P,FALSE)</f>
        <v>35.6</v>
      </c>
      <c r="V208" s="265">
        <f>_xlfn.XLOOKUP(E208,'All Products'!D:D,'All Products'!Q:Q,FALSE)</f>
        <v>2.65</v>
      </c>
    </row>
    <row r="209" spans="1:22" ht="14.4" customHeight="1">
      <c r="A209" s="101" t="str">
        <f>IF(K209&gt;0,COUNT($A$8:A208)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09" s="610"/>
      <c r="C209" s="611"/>
      <c r="D209" s="274" t="str">
        <f>_xlfn.XLOOKUP(E209,'All Products'!D:D,'All Products'!C:C,FALSE)</f>
        <v>3-B1-27-1-6</v>
      </c>
      <c r="E209" s="103">
        <v>100024585</v>
      </c>
      <c r="F209" s="144" t="str">
        <f>_xlfn.XLOOKUP(E209,'All Products'!D:D,'All Products'!E:E,FALSE)</f>
        <v>1-1/2 BSPT X 1-1/4 BSPT SU X 6 SJ</v>
      </c>
      <c r="G209" s="103">
        <f>_xlfn.XLOOKUP(E209,'All Products'!D:D,'All Products'!F:F,FALSE)</f>
        <v>10</v>
      </c>
      <c r="H209" s="103">
        <f>_xlfn.XLOOKUP(E209,'All Products'!D:D,'All Products'!G:G,FALSE)</f>
        <v>750</v>
      </c>
      <c r="I209" s="140">
        <f>_xlfn.XLOOKUP(E209,'All Products'!D:D,'All Products'!H:H,FALSE)</f>
        <v>154.49</v>
      </c>
      <c r="J209" s="173">
        <f>ROUNDUP(I209*Order_Quote!$L$26,2)</f>
        <v>154.49</v>
      </c>
      <c r="K209" s="75"/>
      <c r="L209" s="113"/>
      <c r="M209" s="171">
        <f t="shared" si="3"/>
        <v>0</v>
      </c>
      <c r="O209" s="215" t="str">
        <f>_xlfn.XLOOKUP(E209,'All Products'!D:D,'All Products'!I:I,FALSE)</f>
        <v>Within 3 Weeks</v>
      </c>
      <c r="P209" s="215" t="str">
        <f>_xlfn.XLOOKUP(E209,'All Products'!D:D,'All Products'!J:J,FALSE)</f>
        <v>Manufactured</v>
      </c>
      <c r="Q209" s="266">
        <f>_xlfn.XLOOKUP(E209,'All Products'!D:D,'All Products'!K:K,FALSE)</f>
        <v>49081030957</v>
      </c>
      <c r="R209" s="266" t="str">
        <f>_xlfn.XLOOKUP(E209,'All Products'!D:D,'All Products'!L:L,FALSE)</f>
        <v>-</v>
      </c>
      <c r="S209" s="266">
        <f>_xlfn.XLOOKUP(E209,'All Products'!D:D,'All Products'!M:M,FALSE)</f>
        <v>40049081030955</v>
      </c>
      <c r="T209" s="264">
        <f>_xlfn.XLOOKUP(E209,'All Products'!D:D,'All Products'!N:N,FALSE)</f>
        <v>1.79</v>
      </c>
      <c r="U209" s="264">
        <f>_xlfn.XLOOKUP(E209,'All Products'!D:D,'All Products'!P:P,FALSE)</f>
        <v>17.899999999999999</v>
      </c>
      <c r="V209" s="265">
        <f>_xlfn.XLOOKUP(E209,'All Products'!D:D,'All Products'!Q:Q,FALSE)</f>
        <v>1.1000000000000001</v>
      </c>
    </row>
    <row r="210" spans="1:22" ht="14.4" customHeight="1">
      <c r="A210" s="101" t="str">
        <f>IF(K210&gt;0,COUNT($A$8:A209)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10" s="610"/>
      <c r="C210" s="611"/>
      <c r="D210" s="274" t="str">
        <f>_xlfn.XLOOKUP(E210,'All Products'!D:D,'All Products'!C:C,FALSE)</f>
        <v>3-B1-3-1-12</v>
      </c>
      <c r="E210" s="103">
        <v>100024587</v>
      </c>
      <c r="F210" s="144" t="str">
        <f>_xlfn.XLOOKUP(E210,'All Products'!D:D,'All Products'!E:E,FALSE)</f>
        <v>1-1/2 BSP X 1-1/2 MPT SU X 12 SJ</v>
      </c>
      <c r="G210" s="103">
        <f>_xlfn.XLOOKUP(E210,'All Products'!D:D,'All Products'!F:F,FALSE)</f>
        <v>10</v>
      </c>
      <c r="H210" s="103">
        <f>_xlfn.XLOOKUP(E210,'All Products'!D:D,'All Products'!G:G,FALSE)</f>
        <v>180</v>
      </c>
      <c r="I210" s="140">
        <f>_xlfn.XLOOKUP(E210,'All Products'!D:D,'All Products'!H:H,FALSE)</f>
        <v>165.57</v>
      </c>
      <c r="J210" s="173">
        <f>ROUNDUP(I210*Order_Quote!$L$26,2)</f>
        <v>165.57</v>
      </c>
      <c r="K210" s="75"/>
      <c r="L210" s="113"/>
      <c r="M210" s="171">
        <f t="shared" si="3"/>
        <v>0</v>
      </c>
      <c r="O210" s="215" t="str">
        <f>_xlfn.XLOOKUP(E210,'All Products'!D:D,'All Products'!I:I,FALSE)</f>
        <v>Within 3 Weeks</v>
      </c>
      <c r="P210" s="215" t="str">
        <f>_xlfn.XLOOKUP(E210,'All Products'!D:D,'All Products'!J:J,FALSE)</f>
        <v>Manufactured</v>
      </c>
      <c r="Q210" s="266">
        <f>_xlfn.XLOOKUP(E210,'All Products'!D:D,'All Products'!K:K,FALSE)</f>
        <v>49081029289</v>
      </c>
      <c r="R210" s="266" t="str">
        <f>_xlfn.XLOOKUP(E210,'All Products'!D:D,'All Products'!L:L,FALSE)</f>
        <v>-</v>
      </c>
      <c r="S210" s="266">
        <f>_xlfn.XLOOKUP(E210,'All Products'!D:D,'All Products'!M:M,FALSE)</f>
        <v>40049081029287</v>
      </c>
      <c r="T210" s="264">
        <f>_xlfn.XLOOKUP(E210,'All Products'!D:D,'All Products'!N:N,FALSE)</f>
        <v>1.907</v>
      </c>
      <c r="U210" s="264">
        <f>_xlfn.XLOOKUP(E210,'All Products'!D:D,'All Products'!P:P,FALSE)</f>
        <v>20</v>
      </c>
      <c r="V210" s="265">
        <f>_xlfn.XLOOKUP(E210,'All Products'!D:D,'All Products'!Q:Q,FALSE)</f>
        <v>2.65</v>
      </c>
    </row>
    <row r="211" spans="1:22" ht="14.4" customHeight="1">
      <c r="A211" s="101" t="str">
        <f>IF(K211&gt;0,COUNT($A$8:A210)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11" s="610"/>
      <c r="C211" s="611"/>
      <c r="D211" s="274" t="str">
        <f>_xlfn.XLOOKUP(E211,'All Products'!D:D,'All Products'!C:C,FALSE)</f>
        <v>3-B1-3-1-18</v>
      </c>
      <c r="E211" s="103">
        <v>100024588</v>
      </c>
      <c r="F211" s="144" t="str">
        <f>_xlfn.XLOOKUP(E211,'All Products'!D:D,'All Products'!E:E,FALSE)</f>
        <v>1-1/2 BSP X 1-1/2 MPT SU X 18 SJ</v>
      </c>
      <c r="G211" s="103">
        <f>_xlfn.XLOOKUP(E211,'All Products'!D:D,'All Products'!F:F,FALSE)</f>
        <v>10</v>
      </c>
      <c r="H211" s="103" t="str">
        <f>_xlfn.XLOOKUP(E211,'All Products'!D:D,'All Products'!G:G,FALSE)</f>
        <v>-</v>
      </c>
      <c r="I211" s="140">
        <f>_xlfn.XLOOKUP(E211,'All Products'!D:D,'All Products'!H:H,FALSE)</f>
        <v>176.71</v>
      </c>
      <c r="J211" s="173">
        <f>ROUNDUP(I211*Order_Quote!$L$26,2)</f>
        <v>176.71</v>
      </c>
      <c r="K211" s="75"/>
      <c r="L211" s="113"/>
      <c r="M211" s="171">
        <f t="shared" si="3"/>
        <v>0</v>
      </c>
      <c r="O211" s="215" t="str">
        <f>_xlfn.XLOOKUP(E211,'All Products'!D:D,'All Products'!I:I,FALSE)</f>
        <v>Within 3 Weeks</v>
      </c>
      <c r="P211" s="215" t="str">
        <f>_xlfn.XLOOKUP(E211,'All Products'!D:D,'All Products'!J:J,FALSE)</f>
        <v>Manufactured</v>
      </c>
      <c r="Q211" s="266">
        <f>_xlfn.XLOOKUP(E211,'All Products'!D:D,'All Products'!K:K,FALSE)</f>
        <v>49081029296</v>
      </c>
      <c r="R211" s="266" t="str">
        <f>_xlfn.XLOOKUP(E211,'All Products'!D:D,'All Products'!L:L,FALSE)</f>
        <v>-</v>
      </c>
      <c r="S211" s="266">
        <f>_xlfn.XLOOKUP(E211,'All Products'!D:D,'All Products'!M:M,FALSE)</f>
        <v>40049081029294</v>
      </c>
      <c r="T211" s="264">
        <f>_xlfn.XLOOKUP(E211,'All Products'!D:D,'All Products'!N:N,FALSE)</f>
        <v>2.222</v>
      </c>
      <c r="U211" s="264">
        <f>_xlfn.XLOOKUP(E211,'All Products'!D:D,'All Products'!P:P,FALSE)</f>
        <v>19.100000000000001</v>
      </c>
      <c r="V211" s="265" t="str">
        <f>_xlfn.XLOOKUP(E211,'All Products'!D:D,'All Products'!Q:Q,FALSE)</f>
        <v>-</v>
      </c>
    </row>
    <row r="212" spans="1:22" ht="14.4" customHeight="1">
      <c r="A212" s="101" t="str">
        <f>IF(K212&gt;0,COUNT($A$8:A211)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12" s="610"/>
      <c r="C212" s="611"/>
      <c r="D212" s="274" t="str">
        <f>_xlfn.XLOOKUP(E212,'All Products'!D:D,'All Products'!C:C,FALSE)</f>
        <v>3-D3-21-1-12</v>
      </c>
      <c r="E212" s="103">
        <v>100024591</v>
      </c>
      <c r="F212" s="144" t="str">
        <f>_xlfn.XLOOKUP(E212,'All Products'!D:D,'All Products'!E:E,FALSE)</f>
        <v>40DN SPG X 1-1/2 ACME SU X 12 SJ</v>
      </c>
      <c r="G212" s="103">
        <f>_xlfn.XLOOKUP(E212,'All Products'!D:D,'All Products'!F:F,FALSE)</f>
        <v>10</v>
      </c>
      <c r="H212" s="103">
        <f>_xlfn.XLOOKUP(E212,'All Products'!D:D,'All Products'!G:G,FALSE)</f>
        <v>600</v>
      </c>
      <c r="I212" s="140">
        <f>_xlfn.XLOOKUP(E212,'All Products'!D:D,'All Products'!H:H,FALSE)</f>
        <v>165.57</v>
      </c>
      <c r="J212" s="173">
        <f>ROUNDUP(I212*Order_Quote!$L$26,2)</f>
        <v>165.57</v>
      </c>
      <c r="K212" s="75"/>
      <c r="L212" s="113"/>
      <c r="M212" s="171">
        <f t="shared" si="3"/>
        <v>0</v>
      </c>
      <c r="O212" s="215" t="str">
        <f>_xlfn.XLOOKUP(E212,'All Products'!D:D,'All Products'!I:I,FALSE)</f>
        <v>Within 3 Weeks</v>
      </c>
      <c r="P212" s="215" t="str">
        <f>_xlfn.XLOOKUP(E212,'All Products'!D:D,'All Products'!J:J,FALSE)</f>
        <v>Manufactured</v>
      </c>
      <c r="Q212" s="266">
        <f>_xlfn.XLOOKUP(E212,'All Products'!D:D,'All Products'!K:K,FALSE)</f>
        <v>49081020095</v>
      </c>
      <c r="R212" s="266" t="str">
        <f>_xlfn.XLOOKUP(E212,'All Products'!D:D,'All Products'!L:L,FALSE)</f>
        <v>-</v>
      </c>
      <c r="S212" s="266">
        <f>_xlfn.XLOOKUP(E212,'All Products'!D:D,'All Products'!M:M,FALSE)</f>
        <v>40049081020093</v>
      </c>
      <c r="T212" s="264">
        <f>_xlfn.XLOOKUP(E212,'All Products'!D:D,'All Products'!N:N,FALSE)</f>
        <v>1.9830000000000001</v>
      </c>
      <c r="U212" s="264">
        <f>_xlfn.XLOOKUP(E212,'All Products'!D:D,'All Products'!P:P,FALSE)</f>
        <v>20.43</v>
      </c>
      <c r="V212" s="265">
        <f>_xlfn.XLOOKUP(E212,'All Products'!D:D,'All Products'!Q:Q,FALSE)</f>
        <v>1.41</v>
      </c>
    </row>
    <row r="213" spans="1:22" ht="14.4" customHeight="1">
      <c r="A213" s="101" t="str">
        <f>IF(K213&gt;0,COUNT($A$8:A212)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13" s="610"/>
      <c r="C213" s="611"/>
      <c r="D213" s="274" t="str">
        <f>_xlfn.XLOOKUP(E213,'All Products'!D:D,'All Products'!C:C,FALSE)</f>
        <v>3-D3-3-1-12</v>
      </c>
      <c r="E213" s="103">
        <v>100024598</v>
      </c>
      <c r="F213" s="144" t="str">
        <f>_xlfn.XLOOKUP(E213,'All Products'!D:D,'All Products'!E:E,FALSE)</f>
        <v>40DN SPG X 1-1/2 MPT SU X 12 SJ</v>
      </c>
      <c r="G213" s="103">
        <f>_xlfn.XLOOKUP(E213,'All Products'!D:D,'All Products'!F:F,FALSE)</f>
        <v>10</v>
      </c>
      <c r="H213" s="103">
        <f>_xlfn.XLOOKUP(E213,'All Products'!D:D,'All Products'!G:G,FALSE)</f>
        <v>180</v>
      </c>
      <c r="I213" s="140">
        <f>_xlfn.XLOOKUP(E213,'All Products'!D:D,'All Products'!H:H,FALSE)</f>
        <v>165.57</v>
      </c>
      <c r="J213" s="173">
        <f>ROUNDUP(I213*Order_Quote!$L$26,2)</f>
        <v>165.57</v>
      </c>
      <c r="K213" s="75"/>
      <c r="L213" s="113"/>
      <c r="M213" s="171">
        <f t="shared" si="3"/>
        <v>0</v>
      </c>
      <c r="O213" s="215" t="str">
        <f>_xlfn.XLOOKUP(E213,'All Products'!D:D,'All Products'!I:I,FALSE)</f>
        <v>Within 3 Weeks</v>
      </c>
      <c r="P213" s="215" t="str">
        <f>_xlfn.XLOOKUP(E213,'All Products'!D:D,'All Products'!J:J,FALSE)</f>
        <v>Manufactured</v>
      </c>
      <c r="Q213" s="266">
        <f>_xlfn.XLOOKUP(E213,'All Products'!D:D,'All Products'!K:K,FALSE)</f>
        <v>49081029371</v>
      </c>
      <c r="R213" s="266" t="str">
        <f>_xlfn.XLOOKUP(E213,'All Products'!D:D,'All Products'!L:L,FALSE)</f>
        <v>-</v>
      </c>
      <c r="S213" s="266">
        <f>_xlfn.XLOOKUP(E213,'All Products'!D:D,'All Products'!M:M,FALSE)</f>
        <v>40049081029379</v>
      </c>
      <c r="T213" s="264">
        <f>_xlfn.XLOOKUP(E213,'All Products'!D:D,'All Products'!N:N,FALSE)</f>
        <v>1.9279999999999999</v>
      </c>
      <c r="U213" s="264">
        <f>_xlfn.XLOOKUP(E213,'All Products'!D:D,'All Products'!P:P,FALSE)</f>
        <v>20.260000000000002</v>
      </c>
      <c r="V213" s="265">
        <f>_xlfn.XLOOKUP(E213,'All Products'!D:D,'All Products'!Q:Q,FALSE)</f>
        <v>2.65</v>
      </c>
    </row>
    <row r="214" spans="1:22" ht="14.4" customHeight="1">
      <c r="A214" s="101" t="str">
        <f>IF(K214&gt;0,COUNT($A$8:A213)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14" s="610"/>
      <c r="C214" s="611"/>
      <c r="D214" s="274" t="str">
        <f>_xlfn.XLOOKUP(E214,'All Products'!D:D,'All Products'!C:C,FALSE)</f>
        <v>3-J6-21-1-12</v>
      </c>
      <c r="E214" s="103">
        <v>100025063</v>
      </c>
      <c r="F214" s="144" t="str">
        <f>_xlfn.XLOOKUP(E214,'All Products'!D:D,'All Products'!E:E,FALSE)</f>
        <v>40MM SOC X 1-1/2 ACME SU X 12 SJ</v>
      </c>
      <c r="G214" s="103">
        <f>_xlfn.XLOOKUP(E214,'All Products'!D:D,'All Products'!F:F,FALSE)</f>
        <v>10</v>
      </c>
      <c r="H214" s="103">
        <f>_xlfn.XLOOKUP(E214,'All Products'!D:D,'All Products'!G:G,FALSE)</f>
        <v>600</v>
      </c>
      <c r="I214" s="140">
        <f>_xlfn.XLOOKUP(E214,'All Products'!D:D,'All Products'!H:H,FALSE)</f>
        <v>165.57</v>
      </c>
      <c r="J214" s="173">
        <f>ROUNDUP(I214*Order_Quote!$L$26,2)</f>
        <v>165.57</v>
      </c>
      <c r="K214" s="75"/>
      <c r="L214" s="113"/>
      <c r="M214" s="171">
        <f t="shared" si="3"/>
        <v>0</v>
      </c>
      <c r="O214" s="215" t="str">
        <f>_xlfn.XLOOKUP(E214,'All Products'!D:D,'All Products'!I:I,FALSE)</f>
        <v>Within 3 Weeks</v>
      </c>
      <c r="P214" s="215" t="str">
        <f>_xlfn.XLOOKUP(E214,'All Products'!D:D,'All Products'!J:J,FALSE)</f>
        <v>Manufactured</v>
      </c>
      <c r="Q214" s="266">
        <f>_xlfn.XLOOKUP(E214,'All Products'!D:D,'All Products'!K:K,FALSE)</f>
        <v>49081029425</v>
      </c>
      <c r="R214" s="266" t="str">
        <f>_xlfn.XLOOKUP(E214,'All Products'!D:D,'All Products'!L:L,FALSE)</f>
        <v>-</v>
      </c>
      <c r="S214" s="266">
        <f>_xlfn.XLOOKUP(E214,'All Products'!D:D,'All Products'!M:M,FALSE)</f>
        <v>40049081029423</v>
      </c>
      <c r="T214" s="264">
        <f>_xlfn.XLOOKUP(E214,'All Products'!D:D,'All Products'!N:N,FALSE)</f>
        <v>2.0190000000000001</v>
      </c>
      <c r="U214" s="264">
        <f>_xlfn.XLOOKUP(E214,'All Products'!D:D,'All Products'!P:P,FALSE)</f>
        <v>20.53</v>
      </c>
      <c r="V214" s="265">
        <f>_xlfn.XLOOKUP(E214,'All Products'!D:D,'All Products'!Q:Q,FALSE)</f>
        <v>1.41</v>
      </c>
    </row>
    <row r="215" spans="1:22" ht="14.4" customHeight="1" thickBot="1">
      <c r="A215" s="101" t="str">
        <f>IF(K215&gt;0,COUNT($A$8:A214)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15" s="715"/>
      <c r="C215" s="697"/>
      <c r="D215" s="274" t="str">
        <f>_xlfn.XLOOKUP(E215,'All Products'!D:D,'All Products'!C:C,FALSE)</f>
        <v>3-J6-22-1-12</v>
      </c>
      <c r="E215" s="103">
        <v>100024606</v>
      </c>
      <c r="F215" s="144" t="str">
        <f>_xlfn.XLOOKUP(E215,'All Products'!D:D,'All Products'!E:E,FALSE)</f>
        <v>40MM SOC X 1-1/2 BSPT SU X 12 SJ</v>
      </c>
      <c r="G215" s="103">
        <f>_xlfn.XLOOKUP(E215,'All Products'!D:D,'All Products'!F:F,FALSE)</f>
        <v>10</v>
      </c>
      <c r="H215" s="103">
        <f>_xlfn.XLOOKUP(E215,'All Products'!D:D,'All Products'!G:G,FALSE)</f>
        <v>600</v>
      </c>
      <c r="I215" s="140">
        <f>_xlfn.XLOOKUP(E215,'All Products'!D:D,'All Products'!H:H,FALSE)</f>
        <v>165.57</v>
      </c>
      <c r="J215" s="173">
        <f>ROUNDUP(I215*Order_Quote!$L$26,2)</f>
        <v>165.57</v>
      </c>
      <c r="K215" s="75"/>
      <c r="L215" s="113"/>
      <c r="M215" s="171">
        <f t="shared" si="3"/>
        <v>0</v>
      </c>
      <c r="O215" s="567" t="str">
        <f>_xlfn.XLOOKUP(E215,'All Products'!D:D,'All Products'!I:I,FALSE)</f>
        <v>Within 3 Weeks</v>
      </c>
      <c r="P215" s="567" t="str">
        <f>_xlfn.XLOOKUP(E215,'All Products'!D:D,'All Products'!J:J,FALSE)</f>
        <v>Manufactured</v>
      </c>
      <c r="Q215" s="569">
        <f>_xlfn.XLOOKUP(E215,'All Products'!D:D,'All Products'!K:K,FALSE)</f>
        <v>49081022044</v>
      </c>
      <c r="R215" s="569" t="str">
        <f>_xlfn.XLOOKUP(E215,'All Products'!D:D,'All Products'!L:L,FALSE)</f>
        <v>-</v>
      </c>
      <c r="S215" s="569">
        <f>_xlfn.XLOOKUP(E215,'All Products'!D:D,'All Products'!M:M,FALSE)</f>
        <v>40049081022042</v>
      </c>
      <c r="T215" s="583">
        <f>_xlfn.XLOOKUP(E215,'All Products'!D:D,'All Products'!N:N,FALSE)</f>
        <v>1.958</v>
      </c>
      <c r="U215" s="583">
        <f>_xlfn.XLOOKUP(E215,'All Products'!D:D,'All Products'!P:P,FALSE)</f>
        <v>20.58</v>
      </c>
      <c r="V215" s="570">
        <f>_xlfn.XLOOKUP(E215,'All Products'!D:D,'All Products'!Q:Q,FALSE)</f>
        <v>1.41</v>
      </c>
    </row>
    <row r="216" spans="1:22" ht="16.2" thickBot="1">
      <c r="A216" s="101" t="str">
        <f>IF(K216&gt;0,COUNT($A$8:A215)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16" s="446" t="s">
        <v>2849</v>
      </c>
      <c r="C216" s="151"/>
      <c r="D216" s="151"/>
      <c r="E216" s="459"/>
      <c r="F216" s="151"/>
      <c r="G216" s="468"/>
      <c r="H216" s="151"/>
      <c r="I216" s="472"/>
      <c r="J216" s="468"/>
      <c r="K216" s="566"/>
      <c r="M216" s="545"/>
      <c r="O216" s="357"/>
      <c r="P216" s="145"/>
      <c r="Q216" s="493"/>
      <c r="R216" s="493"/>
      <c r="S216" s="493"/>
      <c r="T216" s="479"/>
      <c r="U216" s="459"/>
      <c r="V216" s="582"/>
    </row>
    <row r="217" spans="1:22" ht="14.4" customHeight="1">
      <c r="A217" s="101" t="str">
        <f>IF(K217&gt;0,COUNT($A$8:A216)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17" s="682"/>
      <c r="C217" s="683"/>
      <c r="D217" s="274" t="str">
        <f>_xlfn.XLOOKUP(E217,'All Products'!D:D,'All Products'!C:C,FALSE)</f>
        <v>1-A1-1-15-8</v>
      </c>
      <c r="E217" s="103">
        <v>100023783</v>
      </c>
      <c r="F217" s="144" t="str">
        <f>_xlfn.XLOOKUP(E217,'All Products'!D:D,'All Products'!E:E,FALSE)</f>
        <v>1 ACME X 1 SOCKET SU X 8 LL SJ</v>
      </c>
      <c r="G217" s="103">
        <f>_xlfn.XLOOKUP(E217,'All Products'!D:D,'All Products'!F:F,FALSE)</f>
        <v>10</v>
      </c>
      <c r="H217" s="103">
        <f>_xlfn.XLOOKUP(E217,'All Products'!D:D,'All Products'!G:G,FALSE)</f>
        <v>1200</v>
      </c>
      <c r="I217" s="140">
        <f>_xlfn.XLOOKUP(E217,'All Products'!D:D,'All Products'!H:H,FALSE)</f>
        <v>85.85</v>
      </c>
      <c r="J217" s="173">
        <f>ROUNDUP(I217*Order_Quote!$L$26,2)</f>
        <v>85.85</v>
      </c>
      <c r="K217" s="75"/>
      <c r="L217" s="113"/>
      <c r="M217" s="171">
        <f t="shared" ref="M217:M256" si="4">K217/G217</f>
        <v>0</v>
      </c>
      <c r="O217" s="215" t="str">
        <f>_xlfn.XLOOKUP(E217,'All Products'!D:D,'All Products'!I:I,FALSE)</f>
        <v>Within 3 Weeks</v>
      </c>
      <c r="P217" s="215" t="str">
        <f>_xlfn.XLOOKUP(E217,'All Products'!D:D,'All Products'!J:J,FALSE)</f>
        <v>Manufactured</v>
      </c>
      <c r="Q217" s="266">
        <f>_xlfn.XLOOKUP(E217,'All Products'!D:D,'All Products'!K:K,FALSE)</f>
        <v>49081030155</v>
      </c>
      <c r="R217" s="266" t="str">
        <f>_xlfn.XLOOKUP(E217,'All Products'!D:D,'All Products'!L:L,FALSE)</f>
        <v>-</v>
      </c>
      <c r="S217" s="266">
        <f>_xlfn.XLOOKUP(E217,'All Products'!D:D,'All Products'!M:M,FALSE)</f>
        <v>40049081030153</v>
      </c>
      <c r="T217" s="264">
        <f>_xlfn.XLOOKUP(E217,'All Products'!D:D,'All Products'!N:N,FALSE)</f>
        <v>0.82199999999999995</v>
      </c>
      <c r="U217" s="264">
        <f>_xlfn.XLOOKUP(E217,'All Products'!D:D,'All Products'!P:P,FALSE)</f>
        <v>8.6</v>
      </c>
      <c r="V217" s="265">
        <f>_xlfn.XLOOKUP(E217,'All Products'!D:D,'All Products'!Q:Q,FALSE)</f>
        <v>0.65</v>
      </c>
    </row>
    <row r="218" spans="1:22" ht="14.4" customHeight="1">
      <c r="A218" s="101" t="str">
        <f>IF(K218&gt;0,COUNT($A$8:A217)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18" s="610"/>
      <c r="C218" s="611"/>
      <c r="D218" s="274" t="str">
        <f>_xlfn.XLOOKUP(E218,'All Products'!D:D,'All Products'!C:C,FALSE)</f>
        <v>1-A1-13-15-12</v>
      </c>
      <c r="E218" s="103">
        <v>100024877</v>
      </c>
      <c r="F218" s="144" t="str">
        <f>_xlfn.XLOOKUP(E218,'All Products'!D:D,'All Products'!E:E,FALSE)</f>
        <v>1 ACME X 1 ACME SU X 12 SJ</v>
      </c>
      <c r="G218" s="103">
        <f>_xlfn.XLOOKUP(E218,'All Products'!D:D,'All Products'!F:F,FALSE)</f>
        <v>10</v>
      </c>
      <c r="H218" s="103">
        <f>_xlfn.XLOOKUP(E218,'All Products'!D:D,'All Products'!G:G,FALSE)</f>
        <v>900</v>
      </c>
      <c r="I218" s="140">
        <f>_xlfn.XLOOKUP(E218,'All Products'!D:D,'All Products'!H:H,FALSE)</f>
        <v>93.54</v>
      </c>
      <c r="J218" s="173">
        <f>ROUNDUP(I218*Order_Quote!$L$26,2)</f>
        <v>93.54</v>
      </c>
      <c r="K218" s="75"/>
      <c r="L218" s="113"/>
      <c r="M218" s="171">
        <f t="shared" si="4"/>
        <v>0</v>
      </c>
      <c r="O218" s="215" t="str">
        <f>_xlfn.XLOOKUP(E218,'All Products'!D:D,'All Products'!I:I,FALSE)</f>
        <v>In Stock</v>
      </c>
      <c r="P218" s="215" t="str">
        <f>_xlfn.XLOOKUP(E218,'All Products'!D:D,'All Products'!J:J,FALSE)</f>
        <v>Manufactured</v>
      </c>
      <c r="Q218" s="266">
        <f>_xlfn.XLOOKUP(E218,'All Products'!D:D,'All Products'!K:K,FALSE)</f>
        <v>49081020491</v>
      </c>
      <c r="R218" s="266" t="str">
        <f>_xlfn.XLOOKUP(E218,'All Products'!D:D,'All Products'!L:L,FALSE)</f>
        <v>-</v>
      </c>
      <c r="S218" s="266">
        <f>_xlfn.XLOOKUP(E218,'All Products'!D:D,'All Products'!M:M,FALSE)</f>
        <v>40049081020499</v>
      </c>
      <c r="T218" s="264">
        <f>_xlfn.XLOOKUP(E218,'All Products'!D:D,'All Products'!N:N,FALSE)</f>
        <v>0.99199999999999999</v>
      </c>
      <c r="U218" s="264">
        <f>_xlfn.XLOOKUP(E218,'All Products'!D:D,'All Products'!P:P,FALSE)</f>
        <v>10.23</v>
      </c>
      <c r="V218" s="265">
        <f>_xlfn.XLOOKUP(E218,'All Products'!D:D,'All Products'!Q:Q,FALSE)</f>
        <v>0.8</v>
      </c>
    </row>
    <row r="219" spans="1:22" ht="14.4" customHeight="1">
      <c r="A219" s="101" t="str">
        <f>IF(K219&gt;0,COUNT($A$8:A218)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19" s="610"/>
      <c r="C219" s="611"/>
      <c r="D219" s="274" t="str">
        <f>_xlfn.XLOOKUP(E219,'All Products'!D:D,'All Products'!C:C,FALSE)</f>
        <v>1-A1-13-15-18</v>
      </c>
      <c r="E219" s="103">
        <v>100024878</v>
      </c>
      <c r="F219" s="144" t="str">
        <f>_xlfn.XLOOKUP(E219,'All Products'!D:D,'All Products'!E:E,FALSE)</f>
        <v>1 ACME X 1 ACME SU X 18 SJ</v>
      </c>
      <c r="G219" s="103">
        <f>_xlfn.XLOOKUP(E219,'All Products'!D:D,'All Products'!F:F,FALSE)</f>
        <v>10</v>
      </c>
      <c r="H219" s="103">
        <f>_xlfn.XLOOKUP(E219,'All Products'!D:D,'All Products'!G:G,FALSE)</f>
        <v>600</v>
      </c>
      <c r="I219" s="140">
        <f>_xlfn.XLOOKUP(E219,'All Products'!D:D,'All Products'!H:H,FALSE)</f>
        <v>104.64</v>
      </c>
      <c r="J219" s="173">
        <f>ROUNDUP(I219*Order_Quote!$L$26,2)</f>
        <v>104.64</v>
      </c>
      <c r="K219" s="75"/>
      <c r="L219" s="113"/>
      <c r="M219" s="171">
        <f t="shared" si="4"/>
        <v>0</v>
      </c>
      <c r="O219" s="215" t="str">
        <f>_xlfn.XLOOKUP(E219,'All Products'!D:D,'All Products'!I:I,FALSE)</f>
        <v>Within 3 Weeks</v>
      </c>
      <c r="P219" s="215" t="str">
        <f>_xlfn.XLOOKUP(E219,'All Products'!D:D,'All Products'!J:J,FALSE)</f>
        <v>Manufactured</v>
      </c>
      <c r="Q219" s="266">
        <f>_xlfn.XLOOKUP(E219,'All Products'!D:D,'All Products'!K:K,FALSE)</f>
        <v>49081023270</v>
      </c>
      <c r="R219" s="266" t="str">
        <f>_xlfn.XLOOKUP(E219,'All Products'!D:D,'All Products'!L:L,FALSE)</f>
        <v>-</v>
      </c>
      <c r="S219" s="266">
        <f>_xlfn.XLOOKUP(E219,'All Products'!D:D,'All Products'!M:M,FALSE)</f>
        <v>40049081023278</v>
      </c>
      <c r="T219" s="264">
        <f>_xlfn.XLOOKUP(E219,'All Products'!D:D,'All Products'!N:N,FALSE)</f>
        <v>1.171</v>
      </c>
      <c r="U219" s="264">
        <f>_xlfn.XLOOKUP(E219,'All Products'!D:D,'All Products'!P:P,FALSE)</f>
        <v>12.13</v>
      </c>
      <c r="V219" s="265">
        <f>_xlfn.XLOOKUP(E219,'All Products'!D:D,'All Products'!Q:Q,FALSE)</f>
        <v>1.41</v>
      </c>
    </row>
    <row r="220" spans="1:22" ht="14.4" customHeight="1">
      <c r="A220" s="101" t="str">
        <f>IF(K220&gt;0,COUNT($A$8:A219)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20" s="610"/>
      <c r="C220" s="611"/>
      <c r="D220" s="274" t="str">
        <f>_xlfn.XLOOKUP(E220,'All Products'!D:D,'All Products'!C:C,FALSE)</f>
        <v>1-A1-15-15-12</v>
      </c>
      <c r="E220" s="103">
        <v>100023822</v>
      </c>
      <c r="F220" s="144" t="str">
        <f>_xlfn.XLOOKUP(E220,'All Products'!D:D,'All Products'!E:E,FALSE)</f>
        <v>1 X 1-1/2 ACME BASE SU X 12 LL SJ</v>
      </c>
      <c r="G220" s="103">
        <f>_xlfn.XLOOKUP(E220,'All Products'!D:D,'All Products'!F:F,FALSE)</f>
        <v>10</v>
      </c>
      <c r="H220" s="103">
        <f>_xlfn.XLOOKUP(E220,'All Products'!D:D,'All Products'!G:G,FALSE)</f>
        <v>900</v>
      </c>
      <c r="I220" s="140">
        <f>_xlfn.XLOOKUP(E220,'All Products'!D:D,'All Products'!H:H,FALSE)</f>
        <v>93.54</v>
      </c>
      <c r="J220" s="173">
        <f>ROUNDUP(I220*Order_Quote!$L$26,2)</f>
        <v>93.54</v>
      </c>
      <c r="K220" s="75"/>
      <c r="L220" s="113"/>
      <c r="M220" s="171">
        <f t="shared" si="4"/>
        <v>0</v>
      </c>
      <c r="O220" s="215" t="str">
        <f>_xlfn.XLOOKUP(E220,'All Products'!D:D,'All Products'!I:I,FALSE)</f>
        <v>Within 3 Weeks</v>
      </c>
      <c r="P220" s="215" t="str">
        <f>_xlfn.XLOOKUP(E220,'All Products'!D:D,'All Products'!J:J,FALSE)</f>
        <v>Manufactured</v>
      </c>
      <c r="Q220" s="266">
        <f>_xlfn.XLOOKUP(E220,'All Products'!D:D,'All Products'!K:K,FALSE)</f>
        <v>49081023416</v>
      </c>
      <c r="R220" s="266" t="str">
        <f>_xlfn.XLOOKUP(E220,'All Products'!D:D,'All Products'!L:L,FALSE)</f>
        <v>-</v>
      </c>
      <c r="S220" s="266">
        <f>_xlfn.XLOOKUP(E220,'All Products'!D:D,'All Products'!M:M,FALSE)</f>
        <v>40049081023414</v>
      </c>
      <c r="T220" s="264">
        <f>_xlfn.XLOOKUP(E220,'All Products'!D:D,'All Products'!N:N,FALSE)</f>
        <v>1.0349999999999999</v>
      </c>
      <c r="U220" s="264">
        <f>_xlfn.XLOOKUP(E220,'All Products'!D:D,'All Products'!P:P,FALSE)</f>
        <v>9.3000000000000007</v>
      </c>
      <c r="V220" s="265">
        <f>_xlfn.XLOOKUP(E220,'All Products'!D:D,'All Products'!Q:Q,FALSE)</f>
        <v>0.8</v>
      </c>
    </row>
    <row r="221" spans="1:22" ht="14.4" customHeight="1">
      <c r="A221" s="101" t="str">
        <f>IF(K221&gt;0,COUNT($A$8:A220)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21" s="610"/>
      <c r="C221" s="611"/>
      <c r="D221" s="274" t="str">
        <f>_xlfn.XLOOKUP(E221,'All Products'!D:D,'All Products'!C:C,FALSE)</f>
        <v>1-A1-3-15-12</v>
      </c>
      <c r="E221" s="103">
        <v>100024897</v>
      </c>
      <c r="F221" s="144" t="str">
        <f>_xlfn.XLOOKUP(E221,'All Products'!D:D,'All Products'!E:E,FALSE)</f>
        <v>1 ACME X 1 MPT SU X 12 SJ</v>
      </c>
      <c r="G221" s="103">
        <f>_xlfn.XLOOKUP(E221,'All Products'!D:D,'All Products'!F:F,FALSE)</f>
        <v>10</v>
      </c>
      <c r="H221" s="103">
        <f>_xlfn.XLOOKUP(E221,'All Products'!D:D,'All Products'!G:G,FALSE)</f>
        <v>900</v>
      </c>
      <c r="I221" s="140">
        <f>_xlfn.XLOOKUP(E221,'All Products'!D:D,'All Products'!H:H,FALSE)</f>
        <v>93.54</v>
      </c>
      <c r="J221" s="173">
        <f>ROUNDUP(I221*Order_Quote!$L$26,2)</f>
        <v>93.54</v>
      </c>
      <c r="K221" s="75"/>
      <c r="L221" s="113"/>
      <c r="M221" s="171">
        <f t="shared" si="4"/>
        <v>0</v>
      </c>
      <c r="O221" s="215" t="str">
        <f>_xlfn.XLOOKUP(E221,'All Products'!D:D,'All Products'!I:I,FALSE)</f>
        <v>Within 3 Weeks</v>
      </c>
      <c r="P221" s="215" t="str">
        <f>_xlfn.XLOOKUP(E221,'All Products'!D:D,'All Products'!J:J,FALSE)</f>
        <v>Manufactured</v>
      </c>
      <c r="Q221" s="266">
        <f>_xlfn.XLOOKUP(E221,'All Products'!D:D,'All Products'!K:K,FALSE)</f>
        <v>49081022594</v>
      </c>
      <c r="R221" s="266" t="str">
        <f>_xlfn.XLOOKUP(E221,'All Products'!D:D,'All Products'!L:L,FALSE)</f>
        <v>-</v>
      </c>
      <c r="S221" s="266">
        <f>_xlfn.XLOOKUP(E221,'All Products'!D:D,'All Products'!M:M,FALSE)</f>
        <v>40049081022592</v>
      </c>
      <c r="T221" s="264">
        <f>_xlfn.XLOOKUP(E221,'All Products'!D:D,'All Products'!N:N,FALSE)</f>
        <v>0.97299999999999998</v>
      </c>
      <c r="U221" s="264">
        <f>_xlfn.XLOOKUP(E221,'All Products'!D:D,'All Products'!P:P,FALSE)</f>
        <v>10</v>
      </c>
      <c r="V221" s="265">
        <f>_xlfn.XLOOKUP(E221,'All Products'!D:D,'All Products'!Q:Q,FALSE)</f>
        <v>0.8</v>
      </c>
    </row>
    <row r="222" spans="1:22" ht="14.4" customHeight="1">
      <c r="A222" s="101" t="str">
        <f>IF(K222&gt;0,COUNT($A$8:A221)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22" s="610"/>
      <c r="C222" s="611"/>
      <c r="D222" s="274" t="str">
        <f>_xlfn.XLOOKUP(E222,'All Products'!D:D,'All Products'!C:C,FALSE)</f>
        <v>1-A1-3-15-18</v>
      </c>
      <c r="E222" s="103">
        <v>100023858</v>
      </c>
      <c r="F222" s="144" t="str">
        <f>_xlfn.XLOOKUP(E222,'All Products'!D:D,'All Products'!E:E,FALSE)</f>
        <v>1 ACME X 1 MPT SU X 18 LL SJ</v>
      </c>
      <c r="G222" s="103">
        <f>_xlfn.XLOOKUP(E222,'All Products'!D:D,'All Products'!F:F,FALSE)</f>
        <v>10</v>
      </c>
      <c r="H222" s="103">
        <f>_xlfn.XLOOKUP(E222,'All Products'!D:D,'All Products'!G:G,FALSE)</f>
        <v>600</v>
      </c>
      <c r="I222" s="140">
        <f>_xlfn.XLOOKUP(E222,'All Products'!D:D,'All Products'!H:H,FALSE)</f>
        <v>104.64</v>
      </c>
      <c r="J222" s="173">
        <f>ROUNDUP(I222*Order_Quote!$L$26,2)</f>
        <v>104.64</v>
      </c>
      <c r="K222" s="75"/>
      <c r="L222" s="113"/>
      <c r="M222" s="171">
        <f t="shared" si="4"/>
        <v>0</v>
      </c>
      <c r="O222" s="215" t="str">
        <f>_xlfn.XLOOKUP(E222,'All Products'!D:D,'All Products'!I:I,FALSE)</f>
        <v>Within 3 Weeks</v>
      </c>
      <c r="P222" s="215" t="str">
        <f>_xlfn.XLOOKUP(E222,'All Products'!D:D,'All Products'!J:J,FALSE)</f>
        <v>Manufactured</v>
      </c>
      <c r="Q222" s="266">
        <f>_xlfn.XLOOKUP(E222,'All Products'!D:D,'All Products'!K:K,FALSE)</f>
        <v>49081020682</v>
      </c>
      <c r="R222" s="266" t="str">
        <f>_xlfn.XLOOKUP(E222,'All Products'!D:D,'All Products'!L:L,FALSE)</f>
        <v>-</v>
      </c>
      <c r="S222" s="266">
        <f>_xlfn.XLOOKUP(E222,'All Products'!D:D,'All Products'!M:M,FALSE)</f>
        <v>40049081020680</v>
      </c>
      <c r="T222" s="264">
        <f>_xlfn.XLOOKUP(E222,'All Products'!D:D,'All Products'!N:N,FALSE)</f>
        <v>1.1519999999999999</v>
      </c>
      <c r="U222" s="264">
        <f>_xlfn.XLOOKUP(E222,'All Products'!D:D,'All Products'!P:P,FALSE)</f>
        <v>12.13</v>
      </c>
      <c r="V222" s="265">
        <f>_xlfn.XLOOKUP(E222,'All Products'!D:D,'All Products'!Q:Q,FALSE)</f>
        <v>1.41</v>
      </c>
    </row>
    <row r="223" spans="1:22" ht="14.4" customHeight="1">
      <c r="A223" s="101" t="str">
        <f>IF(K223&gt;0,COUNT($A$8:A222)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23" s="610"/>
      <c r="C223" s="611"/>
      <c r="D223" s="274" t="str">
        <f>_xlfn.XLOOKUP(E223,'All Products'!D:D,'All Products'!C:C,FALSE)</f>
        <v>1-A1-QC-15-12</v>
      </c>
      <c r="E223" s="103">
        <v>100024904</v>
      </c>
      <c r="F223" s="144" t="str">
        <f>_xlfn.XLOOKUP(E223,'All Products'!D:D,'All Products'!E:E,FALSE)</f>
        <v>1 ACME X BRASS MPT SU X 12LL SJ</v>
      </c>
      <c r="G223" s="103">
        <f>_xlfn.XLOOKUP(E223,'All Products'!D:D,'All Products'!F:F,FALSE)</f>
        <v>10</v>
      </c>
      <c r="H223" s="103">
        <f>_xlfn.XLOOKUP(E223,'All Products'!D:D,'All Products'!G:G,FALSE)</f>
        <v>750</v>
      </c>
      <c r="I223" s="140">
        <f>_xlfn.XLOOKUP(E223,'All Products'!D:D,'All Products'!H:H,FALSE)</f>
        <v>191.49</v>
      </c>
      <c r="J223" s="173">
        <f>ROUNDUP(I223*Order_Quote!$L$26,2)</f>
        <v>191.49</v>
      </c>
      <c r="K223" s="75"/>
      <c r="L223" s="113"/>
      <c r="M223" s="171">
        <f t="shared" si="4"/>
        <v>0</v>
      </c>
      <c r="O223" s="215" t="str">
        <f>_xlfn.XLOOKUP(E223,'All Products'!D:D,'All Products'!I:I,FALSE)</f>
        <v>Within 3 Weeks</v>
      </c>
      <c r="P223" s="215" t="str">
        <f>_xlfn.XLOOKUP(E223,'All Products'!D:D,'All Products'!J:J,FALSE)</f>
        <v>Manufactured</v>
      </c>
      <c r="Q223" s="266">
        <f>_xlfn.XLOOKUP(E223,'All Products'!D:D,'All Products'!K:K,FALSE)</f>
        <v>49081022785</v>
      </c>
      <c r="R223" s="266" t="str">
        <f>_xlfn.XLOOKUP(E223,'All Products'!D:D,'All Products'!L:L,FALSE)</f>
        <v>-</v>
      </c>
      <c r="S223" s="266">
        <f>_xlfn.XLOOKUP(E223,'All Products'!D:D,'All Products'!M:M,FALSE)</f>
        <v>40049081022783</v>
      </c>
      <c r="T223" s="264">
        <f>_xlfn.XLOOKUP(E223,'All Products'!D:D,'All Products'!N:N,FALSE)</f>
        <v>1.643</v>
      </c>
      <c r="U223" s="264">
        <f>_xlfn.XLOOKUP(E223,'All Products'!D:D,'All Products'!P:P,FALSE)</f>
        <v>17.309999999999999</v>
      </c>
      <c r="V223" s="265">
        <f>_xlfn.XLOOKUP(E223,'All Products'!D:D,'All Products'!Q:Q,FALSE)</f>
        <v>1.1000000000000001</v>
      </c>
    </row>
    <row r="224" spans="1:22" ht="14.4" customHeight="1">
      <c r="A224" s="101" t="str">
        <f>IF(K224&gt;0,COUNT($A$8:A223)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24" s="610"/>
      <c r="C224" s="611"/>
      <c r="D224" s="274" t="str">
        <f>_xlfn.XLOOKUP(E224,'All Products'!D:D,'All Products'!C:C,FALSE)</f>
        <v>1-A1-QC-15-18</v>
      </c>
      <c r="E224" s="103">
        <v>100024905</v>
      </c>
      <c r="F224" s="144" t="str">
        <f>_xlfn.XLOOKUP(E224,'All Products'!D:D,'All Products'!E:E,FALSE)</f>
        <v>1 ACME X BRASS MPT SU X 18LL SJ</v>
      </c>
      <c r="G224" s="103">
        <f>_xlfn.XLOOKUP(E224,'All Products'!D:D,'All Products'!F:F,FALSE)</f>
        <v>10</v>
      </c>
      <c r="H224" s="103">
        <f>_xlfn.XLOOKUP(E224,'All Products'!D:D,'All Products'!G:G,FALSE)</f>
        <v>240</v>
      </c>
      <c r="I224" s="140">
        <f>_xlfn.XLOOKUP(E224,'All Products'!D:D,'All Products'!H:H,FALSE)</f>
        <v>198.47</v>
      </c>
      <c r="J224" s="173">
        <f>ROUNDUP(I224*Order_Quote!$L$26,2)</f>
        <v>198.47</v>
      </c>
      <c r="K224" s="75"/>
      <c r="L224" s="113"/>
      <c r="M224" s="171">
        <f t="shared" si="4"/>
        <v>0</v>
      </c>
      <c r="O224" s="215" t="str">
        <f>_xlfn.XLOOKUP(E224,'All Products'!D:D,'All Products'!I:I,FALSE)</f>
        <v>Within 3 Weeks</v>
      </c>
      <c r="P224" s="215" t="str">
        <f>_xlfn.XLOOKUP(E224,'All Products'!D:D,'All Products'!J:J,FALSE)</f>
        <v>Manufactured</v>
      </c>
      <c r="Q224" s="266">
        <f>_xlfn.XLOOKUP(E224,'All Products'!D:D,'All Products'!K:K,FALSE)</f>
        <v>49081022808</v>
      </c>
      <c r="R224" s="266" t="str">
        <f>_xlfn.XLOOKUP(E224,'All Products'!D:D,'All Products'!L:L,FALSE)</f>
        <v>-</v>
      </c>
      <c r="S224" s="266">
        <f>_xlfn.XLOOKUP(E224,'All Products'!D:D,'All Products'!M:M,FALSE)</f>
        <v>40049081022806</v>
      </c>
      <c r="T224" s="264">
        <f>_xlfn.XLOOKUP(E224,'All Products'!D:D,'All Products'!N:N,FALSE)</f>
        <v>1.8220000000000001</v>
      </c>
      <c r="U224" s="264">
        <f>_xlfn.XLOOKUP(E224,'All Products'!D:D,'All Products'!P:P,FALSE)</f>
        <v>20.350000000000001</v>
      </c>
      <c r="V224" s="265">
        <f>_xlfn.XLOOKUP(E224,'All Products'!D:D,'All Products'!Q:Q,FALSE)</f>
        <v>2.77</v>
      </c>
    </row>
    <row r="225" spans="1:22" ht="14.4" customHeight="1">
      <c r="A225" s="101" t="str">
        <f>IF(K225&gt;0,COUNT($A$8:A224)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25" s="610"/>
      <c r="C225" s="611"/>
      <c r="D225" s="274" t="str">
        <f>_xlfn.XLOOKUP(E225,'All Products'!D:D,'All Products'!C:C,FALSE)</f>
        <v>1-A3-13-15-12</v>
      </c>
      <c r="E225" s="103">
        <v>100023960</v>
      </c>
      <c r="F225" s="144" t="str">
        <f>_xlfn.XLOOKUP(E225,'All Products'!D:D,'All Products'!E:E,FALSE)</f>
        <v>1-1/2 ACME X 1 ACME SU X 12 SJ</v>
      </c>
      <c r="G225" s="103">
        <f>_xlfn.XLOOKUP(E225,'All Products'!D:D,'All Products'!F:F,FALSE)</f>
        <v>10</v>
      </c>
      <c r="H225" s="103">
        <f>_xlfn.XLOOKUP(E225,'All Products'!D:D,'All Products'!G:G,FALSE)</f>
        <v>900</v>
      </c>
      <c r="I225" s="140">
        <f>_xlfn.XLOOKUP(E225,'All Products'!D:D,'All Products'!H:H,FALSE)</f>
        <v>93.54</v>
      </c>
      <c r="J225" s="173">
        <f>ROUNDUP(I225*Order_Quote!$L$26,2)</f>
        <v>93.54</v>
      </c>
      <c r="K225" s="75"/>
      <c r="L225" s="113"/>
      <c r="M225" s="171">
        <f t="shared" si="4"/>
        <v>0</v>
      </c>
      <c r="O225" s="215" t="str">
        <f>_xlfn.XLOOKUP(E225,'All Products'!D:D,'All Products'!I:I,FALSE)</f>
        <v>Within 3 Weeks</v>
      </c>
      <c r="P225" s="215" t="str">
        <f>_xlfn.XLOOKUP(E225,'All Products'!D:D,'All Products'!J:J,FALSE)</f>
        <v>Manufactured</v>
      </c>
      <c r="Q225" s="266">
        <f>_xlfn.XLOOKUP(E225,'All Products'!D:D,'All Products'!K:K,FALSE)</f>
        <v>49081020873</v>
      </c>
      <c r="R225" s="266" t="str">
        <f>_xlfn.XLOOKUP(E225,'All Products'!D:D,'All Products'!L:L,FALSE)</f>
        <v>-</v>
      </c>
      <c r="S225" s="266">
        <f>_xlfn.XLOOKUP(E225,'All Products'!D:D,'All Products'!M:M,FALSE)</f>
        <v>40049081020871</v>
      </c>
      <c r="T225" s="264">
        <f>_xlfn.XLOOKUP(E225,'All Products'!D:D,'All Products'!N:N,FALSE)</f>
        <v>1.0349999999999999</v>
      </c>
      <c r="U225" s="264">
        <f>_xlfn.XLOOKUP(E225,'All Products'!D:D,'All Products'!P:P,FALSE)</f>
        <v>10.199999999999999</v>
      </c>
      <c r="V225" s="265">
        <f>_xlfn.XLOOKUP(E225,'All Products'!D:D,'All Products'!Q:Q,FALSE)</f>
        <v>0.8</v>
      </c>
    </row>
    <row r="226" spans="1:22" ht="14.4" customHeight="1">
      <c r="A226" s="101" t="str">
        <f>IF(K226&gt;0,COUNT($A$8:A225)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26" s="610"/>
      <c r="C226" s="611"/>
      <c r="D226" s="274" t="str">
        <f>_xlfn.XLOOKUP(E226,'All Products'!D:D,'All Products'!C:C,FALSE)</f>
        <v>1-A7-13-15-12</v>
      </c>
      <c r="E226" s="103">
        <v>100024918</v>
      </c>
      <c r="F226" s="144" t="str">
        <f>_xlfn.XLOOKUP(E226,'All Products'!D:D,'All Products'!E:E,FALSE)</f>
        <v>1-1/2 ACME X 1 ACME SU X 12LL SJ</v>
      </c>
      <c r="G226" s="103">
        <f>_xlfn.XLOOKUP(E226,'All Products'!D:D,'All Products'!F:F,FALSE)</f>
        <v>10</v>
      </c>
      <c r="H226" s="103">
        <f>_xlfn.XLOOKUP(E226,'All Products'!D:D,'All Products'!G:G,FALSE)</f>
        <v>900</v>
      </c>
      <c r="I226" s="140">
        <f>_xlfn.XLOOKUP(E226,'All Products'!D:D,'All Products'!H:H,FALSE)</f>
        <v>93.54</v>
      </c>
      <c r="J226" s="173">
        <f>ROUNDUP(I226*Order_Quote!$L$26,2)</f>
        <v>93.54</v>
      </c>
      <c r="K226" s="75"/>
      <c r="L226" s="113"/>
      <c r="M226" s="171">
        <f t="shared" si="4"/>
        <v>0</v>
      </c>
      <c r="O226" s="215" t="str">
        <f>_xlfn.XLOOKUP(E226,'All Products'!D:D,'All Products'!I:I,FALSE)</f>
        <v>In Stock</v>
      </c>
      <c r="P226" s="215" t="str">
        <f>_xlfn.XLOOKUP(E226,'All Products'!D:D,'All Products'!J:J,FALSE)</f>
        <v>Manufactured</v>
      </c>
      <c r="Q226" s="266">
        <f>_xlfn.XLOOKUP(E226,'All Products'!D:D,'All Products'!K:K,FALSE)</f>
        <v>49081022303</v>
      </c>
      <c r="R226" s="266" t="str">
        <f>_xlfn.XLOOKUP(E226,'All Products'!D:D,'All Products'!L:L,FALSE)</f>
        <v>-</v>
      </c>
      <c r="S226" s="266">
        <f>_xlfn.XLOOKUP(E226,'All Products'!D:D,'All Products'!M:M,FALSE)</f>
        <v>40049081022301</v>
      </c>
      <c r="T226" s="264">
        <f>_xlfn.XLOOKUP(E226,'All Products'!D:D,'All Products'!N:N,FALSE)</f>
        <v>1.0349999999999999</v>
      </c>
      <c r="U226" s="264">
        <f>_xlfn.XLOOKUP(E226,'All Products'!D:D,'All Products'!P:P,FALSE)</f>
        <v>10.97</v>
      </c>
      <c r="V226" s="265">
        <f>_xlfn.XLOOKUP(E226,'All Products'!D:D,'All Products'!Q:Q,FALSE)</f>
        <v>0.8</v>
      </c>
    </row>
    <row r="227" spans="1:22" ht="14.4" customHeight="1">
      <c r="A227" s="101" t="str">
        <f>IF(K227&gt;0,COUNT($A$8:A226)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27" s="610"/>
      <c r="C227" s="611"/>
      <c r="D227" s="274" t="str">
        <f>_xlfn.XLOOKUP(E227,'All Products'!D:D,'All Products'!C:C,FALSE)</f>
        <v>1-A7-13-15-18</v>
      </c>
      <c r="E227" s="103">
        <v>100024919</v>
      </c>
      <c r="F227" s="144" t="str">
        <f>_xlfn.XLOOKUP(E227,'All Products'!D:D,'All Products'!E:E,FALSE)</f>
        <v>1-1/2 ACME X 1 ACME SU X 18 LL SJ</v>
      </c>
      <c r="G227" s="103">
        <f>_xlfn.XLOOKUP(E227,'All Products'!D:D,'All Products'!F:F,FALSE)</f>
        <v>10</v>
      </c>
      <c r="H227" s="103">
        <f>_xlfn.XLOOKUP(E227,'All Products'!D:D,'All Products'!G:G,FALSE)</f>
        <v>600</v>
      </c>
      <c r="I227" s="140">
        <f>_xlfn.XLOOKUP(E227,'All Products'!D:D,'All Products'!H:H,FALSE)</f>
        <v>104.64</v>
      </c>
      <c r="J227" s="173">
        <f>ROUNDUP(I227*Order_Quote!$L$26,2)</f>
        <v>104.64</v>
      </c>
      <c r="K227" s="75"/>
      <c r="L227" s="113"/>
      <c r="M227" s="171">
        <f t="shared" si="4"/>
        <v>0</v>
      </c>
      <c r="O227" s="215" t="str">
        <f>_xlfn.XLOOKUP(E227,'All Products'!D:D,'All Products'!I:I,FALSE)</f>
        <v>Within 3 Weeks</v>
      </c>
      <c r="P227" s="215" t="str">
        <f>_xlfn.XLOOKUP(E227,'All Products'!D:D,'All Products'!J:J,FALSE)</f>
        <v>Manufactured</v>
      </c>
      <c r="Q227" s="266">
        <f>_xlfn.XLOOKUP(E227,'All Products'!D:D,'All Products'!K:K,FALSE)</f>
        <v>49081022433</v>
      </c>
      <c r="R227" s="266" t="str">
        <f>_xlfn.XLOOKUP(E227,'All Products'!D:D,'All Products'!L:L,FALSE)</f>
        <v>-</v>
      </c>
      <c r="S227" s="266">
        <f>_xlfn.XLOOKUP(E227,'All Products'!D:D,'All Products'!M:M,FALSE)</f>
        <v>40049081022431</v>
      </c>
      <c r="T227" s="264">
        <f>_xlfn.XLOOKUP(E227,'All Products'!D:D,'All Products'!N:N,FALSE)</f>
        <v>1.214</v>
      </c>
      <c r="U227" s="264">
        <f>_xlfn.XLOOKUP(E227,'All Products'!D:D,'All Products'!P:P,FALSE)</f>
        <v>13</v>
      </c>
      <c r="V227" s="265">
        <f>_xlfn.XLOOKUP(E227,'All Products'!D:D,'All Products'!Q:Q,FALSE)</f>
        <v>1.41</v>
      </c>
    </row>
    <row r="228" spans="1:22" ht="14.4" customHeight="1">
      <c r="A228" s="101" t="str">
        <f>IF(K228&gt;0,COUNT($A$8:A227)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28" s="610"/>
      <c r="C228" s="611"/>
      <c r="D228" s="274" t="str">
        <f>_xlfn.XLOOKUP(E228,'All Products'!D:D,'All Products'!C:C,FALSE)</f>
        <v>1-A7-13-15-8</v>
      </c>
      <c r="E228" s="103">
        <v>100024005</v>
      </c>
      <c r="F228" s="144" t="str">
        <f>_xlfn.XLOOKUP(E228,'All Products'!D:D,'All Products'!E:E,FALSE)</f>
        <v>1-1/2 ACME X 1 ACME SU X 8 LL SJ</v>
      </c>
      <c r="G228" s="103">
        <f>_xlfn.XLOOKUP(E228,'All Products'!D:D,'All Products'!F:F,FALSE)</f>
        <v>10</v>
      </c>
      <c r="H228" s="103">
        <f>_xlfn.XLOOKUP(E228,'All Products'!D:D,'All Products'!G:G,FALSE)</f>
        <v>1200</v>
      </c>
      <c r="I228" s="140">
        <f>_xlfn.XLOOKUP(E228,'All Products'!D:D,'All Products'!H:H,FALSE)</f>
        <v>85.85</v>
      </c>
      <c r="J228" s="173">
        <f>ROUNDUP(I228*Order_Quote!$L$26,2)</f>
        <v>85.85</v>
      </c>
      <c r="K228" s="75"/>
      <c r="L228" s="113"/>
      <c r="M228" s="171">
        <f t="shared" si="4"/>
        <v>0</v>
      </c>
      <c r="O228" s="215" t="str">
        <f>_xlfn.XLOOKUP(E228,'All Products'!D:D,'All Products'!I:I,FALSE)</f>
        <v>Within 3 Weeks</v>
      </c>
      <c r="P228" s="215" t="str">
        <f>_xlfn.XLOOKUP(E228,'All Products'!D:D,'All Products'!J:J,FALSE)</f>
        <v>Manufactured</v>
      </c>
      <c r="Q228" s="266">
        <f>_xlfn.XLOOKUP(E228,'All Products'!D:D,'All Products'!K:K,FALSE)</f>
        <v>49081031336</v>
      </c>
      <c r="R228" s="266" t="str">
        <f>_xlfn.XLOOKUP(E228,'All Products'!D:D,'All Products'!L:L,FALSE)</f>
        <v>-</v>
      </c>
      <c r="S228" s="266">
        <f>_xlfn.XLOOKUP(E228,'All Products'!D:D,'All Products'!M:M,FALSE)</f>
        <v>40049081031334</v>
      </c>
      <c r="T228" s="264">
        <f>_xlfn.XLOOKUP(E228,'All Products'!D:D,'All Products'!N:N,FALSE)</f>
        <v>0.88200000000000001</v>
      </c>
      <c r="U228" s="264">
        <f>_xlfn.XLOOKUP(E228,'All Products'!D:D,'All Products'!P:P,FALSE)</f>
        <v>8.6999999999999993</v>
      </c>
      <c r="V228" s="265">
        <f>_xlfn.XLOOKUP(E228,'All Products'!D:D,'All Products'!Q:Q,FALSE)</f>
        <v>0.65</v>
      </c>
    </row>
    <row r="229" spans="1:22" ht="14.4" customHeight="1">
      <c r="A229" s="101" t="str">
        <f>IF(K229&gt;0,COUNT($A$8:A228)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29" s="610"/>
      <c r="C229" s="611"/>
      <c r="D229" s="274" t="str">
        <f>_xlfn.XLOOKUP(E229,'All Products'!D:D,'All Products'!C:C,FALSE)</f>
        <v>1-A7-3-15-12</v>
      </c>
      <c r="E229" s="103">
        <v>100024920</v>
      </c>
      <c r="F229" s="144" t="str">
        <f>_xlfn.XLOOKUP(E229,'All Products'!D:D,'All Products'!E:E,FALSE)</f>
        <v>1-1/2 ACME X 1 MIPT SU X 12LL SJ</v>
      </c>
      <c r="G229" s="103">
        <f>_xlfn.XLOOKUP(E229,'All Products'!D:D,'All Products'!F:F,FALSE)</f>
        <v>10</v>
      </c>
      <c r="H229" s="103">
        <f>_xlfn.XLOOKUP(E229,'All Products'!D:D,'All Products'!G:G,FALSE)</f>
        <v>900</v>
      </c>
      <c r="I229" s="140">
        <f>_xlfn.XLOOKUP(E229,'All Products'!D:D,'All Products'!H:H,FALSE)</f>
        <v>93.54</v>
      </c>
      <c r="J229" s="173">
        <f>ROUNDUP(I229*Order_Quote!$L$26,2)</f>
        <v>93.54</v>
      </c>
      <c r="K229" s="75"/>
      <c r="L229" s="113"/>
      <c r="M229" s="171">
        <f t="shared" si="4"/>
        <v>0</v>
      </c>
      <c r="O229" s="215" t="str">
        <f>_xlfn.XLOOKUP(E229,'All Products'!D:D,'All Products'!I:I,FALSE)</f>
        <v>Within 3 Weeks</v>
      </c>
      <c r="P229" s="215" t="str">
        <f>_xlfn.XLOOKUP(E229,'All Products'!D:D,'All Products'!J:J,FALSE)</f>
        <v>Manufactured</v>
      </c>
      <c r="Q229" s="266">
        <f>_xlfn.XLOOKUP(E229,'All Products'!D:D,'All Products'!K:K,FALSE)</f>
        <v>49081022310</v>
      </c>
      <c r="R229" s="266" t="str">
        <f>_xlfn.XLOOKUP(E229,'All Products'!D:D,'All Products'!L:L,FALSE)</f>
        <v>-</v>
      </c>
      <c r="S229" s="266">
        <f>_xlfn.XLOOKUP(E229,'All Products'!D:D,'All Products'!M:M,FALSE)</f>
        <v>40049081022318</v>
      </c>
      <c r="T229" s="264">
        <f>_xlfn.XLOOKUP(E229,'All Products'!D:D,'All Products'!N:N,FALSE)</f>
        <v>1.0149999999999999</v>
      </c>
      <c r="U229" s="264">
        <f>_xlfn.XLOOKUP(E229,'All Products'!D:D,'All Products'!P:P,FALSE)</f>
        <v>10.199999999999999</v>
      </c>
      <c r="V229" s="265">
        <f>_xlfn.XLOOKUP(E229,'All Products'!D:D,'All Products'!Q:Q,FALSE)</f>
        <v>0.8</v>
      </c>
    </row>
    <row r="230" spans="1:22" ht="14.4" customHeight="1">
      <c r="A230" s="101" t="str">
        <f>IF(K230&gt;0,COUNT($A$8:A229)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30" s="610"/>
      <c r="C230" s="611"/>
      <c r="D230" s="274" t="str">
        <f>_xlfn.XLOOKUP(E230,'All Products'!D:D,'All Products'!C:C,FALSE)</f>
        <v>1-A7-3-15-18</v>
      </c>
      <c r="E230" s="103">
        <v>100024009</v>
      </c>
      <c r="F230" s="144" t="str">
        <f>_xlfn.XLOOKUP(E230,'All Products'!D:D,'All Products'!E:E,FALSE)</f>
        <v>1-1/2 ACME X 1 MIPT SU X 18 LL SJ</v>
      </c>
      <c r="G230" s="103">
        <f>_xlfn.XLOOKUP(E230,'All Products'!D:D,'All Products'!F:F,FALSE)</f>
        <v>10</v>
      </c>
      <c r="H230" s="103">
        <f>_xlfn.XLOOKUP(E230,'All Products'!D:D,'All Products'!G:G,FALSE)</f>
        <v>600</v>
      </c>
      <c r="I230" s="140">
        <f>_xlfn.XLOOKUP(E230,'All Products'!D:D,'All Products'!H:H,FALSE)</f>
        <v>104.64</v>
      </c>
      <c r="J230" s="173">
        <f>ROUNDUP(I230*Order_Quote!$L$26,2)</f>
        <v>104.64</v>
      </c>
      <c r="K230" s="75"/>
      <c r="L230" s="113"/>
      <c r="M230" s="171">
        <f t="shared" si="4"/>
        <v>0</v>
      </c>
      <c r="O230" s="215" t="str">
        <f>_xlfn.XLOOKUP(E230,'All Products'!D:D,'All Products'!I:I,FALSE)</f>
        <v>In Stock</v>
      </c>
      <c r="P230" s="215" t="str">
        <f>_xlfn.XLOOKUP(E230,'All Products'!D:D,'All Products'!J:J,FALSE)</f>
        <v>Manufactured</v>
      </c>
      <c r="Q230" s="266">
        <f>_xlfn.XLOOKUP(E230,'All Products'!D:D,'All Products'!K:K,FALSE)</f>
        <v>49081022426</v>
      </c>
      <c r="R230" s="266" t="str">
        <f>_xlfn.XLOOKUP(E230,'All Products'!D:D,'All Products'!L:L,FALSE)</f>
        <v>-</v>
      </c>
      <c r="S230" s="266">
        <f>_xlfn.XLOOKUP(E230,'All Products'!D:D,'All Products'!M:M,FALSE)</f>
        <v>40049081022424</v>
      </c>
      <c r="T230" s="264">
        <f>_xlfn.XLOOKUP(E230,'All Products'!D:D,'All Products'!N:N,FALSE)</f>
        <v>1.194</v>
      </c>
      <c r="U230" s="264">
        <f>_xlfn.XLOOKUP(E230,'All Products'!D:D,'All Products'!P:P,FALSE)</f>
        <v>12.33</v>
      </c>
      <c r="V230" s="265">
        <f>_xlfn.XLOOKUP(E230,'All Products'!D:D,'All Products'!Q:Q,FALSE)</f>
        <v>1.41</v>
      </c>
    </row>
    <row r="231" spans="1:22" ht="14.4" customHeight="1">
      <c r="A231" s="101" t="str">
        <f>IF(K231&gt;0,COUNT($A$8:A230)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31" s="610"/>
      <c r="C231" s="611"/>
      <c r="D231" s="274" t="str">
        <f>_xlfn.XLOOKUP(E231,'All Products'!D:D,'All Products'!C:C,FALSE)</f>
        <v>1-A7-QC-15-12</v>
      </c>
      <c r="E231" s="103">
        <v>100024921</v>
      </c>
      <c r="F231" s="144" t="str">
        <f>_xlfn.XLOOKUP(E231,'All Products'!D:D,'All Products'!E:E,FALSE)</f>
        <v>1-1/2 ACME X 1 QC SU X 12 LL SJ</v>
      </c>
      <c r="G231" s="103">
        <f>_xlfn.XLOOKUP(E231,'All Products'!D:D,'All Products'!F:F,FALSE)</f>
        <v>10</v>
      </c>
      <c r="H231" s="103">
        <f>_xlfn.XLOOKUP(E231,'All Products'!D:D,'All Products'!G:G,FALSE)</f>
        <v>750</v>
      </c>
      <c r="I231" s="140">
        <f>_xlfn.XLOOKUP(E231,'All Products'!D:D,'All Products'!H:H,FALSE)</f>
        <v>191.49</v>
      </c>
      <c r="J231" s="173">
        <f>ROUNDUP(I231*Order_Quote!$L$26,2)</f>
        <v>191.49</v>
      </c>
      <c r="K231" s="75"/>
      <c r="L231" s="113"/>
      <c r="M231" s="171">
        <f t="shared" si="4"/>
        <v>0</v>
      </c>
      <c r="O231" s="215" t="str">
        <f>_xlfn.XLOOKUP(E231,'All Products'!D:D,'All Products'!I:I,FALSE)</f>
        <v>Within 3 Weeks</v>
      </c>
      <c r="P231" s="215" t="str">
        <f>_xlfn.XLOOKUP(E231,'All Products'!D:D,'All Products'!J:J,FALSE)</f>
        <v>Manufactured</v>
      </c>
      <c r="Q231" s="266">
        <f>_xlfn.XLOOKUP(E231,'All Products'!D:D,'All Products'!K:K,FALSE)</f>
        <v>49081022631</v>
      </c>
      <c r="R231" s="266" t="str">
        <f>_xlfn.XLOOKUP(E231,'All Products'!D:D,'All Products'!L:L,FALSE)</f>
        <v>-</v>
      </c>
      <c r="S231" s="266">
        <f>_xlfn.XLOOKUP(E231,'All Products'!D:D,'All Products'!M:M,FALSE)</f>
        <v>40049081022639</v>
      </c>
      <c r="T231" s="264">
        <f>_xlfn.XLOOKUP(E231,'All Products'!D:D,'All Products'!N:N,FALSE)</f>
        <v>1.6850000000000001</v>
      </c>
      <c r="U231" s="264">
        <f>_xlfn.XLOOKUP(E231,'All Products'!D:D,'All Products'!P:P,FALSE)</f>
        <v>17.510000000000002</v>
      </c>
      <c r="V231" s="265">
        <f>_xlfn.XLOOKUP(E231,'All Products'!D:D,'All Products'!Q:Q,FALSE)</f>
        <v>1.1000000000000001</v>
      </c>
    </row>
    <row r="232" spans="1:22" ht="14.4" customHeight="1">
      <c r="A232" s="101" t="str">
        <f>IF(K232&gt;0,COUNT($A$8:A231)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32" s="610"/>
      <c r="C232" s="611"/>
      <c r="D232" s="274" t="str">
        <f>_xlfn.XLOOKUP(E232,'All Products'!D:D,'All Products'!C:C,FALSE)</f>
        <v>1-A7-QC-15-18</v>
      </c>
      <c r="E232" s="103">
        <v>100024922</v>
      </c>
      <c r="F232" s="144" t="str">
        <f>_xlfn.XLOOKUP(E232,'All Products'!D:D,'All Products'!E:E,FALSE)</f>
        <v>1-1/2 ACME X 1 BRAS MPT SU X 18 SJ</v>
      </c>
      <c r="G232" s="103">
        <f>_xlfn.XLOOKUP(E232,'All Products'!D:D,'All Products'!F:F,FALSE)</f>
        <v>10</v>
      </c>
      <c r="H232" s="103">
        <f>_xlfn.XLOOKUP(E232,'All Products'!D:D,'All Products'!G:G,FALSE)</f>
        <v>240</v>
      </c>
      <c r="I232" s="140">
        <f>_xlfn.XLOOKUP(E232,'All Products'!D:D,'All Products'!H:H,FALSE)</f>
        <v>198.47</v>
      </c>
      <c r="J232" s="173">
        <f>ROUNDUP(I232*Order_Quote!$L$26,2)</f>
        <v>198.47</v>
      </c>
      <c r="K232" s="75"/>
      <c r="L232" s="113"/>
      <c r="M232" s="171">
        <f t="shared" si="4"/>
        <v>0</v>
      </c>
      <c r="O232" s="215" t="str">
        <f>_xlfn.XLOOKUP(E232,'All Products'!D:D,'All Products'!I:I,FALSE)</f>
        <v>Within 3 Weeks</v>
      </c>
      <c r="P232" s="215" t="str">
        <f>_xlfn.XLOOKUP(E232,'All Products'!D:D,'All Products'!J:J,FALSE)</f>
        <v>Manufactured</v>
      </c>
      <c r="Q232" s="266">
        <f>_xlfn.XLOOKUP(E232,'All Products'!D:D,'All Products'!K:K,FALSE)</f>
        <v>49081022655</v>
      </c>
      <c r="R232" s="266" t="str">
        <f>_xlfn.XLOOKUP(E232,'All Products'!D:D,'All Products'!L:L,FALSE)</f>
        <v>-</v>
      </c>
      <c r="S232" s="266">
        <f>_xlfn.XLOOKUP(E232,'All Products'!D:D,'All Products'!M:M,FALSE)</f>
        <v>40049081022653</v>
      </c>
      <c r="T232" s="264">
        <f>_xlfn.XLOOKUP(E232,'All Products'!D:D,'All Products'!N:N,FALSE)</f>
        <v>1.8640000000000001</v>
      </c>
      <c r="U232" s="264">
        <f>_xlfn.XLOOKUP(E232,'All Products'!D:D,'All Products'!P:P,FALSE)</f>
        <v>20.55</v>
      </c>
      <c r="V232" s="265">
        <f>_xlfn.XLOOKUP(E232,'All Products'!D:D,'All Products'!Q:Q,FALSE)</f>
        <v>2.77</v>
      </c>
    </row>
    <row r="233" spans="1:22" ht="14.4" customHeight="1">
      <c r="A233" s="101" t="str">
        <f>IF(K233&gt;0,COUNT($A$8:A232)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33" s="610"/>
      <c r="C233" s="611"/>
      <c r="D233" s="274" t="str">
        <f>_xlfn.XLOOKUP(E233,'All Products'!D:D,'All Products'!C:C,FALSE)</f>
        <v>2-A4-18-15-12</v>
      </c>
      <c r="E233" s="103">
        <v>100024257</v>
      </c>
      <c r="F233" s="144" t="str">
        <f>_xlfn.XLOOKUP(E233,'All Products'!D:D,'All Products'!E:E,FALSE)</f>
        <v>1 ACME X 1-1/2 ACME SU X 12 LL SJ</v>
      </c>
      <c r="G233" s="103">
        <f>_xlfn.XLOOKUP(E233,'All Products'!D:D,'All Products'!F:F,FALSE)</f>
        <v>10</v>
      </c>
      <c r="H233" s="103">
        <f>_xlfn.XLOOKUP(E233,'All Products'!D:D,'All Products'!G:G,FALSE)</f>
        <v>750</v>
      </c>
      <c r="I233" s="140">
        <f>_xlfn.XLOOKUP(E233,'All Products'!D:D,'All Products'!H:H,FALSE)</f>
        <v>129.27000000000001</v>
      </c>
      <c r="J233" s="173">
        <f>ROUNDUP(I233*Order_Quote!$L$26,2)</f>
        <v>129.27000000000001</v>
      </c>
      <c r="K233" s="75"/>
      <c r="L233" s="113"/>
      <c r="M233" s="171">
        <f t="shared" si="4"/>
        <v>0</v>
      </c>
      <c r="O233" s="215" t="str">
        <f>_xlfn.XLOOKUP(E233,'All Products'!D:D,'All Products'!I:I,FALSE)</f>
        <v>Within 3 Weeks</v>
      </c>
      <c r="P233" s="215" t="str">
        <f>_xlfn.XLOOKUP(E233,'All Products'!D:D,'All Products'!J:J,FALSE)</f>
        <v>Manufactured</v>
      </c>
      <c r="Q233" s="266">
        <f>_xlfn.XLOOKUP(E233,'All Products'!D:D,'All Products'!K:K,FALSE)</f>
        <v>49081020255</v>
      </c>
      <c r="R233" s="266" t="str">
        <f>_xlfn.XLOOKUP(E233,'All Products'!D:D,'All Products'!L:L,FALSE)</f>
        <v>-</v>
      </c>
      <c r="S233" s="266">
        <f>_xlfn.XLOOKUP(E233,'All Products'!D:D,'All Products'!M:M,FALSE)</f>
        <v>40049081020253</v>
      </c>
      <c r="T233" s="264">
        <f>_xlfn.XLOOKUP(E233,'All Products'!D:D,'All Products'!N:N,FALSE)</f>
        <v>1.423</v>
      </c>
      <c r="U233" s="264">
        <f>_xlfn.XLOOKUP(E233,'All Products'!D:D,'All Products'!P:P,FALSE)</f>
        <v>13.1</v>
      </c>
      <c r="V233" s="265">
        <f>_xlfn.XLOOKUP(E233,'All Products'!D:D,'All Products'!Q:Q,FALSE)</f>
        <v>1.1000000000000001</v>
      </c>
    </row>
    <row r="234" spans="1:22" ht="14.4" customHeight="1">
      <c r="A234" s="101" t="str">
        <f>IF(K234&gt;0,COUNT($A$8:A233)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34" s="610"/>
      <c r="C234" s="611"/>
      <c r="D234" s="274" t="str">
        <f>_xlfn.XLOOKUP(E234,'All Products'!D:D,'All Products'!C:C,FALSE)</f>
        <v>2-A5-16-15-12</v>
      </c>
      <c r="E234" s="103">
        <v>100024262</v>
      </c>
      <c r="F234" s="144" t="str">
        <f>_xlfn.XLOOKUP(E234,'All Products'!D:D,'All Products'!E:E,FALSE)</f>
        <v>1-1/4 ACME X 1 ACME SU X 12 SJ</v>
      </c>
      <c r="G234" s="103">
        <f>_xlfn.XLOOKUP(E234,'All Products'!D:D,'All Products'!F:F,FALSE)</f>
        <v>10</v>
      </c>
      <c r="H234" s="103">
        <f>_xlfn.XLOOKUP(E234,'All Products'!D:D,'All Products'!G:G,FALSE)</f>
        <v>750</v>
      </c>
      <c r="I234" s="140">
        <f>_xlfn.XLOOKUP(E234,'All Products'!D:D,'All Products'!H:H,FALSE)</f>
        <v>129.27000000000001</v>
      </c>
      <c r="J234" s="173">
        <f>ROUNDUP(I234*Order_Quote!$L$26,2)</f>
        <v>129.27000000000001</v>
      </c>
      <c r="K234" s="75"/>
      <c r="L234" s="113"/>
      <c r="M234" s="171">
        <f t="shared" si="4"/>
        <v>0</v>
      </c>
      <c r="O234" s="215" t="str">
        <f>_xlfn.XLOOKUP(E234,'All Products'!D:D,'All Products'!I:I,FALSE)</f>
        <v>Within 3 Weeks</v>
      </c>
      <c r="P234" s="215" t="str">
        <f>_xlfn.XLOOKUP(E234,'All Products'!D:D,'All Products'!J:J,FALSE)</f>
        <v>Manufactured</v>
      </c>
      <c r="Q234" s="266">
        <f>_xlfn.XLOOKUP(E234,'All Products'!D:D,'All Products'!K:K,FALSE)</f>
        <v>49081020248</v>
      </c>
      <c r="R234" s="266" t="str">
        <f>_xlfn.XLOOKUP(E234,'All Products'!D:D,'All Products'!L:L,FALSE)</f>
        <v>-</v>
      </c>
      <c r="S234" s="266">
        <f>_xlfn.XLOOKUP(E234,'All Products'!D:D,'All Products'!M:M,FALSE)</f>
        <v>40049081020246</v>
      </c>
      <c r="T234" s="264">
        <f>_xlfn.XLOOKUP(E234,'All Products'!D:D,'All Products'!N:N,FALSE)</f>
        <v>1.391</v>
      </c>
      <c r="U234" s="264">
        <f>_xlfn.XLOOKUP(E234,'All Products'!D:D,'All Products'!P:P,FALSE)</f>
        <v>13.904999999999999</v>
      </c>
      <c r="V234" s="265">
        <f>_xlfn.XLOOKUP(E234,'All Products'!D:D,'All Products'!Q:Q,FALSE)</f>
        <v>1.1000000000000001</v>
      </c>
    </row>
    <row r="235" spans="1:22" ht="14.4" customHeight="1">
      <c r="A235" s="101" t="str">
        <f>IF(K235&gt;0,COUNT($A$8:A234)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35" s="610"/>
      <c r="C235" s="611"/>
      <c r="D235" s="274" t="str">
        <f>_xlfn.XLOOKUP(E235,'All Products'!D:D,'All Products'!C:C,FALSE)</f>
        <v>2-A5-17-15-12</v>
      </c>
      <c r="E235" s="103">
        <v>100024267</v>
      </c>
      <c r="F235" s="144" t="str">
        <f>_xlfn.XLOOKUP(E235,'All Products'!D:D,'All Products'!E:E,FALSE)</f>
        <v>1-1/4 ACME X 1-1/4 ACME SU X 12 SJ</v>
      </c>
      <c r="G235" s="103">
        <f>_xlfn.XLOOKUP(E235,'All Products'!D:D,'All Products'!F:F,FALSE)</f>
        <v>10</v>
      </c>
      <c r="H235" s="103">
        <f>_xlfn.XLOOKUP(E235,'All Products'!D:D,'All Products'!G:G,FALSE)</f>
        <v>750</v>
      </c>
      <c r="I235" s="140">
        <f>_xlfn.XLOOKUP(E235,'All Products'!D:D,'All Products'!H:H,FALSE)</f>
        <v>129.27000000000001</v>
      </c>
      <c r="J235" s="173">
        <f>ROUNDUP(I235*Order_Quote!$L$26,2)</f>
        <v>129.27000000000001</v>
      </c>
      <c r="K235" s="75"/>
      <c r="L235" s="113"/>
      <c r="M235" s="171">
        <f t="shared" si="4"/>
        <v>0</v>
      </c>
      <c r="O235" s="215" t="str">
        <f>_xlfn.XLOOKUP(E235,'All Products'!D:D,'All Products'!I:I,FALSE)</f>
        <v>Within 3 Weeks</v>
      </c>
      <c r="P235" s="215" t="str">
        <f>_xlfn.XLOOKUP(E235,'All Products'!D:D,'All Products'!J:J,FALSE)</f>
        <v>Manufactured</v>
      </c>
      <c r="Q235" s="266">
        <f>_xlfn.XLOOKUP(E235,'All Products'!D:D,'All Products'!K:K,FALSE)</f>
        <v>49081021443</v>
      </c>
      <c r="R235" s="266" t="str">
        <f>_xlfn.XLOOKUP(E235,'All Products'!D:D,'All Products'!L:L,FALSE)</f>
        <v>-</v>
      </c>
      <c r="S235" s="266">
        <f>_xlfn.XLOOKUP(E235,'All Products'!D:D,'All Products'!M:M,FALSE)</f>
        <v>40049081021441</v>
      </c>
      <c r="T235" s="264">
        <f>_xlfn.XLOOKUP(E235,'All Products'!D:D,'All Products'!N:N,FALSE)</f>
        <v>1.3660000000000001</v>
      </c>
      <c r="U235" s="264">
        <f>_xlfn.XLOOKUP(E235,'All Products'!D:D,'All Products'!P:P,FALSE)</f>
        <v>13.85</v>
      </c>
      <c r="V235" s="265">
        <f>_xlfn.XLOOKUP(E235,'All Products'!D:D,'All Products'!Q:Q,FALSE)</f>
        <v>1.1000000000000001</v>
      </c>
    </row>
    <row r="236" spans="1:22" ht="14.4" customHeight="1">
      <c r="A236" s="101" t="str">
        <f>IF(K236&gt;0,COUNT($A$8:A235)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36" s="610"/>
      <c r="C236" s="611"/>
      <c r="D236" s="274" t="str">
        <f>_xlfn.XLOOKUP(E236,'All Products'!D:D,'All Products'!C:C,FALSE)</f>
        <v>2-A5-18-15-12</v>
      </c>
      <c r="E236" s="103">
        <v>100024273</v>
      </c>
      <c r="F236" s="144" t="str">
        <f>_xlfn.XLOOKUP(E236,'All Products'!D:D,'All Products'!E:E,FALSE)</f>
        <v>1-1/4 ACME X 1-1/2 ACME SU X 12 SJ</v>
      </c>
      <c r="G236" s="103">
        <f>_xlfn.XLOOKUP(E236,'All Products'!D:D,'All Products'!F:F,FALSE)</f>
        <v>10</v>
      </c>
      <c r="H236" s="103">
        <f>_xlfn.XLOOKUP(E236,'All Products'!D:D,'All Products'!G:G,FALSE)</f>
        <v>750</v>
      </c>
      <c r="I236" s="140">
        <f>_xlfn.XLOOKUP(E236,'All Products'!D:D,'All Products'!H:H,FALSE)</f>
        <v>129.27000000000001</v>
      </c>
      <c r="J236" s="173">
        <f>ROUNDUP(I236*Order_Quote!$L$26,2)</f>
        <v>129.27000000000001</v>
      </c>
      <c r="K236" s="75"/>
      <c r="L236" s="113"/>
      <c r="M236" s="171">
        <f t="shared" si="4"/>
        <v>0</v>
      </c>
      <c r="O236" s="215" t="str">
        <f>_xlfn.XLOOKUP(E236,'All Products'!D:D,'All Products'!I:I,FALSE)</f>
        <v>Within 3 Weeks</v>
      </c>
      <c r="P236" s="215" t="str">
        <f>_xlfn.XLOOKUP(E236,'All Products'!D:D,'All Products'!J:J,FALSE)</f>
        <v>Manufactured</v>
      </c>
      <c r="Q236" s="266">
        <f>_xlfn.XLOOKUP(E236,'All Products'!D:D,'All Products'!K:K,FALSE)</f>
        <v>49081020231</v>
      </c>
      <c r="R236" s="266" t="str">
        <f>_xlfn.XLOOKUP(E236,'All Products'!D:D,'All Products'!L:L,FALSE)</f>
        <v>-</v>
      </c>
      <c r="S236" s="266">
        <f>_xlfn.XLOOKUP(E236,'All Products'!D:D,'All Products'!M:M,FALSE)</f>
        <v>40049081020239</v>
      </c>
      <c r="T236" s="264">
        <f>_xlfn.XLOOKUP(E236,'All Products'!D:D,'All Products'!N:N,FALSE)</f>
        <v>1.399</v>
      </c>
      <c r="U236" s="264">
        <f>_xlfn.XLOOKUP(E236,'All Products'!D:D,'All Products'!P:P,FALSE)</f>
        <v>13</v>
      </c>
      <c r="V236" s="265">
        <f>_xlfn.XLOOKUP(E236,'All Products'!D:D,'All Products'!Q:Q,FALSE)</f>
        <v>1.1000000000000001</v>
      </c>
    </row>
    <row r="237" spans="1:22" ht="14.4" customHeight="1">
      <c r="A237" s="101" t="str">
        <f>IF(K237&gt;0,COUNT($A$8:A236)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37" s="610"/>
      <c r="C237" s="611"/>
      <c r="D237" s="274" t="str">
        <f>_xlfn.XLOOKUP(E237,'All Products'!D:D,'All Products'!C:C,FALSE)</f>
        <v>2-A5-3-15-12</v>
      </c>
      <c r="E237" s="103">
        <v>100024277</v>
      </c>
      <c r="F237" s="144" t="str">
        <f>_xlfn.XLOOKUP(E237,'All Products'!D:D,'All Products'!E:E,FALSE)</f>
        <v>1-1/4 ACME X 1-1/4 MPT SU X 12 SJ</v>
      </c>
      <c r="G237" s="103">
        <f>_xlfn.XLOOKUP(E237,'All Products'!D:D,'All Products'!F:F,FALSE)</f>
        <v>10</v>
      </c>
      <c r="H237" s="103">
        <f>_xlfn.XLOOKUP(E237,'All Products'!D:D,'All Products'!G:G,FALSE)</f>
        <v>750</v>
      </c>
      <c r="I237" s="140">
        <f>_xlfn.XLOOKUP(E237,'All Products'!D:D,'All Products'!H:H,FALSE)</f>
        <v>129.27000000000001</v>
      </c>
      <c r="J237" s="173">
        <f>ROUNDUP(I237*Order_Quote!$L$26,2)</f>
        <v>129.27000000000001</v>
      </c>
      <c r="K237" s="75"/>
      <c r="L237" s="113"/>
      <c r="M237" s="171">
        <f t="shared" si="4"/>
        <v>0</v>
      </c>
      <c r="O237" s="215" t="str">
        <f>_xlfn.XLOOKUP(E237,'All Products'!D:D,'All Products'!I:I,FALSE)</f>
        <v>Within 3 Weeks</v>
      </c>
      <c r="P237" s="215" t="str">
        <f>_xlfn.XLOOKUP(E237,'All Products'!D:D,'All Products'!J:J,FALSE)</f>
        <v>Manufactured</v>
      </c>
      <c r="Q237" s="266">
        <f>_xlfn.XLOOKUP(E237,'All Products'!D:D,'All Products'!K:K,FALSE)</f>
        <v>49081026882</v>
      </c>
      <c r="R237" s="266" t="str">
        <f>_xlfn.XLOOKUP(E237,'All Products'!D:D,'All Products'!L:L,FALSE)</f>
        <v>-</v>
      </c>
      <c r="S237" s="266">
        <f>_xlfn.XLOOKUP(E237,'All Products'!D:D,'All Products'!M:M,FALSE)</f>
        <v>40049081026880</v>
      </c>
      <c r="T237" s="264">
        <f>_xlfn.XLOOKUP(E237,'All Products'!D:D,'All Products'!N:N,FALSE)</f>
        <v>1.351</v>
      </c>
      <c r="U237" s="264">
        <f>_xlfn.XLOOKUP(E237,'All Products'!D:D,'All Products'!P:P,FALSE)</f>
        <v>16.8</v>
      </c>
      <c r="V237" s="265">
        <f>_xlfn.XLOOKUP(E237,'All Products'!D:D,'All Products'!Q:Q,FALSE)</f>
        <v>1.1000000000000001</v>
      </c>
    </row>
    <row r="238" spans="1:22" ht="14.4" customHeight="1">
      <c r="A238" s="101" t="str">
        <f>IF(K238&gt;0,COUNT($A$8:A237)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38" s="610"/>
      <c r="C238" s="611"/>
      <c r="D238" s="274" t="str">
        <f>_xlfn.XLOOKUP(E238,'All Products'!D:D,'All Products'!C:C,FALSE)</f>
        <v>2-A6-16-15-12</v>
      </c>
      <c r="E238" s="103">
        <v>100024975</v>
      </c>
      <c r="F238" s="144" t="str">
        <f>_xlfn.XLOOKUP(E238,'All Products'!D:D,'All Products'!E:E,FALSE)</f>
        <v>1-1/2 ACME X 1 ACME SU X 12LL SJ</v>
      </c>
      <c r="G238" s="103">
        <f>_xlfn.XLOOKUP(E238,'All Products'!D:D,'All Products'!F:F,FALSE)</f>
        <v>10</v>
      </c>
      <c r="H238" s="103">
        <f>_xlfn.XLOOKUP(E238,'All Products'!D:D,'All Products'!G:G,FALSE)</f>
        <v>750</v>
      </c>
      <c r="I238" s="140">
        <f>_xlfn.XLOOKUP(E238,'All Products'!D:D,'All Products'!H:H,FALSE)</f>
        <v>129.27000000000001</v>
      </c>
      <c r="J238" s="173">
        <f>ROUNDUP(I238*Order_Quote!$L$26,2)</f>
        <v>129.27000000000001</v>
      </c>
      <c r="K238" s="75"/>
      <c r="L238" s="113"/>
      <c r="M238" s="171">
        <f t="shared" si="4"/>
        <v>0</v>
      </c>
      <c r="O238" s="215" t="str">
        <f>_xlfn.XLOOKUP(E238,'All Products'!D:D,'All Products'!I:I,FALSE)</f>
        <v>In Stock</v>
      </c>
      <c r="P238" s="215" t="str">
        <f>_xlfn.XLOOKUP(E238,'All Products'!D:D,'All Products'!J:J,FALSE)</f>
        <v>Manufactured</v>
      </c>
      <c r="Q238" s="266">
        <f>_xlfn.XLOOKUP(E238,'All Products'!D:D,'All Products'!K:K,FALSE)</f>
        <v>49081022136</v>
      </c>
      <c r="R238" s="266" t="str">
        <f>_xlfn.XLOOKUP(E238,'All Products'!D:D,'All Products'!L:L,FALSE)</f>
        <v>-</v>
      </c>
      <c r="S238" s="266">
        <f>_xlfn.XLOOKUP(E238,'All Products'!D:D,'All Products'!M:M,FALSE)</f>
        <v>40049081022134</v>
      </c>
      <c r="T238" s="264">
        <f>_xlfn.XLOOKUP(E238,'All Products'!D:D,'All Products'!N:N,FALSE)</f>
        <v>1.423</v>
      </c>
      <c r="U238" s="264">
        <f>_xlfn.XLOOKUP(E238,'All Products'!D:D,'All Products'!P:P,FALSE)</f>
        <v>14.255000000000001</v>
      </c>
      <c r="V238" s="265">
        <f>_xlfn.XLOOKUP(E238,'All Products'!D:D,'All Products'!Q:Q,FALSE)</f>
        <v>1.1000000000000001</v>
      </c>
    </row>
    <row r="239" spans="1:22" ht="14.4" customHeight="1">
      <c r="A239" s="101" t="str">
        <f>IF(K239&gt;0,COUNT($A$8:A238)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39" s="610"/>
      <c r="C239" s="611"/>
      <c r="D239" s="274" t="str">
        <f>_xlfn.XLOOKUP(E239,'All Products'!D:D,'All Products'!C:C,FALSE)</f>
        <v>2-A6-16-15-18</v>
      </c>
      <c r="E239" s="103">
        <v>100024976</v>
      </c>
      <c r="F239" s="144" t="str">
        <f>_xlfn.XLOOKUP(E239,'All Products'!D:D,'All Products'!E:E,FALSE)</f>
        <v>1-1/2 ACME X 1 ACME SU X 18 LL SJ</v>
      </c>
      <c r="G239" s="103">
        <f>_xlfn.XLOOKUP(E239,'All Products'!D:D,'All Products'!F:F,FALSE)</f>
        <v>10</v>
      </c>
      <c r="H239" s="103">
        <f>_xlfn.XLOOKUP(E239,'All Products'!D:D,'All Products'!G:G,FALSE)</f>
        <v>240</v>
      </c>
      <c r="I239" s="140">
        <f>_xlfn.XLOOKUP(E239,'All Products'!D:D,'All Products'!H:H,FALSE)</f>
        <v>140.13</v>
      </c>
      <c r="J239" s="173">
        <f>ROUNDUP(I239*Order_Quote!$L$26,2)</f>
        <v>140.13</v>
      </c>
      <c r="K239" s="75"/>
      <c r="L239" s="113"/>
      <c r="M239" s="171">
        <f t="shared" si="4"/>
        <v>0</v>
      </c>
      <c r="O239" s="215" t="str">
        <f>_xlfn.XLOOKUP(E239,'All Products'!D:D,'All Products'!I:I,FALSE)</f>
        <v>Within 3 Weeks</v>
      </c>
      <c r="P239" s="215" t="str">
        <f>_xlfn.XLOOKUP(E239,'All Products'!D:D,'All Products'!J:J,FALSE)</f>
        <v>Manufactured</v>
      </c>
      <c r="Q239" s="266">
        <f>_xlfn.XLOOKUP(E239,'All Products'!D:D,'All Products'!K:K,FALSE)</f>
        <v>49081022471</v>
      </c>
      <c r="R239" s="266" t="str">
        <f>_xlfn.XLOOKUP(E239,'All Products'!D:D,'All Products'!L:L,FALSE)</f>
        <v>-</v>
      </c>
      <c r="S239" s="266">
        <f>_xlfn.XLOOKUP(E239,'All Products'!D:D,'All Products'!M:M,FALSE)</f>
        <v>40049081022479</v>
      </c>
      <c r="T239" s="264">
        <f>_xlfn.XLOOKUP(E239,'All Products'!D:D,'All Products'!N:N,FALSE)</f>
        <v>1.6970000000000001</v>
      </c>
      <c r="U239" s="264">
        <f>_xlfn.XLOOKUP(E239,'All Products'!D:D,'All Products'!P:P,FALSE)</f>
        <v>17.8</v>
      </c>
      <c r="V239" s="265">
        <f>_xlfn.XLOOKUP(E239,'All Products'!D:D,'All Products'!Q:Q,FALSE)</f>
        <v>2.77</v>
      </c>
    </row>
    <row r="240" spans="1:22" ht="14.4" customHeight="1">
      <c r="A240" s="101" t="str">
        <f>IF(K240&gt;0,COUNT($A$8:A239)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40" s="610"/>
      <c r="C240" s="611"/>
      <c r="D240" s="274" t="str">
        <f>_xlfn.XLOOKUP(E240,'All Products'!D:D,'All Products'!C:C,FALSE)</f>
        <v>2-A6-16-15-8</v>
      </c>
      <c r="E240" s="103">
        <v>100024290</v>
      </c>
      <c r="F240" s="144" t="str">
        <f>_xlfn.XLOOKUP(E240,'All Products'!D:D,'All Products'!E:E,FALSE)</f>
        <v>1-1/2 ACME X 1 ACME SU X 8LL SJ</v>
      </c>
      <c r="G240" s="103">
        <f>_xlfn.XLOOKUP(E240,'All Products'!D:D,'All Products'!F:F,FALSE)</f>
        <v>10</v>
      </c>
      <c r="H240" s="103">
        <f>_xlfn.XLOOKUP(E240,'All Products'!D:D,'All Products'!G:G,FALSE)</f>
        <v>900</v>
      </c>
      <c r="I240" s="140">
        <f>_xlfn.XLOOKUP(E240,'All Products'!D:D,'All Products'!H:H,FALSE)</f>
        <v>95.77</v>
      </c>
      <c r="J240" s="173">
        <f>ROUNDUP(I240*Order_Quote!$L$26,2)</f>
        <v>95.77</v>
      </c>
      <c r="K240" s="75"/>
      <c r="L240" s="113"/>
      <c r="M240" s="171">
        <f t="shared" si="4"/>
        <v>0</v>
      </c>
      <c r="O240" s="215" t="str">
        <f>_xlfn.XLOOKUP(E240,'All Products'!D:D,'All Products'!I:I,FALSE)</f>
        <v>Within 3 Weeks</v>
      </c>
      <c r="P240" s="215" t="str">
        <f>_xlfn.XLOOKUP(E240,'All Products'!D:D,'All Products'!J:J,FALSE)</f>
        <v>Manufactured</v>
      </c>
      <c r="Q240" s="266">
        <f>_xlfn.XLOOKUP(E240,'All Products'!D:D,'All Products'!K:K,FALSE)</f>
        <v>49081031183</v>
      </c>
      <c r="R240" s="266" t="str">
        <f>_xlfn.XLOOKUP(E240,'All Products'!D:D,'All Products'!L:L,FALSE)</f>
        <v>-</v>
      </c>
      <c r="S240" s="266">
        <f>_xlfn.XLOOKUP(E240,'All Products'!D:D,'All Products'!M:M,FALSE)</f>
        <v>40049081031181</v>
      </c>
      <c r="T240" s="264">
        <f>_xlfn.XLOOKUP(E240,'All Products'!D:D,'All Products'!N:N,FALSE)</f>
        <v>1.2410000000000001</v>
      </c>
      <c r="U240" s="264">
        <f>_xlfn.XLOOKUP(E240,'All Products'!D:D,'All Products'!P:P,FALSE)</f>
        <v>12.75</v>
      </c>
      <c r="V240" s="265">
        <f>_xlfn.XLOOKUP(E240,'All Products'!D:D,'All Products'!Q:Q,FALSE)</f>
        <v>0.8</v>
      </c>
    </row>
    <row r="241" spans="1:22" ht="14.4" customHeight="1">
      <c r="A241" s="101" t="str">
        <f>IF(K241&gt;0,COUNT($A$8:A240)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41" s="610"/>
      <c r="C241" s="611"/>
      <c r="D241" s="274" t="str">
        <f>_xlfn.XLOOKUP(E241,'All Products'!D:D,'All Products'!C:C,FALSE)</f>
        <v>2-A6-18-15-12</v>
      </c>
      <c r="E241" s="103">
        <v>100024292</v>
      </c>
      <c r="F241" s="144" t="str">
        <f>_xlfn.XLOOKUP(E241,'All Products'!D:D,'All Products'!E:E,FALSE)</f>
        <v>1-1/2 ACME X 1-1/2 ACME SU X 12 SJ</v>
      </c>
      <c r="G241" s="103">
        <f>_xlfn.XLOOKUP(E241,'All Products'!D:D,'All Products'!F:F,FALSE)</f>
        <v>10</v>
      </c>
      <c r="H241" s="103">
        <f>_xlfn.XLOOKUP(E241,'All Products'!D:D,'All Products'!G:G,FALSE)</f>
        <v>750</v>
      </c>
      <c r="I241" s="140">
        <f>_xlfn.XLOOKUP(E241,'All Products'!D:D,'All Products'!H:H,FALSE)</f>
        <v>129.27000000000001</v>
      </c>
      <c r="J241" s="173">
        <f>ROUNDUP(I241*Order_Quote!$L$26,2)</f>
        <v>129.27000000000001</v>
      </c>
      <c r="K241" s="75"/>
      <c r="L241" s="113"/>
      <c r="M241" s="171">
        <f t="shared" si="4"/>
        <v>0</v>
      </c>
      <c r="O241" s="215" t="str">
        <f>_xlfn.XLOOKUP(E241,'All Products'!D:D,'All Products'!I:I,FALSE)</f>
        <v>Within 3 Weeks</v>
      </c>
      <c r="P241" s="215" t="str">
        <f>_xlfn.XLOOKUP(E241,'All Products'!D:D,'All Products'!J:J,FALSE)</f>
        <v>Manufactured</v>
      </c>
      <c r="Q241" s="266">
        <f>_xlfn.XLOOKUP(E241,'All Products'!D:D,'All Products'!K:K,FALSE)</f>
        <v>49081020262</v>
      </c>
      <c r="R241" s="266" t="str">
        <f>_xlfn.XLOOKUP(E241,'All Products'!D:D,'All Products'!L:L,FALSE)</f>
        <v>-</v>
      </c>
      <c r="S241" s="266">
        <f>_xlfn.XLOOKUP(E241,'All Products'!D:D,'All Products'!M:M,FALSE)</f>
        <v>40049081020260</v>
      </c>
      <c r="T241" s="264">
        <f>_xlfn.XLOOKUP(E241,'All Products'!D:D,'All Products'!N:N,FALSE)</f>
        <v>1.028</v>
      </c>
      <c r="U241" s="264">
        <f>_xlfn.XLOOKUP(E241,'All Products'!D:D,'All Products'!P:P,FALSE)</f>
        <v>13.3</v>
      </c>
      <c r="V241" s="265">
        <f>_xlfn.XLOOKUP(E241,'All Products'!D:D,'All Products'!Q:Q,FALSE)</f>
        <v>1.1000000000000001</v>
      </c>
    </row>
    <row r="242" spans="1:22" ht="14.4" customHeight="1">
      <c r="A242" s="101" t="str">
        <f>IF(K242&gt;0,COUNT($A$8:A241)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42" s="610"/>
      <c r="C242" s="611"/>
      <c r="D242" s="274" t="str">
        <f>_xlfn.XLOOKUP(E242,'All Products'!D:D,'All Products'!C:C,FALSE)</f>
        <v>2-A6-7-15-12</v>
      </c>
      <c r="E242" s="103">
        <v>100024980</v>
      </c>
      <c r="F242" s="144" t="str">
        <f>_xlfn.XLOOKUP(E242,'All Products'!D:D,'All Products'!E:E,FALSE)</f>
        <v>1-1/2 ACME X 1 MIPT SU X 12 LL SJ</v>
      </c>
      <c r="G242" s="103">
        <f>_xlfn.XLOOKUP(E242,'All Products'!D:D,'All Products'!F:F,FALSE)</f>
        <v>10</v>
      </c>
      <c r="H242" s="103">
        <f>_xlfn.XLOOKUP(E242,'All Products'!D:D,'All Products'!G:G,FALSE)</f>
        <v>750</v>
      </c>
      <c r="I242" s="140">
        <f>_xlfn.XLOOKUP(E242,'All Products'!D:D,'All Products'!H:H,FALSE)</f>
        <v>129.27000000000001</v>
      </c>
      <c r="J242" s="173">
        <f>ROUNDUP(I242*Order_Quote!$L$26,2)</f>
        <v>129.27000000000001</v>
      </c>
      <c r="K242" s="75"/>
      <c r="L242" s="113"/>
      <c r="M242" s="171">
        <f t="shared" si="4"/>
        <v>0</v>
      </c>
      <c r="O242" s="215" t="str">
        <f>_xlfn.XLOOKUP(E242,'All Products'!D:D,'All Products'!I:I,FALSE)</f>
        <v>Within 3 Weeks</v>
      </c>
      <c r="P242" s="215" t="str">
        <f>_xlfn.XLOOKUP(E242,'All Products'!D:D,'All Products'!J:J,FALSE)</f>
        <v>Manufactured</v>
      </c>
      <c r="Q242" s="266">
        <f>_xlfn.XLOOKUP(E242,'All Products'!D:D,'All Products'!K:K,FALSE)</f>
        <v>49081031015</v>
      </c>
      <c r="R242" s="266" t="str">
        <f>_xlfn.XLOOKUP(E242,'All Products'!D:D,'All Products'!L:L,FALSE)</f>
        <v>-</v>
      </c>
      <c r="S242" s="266">
        <f>_xlfn.XLOOKUP(E242,'All Products'!D:D,'All Products'!M:M,FALSE)</f>
        <v>40049081031013</v>
      </c>
      <c r="T242" s="264">
        <f>_xlfn.XLOOKUP(E242,'All Products'!D:D,'All Products'!N:N,FALSE)</f>
        <v>1.39</v>
      </c>
      <c r="U242" s="264">
        <f>_xlfn.XLOOKUP(E242,'All Products'!D:D,'All Products'!P:P,FALSE)</f>
        <v>14.25</v>
      </c>
      <c r="V242" s="265">
        <f>_xlfn.XLOOKUP(E242,'All Products'!D:D,'All Products'!Q:Q,FALSE)</f>
        <v>1.1000000000000001</v>
      </c>
    </row>
    <row r="243" spans="1:22" ht="14.4" customHeight="1">
      <c r="A243" s="101" t="str">
        <f>IF(K243&gt;0,COUNT($A$8:A242)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43" s="610"/>
      <c r="C243" s="611"/>
      <c r="D243" s="274" t="str">
        <f>_xlfn.XLOOKUP(E243,'All Products'!D:D,'All Products'!C:C,FALSE)</f>
        <v>3-A3-QC-15-18</v>
      </c>
      <c r="E243" s="103">
        <v>100024498</v>
      </c>
      <c r="F243" s="144" t="str">
        <f>_xlfn.XLOOKUP(E243,'All Products'!D:D,'All Products'!E:E,FALSE)</f>
        <v>1" ACME X BRASS MPT SU X 18 LL</v>
      </c>
      <c r="G243" s="103">
        <f>_xlfn.XLOOKUP(E243,'All Products'!D:D,'All Products'!F:F,FALSE)</f>
        <v>1</v>
      </c>
      <c r="H243" s="103">
        <f>_xlfn.XLOOKUP(E243,'All Products'!D:D,'All Products'!G:G,FALSE)</f>
        <v>180</v>
      </c>
      <c r="I243" s="140">
        <f>_xlfn.XLOOKUP(E243,'All Products'!D:D,'All Products'!H:H,FALSE)</f>
        <v>290.89999999999998</v>
      </c>
      <c r="J243" s="173">
        <f>ROUNDUP(I243*Order_Quote!$L$26,2)</f>
        <v>290.89999999999998</v>
      </c>
      <c r="K243" s="75"/>
      <c r="L243" s="113"/>
      <c r="M243" s="171">
        <f t="shared" si="4"/>
        <v>0</v>
      </c>
      <c r="O243" s="215" t="str">
        <f>_xlfn.XLOOKUP(E243,'All Products'!D:D,'All Products'!I:I,FALSE)</f>
        <v>Within 3 Weeks</v>
      </c>
      <c r="P243" s="215" t="str">
        <f>_xlfn.XLOOKUP(E243,'All Products'!D:D,'All Products'!J:J,FALSE)</f>
        <v>Manufactured</v>
      </c>
      <c r="Q243" s="266">
        <f>_xlfn.XLOOKUP(E243,'All Products'!D:D,'All Products'!K:K,FALSE)</f>
        <v>49081022327</v>
      </c>
      <c r="R243" s="266" t="str">
        <f>_xlfn.XLOOKUP(E243,'All Products'!D:D,'All Products'!L:L,FALSE)</f>
        <v>-</v>
      </c>
      <c r="S243" s="266">
        <f>_xlfn.XLOOKUP(E243,'All Products'!D:D,'All Products'!M:M,FALSE)</f>
        <v>40049081022325</v>
      </c>
      <c r="T243" s="264">
        <f>_xlfn.XLOOKUP(E243,'All Products'!D:D,'All Products'!N:N,FALSE)</f>
        <v>2.782</v>
      </c>
      <c r="U243" s="264" t="str">
        <f>_xlfn.XLOOKUP(E243,'All Products'!D:D,'All Products'!P:P,FALSE)</f>
        <v>-</v>
      </c>
      <c r="V243" s="265" t="str">
        <f>_xlfn.XLOOKUP(E243,'All Products'!D:D,'All Products'!Q:Q,FALSE)</f>
        <v>-</v>
      </c>
    </row>
    <row r="244" spans="1:22" ht="14.4" customHeight="1">
      <c r="A244" s="101" t="str">
        <f>IF(K244&gt;0,COUNT($A$8:A243)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44" s="610"/>
      <c r="C244" s="611"/>
      <c r="D244" s="274" t="str">
        <f>_xlfn.XLOOKUP(E244,'All Products'!D:D,'All Products'!C:C,FALSE)</f>
        <v>3-A7-21-15-12</v>
      </c>
      <c r="E244" s="103">
        <v>100024530</v>
      </c>
      <c r="F244" s="144" t="str">
        <f>_xlfn.XLOOKUP(E244,'All Products'!D:D,'All Products'!E:E,FALSE)</f>
        <v>1 ACME X 1-1/2 ACME SU X 12 LL SJ</v>
      </c>
      <c r="G244" s="103">
        <f>_xlfn.XLOOKUP(E244,'All Products'!D:D,'All Products'!F:F,FALSE)</f>
        <v>10</v>
      </c>
      <c r="H244" s="103">
        <f>_xlfn.XLOOKUP(E244,'All Products'!D:D,'All Products'!G:G,FALSE)</f>
        <v>600</v>
      </c>
      <c r="I244" s="140">
        <f>_xlfn.XLOOKUP(E244,'All Products'!D:D,'All Products'!H:H,FALSE)</f>
        <v>156.46</v>
      </c>
      <c r="J244" s="173">
        <f>ROUNDUP(I244*Order_Quote!$L$26,2)</f>
        <v>156.46</v>
      </c>
      <c r="K244" s="75"/>
      <c r="L244" s="113"/>
      <c r="M244" s="171">
        <f t="shared" si="4"/>
        <v>0</v>
      </c>
      <c r="O244" s="215" t="str">
        <f>_xlfn.XLOOKUP(E244,'All Products'!D:D,'All Products'!I:I,FALSE)</f>
        <v>Within 3 Weeks</v>
      </c>
      <c r="P244" s="215" t="str">
        <f>_xlfn.XLOOKUP(E244,'All Products'!D:D,'All Products'!J:J,FALSE)</f>
        <v>Manufactured</v>
      </c>
      <c r="Q244" s="266">
        <f>_xlfn.XLOOKUP(E244,'All Products'!D:D,'All Products'!K:K,FALSE)</f>
        <v>49081031213</v>
      </c>
      <c r="R244" s="266" t="str">
        <f>_xlfn.XLOOKUP(E244,'All Products'!D:D,'All Products'!L:L,FALSE)</f>
        <v>-</v>
      </c>
      <c r="S244" s="266">
        <f>_xlfn.XLOOKUP(E244,'All Products'!D:D,'All Products'!M:M,FALSE)</f>
        <v>40049081031211</v>
      </c>
      <c r="T244" s="264">
        <f>_xlfn.XLOOKUP(E244,'All Products'!D:D,'All Products'!N:N,FALSE)</f>
        <v>1.758</v>
      </c>
      <c r="U244" s="264">
        <f>_xlfn.XLOOKUP(E244,'All Products'!D:D,'All Products'!P:P,FALSE)</f>
        <v>18</v>
      </c>
      <c r="V244" s="265">
        <f>_xlfn.XLOOKUP(E244,'All Products'!D:D,'All Products'!Q:Q,FALSE)</f>
        <v>1.41</v>
      </c>
    </row>
    <row r="245" spans="1:22" ht="14.4" customHeight="1">
      <c r="A245" s="101" t="str">
        <f>IF(K245&gt;0,COUNT($A$8:A244)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45" s="610"/>
      <c r="C245" s="611"/>
      <c r="D245" s="274" t="str">
        <f>_xlfn.XLOOKUP(E245,'All Products'!D:D,'All Products'!C:C,FALSE)</f>
        <v>3-A9-19-15-12</v>
      </c>
      <c r="E245" s="103">
        <v>100025038</v>
      </c>
      <c r="F245" s="144" t="str">
        <f>_xlfn.XLOOKUP(E245,'All Products'!D:D,'All Products'!E:E,FALSE)</f>
        <v>1-1/2 ACME X 1 ACME SU X 12 SJ</v>
      </c>
      <c r="G245" s="103">
        <f>_xlfn.XLOOKUP(E245,'All Products'!D:D,'All Products'!F:F,FALSE)</f>
        <v>10</v>
      </c>
      <c r="H245" s="103">
        <f>_xlfn.XLOOKUP(E245,'All Products'!D:D,'All Products'!G:G,FALSE)</f>
        <v>600</v>
      </c>
      <c r="I245" s="140">
        <f>_xlfn.XLOOKUP(E245,'All Products'!D:D,'All Products'!H:H,FALSE)</f>
        <v>156.46</v>
      </c>
      <c r="J245" s="173">
        <f>ROUNDUP(I245*Order_Quote!$L$26,2)</f>
        <v>156.46</v>
      </c>
      <c r="K245" s="75"/>
      <c r="L245" s="113"/>
      <c r="M245" s="171">
        <f t="shared" si="4"/>
        <v>0</v>
      </c>
      <c r="O245" s="215" t="str">
        <f>_xlfn.XLOOKUP(E245,'All Products'!D:D,'All Products'!I:I,FALSE)</f>
        <v>Within 3 Weeks</v>
      </c>
      <c r="P245" s="215" t="str">
        <f>_xlfn.XLOOKUP(E245,'All Products'!D:D,'All Products'!J:J,FALSE)</f>
        <v>Manufactured</v>
      </c>
      <c r="Q245" s="266">
        <f>_xlfn.XLOOKUP(E245,'All Products'!D:D,'All Products'!K:K,FALSE)</f>
        <v>49081029050</v>
      </c>
      <c r="R245" s="266" t="str">
        <f>_xlfn.XLOOKUP(E245,'All Products'!D:D,'All Products'!L:L,FALSE)</f>
        <v>-</v>
      </c>
      <c r="S245" s="266">
        <f>_xlfn.XLOOKUP(E245,'All Products'!D:D,'All Products'!M:M,FALSE)</f>
        <v>40049081029058</v>
      </c>
      <c r="T245" s="264">
        <f>_xlfn.XLOOKUP(E245,'All Products'!D:D,'All Products'!N:N,FALSE)</f>
        <v>1.758</v>
      </c>
      <c r="U245" s="264">
        <f>_xlfn.XLOOKUP(E245,'All Products'!D:D,'All Products'!P:P,FALSE)</f>
        <v>18.3</v>
      </c>
      <c r="V245" s="265">
        <f>_xlfn.XLOOKUP(E245,'All Products'!D:D,'All Products'!Q:Q,FALSE)</f>
        <v>1.41</v>
      </c>
    </row>
    <row r="246" spans="1:22" ht="14.4" customHeight="1">
      <c r="A246" s="101" t="str">
        <f>IF(K246&gt;0,COUNT($A$8:A245)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46" s="610"/>
      <c r="C246" s="611"/>
      <c r="D246" s="274" t="str">
        <f>_xlfn.XLOOKUP(E246,'All Products'!D:D,'All Products'!C:C,FALSE)</f>
        <v>3-A9-20-15-12</v>
      </c>
      <c r="E246" s="103">
        <v>100024544</v>
      </c>
      <c r="F246" s="144" t="str">
        <f>_xlfn.XLOOKUP(E246,'All Products'!D:D,'All Products'!E:E,FALSE)</f>
        <v>1-1/2 ACME X 1-1/4 ACME SU X 12 SJ</v>
      </c>
      <c r="G246" s="103">
        <f>_xlfn.XLOOKUP(E246,'All Products'!D:D,'All Products'!F:F,FALSE)</f>
        <v>10</v>
      </c>
      <c r="H246" s="103">
        <f>_xlfn.XLOOKUP(E246,'All Products'!D:D,'All Products'!G:G,FALSE)</f>
        <v>180</v>
      </c>
      <c r="I246" s="140">
        <f>_xlfn.XLOOKUP(E246,'All Products'!D:D,'All Products'!H:H,FALSE)</f>
        <v>156.46</v>
      </c>
      <c r="J246" s="173">
        <f>ROUNDUP(I246*Order_Quote!$L$26,2)</f>
        <v>156.46</v>
      </c>
      <c r="K246" s="75"/>
      <c r="L246" s="113"/>
      <c r="M246" s="171">
        <f t="shared" si="4"/>
        <v>0</v>
      </c>
      <c r="O246" s="215" t="str">
        <f>_xlfn.XLOOKUP(E246,'All Products'!D:D,'All Products'!I:I,FALSE)</f>
        <v>Within 3 Weeks</v>
      </c>
      <c r="P246" s="215" t="str">
        <f>_xlfn.XLOOKUP(E246,'All Products'!D:D,'All Products'!J:J,FALSE)</f>
        <v>Manufactured</v>
      </c>
      <c r="Q246" s="266">
        <f>_xlfn.XLOOKUP(E246,'All Products'!D:D,'All Products'!K:K,FALSE)</f>
        <v>49081021825</v>
      </c>
      <c r="R246" s="266" t="str">
        <f>_xlfn.XLOOKUP(E246,'All Products'!D:D,'All Products'!L:L,FALSE)</f>
        <v>-</v>
      </c>
      <c r="S246" s="266">
        <f>_xlfn.XLOOKUP(E246,'All Products'!D:D,'All Products'!M:M,FALSE)</f>
        <v>40049081021823</v>
      </c>
      <c r="T246" s="264">
        <f>_xlfn.XLOOKUP(E246,'All Products'!D:D,'All Products'!N:N,FALSE)</f>
        <v>1.6910000000000001</v>
      </c>
      <c r="U246" s="264">
        <f>_xlfn.XLOOKUP(E246,'All Products'!D:D,'All Products'!P:P,FALSE)</f>
        <v>17.48</v>
      </c>
      <c r="V246" s="265">
        <f>_xlfn.XLOOKUP(E246,'All Products'!D:D,'All Products'!Q:Q,FALSE)</f>
        <v>2.65</v>
      </c>
    </row>
    <row r="247" spans="1:22" ht="14.4" customHeight="1">
      <c r="A247" s="101" t="str">
        <f>IF(K247&gt;0,COUNT($A$8:A246)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47" s="610"/>
      <c r="C247" s="611"/>
      <c r="D247" s="274" t="str">
        <f>_xlfn.XLOOKUP(E247,'All Products'!D:D,'All Products'!C:C,FALSE)</f>
        <v>3-A9-21-15-12</v>
      </c>
      <c r="E247" s="103">
        <v>100025040</v>
      </c>
      <c r="F247" s="144" t="str">
        <f>_xlfn.XLOOKUP(E247,'All Products'!D:D,'All Products'!E:E,FALSE)</f>
        <v>1-1/2 ACME X 1-1/2 ACME SU X 12 SJ</v>
      </c>
      <c r="G247" s="103">
        <f>_xlfn.XLOOKUP(E247,'All Products'!D:D,'All Products'!F:F,FALSE)</f>
        <v>10</v>
      </c>
      <c r="H247" s="103">
        <f>_xlfn.XLOOKUP(E247,'All Products'!D:D,'All Products'!G:G,FALSE)</f>
        <v>600</v>
      </c>
      <c r="I247" s="140">
        <f>_xlfn.XLOOKUP(E247,'All Products'!D:D,'All Products'!H:H,FALSE)</f>
        <v>156.46</v>
      </c>
      <c r="J247" s="173">
        <f>ROUNDUP(I247*Order_Quote!$L$26,2)</f>
        <v>156.46</v>
      </c>
      <c r="K247" s="75"/>
      <c r="L247" s="113"/>
      <c r="M247" s="171">
        <f t="shared" si="4"/>
        <v>0</v>
      </c>
      <c r="O247" s="215" t="str">
        <f>_xlfn.XLOOKUP(E247,'All Products'!D:D,'All Products'!I:I,FALSE)</f>
        <v>In Stock</v>
      </c>
      <c r="P247" s="215" t="str">
        <f>_xlfn.XLOOKUP(E247,'All Products'!D:D,'All Products'!J:J,FALSE)</f>
        <v>Manufactured</v>
      </c>
      <c r="Q247" s="266">
        <f>_xlfn.XLOOKUP(E247,'All Products'!D:D,'All Products'!K:K,FALSE)</f>
        <v>49081020118</v>
      </c>
      <c r="R247" s="266" t="str">
        <f>_xlfn.XLOOKUP(E247,'All Products'!D:D,'All Products'!L:L,FALSE)</f>
        <v>-</v>
      </c>
      <c r="S247" s="266">
        <f>_xlfn.XLOOKUP(E247,'All Products'!D:D,'All Products'!M:M,FALSE)</f>
        <v>40049081020116</v>
      </c>
      <c r="T247" s="264">
        <f>_xlfn.XLOOKUP(E247,'All Products'!D:D,'All Products'!N:N,FALSE)</f>
        <v>1.73</v>
      </c>
      <c r="U247" s="264">
        <f>_xlfn.XLOOKUP(E247,'All Products'!D:D,'All Products'!P:P,FALSE)</f>
        <v>20.5</v>
      </c>
      <c r="V247" s="265">
        <f>_xlfn.XLOOKUP(E247,'All Products'!D:D,'All Products'!Q:Q,FALSE)</f>
        <v>1.41</v>
      </c>
    </row>
    <row r="248" spans="1:22" ht="14.4" customHeight="1">
      <c r="A248" s="101" t="str">
        <f>IF(K248&gt;0,COUNT($A$8:A247)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48" s="610"/>
      <c r="C248" s="611"/>
      <c r="D248" s="274" t="str">
        <f>_xlfn.XLOOKUP(E248,'All Products'!D:D,'All Products'!C:C,FALSE)</f>
        <v>3-A9-21-15-18</v>
      </c>
      <c r="E248" s="103">
        <v>100025041</v>
      </c>
      <c r="F248" s="144" t="str">
        <f>_xlfn.XLOOKUP(E248,'All Products'!D:D,'All Products'!E:E,FALSE)</f>
        <v>1-1/2 ACME X 1-1/2 ACME SU X 18 SJ</v>
      </c>
      <c r="G248" s="103">
        <f>_xlfn.XLOOKUP(E248,'All Products'!D:D,'All Products'!F:F,FALSE)</f>
        <v>10</v>
      </c>
      <c r="H248" s="103">
        <f>_xlfn.XLOOKUP(E248,'All Products'!D:D,'All Products'!G:G,FALSE)</f>
        <v>240</v>
      </c>
      <c r="I248" s="140">
        <f>_xlfn.XLOOKUP(E248,'All Products'!D:D,'All Products'!H:H,FALSE)</f>
        <v>167.52</v>
      </c>
      <c r="J248" s="173">
        <f>ROUNDUP(I248*Order_Quote!$L$26,2)</f>
        <v>167.52</v>
      </c>
      <c r="K248" s="75"/>
      <c r="L248" s="113"/>
      <c r="M248" s="171">
        <f t="shared" si="4"/>
        <v>0</v>
      </c>
      <c r="O248" s="215" t="str">
        <f>_xlfn.XLOOKUP(E248,'All Products'!D:D,'All Products'!I:I,FALSE)</f>
        <v>Within 3 Weeks</v>
      </c>
      <c r="P248" s="215" t="str">
        <f>_xlfn.XLOOKUP(E248,'All Products'!D:D,'All Products'!J:J,FALSE)</f>
        <v>Manufactured</v>
      </c>
      <c r="Q248" s="266">
        <f>_xlfn.XLOOKUP(E248,'All Products'!D:D,'All Products'!K:K,FALSE)</f>
        <v>49081022693</v>
      </c>
      <c r="R248" s="266" t="str">
        <f>_xlfn.XLOOKUP(E248,'All Products'!D:D,'All Products'!L:L,FALSE)</f>
        <v>-</v>
      </c>
      <c r="S248" s="266">
        <f>_xlfn.XLOOKUP(E248,'All Products'!D:D,'All Products'!M:M,FALSE)</f>
        <v>40049081022691</v>
      </c>
      <c r="T248" s="264">
        <f>_xlfn.XLOOKUP(E248,'All Products'!D:D,'All Products'!N:N,FALSE)</f>
        <v>2.044</v>
      </c>
      <c r="U248" s="264">
        <f>_xlfn.XLOOKUP(E248,'All Products'!D:D,'All Products'!P:P,FALSE)</f>
        <v>22.15</v>
      </c>
      <c r="V248" s="265">
        <f>_xlfn.XLOOKUP(E248,'All Products'!D:D,'All Products'!Q:Q,FALSE)</f>
        <v>2.77</v>
      </c>
    </row>
    <row r="249" spans="1:22" ht="14.4" customHeight="1">
      <c r="A249" s="101" t="str">
        <f>IF(K249&gt;0,COUNT($A$8:A248)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49" s="610"/>
      <c r="C249" s="611"/>
      <c r="D249" s="274" t="str">
        <f>_xlfn.XLOOKUP(E249,'All Products'!D:D,'All Products'!C:C,FALSE)</f>
        <v>3-A9-21-15-8</v>
      </c>
      <c r="E249" s="103">
        <v>100024550</v>
      </c>
      <c r="F249" s="144" t="str">
        <f>_xlfn.XLOOKUP(E249,'All Products'!D:D,'All Products'!E:E,FALSE)</f>
        <v>1-1/2 ACME X 1-1/2 ACME SU X 8 SJ</v>
      </c>
      <c r="G249" s="103">
        <f>_xlfn.XLOOKUP(E249,'All Products'!D:D,'All Products'!F:F,FALSE)</f>
        <v>10</v>
      </c>
      <c r="H249" s="103">
        <f>_xlfn.XLOOKUP(E249,'All Products'!D:D,'All Products'!G:G,FALSE)</f>
        <v>750</v>
      </c>
      <c r="I249" s="140">
        <f>_xlfn.XLOOKUP(E249,'All Products'!D:D,'All Products'!H:H,FALSE)</f>
        <v>145.36000000000001</v>
      </c>
      <c r="J249" s="173">
        <f>ROUNDUP(I249*Order_Quote!$L$26,2)</f>
        <v>145.36000000000001</v>
      </c>
      <c r="K249" s="75"/>
      <c r="L249" s="113"/>
      <c r="M249" s="171">
        <f t="shared" si="4"/>
        <v>0</v>
      </c>
      <c r="O249" s="215" t="str">
        <f>_xlfn.XLOOKUP(E249,'All Products'!D:D,'All Products'!I:I,FALSE)</f>
        <v>Within 3 Weeks</v>
      </c>
      <c r="P249" s="215" t="str">
        <f>_xlfn.XLOOKUP(E249,'All Products'!D:D,'All Products'!J:J,FALSE)</f>
        <v>Manufactured</v>
      </c>
      <c r="Q249" s="266">
        <f>_xlfn.XLOOKUP(E249,'All Products'!D:D,'All Products'!K:K,FALSE)</f>
        <v>49081029098</v>
      </c>
      <c r="R249" s="266" t="str">
        <f>_xlfn.XLOOKUP(E249,'All Products'!D:D,'All Products'!L:L,FALSE)</f>
        <v>-</v>
      </c>
      <c r="S249" s="266">
        <f>_xlfn.XLOOKUP(E249,'All Products'!D:D,'All Products'!M:M,FALSE)</f>
        <v>40049081029096</v>
      </c>
      <c r="T249" s="264">
        <f>_xlfn.XLOOKUP(E249,'All Products'!D:D,'All Products'!N:N,FALSE)</f>
        <v>1.518</v>
      </c>
      <c r="U249" s="264">
        <f>_xlfn.XLOOKUP(E249,'All Products'!D:D,'All Products'!P:P,FALSE)</f>
        <v>15.3</v>
      </c>
      <c r="V249" s="265">
        <f>_xlfn.XLOOKUP(E249,'All Products'!D:D,'All Products'!Q:Q,FALSE)</f>
        <v>1.1000000000000001</v>
      </c>
    </row>
    <row r="250" spans="1:22" ht="14.4" customHeight="1">
      <c r="A250" s="101" t="str">
        <f>IF(K250&gt;0,COUNT($A$8:A249)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50" s="610"/>
      <c r="C250" s="611"/>
      <c r="D250" s="274" t="str">
        <f>_xlfn.XLOOKUP(E250,'All Products'!D:D,'All Products'!C:C,FALSE)</f>
        <v>3-A9-22-15-12</v>
      </c>
      <c r="E250" s="103">
        <v>100024553</v>
      </c>
      <c r="F250" s="144" t="str">
        <f>_xlfn.XLOOKUP(E250,'All Products'!D:D,'All Products'!E:E,FALSE)</f>
        <v>1-1/2 ACME X 1-1/2 BSPT ABSU 12 SJ</v>
      </c>
      <c r="G250" s="103">
        <f>_xlfn.XLOOKUP(E250,'All Products'!D:D,'All Products'!F:F,FALSE)</f>
        <v>10</v>
      </c>
      <c r="H250" s="103">
        <f>_xlfn.XLOOKUP(E250,'All Products'!D:D,'All Products'!G:G,FALSE)</f>
        <v>600</v>
      </c>
      <c r="I250" s="140">
        <f>_xlfn.XLOOKUP(E250,'All Products'!D:D,'All Products'!H:H,FALSE)</f>
        <v>156.46</v>
      </c>
      <c r="J250" s="173">
        <f>ROUNDUP(I250*Order_Quote!$L$26,2)</f>
        <v>156.46</v>
      </c>
      <c r="K250" s="75"/>
      <c r="L250" s="113"/>
      <c r="M250" s="171">
        <f t="shared" si="4"/>
        <v>0</v>
      </c>
      <c r="O250" s="215" t="str">
        <f>_xlfn.XLOOKUP(E250,'All Products'!D:D,'All Products'!I:I,FALSE)</f>
        <v>Within 3 Weeks</v>
      </c>
      <c r="P250" s="215" t="str">
        <f>_xlfn.XLOOKUP(E250,'All Products'!D:D,'All Products'!J:J,FALSE)</f>
        <v>Manufactured</v>
      </c>
      <c r="Q250" s="266">
        <f>_xlfn.XLOOKUP(E250,'All Products'!D:D,'All Products'!K:K,FALSE)</f>
        <v>49081030346</v>
      </c>
      <c r="R250" s="266" t="str">
        <f>_xlfn.XLOOKUP(E250,'All Products'!D:D,'All Products'!L:L,FALSE)</f>
        <v>-</v>
      </c>
      <c r="S250" s="266">
        <f>_xlfn.XLOOKUP(E250,'All Products'!D:D,'All Products'!M:M,FALSE)</f>
        <v>40049081030344</v>
      </c>
      <c r="T250" s="264">
        <f>_xlfn.XLOOKUP(E250,'All Products'!D:D,'All Products'!N:N,FALSE)</f>
        <v>1.68</v>
      </c>
      <c r="U250" s="264">
        <f>_xlfn.XLOOKUP(E250,'All Products'!D:D,'All Products'!P:P,FALSE)</f>
        <v>17.32</v>
      </c>
      <c r="V250" s="265">
        <f>_xlfn.XLOOKUP(E250,'All Products'!D:D,'All Products'!Q:Q,FALSE)</f>
        <v>1.41</v>
      </c>
    </row>
    <row r="251" spans="1:22" ht="14.4" customHeight="1">
      <c r="A251" s="101" t="str">
        <f>IF(K251&gt;0,COUNT($A$8:A250)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51" s="610"/>
      <c r="C251" s="611"/>
      <c r="D251" s="274" t="str">
        <f>_xlfn.XLOOKUP(E251,'All Products'!D:D,'All Products'!C:C,FALSE)</f>
        <v>3-A9-3-15-12</v>
      </c>
      <c r="E251" s="103">
        <v>100025043</v>
      </c>
      <c r="F251" s="144" t="str">
        <f>_xlfn.XLOOKUP(E251,'All Products'!D:D,'All Products'!E:E,FALSE)</f>
        <v>1-1/2 ACME X 1-1/2 MPT SU X 12 SJ</v>
      </c>
      <c r="G251" s="103">
        <f>_xlfn.XLOOKUP(E251,'All Products'!D:D,'All Products'!F:F,FALSE)</f>
        <v>10</v>
      </c>
      <c r="H251" s="103">
        <f>_xlfn.XLOOKUP(E251,'All Products'!D:D,'All Products'!G:G,FALSE)</f>
        <v>600</v>
      </c>
      <c r="I251" s="140">
        <f>_xlfn.XLOOKUP(E251,'All Products'!D:D,'All Products'!H:H,FALSE)</f>
        <v>156.46</v>
      </c>
      <c r="J251" s="173">
        <f>ROUNDUP(I251*Order_Quote!$L$26,2)</f>
        <v>156.46</v>
      </c>
      <c r="K251" s="75"/>
      <c r="L251" s="113"/>
      <c r="M251" s="171">
        <f t="shared" si="4"/>
        <v>0</v>
      </c>
      <c r="O251" s="215" t="str">
        <f>_xlfn.XLOOKUP(E251,'All Products'!D:D,'All Products'!I:I,FALSE)</f>
        <v>In Stock</v>
      </c>
      <c r="P251" s="215" t="str">
        <f>_xlfn.XLOOKUP(E251,'All Products'!D:D,'All Products'!J:J,FALSE)</f>
        <v>Manufactured</v>
      </c>
      <c r="Q251" s="266">
        <f>_xlfn.XLOOKUP(E251,'All Products'!D:D,'All Products'!K:K,FALSE)</f>
        <v>49081022624</v>
      </c>
      <c r="R251" s="266" t="str">
        <f>_xlfn.XLOOKUP(E251,'All Products'!D:D,'All Products'!L:L,FALSE)</f>
        <v>-</v>
      </c>
      <c r="S251" s="266">
        <f>_xlfn.XLOOKUP(E251,'All Products'!D:D,'All Products'!M:M,FALSE)</f>
        <v>40049081022622</v>
      </c>
      <c r="T251" s="264">
        <f>_xlfn.XLOOKUP(E251,'All Products'!D:D,'All Products'!N:N,FALSE)</f>
        <v>1.675</v>
      </c>
      <c r="U251" s="264">
        <f>_xlfn.XLOOKUP(E251,'All Products'!D:D,'All Products'!P:P,FALSE)</f>
        <v>17.329999999999998</v>
      </c>
      <c r="V251" s="265">
        <f>_xlfn.XLOOKUP(E251,'All Products'!D:D,'All Products'!Q:Q,FALSE)</f>
        <v>1.41</v>
      </c>
    </row>
    <row r="252" spans="1:22" ht="14.4" customHeight="1">
      <c r="A252" s="101" t="str">
        <f>IF(K252&gt;0,COUNT($A$8:A251)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52" s="610"/>
      <c r="C252" s="611"/>
      <c r="D252" s="274" t="str">
        <f>_xlfn.XLOOKUP(E252,'All Products'!D:D,'All Products'!C:C,FALSE)</f>
        <v>3-A9-3-15-18</v>
      </c>
      <c r="E252" s="103">
        <v>100024557</v>
      </c>
      <c r="F252" s="144" t="str">
        <f>_xlfn.XLOOKUP(E252,'All Products'!D:D,'All Products'!E:E,FALSE)</f>
        <v>1-1/2 ACME X 1-1/2 MPT SU X18LL SJ</v>
      </c>
      <c r="G252" s="103">
        <f>_xlfn.XLOOKUP(E252,'All Products'!D:D,'All Products'!F:F,FALSE)</f>
        <v>10</v>
      </c>
      <c r="H252" s="103">
        <f>_xlfn.XLOOKUP(E252,'All Products'!D:D,'All Products'!G:G,FALSE)</f>
        <v>600</v>
      </c>
      <c r="I252" s="140">
        <f>_xlfn.XLOOKUP(E252,'All Products'!D:D,'All Products'!H:H,FALSE)</f>
        <v>167.52</v>
      </c>
      <c r="J252" s="173">
        <f>ROUNDUP(I252*Order_Quote!$L$26,2)</f>
        <v>167.52</v>
      </c>
      <c r="K252" s="75"/>
      <c r="L252" s="113"/>
      <c r="M252" s="171">
        <f t="shared" si="4"/>
        <v>0</v>
      </c>
      <c r="O252" s="215" t="str">
        <f>_xlfn.XLOOKUP(E252,'All Products'!D:D,'All Products'!I:I,FALSE)</f>
        <v>Within 3 Weeks</v>
      </c>
      <c r="P252" s="215" t="str">
        <f>_xlfn.XLOOKUP(E252,'All Products'!D:D,'All Products'!J:J,FALSE)</f>
        <v>Manufactured</v>
      </c>
      <c r="Q252" s="266">
        <f>_xlfn.XLOOKUP(E252,'All Products'!D:D,'All Products'!K:K,FALSE)</f>
        <v>49081029135</v>
      </c>
      <c r="R252" s="266" t="str">
        <f>_xlfn.XLOOKUP(E252,'All Products'!D:D,'All Products'!L:L,FALSE)</f>
        <v>-</v>
      </c>
      <c r="S252" s="266">
        <f>_xlfn.XLOOKUP(E252,'All Products'!D:D,'All Products'!M:M,FALSE)</f>
        <v>40049081029133</v>
      </c>
      <c r="T252" s="264">
        <f>_xlfn.XLOOKUP(E252,'All Products'!D:D,'All Products'!N:N,FALSE)</f>
        <v>1.99</v>
      </c>
      <c r="U252" s="264">
        <f>_xlfn.XLOOKUP(E252,'All Products'!D:D,'All Products'!P:P,FALSE)</f>
        <v>21.2</v>
      </c>
      <c r="V252" s="265">
        <f>_xlfn.XLOOKUP(E252,'All Products'!D:D,'All Products'!Q:Q,FALSE)</f>
        <v>1.41</v>
      </c>
    </row>
    <row r="253" spans="1:22" ht="14.4" customHeight="1">
      <c r="A253" s="101" t="str">
        <f>IF(K253&gt;0,COUNT($A$8:A252)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53" s="610"/>
      <c r="C253" s="611"/>
      <c r="D253" s="274" t="str">
        <f>_xlfn.XLOOKUP(E253,'All Products'!D:D,'All Products'!C:C,FALSE)</f>
        <v>3-A9-3-15-8</v>
      </c>
      <c r="E253" s="103">
        <v>100024558</v>
      </c>
      <c r="F253" s="144" t="str">
        <f>_xlfn.XLOOKUP(E253,'All Products'!D:D,'All Products'!E:E,FALSE)</f>
        <v>1-1/2 ACME X 1-1/2 MPT SU X 8 SJ</v>
      </c>
      <c r="G253" s="103">
        <f>_xlfn.XLOOKUP(E253,'All Products'!D:D,'All Products'!F:F,FALSE)</f>
        <v>10</v>
      </c>
      <c r="H253" s="103">
        <f>_xlfn.XLOOKUP(E253,'All Products'!D:D,'All Products'!G:G,FALSE)</f>
        <v>750</v>
      </c>
      <c r="I253" s="140">
        <f>_xlfn.XLOOKUP(E253,'All Products'!D:D,'All Products'!H:H,FALSE)</f>
        <v>145.36000000000001</v>
      </c>
      <c r="J253" s="173">
        <f>ROUNDUP(I253*Order_Quote!$L$26,2)</f>
        <v>145.36000000000001</v>
      </c>
      <c r="K253" s="75"/>
      <c r="L253" s="113"/>
      <c r="M253" s="171">
        <f t="shared" si="4"/>
        <v>0</v>
      </c>
      <c r="O253" s="215" t="str">
        <f>_xlfn.XLOOKUP(E253,'All Products'!D:D,'All Products'!I:I,FALSE)</f>
        <v>Within 3 Weeks</v>
      </c>
      <c r="P253" s="215" t="str">
        <f>_xlfn.XLOOKUP(E253,'All Products'!D:D,'All Products'!J:J,FALSE)</f>
        <v>Manufactured</v>
      </c>
      <c r="Q253" s="266">
        <f>_xlfn.XLOOKUP(E253,'All Products'!D:D,'All Products'!K:K,FALSE)</f>
        <v>49081029142</v>
      </c>
      <c r="R253" s="266" t="str">
        <f>_xlfn.XLOOKUP(E253,'All Products'!D:D,'All Products'!L:L,FALSE)</f>
        <v>-</v>
      </c>
      <c r="S253" s="266">
        <f>_xlfn.XLOOKUP(E253,'All Products'!D:D,'All Products'!M:M,FALSE)</f>
        <v>40049081029140</v>
      </c>
      <c r="T253" s="264">
        <f>_xlfn.XLOOKUP(E253,'All Products'!D:D,'All Products'!N:N,FALSE)</f>
        <v>1.464</v>
      </c>
      <c r="U253" s="264">
        <f>_xlfn.XLOOKUP(E253,'All Products'!D:D,'All Products'!P:P,FALSE)</f>
        <v>15.1</v>
      </c>
      <c r="V253" s="265">
        <f>_xlfn.XLOOKUP(E253,'All Products'!D:D,'All Products'!Q:Q,FALSE)</f>
        <v>1.1000000000000001</v>
      </c>
    </row>
    <row r="254" spans="1:22" ht="14.4" customHeight="1">
      <c r="A254" s="101" t="str">
        <f>IF(K254&gt;0,COUNT($A$8:A253)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54" s="610"/>
      <c r="C254" s="611"/>
      <c r="D254" s="274" t="str">
        <f>_xlfn.XLOOKUP(E254,'All Products'!D:D,'All Products'!C:C,FALSE)</f>
        <v>3-A9-8-15-12</v>
      </c>
      <c r="E254" s="103">
        <v>100024560</v>
      </c>
      <c r="F254" s="144" t="str">
        <f>_xlfn.XLOOKUP(E254,'All Products'!D:D,'All Products'!E:E,FALSE)</f>
        <v>1-1/2 ACME X 1 MIPT SU X 12 LL SJ</v>
      </c>
      <c r="G254" s="103">
        <f>_xlfn.XLOOKUP(E254,'All Products'!D:D,'All Products'!F:F,FALSE)</f>
        <v>10</v>
      </c>
      <c r="H254" s="103">
        <f>_xlfn.XLOOKUP(E254,'All Products'!D:D,'All Products'!G:G,FALSE)</f>
        <v>600</v>
      </c>
      <c r="I254" s="140">
        <f>_xlfn.XLOOKUP(E254,'All Products'!D:D,'All Products'!H:H,FALSE)</f>
        <v>156.46</v>
      </c>
      <c r="J254" s="173">
        <f>ROUNDUP(I254*Order_Quote!$L$26,2)</f>
        <v>156.46</v>
      </c>
      <c r="K254" s="75"/>
      <c r="L254" s="113"/>
      <c r="M254" s="171">
        <f t="shared" si="4"/>
        <v>0</v>
      </c>
      <c r="O254" s="215" t="str">
        <f>_xlfn.XLOOKUP(E254,'All Products'!D:D,'All Products'!I:I,FALSE)</f>
        <v>Within 3 Weeks</v>
      </c>
      <c r="P254" s="215" t="str">
        <f>_xlfn.XLOOKUP(E254,'All Products'!D:D,'All Products'!J:J,FALSE)</f>
        <v>Manufactured</v>
      </c>
      <c r="Q254" s="266">
        <f>_xlfn.XLOOKUP(E254,'All Products'!D:D,'All Products'!K:K,FALSE)</f>
        <v>49081030230</v>
      </c>
      <c r="R254" s="266" t="str">
        <f>_xlfn.XLOOKUP(E254,'All Products'!D:D,'All Products'!L:L,FALSE)</f>
        <v>-</v>
      </c>
      <c r="S254" s="266">
        <f>_xlfn.XLOOKUP(E254,'All Products'!D:D,'All Products'!M:M,FALSE)</f>
        <v>40049081030238</v>
      </c>
      <c r="T254" s="264">
        <f>_xlfn.XLOOKUP(E254,'All Products'!D:D,'All Products'!N:N,FALSE)</f>
        <v>1.69</v>
      </c>
      <c r="U254" s="264">
        <f>_xlfn.XLOOKUP(E254,'All Products'!D:D,'All Products'!P:P,FALSE)</f>
        <v>17.38</v>
      </c>
      <c r="V254" s="265">
        <f>_xlfn.XLOOKUP(E254,'All Products'!D:D,'All Products'!Q:Q,FALSE)</f>
        <v>1.41</v>
      </c>
    </row>
    <row r="255" spans="1:22" ht="14.4" customHeight="1">
      <c r="A255" s="101" t="str">
        <f>IF(K255&gt;0,COUNT($A$8:A254)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55" s="610"/>
      <c r="C255" s="611"/>
      <c r="D255" s="274" t="str">
        <f>_xlfn.XLOOKUP(E255,'All Products'!D:D,'All Products'!C:C,FALSE)</f>
        <v>3-A9-QC-15-12</v>
      </c>
      <c r="E255" s="103">
        <v>100025046</v>
      </c>
      <c r="F255" s="144" t="str">
        <f>_xlfn.XLOOKUP(E255,'All Products'!D:D,'All Products'!E:E,FALSE)</f>
        <v>1-1/2 ACME X BRASS MPT SU X 12 SJ</v>
      </c>
      <c r="G255" s="103">
        <f>_xlfn.XLOOKUP(E255,'All Products'!D:D,'All Products'!F:F,FALSE)</f>
        <v>10</v>
      </c>
      <c r="H255" s="103">
        <f>_xlfn.XLOOKUP(E255,'All Products'!D:D,'All Products'!G:G,FALSE)</f>
        <v>180</v>
      </c>
      <c r="I255" s="140">
        <f>_xlfn.XLOOKUP(E255,'All Products'!D:D,'All Products'!H:H,FALSE)</f>
        <v>298.91000000000003</v>
      </c>
      <c r="J255" s="173">
        <f>ROUNDUP(I255*Order_Quote!$L$26,2)</f>
        <v>298.91000000000003</v>
      </c>
      <c r="K255" s="75"/>
      <c r="L255" s="113"/>
      <c r="M255" s="171">
        <f t="shared" si="4"/>
        <v>0</v>
      </c>
      <c r="O255" s="215" t="str">
        <f>_xlfn.XLOOKUP(E255,'All Products'!D:D,'All Products'!I:I,FALSE)</f>
        <v>Within 3 Weeks</v>
      </c>
      <c r="P255" s="215" t="str">
        <f>_xlfn.XLOOKUP(E255,'All Products'!D:D,'All Products'!J:J,FALSE)</f>
        <v>Manufactured</v>
      </c>
      <c r="Q255" s="266">
        <f>_xlfn.XLOOKUP(E255,'All Products'!D:D,'All Products'!K:K,FALSE)</f>
        <v>49081022792</v>
      </c>
      <c r="R255" s="266" t="str">
        <f>_xlfn.XLOOKUP(E255,'All Products'!D:D,'All Products'!L:L,FALSE)</f>
        <v>-</v>
      </c>
      <c r="S255" s="266">
        <f>_xlfn.XLOOKUP(E255,'All Products'!D:D,'All Products'!M:M,FALSE)</f>
        <v>40049081022790</v>
      </c>
      <c r="T255" s="264">
        <f>_xlfn.XLOOKUP(E255,'All Products'!D:D,'All Products'!N:N,FALSE)</f>
        <v>2.4390000000000001</v>
      </c>
      <c r="U255" s="264">
        <f>_xlfn.XLOOKUP(E255,'All Products'!D:D,'All Products'!P:P,FALSE)</f>
        <v>26.29</v>
      </c>
      <c r="V255" s="265">
        <f>_xlfn.XLOOKUP(E255,'All Products'!D:D,'All Products'!Q:Q,FALSE)</f>
        <v>2.65</v>
      </c>
    </row>
    <row r="256" spans="1:22" ht="14.4" customHeight="1" thickBot="1">
      <c r="A256" s="101" t="str">
        <f>IF(K256&gt;0,COUNT($A$8:A255)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56" s="715"/>
      <c r="C256" s="697"/>
      <c r="D256" s="274" t="str">
        <f>_xlfn.XLOOKUP(E256,'All Products'!D:D,'All Products'!C:C,FALSE)</f>
        <v>3-A9-QC-15-18</v>
      </c>
      <c r="E256" s="103">
        <v>100025047</v>
      </c>
      <c r="F256" s="144" t="str">
        <f>_xlfn.XLOOKUP(E256,'All Products'!D:D,'All Products'!E:E,FALSE)</f>
        <v>1-1/2 ACME X BRASS MPT SU X 18 SJ</v>
      </c>
      <c r="G256" s="103">
        <f>_xlfn.XLOOKUP(E256,'All Products'!D:D,'All Products'!F:F,FALSE)</f>
        <v>10</v>
      </c>
      <c r="H256" s="103">
        <f>_xlfn.XLOOKUP(E256,'All Products'!D:D,'All Products'!G:G,FALSE)</f>
        <v>240</v>
      </c>
      <c r="I256" s="140">
        <f>_xlfn.XLOOKUP(E256,'All Products'!D:D,'All Products'!H:H,FALSE)</f>
        <v>290.89999999999998</v>
      </c>
      <c r="J256" s="173">
        <f>ROUNDUP(I256*Order_Quote!$L$26,2)</f>
        <v>290.89999999999998</v>
      </c>
      <c r="K256" s="75"/>
      <c r="L256" s="113"/>
      <c r="M256" s="171">
        <f t="shared" si="4"/>
        <v>0</v>
      </c>
      <c r="O256" s="567" t="str">
        <f>_xlfn.XLOOKUP(E256,'All Products'!D:D,'All Products'!I:I,FALSE)</f>
        <v>Within 3 Weeks</v>
      </c>
      <c r="P256" s="567" t="str">
        <f>_xlfn.XLOOKUP(E256,'All Products'!D:D,'All Products'!J:J,FALSE)</f>
        <v>Manufactured</v>
      </c>
      <c r="Q256" s="569">
        <f>_xlfn.XLOOKUP(E256,'All Products'!D:D,'All Products'!K:K,FALSE)</f>
        <v>49081029159</v>
      </c>
      <c r="R256" s="569" t="str">
        <f>_xlfn.XLOOKUP(E256,'All Products'!D:D,'All Products'!L:L,FALSE)</f>
        <v>-</v>
      </c>
      <c r="S256" s="569">
        <f>_xlfn.XLOOKUP(E256,'All Products'!D:D,'All Products'!M:M,FALSE)</f>
        <v>40049081029157</v>
      </c>
      <c r="T256" s="583">
        <f>_xlfn.XLOOKUP(E256,'All Products'!D:D,'All Products'!N:N,FALSE)</f>
        <v>2.754</v>
      </c>
      <c r="U256" s="583">
        <f>_xlfn.XLOOKUP(E256,'All Products'!D:D,'All Products'!P:P,FALSE)</f>
        <v>27.7</v>
      </c>
      <c r="V256" s="570">
        <f>_xlfn.XLOOKUP(E256,'All Products'!D:D,'All Products'!Q:Q,FALSE)</f>
        <v>2.77</v>
      </c>
    </row>
    <row r="257" spans="1:22" ht="16.2" thickBot="1">
      <c r="A257" s="101" t="str">
        <f>IF(K257&gt;0,COUNT($A$8:A256)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57" s="446" t="s">
        <v>2917</v>
      </c>
      <c r="C257" s="151"/>
      <c r="D257" s="606"/>
      <c r="E257" s="459"/>
      <c r="F257" s="151"/>
      <c r="G257" s="468"/>
      <c r="H257" s="151"/>
      <c r="I257" s="472"/>
      <c r="J257" s="468"/>
      <c r="K257" s="566"/>
      <c r="M257" s="545"/>
      <c r="O257" s="357"/>
      <c r="P257" s="145"/>
      <c r="Q257" s="493"/>
      <c r="R257" s="493"/>
      <c r="S257" s="493"/>
      <c r="T257" s="479"/>
      <c r="U257" s="459"/>
      <c r="V257" s="582"/>
    </row>
    <row r="258" spans="1:22" ht="14.4" customHeight="1">
      <c r="A258" s="101" t="str">
        <f>IF(K258&gt;0,COUNT($A$8:A257)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58" s="682"/>
      <c r="C258" s="683"/>
      <c r="D258" s="274" t="str">
        <f>_xlfn.XLOOKUP(E258,'All Products'!D:D,'All Products'!C:C,FALSE)</f>
        <v>1-13-13-2-12</v>
      </c>
      <c r="E258" s="103">
        <v>100029467</v>
      </c>
      <c r="F258" s="144" t="str">
        <f>_xlfn.XLOOKUP(E258,'All Products'!D:D,'All Products'!E:E,FALSE)</f>
        <v>9 ACME X 1 ACME UU X 12 LL SJ</v>
      </c>
      <c r="G258" s="103">
        <f>_xlfn.XLOOKUP(E258,'All Products'!D:D,'All Products'!F:F,FALSE)</f>
        <v>10</v>
      </c>
      <c r="H258" s="103">
        <f>_xlfn.XLOOKUP(E258,'All Products'!D:D,'All Products'!G:G,FALSE)</f>
        <v>750</v>
      </c>
      <c r="I258" s="140">
        <f>_xlfn.XLOOKUP(E258,'All Products'!D:D,'All Products'!H:H,FALSE)</f>
        <v>184.23</v>
      </c>
      <c r="J258" s="173">
        <f>ROUNDUP(I258*Order_Quote!$L$26,2)</f>
        <v>184.23</v>
      </c>
      <c r="K258" s="75"/>
      <c r="L258" s="113"/>
      <c r="M258" s="171">
        <f t="shared" ref="M258:M289" si="5">K258/G258</f>
        <v>0</v>
      </c>
      <c r="O258" s="215" t="str">
        <f>_xlfn.XLOOKUP(E258,'All Products'!D:D,'All Products'!I:I,FALSE)</f>
        <v>Within 3 Weeks</v>
      </c>
      <c r="P258" s="215" t="str">
        <f>_xlfn.XLOOKUP(E258,'All Products'!D:D,'All Products'!J:J,FALSE)</f>
        <v>Manufactured</v>
      </c>
      <c r="Q258" s="266">
        <f>_xlfn.XLOOKUP(E258,'All Products'!D:D,'All Products'!K:K,FALSE)</f>
        <v>49081030421</v>
      </c>
      <c r="R258" s="266" t="str">
        <f>_xlfn.XLOOKUP(E258,'All Products'!D:D,'All Products'!L:L,FALSE)</f>
        <v>-</v>
      </c>
      <c r="S258" s="266">
        <f>_xlfn.XLOOKUP(E258,'All Products'!D:D,'All Products'!M:M,FALSE)</f>
        <v>40049081030429</v>
      </c>
      <c r="T258" s="264">
        <f>_xlfn.XLOOKUP(E258,'All Products'!D:D,'All Products'!N:N,FALSE)</f>
        <v>1.764</v>
      </c>
      <c r="U258" s="264">
        <f>_xlfn.XLOOKUP(E258,'All Products'!D:D,'All Products'!P:P,FALSE)</f>
        <v>17.899999999999999</v>
      </c>
      <c r="V258" s="265">
        <f>_xlfn.XLOOKUP(E258,'All Products'!D:D,'All Products'!Q:Q,FALSE)</f>
        <v>1.1000000000000001</v>
      </c>
    </row>
    <row r="259" spans="1:22" ht="14.4" customHeight="1">
      <c r="A259" s="101" t="str">
        <f>IF(K259&gt;0,COUNT($A$8:A258)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59" s="610"/>
      <c r="C259" s="611"/>
      <c r="D259" s="274" t="str">
        <f>_xlfn.XLOOKUP(E259,'All Products'!D:D,'All Products'!C:C,FALSE)</f>
        <v>1-15-13-2-12</v>
      </c>
      <c r="E259" s="103">
        <v>100024864</v>
      </c>
      <c r="F259" s="144" t="str">
        <f>_xlfn.XLOOKUP(E259,'All Products'!D:D,'All Products'!E:E,FALSE)</f>
        <v>1-1/2 ACME X 1 ACME UU X 12 LL SJ</v>
      </c>
      <c r="G259" s="103">
        <f>_xlfn.XLOOKUP(E259,'All Products'!D:D,'All Products'!F:F,FALSE)</f>
        <v>10</v>
      </c>
      <c r="H259" s="103">
        <f>_xlfn.XLOOKUP(E259,'All Products'!D:D,'All Products'!G:G,FALSE)</f>
        <v>600</v>
      </c>
      <c r="I259" s="140">
        <f>_xlfn.XLOOKUP(E259,'All Products'!D:D,'All Products'!H:H,FALSE)</f>
        <v>159.15</v>
      </c>
      <c r="J259" s="173">
        <f>ROUNDUP(I259*Order_Quote!$L$26,2)</f>
        <v>159.15</v>
      </c>
      <c r="K259" s="75"/>
      <c r="L259" s="113"/>
      <c r="M259" s="171">
        <f t="shared" si="5"/>
        <v>0</v>
      </c>
      <c r="O259" s="215" t="str">
        <f>_xlfn.XLOOKUP(E259,'All Products'!D:D,'All Products'!I:I,FALSE)</f>
        <v>Within 3 Weeks</v>
      </c>
      <c r="P259" s="215" t="str">
        <f>_xlfn.XLOOKUP(E259,'All Products'!D:D,'All Products'!J:J,FALSE)</f>
        <v>Manufactured</v>
      </c>
      <c r="Q259" s="266">
        <f>_xlfn.XLOOKUP(E259,'All Products'!D:D,'All Products'!K:K,FALSE)</f>
        <v>49081022716</v>
      </c>
      <c r="R259" s="266" t="str">
        <f>_xlfn.XLOOKUP(E259,'All Products'!D:D,'All Products'!L:L,FALSE)</f>
        <v>-</v>
      </c>
      <c r="S259" s="266">
        <f>_xlfn.XLOOKUP(E259,'All Products'!D:D,'All Products'!M:M,FALSE)</f>
        <v>40049081022714</v>
      </c>
      <c r="T259" s="264">
        <f>_xlfn.XLOOKUP(E259,'All Products'!D:D,'All Products'!N:N,FALSE)</f>
        <v>1.806</v>
      </c>
      <c r="U259" s="264">
        <f>_xlfn.XLOOKUP(E259,'All Products'!D:D,'All Products'!P:P,FALSE)</f>
        <v>18.079999999999998</v>
      </c>
      <c r="V259" s="265">
        <f>_xlfn.XLOOKUP(E259,'All Products'!D:D,'All Products'!Q:Q,FALSE)</f>
        <v>1.41</v>
      </c>
    </row>
    <row r="260" spans="1:22" ht="14.4" customHeight="1">
      <c r="A260" s="101" t="str">
        <f>IF(K260&gt;0,COUNT($A$8:A259)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60" s="610"/>
      <c r="C260" s="611"/>
      <c r="D260" s="274" t="str">
        <f>_xlfn.XLOOKUP(E260,'All Products'!D:D,'All Products'!C:C,FALSE)</f>
        <v>1-A1-13-2-12</v>
      </c>
      <c r="E260" s="103">
        <v>100024883</v>
      </c>
      <c r="F260" s="144" t="str">
        <f>_xlfn.XLOOKUP(E260,'All Products'!D:D,'All Products'!E:E,FALSE)</f>
        <v>1 MPT X 1 ACME UU X 12 SJ</v>
      </c>
      <c r="G260" s="103">
        <f>_xlfn.XLOOKUP(E260,'All Products'!D:D,'All Products'!F:F,FALSE)</f>
        <v>10</v>
      </c>
      <c r="H260" s="103">
        <f>_xlfn.XLOOKUP(E260,'All Products'!D:D,'All Products'!G:G,FALSE)</f>
        <v>750</v>
      </c>
      <c r="I260" s="140">
        <f>_xlfn.XLOOKUP(E260,'All Products'!D:D,'All Products'!H:H,FALSE)</f>
        <v>159.15</v>
      </c>
      <c r="J260" s="173">
        <f>ROUNDUP(I260*Order_Quote!$L$26,2)</f>
        <v>159.15</v>
      </c>
      <c r="K260" s="75"/>
      <c r="L260" s="113"/>
      <c r="M260" s="171">
        <f t="shared" si="5"/>
        <v>0</v>
      </c>
      <c r="O260" s="215" t="str">
        <f>_xlfn.XLOOKUP(E260,'All Products'!D:D,'All Products'!I:I,FALSE)</f>
        <v>In Stock</v>
      </c>
      <c r="P260" s="215" t="str">
        <f>_xlfn.XLOOKUP(E260,'All Products'!D:D,'All Products'!J:J,FALSE)</f>
        <v>Manufactured</v>
      </c>
      <c r="Q260" s="266">
        <f>_xlfn.XLOOKUP(E260,'All Products'!D:D,'All Products'!K:K,FALSE)</f>
        <v>49081020507</v>
      </c>
      <c r="R260" s="266" t="str">
        <f>_xlfn.XLOOKUP(E260,'All Products'!D:D,'All Products'!L:L,FALSE)</f>
        <v>-</v>
      </c>
      <c r="S260" s="266">
        <f>_xlfn.XLOOKUP(E260,'All Products'!D:D,'All Products'!M:M,FALSE)</f>
        <v>40049081020505</v>
      </c>
      <c r="T260" s="264">
        <f>_xlfn.XLOOKUP(E260,'All Products'!D:D,'All Products'!N:N,FALSE)</f>
        <v>1.62</v>
      </c>
      <c r="U260" s="264">
        <f>_xlfn.XLOOKUP(E260,'All Products'!D:D,'All Products'!P:P,FALSE)</f>
        <v>16.649999999999999</v>
      </c>
      <c r="V260" s="265">
        <f>_xlfn.XLOOKUP(E260,'All Products'!D:D,'All Products'!Q:Q,FALSE)</f>
        <v>1.1000000000000001</v>
      </c>
    </row>
    <row r="261" spans="1:22" ht="14.4" customHeight="1">
      <c r="A261" s="101" t="str">
        <f>IF(K261&gt;0,COUNT($A$8:A260)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61" s="610"/>
      <c r="C261" s="611"/>
      <c r="D261" s="274" t="str">
        <f>_xlfn.XLOOKUP(E261,'All Products'!D:D,'All Products'!C:C,FALSE)</f>
        <v>1-A1-3-2-10</v>
      </c>
      <c r="E261" s="103">
        <v>100023870</v>
      </c>
      <c r="F261" s="144" t="str">
        <f>_xlfn.XLOOKUP(E261,'All Products'!D:D,'All Products'!E:E,FALSE)</f>
        <v>1 MPT X 1 MPT UU X 10 SJ</v>
      </c>
      <c r="G261" s="103">
        <f>_xlfn.XLOOKUP(E261,'All Products'!D:D,'All Products'!F:F,FALSE)</f>
        <v>10</v>
      </c>
      <c r="H261" s="103">
        <f>_xlfn.XLOOKUP(E261,'All Products'!D:D,'All Products'!G:G,FALSE)</f>
        <v>750</v>
      </c>
      <c r="I261" s="140">
        <f>_xlfn.XLOOKUP(E261,'All Products'!D:D,'All Products'!H:H,FALSE)</f>
        <v>159.15</v>
      </c>
      <c r="J261" s="173">
        <f>ROUNDUP(I261*Order_Quote!$L$26,2)</f>
        <v>159.15</v>
      </c>
      <c r="K261" s="75"/>
      <c r="L261" s="113"/>
      <c r="M261" s="171">
        <f t="shared" si="5"/>
        <v>0</v>
      </c>
      <c r="O261" s="215" t="str">
        <f>_xlfn.XLOOKUP(E261,'All Products'!D:D,'All Products'!I:I,FALSE)</f>
        <v>Within 3 Weeks</v>
      </c>
      <c r="P261" s="215" t="str">
        <f>_xlfn.XLOOKUP(E261,'All Products'!D:D,'All Products'!J:J,FALSE)</f>
        <v>Manufactured</v>
      </c>
      <c r="Q261" s="266">
        <f>_xlfn.XLOOKUP(E261,'All Products'!D:D,'All Products'!K:K,FALSE)</f>
        <v>49081023690</v>
      </c>
      <c r="R261" s="266" t="str">
        <f>_xlfn.XLOOKUP(E261,'All Products'!D:D,'All Products'!L:L,FALSE)</f>
        <v>-</v>
      </c>
      <c r="S261" s="266">
        <f>_xlfn.XLOOKUP(E261,'All Products'!D:D,'All Products'!M:M,FALSE)</f>
        <v>40049081023698</v>
      </c>
      <c r="T261" s="264">
        <f>_xlfn.XLOOKUP(E261,'All Products'!D:D,'All Products'!N:N,FALSE)</f>
        <v>1.524</v>
      </c>
      <c r="U261" s="264">
        <f>_xlfn.XLOOKUP(E261,'All Products'!D:D,'All Products'!P:P,FALSE)</f>
        <v>15.2</v>
      </c>
      <c r="V261" s="265">
        <f>_xlfn.XLOOKUP(E261,'All Products'!D:D,'All Products'!Q:Q,FALSE)</f>
        <v>1.1000000000000001</v>
      </c>
    </row>
    <row r="262" spans="1:22" ht="14.4" customHeight="1">
      <c r="A262" s="101" t="str">
        <f>IF(K262&gt;0,COUNT($A$8:A261)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62" s="610"/>
      <c r="C262" s="611"/>
      <c r="D262" s="274" t="str">
        <f>_xlfn.XLOOKUP(E262,'All Products'!D:D,'All Products'!C:C,FALSE)</f>
        <v>1-A1-3-2-12</v>
      </c>
      <c r="E262" s="103">
        <v>100024901</v>
      </c>
      <c r="F262" s="144" t="str">
        <f>_xlfn.XLOOKUP(E262,'All Products'!D:D,'All Products'!E:E,FALSE)</f>
        <v>1 MPT X 1 MPT UU X 12 SJ</v>
      </c>
      <c r="G262" s="103">
        <f>_xlfn.XLOOKUP(E262,'All Products'!D:D,'All Products'!F:F,FALSE)</f>
        <v>10</v>
      </c>
      <c r="H262" s="103">
        <f>_xlfn.XLOOKUP(E262,'All Products'!D:D,'All Products'!G:G,FALSE)</f>
        <v>750</v>
      </c>
      <c r="I262" s="140">
        <f>_xlfn.XLOOKUP(E262,'All Products'!D:D,'All Products'!H:H,FALSE)</f>
        <v>159.15</v>
      </c>
      <c r="J262" s="173">
        <f>ROUNDUP(I262*Order_Quote!$L$26,2)</f>
        <v>159.15</v>
      </c>
      <c r="K262" s="75"/>
      <c r="L262" s="113"/>
      <c r="M262" s="171">
        <f t="shared" si="5"/>
        <v>0</v>
      </c>
      <c r="O262" s="215" t="str">
        <f>_xlfn.XLOOKUP(E262,'All Products'!D:D,'All Products'!I:I,FALSE)</f>
        <v>In Stock</v>
      </c>
      <c r="P262" s="215" t="str">
        <f>_xlfn.XLOOKUP(E262,'All Products'!D:D,'All Products'!J:J,FALSE)</f>
        <v>Manufactured</v>
      </c>
      <c r="Q262" s="266">
        <f>_xlfn.XLOOKUP(E262,'All Products'!D:D,'All Products'!K:K,FALSE)</f>
        <v>49081020729</v>
      </c>
      <c r="R262" s="266" t="str">
        <f>_xlfn.XLOOKUP(E262,'All Products'!D:D,'All Products'!L:L,FALSE)</f>
        <v>-</v>
      </c>
      <c r="S262" s="266">
        <f>_xlfn.XLOOKUP(E262,'All Products'!D:D,'All Products'!M:M,FALSE)</f>
        <v>40049081020727</v>
      </c>
      <c r="T262" s="264">
        <f>_xlfn.XLOOKUP(E262,'All Products'!D:D,'All Products'!N:N,FALSE)</f>
        <v>1.6</v>
      </c>
      <c r="U262" s="264">
        <f>_xlfn.XLOOKUP(E262,'All Products'!D:D,'All Products'!P:P,FALSE)</f>
        <v>16.559999999999999</v>
      </c>
      <c r="V262" s="265">
        <f>_xlfn.XLOOKUP(E262,'All Products'!D:D,'All Products'!Q:Q,FALSE)</f>
        <v>1.1000000000000001</v>
      </c>
    </row>
    <row r="263" spans="1:22" ht="14.4" customHeight="1">
      <c r="A263" s="101" t="str">
        <f>IF(K263&gt;0,COUNT($A$8:A262)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63" s="610"/>
      <c r="C263" s="611"/>
      <c r="D263" s="274" t="str">
        <f>_xlfn.XLOOKUP(E263,'All Products'!D:D,'All Products'!C:C,FALSE)</f>
        <v>1-A1-3-2-18</v>
      </c>
      <c r="E263" s="103">
        <v>100024902</v>
      </c>
      <c r="F263" s="144" t="str">
        <f>_xlfn.XLOOKUP(E263,'All Products'!D:D,'All Products'!E:E,FALSE)</f>
        <v>1 MPT X 1 MPT UU X 18 SJ</v>
      </c>
      <c r="G263" s="103">
        <f>_xlfn.XLOOKUP(E263,'All Products'!D:D,'All Products'!F:F,FALSE)</f>
        <v>10</v>
      </c>
      <c r="H263" s="103">
        <f>_xlfn.XLOOKUP(E263,'All Products'!D:D,'All Products'!G:G,FALSE)</f>
        <v>240</v>
      </c>
      <c r="I263" s="140">
        <f>_xlfn.XLOOKUP(E263,'All Products'!D:D,'All Products'!H:H,FALSE)</f>
        <v>170.28</v>
      </c>
      <c r="J263" s="173">
        <f>ROUNDUP(I263*Order_Quote!$L$26,2)</f>
        <v>170.28</v>
      </c>
      <c r="K263" s="75"/>
      <c r="L263" s="113"/>
      <c r="M263" s="171">
        <f t="shared" si="5"/>
        <v>0</v>
      </c>
      <c r="O263" s="215" t="str">
        <f>_xlfn.XLOOKUP(E263,'All Products'!D:D,'All Products'!I:I,FALSE)</f>
        <v>Within 3 Weeks</v>
      </c>
      <c r="P263" s="215" t="str">
        <f>_xlfn.XLOOKUP(E263,'All Products'!D:D,'All Products'!J:J,FALSE)</f>
        <v>Manufactured</v>
      </c>
      <c r="Q263" s="266">
        <f>_xlfn.XLOOKUP(E263,'All Products'!D:D,'All Products'!K:K,FALSE)</f>
        <v>49081022396</v>
      </c>
      <c r="R263" s="266" t="str">
        <f>_xlfn.XLOOKUP(E263,'All Products'!D:D,'All Products'!L:L,FALSE)</f>
        <v>-</v>
      </c>
      <c r="S263" s="266">
        <f>_xlfn.XLOOKUP(E263,'All Products'!D:D,'All Products'!M:M,FALSE)</f>
        <v>40049081022394</v>
      </c>
      <c r="T263" s="264">
        <f>_xlfn.XLOOKUP(E263,'All Products'!D:D,'All Products'!N:N,FALSE)</f>
        <v>1.7789999999999999</v>
      </c>
      <c r="U263" s="264">
        <f>_xlfn.XLOOKUP(E263,'All Products'!D:D,'All Products'!P:P,FALSE)</f>
        <v>20</v>
      </c>
      <c r="V263" s="265">
        <f>_xlfn.XLOOKUP(E263,'All Products'!D:D,'All Products'!Q:Q,FALSE)</f>
        <v>2.77</v>
      </c>
    </row>
    <row r="264" spans="1:22" ht="14.4" customHeight="1">
      <c r="A264" s="101" t="str">
        <f>IF(K264&gt;0,COUNT($A$8:A263)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64" s="610"/>
      <c r="C264" s="611"/>
      <c r="D264" s="274" t="str">
        <f>_xlfn.XLOOKUP(E264,'All Products'!D:D,'All Products'!C:C,FALSE)</f>
        <v>1-A1-3-2-6</v>
      </c>
      <c r="E264" s="103">
        <v>100023873</v>
      </c>
      <c r="F264" s="144" t="str">
        <f>_xlfn.XLOOKUP(E264,'All Products'!D:D,'All Products'!E:E,FALSE)</f>
        <v>1 MPT X 1 MPT UU X 6 SJ</v>
      </c>
      <c r="G264" s="103">
        <f>_xlfn.XLOOKUP(E264,'All Products'!D:D,'All Products'!F:F,FALSE)</f>
        <v>10</v>
      </c>
      <c r="H264" s="103">
        <f>_xlfn.XLOOKUP(E264,'All Products'!D:D,'All Products'!G:G,FALSE)</f>
        <v>900</v>
      </c>
      <c r="I264" s="140">
        <f>_xlfn.XLOOKUP(E264,'All Products'!D:D,'All Products'!H:H,FALSE)</f>
        <v>148.18</v>
      </c>
      <c r="J264" s="173">
        <f>ROUNDUP(I264*Order_Quote!$L$26,2)</f>
        <v>148.18</v>
      </c>
      <c r="K264" s="75"/>
      <c r="L264" s="113"/>
      <c r="M264" s="171">
        <f t="shared" si="5"/>
        <v>0</v>
      </c>
      <c r="O264" s="215" t="str">
        <f>_xlfn.XLOOKUP(E264,'All Products'!D:D,'All Products'!I:I,FALSE)</f>
        <v>Within 3 Weeks</v>
      </c>
      <c r="P264" s="215" t="str">
        <f>_xlfn.XLOOKUP(E264,'All Products'!D:D,'All Products'!J:J,FALSE)</f>
        <v>Manufactured</v>
      </c>
      <c r="Q264" s="266">
        <f>_xlfn.XLOOKUP(E264,'All Products'!D:D,'All Products'!K:K,FALSE)</f>
        <v>49081023720</v>
      </c>
      <c r="R264" s="266" t="str">
        <f>_xlfn.XLOOKUP(E264,'All Products'!D:D,'All Products'!L:L,FALSE)</f>
        <v>-</v>
      </c>
      <c r="S264" s="266">
        <f>_xlfn.XLOOKUP(E264,'All Products'!D:D,'All Products'!M:M,FALSE)</f>
        <v>40049081023728</v>
      </c>
      <c r="T264" s="264">
        <f>_xlfn.XLOOKUP(E264,'All Products'!D:D,'All Products'!N:N,FALSE)</f>
        <v>1.383</v>
      </c>
      <c r="U264" s="264">
        <f>_xlfn.XLOOKUP(E264,'All Products'!D:D,'All Products'!P:P,FALSE)</f>
        <v>14.4</v>
      </c>
      <c r="V264" s="265">
        <f>_xlfn.XLOOKUP(E264,'All Products'!D:D,'All Products'!Q:Q,FALSE)</f>
        <v>0.8</v>
      </c>
    </row>
    <row r="265" spans="1:22" ht="14.4" customHeight="1">
      <c r="A265" s="101" t="str">
        <f>IF(K265&gt;0,COUNT($A$8:A264)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65" s="610"/>
      <c r="C265" s="611"/>
      <c r="D265" s="274" t="str">
        <f>_xlfn.XLOOKUP(E265,'All Products'!D:D,'All Products'!C:C,FALSE)</f>
        <v>1-A1-3-2-8</v>
      </c>
      <c r="E265" s="103">
        <v>100023874</v>
      </c>
      <c r="F265" s="144" t="str">
        <f>_xlfn.XLOOKUP(E265,'All Products'!D:D,'All Products'!E:E,FALSE)</f>
        <v>1 MPT X 1 MPT UU X 8 SJ</v>
      </c>
      <c r="G265" s="103">
        <f>_xlfn.XLOOKUP(E265,'All Products'!D:D,'All Products'!F:F,FALSE)</f>
        <v>10</v>
      </c>
      <c r="H265" s="103">
        <f>_xlfn.XLOOKUP(E265,'All Products'!D:D,'All Products'!G:G,FALSE)</f>
        <v>750</v>
      </c>
      <c r="I265" s="140">
        <f>_xlfn.XLOOKUP(E265,'All Products'!D:D,'All Products'!H:H,FALSE)</f>
        <v>148.18</v>
      </c>
      <c r="J265" s="173">
        <f>ROUNDUP(I265*Order_Quote!$L$26,2)</f>
        <v>148.18</v>
      </c>
      <c r="K265" s="75"/>
      <c r="L265" s="113"/>
      <c r="M265" s="171">
        <f t="shared" si="5"/>
        <v>0</v>
      </c>
      <c r="O265" s="215" t="str">
        <f>_xlfn.XLOOKUP(E265,'All Products'!D:D,'All Products'!I:I,FALSE)</f>
        <v>Within 3 Weeks</v>
      </c>
      <c r="P265" s="215" t="str">
        <f>_xlfn.XLOOKUP(E265,'All Products'!D:D,'All Products'!J:J,FALSE)</f>
        <v>Manufactured</v>
      </c>
      <c r="Q265" s="266">
        <f>_xlfn.XLOOKUP(E265,'All Products'!D:D,'All Products'!K:K,FALSE)</f>
        <v>49081022341</v>
      </c>
      <c r="R265" s="266" t="str">
        <f>_xlfn.XLOOKUP(E265,'All Products'!D:D,'All Products'!L:L,FALSE)</f>
        <v>-</v>
      </c>
      <c r="S265" s="266">
        <f>_xlfn.XLOOKUP(E265,'All Products'!D:D,'All Products'!M:M,FALSE)</f>
        <v>40049081022349</v>
      </c>
      <c r="T265" s="264">
        <f>_xlfn.XLOOKUP(E265,'All Products'!D:D,'All Products'!N:N,FALSE)</f>
        <v>1.4470000000000001</v>
      </c>
      <c r="U265" s="264">
        <f>_xlfn.XLOOKUP(E265,'All Products'!D:D,'All Products'!P:P,FALSE)</f>
        <v>15.12</v>
      </c>
      <c r="V265" s="265">
        <f>_xlfn.XLOOKUP(E265,'All Products'!D:D,'All Products'!Q:Q,FALSE)</f>
        <v>0.95</v>
      </c>
    </row>
    <row r="266" spans="1:22" ht="14.4" customHeight="1">
      <c r="A266" s="101" t="str">
        <f>IF(K266&gt;0,COUNT($A$8:A265)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66" s="610"/>
      <c r="C266" s="611"/>
      <c r="D266" s="274" t="str">
        <f>_xlfn.XLOOKUP(E266,'All Products'!D:D,'All Products'!C:C,FALSE)</f>
        <v>1-A2-13-2-12</v>
      </c>
      <c r="E266" s="103">
        <v>100023919</v>
      </c>
      <c r="F266" s="144" t="str">
        <f>_xlfn.XLOOKUP(E266,'All Products'!D:D,'All Products'!E:E,FALSE)</f>
        <v>1 SPG X 1 ACME UU X 12 SJ</v>
      </c>
      <c r="G266" s="103">
        <f>_xlfn.XLOOKUP(E266,'All Products'!D:D,'All Products'!F:F,FALSE)</f>
        <v>10</v>
      </c>
      <c r="H266" s="103">
        <f>_xlfn.XLOOKUP(E266,'All Products'!D:D,'All Products'!G:G,FALSE)</f>
        <v>750</v>
      </c>
      <c r="I266" s="140">
        <f>_xlfn.XLOOKUP(E266,'All Products'!D:D,'All Products'!H:H,FALSE)</f>
        <v>159.15</v>
      </c>
      <c r="J266" s="173">
        <f>ROUNDUP(I266*Order_Quote!$L$26,2)</f>
        <v>159.15</v>
      </c>
      <c r="K266" s="75"/>
      <c r="L266" s="113"/>
      <c r="M266" s="171">
        <f t="shared" si="5"/>
        <v>0</v>
      </c>
      <c r="O266" s="215" t="str">
        <f>_xlfn.XLOOKUP(E266,'All Products'!D:D,'All Products'!I:I,FALSE)</f>
        <v>Within 3 Weeks</v>
      </c>
      <c r="P266" s="215" t="str">
        <f>_xlfn.XLOOKUP(E266,'All Products'!D:D,'All Products'!J:J,FALSE)</f>
        <v>Manufactured</v>
      </c>
      <c r="Q266" s="266">
        <f>_xlfn.XLOOKUP(E266,'All Products'!D:D,'All Products'!K:K,FALSE)</f>
        <v>49081024208</v>
      </c>
      <c r="R266" s="266" t="str">
        <f>_xlfn.XLOOKUP(E266,'All Products'!D:D,'All Products'!L:L,FALSE)</f>
        <v>-</v>
      </c>
      <c r="S266" s="266">
        <f>_xlfn.XLOOKUP(E266,'All Products'!D:D,'All Products'!M:M,FALSE)</f>
        <v>40049081024206</v>
      </c>
      <c r="T266" s="264">
        <f>_xlfn.XLOOKUP(E266,'All Products'!D:D,'All Products'!N:N,FALSE)</f>
        <v>1.6439999999999999</v>
      </c>
      <c r="U266" s="264">
        <f>_xlfn.XLOOKUP(E266,'All Products'!D:D,'All Products'!P:P,FALSE)</f>
        <v>16.805</v>
      </c>
      <c r="V266" s="265">
        <f>_xlfn.XLOOKUP(E266,'All Products'!D:D,'All Products'!Q:Q,FALSE)</f>
        <v>1.1000000000000001</v>
      </c>
    </row>
    <row r="267" spans="1:22" ht="14.4" customHeight="1">
      <c r="A267" s="101" t="str">
        <f>IF(K267&gt;0,COUNT($A$8:A266)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67" s="610"/>
      <c r="C267" s="611"/>
      <c r="D267" s="274" t="str">
        <f>_xlfn.XLOOKUP(E267,'All Products'!D:D,'All Products'!C:C,FALSE)</f>
        <v>1-A2-3-2-12</v>
      </c>
      <c r="E267" s="103">
        <v>100023946</v>
      </c>
      <c r="F267" s="144" t="str">
        <f>_xlfn.XLOOKUP(E267,'All Products'!D:D,'All Products'!E:E,FALSE)</f>
        <v>1 SPG X 1 MPT UU X 12 SJ</v>
      </c>
      <c r="G267" s="103">
        <f>_xlfn.XLOOKUP(E267,'All Products'!D:D,'All Products'!F:F,FALSE)</f>
        <v>10</v>
      </c>
      <c r="H267" s="103">
        <f>_xlfn.XLOOKUP(E267,'All Products'!D:D,'All Products'!G:G,FALSE)</f>
        <v>750</v>
      </c>
      <c r="I267" s="140">
        <f>_xlfn.XLOOKUP(E267,'All Products'!D:D,'All Products'!H:H,FALSE)</f>
        <v>159.15</v>
      </c>
      <c r="J267" s="173">
        <f>ROUNDUP(I267*Order_Quote!$L$26,2)</f>
        <v>159.15</v>
      </c>
      <c r="K267" s="75"/>
      <c r="L267" s="113"/>
      <c r="M267" s="171">
        <f t="shared" si="5"/>
        <v>0</v>
      </c>
      <c r="O267" s="215" t="str">
        <f>_xlfn.XLOOKUP(E267,'All Products'!D:D,'All Products'!I:I,FALSE)</f>
        <v>Within 3 Weeks</v>
      </c>
      <c r="P267" s="215" t="str">
        <f>_xlfn.XLOOKUP(E267,'All Products'!D:D,'All Products'!J:J,FALSE)</f>
        <v>Manufactured</v>
      </c>
      <c r="Q267" s="266">
        <f>_xlfn.XLOOKUP(E267,'All Products'!D:D,'All Products'!K:K,FALSE)</f>
        <v>49081020859</v>
      </c>
      <c r="R267" s="266" t="str">
        <f>_xlfn.XLOOKUP(E267,'All Products'!D:D,'All Products'!L:L,FALSE)</f>
        <v>-</v>
      </c>
      <c r="S267" s="266">
        <f>_xlfn.XLOOKUP(E267,'All Products'!D:D,'All Products'!M:M,FALSE)</f>
        <v>40049081020857</v>
      </c>
      <c r="T267" s="264">
        <f>_xlfn.XLOOKUP(E267,'All Products'!D:D,'All Products'!N:N,FALSE)</f>
        <v>1.6240000000000001</v>
      </c>
      <c r="U267" s="264">
        <f>_xlfn.XLOOKUP(E267,'All Products'!D:D,'All Products'!P:P,FALSE)</f>
        <v>16</v>
      </c>
      <c r="V267" s="265">
        <f>_xlfn.XLOOKUP(E267,'All Products'!D:D,'All Products'!Q:Q,FALSE)</f>
        <v>1.1000000000000001</v>
      </c>
    </row>
    <row r="268" spans="1:22" ht="14.4" customHeight="1">
      <c r="A268" s="101" t="str">
        <f>IF(K268&gt;0,COUNT($A$8:A267)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68" s="610"/>
      <c r="C268" s="611"/>
      <c r="D268" s="274" t="str">
        <f>_xlfn.XLOOKUP(E268,'All Products'!D:D,'All Products'!C:C,FALSE)</f>
        <v>1-A2-3-2-14</v>
      </c>
      <c r="E268" s="103">
        <v>100023947</v>
      </c>
      <c r="F268" s="144" t="str">
        <f>_xlfn.XLOOKUP(E268,'All Products'!D:D,'All Products'!E:E,FALSE)</f>
        <v>1 SPG X 1 MIPT UU X 14 LL SJ</v>
      </c>
      <c r="G268" s="103">
        <f>_xlfn.XLOOKUP(E268,'All Products'!D:D,'All Products'!F:F,FALSE)</f>
        <v>10</v>
      </c>
      <c r="H268" s="103">
        <f>_xlfn.XLOOKUP(E268,'All Products'!D:D,'All Products'!G:G,FALSE)</f>
        <v>600</v>
      </c>
      <c r="I268" s="140">
        <f>_xlfn.XLOOKUP(E268,'All Products'!D:D,'All Products'!H:H,FALSE)</f>
        <v>170.28</v>
      </c>
      <c r="J268" s="173">
        <f>ROUNDUP(I268*Order_Quote!$L$26,2)</f>
        <v>170.28</v>
      </c>
      <c r="K268" s="75"/>
      <c r="L268" s="113"/>
      <c r="M268" s="171">
        <f t="shared" si="5"/>
        <v>0</v>
      </c>
      <c r="O268" s="215" t="str">
        <f>_xlfn.XLOOKUP(E268,'All Products'!D:D,'All Products'!I:I,FALSE)</f>
        <v>Within 3 Weeks</v>
      </c>
      <c r="P268" s="215" t="str">
        <f>_xlfn.XLOOKUP(E268,'All Products'!D:D,'All Products'!J:J,FALSE)</f>
        <v>Manufactured</v>
      </c>
      <c r="Q268" s="266">
        <f>_xlfn.XLOOKUP(E268,'All Products'!D:D,'All Products'!K:K,FALSE)</f>
        <v>49081024437</v>
      </c>
      <c r="R268" s="266" t="str">
        <f>_xlfn.XLOOKUP(E268,'All Products'!D:D,'All Products'!L:L,FALSE)</f>
        <v>-</v>
      </c>
      <c r="S268" s="266">
        <f>_xlfn.XLOOKUP(E268,'All Products'!D:D,'All Products'!M:M,FALSE)</f>
        <v>40049081024435</v>
      </c>
      <c r="T268" s="264">
        <f>_xlfn.XLOOKUP(E268,'All Products'!D:D,'All Products'!N:N,FALSE)</f>
        <v>1.6679999999999999</v>
      </c>
      <c r="U268" s="264">
        <f>_xlfn.XLOOKUP(E268,'All Products'!D:D,'All Products'!P:P,FALSE)</f>
        <v>15.1</v>
      </c>
      <c r="V268" s="265">
        <f>_xlfn.XLOOKUP(E268,'All Products'!D:D,'All Products'!Q:Q,FALSE)</f>
        <v>1.41</v>
      </c>
    </row>
    <row r="269" spans="1:22" ht="14.4" customHeight="1">
      <c r="A269" s="101" t="str">
        <f>IF(K269&gt;0,COUNT($A$8:A268)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69" s="610"/>
      <c r="C269" s="611"/>
      <c r="D269" s="274" t="str">
        <f>_xlfn.XLOOKUP(E269,'All Products'!D:D,'All Products'!C:C,FALSE)</f>
        <v>1-A4-1-2-12</v>
      </c>
      <c r="E269" s="103">
        <v>100023976</v>
      </c>
      <c r="F269" s="144" t="str">
        <f>_xlfn.XLOOKUP(E269,'All Products'!D:D,'All Products'!E:E,FALSE)</f>
        <v>1 SOC X 1 SOC UU X 12 SJ</v>
      </c>
      <c r="G269" s="103">
        <f>_xlfn.XLOOKUP(E269,'All Products'!D:D,'All Products'!F:F,FALSE)</f>
        <v>10</v>
      </c>
      <c r="H269" s="103">
        <f>_xlfn.XLOOKUP(E269,'All Products'!D:D,'All Products'!G:G,FALSE)</f>
        <v>750</v>
      </c>
      <c r="I269" s="140">
        <f>_xlfn.XLOOKUP(E269,'All Products'!D:D,'All Products'!H:H,FALSE)</f>
        <v>159.15</v>
      </c>
      <c r="J269" s="173">
        <f>ROUNDUP(I269*Order_Quote!$L$26,2)</f>
        <v>159.15</v>
      </c>
      <c r="K269" s="75"/>
      <c r="L269" s="113"/>
      <c r="M269" s="171">
        <f t="shared" si="5"/>
        <v>0</v>
      </c>
      <c r="O269" s="215" t="str">
        <f>_xlfn.XLOOKUP(E269,'All Products'!D:D,'All Products'!I:I,FALSE)</f>
        <v>Within 3 Weeks</v>
      </c>
      <c r="P269" s="215" t="str">
        <f>_xlfn.XLOOKUP(E269,'All Products'!D:D,'All Products'!J:J,FALSE)</f>
        <v>Manufactured</v>
      </c>
      <c r="Q269" s="266">
        <f>_xlfn.XLOOKUP(E269,'All Products'!D:D,'All Products'!K:K,FALSE)</f>
        <v>49081024710</v>
      </c>
      <c r="R269" s="266" t="str">
        <f>_xlfn.XLOOKUP(E269,'All Products'!D:D,'All Products'!L:L,FALSE)</f>
        <v>-</v>
      </c>
      <c r="S269" s="266">
        <f>_xlfn.XLOOKUP(E269,'All Products'!D:D,'All Products'!M:M,FALSE)</f>
        <v>40049081024718</v>
      </c>
      <c r="T269" s="264">
        <f>_xlfn.XLOOKUP(E269,'All Products'!D:D,'All Products'!N:N,FALSE)</f>
        <v>1.552</v>
      </c>
      <c r="U269" s="264">
        <f>_xlfn.XLOOKUP(E269,'All Products'!D:D,'All Products'!P:P,FALSE)</f>
        <v>16.28</v>
      </c>
      <c r="V269" s="265">
        <f>_xlfn.XLOOKUP(E269,'All Products'!D:D,'All Products'!Q:Q,FALSE)</f>
        <v>1.1000000000000001</v>
      </c>
    </row>
    <row r="270" spans="1:22" ht="14.4" customHeight="1">
      <c r="A270" s="101" t="str">
        <f>IF(K270&gt;0,COUNT($A$8:A269)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70" s="610"/>
      <c r="C270" s="611"/>
      <c r="D270" s="274" t="str">
        <f>_xlfn.XLOOKUP(E270,'All Products'!D:D,'All Products'!C:C,FALSE)</f>
        <v>1-A4-3-2-12</v>
      </c>
      <c r="E270" s="103">
        <v>100023990</v>
      </c>
      <c r="F270" s="144" t="str">
        <f>_xlfn.XLOOKUP(E270,'All Products'!D:D,'All Products'!E:E,FALSE)</f>
        <v>1 SOC X 1 MPT UU X 12 SJ</v>
      </c>
      <c r="G270" s="103">
        <f>_xlfn.XLOOKUP(E270,'All Products'!D:D,'All Products'!F:F,FALSE)</f>
        <v>10</v>
      </c>
      <c r="H270" s="103">
        <f>_xlfn.XLOOKUP(E270,'All Products'!D:D,'All Products'!G:G,FALSE)</f>
        <v>750</v>
      </c>
      <c r="I270" s="140">
        <f>_xlfn.XLOOKUP(E270,'All Products'!D:D,'All Products'!H:H,FALSE)</f>
        <v>159.15</v>
      </c>
      <c r="J270" s="173">
        <f>ROUNDUP(I270*Order_Quote!$L$26,2)</f>
        <v>159.15</v>
      </c>
      <c r="K270" s="75"/>
      <c r="L270" s="113"/>
      <c r="M270" s="171">
        <f t="shared" si="5"/>
        <v>0</v>
      </c>
      <c r="O270" s="215" t="str">
        <f>_xlfn.XLOOKUP(E270,'All Products'!D:D,'All Products'!I:I,FALSE)</f>
        <v>Within 3 Weeks</v>
      </c>
      <c r="P270" s="215" t="str">
        <f>_xlfn.XLOOKUP(E270,'All Products'!D:D,'All Products'!J:J,FALSE)</f>
        <v>Manufactured</v>
      </c>
      <c r="Q270" s="266">
        <f>_xlfn.XLOOKUP(E270,'All Products'!D:D,'All Products'!K:K,FALSE)</f>
        <v>49081024819</v>
      </c>
      <c r="R270" s="266" t="str">
        <f>_xlfn.XLOOKUP(E270,'All Products'!D:D,'All Products'!L:L,FALSE)</f>
        <v>-</v>
      </c>
      <c r="S270" s="266">
        <f>_xlfn.XLOOKUP(E270,'All Products'!D:D,'All Products'!M:M,FALSE)</f>
        <v>40049081024817</v>
      </c>
      <c r="T270" s="264">
        <f>_xlfn.XLOOKUP(E270,'All Products'!D:D,'All Products'!N:N,FALSE)</f>
        <v>1.55</v>
      </c>
      <c r="U270" s="264">
        <f>_xlfn.XLOOKUP(E270,'All Products'!D:D,'All Products'!P:P,FALSE)</f>
        <v>16.559999999999999</v>
      </c>
      <c r="V270" s="265">
        <f>_xlfn.XLOOKUP(E270,'All Products'!D:D,'All Products'!Q:Q,FALSE)</f>
        <v>1.1000000000000001</v>
      </c>
    </row>
    <row r="271" spans="1:22" ht="14.4" customHeight="1">
      <c r="A271" s="101" t="str">
        <f>IF(K271&gt;0,COUNT($A$8:A270)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71" s="610"/>
      <c r="C271" s="611"/>
      <c r="D271" s="274" t="str">
        <f>_xlfn.XLOOKUP(E271,'All Products'!D:D,'All Products'!C:C,FALSE)</f>
        <v>1-A4-3-2-14</v>
      </c>
      <c r="E271" s="103">
        <v>100023991</v>
      </c>
      <c r="F271" s="144" t="str">
        <f>_xlfn.XLOOKUP(E271,'All Products'!D:D,'All Products'!E:E,FALSE)</f>
        <v>1 SOC X 1 MPT UU X 14 SJ</v>
      </c>
      <c r="G271" s="103">
        <f>_xlfn.XLOOKUP(E271,'All Products'!D:D,'All Products'!F:F,FALSE)</f>
        <v>10</v>
      </c>
      <c r="H271" s="103">
        <f>_xlfn.XLOOKUP(E271,'All Products'!D:D,'All Products'!G:G,FALSE)</f>
        <v>600</v>
      </c>
      <c r="I271" s="140">
        <f>_xlfn.XLOOKUP(E271,'All Products'!D:D,'All Products'!H:H,FALSE)</f>
        <v>170.28</v>
      </c>
      <c r="J271" s="173">
        <f>ROUNDUP(I271*Order_Quote!$L$26,2)</f>
        <v>170.28</v>
      </c>
      <c r="K271" s="75"/>
      <c r="L271" s="113"/>
      <c r="M271" s="171">
        <f t="shared" si="5"/>
        <v>0</v>
      </c>
      <c r="O271" s="215" t="str">
        <f>_xlfn.XLOOKUP(E271,'All Products'!D:D,'All Products'!I:I,FALSE)</f>
        <v>Within 3 Weeks</v>
      </c>
      <c r="P271" s="215" t="str">
        <f>_xlfn.XLOOKUP(E271,'All Products'!D:D,'All Products'!J:J,FALSE)</f>
        <v>Manufactured</v>
      </c>
      <c r="Q271" s="266">
        <f>_xlfn.XLOOKUP(E271,'All Products'!D:D,'All Products'!K:K,FALSE)</f>
        <v>49081024826</v>
      </c>
      <c r="R271" s="266" t="str">
        <f>_xlfn.XLOOKUP(E271,'All Products'!D:D,'All Products'!L:L,FALSE)</f>
        <v>-</v>
      </c>
      <c r="S271" s="266">
        <f>_xlfn.XLOOKUP(E271,'All Products'!D:D,'All Products'!M:M,FALSE)</f>
        <v>40049081024824</v>
      </c>
      <c r="T271" s="264">
        <f>_xlfn.XLOOKUP(E271,'All Products'!D:D,'All Products'!N:N,FALSE)</f>
        <v>1.5940000000000001</v>
      </c>
      <c r="U271" s="264">
        <f>_xlfn.XLOOKUP(E271,'All Products'!D:D,'All Products'!P:P,FALSE)</f>
        <v>15.3</v>
      </c>
      <c r="V271" s="265">
        <f>_xlfn.XLOOKUP(E271,'All Products'!D:D,'All Products'!Q:Q,FALSE)</f>
        <v>1.41</v>
      </c>
    </row>
    <row r="272" spans="1:22" ht="14.4" customHeight="1">
      <c r="A272" s="101" t="str">
        <f>IF(K272&gt;0,COUNT($A$8:A271)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72" s="610"/>
      <c r="C272" s="611"/>
      <c r="D272" s="274" t="str">
        <f>_xlfn.XLOOKUP(E272,'All Products'!D:D,'All Products'!C:C,FALSE)</f>
        <v>1-A8-13-2-8</v>
      </c>
      <c r="E272" s="103">
        <v>100024023</v>
      </c>
      <c r="F272" s="144" t="str">
        <f>_xlfn.XLOOKUP(E272,'All Products'!D:D,'All Products'!E:E,FALSE)</f>
        <v>4 SPG X 1 ACME UU X 8 SJ</v>
      </c>
      <c r="G272" s="103">
        <f>_xlfn.XLOOKUP(E272,'All Products'!D:D,'All Products'!F:F,FALSE)</f>
        <v>10</v>
      </c>
      <c r="H272" s="103" t="str">
        <f>_xlfn.XLOOKUP(E272,'All Products'!D:D,'All Products'!G:G,FALSE)</f>
        <v>-</v>
      </c>
      <c r="I272" s="140">
        <f>_xlfn.XLOOKUP(E272,'All Products'!D:D,'All Products'!H:H,FALSE)</f>
        <v>148.18</v>
      </c>
      <c r="J272" s="173">
        <f>ROUNDUP(I272*Order_Quote!$L$26,2)</f>
        <v>148.18</v>
      </c>
      <c r="K272" s="75"/>
      <c r="L272" s="113"/>
      <c r="M272" s="171">
        <f t="shared" si="5"/>
        <v>0</v>
      </c>
      <c r="O272" s="215" t="str">
        <f>_xlfn.XLOOKUP(E272,'All Products'!D:D,'All Products'!I:I,FALSE)</f>
        <v>Within 3 Weeks</v>
      </c>
      <c r="P272" s="215" t="str">
        <f>_xlfn.XLOOKUP(E272,'All Products'!D:D,'All Products'!J:J,FALSE)</f>
        <v>Manufactured</v>
      </c>
      <c r="Q272" s="266">
        <f>_xlfn.XLOOKUP(E272,'All Products'!D:D,'All Products'!K:K,FALSE)</f>
        <v>49081025076</v>
      </c>
      <c r="R272" s="266" t="str">
        <f>_xlfn.XLOOKUP(E272,'All Products'!D:D,'All Products'!L:L,FALSE)</f>
        <v>-</v>
      </c>
      <c r="S272" s="266">
        <f>_xlfn.XLOOKUP(E272,'All Products'!D:D,'All Products'!M:M,FALSE)</f>
        <v>40049081025074</v>
      </c>
      <c r="T272" s="264">
        <f>_xlfn.XLOOKUP(E272,'All Products'!D:D,'All Products'!N:N,FALSE)</f>
        <v>1.5680000000000001</v>
      </c>
      <c r="U272" s="264">
        <f>_xlfn.XLOOKUP(E272,'All Products'!D:D,'All Products'!P:P,FALSE)</f>
        <v>15.5</v>
      </c>
      <c r="V272" s="265" t="str">
        <f>_xlfn.XLOOKUP(E272,'All Products'!D:D,'All Products'!Q:Q,FALSE)</f>
        <v>-</v>
      </c>
    </row>
    <row r="273" spans="1:22" ht="14.4" customHeight="1">
      <c r="A273" s="101" t="str">
        <f>IF(K273&gt;0,COUNT($A$8:A272)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73" s="610"/>
      <c r="C273" s="611"/>
      <c r="D273" s="274" t="str">
        <f>_xlfn.XLOOKUP(E273,'All Products'!D:D,'All Products'!C:C,FALSE)</f>
        <v>1-A8-3-2-12</v>
      </c>
      <c r="E273" s="103">
        <v>100024930</v>
      </c>
      <c r="F273" s="144" t="str">
        <f>_xlfn.XLOOKUP(E273,'All Products'!D:D,'All Products'!E:E,FALSE)</f>
        <v>4 SPG X 1 MPT UU X 12 SJ</v>
      </c>
      <c r="G273" s="103">
        <f>_xlfn.XLOOKUP(E273,'All Products'!D:D,'All Products'!F:F,FALSE)</f>
        <v>10</v>
      </c>
      <c r="H273" s="103">
        <f>_xlfn.XLOOKUP(E273,'All Products'!D:D,'All Products'!G:G,FALSE)</f>
        <v>750</v>
      </c>
      <c r="I273" s="140">
        <f>_xlfn.XLOOKUP(E273,'All Products'!D:D,'All Products'!H:H,FALSE)</f>
        <v>159.15</v>
      </c>
      <c r="J273" s="173">
        <f>ROUNDUP(I273*Order_Quote!$L$26,2)</f>
        <v>159.15</v>
      </c>
      <c r="K273" s="75"/>
      <c r="L273" s="113"/>
      <c r="M273" s="171">
        <f t="shared" si="5"/>
        <v>0</v>
      </c>
      <c r="O273" s="215" t="str">
        <f>_xlfn.XLOOKUP(E273,'All Products'!D:D,'All Products'!I:I,FALSE)</f>
        <v>Within 3 Weeks</v>
      </c>
      <c r="P273" s="215" t="str">
        <f>_xlfn.XLOOKUP(E273,'All Products'!D:D,'All Products'!J:J,FALSE)</f>
        <v>Manufactured</v>
      </c>
      <c r="Q273" s="266">
        <f>_xlfn.XLOOKUP(E273,'All Products'!D:D,'All Products'!K:K,FALSE)</f>
        <v>49081022563</v>
      </c>
      <c r="R273" s="266" t="str">
        <f>_xlfn.XLOOKUP(E273,'All Products'!D:D,'All Products'!L:L,FALSE)</f>
        <v>-</v>
      </c>
      <c r="S273" s="266">
        <f>_xlfn.XLOOKUP(E273,'All Products'!D:D,'All Products'!M:M,FALSE)</f>
        <v>40049081022561</v>
      </c>
      <c r="T273" s="264">
        <f>_xlfn.XLOOKUP(E273,'All Products'!D:D,'All Products'!N:N,FALSE)</f>
        <v>1.7010000000000001</v>
      </c>
      <c r="U273" s="264">
        <f>_xlfn.XLOOKUP(E273,'All Products'!D:D,'All Products'!P:P,FALSE)</f>
        <v>17.55</v>
      </c>
      <c r="V273" s="265">
        <f>_xlfn.XLOOKUP(E273,'All Products'!D:D,'All Products'!Q:Q,FALSE)</f>
        <v>1.1000000000000001</v>
      </c>
    </row>
    <row r="274" spans="1:22" ht="14.4" customHeight="1">
      <c r="A274" s="101" t="str">
        <f>IF(K274&gt;0,COUNT($A$8:A273)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74" s="610"/>
      <c r="C274" s="611"/>
      <c r="D274" s="274" t="str">
        <f>_xlfn.XLOOKUP(E274,'All Products'!D:D,'All Products'!C:C,FALSE)</f>
        <v>1-B1-13-2-12</v>
      </c>
      <c r="E274" s="103">
        <v>100024940</v>
      </c>
      <c r="F274" s="144" t="str">
        <f>_xlfn.XLOOKUP(E274,'All Products'!D:D,'All Products'!E:E,FALSE)</f>
        <v>1 BSP X 1 ACME UU X 12 SJ</v>
      </c>
      <c r="G274" s="103">
        <f>_xlfn.XLOOKUP(E274,'All Products'!D:D,'All Products'!F:F,FALSE)</f>
        <v>10</v>
      </c>
      <c r="H274" s="103">
        <f>_xlfn.XLOOKUP(E274,'All Products'!D:D,'All Products'!G:G,FALSE)</f>
        <v>750</v>
      </c>
      <c r="I274" s="140">
        <f>_xlfn.XLOOKUP(E274,'All Products'!D:D,'All Products'!H:H,FALSE)</f>
        <v>159.15</v>
      </c>
      <c r="J274" s="173">
        <f>ROUNDUP(I274*Order_Quote!$L$26,2)</f>
        <v>159.15</v>
      </c>
      <c r="K274" s="75"/>
      <c r="L274" s="113"/>
      <c r="M274" s="171">
        <f t="shared" si="5"/>
        <v>0</v>
      </c>
      <c r="O274" s="215" t="str">
        <f>_xlfn.XLOOKUP(E274,'All Products'!D:D,'All Products'!I:I,FALSE)</f>
        <v>Within 3 Weeks</v>
      </c>
      <c r="P274" s="215" t="str">
        <f>_xlfn.XLOOKUP(E274,'All Products'!D:D,'All Products'!J:J,FALSE)</f>
        <v>Manufactured</v>
      </c>
      <c r="Q274" s="266">
        <f>_xlfn.XLOOKUP(E274,'All Products'!D:D,'All Products'!K:K,FALSE)</f>
        <v>49081021054</v>
      </c>
      <c r="R274" s="266" t="str">
        <f>_xlfn.XLOOKUP(E274,'All Products'!D:D,'All Products'!L:L,FALSE)</f>
        <v>-</v>
      </c>
      <c r="S274" s="266">
        <f>_xlfn.XLOOKUP(E274,'All Products'!D:D,'All Products'!M:M,FALSE)</f>
        <v>40049081021052</v>
      </c>
      <c r="T274" s="264">
        <f>_xlfn.XLOOKUP(E274,'All Products'!D:D,'All Products'!N:N,FALSE)</f>
        <v>1.62</v>
      </c>
      <c r="U274" s="264">
        <f>_xlfn.XLOOKUP(E274,'All Products'!D:D,'All Products'!P:P,FALSE)</f>
        <v>16.55</v>
      </c>
      <c r="V274" s="265">
        <f>_xlfn.XLOOKUP(E274,'All Products'!D:D,'All Products'!Q:Q,FALSE)</f>
        <v>1.1000000000000001</v>
      </c>
    </row>
    <row r="275" spans="1:22" ht="14.4" customHeight="1">
      <c r="A275" s="101" t="str">
        <f>IF(K275&gt;0,COUNT($A$8:A274)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75" s="610"/>
      <c r="C275" s="611"/>
      <c r="D275" s="274" t="str">
        <f>_xlfn.XLOOKUP(E275,'All Products'!D:D,'All Products'!C:C,FALSE)</f>
        <v>1-B1-13-2-18</v>
      </c>
      <c r="E275" s="103">
        <v>100024053</v>
      </c>
      <c r="F275" s="144" t="str">
        <f>_xlfn.XLOOKUP(E275,'All Products'!D:D,'All Products'!E:E,FALSE)</f>
        <v>1 BSPT X 1 ACME UU X 18 LL SJ</v>
      </c>
      <c r="G275" s="103">
        <f>_xlfn.XLOOKUP(E275,'All Products'!D:D,'All Products'!F:F,FALSE)</f>
        <v>10</v>
      </c>
      <c r="H275" s="103">
        <f>_xlfn.XLOOKUP(E275,'All Products'!D:D,'All Products'!G:G,FALSE)</f>
        <v>240</v>
      </c>
      <c r="I275" s="140">
        <f>_xlfn.XLOOKUP(E275,'All Products'!D:D,'All Products'!H:H,FALSE)</f>
        <v>170.28</v>
      </c>
      <c r="J275" s="173">
        <f>ROUNDUP(I275*Order_Quote!$L$26,2)</f>
        <v>170.28</v>
      </c>
      <c r="K275" s="75"/>
      <c r="L275" s="113"/>
      <c r="M275" s="171">
        <f t="shared" si="5"/>
        <v>0</v>
      </c>
      <c r="O275" s="215" t="str">
        <f>_xlfn.XLOOKUP(E275,'All Products'!D:D,'All Products'!I:I,FALSE)</f>
        <v>Within 3 Weeks</v>
      </c>
      <c r="P275" s="215" t="str">
        <f>_xlfn.XLOOKUP(E275,'All Products'!D:D,'All Products'!J:J,FALSE)</f>
        <v>Manufactured</v>
      </c>
      <c r="Q275" s="266">
        <f>_xlfn.XLOOKUP(E275,'All Products'!D:D,'All Products'!K:K,FALSE)</f>
        <v>49081031084</v>
      </c>
      <c r="R275" s="266" t="str">
        <f>_xlfn.XLOOKUP(E275,'All Products'!D:D,'All Products'!L:L,FALSE)</f>
        <v>-</v>
      </c>
      <c r="S275" s="266">
        <f>_xlfn.XLOOKUP(E275,'All Products'!D:D,'All Products'!M:M,FALSE)</f>
        <v>40049081031082</v>
      </c>
      <c r="T275" s="264">
        <f>_xlfn.XLOOKUP(E275,'All Products'!D:D,'All Products'!N:N,FALSE)</f>
        <v>1.7989999999999999</v>
      </c>
      <c r="U275" s="264">
        <f>_xlfn.XLOOKUP(E275,'All Products'!D:D,'All Products'!P:P,FALSE)</f>
        <v>19.7</v>
      </c>
      <c r="V275" s="265">
        <f>_xlfn.XLOOKUP(E275,'All Products'!D:D,'All Products'!Q:Q,FALSE)</f>
        <v>2.77</v>
      </c>
    </row>
    <row r="276" spans="1:22" ht="14.4" customHeight="1">
      <c r="A276" s="101" t="str">
        <f>IF(K276&gt;0,COUNT($A$8:A275)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76" s="610"/>
      <c r="C276" s="611"/>
      <c r="D276" s="274" t="str">
        <f>_xlfn.XLOOKUP(E276,'All Products'!D:D,'All Products'!C:C,FALSE)</f>
        <v>1-B1-22-2-12</v>
      </c>
      <c r="E276" s="103">
        <v>100024946</v>
      </c>
      <c r="F276" s="144" t="str">
        <f>_xlfn.XLOOKUP(E276,'All Products'!D:D,'All Products'!E:E,FALSE)</f>
        <v>1 BSP X 1 BSP UU X 12 SJ</v>
      </c>
      <c r="G276" s="103">
        <f>_xlfn.XLOOKUP(E276,'All Products'!D:D,'All Products'!F:F,FALSE)</f>
        <v>10</v>
      </c>
      <c r="H276" s="103">
        <f>_xlfn.XLOOKUP(E276,'All Products'!D:D,'All Products'!G:G,FALSE)</f>
        <v>750</v>
      </c>
      <c r="I276" s="140">
        <f>_xlfn.XLOOKUP(E276,'All Products'!D:D,'All Products'!H:H,FALSE)</f>
        <v>159.15</v>
      </c>
      <c r="J276" s="173">
        <f>ROUNDUP(I276*Order_Quote!$L$26,2)</f>
        <v>159.15</v>
      </c>
      <c r="K276" s="75"/>
      <c r="L276" s="113"/>
      <c r="M276" s="171">
        <f t="shared" si="5"/>
        <v>0</v>
      </c>
      <c r="O276" s="215" t="str">
        <f>_xlfn.XLOOKUP(E276,'All Products'!D:D,'All Products'!I:I,FALSE)</f>
        <v>Within 3 Weeks</v>
      </c>
      <c r="P276" s="215" t="str">
        <f>_xlfn.XLOOKUP(E276,'All Products'!D:D,'All Products'!J:J,FALSE)</f>
        <v>Manufactured</v>
      </c>
      <c r="Q276" s="266">
        <f>_xlfn.XLOOKUP(E276,'All Products'!D:D,'All Products'!K:K,FALSE)</f>
        <v>49081021160</v>
      </c>
      <c r="R276" s="266" t="str">
        <f>_xlfn.XLOOKUP(E276,'All Products'!D:D,'All Products'!L:L,FALSE)</f>
        <v>-</v>
      </c>
      <c r="S276" s="266">
        <f>_xlfn.XLOOKUP(E276,'All Products'!D:D,'All Products'!M:M,FALSE)</f>
        <v>40049081021168</v>
      </c>
      <c r="T276" s="264">
        <f>_xlfn.XLOOKUP(E276,'All Products'!D:D,'All Products'!N:N,FALSE)</f>
        <v>1.6020000000000001</v>
      </c>
      <c r="U276" s="264">
        <f>_xlfn.XLOOKUP(E276,'All Products'!D:D,'All Products'!P:P,FALSE)</f>
        <v>16.559999999999999</v>
      </c>
      <c r="V276" s="265">
        <f>_xlfn.XLOOKUP(E276,'All Products'!D:D,'All Products'!Q:Q,FALSE)</f>
        <v>1.1000000000000001</v>
      </c>
    </row>
    <row r="277" spans="1:22" ht="14.4" customHeight="1">
      <c r="A277" s="101" t="str">
        <f>IF(K277&gt;0,COUNT($A$8:A276)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77" s="610"/>
      <c r="C277" s="611"/>
      <c r="D277" s="274" t="str">
        <f>_xlfn.XLOOKUP(E277,'All Products'!D:D,'All Products'!C:C,FALSE)</f>
        <v>1-B1-22-2-18</v>
      </c>
      <c r="E277" s="103">
        <v>100024074</v>
      </c>
      <c r="F277" s="144" t="str">
        <f>_xlfn.XLOOKUP(E277,'All Products'!D:D,'All Products'!E:E,FALSE)</f>
        <v>1 BSP X 1 BSP UU X 18 SJ</v>
      </c>
      <c r="G277" s="103">
        <f>_xlfn.XLOOKUP(E277,'All Products'!D:D,'All Products'!F:F,FALSE)</f>
        <v>10</v>
      </c>
      <c r="H277" s="103">
        <f>_xlfn.XLOOKUP(E277,'All Products'!D:D,'All Products'!G:G,FALSE)</f>
        <v>240</v>
      </c>
      <c r="I277" s="140">
        <f>_xlfn.XLOOKUP(E277,'All Products'!D:D,'All Products'!H:H,FALSE)</f>
        <v>170.28</v>
      </c>
      <c r="J277" s="173">
        <f>ROUNDUP(I277*Order_Quote!$L$26,2)</f>
        <v>170.28</v>
      </c>
      <c r="K277" s="75"/>
      <c r="L277" s="113"/>
      <c r="M277" s="171">
        <f t="shared" si="5"/>
        <v>0</v>
      </c>
      <c r="O277" s="215" t="str">
        <f>_xlfn.XLOOKUP(E277,'All Products'!D:D,'All Products'!I:I,FALSE)</f>
        <v>Within 3 Weeks</v>
      </c>
      <c r="P277" s="215" t="str">
        <f>_xlfn.XLOOKUP(E277,'All Products'!D:D,'All Products'!J:J,FALSE)</f>
        <v>Manufactured</v>
      </c>
      <c r="Q277" s="266">
        <f>_xlfn.XLOOKUP(E277,'All Products'!D:D,'All Products'!K:K,FALSE)</f>
        <v>49081022662</v>
      </c>
      <c r="R277" s="266" t="str">
        <f>_xlfn.XLOOKUP(E277,'All Products'!D:D,'All Products'!L:L,FALSE)</f>
        <v>-</v>
      </c>
      <c r="S277" s="266">
        <f>_xlfn.XLOOKUP(E277,'All Products'!D:D,'All Products'!M:M,FALSE)</f>
        <v>40049081022660</v>
      </c>
      <c r="T277" s="264">
        <f>_xlfn.XLOOKUP(E277,'All Products'!D:D,'All Products'!N:N,FALSE)</f>
        <v>1.778</v>
      </c>
      <c r="U277" s="264">
        <f>_xlfn.XLOOKUP(E277,'All Products'!D:D,'All Products'!P:P,FALSE)</f>
        <v>19</v>
      </c>
      <c r="V277" s="265">
        <f>_xlfn.XLOOKUP(E277,'All Products'!D:D,'All Products'!Q:Q,FALSE)</f>
        <v>2.77</v>
      </c>
    </row>
    <row r="278" spans="1:22" ht="14.4" customHeight="1">
      <c r="A278" s="101" t="str">
        <f>IF(K278&gt;0,COUNT($A$8:A277)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78" s="610"/>
      <c r="C278" s="611"/>
      <c r="D278" s="274" t="str">
        <f>_xlfn.XLOOKUP(E278,'All Products'!D:D,'All Products'!C:C,FALSE)</f>
        <v>1-J1-13-2-12</v>
      </c>
      <c r="E278" s="103">
        <v>100024105</v>
      </c>
      <c r="F278" s="144" t="str">
        <f>_xlfn.XLOOKUP(E278,'All Products'!D:D,'All Products'!E:E,FALSE)</f>
        <v>25MM SPG X 1 ACME UU X 12 LL SJ</v>
      </c>
      <c r="G278" s="103">
        <f>_xlfn.XLOOKUP(E278,'All Products'!D:D,'All Products'!F:F,FALSE)</f>
        <v>10</v>
      </c>
      <c r="H278" s="103">
        <f>_xlfn.XLOOKUP(E278,'All Products'!D:D,'All Products'!G:G,FALSE)</f>
        <v>750</v>
      </c>
      <c r="I278" s="140">
        <f>_xlfn.XLOOKUP(E278,'All Products'!D:D,'All Products'!H:H,FALSE)</f>
        <v>159.15</v>
      </c>
      <c r="J278" s="173">
        <f>ROUNDUP(I278*Order_Quote!$L$26,2)</f>
        <v>159.15</v>
      </c>
      <c r="K278" s="75"/>
      <c r="L278" s="113"/>
      <c r="M278" s="171">
        <f t="shared" si="5"/>
        <v>0</v>
      </c>
      <c r="O278" s="215" t="str">
        <f>_xlfn.XLOOKUP(E278,'All Products'!D:D,'All Products'!I:I,FALSE)</f>
        <v>Within 3 Weeks</v>
      </c>
      <c r="P278" s="215" t="str">
        <f>_xlfn.XLOOKUP(E278,'All Products'!D:D,'All Products'!J:J,FALSE)</f>
        <v>Manufactured</v>
      </c>
      <c r="Q278" s="266">
        <f>_xlfn.XLOOKUP(E278,'All Products'!D:D,'All Products'!K:K,FALSE)</f>
        <v>49081030384</v>
      </c>
      <c r="R278" s="266" t="str">
        <f>_xlfn.XLOOKUP(E278,'All Products'!D:D,'All Products'!L:L,FALSE)</f>
        <v>-</v>
      </c>
      <c r="S278" s="266">
        <f>_xlfn.XLOOKUP(E278,'All Products'!D:D,'All Products'!M:M,FALSE)</f>
        <v>40049081030382</v>
      </c>
      <c r="T278" s="264">
        <f>_xlfn.XLOOKUP(E278,'All Products'!D:D,'All Products'!N:N,FALSE)</f>
        <v>1.5580000000000001</v>
      </c>
      <c r="U278" s="264">
        <f>_xlfn.XLOOKUP(E278,'All Products'!D:D,'All Products'!P:P,FALSE)</f>
        <v>16.86</v>
      </c>
      <c r="V278" s="265">
        <f>_xlfn.XLOOKUP(E278,'All Products'!D:D,'All Products'!Q:Q,FALSE)</f>
        <v>1.1000000000000001</v>
      </c>
    </row>
    <row r="279" spans="1:22" ht="14.4" customHeight="1">
      <c r="A279" s="101" t="str">
        <f>IF(K279&gt;0,COUNT($A$8:A278)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79" s="610"/>
      <c r="C279" s="611"/>
      <c r="D279" s="274" t="str">
        <f>_xlfn.XLOOKUP(E279,'All Products'!D:D,'All Products'!C:C,FALSE)</f>
        <v>1-J4-13-2-12</v>
      </c>
      <c r="E279" s="103">
        <v>100024110</v>
      </c>
      <c r="F279" s="144" t="str">
        <f>_xlfn.XLOOKUP(E279,'All Products'!D:D,'All Products'!E:E,FALSE)</f>
        <v>25MM SOC X 1 ACME UU X 12 LL SJ</v>
      </c>
      <c r="G279" s="103">
        <f>_xlfn.XLOOKUP(E279,'All Products'!D:D,'All Products'!F:F,FALSE)</f>
        <v>10</v>
      </c>
      <c r="H279" s="103">
        <f>_xlfn.XLOOKUP(E279,'All Products'!D:D,'All Products'!G:G,FALSE)</f>
        <v>750</v>
      </c>
      <c r="I279" s="140">
        <f>_xlfn.XLOOKUP(E279,'All Products'!D:D,'All Products'!H:H,FALSE)</f>
        <v>159.15</v>
      </c>
      <c r="J279" s="173">
        <f>ROUNDUP(I279*Order_Quote!$L$26,2)</f>
        <v>159.15</v>
      </c>
      <c r="K279" s="75"/>
      <c r="L279" s="113"/>
      <c r="M279" s="171">
        <f t="shared" si="5"/>
        <v>0</v>
      </c>
      <c r="O279" s="215" t="str">
        <f>_xlfn.XLOOKUP(E279,'All Products'!D:D,'All Products'!I:I,FALSE)</f>
        <v>Within 3 Weeks</v>
      </c>
      <c r="P279" s="215" t="str">
        <f>_xlfn.XLOOKUP(E279,'All Products'!D:D,'All Products'!J:J,FALSE)</f>
        <v>Manufactured</v>
      </c>
      <c r="Q279" s="266">
        <f>_xlfn.XLOOKUP(E279,'All Products'!D:D,'All Products'!K:K,FALSE)</f>
        <v>49081030759</v>
      </c>
      <c r="R279" s="266" t="str">
        <f>_xlfn.XLOOKUP(E279,'All Products'!D:D,'All Products'!L:L,FALSE)</f>
        <v>-</v>
      </c>
      <c r="S279" s="266">
        <f>_xlfn.XLOOKUP(E279,'All Products'!D:D,'All Products'!M:M,FALSE)</f>
        <v>40049081030757</v>
      </c>
      <c r="T279" s="264">
        <f>_xlfn.XLOOKUP(E279,'All Products'!D:D,'All Products'!N:N,FALSE)</f>
        <v>1.6279999999999999</v>
      </c>
      <c r="U279" s="264">
        <f>_xlfn.XLOOKUP(E279,'All Products'!D:D,'All Products'!P:P,FALSE)</f>
        <v>16.86</v>
      </c>
      <c r="V279" s="265">
        <f>_xlfn.XLOOKUP(E279,'All Products'!D:D,'All Products'!Q:Q,FALSE)</f>
        <v>1.1000000000000001</v>
      </c>
    </row>
    <row r="280" spans="1:22" ht="14.4" customHeight="1">
      <c r="A280" s="101" t="str">
        <f>IF(K280&gt;0,COUNT($A$8:A279)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80" s="610"/>
      <c r="C280" s="611"/>
      <c r="D280" s="274" t="str">
        <f>_xlfn.XLOOKUP(E280,'All Products'!D:D,'All Products'!C:C,FALSE)</f>
        <v>2-18-16-2-12</v>
      </c>
      <c r="E280" s="103">
        <v>100024956</v>
      </c>
      <c r="F280" s="144" t="str">
        <f>_xlfn.XLOOKUP(E280,'All Products'!D:D,'All Products'!E:E,FALSE)</f>
        <v>1-1/2 ACME X 1 ACME UU X 12 LL SJ</v>
      </c>
      <c r="G280" s="103">
        <f>_xlfn.XLOOKUP(E280,'All Products'!D:D,'All Products'!F:F,FALSE)</f>
        <v>10</v>
      </c>
      <c r="H280" s="103">
        <f>_xlfn.XLOOKUP(E280,'All Products'!D:D,'All Products'!G:G,FALSE)</f>
        <v>180</v>
      </c>
      <c r="I280" s="140">
        <f>_xlfn.XLOOKUP(E280,'All Products'!D:D,'All Products'!H:H,FALSE)</f>
        <v>200.04</v>
      </c>
      <c r="J280" s="173">
        <f>ROUNDUP(I280*Order_Quote!$L$26,2)</f>
        <v>200.04</v>
      </c>
      <c r="K280" s="75"/>
      <c r="L280" s="113"/>
      <c r="M280" s="171">
        <f t="shared" si="5"/>
        <v>0</v>
      </c>
      <c r="O280" s="215" t="str">
        <f>_xlfn.XLOOKUP(E280,'All Products'!D:D,'All Products'!I:I,FALSE)</f>
        <v>Within 3 Weeks</v>
      </c>
      <c r="P280" s="215" t="str">
        <f>_xlfn.XLOOKUP(E280,'All Products'!D:D,'All Products'!J:J,FALSE)</f>
        <v>Manufactured</v>
      </c>
      <c r="Q280" s="266">
        <f>_xlfn.XLOOKUP(E280,'All Products'!D:D,'All Products'!K:K,FALSE)</f>
        <v>49081031343</v>
      </c>
      <c r="R280" s="266" t="str">
        <f>_xlfn.XLOOKUP(E280,'All Products'!D:D,'All Products'!L:L,FALSE)</f>
        <v>-</v>
      </c>
      <c r="S280" s="266">
        <f>_xlfn.XLOOKUP(E280,'All Products'!D:D,'All Products'!M:M,FALSE)</f>
        <v>40049081031341</v>
      </c>
      <c r="T280" s="264">
        <f>_xlfn.XLOOKUP(E280,'All Products'!D:D,'All Products'!N:N,FALSE)</f>
        <v>2.5870000000000002</v>
      </c>
      <c r="U280" s="264">
        <f>_xlfn.XLOOKUP(E280,'All Products'!D:D,'All Products'!P:P,FALSE)</f>
        <v>25.3</v>
      </c>
      <c r="V280" s="265">
        <f>_xlfn.XLOOKUP(E280,'All Products'!D:D,'All Products'!Q:Q,FALSE)</f>
        <v>2.65</v>
      </c>
    </row>
    <row r="281" spans="1:22" ht="14.4" customHeight="1">
      <c r="A281" s="101" t="str">
        <f>IF(K281&gt;0,COUNT($A$8:A280)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81" s="610"/>
      <c r="C281" s="611"/>
      <c r="D281" s="274" t="str">
        <f>_xlfn.XLOOKUP(E281,'All Products'!D:D,'All Products'!C:C,FALSE)</f>
        <v>2-18-16-2-8</v>
      </c>
      <c r="E281" s="103">
        <v>100024957</v>
      </c>
      <c r="F281" s="144" t="str">
        <f>_xlfn.XLOOKUP(E281,'All Products'!D:D,'All Products'!E:E,FALSE)</f>
        <v>1-1/2 ACME X 1 ACME UU X 8 LL SJ</v>
      </c>
      <c r="G281" s="103">
        <f>_xlfn.XLOOKUP(E281,'All Products'!D:D,'All Products'!F:F,FALSE)</f>
        <v>10</v>
      </c>
      <c r="H281" s="103">
        <f>_xlfn.XLOOKUP(E281,'All Products'!D:D,'All Products'!G:G,FALSE)</f>
        <v>600</v>
      </c>
      <c r="I281" s="140">
        <f>_xlfn.XLOOKUP(E281,'All Products'!D:D,'All Products'!H:H,FALSE)</f>
        <v>188.94</v>
      </c>
      <c r="J281" s="173">
        <f>ROUNDUP(I281*Order_Quote!$L$26,2)</f>
        <v>188.94</v>
      </c>
      <c r="K281" s="75"/>
      <c r="L281" s="113"/>
      <c r="M281" s="171">
        <f t="shared" si="5"/>
        <v>0</v>
      </c>
      <c r="O281" s="215" t="str">
        <f>_xlfn.XLOOKUP(E281,'All Products'!D:D,'All Products'!I:I,FALSE)</f>
        <v>Within 3 Weeks</v>
      </c>
      <c r="P281" s="215" t="str">
        <f>_xlfn.XLOOKUP(E281,'All Products'!D:D,'All Products'!J:J,FALSE)</f>
        <v>Manufactured</v>
      </c>
      <c r="Q281" s="266">
        <f>_xlfn.XLOOKUP(E281,'All Products'!D:D,'All Products'!K:K,FALSE)</f>
        <v>49081030254</v>
      </c>
      <c r="R281" s="266" t="str">
        <f>_xlfn.XLOOKUP(E281,'All Products'!D:D,'All Products'!L:L,FALSE)</f>
        <v>-</v>
      </c>
      <c r="S281" s="266">
        <f>_xlfn.XLOOKUP(E281,'All Products'!D:D,'All Products'!M:M,FALSE)</f>
        <v>40049081030252</v>
      </c>
      <c r="T281" s="264">
        <f>_xlfn.XLOOKUP(E281,'All Products'!D:D,'All Products'!N:N,FALSE)</f>
        <v>2.4049999999999998</v>
      </c>
      <c r="U281" s="264">
        <f>_xlfn.XLOOKUP(E281,'All Products'!D:D,'All Products'!P:P,FALSE)</f>
        <v>23.25</v>
      </c>
      <c r="V281" s="265">
        <f>_xlfn.XLOOKUP(E281,'All Products'!D:D,'All Products'!Q:Q,FALSE)</f>
        <v>1.41</v>
      </c>
    </row>
    <row r="282" spans="1:22" ht="14.4" customHeight="1">
      <c r="A282" s="101" t="str">
        <f>IF(K282&gt;0,COUNT($A$8:A281)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82" s="610"/>
      <c r="C282" s="611"/>
      <c r="D282" s="274" t="str">
        <f>_xlfn.XLOOKUP(E282,'All Products'!D:D,'All Products'!C:C,FALSE)</f>
        <v>2-A1-17-2-12</v>
      </c>
      <c r="E282" s="103">
        <v>100024128</v>
      </c>
      <c r="F282" s="144" t="str">
        <f>_xlfn.XLOOKUP(E282,'All Products'!D:D,'All Products'!E:E,FALSE)</f>
        <v>1-1/4 MPT X 1-1/4 ACME UU X 12 SJ</v>
      </c>
      <c r="G282" s="103">
        <f>_xlfn.XLOOKUP(E282,'All Products'!D:D,'All Products'!F:F,FALSE)</f>
        <v>10</v>
      </c>
      <c r="H282" s="103">
        <f>_xlfn.XLOOKUP(E282,'All Products'!D:D,'All Products'!G:G,FALSE)</f>
        <v>180</v>
      </c>
      <c r="I282" s="140">
        <f>_xlfn.XLOOKUP(E282,'All Products'!D:D,'All Products'!H:H,FALSE)</f>
        <v>200.04</v>
      </c>
      <c r="J282" s="173">
        <f>ROUNDUP(I282*Order_Quote!$L$26,2)</f>
        <v>200.04</v>
      </c>
      <c r="K282" s="75"/>
      <c r="L282" s="113"/>
      <c r="M282" s="171">
        <f t="shared" si="5"/>
        <v>0</v>
      </c>
      <c r="O282" s="215" t="str">
        <f>_xlfn.XLOOKUP(E282,'All Products'!D:D,'All Products'!I:I,FALSE)</f>
        <v>Within 3 Weeks</v>
      </c>
      <c r="P282" s="215" t="str">
        <f>_xlfn.XLOOKUP(E282,'All Products'!D:D,'All Products'!J:J,FALSE)</f>
        <v>Manufactured</v>
      </c>
      <c r="Q282" s="266">
        <f>_xlfn.XLOOKUP(E282,'All Products'!D:D,'All Products'!K:K,FALSE)</f>
        <v>49081025861</v>
      </c>
      <c r="R282" s="266" t="str">
        <f>_xlfn.XLOOKUP(E282,'All Products'!D:D,'All Products'!L:L,FALSE)</f>
        <v>-</v>
      </c>
      <c r="S282" s="266">
        <f>_xlfn.XLOOKUP(E282,'All Products'!D:D,'All Products'!M:M,FALSE)</f>
        <v>40049081025869</v>
      </c>
      <c r="T282" s="264">
        <f>_xlfn.XLOOKUP(E282,'All Products'!D:D,'All Products'!N:N,FALSE)</f>
        <v>2.3450000000000002</v>
      </c>
      <c r="U282" s="264">
        <f>_xlfn.XLOOKUP(E282,'All Products'!D:D,'All Products'!P:P,FALSE)</f>
        <v>23.3</v>
      </c>
      <c r="V282" s="265">
        <f>_xlfn.XLOOKUP(E282,'All Products'!D:D,'All Products'!Q:Q,FALSE)</f>
        <v>2.65</v>
      </c>
    </row>
    <row r="283" spans="1:22" ht="14.4" customHeight="1">
      <c r="A283" s="101" t="str">
        <f>IF(K283&gt;0,COUNT($A$8:A282)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83" s="610"/>
      <c r="C283" s="611"/>
      <c r="D283" s="274" t="str">
        <f>_xlfn.XLOOKUP(E283,'All Products'!D:D,'All Products'!C:C,FALSE)</f>
        <v>2-A1-18-2-12</v>
      </c>
      <c r="E283" s="103">
        <v>100024132</v>
      </c>
      <c r="F283" s="144" t="str">
        <f>_xlfn.XLOOKUP(E283,'All Products'!D:D,'All Products'!E:E,FALSE)</f>
        <v>1-1/4 MPT X 1-1/2 ACME UU X 12 SJ</v>
      </c>
      <c r="G283" s="103">
        <f>_xlfn.XLOOKUP(E283,'All Products'!D:D,'All Products'!F:F,FALSE)</f>
        <v>10</v>
      </c>
      <c r="H283" s="103">
        <f>_xlfn.XLOOKUP(E283,'All Products'!D:D,'All Products'!G:G,FALSE)</f>
        <v>600</v>
      </c>
      <c r="I283" s="140">
        <f>_xlfn.XLOOKUP(E283,'All Products'!D:D,'All Products'!H:H,FALSE)</f>
        <v>200.04</v>
      </c>
      <c r="J283" s="173">
        <f>ROUNDUP(I283*Order_Quote!$L$26,2)</f>
        <v>200.04</v>
      </c>
      <c r="K283" s="75"/>
      <c r="L283" s="113"/>
      <c r="M283" s="171">
        <f t="shared" si="5"/>
        <v>0</v>
      </c>
      <c r="O283" s="215" t="str">
        <f>_xlfn.XLOOKUP(E283,'All Products'!D:D,'All Products'!I:I,FALSE)</f>
        <v>Within 3 Weeks</v>
      </c>
      <c r="P283" s="215" t="str">
        <f>_xlfn.XLOOKUP(E283,'All Products'!D:D,'All Products'!J:J,FALSE)</f>
        <v>Manufactured</v>
      </c>
      <c r="Q283" s="266">
        <f>_xlfn.XLOOKUP(E283,'All Products'!D:D,'All Products'!K:K,FALSE)</f>
        <v>49081025908</v>
      </c>
      <c r="R283" s="266" t="str">
        <f>_xlfn.XLOOKUP(E283,'All Products'!D:D,'All Products'!L:L,FALSE)</f>
        <v>-</v>
      </c>
      <c r="S283" s="266">
        <f>_xlfn.XLOOKUP(E283,'All Products'!D:D,'All Products'!M:M,FALSE)</f>
        <v>40049081025906</v>
      </c>
      <c r="T283" s="264">
        <f>_xlfn.XLOOKUP(E283,'All Products'!D:D,'All Products'!N:N,FALSE)</f>
        <v>2.3769999999999998</v>
      </c>
      <c r="U283" s="264">
        <f>_xlfn.XLOOKUP(E283,'All Products'!D:D,'All Products'!P:P,FALSE)</f>
        <v>20.2</v>
      </c>
      <c r="V283" s="265">
        <f>_xlfn.XLOOKUP(E283,'All Products'!D:D,'All Products'!Q:Q,FALSE)</f>
        <v>1.41</v>
      </c>
    </row>
    <row r="284" spans="1:22" ht="14.4" customHeight="1">
      <c r="A284" s="101" t="str">
        <f>IF(K284&gt;0,COUNT($A$8:A283)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84" s="610"/>
      <c r="C284" s="611"/>
      <c r="D284" s="274" t="str">
        <f>_xlfn.XLOOKUP(E284,'All Products'!D:D,'All Products'!C:C,FALSE)</f>
        <v>2-A1-3-2-12</v>
      </c>
      <c r="E284" s="103">
        <v>100024144</v>
      </c>
      <c r="F284" s="144" t="str">
        <f>_xlfn.XLOOKUP(E284,'All Products'!D:D,'All Products'!E:E,FALSE)</f>
        <v>1-1/4 MPT X 1-1/4 MPT UU X 12 SJ</v>
      </c>
      <c r="G284" s="103">
        <f>_xlfn.XLOOKUP(E284,'All Products'!D:D,'All Products'!F:F,FALSE)</f>
        <v>10</v>
      </c>
      <c r="H284" s="103">
        <f>_xlfn.XLOOKUP(E284,'All Products'!D:D,'All Products'!G:G,FALSE)</f>
        <v>600</v>
      </c>
      <c r="I284" s="140">
        <f>_xlfn.XLOOKUP(E284,'All Products'!D:D,'All Products'!H:H,FALSE)</f>
        <v>200.04</v>
      </c>
      <c r="J284" s="173">
        <f>ROUNDUP(I284*Order_Quote!$L$26,2)</f>
        <v>200.04</v>
      </c>
      <c r="K284" s="75"/>
      <c r="L284" s="113"/>
      <c r="M284" s="171">
        <f t="shared" si="5"/>
        <v>0</v>
      </c>
      <c r="O284" s="215" t="str">
        <f>_xlfn.XLOOKUP(E284,'All Products'!D:D,'All Products'!I:I,FALSE)</f>
        <v>Within 3 Weeks</v>
      </c>
      <c r="P284" s="215" t="str">
        <f>_xlfn.XLOOKUP(E284,'All Products'!D:D,'All Products'!J:J,FALSE)</f>
        <v>Manufactured</v>
      </c>
      <c r="Q284" s="266">
        <f>_xlfn.XLOOKUP(E284,'All Products'!D:D,'All Products'!K:K,FALSE)</f>
        <v>49081026004</v>
      </c>
      <c r="R284" s="266" t="str">
        <f>_xlfn.XLOOKUP(E284,'All Products'!D:D,'All Products'!L:L,FALSE)</f>
        <v>-</v>
      </c>
      <c r="S284" s="266">
        <f>_xlfn.XLOOKUP(E284,'All Products'!D:D,'All Products'!M:M,FALSE)</f>
        <v>40049081026002</v>
      </c>
      <c r="T284" s="264">
        <f>_xlfn.XLOOKUP(E284,'All Products'!D:D,'All Products'!N:N,FALSE)</f>
        <v>2.3290000000000002</v>
      </c>
      <c r="U284" s="264">
        <f>_xlfn.XLOOKUP(E284,'All Products'!D:D,'All Products'!P:P,FALSE)</f>
        <v>22.92</v>
      </c>
      <c r="V284" s="265">
        <f>_xlfn.XLOOKUP(E284,'All Products'!D:D,'All Products'!Q:Q,FALSE)</f>
        <v>1.41</v>
      </c>
    </row>
    <row r="285" spans="1:22" ht="14.4" customHeight="1">
      <c r="A285" s="101" t="str">
        <f>IF(K285&gt;0,COUNT($A$8:A284)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85" s="610"/>
      <c r="C285" s="611"/>
      <c r="D285" s="274" t="str">
        <f>_xlfn.XLOOKUP(E285,'All Products'!D:D,'All Products'!C:C,FALSE)</f>
        <v>2-A1-3-2-8</v>
      </c>
      <c r="E285" s="103">
        <v>100024147</v>
      </c>
      <c r="F285" s="144" t="str">
        <f>_xlfn.XLOOKUP(E285,'All Products'!D:D,'All Products'!E:E,FALSE)</f>
        <v>1-1/4 MPT X 1-1/4 MPT UU X 8 SJ</v>
      </c>
      <c r="G285" s="103">
        <f>_xlfn.XLOOKUP(E285,'All Products'!D:D,'All Products'!F:F,FALSE)</f>
        <v>10</v>
      </c>
      <c r="H285" s="103">
        <f>_xlfn.XLOOKUP(E285,'All Products'!D:D,'All Products'!G:G,FALSE)</f>
        <v>600</v>
      </c>
      <c r="I285" s="140">
        <f>_xlfn.XLOOKUP(E285,'All Products'!D:D,'All Products'!H:H,FALSE)</f>
        <v>188.94</v>
      </c>
      <c r="J285" s="173">
        <f>ROUNDUP(I285*Order_Quote!$L$26,2)</f>
        <v>188.94</v>
      </c>
      <c r="K285" s="75"/>
      <c r="L285" s="113"/>
      <c r="M285" s="171">
        <f t="shared" si="5"/>
        <v>0</v>
      </c>
      <c r="O285" s="215" t="str">
        <f>_xlfn.XLOOKUP(E285,'All Products'!D:D,'All Products'!I:I,FALSE)</f>
        <v>Within 3 Weeks</v>
      </c>
      <c r="P285" s="215" t="str">
        <f>_xlfn.XLOOKUP(E285,'All Products'!D:D,'All Products'!J:J,FALSE)</f>
        <v>Manufactured</v>
      </c>
      <c r="Q285" s="266">
        <f>_xlfn.XLOOKUP(E285,'All Products'!D:D,'All Products'!K:K,FALSE)</f>
        <v>49081026028</v>
      </c>
      <c r="R285" s="266" t="str">
        <f>_xlfn.XLOOKUP(E285,'All Products'!D:D,'All Products'!L:L,FALSE)</f>
        <v>-</v>
      </c>
      <c r="S285" s="266">
        <f>_xlfn.XLOOKUP(E285,'All Products'!D:D,'All Products'!M:M,FALSE)</f>
        <v>40049081026026</v>
      </c>
      <c r="T285" s="264">
        <f>_xlfn.XLOOKUP(E285,'All Products'!D:D,'All Products'!N:N,FALSE)</f>
        <v>2.1469999999999998</v>
      </c>
      <c r="U285" s="264">
        <f>_xlfn.XLOOKUP(E285,'All Products'!D:D,'All Products'!P:P,FALSE)</f>
        <v>20.94</v>
      </c>
      <c r="V285" s="265">
        <f>_xlfn.XLOOKUP(E285,'All Products'!D:D,'All Products'!Q:Q,FALSE)</f>
        <v>1.25</v>
      </c>
    </row>
    <row r="286" spans="1:22" ht="14.4" customHeight="1">
      <c r="A286" s="101" t="str">
        <f>IF(K286&gt;0,COUNT($A$8:A285)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86" s="610"/>
      <c r="C286" s="611"/>
      <c r="D286" s="274" t="str">
        <f>_xlfn.XLOOKUP(E286,'All Products'!D:D,'All Products'!C:C,FALSE)</f>
        <v>2-A2-3-2-12</v>
      </c>
      <c r="E286" s="103">
        <v>100024212</v>
      </c>
      <c r="F286" s="144" t="str">
        <f>_xlfn.XLOOKUP(E286,'All Products'!D:D,'All Products'!E:E,FALSE)</f>
        <v>1-1/4 SPG X 1-1/4 MPT UU X 12 SJ</v>
      </c>
      <c r="G286" s="103">
        <f>_xlfn.XLOOKUP(E286,'All Products'!D:D,'All Products'!F:F,FALSE)</f>
        <v>10</v>
      </c>
      <c r="H286" s="103">
        <f>_xlfn.XLOOKUP(E286,'All Products'!D:D,'All Products'!G:G,FALSE)</f>
        <v>180</v>
      </c>
      <c r="I286" s="140">
        <f>_xlfn.XLOOKUP(E286,'All Products'!D:D,'All Products'!H:H,FALSE)</f>
        <v>200.04</v>
      </c>
      <c r="J286" s="173">
        <f>ROUNDUP(I286*Order_Quote!$L$26,2)</f>
        <v>200.04</v>
      </c>
      <c r="K286" s="75"/>
      <c r="L286" s="113"/>
      <c r="M286" s="171">
        <f t="shared" si="5"/>
        <v>0</v>
      </c>
      <c r="O286" s="215" t="str">
        <f>_xlfn.XLOOKUP(E286,'All Products'!D:D,'All Products'!I:I,FALSE)</f>
        <v>Within 3 Weeks</v>
      </c>
      <c r="P286" s="215" t="str">
        <f>_xlfn.XLOOKUP(E286,'All Products'!D:D,'All Products'!J:J,FALSE)</f>
        <v>Manufactured</v>
      </c>
      <c r="Q286" s="266">
        <f>_xlfn.XLOOKUP(E286,'All Products'!D:D,'All Products'!K:K,FALSE)</f>
        <v>49081026479</v>
      </c>
      <c r="R286" s="266" t="str">
        <f>_xlfn.XLOOKUP(E286,'All Products'!D:D,'All Products'!L:L,FALSE)</f>
        <v>-</v>
      </c>
      <c r="S286" s="266">
        <f>_xlfn.XLOOKUP(E286,'All Products'!D:D,'All Products'!M:M,FALSE)</f>
        <v>40049081026477</v>
      </c>
      <c r="T286" s="264">
        <f>_xlfn.XLOOKUP(E286,'All Products'!D:D,'All Products'!N:N,FALSE)</f>
        <v>2.3540000000000001</v>
      </c>
      <c r="U286" s="264">
        <f>_xlfn.XLOOKUP(E286,'All Products'!D:D,'All Products'!P:P,FALSE)</f>
        <v>23.45</v>
      </c>
      <c r="V286" s="265">
        <f>_xlfn.XLOOKUP(E286,'All Products'!D:D,'All Products'!Q:Q,FALSE)</f>
        <v>2.65</v>
      </c>
    </row>
    <row r="287" spans="1:22" ht="14.4" customHeight="1">
      <c r="A287" s="101" t="str">
        <f>IF(K287&gt;0,COUNT($A$8:A286)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87" s="610"/>
      <c r="C287" s="611"/>
      <c r="D287" s="274" t="str">
        <f>_xlfn.XLOOKUP(E287,'All Products'!D:D,'All Products'!C:C,FALSE)</f>
        <v>2-A2-6-2-12</v>
      </c>
      <c r="E287" s="103">
        <v>100024232</v>
      </c>
      <c r="F287" s="144" t="str">
        <f>_xlfn.XLOOKUP(E287,'All Products'!D:D,'All Products'!E:E,FALSE)</f>
        <v>1-1/4 SPG X 1-1/2 MPT UU X 12 SJ</v>
      </c>
      <c r="G287" s="103">
        <f>_xlfn.XLOOKUP(E287,'All Products'!D:D,'All Products'!F:F,FALSE)</f>
        <v>10</v>
      </c>
      <c r="H287" s="103">
        <f>_xlfn.XLOOKUP(E287,'All Products'!D:D,'All Products'!G:G,FALSE)</f>
        <v>180</v>
      </c>
      <c r="I287" s="140">
        <f>_xlfn.XLOOKUP(E287,'All Products'!D:D,'All Products'!H:H,FALSE)</f>
        <v>200.04</v>
      </c>
      <c r="J287" s="173">
        <f>ROUNDUP(I287*Order_Quote!$L$26,2)</f>
        <v>200.04</v>
      </c>
      <c r="K287" s="75"/>
      <c r="L287" s="113"/>
      <c r="M287" s="171">
        <f t="shared" si="5"/>
        <v>0</v>
      </c>
      <c r="O287" s="215" t="str">
        <f>_xlfn.XLOOKUP(E287,'All Products'!D:D,'All Products'!I:I,FALSE)</f>
        <v>Within 3 Weeks</v>
      </c>
      <c r="P287" s="215" t="str">
        <f>_xlfn.XLOOKUP(E287,'All Products'!D:D,'All Products'!J:J,FALSE)</f>
        <v>Manufactured</v>
      </c>
      <c r="Q287" s="266">
        <f>_xlfn.XLOOKUP(E287,'All Products'!D:D,'All Products'!K:K,FALSE)</f>
        <v>49081026646</v>
      </c>
      <c r="R287" s="266" t="str">
        <f>_xlfn.XLOOKUP(E287,'All Products'!D:D,'All Products'!L:L,FALSE)</f>
        <v>-</v>
      </c>
      <c r="S287" s="266">
        <f>_xlfn.XLOOKUP(E287,'All Products'!D:D,'All Products'!M:M,FALSE)</f>
        <v>40049081026644</v>
      </c>
      <c r="T287" s="264">
        <f>_xlfn.XLOOKUP(E287,'All Products'!D:D,'All Products'!N:N,FALSE)</f>
        <v>2.4319999999999999</v>
      </c>
      <c r="U287" s="264">
        <f>_xlfn.XLOOKUP(E287,'All Products'!D:D,'All Products'!P:P,FALSE)</f>
        <v>24.2</v>
      </c>
      <c r="V287" s="265">
        <f>_xlfn.XLOOKUP(E287,'All Products'!D:D,'All Products'!Q:Q,FALSE)</f>
        <v>2.65</v>
      </c>
    </row>
    <row r="288" spans="1:22" ht="14.4" customHeight="1">
      <c r="A288" s="101" t="str">
        <f>IF(K288&gt;0,COUNT($A$8:A287)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88" s="610"/>
      <c r="C288" s="611"/>
      <c r="D288" s="274" t="str">
        <f>_xlfn.XLOOKUP(E288,'All Products'!D:D,'All Products'!C:C,FALSE)</f>
        <v>2-A2-7-2-12</v>
      </c>
      <c r="E288" s="103">
        <v>100024247</v>
      </c>
      <c r="F288" s="144" t="str">
        <f>_xlfn.XLOOKUP(E288,'All Products'!D:D,'All Products'!E:E,FALSE)</f>
        <v>1-1/4 SPG X 1 MPT UU X 12 SJ</v>
      </c>
      <c r="G288" s="103">
        <f>_xlfn.XLOOKUP(E288,'All Products'!D:D,'All Products'!F:F,FALSE)</f>
        <v>10</v>
      </c>
      <c r="H288" s="103">
        <f>_xlfn.XLOOKUP(E288,'All Products'!D:D,'All Products'!G:G,FALSE)</f>
        <v>600</v>
      </c>
      <c r="I288" s="140">
        <f>_xlfn.XLOOKUP(E288,'All Products'!D:D,'All Products'!H:H,FALSE)</f>
        <v>200.04</v>
      </c>
      <c r="J288" s="173">
        <f>ROUNDUP(I288*Order_Quote!$L$26,2)</f>
        <v>200.04</v>
      </c>
      <c r="K288" s="75"/>
      <c r="L288" s="113"/>
      <c r="M288" s="171">
        <f t="shared" si="5"/>
        <v>0</v>
      </c>
      <c r="O288" s="215" t="str">
        <f>_xlfn.XLOOKUP(E288,'All Products'!D:D,'All Products'!I:I,FALSE)</f>
        <v>Within 3 Weeks</v>
      </c>
      <c r="P288" s="215" t="str">
        <f>_xlfn.XLOOKUP(E288,'All Products'!D:D,'All Products'!J:J,FALSE)</f>
        <v>Manufactured</v>
      </c>
      <c r="Q288" s="266">
        <f>_xlfn.XLOOKUP(E288,'All Products'!D:D,'All Products'!K:K,FALSE)</f>
        <v>49081026721</v>
      </c>
      <c r="R288" s="266" t="str">
        <f>_xlfn.XLOOKUP(E288,'All Products'!D:D,'All Products'!L:L,FALSE)</f>
        <v>-</v>
      </c>
      <c r="S288" s="266">
        <f>_xlfn.XLOOKUP(E288,'All Products'!D:D,'All Products'!M:M,FALSE)</f>
        <v>40049081026729</v>
      </c>
      <c r="T288" s="264">
        <f>_xlfn.XLOOKUP(E288,'All Products'!D:D,'All Products'!N:N,FALSE)</f>
        <v>2.3610000000000002</v>
      </c>
      <c r="U288" s="264">
        <f>_xlfn.XLOOKUP(E288,'All Products'!D:D,'All Products'!P:P,FALSE)</f>
        <v>24.44</v>
      </c>
      <c r="V288" s="265">
        <f>_xlfn.XLOOKUP(E288,'All Products'!D:D,'All Products'!Q:Q,FALSE)</f>
        <v>1.41</v>
      </c>
    </row>
    <row r="289" spans="1:22" ht="14.4" customHeight="1">
      <c r="A289" s="101" t="str">
        <f>IF(K289&gt;0,COUNT($A$8:A288)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89" s="610"/>
      <c r="C289" s="611"/>
      <c r="D289" s="274" t="str">
        <f>_xlfn.XLOOKUP(E289,'All Products'!D:D,'All Products'!C:C,FALSE)</f>
        <v>2-A8-16-2-12</v>
      </c>
      <c r="E289" s="103">
        <v>100024983</v>
      </c>
      <c r="F289" s="144" t="str">
        <f>_xlfn.XLOOKUP(E289,'All Products'!D:D,'All Products'!E:E,FALSE)</f>
        <v>4 SPG X 1 ACME UU X 12 LL SJ</v>
      </c>
      <c r="G289" s="103">
        <f>_xlfn.XLOOKUP(E289,'All Products'!D:D,'All Products'!F:F,FALSE)</f>
        <v>10</v>
      </c>
      <c r="H289" s="103">
        <f>_xlfn.XLOOKUP(E289,'All Products'!D:D,'All Products'!G:G,FALSE)</f>
        <v>180</v>
      </c>
      <c r="I289" s="140">
        <f>_xlfn.XLOOKUP(E289,'All Products'!D:D,'All Products'!H:H,FALSE)</f>
        <v>200.04</v>
      </c>
      <c r="J289" s="173">
        <f>ROUNDUP(I289*Order_Quote!$L$26,2)</f>
        <v>200.04</v>
      </c>
      <c r="K289" s="75"/>
      <c r="L289" s="113"/>
      <c r="M289" s="171">
        <f t="shared" si="5"/>
        <v>0</v>
      </c>
      <c r="O289" s="215" t="str">
        <f>_xlfn.XLOOKUP(E289,'All Products'!D:D,'All Products'!I:I,FALSE)</f>
        <v>Within 3 Weeks</v>
      </c>
      <c r="P289" s="215" t="str">
        <f>_xlfn.XLOOKUP(E289,'All Products'!D:D,'All Products'!J:J,FALSE)</f>
        <v>Manufactured</v>
      </c>
      <c r="Q289" s="266">
        <f>_xlfn.XLOOKUP(E289,'All Products'!D:D,'All Products'!K:K,FALSE)</f>
        <v>49081022600</v>
      </c>
      <c r="R289" s="266" t="str">
        <f>_xlfn.XLOOKUP(E289,'All Products'!D:D,'All Products'!L:L,FALSE)</f>
        <v>-</v>
      </c>
      <c r="S289" s="266">
        <f>_xlfn.XLOOKUP(E289,'All Products'!D:D,'All Products'!M:M,FALSE)</f>
        <v>40049081022608</v>
      </c>
      <c r="T289" s="264">
        <f>_xlfn.XLOOKUP(E289,'All Products'!D:D,'All Products'!N:N,FALSE)</f>
        <v>2.5</v>
      </c>
      <c r="U289" s="264">
        <f>_xlfn.XLOOKUP(E289,'All Products'!D:D,'All Products'!P:P,FALSE)</f>
        <v>24.59</v>
      </c>
      <c r="V289" s="265">
        <f>_xlfn.XLOOKUP(E289,'All Products'!D:D,'All Products'!Q:Q,FALSE)</f>
        <v>2.65</v>
      </c>
    </row>
    <row r="290" spans="1:22" ht="14.4" customHeight="1">
      <c r="A290" s="101" t="str">
        <f>IF(K290&gt;0,COUNT($A$8:A289)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90" s="610"/>
      <c r="C290" s="611"/>
      <c r="D290" s="274" t="str">
        <f>_xlfn.XLOOKUP(E290,'All Products'!D:D,'All Products'!C:C,FALSE)</f>
        <v>2-A8-16-2-18</v>
      </c>
      <c r="E290" s="103">
        <v>100024295</v>
      </c>
      <c r="F290" s="144" t="str">
        <f>_xlfn.XLOOKUP(E290,'All Products'!D:D,'All Products'!E:E,FALSE)</f>
        <v>4 SPG X 1 ACME UU X 18LL SJ</v>
      </c>
      <c r="G290" s="103">
        <f>_xlfn.XLOOKUP(E290,'All Products'!D:D,'All Products'!F:F,FALSE)</f>
        <v>10</v>
      </c>
      <c r="H290" s="103">
        <f>_xlfn.XLOOKUP(E290,'All Products'!D:D,'All Products'!G:G,FALSE)</f>
        <v>240</v>
      </c>
      <c r="I290" s="140">
        <f>_xlfn.XLOOKUP(E290,'All Products'!D:D,'All Products'!H:H,FALSE)</f>
        <v>211.05</v>
      </c>
      <c r="J290" s="173">
        <f>ROUNDUP(I290*Order_Quote!$L$26,2)</f>
        <v>211.05</v>
      </c>
      <c r="K290" s="75"/>
      <c r="L290" s="113"/>
      <c r="M290" s="171">
        <f t="shared" ref="M290:M320" si="6">K290/G290</f>
        <v>0</v>
      </c>
      <c r="O290" s="215" t="str">
        <f>_xlfn.XLOOKUP(E290,'All Products'!D:D,'All Products'!I:I,FALSE)</f>
        <v>Within 3 Weeks</v>
      </c>
      <c r="P290" s="215" t="str">
        <f>_xlfn.XLOOKUP(E290,'All Products'!D:D,'All Products'!J:J,FALSE)</f>
        <v>Manufactured</v>
      </c>
      <c r="Q290" s="266">
        <f>_xlfn.XLOOKUP(E290,'All Products'!D:D,'All Products'!K:K,FALSE)</f>
        <v>49081030537</v>
      </c>
      <c r="R290" s="266" t="str">
        <f>_xlfn.XLOOKUP(E290,'All Products'!D:D,'All Products'!L:L,FALSE)</f>
        <v>-</v>
      </c>
      <c r="S290" s="266">
        <f>_xlfn.XLOOKUP(E290,'All Products'!D:D,'All Products'!M:M,FALSE)</f>
        <v>40049081030306</v>
      </c>
      <c r="T290" s="264">
        <f>_xlfn.XLOOKUP(E290,'All Products'!D:D,'All Products'!N:N,FALSE)</f>
        <v>2.774</v>
      </c>
      <c r="U290" s="264">
        <f>_xlfn.XLOOKUP(E290,'All Products'!D:D,'All Products'!P:P,FALSE)</f>
        <v>27.6</v>
      </c>
      <c r="V290" s="265">
        <f>_xlfn.XLOOKUP(E290,'All Products'!D:D,'All Products'!Q:Q,FALSE)</f>
        <v>2.77</v>
      </c>
    </row>
    <row r="291" spans="1:22" ht="14.4" customHeight="1">
      <c r="A291" s="101" t="str">
        <f>IF(K291&gt;0,COUNT($A$8:A290)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91" s="610"/>
      <c r="C291" s="611"/>
      <c r="D291" s="274" t="str">
        <f>_xlfn.XLOOKUP(E291,'All Products'!D:D,'All Products'!C:C,FALSE)</f>
        <v>2-B1-16-2-12</v>
      </c>
      <c r="E291" s="103">
        <v>100024994</v>
      </c>
      <c r="F291" s="144" t="str">
        <f>_xlfn.XLOOKUP(E291,'All Products'!D:D,'All Products'!E:E,FALSE)</f>
        <v>1-1/4 BSPT X 1 ACME UU X 12 LL SJ</v>
      </c>
      <c r="G291" s="103">
        <f>_xlfn.XLOOKUP(E291,'All Products'!D:D,'All Products'!F:F,FALSE)</f>
        <v>10</v>
      </c>
      <c r="H291" s="103">
        <f>_xlfn.XLOOKUP(E291,'All Products'!D:D,'All Products'!G:G,FALSE)</f>
        <v>600</v>
      </c>
      <c r="I291" s="140">
        <f>_xlfn.XLOOKUP(E291,'All Products'!D:D,'All Products'!H:H,FALSE)</f>
        <v>200.04</v>
      </c>
      <c r="J291" s="173">
        <f>ROUNDUP(I291*Order_Quote!$L$26,2)</f>
        <v>200.04</v>
      </c>
      <c r="K291" s="75"/>
      <c r="L291" s="113"/>
      <c r="M291" s="171">
        <f t="shared" si="6"/>
        <v>0</v>
      </c>
      <c r="O291" s="215" t="str">
        <f>_xlfn.XLOOKUP(E291,'All Products'!D:D,'All Products'!I:I,FALSE)</f>
        <v>Within 3 Weeks</v>
      </c>
      <c r="P291" s="215" t="str">
        <f>_xlfn.XLOOKUP(E291,'All Products'!D:D,'All Products'!J:J,FALSE)</f>
        <v>Manufactured</v>
      </c>
      <c r="Q291" s="266">
        <f>_xlfn.XLOOKUP(E291,'All Products'!D:D,'All Products'!K:K,FALSE)</f>
        <v>49081031046</v>
      </c>
      <c r="R291" s="266" t="str">
        <f>_xlfn.XLOOKUP(E291,'All Products'!D:D,'All Products'!L:L,FALSE)</f>
        <v>-</v>
      </c>
      <c r="S291" s="266">
        <f>_xlfn.XLOOKUP(E291,'All Products'!D:D,'All Products'!M:M,FALSE)</f>
        <v>40049081031044</v>
      </c>
      <c r="T291" s="264">
        <f>_xlfn.XLOOKUP(E291,'All Products'!D:D,'All Products'!N:N,FALSE)</f>
        <v>2.371</v>
      </c>
      <c r="U291" s="264">
        <f>_xlfn.XLOOKUP(E291,'All Products'!D:D,'All Products'!P:P,FALSE)</f>
        <v>22.1</v>
      </c>
      <c r="V291" s="265">
        <f>_xlfn.XLOOKUP(E291,'All Products'!D:D,'All Products'!Q:Q,FALSE)</f>
        <v>1.41</v>
      </c>
    </row>
    <row r="292" spans="1:22" ht="14.4" customHeight="1">
      <c r="A292" s="101" t="str">
        <f>IF(K292&gt;0,COUNT($A$8:A291)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92" s="610"/>
      <c r="C292" s="611"/>
      <c r="D292" s="274" t="str">
        <f>_xlfn.XLOOKUP(E292,'All Products'!D:D,'All Products'!C:C,FALSE)</f>
        <v>3-21-21-2-12</v>
      </c>
      <c r="E292" s="103">
        <v>100024999</v>
      </c>
      <c r="F292" s="144" t="str">
        <f>_xlfn.XLOOKUP(E292,'All Products'!D:D,'All Products'!E:E,FALSE)</f>
        <v>1-1/2 ACME X 1-1/2 ACME UU X 12 SJ</v>
      </c>
      <c r="G292" s="103">
        <f>_xlfn.XLOOKUP(E292,'All Products'!D:D,'All Products'!F:F,FALSE)</f>
        <v>10</v>
      </c>
      <c r="H292" s="103">
        <f>_xlfn.XLOOKUP(E292,'All Products'!D:D,'All Products'!G:G,FALSE)</f>
        <v>180</v>
      </c>
      <c r="I292" s="140">
        <f>_xlfn.XLOOKUP(E292,'All Products'!D:D,'All Products'!H:H,FALSE)</f>
        <v>275.58</v>
      </c>
      <c r="J292" s="173">
        <f>ROUNDUP(I292*Order_Quote!$L$26,2)</f>
        <v>275.58</v>
      </c>
      <c r="K292" s="75"/>
      <c r="L292" s="113"/>
      <c r="M292" s="171">
        <f t="shared" si="6"/>
        <v>0</v>
      </c>
      <c r="O292" s="215" t="str">
        <f>_xlfn.XLOOKUP(E292,'All Products'!D:D,'All Products'!I:I,FALSE)</f>
        <v>Within 3 Weeks</v>
      </c>
      <c r="P292" s="215" t="str">
        <f>_xlfn.XLOOKUP(E292,'All Products'!D:D,'All Products'!J:J,FALSE)</f>
        <v>Manufactured</v>
      </c>
      <c r="Q292" s="266">
        <f>_xlfn.XLOOKUP(E292,'All Products'!D:D,'All Products'!K:K,FALSE)</f>
        <v>49081022723</v>
      </c>
      <c r="R292" s="266" t="str">
        <f>_xlfn.XLOOKUP(E292,'All Products'!D:D,'All Products'!L:L,FALSE)</f>
        <v>-</v>
      </c>
      <c r="S292" s="266">
        <f>_xlfn.XLOOKUP(E292,'All Products'!D:D,'All Products'!M:M,FALSE)</f>
        <v>40049081022721</v>
      </c>
      <c r="T292" s="264">
        <f>_xlfn.XLOOKUP(E292,'All Products'!D:D,'All Products'!N:N,FALSE)</f>
        <v>3.1360000000000001</v>
      </c>
      <c r="U292" s="264">
        <f>_xlfn.XLOOKUP(E292,'All Products'!D:D,'All Products'!P:P,FALSE)</f>
        <v>32</v>
      </c>
      <c r="V292" s="265">
        <f>_xlfn.XLOOKUP(E292,'All Products'!D:D,'All Products'!Q:Q,FALSE)</f>
        <v>2.65</v>
      </c>
    </row>
    <row r="293" spans="1:22" ht="14.4" customHeight="1">
      <c r="A293" s="101" t="str">
        <f>IF(K293&gt;0,COUNT($A$8:A292)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93" s="610"/>
      <c r="C293" s="611"/>
      <c r="D293" s="274" t="str">
        <f>_xlfn.XLOOKUP(E293,'All Products'!D:D,'All Products'!C:C,FALSE)</f>
        <v>3-21-21-2-8</v>
      </c>
      <c r="E293" s="103">
        <v>100024338</v>
      </c>
      <c r="F293" s="144" t="str">
        <f>_xlfn.XLOOKUP(E293,'All Products'!D:D,'All Products'!E:E,FALSE)</f>
        <v>1-1/2 ACME X 1-1/2 ACME UU X 8 SJ</v>
      </c>
      <c r="G293" s="103">
        <f>_xlfn.XLOOKUP(E293,'All Products'!D:D,'All Products'!F:F,FALSE)</f>
        <v>10</v>
      </c>
      <c r="H293" s="103">
        <f>_xlfn.XLOOKUP(E293,'All Products'!D:D,'All Products'!G:G,FALSE)</f>
        <v>180</v>
      </c>
      <c r="I293" s="140">
        <f>_xlfn.XLOOKUP(E293,'All Products'!D:D,'All Products'!H:H,FALSE)</f>
        <v>229.35</v>
      </c>
      <c r="J293" s="173">
        <f>ROUNDUP(I293*Order_Quote!$L$26,2)</f>
        <v>229.35</v>
      </c>
      <c r="K293" s="75"/>
      <c r="L293" s="113"/>
      <c r="M293" s="171">
        <f t="shared" si="6"/>
        <v>0</v>
      </c>
      <c r="O293" s="215" t="str">
        <f>_xlfn.XLOOKUP(E293,'All Products'!D:D,'All Products'!I:I,FALSE)</f>
        <v>Within 3 Weeks</v>
      </c>
      <c r="P293" s="215" t="str">
        <f>_xlfn.XLOOKUP(E293,'All Products'!D:D,'All Products'!J:J,FALSE)</f>
        <v>Manufactured</v>
      </c>
      <c r="Q293" s="266">
        <f>_xlfn.XLOOKUP(E293,'All Products'!D:D,'All Products'!K:K,FALSE)</f>
        <v>49081031657</v>
      </c>
      <c r="R293" s="266" t="str">
        <f>_xlfn.XLOOKUP(E293,'All Products'!D:D,'All Products'!L:L,FALSE)</f>
        <v>-</v>
      </c>
      <c r="S293" s="266">
        <f>_xlfn.XLOOKUP(E293,'All Products'!D:D,'All Products'!M:M,FALSE)</f>
        <v>40049081031655</v>
      </c>
      <c r="T293" s="264">
        <f>_xlfn.XLOOKUP(E293,'All Products'!D:D,'All Products'!N:N,FALSE)</f>
        <v>2.9249999999999998</v>
      </c>
      <c r="U293" s="264">
        <f>_xlfn.XLOOKUP(E293,'All Products'!D:D,'All Products'!P:P,FALSE)</f>
        <v>30</v>
      </c>
      <c r="V293" s="265">
        <f>_xlfn.XLOOKUP(E293,'All Products'!D:D,'All Products'!Q:Q,FALSE)</f>
        <v>2.65</v>
      </c>
    </row>
    <row r="294" spans="1:22" ht="14.4" customHeight="1">
      <c r="A294" s="101" t="str">
        <f>IF(K294&gt;0,COUNT($A$8:A293)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94" s="610"/>
      <c r="C294" s="611"/>
      <c r="D294" s="274" t="str">
        <f>_xlfn.XLOOKUP(E294,'All Products'!D:D,'All Products'!C:C,FALSE)</f>
        <v>3-21-3-2-12</v>
      </c>
      <c r="E294" s="103">
        <v>100024340</v>
      </c>
      <c r="F294" s="144" t="str">
        <f>_xlfn.XLOOKUP(E294,'All Products'!D:D,'All Products'!E:E,FALSE)</f>
        <v>1-1/2 ACME X 1-1/2 MPT UU X 12 SJ</v>
      </c>
      <c r="G294" s="103">
        <f>_xlfn.XLOOKUP(E294,'All Products'!D:D,'All Products'!F:F,FALSE)</f>
        <v>10</v>
      </c>
      <c r="H294" s="103">
        <f>_xlfn.XLOOKUP(E294,'All Products'!D:D,'All Products'!G:G,FALSE)</f>
        <v>180</v>
      </c>
      <c r="I294" s="140">
        <f>_xlfn.XLOOKUP(E294,'All Products'!D:D,'All Products'!H:H,FALSE)</f>
        <v>275.58</v>
      </c>
      <c r="J294" s="173">
        <f>ROUNDUP(I294*Order_Quote!$L$26,2)</f>
        <v>275.58</v>
      </c>
      <c r="K294" s="75"/>
      <c r="L294" s="113"/>
      <c r="M294" s="171">
        <f t="shared" si="6"/>
        <v>0</v>
      </c>
      <c r="O294" s="215" t="str">
        <f>_xlfn.XLOOKUP(E294,'All Products'!D:D,'All Products'!I:I,FALSE)</f>
        <v>Within 3 Weeks</v>
      </c>
      <c r="P294" s="215" t="str">
        <f>_xlfn.XLOOKUP(E294,'All Products'!D:D,'All Products'!J:J,FALSE)</f>
        <v>Manufactured</v>
      </c>
      <c r="Q294" s="266">
        <f>_xlfn.XLOOKUP(E294,'All Products'!D:D,'All Products'!K:K,FALSE)</f>
        <v>49081030698</v>
      </c>
      <c r="R294" s="266" t="str">
        <f>_xlfn.XLOOKUP(E294,'All Products'!D:D,'All Products'!L:L,FALSE)</f>
        <v>-</v>
      </c>
      <c r="S294" s="266">
        <f>_xlfn.XLOOKUP(E294,'All Products'!D:D,'All Products'!M:M,FALSE)</f>
        <v>40049081030696</v>
      </c>
      <c r="T294" s="264">
        <f>_xlfn.XLOOKUP(E294,'All Products'!D:D,'All Products'!N:N,FALSE)</f>
        <v>3.0819999999999999</v>
      </c>
      <c r="U294" s="264">
        <f>_xlfn.XLOOKUP(E294,'All Products'!D:D,'All Products'!P:P,FALSE)</f>
        <v>27.5</v>
      </c>
      <c r="V294" s="265">
        <f>_xlfn.XLOOKUP(E294,'All Products'!D:D,'All Products'!Q:Q,FALSE)</f>
        <v>2.65</v>
      </c>
    </row>
    <row r="295" spans="1:22" ht="14.4" customHeight="1">
      <c r="A295" s="101" t="str">
        <f>IF(K295&gt;0,COUNT($A$8:A294)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95" s="610"/>
      <c r="C295" s="611"/>
      <c r="D295" s="274" t="str">
        <f>_xlfn.XLOOKUP(E295,'All Products'!D:D,'All Products'!C:C,FALSE)</f>
        <v>3-A1-21-2-12</v>
      </c>
      <c r="E295" s="103">
        <v>100025012</v>
      </c>
      <c r="F295" s="144" t="str">
        <f>_xlfn.XLOOKUP(E295,'All Products'!D:D,'All Products'!E:E,FALSE)</f>
        <v>1-1/2 MPT X 1-1/2 ACME UU X 12 SJ</v>
      </c>
      <c r="G295" s="103">
        <f>_xlfn.XLOOKUP(E295,'All Products'!D:D,'All Products'!F:F,FALSE)</f>
        <v>10</v>
      </c>
      <c r="H295" s="103">
        <f>_xlfn.XLOOKUP(E295,'All Products'!D:D,'All Products'!G:G,FALSE)</f>
        <v>180</v>
      </c>
      <c r="I295" s="140">
        <f>_xlfn.XLOOKUP(E295,'All Products'!D:D,'All Products'!H:H,FALSE)</f>
        <v>240.47</v>
      </c>
      <c r="J295" s="173">
        <f>ROUNDUP(I295*Order_Quote!$L$26,2)</f>
        <v>240.47</v>
      </c>
      <c r="K295" s="75"/>
      <c r="L295" s="113"/>
      <c r="M295" s="171">
        <f t="shared" si="6"/>
        <v>0</v>
      </c>
      <c r="O295" s="215" t="str">
        <f>_xlfn.XLOOKUP(E295,'All Products'!D:D,'All Products'!I:I,FALSE)</f>
        <v>In Stock</v>
      </c>
      <c r="P295" s="215" t="str">
        <f>_xlfn.XLOOKUP(E295,'All Products'!D:D,'All Products'!J:J,FALSE)</f>
        <v>Manufactured</v>
      </c>
      <c r="Q295" s="266">
        <f>_xlfn.XLOOKUP(E295,'All Products'!D:D,'All Products'!K:K,FALSE)</f>
        <v>49081021689</v>
      </c>
      <c r="R295" s="266" t="str">
        <f>_xlfn.XLOOKUP(E295,'All Products'!D:D,'All Products'!L:L,FALSE)</f>
        <v>-</v>
      </c>
      <c r="S295" s="266">
        <f>_xlfn.XLOOKUP(E295,'All Products'!D:D,'All Products'!M:M,FALSE)</f>
        <v>40049081021687</v>
      </c>
      <c r="T295" s="264">
        <f>_xlfn.XLOOKUP(E295,'All Products'!D:D,'All Products'!N:N,FALSE)</f>
        <v>2.9039999999999999</v>
      </c>
      <c r="U295" s="264">
        <f>_xlfn.XLOOKUP(E295,'All Products'!D:D,'All Products'!P:P,FALSE)</f>
        <v>30.3</v>
      </c>
      <c r="V295" s="265">
        <f>_xlfn.XLOOKUP(E295,'All Products'!D:D,'All Products'!Q:Q,FALSE)</f>
        <v>2.65</v>
      </c>
    </row>
    <row r="296" spans="1:22" ht="14.4" customHeight="1">
      <c r="A296" s="101" t="str">
        <f>IF(K296&gt;0,COUNT($A$8:A295)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96" s="610"/>
      <c r="C296" s="611"/>
      <c r="D296" s="274" t="str">
        <f>_xlfn.XLOOKUP(E296,'All Products'!D:D,'All Products'!C:C,FALSE)</f>
        <v>3-A1-21-2-18</v>
      </c>
      <c r="E296" s="103">
        <v>100025013</v>
      </c>
      <c r="F296" s="144" t="str">
        <f>_xlfn.XLOOKUP(E296,'All Products'!D:D,'All Products'!E:E,FALSE)</f>
        <v>1-1/2 MPT X 1-1/2 ACME UU X 18 SJ</v>
      </c>
      <c r="G296" s="103">
        <f>_xlfn.XLOOKUP(E296,'All Products'!D:D,'All Products'!F:F,FALSE)</f>
        <v>10</v>
      </c>
      <c r="H296" s="103">
        <f>_xlfn.XLOOKUP(E296,'All Products'!D:D,'All Products'!G:G,FALSE)</f>
        <v>240</v>
      </c>
      <c r="I296" s="140">
        <f>_xlfn.XLOOKUP(E296,'All Products'!D:D,'All Products'!H:H,FALSE)</f>
        <v>251.51</v>
      </c>
      <c r="J296" s="173">
        <f>ROUNDUP(I296*Order_Quote!$L$26,2)</f>
        <v>251.51</v>
      </c>
      <c r="K296" s="75"/>
      <c r="L296" s="113"/>
      <c r="M296" s="171">
        <f t="shared" si="6"/>
        <v>0</v>
      </c>
      <c r="O296" s="215" t="str">
        <f>_xlfn.XLOOKUP(E296,'All Products'!D:D,'All Products'!I:I,FALSE)</f>
        <v>Within 3 Weeks</v>
      </c>
      <c r="P296" s="215" t="str">
        <f>_xlfn.XLOOKUP(E296,'All Products'!D:D,'All Products'!J:J,FALSE)</f>
        <v>Manufactured</v>
      </c>
      <c r="Q296" s="266">
        <f>_xlfn.XLOOKUP(E296,'All Products'!D:D,'All Products'!K:K,FALSE)</f>
        <v>49081022853</v>
      </c>
      <c r="R296" s="266" t="str">
        <f>_xlfn.XLOOKUP(E296,'All Products'!D:D,'All Products'!L:L,FALSE)</f>
        <v>-</v>
      </c>
      <c r="S296" s="266">
        <f>_xlfn.XLOOKUP(E296,'All Products'!D:D,'All Products'!M:M,FALSE)</f>
        <v>40049081022851</v>
      </c>
      <c r="T296" s="264">
        <f>_xlfn.XLOOKUP(E296,'All Products'!D:D,'All Products'!N:N,FALSE)</f>
        <v>3.2189999999999999</v>
      </c>
      <c r="U296" s="264">
        <f>_xlfn.XLOOKUP(E296,'All Products'!D:D,'All Products'!P:P,FALSE)</f>
        <v>33.75</v>
      </c>
      <c r="V296" s="265">
        <f>_xlfn.XLOOKUP(E296,'All Products'!D:D,'All Products'!Q:Q,FALSE)</f>
        <v>2.77</v>
      </c>
    </row>
    <row r="297" spans="1:22" ht="14.4" customHeight="1">
      <c r="A297" s="101" t="str">
        <f>IF(K297&gt;0,COUNT($A$8:A296)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97" s="610"/>
      <c r="C297" s="611"/>
      <c r="D297" s="274" t="str">
        <f>_xlfn.XLOOKUP(E297,'All Products'!D:D,'All Products'!C:C,FALSE)</f>
        <v>3-A1-21-2-8</v>
      </c>
      <c r="E297" s="103">
        <v>100024381</v>
      </c>
      <c r="F297" s="144" t="str">
        <f>_xlfn.XLOOKUP(E297,'All Products'!D:D,'All Products'!E:E,FALSE)</f>
        <v>1-1/2 MPT X 1-1/2 ACME UU X 8 SJ</v>
      </c>
      <c r="G297" s="103">
        <f>_xlfn.XLOOKUP(E297,'All Products'!D:D,'All Products'!F:F,FALSE)</f>
        <v>10</v>
      </c>
      <c r="H297" s="103">
        <f>_xlfn.XLOOKUP(E297,'All Products'!D:D,'All Products'!G:G,FALSE)</f>
        <v>900</v>
      </c>
      <c r="I297" s="140">
        <f>_xlfn.XLOOKUP(E297,'All Products'!D:D,'All Products'!H:H,FALSE)</f>
        <v>229.35</v>
      </c>
      <c r="J297" s="173">
        <f>ROUNDUP(I297*Order_Quote!$L$26,2)</f>
        <v>229.35</v>
      </c>
      <c r="K297" s="75"/>
      <c r="L297" s="113"/>
      <c r="M297" s="171">
        <f t="shared" si="6"/>
        <v>0</v>
      </c>
      <c r="O297" s="215" t="str">
        <f>_xlfn.XLOOKUP(E297,'All Products'!D:D,'All Products'!I:I,FALSE)</f>
        <v>Within 3 Weeks</v>
      </c>
      <c r="P297" s="215" t="str">
        <f>_xlfn.XLOOKUP(E297,'All Products'!D:D,'All Products'!J:J,FALSE)</f>
        <v>Manufactured</v>
      </c>
      <c r="Q297" s="266">
        <f>_xlfn.XLOOKUP(E297,'All Products'!D:D,'All Products'!K:K,FALSE)</f>
        <v>49081027728</v>
      </c>
      <c r="R297" s="266" t="str">
        <f>_xlfn.XLOOKUP(E297,'All Products'!D:D,'All Products'!L:L,FALSE)</f>
        <v>-</v>
      </c>
      <c r="S297" s="266">
        <f>_xlfn.XLOOKUP(E297,'All Products'!D:D,'All Products'!M:M,FALSE)</f>
        <v>40049081027726</v>
      </c>
      <c r="T297" s="264">
        <f>_xlfn.XLOOKUP(E297,'All Products'!D:D,'All Products'!N:N,FALSE)</f>
        <v>2.6930000000000001</v>
      </c>
      <c r="U297" s="264">
        <f>_xlfn.XLOOKUP(E297,'All Products'!D:D,'All Products'!P:P,FALSE)</f>
        <v>27.6</v>
      </c>
      <c r="V297" s="265">
        <f>_xlfn.XLOOKUP(E297,'All Products'!D:D,'All Products'!Q:Q,FALSE)</f>
        <v>0.8</v>
      </c>
    </row>
    <row r="298" spans="1:22" ht="14.4" customHeight="1">
      <c r="A298" s="101" t="str">
        <f>IF(K298&gt;0,COUNT($A$8:A297)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98" s="610"/>
      <c r="C298" s="611"/>
      <c r="D298" s="274" t="str">
        <f>_xlfn.XLOOKUP(E298,'All Products'!D:D,'All Products'!C:C,FALSE)</f>
        <v>3-A1-3-2-10</v>
      </c>
      <c r="E298" s="103">
        <v>100024394</v>
      </c>
      <c r="F298" s="144" t="str">
        <f>_xlfn.XLOOKUP(E298,'All Products'!D:D,'All Products'!E:E,FALSE)</f>
        <v>1-1/2 MPT X 1-1/2 MPT UU X 10 SJ</v>
      </c>
      <c r="G298" s="103">
        <f>_xlfn.XLOOKUP(E298,'All Products'!D:D,'All Products'!F:F,FALSE)</f>
        <v>10</v>
      </c>
      <c r="H298" s="103">
        <f>_xlfn.XLOOKUP(E298,'All Products'!D:D,'All Products'!G:G,FALSE)</f>
        <v>180</v>
      </c>
      <c r="I298" s="140">
        <f>_xlfn.XLOOKUP(E298,'All Products'!D:D,'All Products'!H:H,FALSE)</f>
        <v>240.47</v>
      </c>
      <c r="J298" s="173">
        <f>ROUNDUP(I298*Order_Quote!$L$26,2)</f>
        <v>240.47</v>
      </c>
      <c r="K298" s="75"/>
      <c r="L298" s="113"/>
      <c r="M298" s="171">
        <f t="shared" si="6"/>
        <v>0</v>
      </c>
      <c r="O298" s="215" t="str">
        <f>_xlfn.XLOOKUP(E298,'All Products'!D:D,'All Products'!I:I,FALSE)</f>
        <v>Within 3 Weeks</v>
      </c>
      <c r="P298" s="215" t="str">
        <f>_xlfn.XLOOKUP(E298,'All Products'!D:D,'All Products'!J:J,FALSE)</f>
        <v>Manufactured</v>
      </c>
      <c r="Q298" s="266">
        <f>_xlfn.XLOOKUP(E298,'All Products'!D:D,'All Products'!K:K,FALSE)</f>
        <v>49081027803</v>
      </c>
      <c r="R298" s="266" t="str">
        <f>_xlfn.XLOOKUP(E298,'All Products'!D:D,'All Products'!L:L,FALSE)</f>
        <v>-</v>
      </c>
      <c r="S298" s="266">
        <f>_xlfn.XLOOKUP(E298,'All Products'!D:D,'All Products'!M:M,FALSE)</f>
        <v>40049081027801</v>
      </c>
      <c r="T298" s="264">
        <f>_xlfn.XLOOKUP(E298,'All Products'!D:D,'All Products'!N:N,FALSE)</f>
        <v>2.7429999999999999</v>
      </c>
      <c r="U298" s="264">
        <f>_xlfn.XLOOKUP(E298,'All Products'!D:D,'All Products'!P:P,FALSE)</f>
        <v>25</v>
      </c>
      <c r="V298" s="265">
        <f>_xlfn.XLOOKUP(E298,'All Products'!D:D,'All Products'!Q:Q,FALSE)</f>
        <v>2.65</v>
      </c>
    </row>
    <row r="299" spans="1:22" ht="14.4" customHeight="1">
      <c r="A299" s="101" t="str">
        <f>IF(K299&gt;0,COUNT($A$8:A298)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299" s="610"/>
      <c r="C299" s="611"/>
      <c r="D299" s="274" t="str">
        <f>_xlfn.XLOOKUP(E299,'All Products'!D:D,'All Products'!C:C,FALSE)</f>
        <v>3-A1-3-2-12</v>
      </c>
      <c r="E299" s="103">
        <v>100025016</v>
      </c>
      <c r="F299" s="144" t="str">
        <f>_xlfn.XLOOKUP(E299,'All Products'!D:D,'All Products'!E:E,FALSE)</f>
        <v>1-1/2 MPT X 1-1/2 MPT UU X 12 SJ</v>
      </c>
      <c r="G299" s="103">
        <f>_xlfn.XLOOKUP(E299,'All Products'!D:D,'All Products'!F:F,FALSE)</f>
        <v>10</v>
      </c>
      <c r="H299" s="103">
        <f>_xlfn.XLOOKUP(E299,'All Products'!D:D,'All Products'!G:G,FALSE)</f>
        <v>180</v>
      </c>
      <c r="I299" s="140">
        <f>_xlfn.XLOOKUP(E299,'All Products'!D:D,'All Products'!H:H,FALSE)</f>
        <v>240.47</v>
      </c>
      <c r="J299" s="173">
        <f>ROUNDUP(I299*Order_Quote!$L$26,2)</f>
        <v>240.47</v>
      </c>
      <c r="K299" s="75"/>
      <c r="L299" s="113"/>
      <c r="M299" s="171">
        <f t="shared" si="6"/>
        <v>0</v>
      </c>
      <c r="O299" s="215" t="str">
        <f>_xlfn.XLOOKUP(E299,'All Products'!D:D,'All Products'!I:I,FALSE)</f>
        <v>Within 3 Weeks</v>
      </c>
      <c r="P299" s="215" t="str">
        <f>_xlfn.XLOOKUP(E299,'All Products'!D:D,'All Products'!J:J,FALSE)</f>
        <v>Manufactured</v>
      </c>
      <c r="Q299" s="266">
        <f>_xlfn.XLOOKUP(E299,'All Products'!D:D,'All Products'!K:K,FALSE)</f>
        <v>49081021719</v>
      </c>
      <c r="R299" s="266" t="str">
        <f>_xlfn.XLOOKUP(E299,'All Products'!D:D,'All Products'!L:L,FALSE)</f>
        <v>-</v>
      </c>
      <c r="S299" s="266">
        <f>_xlfn.XLOOKUP(E299,'All Products'!D:D,'All Products'!M:M,FALSE)</f>
        <v>40049081021717</v>
      </c>
      <c r="T299" s="264">
        <f>_xlfn.XLOOKUP(E299,'All Products'!D:D,'All Products'!N:N,FALSE)</f>
        <v>2.8490000000000002</v>
      </c>
      <c r="U299" s="264">
        <f>_xlfn.XLOOKUP(E299,'All Products'!D:D,'All Products'!P:P,FALSE)</f>
        <v>30.14</v>
      </c>
      <c r="V299" s="265">
        <f>_xlfn.XLOOKUP(E299,'All Products'!D:D,'All Products'!Q:Q,FALSE)</f>
        <v>2.65</v>
      </c>
    </row>
    <row r="300" spans="1:22" ht="14.4" customHeight="1">
      <c r="A300" s="101" t="str">
        <f>IF(K300&gt;0,COUNT($A$8:A299)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00" s="610"/>
      <c r="C300" s="611"/>
      <c r="D300" s="274" t="str">
        <f>_xlfn.XLOOKUP(E300,'All Products'!D:D,'All Products'!C:C,FALSE)</f>
        <v>3-A1-3-2-14</v>
      </c>
      <c r="E300" s="103">
        <v>100024395</v>
      </c>
      <c r="F300" s="144" t="str">
        <f>_xlfn.XLOOKUP(E300,'All Products'!D:D,'All Products'!E:E,FALSE)</f>
        <v>1-1/2 MPT X 1-1/2 MPT UU X 14 SJ</v>
      </c>
      <c r="G300" s="103">
        <f>_xlfn.XLOOKUP(E300,'All Products'!D:D,'All Products'!F:F,FALSE)</f>
        <v>10</v>
      </c>
      <c r="H300" s="103">
        <f>_xlfn.XLOOKUP(E300,'All Products'!D:D,'All Products'!G:G,FALSE)</f>
        <v>180</v>
      </c>
      <c r="I300" s="140">
        <f>_xlfn.XLOOKUP(E300,'All Products'!D:D,'All Products'!H:H,FALSE)</f>
        <v>251.51</v>
      </c>
      <c r="J300" s="173">
        <f>ROUNDUP(I300*Order_Quote!$L$26,2)</f>
        <v>251.51</v>
      </c>
      <c r="K300" s="75"/>
      <c r="L300" s="113"/>
      <c r="M300" s="171">
        <f t="shared" si="6"/>
        <v>0</v>
      </c>
      <c r="O300" s="215" t="str">
        <f>_xlfn.XLOOKUP(E300,'All Products'!D:D,'All Products'!I:I,FALSE)</f>
        <v>Within 3 Weeks</v>
      </c>
      <c r="P300" s="215" t="str">
        <f>_xlfn.XLOOKUP(E300,'All Products'!D:D,'All Products'!J:J,FALSE)</f>
        <v>Manufactured</v>
      </c>
      <c r="Q300" s="266">
        <f>_xlfn.XLOOKUP(E300,'All Products'!D:D,'All Products'!K:K,FALSE)</f>
        <v>49081027810</v>
      </c>
      <c r="R300" s="266" t="str">
        <f>_xlfn.XLOOKUP(E300,'All Products'!D:D,'All Products'!L:L,FALSE)</f>
        <v>-</v>
      </c>
      <c r="S300" s="266">
        <f>_xlfn.XLOOKUP(E300,'All Products'!D:D,'All Products'!M:M,FALSE)</f>
        <v>40049081027818</v>
      </c>
      <c r="T300" s="264">
        <f>_xlfn.XLOOKUP(E300,'All Products'!D:D,'All Products'!N:N,FALSE)</f>
        <v>2.9380000000000002</v>
      </c>
      <c r="U300" s="264">
        <f>_xlfn.XLOOKUP(E300,'All Products'!D:D,'All Products'!P:P,FALSE)</f>
        <v>32</v>
      </c>
      <c r="V300" s="265">
        <f>_xlfn.XLOOKUP(E300,'All Products'!D:D,'All Products'!Q:Q,FALSE)</f>
        <v>2.65</v>
      </c>
    </row>
    <row r="301" spans="1:22" ht="14.4" customHeight="1">
      <c r="A301" s="101" t="str">
        <f>IF(K301&gt;0,COUNT($A$8:A300)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01" s="610"/>
      <c r="C301" s="611"/>
      <c r="D301" s="274" t="str">
        <f>_xlfn.XLOOKUP(E301,'All Products'!D:D,'All Products'!C:C,FALSE)</f>
        <v>3-A1-3-2-16</v>
      </c>
      <c r="E301" s="103">
        <v>100024396</v>
      </c>
      <c r="F301" s="144" t="str">
        <f>_xlfn.XLOOKUP(E301,'All Products'!D:D,'All Products'!E:E,FALSE)</f>
        <v>1-1/2 MPT X 1-1/2 MPT UU X 16 SJ</v>
      </c>
      <c r="G301" s="103">
        <f>_xlfn.XLOOKUP(E301,'All Products'!D:D,'All Products'!F:F,FALSE)</f>
        <v>10</v>
      </c>
      <c r="H301" s="103">
        <f>_xlfn.XLOOKUP(E301,'All Products'!D:D,'All Products'!G:G,FALSE)</f>
        <v>180</v>
      </c>
      <c r="I301" s="140">
        <f>_xlfn.XLOOKUP(E301,'All Products'!D:D,'All Products'!H:H,FALSE)</f>
        <v>251.51</v>
      </c>
      <c r="J301" s="173">
        <f>ROUNDUP(I301*Order_Quote!$L$26,2)</f>
        <v>251.51</v>
      </c>
      <c r="K301" s="75"/>
      <c r="L301" s="113"/>
      <c r="M301" s="171">
        <f t="shared" si="6"/>
        <v>0</v>
      </c>
      <c r="O301" s="215" t="str">
        <f>_xlfn.XLOOKUP(E301,'All Products'!D:D,'All Products'!I:I,FALSE)</f>
        <v>Within 3 Weeks</v>
      </c>
      <c r="P301" s="215" t="str">
        <f>_xlfn.XLOOKUP(E301,'All Products'!D:D,'All Products'!J:J,FALSE)</f>
        <v>Manufactured</v>
      </c>
      <c r="Q301" s="266">
        <f>_xlfn.XLOOKUP(E301,'All Products'!D:D,'All Products'!K:K,FALSE)</f>
        <v>49081027827</v>
      </c>
      <c r="R301" s="266" t="str">
        <f>_xlfn.XLOOKUP(E301,'All Products'!D:D,'All Products'!L:L,FALSE)</f>
        <v>-</v>
      </c>
      <c r="S301" s="266">
        <f>_xlfn.XLOOKUP(E301,'All Products'!D:D,'All Products'!M:M,FALSE)</f>
        <v>40049081027825</v>
      </c>
      <c r="T301" s="264">
        <f>_xlfn.XLOOKUP(E301,'All Products'!D:D,'All Products'!N:N,FALSE)</f>
        <v>3.0680000000000001</v>
      </c>
      <c r="U301" s="264">
        <f>_xlfn.XLOOKUP(E301,'All Products'!D:D,'All Products'!P:P,FALSE)</f>
        <v>32.700000000000003</v>
      </c>
      <c r="V301" s="265">
        <f>_xlfn.XLOOKUP(E301,'All Products'!D:D,'All Products'!Q:Q,FALSE)</f>
        <v>4.38</v>
      </c>
    </row>
    <row r="302" spans="1:22" ht="14.4" customHeight="1">
      <c r="A302" s="101" t="str">
        <f>IF(K302&gt;0,COUNT($A$8:A301)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02" s="610"/>
      <c r="C302" s="611"/>
      <c r="D302" s="274" t="str">
        <f>_xlfn.XLOOKUP(E302,'All Products'!D:D,'All Products'!C:C,FALSE)</f>
        <v>3-A1-3-2-18</v>
      </c>
      <c r="E302" s="103">
        <v>100025017</v>
      </c>
      <c r="F302" s="144" t="str">
        <f>_xlfn.XLOOKUP(E302,'All Products'!D:D,'All Products'!E:E,FALSE)</f>
        <v>1-1/2 MPT X 1-1/2 MPT UU X 18 SJ</v>
      </c>
      <c r="G302" s="103">
        <f>_xlfn.XLOOKUP(E302,'All Products'!D:D,'All Products'!F:F,FALSE)</f>
        <v>10</v>
      </c>
      <c r="H302" s="103">
        <f>_xlfn.XLOOKUP(E302,'All Products'!D:D,'All Products'!G:G,FALSE)</f>
        <v>180</v>
      </c>
      <c r="I302" s="140">
        <f>_xlfn.XLOOKUP(E302,'All Products'!D:D,'All Products'!H:H,FALSE)</f>
        <v>251.51</v>
      </c>
      <c r="J302" s="173">
        <f>ROUNDUP(I302*Order_Quote!$L$26,2)</f>
        <v>251.51</v>
      </c>
      <c r="K302" s="75"/>
      <c r="L302" s="113"/>
      <c r="M302" s="171">
        <f t="shared" si="6"/>
        <v>0</v>
      </c>
      <c r="O302" s="215" t="str">
        <f>_xlfn.XLOOKUP(E302,'All Products'!D:D,'All Products'!I:I,FALSE)</f>
        <v>Within 3 Weeks</v>
      </c>
      <c r="P302" s="215" t="str">
        <f>_xlfn.XLOOKUP(E302,'All Products'!D:D,'All Products'!J:J,FALSE)</f>
        <v>Manufactured</v>
      </c>
      <c r="Q302" s="266">
        <f>_xlfn.XLOOKUP(E302,'All Products'!D:D,'All Products'!K:K,FALSE)</f>
        <v>49081021726</v>
      </c>
      <c r="R302" s="266" t="str">
        <f>_xlfn.XLOOKUP(E302,'All Products'!D:D,'All Products'!L:L,FALSE)</f>
        <v>-</v>
      </c>
      <c r="S302" s="266">
        <f>_xlfn.XLOOKUP(E302,'All Products'!D:D,'All Products'!M:M,FALSE)</f>
        <v>40049081021724</v>
      </c>
      <c r="T302" s="264">
        <f>_xlfn.XLOOKUP(E302,'All Products'!D:D,'All Products'!N:N,FALSE)</f>
        <v>3.1640000000000001</v>
      </c>
      <c r="U302" s="264">
        <f>_xlfn.XLOOKUP(E302,'All Products'!D:D,'All Products'!P:P,FALSE)</f>
        <v>33.44</v>
      </c>
      <c r="V302" s="265">
        <f>_xlfn.XLOOKUP(E302,'All Products'!D:D,'All Products'!Q:Q,FALSE)</f>
        <v>4.38</v>
      </c>
    </row>
    <row r="303" spans="1:22" ht="14.4" customHeight="1">
      <c r="A303" s="101" t="str">
        <f>IF(K303&gt;0,COUNT($A$8:A302)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03" s="610"/>
      <c r="C303" s="611"/>
      <c r="D303" s="274" t="str">
        <f>_xlfn.XLOOKUP(E303,'All Products'!D:D,'All Products'!C:C,FALSE)</f>
        <v>3-A1-8-2-12</v>
      </c>
      <c r="E303" s="103">
        <v>100025018</v>
      </c>
      <c r="F303" s="144" t="str">
        <f>_xlfn.XLOOKUP(E303,'All Products'!D:D,'All Products'!E:E,FALSE)</f>
        <v>1-1/2 MPT X 1 MPT UU X 12 SJ</v>
      </c>
      <c r="G303" s="103">
        <f>_xlfn.XLOOKUP(E303,'All Products'!D:D,'All Products'!F:F,FALSE)</f>
        <v>10</v>
      </c>
      <c r="H303" s="103">
        <f>_xlfn.XLOOKUP(E303,'All Products'!D:D,'All Products'!G:G,FALSE)</f>
        <v>180</v>
      </c>
      <c r="I303" s="140">
        <f>_xlfn.XLOOKUP(E303,'All Products'!D:D,'All Products'!H:H,FALSE)</f>
        <v>240.47</v>
      </c>
      <c r="J303" s="173">
        <f>ROUNDUP(I303*Order_Quote!$L$26,2)</f>
        <v>240.47</v>
      </c>
      <c r="K303" s="75"/>
      <c r="L303" s="113"/>
      <c r="M303" s="171">
        <f t="shared" si="6"/>
        <v>0</v>
      </c>
      <c r="O303" s="215" t="str">
        <f>_xlfn.XLOOKUP(E303,'All Products'!D:D,'All Products'!I:I,FALSE)</f>
        <v>Within 3 Weeks</v>
      </c>
      <c r="P303" s="215" t="str">
        <f>_xlfn.XLOOKUP(E303,'All Products'!D:D,'All Products'!J:J,FALSE)</f>
        <v>Manufactured</v>
      </c>
      <c r="Q303" s="266">
        <f>_xlfn.XLOOKUP(E303,'All Products'!D:D,'All Products'!K:K,FALSE)</f>
        <v>49081027902</v>
      </c>
      <c r="R303" s="266" t="str">
        <f>_xlfn.XLOOKUP(E303,'All Products'!D:D,'All Products'!L:L,FALSE)</f>
        <v>-</v>
      </c>
      <c r="S303" s="266">
        <f>_xlfn.XLOOKUP(E303,'All Products'!D:D,'All Products'!M:M,FALSE)</f>
        <v>40049081027900</v>
      </c>
      <c r="T303" s="264">
        <f>_xlfn.XLOOKUP(E303,'All Products'!D:D,'All Products'!N:N,FALSE)</f>
        <v>2.8639999999999999</v>
      </c>
      <c r="U303" s="264">
        <f>_xlfn.XLOOKUP(E303,'All Products'!D:D,'All Products'!P:P,FALSE)</f>
        <v>29.7</v>
      </c>
      <c r="V303" s="265">
        <f>_xlfn.XLOOKUP(E303,'All Products'!D:D,'All Products'!Q:Q,FALSE)</f>
        <v>2.65</v>
      </c>
    </row>
    <row r="304" spans="1:22" ht="14.4" customHeight="1">
      <c r="A304" s="101" t="str">
        <f>IF(K304&gt;0,COUNT($A$8:A303)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04" s="610"/>
      <c r="C304" s="611"/>
      <c r="D304" s="274" t="str">
        <f>_xlfn.XLOOKUP(E304,'All Products'!D:D,'All Products'!C:C,FALSE)</f>
        <v>3-A2-21-2-12</v>
      </c>
      <c r="E304" s="103">
        <v>100024421</v>
      </c>
      <c r="F304" s="144" t="str">
        <f>_xlfn.XLOOKUP(E304,'All Products'!D:D,'All Products'!E:E,FALSE)</f>
        <v>1-1/2 SPG X 1-1/2 ACME UU X 12 SJ</v>
      </c>
      <c r="G304" s="103">
        <f>_xlfn.XLOOKUP(E304,'All Products'!D:D,'All Products'!F:F,FALSE)</f>
        <v>10</v>
      </c>
      <c r="H304" s="103">
        <f>_xlfn.XLOOKUP(E304,'All Products'!D:D,'All Products'!G:G,FALSE)</f>
        <v>180</v>
      </c>
      <c r="I304" s="140">
        <f>_xlfn.XLOOKUP(E304,'All Products'!D:D,'All Products'!H:H,FALSE)</f>
        <v>240.47</v>
      </c>
      <c r="J304" s="173">
        <f>ROUNDUP(I304*Order_Quote!$L$26,2)</f>
        <v>240.47</v>
      </c>
      <c r="K304" s="75"/>
      <c r="L304" s="113"/>
      <c r="M304" s="171">
        <f t="shared" si="6"/>
        <v>0</v>
      </c>
      <c r="O304" s="215" t="str">
        <f>_xlfn.XLOOKUP(E304,'All Products'!D:D,'All Products'!I:I,FALSE)</f>
        <v>Within 3 Weeks</v>
      </c>
      <c r="P304" s="215" t="str">
        <f>_xlfn.XLOOKUP(E304,'All Products'!D:D,'All Products'!J:J,FALSE)</f>
        <v>Manufactured</v>
      </c>
      <c r="Q304" s="266">
        <f>_xlfn.XLOOKUP(E304,'All Products'!D:D,'All Products'!K:K,FALSE)</f>
        <v>49081022860</v>
      </c>
      <c r="R304" s="266" t="str">
        <f>_xlfn.XLOOKUP(E304,'All Products'!D:D,'All Products'!L:L,FALSE)</f>
        <v>-</v>
      </c>
      <c r="S304" s="266">
        <f>_xlfn.XLOOKUP(E304,'All Products'!D:D,'All Products'!M:M,FALSE)</f>
        <v>40049081022868</v>
      </c>
      <c r="T304" s="264">
        <f>_xlfn.XLOOKUP(E304,'All Products'!D:D,'All Products'!N:N,FALSE)</f>
        <v>2.9220000000000002</v>
      </c>
      <c r="U304" s="264">
        <f>_xlfn.XLOOKUP(E304,'All Products'!D:D,'All Products'!P:P,FALSE)</f>
        <v>30.1</v>
      </c>
      <c r="V304" s="265">
        <f>_xlfn.XLOOKUP(E304,'All Products'!D:D,'All Products'!Q:Q,FALSE)</f>
        <v>2.65</v>
      </c>
    </row>
    <row r="305" spans="1:22" ht="14.4" customHeight="1">
      <c r="A305" s="101" t="str">
        <f>IF(K305&gt;0,COUNT($A$8:A304)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05" s="610"/>
      <c r="C305" s="611"/>
      <c r="D305" s="274" t="str">
        <f>_xlfn.XLOOKUP(E305,'All Products'!D:D,'All Products'!C:C,FALSE)</f>
        <v>3-A2-3-2-10</v>
      </c>
      <c r="E305" s="103">
        <v>100024432</v>
      </c>
      <c r="F305" s="144" t="str">
        <f>_xlfn.XLOOKUP(E305,'All Products'!D:D,'All Products'!E:E,FALSE)</f>
        <v>1-1/2 SPG X 1-1/2 MPT UU X 10 SJ</v>
      </c>
      <c r="G305" s="103">
        <f>_xlfn.XLOOKUP(E305,'All Products'!D:D,'All Products'!F:F,FALSE)</f>
        <v>10</v>
      </c>
      <c r="H305" s="103">
        <f>_xlfn.XLOOKUP(E305,'All Products'!D:D,'All Products'!G:G,FALSE)</f>
        <v>180</v>
      </c>
      <c r="I305" s="140">
        <f>_xlfn.XLOOKUP(E305,'All Products'!D:D,'All Products'!H:H,FALSE)</f>
        <v>240.47</v>
      </c>
      <c r="J305" s="173">
        <f>ROUNDUP(I305*Order_Quote!$L$26,2)</f>
        <v>240.47</v>
      </c>
      <c r="K305" s="75"/>
      <c r="L305" s="113"/>
      <c r="M305" s="171">
        <f t="shared" si="6"/>
        <v>0</v>
      </c>
      <c r="O305" s="215" t="str">
        <f>_xlfn.XLOOKUP(E305,'All Products'!D:D,'All Products'!I:I,FALSE)</f>
        <v>Within 3 Weeks</v>
      </c>
      <c r="P305" s="215" t="str">
        <f>_xlfn.XLOOKUP(E305,'All Products'!D:D,'All Products'!J:J,FALSE)</f>
        <v>Manufactured</v>
      </c>
      <c r="Q305" s="266">
        <f>_xlfn.XLOOKUP(E305,'All Products'!D:D,'All Products'!K:K,FALSE)</f>
        <v>49081028176</v>
      </c>
      <c r="R305" s="266" t="str">
        <f>_xlfn.XLOOKUP(E305,'All Products'!D:D,'All Products'!L:L,FALSE)</f>
        <v>-</v>
      </c>
      <c r="S305" s="266">
        <f>_xlfn.XLOOKUP(E305,'All Products'!D:D,'All Products'!M:M,FALSE)</f>
        <v>40049081028174</v>
      </c>
      <c r="T305" s="264">
        <f>_xlfn.XLOOKUP(E305,'All Products'!D:D,'All Products'!N:N,FALSE)</f>
        <v>2.7610000000000001</v>
      </c>
      <c r="U305" s="264">
        <f>_xlfn.XLOOKUP(E305,'All Products'!D:D,'All Products'!P:P,FALSE)</f>
        <v>29.42</v>
      </c>
      <c r="V305" s="265">
        <f>_xlfn.XLOOKUP(E305,'All Products'!D:D,'All Products'!Q:Q,FALSE)</f>
        <v>2.65</v>
      </c>
    </row>
    <row r="306" spans="1:22" ht="14.4" customHeight="1">
      <c r="A306" s="101" t="str">
        <f>IF(K306&gt;0,COUNT($A$8:A305)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06" s="610"/>
      <c r="C306" s="611"/>
      <c r="D306" s="274" t="str">
        <f>_xlfn.XLOOKUP(E306,'All Products'!D:D,'All Products'!C:C,FALSE)</f>
        <v>3-A2-3-2-12</v>
      </c>
      <c r="E306" s="103">
        <v>100024433</v>
      </c>
      <c r="F306" s="144" t="str">
        <f>_xlfn.XLOOKUP(E306,'All Products'!D:D,'All Products'!E:E,FALSE)</f>
        <v>1-1/2 SPG X 1-1/2 MPT UU X 12 SJ</v>
      </c>
      <c r="G306" s="103">
        <f>_xlfn.XLOOKUP(E306,'All Products'!D:D,'All Products'!F:F,FALSE)</f>
        <v>10</v>
      </c>
      <c r="H306" s="103">
        <f>_xlfn.XLOOKUP(E306,'All Products'!D:D,'All Products'!G:G,FALSE)</f>
        <v>180</v>
      </c>
      <c r="I306" s="140">
        <f>_xlfn.XLOOKUP(E306,'All Products'!D:D,'All Products'!H:H,FALSE)</f>
        <v>240.47</v>
      </c>
      <c r="J306" s="173">
        <f>ROUNDUP(I306*Order_Quote!$L$26,2)</f>
        <v>240.47</v>
      </c>
      <c r="K306" s="75"/>
      <c r="L306" s="113"/>
      <c r="M306" s="171">
        <f t="shared" si="6"/>
        <v>0</v>
      </c>
      <c r="O306" s="215" t="str">
        <f>_xlfn.XLOOKUP(E306,'All Products'!D:D,'All Products'!I:I,FALSE)</f>
        <v>Within 3 Weeks</v>
      </c>
      <c r="P306" s="215" t="str">
        <f>_xlfn.XLOOKUP(E306,'All Products'!D:D,'All Products'!J:J,FALSE)</f>
        <v>Manufactured</v>
      </c>
      <c r="Q306" s="266">
        <f>_xlfn.XLOOKUP(E306,'All Products'!D:D,'All Products'!K:K,FALSE)</f>
        <v>49081028183</v>
      </c>
      <c r="R306" s="266" t="str">
        <f>_xlfn.XLOOKUP(E306,'All Products'!D:D,'All Products'!L:L,FALSE)</f>
        <v>-</v>
      </c>
      <c r="S306" s="266">
        <f>_xlfn.XLOOKUP(E306,'All Products'!D:D,'All Products'!M:M,FALSE)</f>
        <v>40049081028181</v>
      </c>
      <c r="T306" s="264">
        <f>_xlfn.XLOOKUP(E306,'All Products'!D:D,'All Products'!N:N,FALSE)</f>
        <v>2.867</v>
      </c>
      <c r="U306" s="264">
        <f>_xlfn.XLOOKUP(E306,'All Products'!D:D,'All Products'!P:P,FALSE)</f>
        <v>31</v>
      </c>
      <c r="V306" s="265">
        <f>_xlfn.XLOOKUP(E306,'All Products'!D:D,'All Products'!Q:Q,FALSE)</f>
        <v>2.65</v>
      </c>
    </row>
    <row r="307" spans="1:22" ht="14.4" customHeight="1">
      <c r="A307" s="101" t="str">
        <f>IF(K307&gt;0,COUNT($A$8:A306)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07" s="610"/>
      <c r="C307" s="611"/>
      <c r="D307" s="274" t="str">
        <f>_xlfn.XLOOKUP(E307,'All Products'!D:D,'All Products'!C:C,FALSE)</f>
        <v>3-A3-3-2-12</v>
      </c>
      <c r="E307" s="103">
        <v>100024480</v>
      </c>
      <c r="F307" s="144" t="str">
        <f>_xlfn.XLOOKUP(E307,'All Products'!D:D,'All Products'!E:E,FALSE)</f>
        <v>2 SPG X 1-1/2 MPT UU X 12 SJ</v>
      </c>
      <c r="G307" s="103">
        <f>_xlfn.XLOOKUP(E307,'All Products'!D:D,'All Products'!F:F,FALSE)</f>
        <v>10</v>
      </c>
      <c r="H307" s="103">
        <f>_xlfn.XLOOKUP(E307,'All Products'!D:D,'All Products'!G:G,FALSE)</f>
        <v>180</v>
      </c>
      <c r="I307" s="140">
        <f>_xlfn.XLOOKUP(E307,'All Products'!D:D,'All Products'!H:H,FALSE)</f>
        <v>240.47</v>
      </c>
      <c r="J307" s="173">
        <f>ROUNDUP(I307*Order_Quote!$L$26,2)</f>
        <v>240.47</v>
      </c>
      <c r="K307" s="75"/>
      <c r="L307" s="113"/>
      <c r="M307" s="171">
        <f t="shared" si="6"/>
        <v>0</v>
      </c>
      <c r="O307" s="215" t="str">
        <f>_xlfn.XLOOKUP(E307,'All Products'!D:D,'All Products'!I:I,FALSE)</f>
        <v>Within 3 Weeks</v>
      </c>
      <c r="P307" s="215" t="str">
        <f>_xlfn.XLOOKUP(E307,'All Products'!D:D,'All Products'!J:J,FALSE)</f>
        <v>Manufactured</v>
      </c>
      <c r="Q307" s="266">
        <f>_xlfn.XLOOKUP(E307,'All Products'!D:D,'All Products'!K:K,FALSE)</f>
        <v>49081028473</v>
      </c>
      <c r="R307" s="266" t="str">
        <f>_xlfn.XLOOKUP(E307,'All Products'!D:D,'All Products'!L:L,FALSE)</f>
        <v>-</v>
      </c>
      <c r="S307" s="266">
        <f>_xlfn.XLOOKUP(E307,'All Products'!D:D,'All Products'!M:M,FALSE)</f>
        <v>40049081028471</v>
      </c>
      <c r="T307" s="264">
        <f>_xlfn.XLOOKUP(E307,'All Products'!D:D,'All Products'!N:N,FALSE)</f>
        <v>2.7170000000000001</v>
      </c>
      <c r="U307" s="264">
        <f>_xlfn.XLOOKUP(E307,'All Products'!D:D,'All Products'!P:P,FALSE)</f>
        <v>30</v>
      </c>
      <c r="V307" s="265">
        <f>_xlfn.XLOOKUP(E307,'All Products'!D:D,'All Products'!Q:Q,FALSE)</f>
        <v>2.65</v>
      </c>
    </row>
    <row r="308" spans="1:22" ht="14.4" customHeight="1">
      <c r="A308" s="101" t="str">
        <f>IF(K308&gt;0,COUNT($A$8:A307)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08" s="610"/>
      <c r="C308" s="611"/>
      <c r="D308" s="274" t="str">
        <f>_xlfn.XLOOKUP(E308,'All Products'!D:D,'All Products'!C:C,FALSE)</f>
        <v>3-A3-3-2-18</v>
      </c>
      <c r="E308" s="103">
        <v>100024481</v>
      </c>
      <c r="F308" s="144" t="str">
        <f>_xlfn.XLOOKUP(E308,'All Products'!D:D,'All Products'!E:E,FALSE)</f>
        <v>2 SPG X 1-1/2 MPT UU X 18 SJ</v>
      </c>
      <c r="G308" s="103">
        <f>_xlfn.XLOOKUP(E308,'All Products'!D:D,'All Products'!F:F,FALSE)</f>
        <v>10</v>
      </c>
      <c r="H308" s="103" t="str">
        <f>_xlfn.XLOOKUP(E308,'All Products'!D:D,'All Products'!G:G,FALSE)</f>
        <v>-</v>
      </c>
      <c r="I308" s="140">
        <f>_xlfn.XLOOKUP(E308,'All Products'!D:D,'All Products'!H:H,FALSE)</f>
        <v>251.51</v>
      </c>
      <c r="J308" s="173">
        <f>ROUNDUP(I308*Order_Quote!$L$26,2)</f>
        <v>251.51</v>
      </c>
      <c r="K308" s="75"/>
      <c r="L308" s="113"/>
      <c r="M308" s="171">
        <f t="shared" si="6"/>
        <v>0</v>
      </c>
      <c r="O308" s="215" t="str">
        <f>_xlfn.XLOOKUP(E308,'All Products'!D:D,'All Products'!I:I,FALSE)</f>
        <v>Within 3 Weeks</v>
      </c>
      <c r="P308" s="215" t="str">
        <f>_xlfn.XLOOKUP(E308,'All Products'!D:D,'All Products'!J:J,FALSE)</f>
        <v>Manufactured</v>
      </c>
      <c r="Q308" s="266">
        <f>_xlfn.XLOOKUP(E308,'All Products'!D:D,'All Products'!K:K,FALSE)</f>
        <v>49081028480</v>
      </c>
      <c r="R308" s="266" t="str">
        <f>_xlfn.XLOOKUP(E308,'All Products'!D:D,'All Products'!L:L,FALSE)</f>
        <v>-</v>
      </c>
      <c r="S308" s="266">
        <f>_xlfn.XLOOKUP(E308,'All Products'!D:D,'All Products'!M:M,FALSE)</f>
        <v>40049081028488</v>
      </c>
      <c r="T308" s="264">
        <f>_xlfn.XLOOKUP(E308,'All Products'!D:D,'All Products'!N:N,FALSE)</f>
        <v>3.032</v>
      </c>
      <c r="U308" s="264">
        <f>_xlfn.XLOOKUP(E308,'All Products'!D:D,'All Products'!P:P,FALSE)</f>
        <v>34</v>
      </c>
      <c r="V308" s="265" t="str">
        <f>_xlfn.XLOOKUP(E308,'All Products'!D:D,'All Products'!Q:Q,FALSE)</f>
        <v>-</v>
      </c>
    </row>
    <row r="309" spans="1:22" ht="14.4" customHeight="1">
      <c r="A309" s="101" t="str">
        <f>IF(K309&gt;0,COUNT($A$8:A308)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09" s="610"/>
      <c r="C309" s="611"/>
      <c r="D309" s="274" t="str">
        <f>_xlfn.XLOOKUP(E309,'All Products'!D:D,'All Products'!C:C,FALSE)</f>
        <v>3-A4-1-2-18</v>
      </c>
      <c r="E309" s="103">
        <v>100024502</v>
      </c>
      <c r="F309" s="144" t="str">
        <f>_xlfn.XLOOKUP(E309,'All Products'!D:D,'All Products'!E:E,FALSE)</f>
        <v>1-1/2 SOC X 1-1/2 SOC UU X 18 SJ</v>
      </c>
      <c r="G309" s="103">
        <f>_xlfn.XLOOKUP(E309,'All Products'!D:D,'All Products'!F:F,FALSE)</f>
        <v>10</v>
      </c>
      <c r="H309" s="103">
        <f>_xlfn.XLOOKUP(E309,'All Products'!D:D,'All Products'!G:G,FALSE)</f>
        <v>180</v>
      </c>
      <c r="I309" s="140">
        <f>_xlfn.XLOOKUP(E309,'All Products'!D:D,'All Products'!H:H,FALSE)</f>
        <v>251.51</v>
      </c>
      <c r="J309" s="173">
        <f>ROUNDUP(I309*Order_Quote!$L$26,2)</f>
        <v>251.51</v>
      </c>
      <c r="K309" s="75"/>
      <c r="L309" s="113"/>
      <c r="M309" s="171">
        <f t="shared" si="6"/>
        <v>0</v>
      </c>
      <c r="O309" s="215" t="str">
        <f>_xlfn.XLOOKUP(E309,'All Products'!D:D,'All Products'!I:I,FALSE)</f>
        <v>Within 3 Weeks</v>
      </c>
      <c r="P309" s="215" t="str">
        <f>_xlfn.XLOOKUP(E309,'All Products'!D:D,'All Products'!J:J,FALSE)</f>
        <v>Manufactured</v>
      </c>
      <c r="Q309" s="266">
        <f>_xlfn.XLOOKUP(E309,'All Products'!D:D,'All Products'!K:K,FALSE)</f>
        <v>49081028732</v>
      </c>
      <c r="R309" s="266" t="str">
        <f>_xlfn.XLOOKUP(E309,'All Products'!D:D,'All Products'!L:L,FALSE)</f>
        <v>-</v>
      </c>
      <c r="S309" s="266">
        <f>_xlfn.XLOOKUP(E309,'All Products'!D:D,'All Products'!M:M,FALSE)</f>
        <v>40049081028730</v>
      </c>
      <c r="T309" s="264">
        <f>_xlfn.XLOOKUP(E309,'All Products'!D:D,'All Products'!N:N,FALSE)</f>
        <v>3.2770000000000001</v>
      </c>
      <c r="U309" s="264">
        <f>_xlfn.XLOOKUP(E309,'All Products'!D:D,'All Products'!P:P,FALSE)</f>
        <v>35</v>
      </c>
      <c r="V309" s="265">
        <f>_xlfn.XLOOKUP(E309,'All Products'!D:D,'All Products'!Q:Q,FALSE)</f>
        <v>4.38</v>
      </c>
    </row>
    <row r="310" spans="1:22" ht="14.4" customHeight="1">
      <c r="A310" s="101" t="str">
        <f>IF(K310&gt;0,COUNT($A$8:A309)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10" s="610"/>
      <c r="C310" s="611"/>
      <c r="D310" s="274" t="str">
        <f>_xlfn.XLOOKUP(E310,'All Products'!D:D,'All Products'!C:C,FALSE)</f>
        <v>3-A4-3-2-12</v>
      </c>
      <c r="E310" s="103">
        <v>100024511</v>
      </c>
      <c r="F310" s="144" t="str">
        <f>_xlfn.XLOOKUP(E310,'All Products'!D:D,'All Products'!E:E,FALSE)</f>
        <v>1-1/2 SOC X 1-1/2 MPT UU X 12 SJ</v>
      </c>
      <c r="G310" s="103">
        <f>_xlfn.XLOOKUP(E310,'All Products'!D:D,'All Products'!F:F,FALSE)</f>
        <v>10</v>
      </c>
      <c r="H310" s="103">
        <f>_xlfn.XLOOKUP(E310,'All Products'!D:D,'All Products'!G:G,FALSE)</f>
        <v>180</v>
      </c>
      <c r="I310" s="140">
        <f>_xlfn.XLOOKUP(E310,'All Products'!D:D,'All Products'!H:H,FALSE)</f>
        <v>240.47</v>
      </c>
      <c r="J310" s="173">
        <f>ROUNDUP(I310*Order_Quote!$L$26,2)</f>
        <v>240.47</v>
      </c>
      <c r="K310" s="75"/>
      <c r="L310" s="113"/>
      <c r="M310" s="171">
        <f t="shared" si="6"/>
        <v>0</v>
      </c>
      <c r="O310" s="215" t="str">
        <f>_xlfn.XLOOKUP(E310,'All Products'!D:D,'All Products'!I:I,FALSE)</f>
        <v>Within 3 Weeks</v>
      </c>
      <c r="P310" s="215" t="str">
        <f>_xlfn.XLOOKUP(E310,'All Products'!D:D,'All Products'!J:J,FALSE)</f>
        <v>Manufactured</v>
      </c>
      <c r="Q310" s="266">
        <f>_xlfn.XLOOKUP(E310,'All Products'!D:D,'All Products'!K:K,FALSE)</f>
        <v>49081028817</v>
      </c>
      <c r="R310" s="266" t="str">
        <f>_xlfn.XLOOKUP(E310,'All Products'!D:D,'All Products'!L:L,FALSE)</f>
        <v>-</v>
      </c>
      <c r="S310" s="266">
        <f>_xlfn.XLOOKUP(E310,'All Products'!D:D,'All Products'!M:M,FALSE)</f>
        <v>40049081028815</v>
      </c>
      <c r="T310" s="264">
        <f>_xlfn.XLOOKUP(E310,'All Products'!D:D,'All Products'!N:N,FALSE)</f>
        <v>2.8820000000000001</v>
      </c>
      <c r="U310" s="264">
        <f>_xlfn.XLOOKUP(E310,'All Products'!D:D,'All Products'!P:P,FALSE)</f>
        <v>30.6</v>
      </c>
      <c r="V310" s="265">
        <f>_xlfn.XLOOKUP(E310,'All Products'!D:D,'All Products'!Q:Q,FALSE)</f>
        <v>2.65</v>
      </c>
    </row>
    <row r="311" spans="1:22" ht="14.4" customHeight="1">
      <c r="A311" s="101" t="str">
        <f>IF(K311&gt;0,COUNT($A$8:A310)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11" s="610"/>
      <c r="C311" s="611"/>
      <c r="D311" s="274" t="str">
        <f>_xlfn.XLOOKUP(E311,'All Products'!D:D,'All Products'!C:C,FALSE)</f>
        <v>3-A4-3-2-16</v>
      </c>
      <c r="E311" s="103">
        <v>100024512</v>
      </c>
      <c r="F311" s="144" t="str">
        <f>_xlfn.XLOOKUP(E311,'All Products'!D:D,'All Products'!E:E,FALSE)</f>
        <v>1-1/2 SOC X 1-1/2 MPT UU X 16 SJ</v>
      </c>
      <c r="G311" s="103">
        <f>_xlfn.XLOOKUP(E311,'All Products'!D:D,'All Products'!F:F,FALSE)</f>
        <v>10</v>
      </c>
      <c r="H311" s="103" t="str">
        <f>_xlfn.XLOOKUP(E311,'All Products'!D:D,'All Products'!G:G,FALSE)</f>
        <v>-</v>
      </c>
      <c r="I311" s="140">
        <f>_xlfn.XLOOKUP(E311,'All Products'!D:D,'All Products'!H:H,FALSE)</f>
        <v>251.51</v>
      </c>
      <c r="J311" s="173">
        <f>ROUNDUP(I311*Order_Quote!$L$26,2)</f>
        <v>251.51</v>
      </c>
      <c r="K311" s="75"/>
      <c r="L311" s="113"/>
      <c r="M311" s="171">
        <f t="shared" si="6"/>
        <v>0</v>
      </c>
      <c r="O311" s="215" t="str">
        <f>_xlfn.XLOOKUP(E311,'All Products'!D:D,'All Products'!I:I,FALSE)</f>
        <v>Within 3 Weeks</v>
      </c>
      <c r="P311" s="215" t="str">
        <f>_xlfn.XLOOKUP(E311,'All Products'!D:D,'All Products'!J:J,FALSE)</f>
        <v>Manufactured</v>
      </c>
      <c r="Q311" s="266">
        <f>_xlfn.XLOOKUP(E311,'All Products'!D:D,'All Products'!K:K,FALSE)</f>
        <v>49081028824</v>
      </c>
      <c r="R311" s="266" t="str">
        <f>_xlfn.XLOOKUP(E311,'All Products'!D:D,'All Products'!L:L,FALSE)</f>
        <v>-</v>
      </c>
      <c r="S311" s="266">
        <f>_xlfn.XLOOKUP(E311,'All Products'!D:D,'All Products'!M:M,FALSE)</f>
        <v>40049081028822</v>
      </c>
      <c r="T311" s="264">
        <f>_xlfn.XLOOKUP(E311,'All Products'!D:D,'All Products'!N:N,FALSE)</f>
        <v>3.101</v>
      </c>
      <c r="U311" s="264">
        <f>_xlfn.XLOOKUP(E311,'All Products'!D:D,'All Products'!P:P,FALSE)</f>
        <v>32.700000000000003</v>
      </c>
      <c r="V311" s="265" t="str">
        <f>_xlfn.XLOOKUP(E311,'All Products'!D:D,'All Products'!Q:Q,FALSE)</f>
        <v>-</v>
      </c>
    </row>
    <row r="312" spans="1:22" ht="14.4" customHeight="1">
      <c r="A312" s="101" t="str">
        <f>IF(K312&gt;0,COUNT($A$8:A311)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12" s="610"/>
      <c r="C312" s="611"/>
      <c r="D312" s="274" t="str">
        <f>_xlfn.XLOOKUP(E312,'All Products'!D:D,'All Products'!C:C,FALSE)</f>
        <v>3-A8-21-2-12</v>
      </c>
      <c r="E312" s="103">
        <v>100025035</v>
      </c>
      <c r="F312" s="144" t="str">
        <f>_xlfn.XLOOKUP(E312,'All Products'!D:D,'All Products'!E:E,FALSE)</f>
        <v>4 SPG X 1-1/2 ACME UU X 12 LL SJ</v>
      </c>
      <c r="G312" s="103">
        <f>_xlfn.XLOOKUP(E312,'All Products'!D:D,'All Products'!F:F,FALSE)</f>
        <v>10</v>
      </c>
      <c r="H312" s="103">
        <f>_xlfn.XLOOKUP(E312,'All Products'!D:D,'All Products'!G:G,FALSE)</f>
        <v>180</v>
      </c>
      <c r="I312" s="140">
        <f>_xlfn.XLOOKUP(E312,'All Products'!D:D,'All Products'!H:H,FALSE)</f>
        <v>240.47</v>
      </c>
      <c r="J312" s="173">
        <f>ROUNDUP(I312*Order_Quote!$L$26,2)</f>
        <v>240.47</v>
      </c>
      <c r="K312" s="75"/>
      <c r="L312" s="113"/>
      <c r="M312" s="171">
        <f t="shared" si="6"/>
        <v>0</v>
      </c>
      <c r="O312" s="215" t="str">
        <f>_xlfn.XLOOKUP(E312,'All Products'!D:D,'All Products'!I:I,FALSE)</f>
        <v>Within 3 Weeks</v>
      </c>
      <c r="P312" s="215" t="str">
        <f>_xlfn.XLOOKUP(E312,'All Products'!D:D,'All Products'!J:J,FALSE)</f>
        <v>Manufactured</v>
      </c>
      <c r="Q312" s="266">
        <f>_xlfn.XLOOKUP(E312,'All Products'!D:D,'All Products'!K:K,FALSE)</f>
        <v>49081029005</v>
      </c>
      <c r="R312" s="266" t="str">
        <f>_xlfn.XLOOKUP(E312,'All Products'!D:D,'All Products'!L:L,FALSE)</f>
        <v>-</v>
      </c>
      <c r="S312" s="266">
        <f>_xlfn.XLOOKUP(E312,'All Products'!D:D,'All Products'!M:M,FALSE)</f>
        <v>40049081029003</v>
      </c>
      <c r="T312" s="264">
        <f>_xlfn.XLOOKUP(E312,'All Products'!D:D,'All Products'!N:N,FALSE)</f>
        <v>3.0369999999999999</v>
      </c>
      <c r="U312" s="264">
        <f>_xlfn.XLOOKUP(E312,'All Products'!D:D,'All Products'!P:P,FALSE)</f>
        <v>31.35</v>
      </c>
      <c r="V312" s="265">
        <f>_xlfn.XLOOKUP(E312,'All Products'!D:D,'All Products'!Q:Q,FALSE)</f>
        <v>2.65</v>
      </c>
    </row>
    <row r="313" spans="1:22" ht="14.4" customHeight="1">
      <c r="A313" s="101" t="str">
        <f>IF(K313&gt;0,COUNT($A$8:A312)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13" s="610"/>
      <c r="C313" s="611"/>
      <c r="D313" s="274" t="str">
        <f>_xlfn.XLOOKUP(E313,'All Products'!D:D,'All Products'!C:C,FALSE)</f>
        <v>3-A8-21-2-18</v>
      </c>
      <c r="E313" s="103">
        <v>100024536</v>
      </c>
      <c r="F313" s="144" t="str">
        <f>_xlfn.XLOOKUP(E313,'All Products'!D:D,'All Products'!E:E,FALSE)</f>
        <v>4 SPG X 1-1/2 ACME UU X 18LL SJ</v>
      </c>
      <c r="G313" s="103">
        <f>_xlfn.XLOOKUP(E313,'All Products'!D:D,'All Products'!F:F,FALSE)</f>
        <v>10</v>
      </c>
      <c r="H313" s="103">
        <f>_xlfn.XLOOKUP(E313,'All Products'!D:D,'All Products'!G:G,FALSE)</f>
        <v>240</v>
      </c>
      <c r="I313" s="140">
        <f>_xlfn.XLOOKUP(E313,'All Products'!D:D,'All Products'!H:H,FALSE)</f>
        <v>251.51</v>
      </c>
      <c r="J313" s="173">
        <f>ROUNDUP(I313*Order_Quote!$L$26,2)</f>
        <v>251.51</v>
      </c>
      <c r="K313" s="75"/>
      <c r="L313" s="113"/>
      <c r="M313" s="171">
        <f t="shared" si="6"/>
        <v>0</v>
      </c>
      <c r="O313" s="215" t="str">
        <f>_xlfn.XLOOKUP(E313,'All Products'!D:D,'All Products'!I:I,FALSE)</f>
        <v>Within 3 Weeks</v>
      </c>
      <c r="P313" s="215" t="str">
        <f>_xlfn.XLOOKUP(E313,'All Products'!D:D,'All Products'!J:J,FALSE)</f>
        <v>Manufactured</v>
      </c>
      <c r="Q313" s="266">
        <f>_xlfn.XLOOKUP(E313,'All Products'!D:D,'All Products'!K:K,FALSE)</f>
        <v>49081030650</v>
      </c>
      <c r="R313" s="266" t="str">
        <f>_xlfn.XLOOKUP(E313,'All Products'!D:D,'All Products'!L:L,FALSE)</f>
        <v>-</v>
      </c>
      <c r="S313" s="266">
        <f>_xlfn.XLOOKUP(E313,'All Products'!D:D,'All Products'!M:M,FALSE)</f>
        <v>40049081030658</v>
      </c>
      <c r="T313" s="264">
        <f>_xlfn.XLOOKUP(E313,'All Products'!D:D,'All Products'!N:N,FALSE)</f>
        <v>3.3519999999999999</v>
      </c>
      <c r="U313" s="264">
        <f>_xlfn.XLOOKUP(E313,'All Products'!D:D,'All Products'!P:P,FALSE)</f>
        <v>34.5</v>
      </c>
      <c r="V313" s="265">
        <f>_xlfn.XLOOKUP(E313,'All Products'!D:D,'All Products'!Q:Q,FALSE)</f>
        <v>2.77</v>
      </c>
    </row>
    <row r="314" spans="1:22" ht="14.4" customHeight="1">
      <c r="A314" s="101" t="str">
        <f>IF(K314&gt;0,COUNT($A$8:A313)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14" s="610"/>
      <c r="C314" s="611"/>
      <c r="D314" s="274" t="str">
        <f>_xlfn.XLOOKUP(E314,'All Products'!D:D,'All Products'!C:C,FALSE)</f>
        <v>3-A8-3-2-12</v>
      </c>
      <c r="E314" s="103">
        <v>100025037</v>
      </c>
      <c r="F314" s="144" t="str">
        <f>_xlfn.XLOOKUP(E314,'All Products'!D:D,'All Products'!E:E,FALSE)</f>
        <v>4 SPG X 1-1/2 MPT UU X 12 LL SJ</v>
      </c>
      <c r="G314" s="103">
        <f>_xlfn.XLOOKUP(E314,'All Products'!D:D,'All Products'!F:F,FALSE)</f>
        <v>10</v>
      </c>
      <c r="H314" s="103">
        <f>_xlfn.XLOOKUP(E314,'All Products'!D:D,'All Products'!G:G,FALSE)</f>
        <v>180</v>
      </c>
      <c r="I314" s="140">
        <f>_xlfn.XLOOKUP(E314,'All Products'!D:D,'All Products'!H:H,FALSE)</f>
        <v>240.47</v>
      </c>
      <c r="J314" s="173">
        <f>ROUNDUP(I314*Order_Quote!$L$26,2)</f>
        <v>240.47</v>
      </c>
      <c r="K314" s="75"/>
      <c r="L314" s="113"/>
      <c r="M314" s="171">
        <f t="shared" si="6"/>
        <v>0</v>
      </c>
      <c r="O314" s="215" t="str">
        <f>_xlfn.XLOOKUP(E314,'All Products'!D:D,'All Products'!I:I,FALSE)</f>
        <v>Within 3 Weeks</v>
      </c>
      <c r="P314" s="215" t="str">
        <f>_xlfn.XLOOKUP(E314,'All Products'!D:D,'All Products'!J:J,FALSE)</f>
        <v>Manufactured</v>
      </c>
      <c r="Q314" s="266">
        <f>_xlfn.XLOOKUP(E314,'All Products'!D:D,'All Products'!K:K,FALSE)</f>
        <v>49081029036</v>
      </c>
      <c r="R314" s="266" t="str">
        <f>_xlfn.XLOOKUP(E314,'All Products'!D:D,'All Products'!L:L,FALSE)</f>
        <v>-</v>
      </c>
      <c r="S314" s="266">
        <f>_xlfn.XLOOKUP(E314,'All Products'!D:D,'All Products'!M:M,FALSE)</f>
        <v>40049081029034</v>
      </c>
      <c r="T314" s="264">
        <f>_xlfn.XLOOKUP(E314,'All Products'!D:D,'All Products'!N:N,FALSE)</f>
        <v>2.9820000000000002</v>
      </c>
      <c r="U314" s="264">
        <f>_xlfn.XLOOKUP(E314,'All Products'!D:D,'All Products'!P:P,FALSE)</f>
        <v>22</v>
      </c>
      <c r="V314" s="265">
        <f>_xlfn.XLOOKUP(E314,'All Products'!D:D,'All Products'!Q:Q,FALSE)</f>
        <v>2.65</v>
      </c>
    </row>
    <row r="315" spans="1:22" ht="14.4" customHeight="1">
      <c r="A315" s="101" t="str">
        <f>IF(K315&gt;0,COUNT($A$8:A314)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15" s="610"/>
      <c r="C315" s="611"/>
      <c r="D315" s="274" t="str">
        <f>_xlfn.XLOOKUP(E315,'All Products'!D:D,'All Products'!C:C,FALSE)</f>
        <v>3-A8-3-2-18</v>
      </c>
      <c r="E315" s="103">
        <v>100024542</v>
      </c>
      <c r="F315" s="144" t="str">
        <f>_xlfn.XLOOKUP(E315,'All Products'!D:D,'All Products'!E:E,FALSE)</f>
        <v>4 SPG X 1-1/2 MPT UU X 18LL SJ</v>
      </c>
      <c r="G315" s="103">
        <f>_xlfn.XLOOKUP(E315,'All Products'!D:D,'All Products'!F:F,FALSE)</f>
        <v>10</v>
      </c>
      <c r="H315" s="103">
        <f>_xlfn.XLOOKUP(E315,'All Products'!D:D,'All Products'!G:G,FALSE)</f>
        <v>240</v>
      </c>
      <c r="I315" s="140">
        <f>_xlfn.XLOOKUP(E315,'All Products'!D:D,'All Products'!H:H,FALSE)</f>
        <v>251.51</v>
      </c>
      <c r="J315" s="173">
        <f>ROUNDUP(I315*Order_Quote!$L$26,2)</f>
        <v>251.51</v>
      </c>
      <c r="K315" s="75"/>
      <c r="L315" s="113"/>
      <c r="M315" s="171">
        <f t="shared" si="6"/>
        <v>0</v>
      </c>
      <c r="O315" s="215" t="str">
        <f>_xlfn.XLOOKUP(E315,'All Products'!D:D,'All Products'!I:I,FALSE)</f>
        <v>Within 3 Weeks</v>
      </c>
      <c r="P315" s="215" t="str">
        <f>_xlfn.XLOOKUP(E315,'All Products'!D:D,'All Products'!J:J,FALSE)</f>
        <v>Manufactured</v>
      </c>
      <c r="Q315" s="266">
        <f>_xlfn.XLOOKUP(E315,'All Products'!D:D,'All Products'!K:K,FALSE)</f>
        <v>49081029678</v>
      </c>
      <c r="R315" s="266" t="str">
        <f>_xlfn.XLOOKUP(E315,'All Products'!D:D,'All Products'!L:L,FALSE)</f>
        <v>-</v>
      </c>
      <c r="S315" s="266">
        <f>_xlfn.XLOOKUP(E315,'All Products'!D:D,'All Products'!M:M,FALSE)</f>
        <v>40049081029676</v>
      </c>
      <c r="T315" s="264">
        <f>_xlfn.XLOOKUP(E315,'All Products'!D:D,'All Products'!N:N,FALSE)</f>
        <v>3.2970000000000002</v>
      </c>
      <c r="U315" s="264">
        <f>_xlfn.XLOOKUP(E315,'All Products'!D:D,'All Products'!P:P,FALSE)</f>
        <v>35</v>
      </c>
      <c r="V315" s="265">
        <f>_xlfn.XLOOKUP(E315,'All Products'!D:D,'All Products'!Q:Q,FALSE)</f>
        <v>2.77</v>
      </c>
    </row>
    <row r="316" spans="1:22" ht="14.4" customHeight="1">
      <c r="A316" s="101" t="str">
        <f>IF(K316&gt;0,COUNT($A$8:A315)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16" s="610"/>
      <c r="C316" s="611"/>
      <c r="D316" s="274" t="str">
        <f>_xlfn.XLOOKUP(E316,'All Products'!D:D,'All Products'!C:C,FALSE)</f>
        <v>3-B1-21-2-12</v>
      </c>
      <c r="E316" s="103">
        <v>100025057</v>
      </c>
      <c r="F316" s="144" t="str">
        <f>_xlfn.XLOOKUP(E316,'All Products'!D:D,'All Products'!E:E,FALSE)</f>
        <v>1-1/2 BSPT X 1-1/2 ACME UU X 12 SJ</v>
      </c>
      <c r="G316" s="103">
        <f>_xlfn.XLOOKUP(E316,'All Products'!D:D,'All Products'!F:F,FALSE)</f>
        <v>10</v>
      </c>
      <c r="H316" s="103">
        <f>_xlfn.XLOOKUP(E316,'All Products'!D:D,'All Products'!G:G,FALSE)</f>
        <v>180</v>
      </c>
      <c r="I316" s="140">
        <f>_xlfn.XLOOKUP(E316,'All Products'!D:D,'All Products'!H:H,FALSE)</f>
        <v>240.47</v>
      </c>
      <c r="J316" s="173">
        <f>ROUNDUP(I316*Order_Quote!$L$26,2)</f>
        <v>240.47</v>
      </c>
      <c r="K316" s="75"/>
      <c r="L316" s="113"/>
      <c r="M316" s="171">
        <f t="shared" si="6"/>
        <v>0</v>
      </c>
      <c r="O316" s="215" t="str">
        <f>_xlfn.XLOOKUP(E316,'All Products'!D:D,'All Products'!I:I,FALSE)</f>
        <v>Within 3 Weeks</v>
      </c>
      <c r="P316" s="215" t="str">
        <f>_xlfn.XLOOKUP(E316,'All Products'!D:D,'All Products'!J:J,FALSE)</f>
        <v>Manufactured</v>
      </c>
      <c r="Q316" s="266">
        <f>_xlfn.XLOOKUP(E316,'All Products'!D:D,'All Products'!K:K,FALSE)</f>
        <v>49081021900</v>
      </c>
      <c r="R316" s="266" t="str">
        <f>_xlfn.XLOOKUP(E316,'All Products'!D:D,'All Products'!L:L,FALSE)</f>
        <v>-</v>
      </c>
      <c r="S316" s="266">
        <f>_xlfn.XLOOKUP(E316,'All Products'!D:D,'All Products'!M:M,FALSE)</f>
        <v>40049081021908</v>
      </c>
      <c r="T316" s="264">
        <f>_xlfn.XLOOKUP(E316,'All Products'!D:D,'All Products'!N:N,FALSE)</f>
        <v>2.9</v>
      </c>
      <c r="U316" s="264">
        <f>_xlfn.XLOOKUP(E316,'All Products'!D:D,'All Products'!P:P,FALSE)</f>
        <v>30.15</v>
      </c>
      <c r="V316" s="265">
        <f>_xlfn.XLOOKUP(E316,'All Products'!D:D,'All Products'!Q:Q,FALSE)</f>
        <v>2.65</v>
      </c>
    </row>
    <row r="317" spans="1:22" ht="14.4" customHeight="1">
      <c r="A317" s="101" t="str">
        <f>IF(K317&gt;0,COUNT($A$8:A316)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17" s="610"/>
      <c r="C317" s="611"/>
      <c r="D317" s="274" t="str">
        <f>_xlfn.XLOOKUP(E317,'All Products'!D:D,'All Products'!C:C,FALSE)</f>
        <v>3-B1-21-2-18</v>
      </c>
      <c r="E317" s="103">
        <v>100024572</v>
      </c>
      <c r="F317" s="144" t="str">
        <f>_xlfn.XLOOKUP(E317,'All Products'!D:D,'All Products'!E:E,FALSE)</f>
        <v>1-1/2 BSPT X 1-1/2 ACME UU X 18 SJ</v>
      </c>
      <c r="G317" s="103">
        <f>_xlfn.XLOOKUP(E317,'All Products'!D:D,'All Products'!F:F,FALSE)</f>
        <v>10</v>
      </c>
      <c r="H317" s="103">
        <f>_xlfn.XLOOKUP(E317,'All Products'!D:D,'All Products'!G:G,FALSE)</f>
        <v>240</v>
      </c>
      <c r="I317" s="140">
        <f>_xlfn.XLOOKUP(E317,'All Products'!D:D,'All Products'!H:H,FALSE)</f>
        <v>251.51</v>
      </c>
      <c r="J317" s="173">
        <f>ROUNDUP(I317*Order_Quote!$L$26,2)</f>
        <v>251.51</v>
      </c>
      <c r="K317" s="75"/>
      <c r="L317" s="113"/>
      <c r="M317" s="171">
        <f t="shared" si="6"/>
        <v>0</v>
      </c>
      <c r="O317" s="215" t="str">
        <f>_xlfn.XLOOKUP(E317,'All Products'!D:D,'All Products'!I:I,FALSE)</f>
        <v>Within 3 Weeks</v>
      </c>
      <c r="P317" s="215" t="str">
        <f>_xlfn.XLOOKUP(E317,'All Products'!D:D,'All Products'!J:J,FALSE)</f>
        <v>Manufactured</v>
      </c>
      <c r="Q317" s="266">
        <f>_xlfn.XLOOKUP(E317,'All Products'!D:D,'All Products'!K:K,FALSE)</f>
        <v>49081031107</v>
      </c>
      <c r="R317" s="266" t="str">
        <f>_xlfn.XLOOKUP(E317,'All Products'!D:D,'All Products'!L:L,FALSE)</f>
        <v>-</v>
      </c>
      <c r="S317" s="266">
        <f>_xlfn.XLOOKUP(E317,'All Products'!D:D,'All Products'!M:M,FALSE)</f>
        <v>40049081031105</v>
      </c>
      <c r="T317" s="264">
        <f>_xlfn.XLOOKUP(E317,'All Products'!D:D,'All Products'!N:N,FALSE)</f>
        <v>3.2149999999999999</v>
      </c>
      <c r="U317" s="264">
        <f>_xlfn.XLOOKUP(E317,'All Products'!D:D,'All Products'!P:P,FALSE)</f>
        <v>33.799999999999997</v>
      </c>
      <c r="V317" s="265">
        <f>_xlfn.XLOOKUP(E317,'All Products'!D:D,'All Products'!Q:Q,FALSE)</f>
        <v>2.77</v>
      </c>
    </row>
    <row r="318" spans="1:22" ht="14.4" customHeight="1">
      <c r="A318" s="101" t="str">
        <f>IF(K318&gt;0,COUNT($A$8:A317)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18" s="610"/>
      <c r="C318" s="611"/>
      <c r="D318" s="274" t="str">
        <f>_xlfn.XLOOKUP(E318,'All Products'!D:D,'All Products'!C:C,FALSE)</f>
        <v>3-B1-22-2-12</v>
      </c>
      <c r="E318" s="103">
        <v>100025062</v>
      </c>
      <c r="F318" s="144" t="str">
        <f>_xlfn.XLOOKUP(E318,'All Products'!D:D,'All Products'!E:E,FALSE)</f>
        <v>1-1/2 BSP X 1-1/2 BSP UU X 12 SJ</v>
      </c>
      <c r="G318" s="103">
        <f>_xlfn.XLOOKUP(E318,'All Products'!D:D,'All Products'!F:F,FALSE)</f>
        <v>10</v>
      </c>
      <c r="H318" s="103">
        <f>_xlfn.XLOOKUP(E318,'All Products'!D:D,'All Products'!G:G,FALSE)</f>
        <v>180</v>
      </c>
      <c r="I318" s="140">
        <f>_xlfn.XLOOKUP(E318,'All Products'!D:D,'All Products'!H:H,FALSE)</f>
        <v>240.47</v>
      </c>
      <c r="J318" s="173">
        <f>ROUNDUP(I318*Order_Quote!$L$26,2)</f>
        <v>240.47</v>
      </c>
      <c r="K318" s="75"/>
      <c r="L318" s="113"/>
      <c r="M318" s="171">
        <f t="shared" si="6"/>
        <v>0</v>
      </c>
      <c r="O318" s="215" t="str">
        <f>_xlfn.XLOOKUP(E318,'All Products'!D:D,'All Products'!I:I,FALSE)</f>
        <v>In Stock</v>
      </c>
      <c r="P318" s="215" t="str">
        <f>_xlfn.XLOOKUP(E318,'All Products'!D:D,'All Products'!J:J,FALSE)</f>
        <v>Manufactured</v>
      </c>
      <c r="Q318" s="266">
        <f>_xlfn.XLOOKUP(E318,'All Products'!D:D,'All Products'!K:K,FALSE)</f>
        <v>49081021979</v>
      </c>
      <c r="R318" s="266" t="str">
        <f>_xlfn.XLOOKUP(E318,'All Products'!D:D,'All Products'!L:L,FALSE)</f>
        <v>-</v>
      </c>
      <c r="S318" s="266">
        <f>_xlfn.XLOOKUP(E318,'All Products'!D:D,'All Products'!M:M,FALSE)</f>
        <v>40049081021977</v>
      </c>
      <c r="T318" s="264">
        <f>_xlfn.XLOOKUP(E318,'All Products'!D:D,'All Products'!N:N,FALSE)</f>
        <v>2.85</v>
      </c>
      <c r="U318" s="264">
        <f>_xlfn.XLOOKUP(E318,'All Products'!D:D,'All Products'!P:P,FALSE)</f>
        <v>30.2</v>
      </c>
      <c r="V318" s="265">
        <f>_xlfn.XLOOKUP(E318,'All Products'!D:D,'All Products'!Q:Q,FALSE)</f>
        <v>2.65</v>
      </c>
    </row>
    <row r="319" spans="1:22" ht="14.4" customHeight="1">
      <c r="A319" s="101" t="str">
        <f>IF(K319&gt;0,COUNT($A$8:A318)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19" s="610"/>
      <c r="C319" s="611"/>
      <c r="D319" s="274" t="str">
        <f>_xlfn.XLOOKUP(E319,'All Products'!D:D,'All Products'!C:C,FALSE)</f>
        <v>3-B1-22-2-18</v>
      </c>
      <c r="E319" s="103">
        <v>100024580</v>
      </c>
      <c r="F319" s="144" t="str">
        <f>_xlfn.XLOOKUP(E319,'All Products'!D:D,'All Products'!E:E,FALSE)</f>
        <v>1-1/2 BSP X 1-1/2 BSP UU X 18 SJ</v>
      </c>
      <c r="G319" s="103">
        <f>_xlfn.XLOOKUP(E319,'All Products'!D:D,'All Products'!F:F,FALSE)</f>
        <v>10</v>
      </c>
      <c r="H319" s="103" t="str">
        <f>_xlfn.XLOOKUP(E319,'All Products'!D:D,'All Products'!G:G,FALSE)</f>
        <v>-</v>
      </c>
      <c r="I319" s="140">
        <f>_xlfn.XLOOKUP(E319,'All Products'!D:D,'All Products'!H:H,FALSE)</f>
        <v>251.51</v>
      </c>
      <c r="J319" s="173">
        <f>ROUNDUP(I319*Order_Quote!$L$26,2)</f>
        <v>251.51</v>
      </c>
      <c r="K319" s="75"/>
      <c r="L319" s="113"/>
      <c r="M319" s="171">
        <f t="shared" si="6"/>
        <v>0</v>
      </c>
      <c r="O319" s="215" t="str">
        <f>_xlfn.XLOOKUP(E319,'All Products'!D:D,'All Products'!I:I,FALSE)</f>
        <v>Within 3 Weeks</v>
      </c>
      <c r="P319" s="215" t="str">
        <f>_xlfn.XLOOKUP(E319,'All Products'!D:D,'All Products'!J:J,FALSE)</f>
        <v>Manufactured</v>
      </c>
      <c r="Q319" s="266">
        <f>_xlfn.XLOOKUP(E319,'All Products'!D:D,'All Products'!K:K,FALSE)</f>
        <v>49081029241</v>
      </c>
      <c r="R319" s="266" t="str">
        <f>_xlfn.XLOOKUP(E319,'All Products'!D:D,'All Products'!L:L,FALSE)</f>
        <v>-</v>
      </c>
      <c r="S319" s="266">
        <f>_xlfn.XLOOKUP(E319,'All Products'!D:D,'All Products'!M:M,FALSE)</f>
        <v>40049081029249</v>
      </c>
      <c r="T319" s="264">
        <f>_xlfn.XLOOKUP(E319,'All Products'!D:D,'All Products'!N:N,FALSE)</f>
        <v>3.1320000000000001</v>
      </c>
      <c r="U319" s="264" t="str">
        <f>_xlfn.XLOOKUP(E319,'All Products'!D:D,'All Products'!P:P,FALSE)</f>
        <v>-</v>
      </c>
      <c r="V319" s="265" t="str">
        <f>_xlfn.XLOOKUP(E319,'All Products'!D:D,'All Products'!Q:Q,FALSE)</f>
        <v>-</v>
      </c>
    </row>
    <row r="320" spans="1:22" ht="14.4" customHeight="1" thickBot="1">
      <c r="A320" s="101" t="str">
        <f>IF(K320&gt;0,COUNT($A$8:A319)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20" s="715"/>
      <c r="C320" s="697"/>
      <c r="D320" s="274" t="str">
        <f>_xlfn.XLOOKUP(E320,'All Products'!D:D,'All Products'!C:C,FALSE)</f>
        <v>3-J6-21-2-12</v>
      </c>
      <c r="E320" s="103">
        <v>100024605</v>
      </c>
      <c r="F320" s="144" t="str">
        <f>_xlfn.XLOOKUP(E320,'All Products'!D:D,'All Products'!E:E,FALSE)</f>
        <v>40MM SOC X 1-1/2 ACME UU X 12 SJ</v>
      </c>
      <c r="G320" s="103">
        <f>_xlfn.XLOOKUP(E320,'All Products'!D:D,'All Products'!F:F,FALSE)</f>
        <v>10</v>
      </c>
      <c r="H320" s="103">
        <f>_xlfn.XLOOKUP(E320,'All Products'!D:D,'All Products'!G:G,FALSE)</f>
        <v>180</v>
      </c>
      <c r="I320" s="140">
        <f>_xlfn.XLOOKUP(E320,'All Products'!D:D,'All Products'!H:H,FALSE)</f>
        <v>240.47</v>
      </c>
      <c r="J320" s="173">
        <f>ROUNDUP(I320*Order_Quote!$L$26,2)</f>
        <v>240.47</v>
      </c>
      <c r="K320" s="75"/>
      <c r="L320" s="113"/>
      <c r="M320" s="171">
        <f t="shared" si="6"/>
        <v>0</v>
      </c>
      <c r="O320" s="567" t="str">
        <f>_xlfn.XLOOKUP(E320,'All Products'!D:D,'All Products'!I:I,FALSE)</f>
        <v>Within 3 Weeks</v>
      </c>
      <c r="P320" s="567" t="str">
        <f>_xlfn.XLOOKUP(E320,'All Products'!D:D,'All Products'!J:J,FALSE)</f>
        <v>Manufactured</v>
      </c>
      <c r="Q320" s="569">
        <f>_xlfn.XLOOKUP(E320,'All Products'!D:D,'All Products'!K:K,FALSE)</f>
        <v>49081030742</v>
      </c>
      <c r="R320" s="569" t="str">
        <f>_xlfn.XLOOKUP(E320,'All Products'!D:D,'All Products'!L:L,FALSE)</f>
        <v>-</v>
      </c>
      <c r="S320" s="569">
        <f>_xlfn.XLOOKUP(E320,'All Products'!D:D,'All Products'!M:M,FALSE)</f>
        <v>40049081030740</v>
      </c>
      <c r="T320" s="583">
        <f>_xlfn.XLOOKUP(E320,'All Products'!D:D,'All Products'!N:N,FALSE)</f>
        <v>2.9569999999999999</v>
      </c>
      <c r="U320" s="583">
        <f>_xlfn.XLOOKUP(E320,'All Products'!D:D,'All Products'!P:P,FALSE)</f>
        <v>30.55</v>
      </c>
      <c r="V320" s="570">
        <f>_xlfn.XLOOKUP(E320,'All Products'!D:D,'All Products'!Q:Q,FALSE)</f>
        <v>2.65</v>
      </c>
    </row>
    <row r="321" spans="1:22" ht="16.2" thickBot="1">
      <c r="A321" s="101" t="str">
        <f>IF(K321&gt;0,COUNT($A$8:A320)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21" s="446" t="s">
        <v>3043</v>
      </c>
      <c r="C321" s="151"/>
      <c r="D321" s="151"/>
      <c r="E321" s="459"/>
      <c r="F321" s="151"/>
      <c r="G321" s="468"/>
      <c r="H321" s="151"/>
      <c r="I321" s="472"/>
      <c r="J321" s="468"/>
      <c r="K321" s="566"/>
      <c r="M321" s="545"/>
      <c r="O321" s="357"/>
      <c r="P321" s="145"/>
      <c r="Q321" s="493"/>
      <c r="R321" s="493"/>
      <c r="S321" s="493"/>
      <c r="T321" s="479"/>
      <c r="U321" s="459"/>
      <c r="V321" s="582"/>
    </row>
    <row r="322" spans="1:22" ht="14.4" customHeight="1">
      <c r="A322" s="101" t="str">
        <f>IF(K322&gt;0,COUNT($A$8:A321)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22" s="682"/>
      <c r="C322" s="683"/>
      <c r="D322" s="274" t="str">
        <f>_xlfn.XLOOKUP(E322,'All Products'!D:D,'All Products'!C:C,FALSE)</f>
        <v>E005-0</v>
      </c>
      <c r="E322" s="103">
        <v>100024608</v>
      </c>
      <c r="F322" s="144" t="str">
        <f>_xlfn.XLOOKUP(E322,'All Products'!D:D,'All Products'!E:E,FALSE)</f>
        <v>1/2 SPG X 1/2 FPT X 2-1/4 LL SJ</v>
      </c>
      <c r="G322" s="103">
        <f>_xlfn.XLOOKUP(E322,'All Products'!D:D,'All Products'!F:F,FALSE)</f>
        <v>1</v>
      </c>
      <c r="H322" s="103" t="str">
        <f>_xlfn.XLOOKUP(E322,'All Products'!D:D,'All Products'!G:G,FALSE)</f>
        <v>-</v>
      </c>
      <c r="I322" s="140">
        <f>_xlfn.XLOOKUP(E322,'All Products'!D:D,'All Products'!H:H,FALSE)</f>
        <v>49.13</v>
      </c>
      <c r="J322" s="173">
        <f>ROUNDUP(I322*Order_Quote!$L$26,2)</f>
        <v>49.13</v>
      </c>
      <c r="K322" s="75"/>
      <c r="L322" s="113"/>
      <c r="M322" s="171">
        <f t="shared" ref="M322:M338" si="7">K322/G322</f>
        <v>0</v>
      </c>
      <c r="O322" s="215" t="str">
        <f>_xlfn.XLOOKUP(E322,'All Products'!D:D,'All Products'!I:I,FALSE)</f>
        <v>Within 3 Weeks</v>
      </c>
      <c r="P322" s="215" t="str">
        <f>_xlfn.XLOOKUP(E322,'All Products'!D:D,'All Products'!J:J,FALSE)</f>
        <v>Manufactured</v>
      </c>
      <c r="Q322" s="266">
        <f>_xlfn.XLOOKUP(E322,'All Products'!D:D,'All Products'!K:K,FALSE)</f>
        <v>49081232603</v>
      </c>
      <c r="R322" s="266" t="str">
        <f>_xlfn.XLOOKUP(E322,'All Products'!D:D,'All Products'!L:L,FALSE)</f>
        <v>-</v>
      </c>
      <c r="S322" s="266">
        <f>_xlfn.XLOOKUP(E322,'All Products'!D:D,'All Products'!M:M,FALSE)</f>
        <v>40049081232601</v>
      </c>
      <c r="T322" s="264">
        <f>_xlfn.XLOOKUP(E322,'All Products'!D:D,'All Products'!N:N,FALSE)</f>
        <v>0.255</v>
      </c>
      <c r="U322" s="264">
        <f>_xlfn.XLOOKUP(E322,'All Products'!D:D,'All Products'!P:P,FALSE)</f>
        <v>0.255</v>
      </c>
      <c r="V322" s="265" t="str">
        <f>_xlfn.XLOOKUP(E322,'All Products'!D:D,'All Products'!Q:Q,FALSE)</f>
        <v>-</v>
      </c>
    </row>
    <row r="323" spans="1:22" ht="14.4" customHeight="1">
      <c r="A323" s="101" t="str">
        <f>IF(K323&gt;0,COUNT($A$8:A322)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23" s="610"/>
      <c r="C323" s="611"/>
      <c r="D323" s="274" t="str">
        <f>_xlfn.XLOOKUP(E323,'All Products'!D:D,'All Products'!C:C,FALSE)</f>
        <v>E005-10</v>
      </c>
      <c r="E323" s="153">
        <v>100024609</v>
      </c>
      <c r="F323" s="144" t="str">
        <f>_xlfn.XLOOKUP(E323,'All Products'!D:D,'All Products'!E:E,FALSE)</f>
        <v>1/2 SPG X 1/2 MPT X 10-3/4 LL SJ</v>
      </c>
      <c r="G323" s="103">
        <f>_xlfn.XLOOKUP(E323,'All Products'!D:D,'All Products'!F:F,FALSE)</f>
        <v>25</v>
      </c>
      <c r="H323" s="103">
        <f>_xlfn.XLOOKUP(E323,'All Products'!D:D,'All Products'!G:G,FALSE)</f>
        <v>2250</v>
      </c>
      <c r="I323" s="140">
        <f>_xlfn.XLOOKUP(E323,'All Products'!D:D,'All Products'!H:H,FALSE)</f>
        <v>58.63</v>
      </c>
      <c r="J323" s="255">
        <f>ROUNDUP(I323*Order_Quote!$L$26,2)</f>
        <v>58.63</v>
      </c>
      <c r="K323" s="161"/>
      <c r="L323" s="113"/>
      <c r="M323" s="243">
        <f t="shared" si="7"/>
        <v>0</v>
      </c>
      <c r="O323" s="215" t="str">
        <f>_xlfn.XLOOKUP(E323,'All Products'!D:D,'All Products'!I:I,FALSE)</f>
        <v>Within 3 Weeks</v>
      </c>
      <c r="P323" s="215" t="str">
        <f>_xlfn.XLOOKUP(E323,'All Products'!D:D,'All Products'!J:J,FALSE)</f>
        <v>Manufactured</v>
      </c>
      <c r="Q323" s="266">
        <f>_xlfn.XLOOKUP(E323,'All Products'!D:D,'All Products'!K:K,FALSE)</f>
        <v>49081232412</v>
      </c>
      <c r="R323" s="266" t="str">
        <f>_xlfn.XLOOKUP(E323,'All Products'!D:D,'All Products'!L:L,FALSE)</f>
        <v>-</v>
      </c>
      <c r="S323" s="266">
        <f>_xlfn.XLOOKUP(E323,'All Products'!D:D,'All Products'!M:M,FALSE)</f>
        <v>40049081232410</v>
      </c>
      <c r="T323" s="264">
        <f>_xlfn.XLOOKUP(E323,'All Products'!D:D,'All Products'!N:N,FALSE)</f>
        <v>0.41899999999999998</v>
      </c>
      <c r="U323" s="264">
        <f>_xlfn.XLOOKUP(E323,'All Products'!D:D,'All Products'!P:P,FALSE)</f>
        <v>11.24</v>
      </c>
      <c r="V323" s="265">
        <f>_xlfn.XLOOKUP(E323,'All Products'!D:D,'All Products'!Q:Q,FALSE)</f>
        <v>0.8</v>
      </c>
    </row>
    <row r="324" spans="1:22" ht="14.4" customHeight="1">
      <c r="A324" s="101" t="str">
        <f>IF(K324&gt;0,COUNT($A$8:A323)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24" s="610"/>
      <c r="C324" s="611"/>
      <c r="D324" s="274" t="str">
        <f>_xlfn.XLOOKUP(E324,'All Products'!D:D,'All Products'!C:C,FALSE)</f>
        <v>E005-12</v>
      </c>
      <c r="E324" s="153">
        <v>100025064</v>
      </c>
      <c r="F324" s="144" t="str">
        <f>_xlfn.XLOOKUP(E324,'All Products'!D:D,'All Products'!E:E,FALSE)</f>
        <v>1/2 SPG X 1/2 MPT X 12-3/4 LL SJ</v>
      </c>
      <c r="G324" s="103">
        <f>_xlfn.XLOOKUP(E324,'All Products'!D:D,'All Products'!F:F,FALSE)</f>
        <v>25</v>
      </c>
      <c r="H324" s="103">
        <f>_xlfn.XLOOKUP(E324,'All Products'!D:D,'All Products'!G:G,FALSE)</f>
        <v>1875</v>
      </c>
      <c r="I324" s="140">
        <f>_xlfn.XLOOKUP(E324,'All Products'!D:D,'All Products'!H:H,FALSE)</f>
        <v>60.52</v>
      </c>
      <c r="J324" s="255">
        <f>ROUNDUP(I324*Order_Quote!$L$26,2)</f>
        <v>60.52</v>
      </c>
      <c r="K324" s="161"/>
      <c r="L324" s="113"/>
      <c r="M324" s="243">
        <f t="shared" si="7"/>
        <v>0</v>
      </c>
      <c r="O324" s="215" t="str">
        <f>_xlfn.XLOOKUP(E324,'All Products'!D:D,'All Products'!I:I,FALSE)</f>
        <v>Within 3 Weeks</v>
      </c>
      <c r="P324" s="215" t="str">
        <f>_xlfn.XLOOKUP(E324,'All Products'!D:D,'All Products'!J:J,FALSE)</f>
        <v>Manufactured</v>
      </c>
      <c r="Q324" s="266">
        <f>_xlfn.XLOOKUP(E324,'All Products'!D:D,'All Products'!K:K,FALSE)</f>
        <v>49081232429</v>
      </c>
      <c r="R324" s="266" t="str">
        <f>_xlfn.XLOOKUP(E324,'All Products'!D:D,'All Products'!L:L,FALSE)</f>
        <v>-</v>
      </c>
      <c r="S324" s="266">
        <f>_xlfn.XLOOKUP(E324,'All Products'!D:D,'All Products'!M:M,FALSE)</f>
        <v>40049081232427</v>
      </c>
      <c r="T324" s="264">
        <f>_xlfn.XLOOKUP(E324,'All Products'!D:D,'All Products'!N:N,FALSE)</f>
        <v>0.438</v>
      </c>
      <c r="U324" s="264">
        <f>_xlfn.XLOOKUP(E324,'All Products'!D:D,'All Products'!P:P,FALSE)</f>
        <v>12.02</v>
      </c>
      <c r="V324" s="265">
        <f>_xlfn.XLOOKUP(E324,'All Products'!D:D,'All Products'!Q:Q,FALSE)</f>
        <v>0.95</v>
      </c>
    </row>
    <row r="325" spans="1:22" ht="14.4" customHeight="1">
      <c r="A325" s="101" t="str">
        <f>IF(K325&gt;0,COUNT($A$8:A324)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25" s="610"/>
      <c r="C325" s="611"/>
      <c r="D325" s="274" t="str">
        <f>_xlfn.XLOOKUP(E325,'All Products'!D:D,'All Products'!C:C,FALSE)</f>
        <v>E005-4</v>
      </c>
      <c r="E325" s="153">
        <v>100024610</v>
      </c>
      <c r="F325" s="144" t="str">
        <f>_xlfn.XLOOKUP(E325,'All Products'!D:D,'All Products'!E:E,FALSE)</f>
        <v>1/2 SPG X 1/2 MPT X 4-3/4 LL SJ</v>
      </c>
      <c r="G325" s="103">
        <f>_xlfn.XLOOKUP(E325,'All Products'!D:D,'All Products'!F:F,FALSE)</f>
        <v>25</v>
      </c>
      <c r="H325" s="103">
        <f>_xlfn.XLOOKUP(E325,'All Products'!D:D,'All Products'!G:G,FALSE)</f>
        <v>3750</v>
      </c>
      <c r="I325" s="140">
        <f>_xlfn.XLOOKUP(E325,'All Products'!D:D,'All Products'!H:H,FALSE)</f>
        <v>53.17</v>
      </c>
      <c r="J325" s="255">
        <f>ROUNDUP(I325*Order_Quote!$L$26,2)</f>
        <v>53.17</v>
      </c>
      <c r="K325" s="161"/>
      <c r="L325" s="113"/>
      <c r="M325" s="243">
        <f t="shared" si="7"/>
        <v>0</v>
      </c>
      <c r="O325" s="215" t="str">
        <f>_xlfn.XLOOKUP(E325,'All Products'!D:D,'All Products'!I:I,FALSE)</f>
        <v>Within 3 Weeks</v>
      </c>
      <c r="P325" s="215" t="str">
        <f>_xlfn.XLOOKUP(E325,'All Products'!D:D,'All Products'!J:J,FALSE)</f>
        <v>Manufactured</v>
      </c>
      <c r="Q325" s="266">
        <f>_xlfn.XLOOKUP(E325,'All Products'!D:D,'All Products'!K:K,FALSE)</f>
        <v>49081232405</v>
      </c>
      <c r="R325" s="266" t="str">
        <f>_xlfn.XLOOKUP(E325,'All Products'!D:D,'All Products'!L:L,FALSE)</f>
        <v>-</v>
      </c>
      <c r="S325" s="266">
        <f>_xlfn.XLOOKUP(E325,'All Products'!D:D,'All Products'!M:M,FALSE)</f>
        <v>40049081232403</v>
      </c>
      <c r="T325" s="264">
        <f>_xlfn.XLOOKUP(E325,'All Products'!D:D,'All Products'!N:N,FALSE)</f>
        <v>0.313</v>
      </c>
      <c r="U325" s="264">
        <f>_xlfn.XLOOKUP(E325,'All Products'!D:D,'All Products'!P:P,FALSE)</f>
        <v>3.65</v>
      </c>
      <c r="V325" s="265">
        <f>_xlfn.XLOOKUP(E325,'All Products'!D:D,'All Products'!Q:Q,FALSE)</f>
        <v>0.5</v>
      </c>
    </row>
    <row r="326" spans="1:22" ht="14.4" customHeight="1">
      <c r="A326" s="101" t="str">
        <f>IF(K326&gt;0,COUNT($A$8:A325)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26" s="610"/>
      <c r="C326" s="611"/>
      <c r="D326" s="274" t="str">
        <f>_xlfn.XLOOKUP(E326,'All Products'!D:D,'All Products'!C:C,FALSE)</f>
        <v>E006-10</v>
      </c>
      <c r="E326" s="153">
        <v>100025065</v>
      </c>
      <c r="F326" s="144" t="str">
        <f>_xlfn.XLOOKUP(E326,'All Products'!D:D,'All Products'!E:E,FALSE)</f>
        <v>1/2 MPT X 1/2 MPT X 10-3/4 LL SJ</v>
      </c>
      <c r="G326" s="103">
        <f>_xlfn.XLOOKUP(E326,'All Products'!D:D,'All Products'!F:F,FALSE)</f>
        <v>25</v>
      </c>
      <c r="H326" s="103">
        <f>_xlfn.XLOOKUP(E326,'All Products'!D:D,'All Products'!G:G,FALSE)</f>
        <v>2250</v>
      </c>
      <c r="I326" s="140">
        <f>_xlfn.XLOOKUP(E326,'All Products'!D:D,'All Products'!H:H,FALSE)</f>
        <v>58.63</v>
      </c>
      <c r="J326" s="255">
        <f>ROUNDUP(I326*Order_Quote!$L$26,2)</f>
        <v>58.63</v>
      </c>
      <c r="K326" s="161"/>
      <c r="L326" s="113"/>
      <c r="M326" s="243">
        <f t="shared" si="7"/>
        <v>0</v>
      </c>
      <c r="O326" s="215" t="str">
        <f>_xlfn.XLOOKUP(E326,'All Products'!D:D,'All Products'!I:I,FALSE)</f>
        <v>Within 3 Weeks</v>
      </c>
      <c r="P326" s="215" t="str">
        <f>_xlfn.XLOOKUP(E326,'All Products'!D:D,'All Products'!J:J,FALSE)</f>
        <v>Manufactured</v>
      </c>
      <c r="Q326" s="266">
        <f>_xlfn.XLOOKUP(E326,'All Products'!D:D,'All Products'!K:K,FALSE)</f>
        <v>49081232023</v>
      </c>
      <c r="R326" s="266" t="str">
        <f>_xlfn.XLOOKUP(E326,'All Products'!D:D,'All Products'!L:L,FALSE)</f>
        <v>-</v>
      </c>
      <c r="S326" s="266">
        <f>_xlfn.XLOOKUP(E326,'All Products'!D:D,'All Products'!M:M,FALSE)</f>
        <v>40049081232021</v>
      </c>
      <c r="T326" s="264">
        <f>_xlfn.XLOOKUP(E326,'All Products'!D:D,'All Products'!N:N,FALSE)</f>
        <v>0.40400000000000003</v>
      </c>
      <c r="U326" s="264">
        <f>_xlfn.XLOOKUP(E326,'All Products'!D:D,'All Products'!P:P,FALSE)</f>
        <v>11.88</v>
      </c>
      <c r="V326" s="265">
        <f>_xlfn.XLOOKUP(E326,'All Products'!D:D,'All Products'!Q:Q,FALSE)</f>
        <v>0.8</v>
      </c>
    </row>
    <row r="327" spans="1:22" ht="14.4" customHeight="1">
      <c r="A327" s="101" t="str">
        <f>IF(K327&gt;0,COUNT($A$8:A326)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27" s="610"/>
      <c r="C327" s="611"/>
      <c r="D327" s="274" t="str">
        <f>_xlfn.XLOOKUP(E327,'All Products'!D:D,'All Products'!C:C,FALSE)</f>
        <v>E006-12</v>
      </c>
      <c r="E327" s="153">
        <v>100025066</v>
      </c>
      <c r="F327" s="144" t="str">
        <f>_xlfn.XLOOKUP(E327,'All Products'!D:D,'All Products'!E:E,FALSE)</f>
        <v>1/2 MPT X 1/2 MPT X 12-3/4 LL SJ</v>
      </c>
      <c r="G327" s="103">
        <f>_xlfn.XLOOKUP(E327,'All Products'!D:D,'All Products'!F:F,FALSE)</f>
        <v>25</v>
      </c>
      <c r="H327" s="103">
        <f>_xlfn.XLOOKUP(E327,'All Products'!D:D,'All Products'!G:G,FALSE)</f>
        <v>1875</v>
      </c>
      <c r="I327" s="140">
        <f>_xlfn.XLOOKUP(E327,'All Products'!D:D,'All Products'!H:H,FALSE)</f>
        <v>60.52</v>
      </c>
      <c r="J327" s="255">
        <f>ROUNDUP(I327*Order_Quote!$L$26,2)</f>
        <v>60.52</v>
      </c>
      <c r="K327" s="161"/>
      <c r="L327" s="113"/>
      <c r="M327" s="243">
        <f t="shared" si="7"/>
        <v>0</v>
      </c>
      <c r="O327" s="215" t="str">
        <f>_xlfn.XLOOKUP(E327,'All Products'!D:D,'All Products'!I:I,FALSE)</f>
        <v>Within 3 Weeks</v>
      </c>
      <c r="P327" s="215" t="str">
        <f>_xlfn.XLOOKUP(E327,'All Products'!D:D,'All Products'!J:J,FALSE)</f>
        <v>Manufactured</v>
      </c>
      <c r="Q327" s="266">
        <f>_xlfn.XLOOKUP(E327,'All Products'!D:D,'All Products'!K:K,FALSE)</f>
        <v>49081232030</v>
      </c>
      <c r="R327" s="266" t="str">
        <f>_xlfn.XLOOKUP(E327,'All Products'!D:D,'All Products'!L:L,FALSE)</f>
        <v>-</v>
      </c>
      <c r="S327" s="266">
        <f>_xlfn.XLOOKUP(E327,'All Products'!D:D,'All Products'!M:M,FALSE)</f>
        <v>40049081232038</v>
      </c>
      <c r="T327" s="264">
        <f>_xlfn.XLOOKUP(E327,'All Products'!D:D,'All Products'!N:N,FALSE)</f>
        <v>0.42299999999999999</v>
      </c>
      <c r="U327" s="264">
        <f>_xlfn.XLOOKUP(E327,'All Products'!D:D,'All Products'!P:P,FALSE)</f>
        <v>11.515000000000001</v>
      </c>
      <c r="V327" s="265">
        <f>_xlfn.XLOOKUP(E327,'All Products'!D:D,'All Products'!Q:Q,FALSE)</f>
        <v>0.95</v>
      </c>
    </row>
    <row r="328" spans="1:22" ht="14.4" customHeight="1">
      <c r="A328" s="101" t="str">
        <f>IF(K328&gt;0,COUNT($A$8:A327)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28" s="610"/>
      <c r="C328" s="611"/>
      <c r="D328" s="274" t="str">
        <f>_xlfn.XLOOKUP(E328,'All Products'!D:D,'All Products'!C:C,FALSE)</f>
        <v>E006-4</v>
      </c>
      <c r="E328" s="153">
        <v>100024612</v>
      </c>
      <c r="F328" s="144" t="str">
        <f>_xlfn.XLOOKUP(E328,'All Products'!D:D,'All Products'!E:E,FALSE)</f>
        <v>1/2 MPT X 1/2 MPT X 4-3/4 LL SJ</v>
      </c>
      <c r="G328" s="103">
        <f>_xlfn.XLOOKUP(E328,'All Products'!D:D,'All Products'!F:F,FALSE)</f>
        <v>25</v>
      </c>
      <c r="H328" s="103">
        <f>_xlfn.XLOOKUP(E328,'All Products'!D:D,'All Products'!G:G,FALSE)</f>
        <v>3750</v>
      </c>
      <c r="I328" s="140">
        <f>_xlfn.XLOOKUP(E328,'All Products'!D:D,'All Products'!H:H,FALSE)</f>
        <v>53.17</v>
      </c>
      <c r="J328" s="255">
        <f>ROUNDUP(I328*Order_Quote!$L$26,2)</f>
        <v>53.17</v>
      </c>
      <c r="K328" s="161"/>
      <c r="L328" s="113"/>
      <c r="M328" s="243">
        <f t="shared" si="7"/>
        <v>0</v>
      </c>
      <c r="O328" s="215" t="str">
        <f>_xlfn.XLOOKUP(E328,'All Products'!D:D,'All Products'!I:I,FALSE)</f>
        <v>Within 3 Weeks</v>
      </c>
      <c r="P328" s="215" t="str">
        <f>_xlfn.XLOOKUP(E328,'All Products'!D:D,'All Products'!J:J,FALSE)</f>
        <v>Manufactured</v>
      </c>
      <c r="Q328" s="266">
        <f>_xlfn.XLOOKUP(E328,'All Products'!D:D,'All Products'!K:K,FALSE)</f>
        <v>49081232016</v>
      </c>
      <c r="R328" s="266" t="str">
        <f>_xlfn.XLOOKUP(E328,'All Products'!D:D,'All Products'!L:L,FALSE)</f>
        <v>-</v>
      </c>
      <c r="S328" s="266">
        <f>_xlfn.XLOOKUP(E328,'All Products'!D:D,'All Products'!M:M,FALSE)</f>
        <v>40049081232014</v>
      </c>
      <c r="T328" s="264">
        <f>_xlfn.XLOOKUP(E328,'All Products'!D:D,'All Products'!N:N,FALSE)</f>
        <v>0.29799999999999999</v>
      </c>
      <c r="U328" s="264">
        <f>_xlfn.XLOOKUP(E328,'All Products'!D:D,'All Products'!P:P,FALSE)</f>
        <v>7.93</v>
      </c>
      <c r="V328" s="265">
        <f>_xlfn.XLOOKUP(E328,'All Products'!D:D,'All Products'!Q:Q,FALSE)</f>
        <v>0.5</v>
      </c>
    </row>
    <row r="329" spans="1:22" ht="14.4" customHeight="1">
      <c r="A329" s="101" t="str">
        <f>IF(K329&gt;0,COUNT($A$8:A328)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29" s="610"/>
      <c r="C329" s="611"/>
      <c r="D329" s="274" t="str">
        <f>_xlfn.XLOOKUP(E329,'All Products'!D:D,'All Products'!C:C,FALSE)</f>
        <v>E007-10</v>
      </c>
      <c r="E329" s="153">
        <v>100025068</v>
      </c>
      <c r="F329" s="144" t="str">
        <f>_xlfn.XLOOKUP(E329,'All Products'!D:D,'All Products'!E:E,FALSE)</f>
        <v>3/4 SPG X 3/4 MPT X 10-3/4 LL SJ</v>
      </c>
      <c r="G329" s="103">
        <f>_xlfn.XLOOKUP(E329,'All Products'!D:D,'All Products'!F:F,FALSE)</f>
        <v>25</v>
      </c>
      <c r="H329" s="103">
        <f>_xlfn.XLOOKUP(E329,'All Products'!D:D,'All Products'!G:G,FALSE)</f>
        <v>2250</v>
      </c>
      <c r="I329" s="140">
        <f>_xlfn.XLOOKUP(E329,'All Products'!D:D,'All Products'!H:H,FALSE)</f>
        <v>66.77</v>
      </c>
      <c r="J329" s="255">
        <f>ROUNDUP(I329*Order_Quote!$L$26,2)</f>
        <v>66.77</v>
      </c>
      <c r="K329" s="161"/>
      <c r="L329" s="113"/>
      <c r="M329" s="243">
        <f t="shared" si="7"/>
        <v>0</v>
      </c>
      <c r="O329" s="215" t="str">
        <f>_xlfn.XLOOKUP(E329,'All Products'!D:D,'All Products'!I:I,FALSE)</f>
        <v>Within 3 Weeks</v>
      </c>
      <c r="P329" s="215" t="str">
        <f>_xlfn.XLOOKUP(E329,'All Products'!D:D,'All Products'!J:J,FALSE)</f>
        <v>Manufactured</v>
      </c>
      <c r="Q329" s="266">
        <f>_xlfn.XLOOKUP(E329,'All Products'!D:D,'All Products'!K:K,FALSE)</f>
        <v>49081232528</v>
      </c>
      <c r="R329" s="266" t="str">
        <f>_xlfn.XLOOKUP(E329,'All Products'!D:D,'All Products'!L:L,FALSE)</f>
        <v>-</v>
      </c>
      <c r="S329" s="266">
        <f>_xlfn.XLOOKUP(E329,'All Products'!D:D,'All Products'!M:M,FALSE)</f>
        <v>40049081232526</v>
      </c>
      <c r="T329" s="264">
        <f>_xlfn.XLOOKUP(E329,'All Products'!D:D,'All Products'!N:N,FALSE)</f>
        <v>0.56100000000000005</v>
      </c>
      <c r="U329" s="264">
        <f>_xlfn.XLOOKUP(E329,'All Products'!D:D,'All Products'!P:P,FALSE)</f>
        <v>14.02</v>
      </c>
      <c r="V329" s="265">
        <f>_xlfn.XLOOKUP(E329,'All Products'!D:D,'All Products'!Q:Q,FALSE)</f>
        <v>0.8</v>
      </c>
    </row>
    <row r="330" spans="1:22" ht="14.4" customHeight="1">
      <c r="A330" s="101" t="str">
        <f>IF(K330&gt;0,COUNT($A$8:A329)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30" s="610"/>
      <c r="C330" s="611"/>
      <c r="D330" s="274" t="str">
        <f>_xlfn.XLOOKUP(E330,'All Products'!D:D,'All Products'!C:C,FALSE)</f>
        <v>E007-12</v>
      </c>
      <c r="E330" s="153">
        <v>100025069</v>
      </c>
      <c r="F330" s="144" t="str">
        <f>_xlfn.XLOOKUP(E330,'All Products'!D:D,'All Products'!E:E,FALSE)</f>
        <v>3/4 SPG X 3/4 MPT X 12-3/4 LL SJ</v>
      </c>
      <c r="G330" s="103">
        <f>_xlfn.XLOOKUP(E330,'All Products'!D:D,'All Products'!F:F,FALSE)</f>
        <v>25</v>
      </c>
      <c r="H330" s="103">
        <f>_xlfn.XLOOKUP(E330,'All Products'!D:D,'All Products'!G:G,FALSE)</f>
        <v>1875</v>
      </c>
      <c r="I330" s="140">
        <f>_xlfn.XLOOKUP(E330,'All Products'!D:D,'All Products'!H:H,FALSE)</f>
        <v>68.98</v>
      </c>
      <c r="J330" s="255">
        <f>ROUNDUP(I330*Order_Quote!$L$26,2)</f>
        <v>68.98</v>
      </c>
      <c r="K330" s="161"/>
      <c r="L330" s="113"/>
      <c r="M330" s="243">
        <f t="shared" si="7"/>
        <v>0</v>
      </c>
      <c r="O330" s="215" t="str">
        <f>_xlfn.XLOOKUP(E330,'All Products'!D:D,'All Products'!I:I,FALSE)</f>
        <v>Within 3 Weeks</v>
      </c>
      <c r="P330" s="215" t="str">
        <f>_xlfn.XLOOKUP(E330,'All Products'!D:D,'All Products'!J:J,FALSE)</f>
        <v>Manufactured</v>
      </c>
      <c r="Q330" s="266">
        <f>_xlfn.XLOOKUP(E330,'All Products'!D:D,'All Products'!K:K,FALSE)</f>
        <v>49081232535</v>
      </c>
      <c r="R330" s="266" t="str">
        <f>_xlfn.XLOOKUP(E330,'All Products'!D:D,'All Products'!L:L,FALSE)</f>
        <v>-</v>
      </c>
      <c r="S330" s="266">
        <f>_xlfn.XLOOKUP(E330,'All Products'!D:D,'All Products'!M:M,FALSE)</f>
        <v>40049081232533</v>
      </c>
      <c r="T330" s="264">
        <f>_xlfn.XLOOKUP(E330,'All Products'!D:D,'All Products'!N:N,FALSE)</f>
        <v>0.61399999999999999</v>
      </c>
      <c r="U330" s="264">
        <f>_xlfn.XLOOKUP(E330,'All Products'!D:D,'All Products'!P:P,FALSE)</f>
        <v>15.355</v>
      </c>
      <c r="V330" s="265">
        <f>_xlfn.XLOOKUP(E330,'All Products'!D:D,'All Products'!Q:Q,FALSE)</f>
        <v>1.1000000000000001</v>
      </c>
    </row>
    <row r="331" spans="1:22" ht="14.4" customHeight="1">
      <c r="A331" s="101" t="str">
        <f>IF(K331&gt;0,COUNT($A$8:A330)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31" s="610"/>
      <c r="C331" s="611"/>
      <c r="D331" s="274" t="str">
        <f>_xlfn.XLOOKUP(E331,'All Products'!D:D,'All Products'!C:C,FALSE)</f>
        <v>E007-4</v>
      </c>
      <c r="E331" s="153">
        <v>100024614</v>
      </c>
      <c r="F331" s="144" t="str">
        <f>_xlfn.XLOOKUP(E331,'All Products'!D:D,'All Products'!E:E,FALSE)</f>
        <v>3/4 SPG X 3/4 MPT X 4-3/4 LL SJ</v>
      </c>
      <c r="G331" s="103">
        <f>_xlfn.XLOOKUP(E331,'All Products'!D:D,'All Products'!F:F,FALSE)</f>
        <v>25</v>
      </c>
      <c r="H331" s="103">
        <f>_xlfn.XLOOKUP(E331,'All Products'!D:D,'All Products'!G:G,FALSE)</f>
        <v>3000</v>
      </c>
      <c r="I331" s="140">
        <f>_xlfn.XLOOKUP(E331,'All Products'!D:D,'All Products'!H:H,FALSE)</f>
        <v>60.04</v>
      </c>
      <c r="J331" s="255">
        <f>ROUNDUP(I331*Order_Quote!$L$26,2)</f>
        <v>60.04</v>
      </c>
      <c r="K331" s="161"/>
      <c r="L331" s="113"/>
      <c r="M331" s="243">
        <f t="shared" si="7"/>
        <v>0</v>
      </c>
      <c r="O331" s="215" t="str">
        <f>_xlfn.XLOOKUP(E331,'All Products'!D:D,'All Products'!I:I,FALSE)</f>
        <v>Within 3 Weeks</v>
      </c>
      <c r="P331" s="215" t="str">
        <f>_xlfn.XLOOKUP(E331,'All Products'!D:D,'All Products'!J:J,FALSE)</f>
        <v>Manufactured</v>
      </c>
      <c r="Q331" s="266">
        <f>_xlfn.XLOOKUP(E331,'All Products'!D:D,'All Products'!K:K,FALSE)</f>
        <v>49081232504</v>
      </c>
      <c r="R331" s="266" t="str">
        <f>_xlfn.XLOOKUP(E331,'All Products'!D:D,'All Products'!L:L,FALSE)</f>
        <v>-</v>
      </c>
      <c r="S331" s="266">
        <f>_xlfn.XLOOKUP(E331,'All Products'!D:D,'All Products'!M:M,FALSE)</f>
        <v>40049081232502</v>
      </c>
      <c r="T331" s="264">
        <f>_xlfn.XLOOKUP(E331,'All Products'!D:D,'All Products'!N:N,FALSE)</f>
        <v>0.50600000000000001</v>
      </c>
      <c r="U331" s="264">
        <f>_xlfn.XLOOKUP(E331,'All Products'!D:D,'All Products'!P:P,FALSE)</f>
        <v>10.6</v>
      </c>
      <c r="V331" s="265">
        <f>_xlfn.XLOOKUP(E331,'All Products'!D:D,'All Products'!Q:Q,FALSE)</f>
        <v>0.65</v>
      </c>
    </row>
    <row r="332" spans="1:22" ht="14.4" customHeight="1">
      <c r="A332" s="101" t="str">
        <f>IF(K332&gt;0,COUNT($A$8:A331)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32" s="610"/>
      <c r="C332" s="611"/>
      <c r="D332" s="274" t="str">
        <f>_xlfn.XLOOKUP(E332,'All Products'!D:D,'All Products'!C:C,FALSE)</f>
        <v>E007-8</v>
      </c>
      <c r="E332" s="153">
        <v>100025070</v>
      </c>
      <c r="F332" s="144" t="str">
        <f>_xlfn.XLOOKUP(E332,'All Products'!D:D,'All Products'!E:E,FALSE)</f>
        <v>3/4 SPG X 3/4 MPT X 8-3/4 LL SJ</v>
      </c>
      <c r="G332" s="103">
        <f>_xlfn.XLOOKUP(E332,'All Products'!D:D,'All Products'!F:F,FALSE)</f>
        <v>25</v>
      </c>
      <c r="H332" s="103">
        <f>_xlfn.XLOOKUP(E332,'All Products'!D:D,'All Products'!G:G,FALSE)</f>
        <v>2250</v>
      </c>
      <c r="I332" s="140">
        <f>_xlfn.XLOOKUP(E332,'All Products'!D:D,'All Products'!H:H,FALSE)</f>
        <v>64.48</v>
      </c>
      <c r="J332" s="255">
        <f>ROUNDUP(I332*Order_Quote!$L$26,2)</f>
        <v>64.48</v>
      </c>
      <c r="K332" s="161"/>
      <c r="L332" s="113"/>
      <c r="M332" s="243">
        <f t="shared" si="7"/>
        <v>0</v>
      </c>
      <c r="O332" s="215" t="str">
        <f>_xlfn.XLOOKUP(E332,'All Products'!D:D,'All Products'!I:I,FALSE)</f>
        <v>Within 3 Weeks</v>
      </c>
      <c r="P332" s="215" t="str">
        <f>_xlfn.XLOOKUP(E332,'All Products'!D:D,'All Products'!J:J,FALSE)</f>
        <v>Manufactured</v>
      </c>
      <c r="Q332" s="266">
        <f>_xlfn.XLOOKUP(E332,'All Products'!D:D,'All Products'!K:K,FALSE)</f>
        <v>49081232511</v>
      </c>
      <c r="R332" s="266" t="str">
        <f>_xlfn.XLOOKUP(E332,'All Products'!D:D,'All Products'!L:L,FALSE)</f>
        <v>-</v>
      </c>
      <c r="S332" s="266">
        <f>_xlfn.XLOOKUP(E332,'All Products'!D:D,'All Products'!M:M,FALSE)</f>
        <v>40049081232519</v>
      </c>
      <c r="T332" s="264">
        <f>_xlfn.XLOOKUP(E332,'All Products'!D:D,'All Products'!N:N,FALSE)</f>
        <v>0.52</v>
      </c>
      <c r="U332" s="264">
        <f>_xlfn.XLOOKUP(E332,'All Products'!D:D,'All Products'!P:P,FALSE)</f>
        <v>13</v>
      </c>
      <c r="V332" s="265">
        <f>_xlfn.XLOOKUP(E332,'All Products'!D:D,'All Products'!Q:Q,FALSE)</f>
        <v>0.8</v>
      </c>
    </row>
    <row r="333" spans="1:22" ht="14.4" customHeight="1">
      <c r="A333" s="101" t="str">
        <f>IF(K333&gt;0,COUNT($A$8:A332)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33" s="610"/>
      <c r="C333" s="611"/>
      <c r="D333" s="274" t="str">
        <f>_xlfn.XLOOKUP(E333,'All Products'!D:D,'All Products'!C:C,FALSE)</f>
        <v>E008-0</v>
      </c>
      <c r="E333" s="153">
        <v>100024615</v>
      </c>
      <c r="F333" s="144" t="str">
        <f>_xlfn.XLOOKUP(E333,'All Products'!D:D,'All Products'!E:E,FALSE)</f>
        <v>3/4 MPT X 3/4 FPT X 2-1/2 LL SJ</v>
      </c>
      <c r="G333" s="103">
        <f>_xlfn.XLOOKUP(E333,'All Products'!D:D,'All Products'!F:F,FALSE)</f>
        <v>1</v>
      </c>
      <c r="H333" s="103" t="str">
        <f>_xlfn.XLOOKUP(E333,'All Products'!D:D,'All Products'!G:G,FALSE)</f>
        <v>-</v>
      </c>
      <c r="I333" s="140">
        <f>_xlfn.XLOOKUP(E333,'All Products'!D:D,'All Products'!H:H,FALSE)</f>
        <v>55.51</v>
      </c>
      <c r="J333" s="255">
        <f>ROUNDUP(I333*Order_Quote!$L$26,2)</f>
        <v>55.51</v>
      </c>
      <c r="K333" s="161"/>
      <c r="L333" s="113"/>
      <c r="M333" s="243">
        <f t="shared" si="7"/>
        <v>0</v>
      </c>
      <c r="O333" s="215" t="str">
        <f>_xlfn.XLOOKUP(E333,'All Products'!D:D,'All Products'!I:I,FALSE)</f>
        <v>Within 3 Weeks</v>
      </c>
      <c r="P333" s="215" t="str">
        <f>_xlfn.XLOOKUP(E333,'All Products'!D:D,'All Products'!J:J,FALSE)</f>
        <v>Manufactured</v>
      </c>
      <c r="Q333" s="266">
        <f>_xlfn.XLOOKUP(E333,'All Products'!D:D,'All Products'!K:K,FALSE)</f>
        <v>49081232092</v>
      </c>
      <c r="R333" s="266" t="str">
        <f>_xlfn.XLOOKUP(E333,'All Products'!D:D,'All Products'!L:L,FALSE)</f>
        <v>-</v>
      </c>
      <c r="S333" s="266">
        <f>_xlfn.XLOOKUP(E333,'All Products'!D:D,'All Products'!M:M,FALSE)</f>
        <v>40049081232090</v>
      </c>
      <c r="T333" s="264">
        <f>_xlfn.XLOOKUP(E333,'All Products'!D:D,'All Products'!N:N,FALSE)</f>
        <v>0.307</v>
      </c>
      <c r="U333" s="264">
        <f>_xlfn.XLOOKUP(E333,'All Products'!D:D,'All Products'!P:P,FALSE)</f>
        <v>0.3</v>
      </c>
      <c r="V333" s="265" t="str">
        <f>_xlfn.XLOOKUP(E333,'All Products'!D:D,'All Products'!Q:Q,FALSE)</f>
        <v>-</v>
      </c>
    </row>
    <row r="334" spans="1:22" ht="14.4" customHeight="1">
      <c r="A334" s="101" t="str">
        <f>IF(K334&gt;0,COUNT($A$8:A333)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34" s="610"/>
      <c r="C334" s="611"/>
      <c r="D334" s="274" t="str">
        <f>_xlfn.XLOOKUP(E334,'All Products'!D:D,'All Products'!C:C,FALSE)</f>
        <v>E008-10</v>
      </c>
      <c r="E334" s="153">
        <v>100025071</v>
      </c>
      <c r="F334" s="144" t="str">
        <f>_xlfn.XLOOKUP(E334,'All Products'!D:D,'All Products'!E:E,FALSE)</f>
        <v>3/4 MPT X 3/4 MPT X 10-3/4 LL SJ</v>
      </c>
      <c r="G334" s="103">
        <f>_xlfn.XLOOKUP(E334,'All Products'!D:D,'All Products'!F:F,FALSE)</f>
        <v>25</v>
      </c>
      <c r="H334" s="103">
        <f>_xlfn.XLOOKUP(E334,'All Products'!D:D,'All Products'!G:G,FALSE)</f>
        <v>1875</v>
      </c>
      <c r="I334" s="140">
        <f>_xlfn.XLOOKUP(E334,'All Products'!D:D,'All Products'!H:H,FALSE)</f>
        <v>66.77</v>
      </c>
      <c r="J334" s="255">
        <f>ROUNDUP(I334*Order_Quote!$L$26,2)</f>
        <v>66.77</v>
      </c>
      <c r="K334" s="161"/>
      <c r="L334" s="113"/>
      <c r="M334" s="243">
        <f t="shared" si="7"/>
        <v>0</v>
      </c>
      <c r="O334" s="215" t="str">
        <f>_xlfn.XLOOKUP(E334,'All Products'!D:D,'All Products'!I:I,FALSE)</f>
        <v>Within 3 Weeks</v>
      </c>
      <c r="P334" s="215" t="str">
        <f>_xlfn.XLOOKUP(E334,'All Products'!D:D,'All Products'!J:J,FALSE)</f>
        <v>Manufactured</v>
      </c>
      <c r="Q334" s="266">
        <f>_xlfn.XLOOKUP(E334,'All Products'!D:D,'All Products'!K:K,FALSE)</f>
        <v>49081232061</v>
      </c>
      <c r="R334" s="266" t="str">
        <f>_xlfn.XLOOKUP(E334,'All Products'!D:D,'All Products'!L:L,FALSE)</f>
        <v>-</v>
      </c>
      <c r="S334" s="266">
        <f>_xlfn.XLOOKUP(E334,'All Products'!D:D,'All Products'!M:M,FALSE)</f>
        <v>40049081232069</v>
      </c>
      <c r="T334" s="264">
        <f>_xlfn.XLOOKUP(E334,'All Products'!D:D,'All Products'!N:N,FALSE)</f>
        <v>0.54</v>
      </c>
      <c r="U334" s="264">
        <f>_xlfn.XLOOKUP(E334,'All Products'!D:D,'All Products'!P:P,FALSE)</f>
        <v>13.5</v>
      </c>
      <c r="V334" s="265">
        <f>_xlfn.XLOOKUP(E334,'All Products'!D:D,'All Products'!Q:Q,FALSE)</f>
        <v>0.95</v>
      </c>
    </row>
    <row r="335" spans="1:22" ht="14.4" customHeight="1">
      <c r="A335" s="101" t="str">
        <f>IF(K335&gt;0,COUNT($A$8:A334)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35" s="610"/>
      <c r="C335" s="611"/>
      <c r="D335" s="274" t="str">
        <f>_xlfn.XLOOKUP(E335,'All Products'!D:D,'All Products'!C:C,FALSE)</f>
        <v>E008-12</v>
      </c>
      <c r="E335" s="153">
        <v>100025072</v>
      </c>
      <c r="F335" s="144" t="str">
        <f>_xlfn.XLOOKUP(E335,'All Products'!D:D,'All Products'!E:E,FALSE)</f>
        <v>3/4 MPT X 3/4 MPT X 12-3/4 LL SJ</v>
      </c>
      <c r="G335" s="103">
        <f>_xlfn.XLOOKUP(E335,'All Products'!D:D,'All Products'!F:F,FALSE)</f>
        <v>25</v>
      </c>
      <c r="H335" s="103">
        <f>_xlfn.XLOOKUP(E335,'All Products'!D:D,'All Products'!G:G,FALSE)</f>
        <v>1875</v>
      </c>
      <c r="I335" s="140">
        <f>_xlfn.XLOOKUP(E335,'All Products'!D:D,'All Products'!H:H,FALSE)</f>
        <v>68.98</v>
      </c>
      <c r="J335" s="255">
        <f>ROUNDUP(I335*Order_Quote!$L$26,2)</f>
        <v>68.98</v>
      </c>
      <c r="K335" s="161"/>
      <c r="L335" s="113"/>
      <c r="M335" s="243">
        <f t="shared" si="7"/>
        <v>0</v>
      </c>
      <c r="O335" s="215" t="str">
        <f>_xlfn.XLOOKUP(E335,'All Products'!D:D,'All Products'!I:I,FALSE)</f>
        <v>In Stock</v>
      </c>
      <c r="P335" s="215" t="str">
        <f>_xlfn.XLOOKUP(E335,'All Products'!D:D,'All Products'!J:J,FALSE)</f>
        <v>Manufactured</v>
      </c>
      <c r="Q335" s="266">
        <f>_xlfn.XLOOKUP(E335,'All Products'!D:D,'All Products'!K:K,FALSE)</f>
        <v>49081232078</v>
      </c>
      <c r="R335" s="266" t="str">
        <f>_xlfn.XLOOKUP(E335,'All Products'!D:D,'All Products'!L:L,FALSE)</f>
        <v>-</v>
      </c>
      <c r="S335" s="266">
        <f>_xlfn.XLOOKUP(E335,'All Products'!D:D,'All Products'!M:M,FALSE)</f>
        <v>40049081232076</v>
      </c>
      <c r="T335" s="264">
        <f>_xlfn.XLOOKUP(E335,'All Products'!D:D,'All Products'!N:N,FALSE)</f>
        <v>0.61599999999999999</v>
      </c>
      <c r="U335" s="264">
        <f>_xlfn.XLOOKUP(E335,'All Products'!D:D,'All Products'!P:P,FALSE)</f>
        <v>15.4</v>
      </c>
      <c r="V335" s="265">
        <f>_xlfn.XLOOKUP(E335,'All Products'!D:D,'All Products'!Q:Q,FALSE)</f>
        <v>1.1000000000000001</v>
      </c>
    </row>
    <row r="336" spans="1:22" ht="14.4" customHeight="1">
      <c r="A336" s="101" t="str">
        <f>IF(K336&gt;0,COUNT($A$8:A335)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36" s="610"/>
      <c r="C336" s="611"/>
      <c r="D336" s="274" t="str">
        <f>_xlfn.XLOOKUP(E336,'All Products'!D:D,'All Products'!C:C,FALSE)</f>
        <v>E008-12 X L</v>
      </c>
      <c r="E336" s="153">
        <v>100025073</v>
      </c>
      <c r="F336" s="144" t="str">
        <f>_xlfn.XLOOKUP(E336,'All Products'!D:D,'All Products'!E:E,FALSE)</f>
        <v>3/4 MPTX3/4 MPT X 12-3/4- ELXEL SJ</v>
      </c>
      <c r="G336" s="103">
        <f>_xlfn.XLOOKUP(E336,'All Products'!D:D,'All Products'!F:F,FALSE)</f>
        <v>25</v>
      </c>
      <c r="H336" s="103">
        <f>_xlfn.XLOOKUP(E336,'All Products'!D:D,'All Products'!G:G,FALSE)</f>
        <v>1875</v>
      </c>
      <c r="I336" s="140">
        <f>_xlfn.XLOOKUP(E336,'All Products'!D:D,'All Products'!H:H,FALSE)</f>
        <v>68.98</v>
      </c>
      <c r="J336" s="255">
        <f>ROUNDUP(I336*Order_Quote!$L$26,2)</f>
        <v>68.98</v>
      </c>
      <c r="K336" s="161"/>
      <c r="L336" s="113"/>
      <c r="M336" s="243">
        <f t="shared" si="7"/>
        <v>0</v>
      </c>
      <c r="O336" s="215" t="str">
        <f>_xlfn.XLOOKUP(E336,'All Products'!D:D,'All Products'!I:I,FALSE)</f>
        <v>In Stock</v>
      </c>
      <c r="P336" s="215" t="str">
        <f>_xlfn.XLOOKUP(E336,'All Products'!D:D,'All Products'!J:J,FALSE)</f>
        <v>Manufactured</v>
      </c>
      <c r="Q336" s="266">
        <f>_xlfn.XLOOKUP(E336,'All Products'!D:D,'All Products'!K:K,FALSE)</f>
        <v>49081232115</v>
      </c>
      <c r="R336" s="266" t="str">
        <f>_xlfn.XLOOKUP(E336,'All Products'!D:D,'All Products'!L:L,FALSE)</f>
        <v>-</v>
      </c>
      <c r="S336" s="266">
        <f>_xlfn.XLOOKUP(E336,'All Products'!D:D,'All Products'!M:M,FALSE)</f>
        <v>40049081232113</v>
      </c>
      <c r="T336" s="264">
        <f>_xlfn.XLOOKUP(E336,'All Products'!D:D,'All Products'!N:N,FALSE)</f>
        <v>0.629</v>
      </c>
      <c r="U336" s="264">
        <f>_xlfn.XLOOKUP(E336,'All Products'!D:D,'All Products'!P:P,FALSE)</f>
        <v>15.73</v>
      </c>
      <c r="V336" s="265">
        <f>_xlfn.XLOOKUP(E336,'All Products'!D:D,'All Products'!Q:Q,FALSE)</f>
        <v>1.1000000000000001</v>
      </c>
    </row>
    <row r="337" spans="1:22" ht="14.4" customHeight="1">
      <c r="A337" s="101" t="str">
        <f>IF(K337&gt;0,COUNT($A$8:A336)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37" s="610"/>
      <c r="C337" s="611"/>
      <c r="D337" s="274" t="str">
        <f>_xlfn.XLOOKUP(E337,'All Products'!D:D,'All Products'!C:C,FALSE)</f>
        <v>E008-4</v>
      </c>
      <c r="E337" s="153">
        <v>100024617</v>
      </c>
      <c r="F337" s="144" t="str">
        <f>_xlfn.XLOOKUP(E337,'All Products'!D:D,'All Products'!E:E,FALSE)</f>
        <v>3/4 MPT X 3/4 MPT X 4-3/4 LL SJ</v>
      </c>
      <c r="G337" s="103">
        <f>_xlfn.XLOOKUP(E337,'All Products'!D:D,'All Products'!F:F,FALSE)</f>
        <v>25</v>
      </c>
      <c r="H337" s="103">
        <f>_xlfn.XLOOKUP(E337,'All Products'!D:D,'All Products'!G:G,FALSE)</f>
        <v>3000</v>
      </c>
      <c r="I337" s="140">
        <f>_xlfn.XLOOKUP(E337,'All Products'!D:D,'All Products'!H:H,FALSE)</f>
        <v>60.04</v>
      </c>
      <c r="J337" s="255">
        <f>ROUNDUP(I337*Order_Quote!$L$26,2)</f>
        <v>60.04</v>
      </c>
      <c r="K337" s="161"/>
      <c r="L337" s="113"/>
      <c r="M337" s="243">
        <f t="shared" si="7"/>
        <v>0</v>
      </c>
      <c r="O337" s="215" t="str">
        <f>_xlfn.XLOOKUP(E337,'All Products'!D:D,'All Products'!I:I,FALSE)</f>
        <v>Within 3 Weeks</v>
      </c>
      <c r="P337" s="215" t="str">
        <f>_xlfn.XLOOKUP(E337,'All Products'!D:D,'All Products'!J:J,FALSE)</f>
        <v>Manufactured</v>
      </c>
      <c r="Q337" s="266">
        <f>_xlfn.XLOOKUP(E337,'All Products'!D:D,'All Products'!K:K,FALSE)</f>
        <v>49081232047</v>
      </c>
      <c r="R337" s="266" t="str">
        <f>_xlfn.XLOOKUP(E337,'All Products'!D:D,'All Products'!L:L,FALSE)</f>
        <v>-</v>
      </c>
      <c r="S337" s="266">
        <f>_xlfn.XLOOKUP(E337,'All Products'!D:D,'All Products'!M:M,FALSE)</f>
        <v>40049081232045</v>
      </c>
      <c r="T337" s="264">
        <f>_xlfn.XLOOKUP(E337,'All Products'!D:D,'All Products'!N:N,FALSE)</f>
        <v>0.48799999999999999</v>
      </c>
      <c r="U337" s="264">
        <f>_xlfn.XLOOKUP(E337,'All Products'!D:D,'All Products'!P:P,FALSE)</f>
        <v>10.050000000000001</v>
      </c>
      <c r="V337" s="265">
        <f>_xlfn.XLOOKUP(E337,'All Products'!D:D,'All Products'!Q:Q,FALSE)</f>
        <v>0.65</v>
      </c>
    </row>
    <row r="338" spans="1:22" ht="14.4" customHeight="1" thickBot="1">
      <c r="A338" s="101" t="str">
        <f>IF(K338&gt;0,COUNT($A$8:A337)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38" s="715"/>
      <c r="C338" s="697"/>
      <c r="D338" s="274" t="str">
        <f>_xlfn.XLOOKUP(E338,'All Products'!D:D,'All Products'!C:C,FALSE)</f>
        <v>E008-8</v>
      </c>
      <c r="E338" s="103">
        <v>100025074</v>
      </c>
      <c r="F338" s="144" t="str">
        <f>_xlfn.XLOOKUP(E338,'All Products'!D:D,'All Products'!E:E,FALSE)</f>
        <v>3/4 MPT X 3/4 MPT X 8-3/4 LL SJ</v>
      </c>
      <c r="G338" s="103">
        <f>_xlfn.XLOOKUP(E338,'All Products'!D:D,'All Products'!F:F,FALSE)</f>
        <v>25</v>
      </c>
      <c r="H338" s="103">
        <f>_xlfn.XLOOKUP(E338,'All Products'!D:D,'All Products'!G:G,FALSE)</f>
        <v>2250</v>
      </c>
      <c r="I338" s="140">
        <f>_xlfn.XLOOKUP(E338,'All Products'!D:D,'All Products'!H:H,FALSE)</f>
        <v>64.48</v>
      </c>
      <c r="J338" s="173">
        <f>ROUNDUP(I338*Order_Quote!$L$26,2)</f>
        <v>64.48</v>
      </c>
      <c r="K338" s="75"/>
      <c r="L338" s="113"/>
      <c r="M338" s="171">
        <f t="shared" si="7"/>
        <v>0</v>
      </c>
      <c r="O338" s="567" t="str">
        <f>_xlfn.XLOOKUP(E338,'All Products'!D:D,'All Products'!I:I,FALSE)</f>
        <v>In Stock</v>
      </c>
      <c r="P338" s="567" t="str">
        <f>_xlfn.XLOOKUP(E338,'All Products'!D:D,'All Products'!J:J,FALSE)</f>
        <v>Manufactured</v>
      </c>
      <c r="Q338" s="569">
        <f>_xlfn.XLOOKUP(E338,'All Products'!D:D,'All Products'!K:K,FALSE)</f>
        <v>49081232054</v>
      </c>
      <c r="R338" s="569" t="str">
        <f>_xlfn.XLOOKUP(E338,'All Products'!D:D,'All Products'!L:L,FALSE)</f>
        <v>-</v>
      </c>
      <c r="S338" s="569">
        <f>_xlfn.XLOOKUP(E338,'All Products'!D:D,'All Products'!M:M,FALSE)</f>
        <v>40049081232052</v>
      </c>
      <c r="T338" s="583">
        <f>_xlfn.XLOOKUP(E338,'All Products'!D:D,'All Products'!N:N,FALSE)</f>
        <v>0.5</v>
      </c>
      <c r="U338" s="583">
        <f>_xlfn.XLOOKUP(E338,'All Products'!D:D,'All Products'!P:P,FALSE)</f>
        <v>12.5</v>
      </c>
      <c r="V338" s="570">
        <f>_xlfn.XLOOKUP(E338,'All Products'!D:D,'All Products'!Q:Q,FALSE)</f>
        <v>0.8</v>
      </c>
    </row>
    <row r="339" spans="1:22" ht="16.2" thickBot="1">
      <c r="A339" s="101" t="str">
        <f>IF(K339&gt;0,COUNT($A$8:A338)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39" s="446" t="s">
        <v>3078</v>
      </c>
      <c r="C339" s="151"/>
      <c r="D339" s="151"/>
      <c r="E339" s="459"/>
      <c r="F339" s="151"/>
      <c r="G339" s="468"/>
      <c r="H339" s="151"/>
      <c r="I339" s="472"/>
      <c r="J339" s="468"/>
      <c r="K339" s="566"/>
      <c r="M339" s="545"/>
      <c r="O339" s="357"/>
      <c r="P339" s="145"/>
      <c r="Q339" s="493"/>
      <c r="R339" s="493"/>
      <c r="S339" s="493"/>
      <c r="T339" s="479"/>
      <c r="U339" s="459"/>
      <c r="V339" s="582"/>
    </row>
    <row r="340" spans="1:22" ht="14.4" customHeight="1">
      <c r="A340" s="101" t="str">
        <f>IF(K340&gt;0,COUNT($A$8:A339)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40" s="682"/>
      <c r="C340" s="683"/>
      <c r="D340" s="274" t="str">
        <f>_xlfn.XLOOKUP(E340,'All Products'!D:D,'All Products'!C:C,FALSE)</f>
        <v>1-A1-13-19-12</v>
      </c>
      <c r="E340" s="103">
        <v>100024880</v>
      </c>
      <c r="F340" s="144" t="str">
        <f>_xlfn.XLOOKUP(E340,'All Products'!D:D,'All Products'!E:E,FALSE)</f>
        <v>2 SADDLE X 1 ACME SU X 12 SJ</v>
      </c>
      <c r="G340" s="103">
        <f>_xlfn.XLOOKUP(E340,'All Products'!D:D,'All Products'!F:F,FALSE)</f>
        <v>10</v>
      </c>
      <c r="H340" s="103" t="str">
        <f>_xlfn.XLOOKUP(E340,'All Products'!D:D,'All Products'!G:G,FALSE)</f>
        <v>-</v>
      </c>
      <c r="I340" s="140">
        <f>_xlfn.XLOOKUP(E340,'All Products'!D:D,'All Products'!H:H,FALSE)</f>
        <v>159.97999999999999</v>
      </c>
      <c r="J340" s="173">
        <f>ROUNDUP(I340*Order_Quote!$L$26,2)</f>
        <v>159.97999999999999</v>
      </c>
      <c r="K340" s="75"/>
      <c r="L340" s="113"/>
      <c r="M340" s="171">
        <f t="shared" ref="M340:M376" si="8">K340/G340</f>
        <v>0</v>
      </c>
      <c r="O340" s="215" t="str">
        <f>_xlfn.XLOOKUP(E340,'All Products'!D:D,'All Products'!I:I,FALSE)</f>
        <v>Within 3 Weeks</v>
      </c>
      <c r="P340" s="215" t="str">
        <f>_xlfn.XLOOKUP(E340,'All Products'!D:D,'All Products'!J:J,FALSE)</f>
        <v>Manufactured</v>
      </c>
      <c r="Q340" s="266">
        <f>_xlfn.XLOOKUP(E340,'All Products'!D:D,'All Products'!K:K,FALSE)</f>
        <v>49081020088</v>
      </c>
      <c r="R340" s="266" t="str">
        <f>_xlfn.XLOOKUP(E340,'All Products'!D:D,'All Products'!L:L,FALSE)</f>
        <v>-</v>
      </c>
      <c r="S340" s="266">
        <f>_xlfn.XLOOKUP(E340,'All Products'!D:D,'All Products'!M:M,FALSE)</f>
        <v>40049081020086</v>
      </c>
      <c r="T340" s="264">
        <f>_xlfn.XLOOKUP(E340,'All Products'!D:D,'All Products'!N:N,FALSE)</f>
        <v>1.796</v>
      </c>
      <c r="U340" s="264" t="str">
        <f>_xlfn.XLOOKUP(E340,'All Products'!D:D,'All Products'!P:P,FALSE)</f>
        <v>-</v>
      </c>
      <c r="V340" s="265" t="str">
        <f>_xlfn.XLOOKUP(E340,'All Products'!D:D,'All Products'!Q:Q,FALSE)</f>
        <v>-</v>
      </c>
    </row>
    <row r="341" spans="1:22" ht="14.4" customHeight="1">
      <c r="A341" s="101" t="str">
        <f>IF(K341&gt;0,COUNT($A$8:A340)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41" s="610"/>
      <c r="C341" s="611"/>
      <c r="D341" s="274" t="str">
        <f>_xlfn.XLOOKUP(E341,'All Products'!D:D,'All Products'!C:C,FALSE)</f>
        <v>1-A1-13-19-18</v>
      </c>
      <c r="E341" s="103">
        <v>100024881</v>
      </c>
      <c r="F341" s="144" t="str">
        <f>_xlfn.XLOOKUP(E341,'All Products'!D:D,'All Products'!E:E,FALSE)</f>
        <v>2 SADDLE X 1 ACME SU X 18 LL SJ</v>
      </c>
      <c r="G341" s="103">
        <f>_xlfn.XLOOKUP(E341,'All Products'!D:D,'All Products'!F:F,FALSE)</f>
        <v>10</v>
      </c>
      <c r="H341" s="103">
        <f>_xlfn.XLOOKUP(E341,'All Products'!D:D,'All Products'!G:G,FALSE)</f>
        <v>240</v>
      </c>
      <c r="I341" s="140">
        <f>_xlfn.XLOOKUP(E341,'All Products'!D:D,'All Products'!H:H,FALSE)</f>
        <v>171.06</v>
      </c>
      <c r="J341" s="173">
        <f>ROUNDUP(I341*Order_Quote!$L$26,2)</f>
        <v>171.06</v>
      </c>
      <c r="K341" s="75"/>
      <c r="L341" s="113"/>
      <c r="M341" s="171">
        <f t="shared" si="8"/>
        <v>0</v>
      </c>
      <c r="O341" s="215" t="str">
        <f>_xlfn.XLOOKUP(E341,'All Products'!D:D,'All Products'!I:I,FALSE)</f>
        <v>Within 3 Weeks</v>
      </c>
      <c r="P341" s="215" t="str">
        <f>_xlfn.XLOOKUP(E341,'All Products'!D:D,'All Products'!J:J,FALSE)</f>
        <v>Manufactured</v>
      </c>
      <c r="Q341" s="266">
        <f>_xlfn.XLOOKUP(E341,'All Products'!D:D,'All Products'!K:K,FALSE)</f>
        <v>49081023294</v>
      </c>
      <c r="R341" s="266" t="str">
        <f>_xlfn.XLOOKUP(E341,'All Products'!D:D,'All Products'!L:L,FALSE)</f>
        <v>-</v>
      </c>
      <c r="S341" s="266">
        <f>_xlfn.XLOOKUP(E341,'All Products'!D:D,'All Products'!M:M,FALSE)</f>
        <v>40049081023292</v>
      </c>
      <c r="T341" s="264">
        <f>_xlfn.XLOOKUP(E341,'All Products'!D:D,'All Products'!N:N,FALSE)</f>
        <v>1.9750000000000001</v>
      </c>
      <c r="U341" s="264">
        <f>_xlfn.XLOOKUP(E341,'All Products'!D:D,'All Products'!P:P,FALSE)</f>
        <v>22.5</v>
      </c>
      <c r="V341" s="265">
        <f>_xlfn.XLOOKUP(E341,'All Products'!D:D,'All Products'!Q:Q,FALSE)</f>
        <v>2.77</v>
      </c>
    </row>
    <row r="342" spans="1:22" ht="14.4" customHeight="1">
      <c r="A342" s="101" t="str">
        <f>IF(K342&gt;0,COUNT($A$8:A341)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42" s="610"/>
      <c r="C342" s="611"/>
      <c r="D342" s="274" t="str">
        <f>_xlfn.XLOOKUP(E342,'All Products'!D:D,'All Products'!C:C,FALSE)</f>
        <v>1-A1-2-19-10</v>
      </c>
      <c r="E342" s="103">
        <v>100023833</v>
      </c>
      <c r="F342" s="144" t="str">
        <f>_xlfn.XLOOKUP(E342,'All Products'!D:D,'All Products'!E:E,FALSE)</f>
        <v>2 SADDLE X 1 FPT SU X 10 SJ</v>
      </c>
      <c r="G342" s="103">
        <f>_xlfn.XLOOKUP(E342,'All Products'!D:D,'All Products'!F:F,FALSE)</f>
        <v>10</v>
      </c>
      <c r="H342" s="103">
        <f>_xlfn.XLOOKUP(E342,'All Products'!D:D,'All Products'!G:G,FALSE)</f>
        <v>600</v>
      </c>
      <c r="I342" s="140">
        <f>_xlfn.XLOOKUP(E342,'All Products'!D:D,'All Products'!H:H,FALSE)</f>
        <v>159.97999999999999</v>
      </c>
      <c r="J342" s="173">
        <f>ROUNDUP(I342*Order_Quote!$L$26,2)</f>
        <v>159.97999999999999</v>
      </c>
      <c r="K342" s="75"/>
      <c r="L342" s="113"/>
      <c r="M342" s="171">
        <f t="shared" si="8"/>
        <v>0</v>
      </c>
      <c r="O342" s="215" t="str">
        <f>_xlfn.XLOOKUP(E342,'All Products'!D:D,'All Products'!I:I,FALSE)</f>
        <v>Within 3 Weeks</v>
      </c>
      <c r="P342" s="215" t="str">
        <f>_xlfn.XLOOKUP(E342,'All Products'!D:D,'All Products'!J:J,FALSE)</f>
        <v>Manufactured</v>
      </c>
      <c r="Q342" s="266">
        <f>_xlfn.XLOOKUP(E342,'All Products'!D:D,'All Products'!K:K,FALSE)</f>
        <v>49081023478</v>
      </c>
      <c r="R342" s="266" t="str">
        <f>_xlfn.XLOOKUP(E342,'All Products'!D:D,'All Products'!L:L,FALSE)</f>
        <v>-</v>
      </c>
      <c r="S342" s="266">
        <f>_xlfn.XLOOKUP(E342,'All Products'!D:D,'All Products'!M:M,FALSE)</f>
        <v>40049081023476</v>
      </c>
      <c r="T342" s="264">
        <f>_xlfn.XLOOKUP(E342,'All Products'!D:D,'All Products'!N:N,FALSE)</f>
        <v>1.9590000000000001</v>
      </c>
      <c r="U342" s="264">
        <f>_xlfn.XLOOKUP(E342,'All Products'!D:D,'All Products'!P:P,FALSE)</f>
        <v>19.59</v>
      </c>
      <c r="V342" s="265">
        <f>_xlfn.XLOOKUP(E342,'All Products'!D:D,'All Products'!Q:Q,FALSE)</f>
        <v>1.41</v>
      </c>
    </row>
    <row r="343" spans="1:22" ht="14.4" customHeight="1">
      <c r="A343" s="101" t="str">
        <f>IF(K343&gt;0,COUNT($A$8:A342)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43" s="610"/>
      <c r="C343" s="611"/>
      <c r="D343" s="274" t="str">
        <f>_xlfn.XLOOKUP(E343,'All Products'!D:D,'All Products'!C:C,FALSE)</f>
        <v>1-A1-2-19-12</v>
      </c>
      <c r="E343" s="103">
        <v>100023834</v>
      </c>
      <c r="F343" s="144" t="str">
        <f>_xlfn.XLOOKUP(E343,'All Products'!D:D,'All Products'!E:E,FALSE)</f>
        <v>2 SADDLE X 1 FIPT SU X 12 SJ</v>
      </c>
      <c r="G343" s="103">
        <f>_xlfn.XLOOKUP(E343,'All Products'!D:D,'All Products'!F:F,FALSE)</f>
        <v>10</v>
      </c>
      <c r="H343" s="103">
        <f>_xlfn.XLOOKUP(E343,'All Products'!D:D,'All Products'!G:G,FALSE)</f>
        <v>600</v>
      </c>
      <c r="I343" s="140">
        <f>_xlfn.XLOOKUP(E343,'All Products'!D:D,'All Products'!H:H,FALSE)</f>
        <v>159.97999999999999</v>
      </c>
      <c r="J343" s="173">
        <f>ROUNDUP(I343*Order_Quote!$L$26,2)</f>
        <v>159.97999999999999</v>
      </c>
      <c r="K343" s="75"/>
      <c r="L343" s="113"/>
      <c r="M343" s="171">
        <f t="shared" si="8"/>
        <v>0</v>
      </c>
      <c r="O343" s="215" t="str">
        <f>_xlfn.XLOOKUP(E343,'All Products'!D:D,'All Products'!I:I,FALSE)</f>
        <v>Within 3 Weeks</v>
      </c>
      <c r="P343" s="215" t="str">
        <f>_xlfn.XLOOKUP(E343,'All Products'!D:D,'All Products'!J:J,FALSE)</f>
        <v>Manufactured</v>
      </c>
      <c r="Q343" s="266">
        <f>_xlfn.XLOOKUP(E343,'All Products'!D:D,'All Products'!K:K,FALSE)</f>
        <v>49081020606</v>
      </c>
      <c r="R343" s="266" t="str">
        <f>_xlfn.XLOOKUP(E343,'All Products'!D:D,'All Products'!L:L,FALSE)</f>
        <v>-</v>
      </c>
      <c r="S343" s="266">
        <f>_xlfn.XLOOKUP(E343,'All Products'!D:D,'All Products'!M:M,FALSE)</f>
        <v>40049081020604</v>
      </c>
      <c r="T343" s="264">
        <f>_xlfn.XLOOKUP(E343,'All Products'!D:D,'All Products'!N:N,FALSE)</f>
        <v>1.792</v>
      </c>
      <c r="U343" s="264">
        <f>_xlfn.XLOOKUP(E343,'All Products'!D:D,'All Products'!P:P,FALSE)</f>
        <v>19.73</v>
      </c>
      <c r="V343" s="265">
        <f>_xlfn.XLOOKUP(E343,'All Products'!D:D,'All Products'!Q:Q,FALSE)</f>
        <v>1.41</v>
      </c>
    </row>
    <row r="344" spans="1:22" ht="14.4" customHeight="1">
      <c r="A344" s="101" t="str">
        <f>IF(K344&gt;0,COUNT($A$8:A343)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44" s="610"/>
      <c r="C344" s="611"/>
      <c r="D344" s="274" t="str">
        <f>_xlfn.XLOOKUP(E344,'All Products'!D:D,'All Products'!C:C,FALSE)</f>
        <v>1-A1-2-19-8</v>
      </c>
      <c r="E344" s="103">
        <v>100024889</v>
      </c>
      <c r="F344" s="144" t="str">
        <f>_xlfn.XLOOKUP(E344,'All Products'!D:D,'All Products'!E:E,FALSE)</f>
        <v>2 SADDLE X 1 FIPT SU X 8 LL SJ</v>
      </c>
      <c r="G344" s="103">
        <f>_xlfn.XLOOKUP(E344,'All Products'!D:D,'All Products'!F:F,FALSE)</f>
        <v>10</v>
      </c>
      <c r="H344" s="103">
        <f>_xlfn.XLOOKUP(E344,'All Products'!D:D,'All Products'!G:G,FALSE)</f>
        <v>600</v>
      </c>
      <c r="I344" s="140">
        <f>_xlfn.XLOOKUP(E344,'All Products'!D:D,'All Products'!H:H,FALSE)</f>
        <v>148.88</v>
      </c>
      <c r="J344" s="173">
        <f>ROUNDUP(I344*Order_Quote!$L$26,2)</f>
        <v>148.88</v>
      </c>
      <c r="K344" s="75"/>
      <c r="L344" s="113"/>
      <c r="M344" s="171">
        <f t="shared" si="8"/>
        <v>0</v>
      </c>
      <c r="O344" s="215" t="str">
        <f>_xlfn.XLOOKUP(E344,'All Products'!D:D,'All Products'!I:I,FALSE)</f>
        <v>Within 3 Weeks</v>
      </c>
      <c r="P344" s="215" t="str">
        <f>_xlfn.XLOOKUP(E344,'All Products'!D:D,'All Products'!J:J,FALSE)</f>
        <v>Manufactured</v>
      </c>
      <c r="Q344" s="266">
        <f>_xlfn.XLOOKUP(E344,'All Products'!D:D,'All Products'!K:K,FALSE)</f>
        <v>49081029623</v>
      </c>
      <c r="R344" s="266" t="str">
        <f>_xlfn.XLOOKUP(E344,'All Products'!D:D,'All Products'!L:L,FALSE)</f>
        <v>-</v>
      </c>
      <c r="S344" s="266">
        <f>_xlfn.XLOOKUP(E344,'All Products'!D:D,'All Products'!M:M,FALSE)</f>
        <v>40049081026927</v>
      </c>
      <c r="T344" s="264">
        <f>_xlfn.XLOOKUP(E344,'All Products'!D:D,'All Products'!N:N,FALSE)</f>
        <v>1.9</v>
      </c>
      <c r="U344" s="264">
        <f>_xlfn.XLOOKUP(E344,'All Products'!D:D,'All Products'!P:P,FALSE)</f>
        <v>19</v>
      </c>
      <c r="V344" s="265">
        <f>_xlfn.XLOOKUP(E344,'All Products'!D:D,'All Products'!Q:Q,FALSE)</f>
        <v>1.41</v>
      </c>
    </row>
    <row r="345" spans="1:22" ht="14.4" customHeight="1">
      <c r="A345" s="101" t="str">
        <f>IF(K345&gt;0,COUNT($A$8:A344)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45" s="610"/>
      <c r="C345" s="611"/>
      <c r="D345" s="274" t="str">
        <f>_xlfn.XLOOKUP(E345,'All Products'!D:D,'All Products'!C:C,FALSE)</f>
        <v>1-A1-3-19-12</v>
      </c>
      <c r="E345" s="103">
        <v>100024900</v>
      </c>
      <c r="F345" s="144" t="str">
        <f>_xlfn.XLOOKUP(E345,'All Products'!D:D,'All Products'!E:E,FALSE)</f>
        <v>2 SADDLE X 1 MPT SU X 12 SJ</v>
      </c>
      <c r="G345" s="103">
        <f>_xlfn.XLOOKUP(E345,'All Products'!D:D,'All Products'!F:F,FALSE)</f>
        <v>10</v>
      </c>
      <c r="H345" s="103">
        <f>_xlfn.XLOOKUP(E345,'All Products'!D:D,'All Products'!G:G,FALSE)</f>
        <v>600</v>
      </c>
      <c r="I345" s="140">
        <f>_xlfn.XLOOKUP(E345,'All Products'!D:D,'All Products'!H:H,FALSE)</f>
        <v>159.97999999999999</v>
      </c>
      <c r="J345" s="173">
        <f>ROUNDUP(I345*Order_Quote!$L$26,2)</f>
        <v>159.97999999999999</v>
      </c>
      <c r="K345" s="75"/>
      <c r="L345" s="113"/>
      <c r="M345" s="171">
        <f t="shared" si="8"/>
        <v>0</v>
      </c>
      <c r="O345" s="215" t="str">
        <f>_xlfn.XLOOKUP(E345,'All Products'!D:D,'All Products'!I:I,FALSE)</f>
        <v>Within 3 Weeks</v>
      </c>
      <c r="P345" s="215" t="str">
        <f>_xlfn.XLOOKUP(E345,'All Products'!D:D,'All Products'!J:J,FALSE)</f>
        <v>Manufactured</v>
      </c>
      <c r="Q345" s="266">
        <f>_xlfn.XLOOKUP(E345,'All Products'!D:D,'All Products'!K:K,FALSE)</f>
        <v>49081023669</v>
      </c>
      <c r="R345" s="266" t="str">
        <f>_xlfn.XLOOKUP(E345,'All Products'!D:D,'All Products'!L:L,FALSE)</f>
        <v>-</v>
      </c>
      <c r="S345" s="266">
        <f>_xlfn.XLOOKUP(E345,'All Products'!D:D,'All Products'!M:M,FALSE)</f>
        <v>40049081023667</v>
      </c>
      <c r="T345" s="264">
        <f>_xlfn.XLOOKUP(E345,'All Products'!D:D,'All Products'!N:N,FALSE)</f>
        <v>1.776</v>
      </c>
      <c r="U345" s="264">
        <f>_xlfn.XLOOKUP(E345,'All Products'!D:D,'All Products'!P:P,FALSE)</f>
        <v>20.14</v>
      </c>
      <c r="V345" s="265">
        <f>_xlfn.XLOOKUP(E345,'All Products'!D:D,'All Products'!Q:Q,FALSE)</f>
        <v>1.41</v>
      </c>
    </row>
    <row r="346" spans="1:22" ht="14.4" customHeight="1">
      <c r="A346" s="101" t="str">
        <f>IF(K346&gt;0,COUNT($A$8:A345)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46" s="610"/>
      <c r="C346" s="611"/>
      <c r="D346" s="274" t="str">
        <f>_xlfn.XLOOKUP(E346,'All Products'!D:D,'All Products'!C:C,FALSE)</f>
        <v>1-A1-3-19-18</v>
      </c>
      <c r="E346" s="103">
        <v>100023864</v>
      </c>
      <c r="F346" s="144" t="str">
        <f>_xlfn.XLOOKUP(E346,'All Products'!D:D,'All Products'!E:E,FALSE)</f>
        <v>2 SADDLE X 1 MPT SU X 18 LL SJ</v>
      </c>
      <c r="G346" s="103">
        <f>_xlfn.XLOOKUP(E346,'All Products'!D:D,'All Products'!F:F,FALSE)</f>
        <v>10</v>
      </c>
      <c r="H346" s="103">
        <f>_xlfn.XLOOKUP(E346,'All Products'!D:D,'All Products'!G:G,FALSE)</f>
        <v>240</v>
      </c>
      <c r="I346" s="140">
        <f>_xlfn.XLOOKUP(E346,'All Products'!D:D,'All Products'!H:H,FALSE)</f>
        <v>171.06</v>
      </c>
      <c r="J346" s="173">
        <f>ROUNDUP(I346*Order_Quote!$L$26,2)</f>
        <v>171.06</v>
      </c>
      <c r="K346" s="75"/>
      <c r="L346" s="113"/>
      <c r="M346" s="171">
        <f t="shared" si="8"/>
        <v>0</v>
      </c>
      <c r="O346" s="215" t="str">
        <f>_xlfn.XLOOKUP(E346,'All Products'!D:D,'All Products'!I:I,FALSE)</f>
        <v>Within 3 Weeks</v>
      </c>
      <c r="P346" s="215" t="str">
        <f>_xlfn.XLOOKUP(E346,'All Products'!D:D,'All Products'!J:J,FALSE)</f>
        <v>Manufactured</v>
      </c>
      <c r="Q346" s="266">
        <f>_xlfn.XLOOKUP(E346,'All Products'!D:D,'All Products'!K:K,FALSE)</f>
        <v>49081023676</v>
      </c>
      <c r="R346" s="266" t="str">
        <f>_xlfn.XLOOKUP(E346,'All Products'!D:D,'All Products'!L:L,FALSE)</f>
        <v>-</v>
      </c>
      <c r="S346" s="266">
        <f>_xlfn.XLOOKUP(E346,'All Products'!D:D,'All Products'!M:M,FALSE)</f>
        <v>40049081023674</v>
      </c>
      <c r="T346" s="264">
        <f>_xlfn.XLOOKUP(E346,'All Products'!D:D,'All Products'!N:N,FALSE)</f>
        <v>1.9550000000000001</v>
      </c>
      <c r="U346" s="264">
        <f>_xlfn.XLOOKUP(E346,'All Products'!D:D,'All Products'!P:P,FALSE)</f>
        <v>22.6</v>
      </c>
      <c r="V346" s="265">
        <f>_xlfn.XLOOKUP(E346,'All Products'!D:D,'All Products'!Q:Q,FALSE)</f>
        <v>2.77</v>
      </c>
    </row>
    <row r="347" spans="1:22" ht="14.4" customHeight="1">
      <c r="A347" s="101" t="str">
        <f>IF(K347&gt;0,COUNT($A$8:A346)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47" s="610"/>
      <c r="C347" s="611"/>
      <c r="D347" s="274" t="str">
        <f>_xlfn.XLOOKUP(E347,'All Products'!D:D,'All Products'!C:C,FALSE)</f>
        <v>1-A1-3-19-6</v>
      </c>
      <c r="E347" s="103">
        <v>100023865</v>
      </c>
      <c r="F347" s="144" t="str">
        <f>_xlfn.XLOOKUP(E347,'All Products'!D:D,'All Products'!E:E,FALSE)</f>
        <v>2 IPS X 1 MIPT SADDLE SU X 6LL SJ</v>
      </c>
      <c r="G347" s="103">
        <f>_xlfn.XLOOKUP(E347,'All Products'!D:D,'All Products'!F:F,FALSE)</f>
        <v>10</v>
      </c>
      <c r="H347" s="103">
        <f>_xlfn.XLOOKUP(E347,'All Products'!D:D,'All Products'!G:G,FALSE)</f>
        <v>600</v>
      </c>
      <c r="I347" s="140">
        <f>_xlfn.XLOOKUP(E347,'All Products'!D:D,'All Products'!H:H,FALSE)</f>
        <v>148.88</v>
      </c>
      <c r="J347" s="173">
        <f>ROUNDUP(I347*Order_Quote!$L$26,2)</f>
        <v>148.88</v>
      </c>
      <c r="K347" s="75"/>
      <c r="L347" s="113"/>
      <c r="M347" s="171">
        <f t="shared" si="8"/>
        <v>0</v>
      </c>
      <c r="O347" s="215" t="str">
        <f>_xlfn.XLOOKUP(E347,'All Products'!D:D,'All Products'!I:I,FALSE)</f>
        <v>Within 3 Weeks</v>
      </c>
      <c r="P347" s="215" t="str">
        <f>_xlfn.XLOOKUP(E347,'All Products'!D:D,'All Products'!J:J,FALSE)</f>
        <v>Manufactured</v>
      </c>
      <c r="Q347" s="266">
        <f>_xlfn.XLOOKUP(E347,'All Products'!D:D,'All Products'!K:K,FALSE)</f>
        <v>49081030971</v>
      </c>
      <c r="R347" s="266" t="str">
        <f>_xlfn.XLOOKUP(E347,'All Products'!D:D,'All Products'!L:L,FALSE)</f>
        <v>-</v>
      </c>
      <c r="S347" s="266">
        <f>_xlfn.XLOOKUP(E347,'All Products'!D:D,'All Products'!M:M,FALSE)</f>
        <v>40049081030979</v>
      </c>
      <c r="T347" s="264">
        <f>_xlfn.XLOOKUP(E347,'All Products'!D:D,'All Products'!N:N,FALSE)</f>
        <v>1.5589999999999999</v>
      </c>
      <c r="U347" s="264">
        <f>_xlfn.XLOOKUP(E347,'All Products'!D:D,'All Products'!P:P,FALSE)</f>
        <v>17.45</v>
      </c>
      <c r="V347" s="265">
        <f>_xlfn.XLOOKUP(E347,'All Products'!D:D,'All Products'!Q:Q,FALSE)</f>
        <v>1.41</v>
      </c>
    </row>
    <row r="348" spans="1:22" ht="14.4" customHeight="1">
      <c r="A348" s="101" t="str">
        <f>IF(K348&gt;0,COUNT($A$8:A347)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48" s="610"/>
      <c r="C348" s="611"/>
      <c r="D348" s="274" t="str">
        <f>_xlfn.XLOOKUP(E348,'All Products'!D:D,'All Products'!C:C,FALSE)</f>
        <v>1-A1-3-19-8</v>
      </c>
      <c r="E348" s="103">
        <v>100023866</v>
      </c>
      <c r="F348" s="144" t="str">
        <f>_xlfn.XLOOKUP(E348,'All Products'!D:D,'All Products'!E:E,FALSE)</f>
        <v>2 SADDLE X 1 MPT SU X 8 SJ</v>
      </c>
      <c r="G348" s="103">
        <f>_xlfn.XLOOKUP(E348,'All Products'!D:D,'All Products'!F:F,FALSE)</f>
        <v>10</v>
      </c>
      <c r="H348" s="103">
        <f>_xlfn.XLOOKUP(E348,'All Products'!D:D,'All Products'!G:G,FALSE)</f>
        <v>240</v>
      </c>
      <c r="I348" s="140">
        <f>_xlfn.XLOOKUP(E348,'All Products'!D:D,'All Products'!H:H,FALSE)</f>
        <v>148.88</v>
      </c>
      <c r="J348" s="173">
        <f>ROUNDUP(I348*Order_Quote!$L$26,2)</f>
        <v>148.88</v>
      </c>
      <c r="K348" s="75"/>
      <c r="L348" s="113"/>
      <c r="M348" s="171">
        <f t="shared" si="8"/>
        <v>0</v>
      </c>
      <c r="O348" s="215" t="str">
        <f>_xlfn.XLOOKUP(E348,'All Products'!D:D,'All Products'!I:I,FALSE)</f>
        <v>Within 3 Weeks</v>
      </c>
      <c r="P348" s="215" t="str">
        <f>_xlfn.XLOOKUP(E348,'All Products'!D:D,'All Products'!J:J,FALSE)</f>
        <v>Manufactured</v>
      </c>
      <c r="Q348" s="266">
        <f>_xlfn.XLOOKUP(E348,'All Products'!D:D,'All Products'!K:K,FALSE)</f>
        <v>49081023683</v>
      </c>
      <c r="R348" s="266" t="str">
        <f>_xlfn.XLOOKUP(E348,'All Products'!D:D,'All Products'!L:L,FALSE)</f>
        <v>-</v>
      </c>
      <c r="S348" s="266">
        <f>_xlfn.XLOOKUP(E348,'All Products'!D:D,'All Products'!M:M,FALSE)</f>
        <v>40049081023681</v>
      </c>
      <c r="T348" s="264">
        <f>_xlfn.XLOOKUP(E348,'All Products'!D:D,'All Products'!N:N,FALSE)</f>
        <v>1.623</v>
      </c>
      <c r="U348" s="264">
        <f>_xlfn.XLOOKUP(E348,'All Products'!D:D,'All Products'!P:P,FALSE)</f>
        <v>19.100000000000001</v>
      </c>
      <c r="V348" s="265">
        <f>_xlfn.XLOOKUP(E348,'All Products'!D:D,'All Products'!Q:Q,FALSE)</f>
        <v>2.77</v>
      </c>
    </row>
    <row r="349" spans="1:22" ht="14.4" customHeight="1">
      <c r="A349" s="101" t="str">
        <f>IF(K349&gt;0,COUNT($A$8:A348)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49" s="610"/>
      <c r="C349" s="611"/>
      <c r="D349" s="274" t="str">
        <f>_xlfn.XLOOKUP(E349,'All Products'!D:D,'All Products'!C:C,FALSE)</f>
        <v>1-A1-QC-19-12</v>
      </c>
      <c r="E349" s="103">
        <v>100024906</v>
      </c>
      <c r="F349" s="144" t="str">
        <f>_xlfn.XLOOKUP(E349,'All Products'!D:D,'All Products'!E:E,FALSE)</f>
        <v>2 SADDLE X 1 BRASS MPT SU X 12 SJ</v>
      </c>
      <c r="G349" s="103">
        <f>_xlfn.XLOOKUP(E349,'All Products'!D:D,'All Products'!F:F,FALSE)</f>
        <v>10</v>
      </c>
      <c r="H349" s="103">
        <f>_xlfn.XLOOKUP(E349,'All Products'!D:D,'All Products'!G:G,FALSE)</f>
        <v>180</v>
      </c>
      <c r="I349" s="140">
        <f>_xlfn.XLOOKUP(E349,'All Products'!D:D,'All Products'!H:H,FALSE)</f>
        <v>243.53</v>
      </c>
      <c r="J349" s="173">
        <f>ROUNDUP(I349*Order_Quote!$L$26,2)</f>
        <v>243.53</v>
      </c>
      <c r="K349" s="75"/>
      <c r="L349" s="113"/>
      <c r="M349" s="171">
        <f t="shared" si="8"/>
        <v>0</v>
      </c>
      <c r="O349" s="215" t="str">
        <f>_xlfn.XLOOKUP(E349,'All Products'!D:D,'All Products'!I:I,FALSE)</f>
        <v>In Stock</v>
      </c>
      <c r="P349" s="215" t="str">
        <f>_xlfn.XLOOKUP(E349,'All Products'!D:D,'All Products'!J:J,FALSE)</f>
        <v>Manufactured</v>
      </c>
      <c r="Q349" s="266">
        <f>_xlfn.XLOOKUP(E349,'All Products'!D:D,'All Products'!K:K,FALSE)</f>
        <v>49081022204</v>
      </c>
      <c r="R349" s="266" t="str">
        <f>_xlfn.XLOOKUP(E349,'All Products'!D:D,'All Products'!L:L,FALSE)</f>
        <v>-</v>
      </c>
      <c r="S349" s="266">
        <f>_xlfn.XLOOKUP(E349,'All Products'!D:D,'All Products'!M:M,FALSE)</f>
        <v>40049081022202</v>
      </c>
      <c r="T349" s="264">
        <f>_xlfn.XLOOKUP(E349,'All Products'!D:D,'All Products'!N:N,FALSE)</f>
        <v>2.4460000000000002</v>
      </c>
      <c r="U349" s="264">
        <f>_xlfn.XLOOKUP(E349,'All Products'!D:D,'All Products'!P:P,FALSE)</f>
        <v>27.34</v>
      </c>
      <c r="V349" s="265">
        <f>_xlfn.XLOOKUP(E349,'All Products'!D:D,'All Products'!Q:Q,FALSE)</f>
        <v>2.65</v>
      </c>
    </row>
    <row r="350" spans="1:22" ht="14.4" customHeight="1">
      <c r="A350" s="101" t="str">
        <f>IF(K350&gt;0,COUNT($A$8:A349)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50" s="610"/>
      <c r="C350" s="611"/>
      <c r="D350" s="274" t="str">
        <f>_xlfn.XLOOKUP(E350,'All Products'!D:D,'All Products'!C:C,FALSE)</f>
        <v>1-A1-QC-19-18</v>
      </c>
      <c r="E350" s="103">
        <v>100024907</v>
      </c>
      <c r="F350" s="144" t="str">
        <f>_xlfn.XLOOKUP(E350,'All Products'!D:D,'All Products'!E:E,FALSE)</f>
        <v>2 SADDLE X 1 BRAS MPT SU X 18LL SJ</v>
      </c>
      <c r="G350" s="103">
        <f>_xlfn.XLOOKUP(E350,'All Products'!D:D,'All Products'!F:F,FALSE)</f>
        <v>10</v>
      </c>
      <c r="H350" s="103">
        <f>_xlfn.XLOOKUP(E350,'All Products'!D:D,'All Products'!G:G,FALSE)</f>
        <v>240</v>
      </c>
      <c r="I350" s="140">
        <f>_xlfn.XLOOKUP(E350,'All Products'!D:D,'All Products'!H:H,FALSE)</f>
        <v>250.53</v>
      </c>
      <c r="J350" s="173">
        <f>ROUNDUP(I350*Order_Quote!$L$26,2)</f>
        <v>250.53</v>
      </c>
      <c r="K350" s="75"/>
      <c r="L350" s="113"/>
      <c r="M350" s="171">
        <f t="shared" si="8"/>
        <v>0</v>
      </c>
      <c r="O350" s="215" t="str">
        <f>_xlfn.XLOOKUP(E350,'All Products'!D:D,'All Products'!I:I,FALSE)</f>
        <v>In Stock</v>
      </c>
      <c r="P350" s="215" t="str">
        <f>_xlfn.XLOOKUP(E350,'All Products'!D:D,'All Products'!J:J,FALSE)</f>
        <v>Manufactured</v>
      </c>
      <c r="Q350" s="266">
        <f>_xlfn.XLOOKUP(E350,'All Products'!D:D,'All Products'!K:K,FALSE)</f>
        <v>49081022730</v>
      </c>
      <c r="R350" s="266" t="str">
        <f>_xlfn.XLOOKUP(E350,'All Products'!D:D,'All Products'!L:L,FALSE)</f>
        <v>-</v>
      </c>
      <c r="S350" s="266">
        <f>_xlfn.XLOOKUP(E350,'All Products'!D:D,'All Products'!M:M,FALSE)</f>
        <v>40049081022738</v>
      </c>
      <c r="T350" s="264">
        <f>_xlfn.XLOOKUP(E350,'All Products'!D:D,'All Products'!N:N,FALSE)</f>
        <v>2.6269999999999998</v>
      </c>
      <c r="U350" s="264">
        <f>_xlfn.XLOOKUP(E350,'All Products'!D:D,'All Products'!P:P,FALSE)</f>
        <v>29.65</v>
      </c>
      <c r="V350" s="265">
        <f>_xlfn.XLOOKUP(E350,'All Products'!D:D,'All Products'!Q:Q,FALSE)</f>
        <v>2.77</v>
      </c>
    </row>
    <row r="351" spans="1:22" ht="14.4" customHeight="1">
      <c r="A351" s="101" t="str">
        <f>IF(K351&gt;0,COUNT($A$8:A350)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51" s="610"/>
      <c r="C351" s="611"/>
      <c r="D351" s="274" t="str">
        <f>_xlfn.XLOOKUP(E351,'All Products'!D:D,'All Products'!C:C,FALSE)</f>
        <v>1-D1-13-19-12</v>
      </c>
      <c r="E351" s="103">
        <v>100024948</v>
      </c>
      <c r="F351" s="144" t="str">
        <f>_xlfn.XLOOKUP(E351,'All Products'!D:D,'All Products'!E:E,FALSE)</f>
        <v>63MM SADDLE X 1 ACME SU X 12 SJ</v>
      </c>
      <c r="G351" s="103">
        <f>_xlfn.XLOOKUP(E351,'All Products'!D:D,'All Products'!F:F,FALSE)</f>
        <v>10</v>
      </c>
      <c r="H351" s="103" t="str">
        <f>_xlfn.XLOOKUP(E351,'All Products'!D:D,'All Products'!G:G,FALSE)</f>
        <v>-</v>
      </c>
      <c r="I351" s="140">
        <f>_xlfn.XLOOKUP(E351,'All Products'!D:D,'All Products'!H:H,FALSE)</f>
        <v>159.97999999999999</v>
      </c>
      <c r="J351" s="173">
        <f>ROUNDUP(I351*Order_Quote!$L$26,2)</f>
        <v>159.97999999999999</v>
      </c>
      <c r="K351" s="75"/>
      <c r="L351" s="113"/>
      <c r="M351" s="171">
        <f t="shared" si="8"/>
        <v>0</v>
      </c>
      <c r="O351" s="215" t="str">
        <f>_xlfn.XLOOKUP(E351,'All Products'!D:D,'All Products'!I:I,FALSE)</f>
        <v>Within 3 Weeks</v>
      </c>
      <c r="P351" s="215" t="str">
        <f>_xlfn.XLOOKUP(E351,'All Products'!D:D,'All Products'!J:J,FALSE)</f>
        <v>Manufactured</v>
      </c>
      <c r="Q351" s="266">
        <f>_xlfn.XLOOKUP(E351,'All Products'!D:D,'All Products'!K:K,FALSE)</f>
        <v>49081025519</v>
      </c>
      <c r="R351" s="266" t="str">
        <f>_xlfn.XLOOKUP(E351,'All Products'!D:D,'All Products'!L:L,FALSE)</f>
        <v>-</v>
      </c>
      <c r="S351" s="266">
        <f>_xlfn.XLOOKUP(E351,'All Products'!D:D,'All Products'!M:M,FALSE)</f>
        <v>40049081025517</v>
      </c>
      <c r="T351" s="264">
        <f>_xlfn.XLOOKUP(E351,'All Products'!D:D,'All Products'!N:N,FALSE)</f>
        <v>1.784</v>
      </c>
      <c r="U351" s="264" t="str">
        <f>_xlfn.XLOOKUP(E351,'All Products'!D:D,'All Products'!P:P,FALSE)</f>
        <v>-</v>
      </c>
      <c r="V351" s="265" t="str">
        <f>_xlfn.XLOOKUP(E351,'All Products'!D:D,'All Products'!Q:Q,FALSE)</f>
        <v>-</v>
      </c>
    </row>
    <row r="352" spans="1:22" ht="14.4" customHeight="1">
      <c r="A352" s="101" t="str">
        <f>IF(K352&gt;0,COUNT($A$8:A351)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52" s="610"/>
      <c r="C352" s="611"/>
      <c r="D352" s="274" t="str">
        <f>_xlfn.XLOOKUP(E352,'All Products'!D:D,'All Products'!C:C,FALSE)</f>
        <v>1-D1-13-19-18</v>
      </c>
      <c r="E352" s="103">
        <v>100024949</v>
      </c>
      <c r="F352" s="144" t="str">
        <f>_xlfn.XLOOKUP(E352,'All Products'!D:D,'All Products'!E:E,FALSE)</f>
        <v>63MM X 1 ACME SAD UNI X 18 LL SJ</v>
      </c>
      <c r="G352" s="103">
        <f>_xlfn.XLOOKUP(E352,'All Products'!D:D,'All Products'!F:F,FALSE)</f>
        <v>10</v>
      </c>
      <c r="H352" s="103" t="str">
        <f>_xlfn.XLOOKUP(E352,'All Products'!D:D,'All Products'!G:G,FALSE)</f>
        <v>-</v>
      </c>
      <c r="I352" s="140">
        <f>_xlfn.XLOOKUP(E352,'All Products'!D:D,'All Products'!H:H,FALSE)</f>
        <v>171.06</v>
      </c>
      <c r="J352" s="173">
        <f>ROUNDUP(I352*Order_Quote!$L$26,2)</f>
        <v>171.06</v>
      </c>
      <c r="K352" s="75"/>
      <c r="L352" s="113"/>
      <c r="M352" s="171">
        <f t="shared" si="8"/>
        <v>0</v>
      </c>
      <c r="O352" s="215" t="str">
        <f>_xlfn.XLOOKUP(E352,'All Products'!D:D,'All Products'!I:I,FALSE)</f>
        <v>Within 3 Weeks</v>
      </c>
      <c r="P352" s="215" t="str">
        <f>_xlfn.XLOOKUP(E352,'All Products'!D:D,'All Products'!J:J,FALSE)</f>
        <v>Manufactured</v>
      </c>
      <c r="Q352" s="266">
        <f>_xlfn.XLOOKUP(E352,'All Products'!D:D,'All Products'!K:K,FALSE)</f>
        <v>49081031299</v>
      </c>
      <c r="R352" s="266" t="str">
        <f>_xlfn.XLOOKUP(E352,'All Products'!D:D,'All Products'!L:L,FALSE)</f>
        <v>-</v>
      </c>
      <c r="S352" s="266">
        <f>_xlfn.XLOOKUP(E352,'All Products'!D:D,'All Products'!M:M,FALSE)</f>
        <v>40049081031297</v>
      </c>
      <c r="T352" s="264">
        <f>_xlfn.XLOOKUP(E352,'All Products'!D:D,'All Products'!N:N,FALSE)</f>
        <v>1.9630000000000001</v>
      </c>
      <c r="U352" s="264" t="str">
        <f>_xlfn.XLOOKUP(E352,'All Products'!D:D,'All Products'!P:P,FALSE)</f>
        <v>-</v>
      </c>
      <c r="V352" s="265" t="str">
        <f>_xlfn.XLOOKUP(E352,'All Products'!D:D,'All Products'!Q:Q,FALSE)</f>
        <v>-</v>
      </c>
    </row>
    <row r="353" spans="1:22" ht="14.4" customHeight="1">
      <c r="A353" s="101" t="str">
        <f>IF(K353&gt;0,COUNT($A$8:A352)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53" s="610"/>
      <c r="C353" s="611"/>
      <c r="D353" s="274" t="str">
        <f>_xlfn.XLOOKUP(E353,'All Products'!D:D,'All Products'!C:C,FALSE)</f>
        <v>1-D1-22-19-18</v>
      </c>
      <c r="E353" s="103">
        <v>100024098</v>
      </c>
      <c r="F353" s="144" t="str">
        <f>_xlfn.XLOOKUP(E353,'All Products'!D:D,'All Products'!E:E,FALSE)</f>
        <v>63MM X 1 BSPT SADDLE SU X 18LL SJ</v>
      </c>
      <c r="G353" s="103">
        <f>_xlfn.XLOOKUP(E353,'All Products'!D:D,'All Products'!F:F,FALSE)</f>
        <v>10</v>
      </c>
      <c r="H353" s="103">
        <f>_xlfn.XLOOKUP(E353,'All Products'!D:D,'All Products'!G:G,FALSE)</f>
        <v>240</v>
      </c>
      <c r="I353" s="140">
        <f>_xlfn.XLOOKUP(E353,'All Products'!D:D,'All Products'!H:H,FALSE)</f>
        <v>171.06</v>
      </c>
      <c r="J353" s="173">
        <f>ROUNDUP(I353*Order_Quote!$L$26,2)</f>
        <v>171.06</v>
      </c>
      <c r="K353" s="75"/>
      <c r="L353" s="113"/>
      <c r="M353" s="171">
        <f t="shared" si="8"/>
        <v>0</v>
      </c>
      <c r="O353" s="215" t="str">
        <f>_xlfn.XLOOKUP(E353,'All Products'!D:D,'All Products'!I:I,FALSE)</f>
        <v>Within 3 Weeks</v>
      </c>
      <c r="P353" s="215" t="str">
        <f>_xlfn.XLOOKUP(E353,'All Products'!D:D,'All Products'!J:J,FALSE)</f>
        <v>Manufactured</v>
      </c>
      <c r="Q353" s="266">
        <f>_xlfn.XLOOKUP(E353,'All Products'!D:D,'All Products'!K:K,FALSE)</f>
        <v>49081030964</v>
      </c>
      <c r="R353" s="266" t="str">
        <f>_xlfn.XLOOKUP(E353,'All Products'!D:D,'All Products'!L:L,FALSE)</f>
        <v>-</v>
      </c>
      <c r="S353" s="266">
        <f>_xlfn.XLOOKUP(E353,'All Products'!D:D,'All Products'!M:M,FALSE)</f>
        <v>40049081030962</v>
      </c>
      <c r="T353" s="264">
        <f>_xlfn.XLOOKUP(E353,'All Products'!D:D,'All Products'!N:N,FALSE)</f>
        <v>1.9419999999999999</v>
      </c>
      <c r="U353" s="264">
        <f>_xlfn.XLOOKUP(E353,'All Products'!D:D,'All Products'!P:P,FALSE)</f>
        <v>22.5</v>
      </c>
      <c r="V353" s="265">
        <f>_xlfn.XLOOKUP(E353,'All Products'!D:D,'All Products'!Q:Q,FALSE)</f>
        <v>2.77</v>
      </c>
    </row>
    <row r="354" spans="1:22" ht="14.4" customHeight="1">
      <c r="A354" s="101" t="str">
        <f>IF(K354&gt;0,COUNT($A$8:A353)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54" s="610"/>
      <c r="C354" s="611"/>
      <c r="D354" s="274" t="str">
        <f>_xlfn.XLOOKUP(E354,'All Products'!D:D,'All Products'!C:C,FALSE)</f>
        <v>1-D1-3-19-18</v>
      </c>
      <c r="E354" s="103">
        <v>100024103</v>
      </c>
      <c r="F354" s="144" t="str">
        <f>_xlfn.XLOOKUP(E354,'All Products'!D:D,'All Products'!E:E,FALSE)</f>
        <v>63MM X 1 MPT SAD UNI X 18 LL SJ</v>
      </c>
      <c r="G354" s="103">
        <f>_xlfn.XLOOKUP(E354,'All Products'!D:D,'All Products'!F:F,FALSE)</f>
        <v>10</v>
      </c>
      <c r="H354" s="103">
        <f>_xlfn.XLOOKUP(E354,'All Products'!D:D,'All Products'!G:G,FALSE)</f>
        <v>240</v>
      </c>
      <c r="I354" s="140">
        <f>_xlfn.XLOOKUP(E354,'All Products'!D:D,'All Products'!H:H,FALSE)</f>
        <v>4.42</v>
      </c>
      <c r="J354" s="173">
        <f>ROUNDUP(I354*Order_Quote!$L$26,2)</f>
        <v>4.42</v>
      </c>
      <c r="K354" s="75"/>
      <c r="L354" s="113"/>
      <c r="M354" s="171">
        <f t="shared" si="8"/>
        <v>0</v>
      </c>
      <c r="O354" s="215" t="str">
        <f>_xlfn.XLOOKUP(E354,'All Products'!D:D,'All Products'!I:I,FALSE)</f>
        <v>Within 3 Weeks</v>
      </c>
      <c r="P354" s="215" t="str">
        <f>_xlfn.XLOOKUP(E354,'All Products'!D:D,'All Products'!J:J,FALSE)</f>
        <v>Manufactured</v>
      </c>
      <c r="Q354" s="266">
        <f>_xlfn.XLOOKUP(E354,'All Products'!D:D,'All Products'!K:K,FALSE)</f>
        <v>49081031459</v>
      </c>
      <c r="R354" s="266" t="str">
        <f>_xlfn.XLOOKUP(E354,'All Products'!D:D,'All Products'!L:L,FALSE)</f>
        <v>-</v>
      </c>
      <c r="S354" s="266">
        <f>_xlfn.XLOOKUP(E354,'All Products'!D:D,'All Products'!M:M,FALSE)</f>
        <v>40049081031457</v>
      </c>
      <c r="T354" s="264">
        <f>_xlfn.XLOOKUP(E354,'All Products'!D:D,'All Products'!N:N,FALSE)</f>
        <v>1.9430000000000001</v>
      </c>
      <c r="U354" s="264">
        <f>_xlfn.XLOOKUP(E354,'All Products'!D:D,'All Products'!P:P,FALSE)</f>
        <v>23</v>
      </c>
      <c r="V354" s="265">
        <f>_xlfn.XLOOKUP(E354,'All Products'!D:D,'All Products'!Q:Q,FALSE)</f>
        <v>2.77</v>
      </c>
    </row>
    <row r="355" spans="1:22" ht="14.4" customHeight="1">
      <c r="A355" s="101" t="str">
        <f>IF(K355&gt;0,COUNT($A$8:A354)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55" s="610"/>
      <c r="C355" s="611"/>
      <c r="D355" s="274" t="str">
        <f>_xlfn.XLOOKUP(E355,'All Products'!D:D,'All Products'!C:C,FALSE)</f>
        <v>1-D1-QC-19-12</v>
      </c>
      <c r="E355" s="103">
        <v>100024950</v>
      </c>
      <c r="F355" s="144" t="str">
        <f>_xlfn.XLOOKUP(E355,'All Products'!D:D,'All Products'!E:E,FALSE)</f>
        <v>63MM X 1 QC SU X 12 LL SJ</v>
      </c>
      <c r="G355" s="103">
        <f>_xlfn.XLOOKUP(E355,'All Products'!D:D,'All Products'!F:F,FALSE)</f>
        <v>10</v>
      </c>
      <c r="H355" s="103">
        <f>_xlfn.XLOOKUP(E355,'All Products'!D:D,'All Products'!G:G,FALSE)</f>
        <v>180</v>
      </c>
      <c r="I355" s="140">
        <f>_xlfn.XLOOKUP(E355,'All Products'!D:D,'All Products'!H:H,FALSE)</f>
        <v>243.53</v>
      </c>
      <c r="J355" s="173">
        <f>ROUNDUP(I355*Order_Quote!$L$26,2)</f>
        <v>243.53</v>
      </c>
      <c r="K355" s="75"/>
      <c r="L355" s="113"/>
      <c r="M355" s="171">
        <f t="shared" si="8"/>
        <v>0</v>
      </c>
      <c r="O355" s="215" t="str">
        <f>_xlfn.XLOOKUP(E355,'All Products'!D:D,'All Products'!I:I,FALSE)</f>
        <v>Within 3 Weeks</v>
      </c>
      <c r="P355" s="215" t="str">
        <f>_xlfn.XLOOKUP(E355,'All Products'!D:D,'All Products'!J:J,FALSE)</f>
        <v>Manufactured</v>
      </c>
      <c r="Q355" s="266">
        <f>_xlfn.XLOOKUP(E355,'All Products'!D:D,'All Products'!K:K,FALSE)</f>
        <v>49081031688</v>
      </c>
      <c r="R355" s="266" t="str">
        <f>_xlfn.XLOOKUP(E355,'All Products'!D:D,'All Products'!L:L,FALSE)</f>
        <v>-</v>
      </c>
      <c r="S355" s="266">
        <f>_xlfn.XLOOKUP(E355,'All Products'!D:D,'All Products'!M:M,FALSE)</f>
        <v>40049081031686</v>
      </c>
      <c r="T355" s="264">
        <f>_xlfn.XLOOKUP(E355,'All Products'!D:D,'All Products'!N:N,FALSE)</f>
        <v>2.4340000000000002</v>
      </c>
      <c r="U355" s="264">
        <f>_xlfn.XLOOKUP(E355,'All Products'!D:D,'All Products'!P:P,FALSE)</f>
        <v>27.1</v>
      </c>
      <c r="V355" s="265">
        <f>_xlfn.XLOOKUP(E355,'All Products'!D:D,'All Products'!Q:Q,FALSE)</f>
        <v>2.65</v>
      </c>
    </row>
    <row r="356" spans="1:22" ht="14.4" customHeight="1">
      <c r="A356" s="101" t="str">
        <f>IF(K356&gt;0,COUNT($A$8:A355)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56" s="610"/>
      <c r="C356" s="611"/>
      <c r="D356" s="274" t="str">
        <f>_xlfn.XLOOKUP(E356,'All Products'!D:D,'All Products'!C:C,FALSE)</f>
        <v>1-D1-QC-19-18</v>
      </c>
      <c r="E356" s="103">
        <v>100024951</v>
      </c>
      <c r="F356" s="144" t="str">
        <f>_xlfn.XLOOKUP(E356,'All Products'!D:D,'All Products'!E:E,FALSE)</f>
        <v>63MM X 1 BRASS MIPT SU X 18 LL SJ</v>
      </c>
      <c r="G356" s="103">
        <f>_xlfn.XLOOKUP(E356,'All Products'!D:D,'All Products'!F:F,FALSE)</f>
        <v>10</v>
      </c>
      <c r="H356" s="103">
        <f>_xlfn.XLOOKUP(E356,'All Products'!D:D,'All Products'!G:G,FALSE)</f>
        <v>240</v>
      </c>
      <c r="I356" s="140">
        <f>_xlfn.XLOOKUP(E356,'All Products'!D:D,'All Products'!H:H,FALSE)</f>
        <v>250.53</v>
      </c>
      <c r="J356" s="173">
        <f>ROUNDUP(I356*Order_Quote!$L$26,2)</f>
        <v>250.53</v>
      </c>
      <c r="K356" s="75"/>
      <c r="L356" s="113"/>
      <c r="M356" s="171">
        <f t="shared" si="8"/>
        <v>0</v>
      </c>
      <c r="O356" s="215" t="str">
        <f>_xlfn.XLOOKUP(E356,'All Products'!D:D,'All Products'!I:I,FALSE)</f>
        <v>Within 3 Weeks</v>
      </c>
      <c r="P356" s="215" t="str">
        <f>_xlfn.XLOOKUP(E356,'All Products'!D:D,'All Products'!J:J,FALSE)</f>
        <v>Manufactured</v>
      </c>
      <c r="Q356" s="266">
        <f>_xlfn.XLOOKUP(E356,'All Products'!D:D,'All Products'!K:K,FALSE)</f>
        <v>49081031251</v>
      </c>
      <c r="R356" s="266" t="str">
        <f>_xlfn.XLOOKUP(E356,'All Products'!D:D,'All Products'!L:L,FALSE)</f>
        <v>-</v>
      </c>
      <c r="S356" s="266">
        <f>_xlfn.XLOOKUP(E356,'All Products'!D:D,'All Products'!M:M,FALSE)</f>
        <v>40049081031259</v>
      </c>
      <c r="T356" s="264">
        <f>_xlfn.XLOOKUP(E356,'All Products'!D:D,'All Products'!N:N,FALSE)</f>
        <v>2.613</v>
      </c>
      <c r="U356" s="264">
        <f>_xlfn.XLOOKUP(E356,'All Products'!D:D,'All Products'!P:P,FALSE)</f>
        <v>29.8</v>
      </c>
      <c r="V356" s="265">
        <f>_xlfn.XLOOKUP(E356,'All Products'!D:D,'All Products'!Q:Q,FALSE)</f>
        <v>2.77</v>
      </c>
    </row>
    <row r="357" spans="1:22" ht="14.4" customHeight="1">
      <c r="A357" s="101" t="str">
        <f>IF(K357&gt;0,COUNT($A$8:A356)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57" s="610"/>
      <c r="C357" s="611"/>
      <c r="D357" s="274" t="str">
        <f>_xlfn.XLOOKUP(E357,'All Products'!D:D,'All Products'!C:C,FALSE)</f>
        <v>2-A2-16-19-12</v>
      </c>
      <c r="E357" s="103">
        <v>100024968</v>
      </c>
      <c r="F357" s="144" t="str">
        <f>_xlfn.XLOOKUP(E357,'All Products'!D:D,'All Products'!E:E,FALSE)</f>
        <v>2 SADDLE X 1 ACME SU X 12 LL SJ</v>
      </c>
      <c r="G357" s="103">
        <f>_xlfn.XLOOKUP(E357,'All Products'!D:D,'All Products'!F:F,FALSE)</f>
        <v>10</v>
      </c>
      <c r="H357" s="103">
        <f>_xlfn.XLOOKUP(E357,'All Products'!D:D,'All Products'!G:G,FALSE)</f>
        <v>180</v>
      </c>
      <c r="I357" s="140">
        <f>_xlfn.XLOOKUP(E357,'All Products'!D:D,'All Products'!H:H,FALSE)</f>
        <v>193.51</v>
      </c>
      <c r="J357" s="173">
        <f>ROUNDUP(I357*Order_Quote!$L$26,2)</f>
        <v>193.51</v>
      </c>
      <c r="K357" s="75"/>
      <c r="L357" s="113"/>
      <c r="M357" s="171">
        <f t="shared" si="8"/>
        <v>0</v>
      </c>
      <c r="O357" s="215" t="str">
        <f>_xlfn.XLOOKUP(E357,'All Products'!D:D,'All Products'!I:I,FALSE)</f>
        <v>Within 3 Weeks</v>
      </c>
      <c r="P357" s="215" t="str">
        <f>_xlfn.XLOOKUP(E357,'All Products'!D:D,'All Products'!J:J,FALSE)</f>
        <v>Manufactured</v>
      </c>
      <c r="Q357" s="266">
        <f>_xlfn.XLOOKUP(E357,'All Products'!D:D,'All Products'!K:K,FALSE)</f>
        <v>49081026165</v>
      </c>
      <c r="R357" s="266" t="str">
        <f>_xlfn.XLOOKUP(E357,'All Products'!D:D,'All Products'!L:L,FALSE)</f>
        <v>-</v>
      </c>
      <c r="S357" s="266">
        <f>_xlfn.XLOOKUP(E357,'All Products'!D:D,'All Products'!M:M,FALSE)</f>
        <v>40049081026163</v>
      </c>
      <c r="T357" s="264">
        <f>_xlfn.XLOOKUP(E357,'All Products'!D:D,'All Products'!N:N,FALSE)</f>
        <v>2.3839999999999999</v>
      </c>
      <c r="U357" s="264">
        <f>_xlfn.XLOOKUP(E357,'All Products'!D:D,'All Products'!P:P,FALSE)</f>
        <v>25.5</v>
      </c>
      <c r="V357" s="265">
        <f>_xlfn.XLOOKUP(E357,'All Products'!D:D,'All Products'!Q:Q,FALSE)</f>
        <v>2.65</v>
      </c>
    </row>
    <row r="358" spans="1:22" ht="14.4" customHeight="1">
      <c r="A358" s="101" t="str">
        <f>IF(K358&gt;0,COUNT($A$8:A357)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58" s="610"/>
      <c r="C358" s="611"/>
      <c r="D358" s="274" t="str">
        <f>_xlfn.XLOOKUP(E358,'All Products'!D:D,'All Products'!C:C,FALSE)</f>
        <v>2-A2-16-19-8</v>
      </c>
      <c r="E358" s="103">
        <v>100024969</v>
      </c>
      <c r="F358" s="144" t="str">
        <f>_xlfn.XLOOKUP(E358,'All Products'!D:D,'All Products'!E:E,FALSE)</f>
        <v>2 SADDLE X 1 ACME 1-1/4 SU X 8 SJ</v>
      </c>
      <c r="G358" s="103">
        <f>_xlfn.XLOOKUP(E358,'All Products'!D:D,'All Products'!F:F,FALSE)</f>
        <v>10</v>
      </c>
      <c r="H358" s="103">
        <f>_xlfn.XLOOKUP(E358,'All Products'!D:D,'All Products'!G:G,FALSE)</f>
        <v>180</v>
      </c>
      <c r="I358" s="140">
        <f>_xlfn.XLOOKUP(E358,'All Products'!D:D,'All Products'!H:H,FALSE)</f>
        <v>182.38</v>
      </c>
      <c r="J358" s="173">
        <f>ROUNDUP(I358*Order_Quote!$L$26,2)</f>
        <v>182.38</v>
      </c>
      <c r="K358" s="75"/>
      <c r="L358" s="113"/>
      <c r="M358" s="171">
        <f t="shared" si="8"/>
        <v>0</v>
      </c>
      <c r="O358" s="215" t="str">
        <f>_xlfn.XLOOKUP(E358,'All Products'!D:D,'All Products'!I:I,FALSE)</f>
        <v>In Stock</v>
      </c>
      <c r="P358" s="215" t="str">
        <f>_xlfn.XLOOKUP(E358,'All Products'!D:D,'All Products'!J:J,FALSE)</f>
        <v>Manufactured</v>
      </c>
      <c r="Q358" s="266">
        <f>_xlfn.XLOOKUP(E358,'All Products'!D:D,'All Products'!K:K,FALSE)</f>
        <v>49081022587</v>
      </c>
      <c r="R358" s="266" t="str">
        <f>_xlfn.XLOOKUP(E358,'All Products'!D:D,'All Products'!L:L,FALSE)</f>
        <v>-</v>
      </c>
      <c r="S358" s="266">
        <f>_xlfn.XLOOKUP(E358,'All Products'!D:D,'All Products'!M:M,FALSE)</f>
        <v>40049081022585</v>
      </c>
      <c r="T358" s="264">
        <f>_xlfn.XLOOKUP(E358,'All Products'!D:D,'All Products'!N:N,FALSE)</f>
        <v>2.202</v>
      </c>
      <c r="U358" s="264">
        <f>_xlfn.XLOOKUP(E358,'All Products'!D:D,'All Products'!P:P,FALSE)</f>
        <v>22.7</v>
      </c>
      <c r="V358" s="265">
        <f>_xlfn.XLOOKUP(E358,'All Products'!D:D,'All Products'!Q:Q,FALSE)</f>
        <v>2.65</v>
      </c>
    </row>
    <row r="359" spans="1:22" ht="14.4" customHeight="1">
      <c r="A359" s="101" t="str">
        <f>IF(K359&gt;0,COUNT($A$8:A358)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59" s="610"/>
      <c r="C359" s="611"/>
      <c r="D359" s="274" t="str">
        <f>_xlfn.XLOOKUP(E359,'All Products'!D:D,'All Products'!C:C,FALSE)</f>
        <v>2-A2-17-19-12</v>
      </c>
      <c r="E359" s="103">
        <v>100024179</v>
      </c>
      <c r="F359" s="144" t="str">
        <f>_xlfn.XLOOKUP(E359,'All Products'!D:D,'All Products'!E:E,FALSE)</f>
        <v>2 SADDLE X 1-1/4 ACME SU X 12 SJ</v>
      </c>
      <c r="G359" s="103">
        <f>_xlfn.XLOOKUP(E359,'All Products'!D:D,'All Products'!F:F,FALSE)</f>
        <v>10</v>
      </c>
      <c r="H359" s="103">
        <f>_xlfn.XLOOKUP(E359,'All Products'!D:D,'All Products'!G:G,FALSE)</f>
        <v>180</v>
      </c>
      <c r="I359" s="140">
        <f>_xlfn.XLOOKUP(E359,'All Products'!D:D,'All Products'!H:H,FALSE)</f>
        <v>193.51</v>
      </c>
      <c r="J359" s="173">
        <f>ROUNDUP(I359*Order_Quote!$L$26,2)</f>
        <v>193.51</v>
      </c>
      <c r="K359" s="75"/>
      <c r="L359" s="113"/>
      <c r="M359" s="171">
        <f t="shared" si="8"/>
        <v>0</v>
      </c>
      <c r="O359" s="215" t="str">
        <f>_xlfn.XLOOKUP(E359,'All Products'!D:D,'All Products'!I:I,FALSE)</f>
        <v>Within 3 Weeks</v>
      </c>
      <c r="P359" s="215" t="str">
        <f>_xlfn.XLOOKUP(E359,'All Products'!D:D,'All Products'!J:J,FALSE)</f>
        <v>Manufactured</v>
      </c>
      <c r="Q359" s="266">
        <f>_xlfn.XLOOKUP(E359,'All Products'!D:D,'All Products'!K:K,FALSE)</f>
        <v>49081026240</v>
      </c>
      <c r="R359" s="266" t="str">
        <f>_xlfn.XLOOKUP(E359,'All Products'!D:D,'All Products'!L:L,FALSE)</f>
        <v>-</v>
      </c>
      <c r="S359" s="266">
        <f>_xlfn.XLOOKUP(E359,'All Products'!D:D,'All Products'!M:M,FALSE)</f>
        <v>40049081026248</v>
      </c>
      <c r="T359" s="264">
        <f>_xlfn.XLOOKUP(E359,'All Products'!D:D,'All Products'!N:N,FALSE)</f>
        <v>2.36</v>
      </c>
      <c r="U359" s="264">
        <f>_xlfn.XLOOKUP(E359,'All Products'!D:D,'All Products'!P:P,FALSE)</f>
        <v>25.9</v>
      </c>
      <c r="V359" s="265">
        <f>_xlfn.XLOOKUP(E359,'All Products'!D:D,'All Products'!Q:Q,FALSE)</f>
        <v>2.65</v>
      </c>
    </row>
    <row r="360" spans="1:22" ht="14.4" customHeight="1">
      <c r="A360" s="101" t="str">
        <f>IF(K360&gt;0,COUNT($A$8:A359)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60" s="610"/>
      <c r="C360" s="611"/>
      <c r="D360" s="274" t="str">
        <f>_xlfn.XLOOKUP(E360,'All Products'!D:D,'All Products'!C:C,FALSE)</f>
        <v>2-A2-17-19-18</v>
      </c>
      <c r="E360" s="103">
        <v>100024180</v>
      </c>
      <c r="F360" s="144" t="str">
        <f>_xlfn.XLOOKUP(E360,'All Products'!D:D,'All Products'!E:E,FALSE)</f>
        <v>2 IPS X 1-1/4 ACME SAD SU X 18 SJ</v>
      </c>
      <c r="G360" s="103">
        <f>_xlfn.XLOOKUP(E360,'All Products'!D:D,'All Products'!F:F,FALSE)</f>
        <v>10</v>
      </c>
      <c r="H360" s="103">
        <f>_xlfn.XLOOKUP(E360,'All Products'!D:D,'All Products'!G:G,FALSE)</f>
        <v>240</v>
      </c>
      <c r="I360" s="140">
        <f>_xlfn.XLOOKUP(E360,'All Products'!D:D,'All Products'!H:H,FALSE)</f>
        <v>204.52</v>
      </c>
      <c r="J360" s="173">
        <f>ROUNDUP(I360*Order_Quote!$L$26,2)</f>
        <v>204.52</v>
      </c>
      <c r="K360" s="75"/>
      <c r="L360" s="113"/>
      <c r="M360" s="171">
        <f t="shared" si="8"/>
        <v>0</v>
      </c>
      <c r="O360" s="215" t="str">
        <f>_xlfn.XLOOKUP(E360,'All Products'!D:D,'All Products'!I:I,FALSE)</f>
        <v>Within 3 Weeks</v>
      </c>
      <c r="P360" s="215" t="str">
        <f>_xlfn.XLOOKUP(E360,'All Products'!D:D,'All Products'!J:J,FALSE)</f>
        <v>Manufactured</v>
      </c>
      <c r="Q360" s="266">
        <f>_xlfn.XLOOKUP(E360,'All Products'!D:D,'All Products'!K:K,FALSE)</f>
        <v>49081031671</v>
      </c>
      <c r="R360" s="266" t="str">
        <f>_xlfn.XLOOKUP(E360,'All Products'!D:D,'All Products'!L:L,FALSE)</f>
        <v>-</v>
      </c>
      <c r="S360" s="266">
        <f>_xlfn.XLOOKUP(E360,'All Products'!D:D,'All Products'!M:M,FALSE)</f>
        <v>40049081031679</v>
      </c>
      <c r="T360" s="264">
        <f>_xlfn.XLOOKUP(E360,'All Products'!D:D,'All Products'!N:N,FALSE)</f>
        <v>2.6339999999999999</v>
      </c>
      <c r="U360" s="264">
        <f>_xlfn.XLOOKUP(E360,'All Products'!D:D,'All Products'!P:P,FALSE)</f>
        <v>29.1</v>
      </c>
      <c r="V360" s="265">
        <f>_xlfn.XLOOKUP(E360,'All Products'!D:D,'All Products'!Q:Q,FALSE)</f>
        <v>2.77</v>
      </c>
    </row>
    <row r="361" spans="1:22" ht="14.4" customHeight="1">
      <c r="A361" s="101" t="str">
        <f>IF(K361&gt;0,COUNT($A$8:A360)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61" s="610"/>
      <c r="C361" s="611"/>
      <c r="D361" s="274" t="str">
        <f>_xlfn.XLOOKUP(E361,'All Products'!D:D,'All Products'!C:C,FALSE)</f>
        <v>2-A2-18-19-12</v>
      </c>
      <c r="E361" s="103">
        <v>100024188</v>
      </c>
      <c r="F361" s="144" t="str">
        <f>_xlfn.XLOOKUP(E361,'All Products'!D:D,'All Products'!E:E,FALSE)</f>
        <v>2 SADDLE X 1-1/2 ACME SU X 12LL SJ</v>
      </c>
      <c r="G361" s="103">
        <f>_xlfn.XLOOKUP(E361,'All Products'!D:D,'All Products'!F:F,FALSE)</f>
        <v>10</v>
      </c>
      <c r="H361" s="103" t="str">
        <f>_xlfn.XLOOKUP(E361,'All Products'!D:D,'All Products'!G:G,FALSE)</f>
        <v>-</v>
      </c>
      <c r="I361" s="140">
        <f>_xlfn.XLOOKUP(E361,'All Products'!D:D,'All Products'!H:H,FALSE)</f>
        <v>193.51</v>
      </c>
      <c r="J361" s="173">
        <f>ROUNDUP(I361*Order_Quote!$L$26,2)</f>
        <v>193.51</v>
      </c>
      <c r="K361" s="75"/>
      <c r="L361" s="113"/>
      <c r="M361" s="171">
        <f t="shared" si="8"/>
        <v>0</v>
      </c>
      <c r="O361" s="215" t="str">
        <f>_xlfn.XLOOKUP(E361,'All Products'!D:D,'All Products'!I:I,FALSE)</f>
        <v>Within 3 Weeks</v>
      </c>
      <c r="P361" s="215" t="str">
        <f>_xlfn.XLOOKUP(E361,'All Products'!D:D,'All Products'!J:J,FALSE)</f>
        <v>Manufactured</v>
      </c>
      <c r="Q361" s="266">
        <f>_xlfn.XLOOKUP(E361,'All Products'!D:D,'All Products'!K:K,FALSE)</f>
        <v>49081026325</v>
      </c>
      <c r="R361" s="266" t="str">
        <f>_xlfn.XLOOKUP(E361,'All Products'!D:D,'All Products'!L:L,FALSE)</f>
        <v>-</v>
      </c>
      <c r="S361" s="266">
        <f>_xlfn.XLOOKUP(E361,'All Products'!D:D,'All Products'!M:M,FALSE)</f>
        <v>40049081026323</v>
      </c>
      <c r="T361" s="264">
        <f>_xlfn.XLOOKUP(E361,'All Products'!D:D,'All Products'!N:N,FALSE)</f>
        <v>2.3919999999999999</v>
      </c>
      <c r="U361" s="264" t="str">
        <f>_xlfn.XLOOKUP(E361,'All Products'!D:D,'All Products'!P:P,FALSE)</f>
        <v>-</v>
      </c>
      <c r="V361" s="265" t="str">
        <f>_xlfn.XLOOKUP(E361,'All Products'!D:D,'All Products'!Q:Q,FALSE)</f>
        <v>-</v>
      </c>
    </row>
    <row r="362" spans="1:22" ht="14.4" customHeight="1">
      <c r="A362" s="101" t="str">
        <f>IF(K362&gt;0,COUNT($A$8:A361)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62" s="610"/>
      <c r="C362" s="611"/>
      <c r="D362" s="274" t="str">
        <f>_xlfn.XLOOKUP(E362,'All Products'!D:D,'All Products'!C:C,FALSE)</f>
        <v>2-A2-3-19-10</v>
      </c>
      <c r="E362" s="103">
        <v>100024209</v>
      </c>
      <c r="F362" s="144" t="str">
        <f>_xlfn.XLOOKUP(E362,'All Products'!D:D,'All Products'!E:E,FALSE)</f>
        <v>2 SADDLE X 1-1/4 MPT SU X 10 SJ</v>
      </c>
      <c r="G362" s="103">
        <f>_xlfn.XLOOKUP(E362,'All Products'!D:D,'All Products'!F:F,FALSE)</f>
        <v>10</v>
      </c>
      <c r="H362" s="103">
        <f>_xlfn.XLOOKUP(E362,'All Products'!D:D,'All Products'!G:G,FALSE)</f>
        <v>180</v>
      </c>
      <c r="I362" s="140">
        <f>_xlfn.XLOOKUP(E362,'All Products'!D:D,'All Products'!H:H,FALSE)</f>
        <v>193.51</v>
      </c>
      <c r="J362" s="173">
        <f>ROUNDUP(I362*Order_Quote!$L$26,2)</f>
        <v>193.51</v>
      </c>
      <c r="K362" s="75"/>
      <c r="L362" s="113"/>
      <c r="M362" s="171">
        <f t="shared" si="8"/>
        <v>0</v>
      </c>
      <c r="O362" s="215" t="str">
        <f>_xlfn.XLOOKUP(E362,'All Products'!D:D,'All Products'!I:I,FALSE)</f>
        <v>Within 3 Weeks</v>
      </c>
      <c r="P362" s="215" t="str">
        <f>_xlfn.XLOOKUP(E362,'All Products'!D:D,'All Products'!J:J,FALSE)</f>
        <v>Manufactured</v>
      </c>
      <c r="Q362" s="266">
        <f>_xlfn.XLOOKUP(E362,'All Products'!D:D,'All Products'!K:K,FALSE)</f>
        <v>49081026448</v>
      </c>
      <c r="R362" s="266" t="str">
        <f>_xlfn.XLOOKUP(E362,'All Products'!D:D,'All Products'!L:L,FALSE)</f>
        <v>-</v>
      </c>
      <c r="S362" s="266">
        <f>_xlfn.XLOOKUP(E362,'All Products'!D:D,'All Products'!M:M,FALSE)</f>
        <v>40049081026446</v>
      </c>
      <c r="T362" s="264">
        <f>_xlfn.XLOOKUP(E362,'All Products'!D:D,'All Products'!N:N,FALSE)</f>
        <v>1.9570000000000001</v>
      </c>
      <c r="U362" s="264">
        <f>_xlfn.XLOOKUP(E362,'All Products'!D:D,'All Products'!P:P,FALSE)</f>
        <v>24.15</v>
      </c>
      <c r="V362" s="265">
        <f>_xlfn.XLOOKUP(E362,'All Products'!D:D,'All Products'!Q:Q,FALSE)</f>
        <v>2.65</v>
      </c>
    </row>
    <row r="363" spans="1:22" ht="14.4" customHeight="1">
      <c r="A363" s="101" t="str">
        <f>IF(K363&gt;0,COUNT($A$8:A362)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63" s="610"/>
      <c r="C363" s="611"/>
      <c r="D363" s="274" t="str">
        <f>_xlfn.XLOOKUP(E363,'All Products'!D:D,'All Products'!C:C,FALSE)</f>
        <v>2-A2-6-19-6</v>
      </c>
      <c r="E363" s="103">
        <v>100024229</v>
      </c>
      <c r="F363" s="144" t="str">
        <f>_xlfn.XLOOKUP(E363,'All Products'!D:D,'All Products'!E:E,FALSE)</f>
        <v>2 SADDLE X 1-1/2 MPT SU X 6 LL SJ</v>
      </c>
      <c r="G363" s="103">
        <f>_xlfn.XLOOKUP(E363,'All Products'!D:D,'All Products'!F:F,FALSE)</f>
        <v>10</v>
      </c>
      <c r="H363" s="103" t="str">
        <f>_xlfn.XLOOKUP(E363,'All Products'!D:D,'All Products'!G:G,FALSE)</f>
        <v>-</v>
      </c>
      <c r="I363" s="140">
        <f>_xlfn.XLOOKUP(E363,'All Products'!D:D,'All Products'!H:H,FALSE)</f>
        <v>182.38</v>
      </c>
      <c r="J363" s="173">
        <f>ROUNDUP(I363*Order_Quote!$L$26,2)</f>
        <v>182.38</v>
      </c>
      <c r="K363" s="75"/>
      <c r="L363" s="113"/>
      <c r="M363" s="171">
        <f t="shared" si="8"/>
        <v>0</v>
      </c>
      <c r="O363" s="215" t="str">
        <f>_xlfn.XLOOKUP(E363,'All Products'!D:D,'All Products'!I:I,FALSE)</f>
        <v>Within 3 Weeks</v>
      </c>
      <c r="P363" s="215" t="str">
        <f>_xlfn.XLOOKUP(E363,'All Products'!D:D,'All Products'!J:J,FALSE)</f>
        <v>Manufactured</v>
      </c>
      <c r="Q363" s="266">
        <f>_xlfn.XLOOKUP(E363,'All Products'!D:D,'All Products'!K:K,FALSE)</f>
        <v>49081031145</v>
      </c>
      <c r="R363" s="266" t="str">
        <f>_xlfn.XLOOKUP(E363,'All Products'!D:D,'All Products'!L:L,FALSE)</f>
        <v>-</v>
      </c>
      <c r="S363" s="266">
        <f>_xlfn.XLOOKUP(E363,'All Products'!D:D,'All Products'!M:M,FALSE)</f>
        <v>40049081031143</v>
      </c>
      <c r="T363" s="264">
        <f>_xlfn.XLOOKUP(E363,'All Products'!D:D,'All Products'!N:N,FALSE)</f>
        <v>2.1429999999999998</v>
      </c>
      <c r="U363" s="264">
        <f>_xlfn.XLOOKUP(E363,'All Products'!D:D,'All Products'!P:P,FALSE)</f>
        <v>22</v>
      </c>
      <c r="V363" s="265" t="str">
        <f>_xlfn.XLOOKUP(E363,'All Products'!D:D,'All Products'!Q:Q,FALSE)</f>
        <v>-</v>
      </c>
    </row>
    <row r="364" spans="1:22" ht="14.4" customHeight="1">
      <c r="A364" s="101" t="str">
        <f>IF(K364&gt;0,COUNT($A$8:A363)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64" s="610"/>
      <c r="C364" s="611"/>
      <c r="D364" s="274" t="str">
        <f>_xlfn.XLOOKUP(E364,'All Products'!D:D,'All Products'!C:C,FALSE)</f>
        <v>2-A2-7-19-12</v>
      </c>
      <c r="E364" s="103">
        <v>100024240</v>
      </c>
      <c r="F364" s="144" t="str">
        <f>_xlfn.XLOOKUP(E364,'All Products'!D:D,'All Products'!E:E,FALSE)</f>
        <v>2 SADDLE X 1 MPT SU X 12 SJ</v>
      </c>
      <c r="G364" s="103">
        <f>_xlfn.XLOOKUP(E364,'All Products'!D:D,'All Products'!F:F,FALSE)</f>
        <v>10</v>
      </c>
      <c r="H364" s="103">
        <f>_xlfn.XLOOKUP(E364,'All Products'!D:D,'All Products'!G:G,FALSE)</f>
        <v>180</v>
      </c>
      <c r="I364" s="140">
        <f>_xlfn.XLOOKUP(E364,'All Products'!D:D,'All Products'!H:H,FALSE)</f>
        <v>193.51</v>
      </c>
      <c r="J364" s="173">
        <f>ROUNDUP(I364*Order_Quote!$L$26,2)</f>
        <v>193.51</v>
      </c>
      <c r="K364" s="75"/>
      <c r="L364" s="113"/>
      <c r="M364" s="171">
        <f t="shared" si="8"/>
        <v>0</v>
      </c>
      <c r="O364" s="215" t="str">
        <f>_xlfn.XLOOKUP(E364,'All Products'!D:D,'All Products'!I:I,FALSE)</f>
        <v>Within 3 Weeks</v>
      </c>
      <c r="P364" s="215" t="str">
        <f>_xlfn.XLOOKUP(E364,'All Products'!D:D,'All Products'!J:J,FALSE)</f>
        <v>Manufactured</v>
      </c>
      <c r="Q364" s="266">
        <f>_xlfn.XLOOKUP(E364,'All Products'!D:D,'All Products'!K:K,FALSE)</f>
        <v>49081026691</v>
      </c>
      <c r="R364" s="266" t="str">
        <f>_xlfn.XLOOKUP(E364,'All Products'!D:D,'All Products'!L:L,FALSE)</f>
        <v>-</v>
      </c>
      <c r="S364" s="266">
        <f>_xlfn.XLOOKUP(E364,'All Products'!D:D,'All Products'!M:M,FALSE)</f>
        <v>40049081026699</v>
      </c>
      <c r="T364" s="264">
        <f>_xlfn.XLOOKUP(E364,'All Products'!D:D,'All Products'!N:N,FALSE)</f>
        <v>2.351</v>
      </c>
      <c r="U364" s="264">
        <f>_xlfn.XLOOKUP(E364,'All Products'!D:D,'All Products'!P:P,FALSE)</f>
        <v>28.5</v>
      </c>
      <c r="V364" s="265">
        <f>_xlfn.XLOOKUP(E364,'All Products'!D:D,'All Products'!Q:Q,FALSE)</f>
        <v>2.65</v>
      </c>
    </row>
    <row r="365" spans="1:22" ht="14.4" customHeight="1">
      <c r="A365" s="101" t="str">
        <f>IF(K365&gt;0,COUNT($A$8:A364)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65" s="610"/>
      <c r="C365" s="611"/>
      <c r="D365" s="274" t="str">
        <f>_xlfn.XLOOKUP(E365,'All Products'!D:D,'All Products'!C:C,FALSE)</f>
        <v>2-A2-7-19-8</v>
      </c>
      <c r="E365" s="103">
        <v>100024243</v>
      </c>
      <c r="F365" s="144" t="str">
        <f>_xlfn.XLOOKUP(E365,'All Products'!D:D,'All Products'!E:E,FALSE)</f>
        <v>2 SADDLE X 1 MPT SU X 8 LL SJ</v>
      </c>
      <c r="G365" s="103">
        <f>_xlfn.XLOOKUP(E365,'All Products'!D:D,'All Products'!F:F,FALSE)</f>
        <v>10</v>
      </c>
      <c r="H365" s="103">
        <f>_xlfn.XLOOKUP(E365,'All Products'!D:D,'All Products'!G:G,FALSE)</f>
        <v>180</v>
      </c>
      <c r="I365" s="140">
        <f>_xlfn.XLOOKUP(E365,'All Products'!D:D,'All Products'!H:H,FALSE)</f>
        <v>182.38</v>
      </c>
      <c r="J365" s="173">
        <f>ROUNDUP(I365*Order_Quote!$L$26,2)</f>
        <v>182.38</v>
      </c>
      <c r="K365" s="75"/>
      <c r="L365" s="113"/>
      <c r="M365" s="171">
        <f t="shared" si="8"/>
        <v>0</v>
      </c>
      <c r="O365" s="215" t="str">
        <f>_xlfn.XLOOKUP(E365,'All Products'!D:D,'All Products'!I:I,FALSE)</f>
        <v>Within 3 Weeks</v>
      </c>
      <c r="P365" s="215" t="str">
        <f>_xlfn.XLOOKUP(E365,'All Products'!D:D,'All Products'!J:J,FALSE)</f>
        <v>Manufactured</v>
      </c>
      <c r="Q365" s="266">
        <f>_xlfn.XLOOKUP(E365,'All Products'!D:D,'All Products'!K:K,FALSE)</f>
        <v>49081030797</v>
      </c>
      <c r="R365" s="266" t="str">
        <f>_xlfn.XLOOKUP(E365,'All Products'!D:D,'All Products'!L:L,FALSE)</f>
        <v>-</v>
      </c>
      <c r="S365" s="266">
        <f>_xlfn.XLOOKUP(E365,'All Products'!D:D,'All Products'!M:M,FALSE)</f>
        <v>40049081030795</v>
      </c>
      <c r="T365" s="264">
        <f>_xlfn.XLOOKUP(E365,'All Products'!D:D,'All Products'!N:N,FALSE)</f>
        <v>2.169</v>
      </c>
      <c r="U365" s="264">
        <f>_xlfn.XLOOKUP(E365,'All Products'!D:D,'All Products'!P:P,FALSE)</f>
        <v>23.45</v>
      </c>
      <c r="V365" s="265">
        <f>_xlfn.XLOOKUP(E365,'All Products'!D:D,'All Products'!Q:Q,FALSE)</f>
        <v>2.65</v>
      </c>
    </row>
    <row r="366" spans="1:22" ht="14.4" customHeight="1">
      <c r="A366" s="101" t="str">
        <f>IF(K366&gt;0,COUNT($A$8:A365)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66" s="610"/>
      <c r="C366" s="611"/>
      <c r="D366" s="274" t="str">
        <f>_xlfn.XLOOKUP(E366,'All Products'!D:D,'All Products'!C:C,FALSE)</f>
        <v>3-A3-1-19-12</v>
      </c>
      <c r="E366" s="103">
        <v>100024441</v>
      </c>
      <c r="F366" s="144" t="str">
        <f>_xlfn.XLOOKUP(E366,'All Products'!D:D,'All Products'!E:E,FALSE)</f>
        <v>2 SADDLE X 1-1/2 SOC SU X 12LL SJ</v>
      </c>
      <c r="G366" s="103">
        <f>_xlfn.XLOOKUP(E366,'All Products'!D:D,'All Products'!F:F,FALSE)</f>
        <v>10</v>
      </c>
      <c r="H366" s="103">
        <f>_xlfn.XLOOKUP(E366,'All Products'!D:D,'All Products'!G:G,FALSE)</f>
        <v>180</v>
      </c>
      <c r="I366" s="140">
        <f>_xlfn.XLOOKUP(E366,'All Products'!D:D,'All Products'!H:H,FALSE)</f>
        <v>222.84</v>
      </c>
      <c r="J366" s="173">
        <f>ROUNDUP(I366*Order_Quote!$L$26,2)</f>
        <v>222.84</v>
      </c>
      <c r="K366" s="75"/>
      <c r="L366" s="113"/>
      <c r="M366" s="171">
        <f t="shared" si="8"/>
        <v>0</v>
      </c>
      <c r="O366" s="215" t="str">
        <f>_xlfn.XLOOKUP(E366,'All Products'!D:D,'All Products'!I:I,FALSE)</f>
        <v>Within 3 Weeks</v>
      </c>
      <c r="P366" s="215" t="str">
        <f>_xlfn.XLOOKUP(E366,'All Products'!D:D,'All Products'!J:J,FALSE)</f>
        <v>Manufactured</v>
      </c>
      <c r="Q366" s="266">
        <f>_xlfn.XLOOKUP(E366,'All Products'!D:D,'All Products'!K:K,FALSE)</f>
        <v>49081028251</v>
      </c>
      <c r="R366" s="266" t="str">
        <f>_xlfn.XLOOKUP(E366,'All Products'!D:D,'All Products'!L:L,FALSE)</f>
        <v>-</v>
      </c>
      <c r="S366" s="266">
        <f>_xlfn.XLOOKUP(E366,'All Products'!D:D,'All Products'!M:M,FALSE)</f>
        <v>40049081028259</v>
      </c>
      <c r="T366" s="264">
        <f>_xlfn.XLOOKUP(E366,'All Products'!D:D,'All Products'!N:N,FALSE)</f>
        <v>2.851</v>
      </c>
      <c r="U366" s="264">
        <f>_xlfn.XLOOKUP(E366,'All Products'!D:D,'All Products'!P:P,FALSE)</f>
        <v>31.2</v>
      </c>
      <c r="V366" s="265">
        <f>_xlfn.XLOOKUP(E366,'All Products'!D:D,'All Products'!Q:Q,FALSE)</f>
        <v>2.65</v>
      </c>
    </row>
    <row r="367" spans="1:22" ht="14.4" customHeight="1">
      <c r="A367" s="101" t="str">
        <f>IF(K367&gt;0,COUNT($A$8:A366)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67" s="610"/>
      <c r="C367" s="611"/>
      <c r="D367" s="274" t="str">
        <f>_xlfn.XLOOKUP(E367,'All Products'!D:D,'All Products'!C:C,FALSE)</f>
        <v>3-A3-21-19-12</v>
      </c>
      <c r="E367" s="103">
        <v>100025022</v>
      </c>
      <c r="F367" s="144" t="str">
        <f>_xlfn.XLOOKUP(E367,'All Products'!D:D,'All Products'!E:E,FALSE)</f>
        <v>2 SADDLE X 1-1/2 ACME SUX12 SJ</v>
      </c>
      <c r="G367" s="103">
        <f>_xlfn.XLOOKUP(E367,'All Products'!D:D,'All Products'!F:F,FALSE)</f>
        <v>10</v>
      </c>
      <c r="H367" s="103">
        <f>_xlfn.XLOOKUP(E367,'All Products'!D:D,'All Products'!G:G,FALSE)</f>
        <v>180</v>
      </c>
      <c r="I367" s="140">
        <f>_xlfn.XLOOKUP(E367,'All Products'!D:D,'All Products'!H:H,FALSE)</f>
        <v>222.84</v>
      </c>
      <c r="J367" s="173">
        <f>ROUNDUP(I367*Order_Quote!$L$26,2)</f>
        <v>222.84</v>
      </c>
      <c r="K367" s="75"/>
      <c r="L367" s="113"/>
      <c r="M367" s="171">
        <f t="shared" si="8"/>
        <v>0</v>
      </c>
      <c r="O367" s="215" t="str">
        <f>_xlfn.XLOOKUP(E367,'All Products'!D:D,'All Products'!I:I,FALSE)</f>
        <v>Within 3 Weeks</v>
      </c>
      <c r="P367" s="215" t="str">
        <f>_xlfn.XLOOKUP(E367,'All Products'!D:D,'All Products'!J:J,FALSE)</f>
        <v>Manufactured</v>
      </c>
      <c r="Q367" s="266">
        <f>_xlfn.XLOOKUP(E367,'All Products'!D:D,'All Products'!K:K,FALSE)</f>
        <v>49081020163</v>
      </c>
      <c r="R367" s="266" t="str">
        <f>_xlfn.XLOOKUP(E367,'All Products'!D:D,'All Products'!L:L,FALSE)</f>
        <v>-</v>
      </c>
      <c r="S367" s="266">
        <f>_xlfn.XLOOKUP(E367,'All Products'!D:D,'All Products'!M:M,FALSE)</f>
        <v>40049081020161</v>
      </c>
      <c r="T367" s="264">
        <f>_xlfn.XLOOKUP(E367,'All Products'!D:D,'All Products'!N:N,FALSE)</f>
        <v>2.8260000000000001</v>
      </c>
      <c r="U367" s="264">
        <f>_xlfn.XLOOKUP(E367,'All Products'!D:D,'All Products'!P:P,FALSE)</f>
        <v>30.35</v>
      </c>
      <c r="V367" s="265">
        <f>_xlfn.XLOOKUP(E367,'All Products'!D:D,'All Products'!Q:Q,FALSE)</f>
        <v>2.65</v>
      </c>
    </row>
    <row r="368" spans="1:22" ht="14.4" customHeight="1">
      <c r="A368" s="101" t="str">
        <f>IF(K368&gt;0,COUNT($A$8:A367)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68" s="610"/>
      <c r="C368" s="611"/>
      <c r="D368" s="274" t="str">
        <f>_xlfn.XLOOKUP(E368,'All Products'!D:D,'All Products'!C:C,FALSE)</f>
        <v>3-A3-21-19-18</v>
      </c>
      <c r="E368" s="103">
        <v>100024456</v>
      </c>
      <c r="F368" s="144" t="str">
        <f>_xlfn.XLOOKUP(E368,'All Products'!D:D,'All Products'!E:E,FALSE)</f>
        <v>2 SADDLE X 1-1/2 ACME SU X 18LL SJ</v>
      </c>
      <c r="G368" s="103">
        <f>_xlfn.XLOOKUP(E368,'All Products'!D:D,'All Products'!F:F,FALSE)</f>
        <v>10</v>
      </c>
      <c r="H368" s="103">
        <f>_xlfn.XLOOKUP(E368,'All Products'!D:D,'All Products'!G:G,FALSE)</f>
        <v>240</v>
      </c>
      <c r="I368" s="140">
        <f>_xlfn.XLOOKUP(E368,'All Products'!D:D,'All Products'!H:H,FALSE)</f>
        <v>233.88</v>
      </c>
      <c r="J368" s="173">
        <f>ROUNDUP(I368*Order_Quote!$L$26,2)</f>
        <v>233.88</v>
      </c>
      <c r="K368" s="75"/>
      <c r="L368" s="113"/>
      <c r="M368" s="171">
        <f t="shared" si="8"/>
        <v>0</v>
      </c>
      <c r="O368" s="215" t="str">
        <f>_xlfn.XLOOKUP(E368,'All Products'!D:D,'All Products'!I:I,FALSE)</f>
        <v>Within 3 Weeks</v>
      </c>
      <c r="P368" s="215" t="str">
        <f>_xlfn.XLOOKUP(E368,'All Products'!D:D,'All Products'!J:J,FALSE)</f>
        <v>Manufactured</v>
      </c>
      <c r="Q368" s="266">
        <f>_xlfn.XLOOKUP(E368,'All Products'!D:D,'All Products'!K:K,FALSE)</f>
        <v>49081028367</v>
      </c>
      <c r="R368" s="266" t="str">
        <f>_xlfn.XLOOKUP(E368,'All Products'!D:D,'All Products'!L:L,FALSE)</f>
        <v>-</v>
      </c>
      <c r="S368" s="266">
        <f>_xlfn.XLOOKUP(E368,'All Products'!D:D,'All Products'!M:M,FALSE)</f>
        <v>40049081028365</v>
      </c>
      <c r="T368" s="264">
        <f>_xlfn.XLOOKUP(E368,'All Products'!D:D,'All Products'!N:N,FALSE)</f>
        <v>3.141</v>
      </c>
      <c r="U368" s="264">
        <f>_xlfn.XLOOKUP(E368,'All Products'!D:D,'All Products'!P:P,FALSE)</f>
        <v>29.5</v>
      </c>
      <c r="V368" s="265">
        <f>_xlfn.XLOOKUP(E368,'All Products'!D:D,'All Products'!Q:Q,FALSE)</f>
        <v>2.77</v>
      </c>
    </row>
    <row r="369" spans="1:22" ht="14.4" customHeight="1">
      <c r="A369" s="101" t="str">
        <f>IF(K369&gt;0,COUNT($A$8:A368)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69" s="610"/>
      <c r="C369" s="611"/>
      <c r="D369" s="274" t="str">
        <f>_xlfn.XLOOKUP(E369,'All Products'!D:D,'All Products'!C:C,FALSE)</f>
        <v>3-A3-21-19-8</v>
      </c>
      <c r="E369" s="103">
        <v>100025023</v>
      </c>
      <c r="F369" s="144" t="str">
        <f>_xlfn.XLOOKUP(E369,'All Products'!D:D,'All Products'!E:E,FALSE)</f>
        <v>2 SADDLE X 1-1/2 ACME SU X 8 LL SJ</v>
      </c>
      <c r="G369" s="103">
        <f>_xlfn.XLOOKUP(E369,'All Products'!D:D,'All Products'!F:F,FALSE)</f>
        <v>10</v>
      </c>
      <c r="H369" s="103">
        <f>_xlfn.XLOOKUP(E369,'All Products'!D:D,'All Products'!G:G,FALSE)</f>
        <v>180</v>
      </c>
      <c r="I369" s="140">
        <f>_xlfn.XLOOKUP(E369,'All Products'!D:D,'All Products'!H:H,FALSE)</f>
        <v>211.78</v>
      </c>
      <c r="J369" s="173">
        <f>ROUNDUP(I369*Order_Quote!$L$26,2)</f>
        <v>211.78</v>
      </c>
      <c r="K369" s="75"/>
      <c r="L369" s="113"/>
      <c r="M369" s="171">
        <f t="shared" si="8"/>
        <v>0</v>
      </c>
      <c r="O369" s="215" t="str">
        <f>_xlfn.XLOOKUP(E369,'All Products'!D:D,'All Products'!I:I,FALSE)</f>
        <v>Within 3 Weeks</v>
      </c>
      <c r="P369" s="215" t="str">
        <f>_xlfn.XLOOKUP(E369,'All Products'!D:D,'All Products'!J:J,FALSE)</f>
        <v>Manufactured</v>
      </c>
      <c r="Q369" s="266">
        <f>_xlfn.XLOOKUP(E369,'All Products'!D:D,'All Products'!K:K,FALSE)</f>
        <v>49081029692</v>
      </c>
      <c r="R369" s="266" t="str">
        <f>_xlfn.XLOOKUP(E369,'All Products'!D:D,'All Products'!L:L,FALSE)</f>
        <v>-</v>
      </c>
      <c r="S369" s="266">
        <f>_xlfn.XLOOKUP(E369,'All Products'!D:D,'All Products'!M:M,FALSE)</f>
        <v>40049081029690</v>
      </c>
      <c r="T369" s="264">
        <f>_xlfn.XLOOKUP(E369,'All Products'!D:D,'All Products'!N:N,FALSE)</f>
        <v>2.6150000000000002</v>
      </c>
      <c r="U369" s="264">
        <f>_xlfn.XLOOKUP(E369,'All Products'!D:D,'All Products'!P:P,FALSE)</f>
        <v>28.04</v>
      </c>
      <c r="V369" s="265">
        <f>_xlfn.XLOOKUP(E369,'All Products'!D:D,'All Products'!Q:Q,FALSE)</f>
        <v>2.65</v>
      </c>
    </row>
    <row r="370" spans="1:22" ht="14.4" customHeight="1">
      <c r="A370" s="101" t="str">
        <f>IF(K370&gt;0,COUNT($A$8:A369)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70" s="610"/>
      <c r="C370" s="611"/>
      <c r="D370" s="274" t="str">
        <f>_xlfn.XLOOKUP(E370,'All Products'!D:D,'All Products'!C:C,FALSE)</f>
        <v>3-A3-2-19-8</v>
      </c>
      <c r="E370" s="103">
        <v>100024467</v>
      </c>
      <c r="F370" s="144" t="str">
        <f>_xlfn.XLOOKUP(E370,'All Products'!D:D,'All Products'!E:E,FALSE)</f>
        <v>2 IPS X 1-1/2' FPT SAD UNI X 8 SJ</v>
      </c>
      <c r="G370" s="103">
        <f>_xlfn.XLOOKUP(E370,'All Products'!D:D,'All Products'!F:F,FALSE)</f>
        <v>10</v>
      </c>
      <c r="H370" s="103">
        <f>_xlfn.XLOOKUP(E370,'All Products'!D:D,'All Products'!G:G,FALSE)</f>
        <v>900</v>
      </c>
      <c r="I370" s="140">
        <f>_xlfn.XLOOKUP(E370,'All Products'!D:D,'All Products'!H:H,FALSE)</f>
        <v>211.78</v>
      </c>
      <c r="J370" s="173">
        <f>ROUNDUP(I370*Order_Quote!$L$26,2)</f>
        <v>211.78</v>
      </c>
      <c r="K370" s="75"/>
      <c r="L370" s="113"/>
      <c r="M370" s="171">
        <f t="shared" si="8"/>
        <v>0</v>
      </c>
      <c r="O370" s="215" t="str">
        <f>_xlfn.XLOOKUP(E370,'All Products'!D:D,'All Products'!I:I,FALSE)</f>
        <v>Within 3 Weeks</v>
      </c>
      <c r="P370" s="215" t="str">
        <f>_xlfn.XLOOKUP(E370,'All Products'!D:D,'All Products'!J:J,FALSE)</f>
        <v>Manufactured</v>
      </c>
      <c r="Q370" s="266">
        <f>_xlfn.XLOOKUP(E370,'All Products'!D:D,'All Products'!K:K,FALSE)</f>
        <v>49081030193</v>
      </c>
      <c r="R370" s="266" t="str">
        <f>_xlfn.XLOOKUP(E370,'All Products'!D:D,'All Products'!L:L,FALSE)</f>
        <v>-</v>
      </c>
      <c r="S370" s="266">
        <f>_xlfn.XLOOKUP(E370,'All Products'!D:D,'All Products'!M:M,FALSE)</f>
        <v>40049081030191</v>
      </c>
      <c r="T370" s="264">
        <f>_xlfn.XLOOKUP(E370,'All Products'!D:D,'All Products'!N:N,FALSE)</f>
        <v>2.5649999999999999</v>
      </c>
      <c r="U370" s="264">
        <f>_xlfn.XLOOKUP(E370,'All Products'!D:D,'All Products'!P:P,FALSE)</f>
        <v>29.15</v>
      </c>
      <c r="V370" s="265">
        <f>_xlfn.XLOOKUP(E370,'All Products'!D:D,'All Products'!Q:Q,FALSE)</f>
        <v>0.8</v>
      </c>
    </row>
    <row r="371" spans="1:22" ht="14.4" customHeight="1">
      <c r="A371" s="101" t="str">
        <f>IF(K371&gt;0,COUNT($A$8:A370)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71" s="610"/>
      <c r="C371" s="611"/>
      <c r="D371" s="274" t="str">
        <f>_xlfn.XLOOKUP(E371,'All Products'!D:D,'All Products'!C:C,FALSE)</f>
        <v>3-A3-3-19-12</v>
      </c>
      <c r="E371" s="103">
        <v>100025029</v>
      </c>
      <c r="F371" s="144" t="str">
        <f>_xlfn.XLOOKUP(E371,'All Products'!D:D,'All Products'!E:E,FALSE)</f>
        <v>2 SADDLE X 1-1/2 MPT SU X 12 SJ</v>
      </c>
      <c r="G371" s="103">
        <f>_xlfn.XLOOKUP(E371,'All Products'!D:D,'All Products'!F:F,FALSE)</f>
        <v>10</v>
      </c>
      <c r="H371" s="103">
        <f>_xlfn.XLOOKUP(E371,'All Products'!D:D,'All Products'!G:G,FALSE)</f>
        <v>180</v>
      </c>
      <c r="I371" s="140">
        <f>_xlfn.XLOOKUP(E371,'All Products'!D:D,'All Products'!H:H,FALSE)</f>
        <v>222.84</v>
      </c>
      <c r="J371" s="173">
        <f>ROUNDUP(I371*Order_Quote!$L$26,2)</f>
        <v>222.84</v>
      </c>
      <c r="K371" s="75"/>
      <c r="L371" s="113"/>
      <c r="M371" s="171">
        <f t="shared" si="8"/>
        <v>0</v>
      </c>
      <c r="O371" s="215" t="str">
        <f>_xlfn.XLOOKUP(E371,'All Products'!D:D,'All Products'!I:I,FALSE)</f>
        <v>Within 3 Weeks</v>
      </c>
      <c r="P371" s="215" t="str">
        <f>_xlfn.XLOOKUP(E371,'All Products'!D:D,'All Products'!J:J,FALSE)</f>
        <v>Manufactured</v>
      </c>
      <c r="Q371" s="266">
        <f>_xlfn.XLOOKUP(E371,'All Products'!D:D,'All Products'!K:K,FALSE)</f>
        <v>49081028459</v>
      </c>
      <c r="R371" s="266" t="str">
        <f>_xlfn.XLOOKUP(E371,'All Products'!D:D,'All Products'!L:L,FALSE)</f>
        <v>-</v>
      </c>
      <c r="S371" s="266">
        <f>_xlfn.XLOOKUP(E371,'All Products'!D:D,'All Products'!M:M,FALSE)</f>
        <v>40049081028457</v>
      </c>
      <c r="T371" s="264">
        <f>_xlfn.XLOOKUP(E371,'All Products'!D:D,'All Products'!N:N,FALSE)</f>
        <v>2.7709999999999999</v>
      </c>
      <c r="U371" s="264">
        <f>_xlfn.XLOOKUP(E371,'All Products'!D:D,'All Products'!P:P,FALSE)</f>
        <v>30.4</v>
      </c>
      <c r="V371" s="265">
        <f>_xlfn.XLOOKUP(E371,'All Products'!D:D,'All Products'!Q:Q,FALSE)</f>
        <v>2.65</v>
      </c>
    </row>
    <row r="372" spans="1:22" ht="14.4" customHeight="1">
      <c r="A372" s="101" t="str">
        <f>IF(K372&gt;0,COUNT($A$8:A371)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72" s="610"/>
      <c r="C372" s="611"/>
      <c r="D372" s="274" t="str">
        <f>_xlfn.XLOOKUP(E372,'All Products'!D:D,'All Products'!C:C,FALSE)</f>
        <v>3-A3-3-19-6</v>
      </c>
      <c r="E372" s="103">
        <v>100024474</v>
      </c>
      <c r="F372" s="144" t="str">
        <f>_xlfn.XLOOKUP(E372,'All Products'!D:D,'All Products'!E:E,FALSE)</f>
        <v>2 IPS X 1-1/2 MPT SADDLE SU X 6 SJ</v>
      </c>
      <c r="G372" s="103">
        <f>_xlfn.XLOOKUP(E372,'All Products'!D:D,'All Products'!F:F,FALSE)</f>
        <v>10</v>
      </c>
      <c r="H372" s="103">
        <f>_xlfn.XLOOKUP(E372,'All Products'!D:D,'All Products'!G:G,FALSE)</f>
        <v>180</v>
      </c>
      <c r="I372" s="140">
        <f>_xlfn.XLOOKUP(E372,'All Products'!D:D,'All Products'!H:H,FALSE)</f>
        <v>211.78</v>
      </c>
      <c r="J372" s="173">
        <f>ROUNDUP(I372*Order_Quote!$L$26,2)</f>
        <v>211.78</v>
      </c>
      <c r="K372" s="75"/>
      <c r="L372" s="113"/>
      <c r="M372" s="171">
        <f t="shared" si="8"/>
        <v>0</v>
      </c>
      <c r="O372" s="215" t="str">
        <f>_xlfn.XLOOKUP(E372,'All Products'!D:D,'All Products'!I:I,FALSE)</f>
        <v>Within 3 Weeks</v>
      </c>
      <c r="P372" s="215" t="str">
        <f>_xlfn.XLOOKUP(E372,'All Products'!D:D,'All Products'!J:J,FALSE)</f>
        <v>Manufactured</v>
      </c>
      <c r="Q372" s="266">
        <f>_xlfn.XLOOKUP(E372,'All Products'!D:D,'All Products'!K:K,FALSE)</f>
        <v>49081030988</v>
      </c>
      <c r="R372" s="266" t="str">
        <f>_xlfn.XLOOKUP(E372,'All Products'!D:D,'All Products'!L:L,FALSE)</f>
        <v>-</v>
      </c>
      <c r="S372" s="266">
        <f>_xlfn.XLOOKUP(E372,'All Products'!D:D,'All Products'!M:M,FALSE)</f>
        <v>40049081030986</v>
      </c>
      <c r="T372" s="264">
        <f>_xlfn.XLOOKUP(E372,'All Products'!D:D,'All Products'!N:N,FALSE)</f>
        <v>2.4500000000000002</v>
      </c>
      <c r="U372" s="264">
        <f>_xlfn.XLOOKUP(E372,'All Products'!D:D,'All Products'!P:P,FALSE)</f>
        <v>27.3</v>
      </c>
      <c r="V372" s="265">
        <f>_xlfn.XLOOKUP(E372,'All Products'!D:D,'All Products'!Q:Q,FALSE)</f>
        <v>2.65</v>
      </c>
    </row>
    <row r="373" spans="1:22" ht="14.4" customHeight="1">
      <c r="A373" s="101" t="str">
        <f>IF(K373&gt;0,COUNT($A$8:A372)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73" s="610"/>
      <c r="C373" s="611"/>
      <c r="D373" s="274" t="str">
        <f>_xlfn.XLOOKUP(E373,'All Products'!D:D,'All Products'!C:C,FALSE)</f>
        <v>3-A3-QC-19-12</v>
      </c>
      <c r="E373" s="103">
        <v>100024499</v>
      </c>
      <c r="F373" s="144" t="str">
        <f>_xlfn.XLOOKUP(E373,'All Products'!D:D,'All Products'!E:E,FALSE)</f>
        <v>2 SADDLE X 1-1/2 QC SU X 12LL SJ</v>
      </c>
      <c r="G373" s="103">
        <f>_xlfn.XLOOKUP(E373,'All Products'!D:D,'All Products'!F:F,FALSE)</f>
        <v>10</v>
      </c>
      <c r="H373" s="103">
        <f>_xlfn.XLOOKUP(E373,'All Products'!D:D,'All Products'!G:G,FALSE)</f>
        <v>180</v>
      </c>
      <c r="I373" s="140">
        <f>_xlfn.XLOOKUP(E373,'All Products'!D:D,'All Products'!H:H,FALSE)</f>
        <v>363.61</v>
      </c>
      <c r="J373" s="173">
        <f>ROUNDUP(I373*Order_Quote!$L$26,2)</f>
        <v>363.61</v>
      </c>
      <c r="K373" s="75"/>
      <c r="L373" s="113"/>
      <c r="M373" s="171">
        <f t="shared" si="8"/>
        <v>0</v>
      </c>
      <c r="O373" s="215" t="str">
        <f>_xlfn.XLOOKUP(E373,'All Products'!D:D,'All Products'!I:I,FALSE)</f>
        <v>Within 3 Weeks</v>
      </c>
      <c r="P373" s="215" t="str">
        <f>_xlfn.XLOOKUP(E373,'All Products'!D:D,'All Products'!J:J,FALSE)</f>
        <v>Manufactured</v>
      </c>
      <c r="Q373" s="266">
        <f>_xlfn.XLOOKUP(E373,'All Products'!D:D,'All Products'!K:K,FALSE)</f>
        <v>49081028657</v>
      </c>
      <c r="R373" s="266" t="str">
        <f>_xlfn.XLOOKUP(E373,'All Products'!D:D,'All Products'!L:L,FALSE)</f>
        <v>-</v>
      </c>
      <c r="S373" s="266">
        <f>_xlfn.XLOOKUP(E373,'All Products'!D:D,'All Products'!M:M,FALSE)</f>
        <v>40049081028655</v>
      </c>
      <c r="T373" s="264">
        <f>_xlfn.XLOOKUP(E373,'All Products'!D:D,'All Products'!N:N,FALSE)</f>
        <v>3.5350000000000001</v>
      </c>
      <c r="U373" s="264">
        <f>_xlfn.XLOOKUP(E373,'All Products'!D:D,'All Products'!P:P,FALSE)</f>
        <v>38.75</v>
      </c>
      <c r="V373" s="265">
        <f>_xlfn.XLOOKUP(E373,'All Products'!D:D,'All Products'!Q:Q,FALSE)</f>
        <v>2.65</v>
      </c>
    </row>
    <row r="374" spans="1:22" ht="14.4" customHeight="1">
      <c r="A374" s="101" t="str">
        <f>IF(K374&gt;0,COUNT($A$8:A373)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74" s="610"/>
      <c r="C374" s="611"/>
      <c r="D374" s="274" t="str">
        <f>_xlfn.XLOOKUP(E374,'All Products'!D:D,'All Products'!C:C,FALSE)</f>
        <v>3-D3-21-19-12</v>
      </c>
      <c r="E374" s="103">
        <v>100024592</v>
      </c>
      <c r="F374" s="144" t="str">
        <f>_xlfn.XLOOKUP(E374,'All Products'!D:D,'All Products'!E:E,FALSE)</f>
        <v>63MMX1-1/2ACME SADDLE UN X 12LL SJ</v>
      </c>
      <c r="G374" s="103">
        <f>_xlfn.XLOOKUP(E374,'All Products'!D:D,'All Products'!F:F,FALSE)</f>
        <v>10</v>
      </c>
      <c r="H374" s="103" t="str">
        <f>_xlfn.XLOOKUP(E374,'All Products'!D:D,'All Products'!G:G,FALSE)</f>
        <v>-</v>
      </c>
      <c r="I374" s="140">
        <f>_xlfn.XLOOKUP(E374,'All Products'!D:D,'All Products'!H:H,FALSE)</f>
        <v>222.84</v>
      </c>
      <c r="J374" s="173">
        <f>ROUNDUP(I374*Order_Quote!$L$26,2)</f>
        <v>222.84</v>
      </c>
      <c r="K374" s="75"/>
      <c r="L374" s="113"/>
      <c r="M374" s="171">
        <f t="shared" si="8"/>
        <v>0</v>
      </c>
      <c r="O374" s="215" t="str">
        <f>_xlfn.XLOOKUP(E374,'All Products'!D:D,'All Products'!I:I,FALSE)</f>
        <v>Within 3 Weeks</v>
      </c>
      <c r="P374" s="215" t="str">
        <f>_xlfn.XLOOKUP(E374,'All Products'!D:D,'All Products'!J:J,FALSE)</f>
        <v>Manufactured</v>
      </c>
      <c r="Q374" s="266">
        <f>_xlfn.XLOOKUP(E374,'All Products'!D:D,'All Products'!K:K,FALSE)</f>
        <v>49081029333</v>
      </c>
      <c r="R374" s="266" t="str">
        <f>_xlfn.XLOOKUP(E374,'All Products'!D:D,'All Products'!L:L,FALSE)</f>
        <v>-</v>
      </c>
      <c r="S374" s="266">
        <f>_xlfn.XLOOKUP(E374,'All Products'!D:D,'All Products'!M:M,FALSE)</f>
        <v>40049081029331</v>
      </c>
      <c r="T374" s="264">
        <f>_xlfn.XLOOKUP(E374,'All Products'!D:D,'All Products'!N:N,FALSE)</f>
        <v>2.8069999999999999</v>
      </c>
      <c r="U374" s="264" t="str">
        <f>_xlfn.XLOOKUP(E374,'All Products'!D:D,'All Products'!P:P,FALSE)</f>
        <v>-</v>
      </c>
      <c r="V374" s="265" t="str">
        <f>_xlfn.XLOOKUP(E374,'All Products'!D:D,'All Products'!Q:Q,FALSE)</f>
        <v>-</v>
      </c>
    </row>
    <row r="375" spans="1:22" ht="14.4" customHeight="1">
      <c r="A375" s="101" t="str">
        <f>IF(K375&gt;0,COUNT($A$8:A374)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75" s="610"/>
      <c r="C375" s="611"/>
      <c r="D375" s="274" t="str">
        <f>_xlfn.XLOOKUP(E375,'All Products'!D:D,'All Products'!C:C,FALSE)</f>
        <v>3-D3-21-19-18</v>
      </c>
      <c r="E375" s="103">
        <v>100024593</v>
      </c>
      <c r="F375" s="144" t="str">
        <f>_xlfn.XLOOKUP(E375,'All Products'!D:D,'All Products'!E:E,FALSE)</f>
        <v>63MM SADDLE X 1-1/2 ACME SUX18 SJ</v>
      </c>
      <c r="G375" s="103">
        <f>_xlfn.XLOOKUP(E375,'All Products'!D:D,'All Products'!F:F,FALSE)</f>
        <v>10</v>
      </c>
      <c r="H375" s="103">
        <f>_xlfn.XLOOKUP(E375,'All Products'!D:D,'All Products'!G:G,FALSE)</f>
        <v>240</v>
      </c>
      <c r="I375" s="140">
        <f>_xlfn.XLOOKUP(E375,'All Products'!D:D,'All Products'!H:H,FALSE)</f>
        <v>233.88</v>
      </c>
      <c r="J375" s="173">
        <f>ROUNDUP(I375*Order_Quote!$L$26,2)</f>
        <v>233.88</v>
      </c>
      <c r="K375" s="75"/>
      <c r="L375" s="113"/>
      <c r="M375" s="171">
        <f t="shared" si="8"/>
        <v>0</v>
      </c>
      <c r="O375" s="215" t="str">
        <f>_xlfn.XLOOKUP(E375,'All Products'!D:D,'All Products'!I:I,FALSE)</f>
        <v>Within 3 Weeks</v>
      </c>
      <c r="P375" s="215" t="str">
        <f>_xlfn.XLOOKUP(E375,'All Products'!D:D,'All Products'!J:J,FALSE)</f>
        <v>Manufactured</v>
      </c>
      <c r="Q375" s="266">
        <f>_xlfn.XLOOKUP(E375,'All Products'!D:D,'All Products'!K:K,FALSE)</f>
        <v>49081029340</v>
      </c>
      <c r="R375" s="266" t="str">
        <f>_xlfn.XLOOKUP(E375,'All Products'!D:D,'All Products'!L:L,FALSE)</f>
        <v>-</v>
      </c>
      <c r="S375" s="266">
        <f>_xlfn.XLOOKUP(E375,'All Products'!D:D,'All Products'!M:M,FALSE)</f>
        <v>40049081029348</v>
      </c>
      <c r="T375" s="264">
        <f>_xlfn.XLOOKUP(E375,'All Products'!D:D,'All Products'!N:N,FALSE)</f>
        <v>3.1219999999999999</v>
      </c>
      <c r="U375" s="264">
        <f>_xlfn.XLOOKUP(E375,'All Products'!D:D,'All Products'!P:P,FALSE)</f>
        <v>34.200000000000003</v>
      </c>
      <c r="V375" s="265">
        <f>_xlfn.XLOOKUP(E375,'All Products'!D:D,'All Products'!Q:Q,FALSE)</f>
        <v>2.77</v>
      </c>
    </row>
    <row r="376" spans="1:22" ht="14.4" customHeight="1" thickBot="1">
      <c r="A376" s="101" t="str">
        <f>IF(K376&gt;0,COUNT($A$8:A375)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76" s="715"/>
      <c r="C376" s="697"/>
      <c r="D376" s="274" t="str">
        <f>_xlfn.XLOOKUP(E376,'All Products'!D:D,'All Products'!C:C,FALSE)</f>
        <v>3-D3-22-19-12</v>
      </c>
      <c r="E376" s="103">
        <v>100024596</v>
      </c>
      <c r="F376" s="144" t="str">
        <f>_xlfn.XLOOKUP(E376,'All Products'!D:D,'All Products'!E:E,FALSE)</f>
        <v>63MM SADDLE X 1-1/2 BSP SU X 12 SJ</v>
      </c>
      <c r="G376" s="103">
        <f>_xlfn.XLOOKUP(E376,'All Products'!D:D,'All Products'!F:F,FALSE)</f>
        <v>10</v>
      </c>
      <c r="H376" s="103">
        <f>_xlfn.XLOOKUP(E376,'All Products'!D:D,'All Products'!G:G,FALSE)</f>
        <v>180</v>
      </c>
      <c r="I376" s="140">
        <f>_xlfn.XLOOKUP(E376,'All Products'!D:D,'All Products'!H:H,FALSE)</f>
        <v>222.84</v>
      </c>
      <c r="J376" s="173">
        <f>ROUNDUP(I376*Order_Quote!$L$26,2)</f>
        <v>222.84</v>
      </c>
      <c r="K376" s="75"/>
      <c r="L376" s="113"/>
      <c r="M376" s="171">
        <f t="shared" si="8"/>
        <v>0</v>
      </c>
      <c r="O376" s="567" t="str">
        <f>_xlfn.XLOOKUP(E376,'All Products'!D:D,'All Products'!I:I,FALSE)</f>
        <v>Within 3 Weeks</v>
      </c>
      <c r="P376" s="567" t="str">
        <f>_xlfn.XLOOKUP(E376,'All Products'!D:D,'All Products'!J:J,FALSE)</f>
        <v>Manufactured</v>
      </c>
      <c r="Q376" s="569">
        <f>_xlfn.XLOOKUP(E376,'All Products'!D:D,'All Products'!K:K,FALSE)</f>
        <v>49081029364</v>
      </c>
      <c r="R376" s="569" t="str">
        <f>_xlfn.XLOOKUP(E376,'All Products'!D:D,'All Products'!L:L,FALSE)</f>
        <v>-</v>
      </c>
      <c r="S376" s="569">
        <f>_xlfn.XLOOKUP(E376,'All Products'!D:D,'All Products'!M:M,FALSE)</f>
        <v>40049081029362</v>
      </c>
      <c r="T376" s="583">
        <f>_xlfn.XLOOKUP(E376,'All Products'!D:D,'All Products'!N:N,FALSE)</f>
        <v>2.7789999999999999</v>
      </c>
      <c r="U376" s="583">
        <f>_xlfn.XLOOKUP(E376,'All Products'!D:D,'All Products'!P:P,FALSE)</f>
        <v>30.4</v>
      </c>
      <c r="V376" s="570">
        <f>_xlfn.XLOOKUP(E376,'All Products'!D:D,'All Products'!Q:Q,FALSE)</f>
        <v>2.65</v>
      </c>
    </row>
    <row r="377" spans="1:22" ht="16.2" thickBot="1">
      <c r="A377" s="101" t="str">
        <f>IF(K377&gt;0,COUNT($A$8:A376)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77" s="446" t="s">
        <v>3152</v>
      </c>
      <c r="C377" s="151"/>
      <c r="D377" s="151"/>
      <c r="E377" s="459"/>
      <c r="F377" s="151"/>
      <c r="G377" s="468"/>
      <c r="H377" s="151"/>
      <c r="I377" s="472"/>
      <c r="J377" s="468"/>
      <c r="K377" s="566"/>
      <c r="M377" s="545"/>
      <c r="O377" s="357"/>
      <c r="P377" s="145"/>
      <c r="Q377" s="493"/>
      <c r="R377" s="493"/>
      <c r="S377" s="493"/>
      <c r="T377" s="479"/>
      <c r="U377" s="459"/>
      <c r="V377" s="582"/>
    </row>
    <row r="378" spans="1:22" ht="14.4" customHeight="1">
      <c r="A378" s="101" t="str">
        <f>IF(K378&gt;0,COUNT($A$8:A377)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78" s="682"/>
      <c r="C378" s="683"/>
      <c r="D378" s="274" t="str">
        <f>_xlfn.XLOOKUP(E378,'All Products'!D:D,'All Products'!C:C,FALSE)</f>
        <v>1-13-1-11-12</v>
      </c>
      <c r="E378" s="103">
        <v>100024857</v>
      </c>
      <c r="F378" s="144" t="str">
        <f>_xlfn.XLOOKUP(E378,'All Products'!D:D,'All Products'!E:E,FALSE)</f>
        <v>1 ACME X 1 BRASS QCSU X 12 SJ</v>
      </c>
      <c r="G378" s="103">
        <f>_xlfn.XLOOKUP(E378,'All Products'!D:D,'All Products'!F:F,FALSE)</f>
        <v>20</v>
      </c>
      <c r="H378" s="103">
        <f>_xlfn.XLOOKUP(E378,'All Products'!D:D,'All Products'!G:G,FALSE)</f>
        <v>1200</v>
      </c>
      <c r="I378" s="140">
        <f>_xlfn.XLOOKUP(E378,'All Products'!D:D,'All Products'!H:H,FALSE)</f>
        <v>191.49</v>
      </c>
      <c r="J378" s="173">
        <f>ROUNDUP(I378*Order_Quote!$L$26,2)</f>
        <v>191.49</v>
      </c>
      <c r="K378" s="75"/>
      <c r="L378" s="113"/>
      <c r="M378" s="171">
        <f t="shared" ref="M378:M415" si="9">K378/G378</f>
        <v>0</v>
      </c>
      <c r="O378" s="215" t="str">
        <f>_xlfn.XLOOKUP(E378,'All Products'!D:D,'All Products'!I:I,FALSE)</f>
        <v>Within 3 Weeks</v>
      </c>
      <c r="P378" s="215" t="str">
        <f>_xlfn.XLOOKUP(E378,'All Products'!D:D,'All Products'!J:J,FALSE)</f>
        <v>Manufactured</v>
      </c>
      <c r="Q378" s="266">
        <f>_xlfn.XLOOKUP(E378,'All Products'!D:D,'All Products'!K:K,FALSE)</f>
        <v>49081022907</v>
      </c>
      <c r="R378" s="266" t="str">
        <f>_xlfn.XLOOKUP(E378,'All Products'!D:D,'All Products'!L:L,FALSE)</f>
        <v>-</v>
      </c>
      <c r="S378" s="266">
        <f>_xlfn.XLOOKUP(E378,'All Products'!D:D,'All Products'!M:M,FALSE)</f>
        <v>40049081022905</v>
      </c>
      <c r="T378" s="264">
        <f>_xlfn.XLOOKUP(E378,'All Products'!D:D,'All Products'!N:N,FALSE)</f>
        <v>1.9</v>
      </c>
      <c r="U378" s="264">
        <f>_xlfn.XLOOKUP(E378,'All Products'!D:D,'All Products'!P:P,FALSE)</f>
        <v>19.899999999999999</v>
      </c>
      <c r="V378" s="265">
        <f>_xlfn.XLOOKUP(E378,'All Products'!D:D,'All Products'!Q:Q,FALSE)</f>
        <v>1.41</v>
      </c>
    </row>
    <row r="379" spans="1:22" ht="14.4" customHeight="1">
      <c r="A379" s="101" t="str">
        <f>IF(K379&gt;0,COUNT($A$8:A378)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79" s="610"/>
      <c r="C379" s="611"/>
      <c r="D379" s="274" t="str">
        <f>_xlfn.XLOOKUP(E379,'All Products'!D:D,'All Products'!C:C,FALSE)</f>
        <v>1-13-1-11-18</v>
      </c>
      <c r="E379" s="103">
        <v>100023759</v>
      </c>
      <c r="F379" s="144" t="str">
        <f>_xlfn.XLOOKUP(E379,'All Products'!D:D,'All Products'!E:E,FALSE)</f>
        <v>1 ACME X 1 BRAS MIPT SU X 18 LL SJ</v>
      </c>
      <c r="G379" s="103">
        <f>_xlfn.XLOOKUP(E379,'All Products'!D:D,'All Products'!F:F,FALSE)</f>
        <v>10</v>
      </c>
      <c r="H379" s="103">
        <f>_xlfn.XLOOKUP(E379,'All Products'!D:D,'All Products'!G:G,FALSE)</f>
        <v>240</v>
      </c>
      <c r="I379" s="140">
        <f>_xlfn.XLOOKUP(E379,'All Products'!D:D,'All Products'!H:H,FALSE)</f>
        <v>198.47</v>
      </c>
      <c r="J379" s="173">
        <f>ROUNDUP(I379*Order_Quote!$L$26,2)</f>
        <v>198.47</v>
      </c>
      <c r="K379" s="75"/>
      <c r="L379" s="113"/>
      <c r="M379" s="171">
        <f t="shared" si="9"/>
        <v>0</v>
      </c>
      <c r="O379" s="215" t="str">
        <f>_xlfn.XLOOKUP(E379,'All Products'!D:D,'All Products'!I:I,FALSE)</f>
        <v>Within 3 Weeks</v>
      </c>
      <c r="P379" s="215" t="str">
        <f>_xlfn.XLOOKUP(E379,'All Products'!D:D,'All Products'!J:J,FALSE)</f>
        <v>Manufactured</v>
      </c>
      <c r="Q379" s="266">
        <f>_xlfn.XLOOKUP(E379,'All Products'!D:D,'All Products'!K:K,FALSE)</f>
        <v>49081022969</v>
      </c>
      <c r="R379" s="266" t="str">
        <f>_xlfn.XLOOKUP(E379,'All Products'!D:D,'All Products'!L:L,FALSE)</f>
        <v>-</v>
      </c>
      <c r="S379" s="266">
        <f>_xlfn.XLOOKUP(E379,'All Products'!D:D,'All Products'!M:M,FALSE)</f>
        <v>40049081022967</v>
      </c>
      <c r="T379" s="264">
        <f>_xlfn.XLOOKUP(E379,'All Products'!D:D,'All Products'!N:N,FALSE)</f>
        <v>2.0790000000000002</v>
      </c>
      <c r="U379" s="264">
        <f>_xlfn.XLOOKUP(E379,'All Products'!D:D,'All Products'!P:P,FALSE)</f>
        <v>24.1</v>
      </c>
      <c r="V379" s="265">
        <f>_xlfn.XLOOKUP(E379,'All Products'!D:D,'All Products'!Q:Q,FALSE)</f>
        <v>2.77</v>
      </c>
    </row>
    <row r="380" spans="1:22" ht="14.4" customHeight="1">
      <c r="A380" s="101" t="str">
        <f>IF(K380&gt;0,COUNT($A$8:A379)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80" s="610"/>
      <c r="C380" s="611"/>
      <c r="D380" s="274" t="str">
        <f>_xlfn.XLOOKUP(E380,'All Products'!D:D,'All Products'!C:C,FALSE)</f>
        <v>1-15-1-11-12</v>
      </c>
      <c r="E380" s="103">
        <v>100024860</v>
      </c>
      <c r="F380" s="144" t="str">
        <f>_xlfn.XLOOKUP(E380,'All Products'!D:D,'All Products'!E:E,FALSE)</f>
        <v>1-1/2 ACME X 1 BRASS QCSU X 12 SJ</v>
      </c>
      <c r="G380" s="103">
        <f>_xlfn.XLOOKUP(E380,'All Products'!D:D,'All Products'!F:F,FALSE)</f>
        <v>10</v>
      </c>
      <c r="H380" s="103">
        <f>_xlfn.XLOOKUP(E380,'All Products'!D:D,'All Products'!G:G,FALSE)</f>
        <v>600</v>
      </c>
      <c r="I380" s="140">
        <f>_xlfn.XLOOKUP(E380,'All Products'!D:D,'All Products'!H:H,FALSE)</f>
        <v>191.49</v>
      </c>
      <c r="J380" s="173">
        <f>ROUNDUP(I380*Order_Quote!$L$26,2)</f>
        <v>191.49</v>
      </c>
      <c r="K380" s="75"/>
      <c r="L380" s="113"/>
      <c r="M380" s="171">
        <f t="shared" si="9"/>
        <v>0</v>
      </c>
      <c r="O380" s="215" t="str">
        <f>_xlfn.XLOOKUP(E380,'All Products'!D:D,'All Products'!I:I,FALSE)</f>
        <v>Within 3 Weeks</v>
      </c>
      <c r="P380" s="215" t="str">
        <f>_xlfn.XLOOKUP(E380,'All Products'!D:D,'All Products'!J:J,FALSE)</f>
        <v>Manufactured</v>
      </c>
      <c r="Q380" s="266">
        <f>_xlfn.XLOOKUP(E380,'All Products'!D:D,'All Products'!K:K,FALSE)</f>
        <v>49081022440</v>
      </c>
      <c r="R380" s="266" t="str">
        <f>_xlfn.XLOOKUP(E380,'All Products'!D:D,'All Products'!L:L,FALSE)</f>
        <v>-</v>
      </c>
      <c r="S380" s="266">
        <f>_xlfn.XLOOKUP(E380,'All Products'!D:D,'All Products'!M:M,FALSE)</f>
        <v>40049081022448</v>
      </c>
      <c r="T380" s="264">
        <f>_xlfn.XLOOKUP(E380,'All Products'!D:D,'All Products'!N:N,FALSE)</f>
        <v>1.9430000000000001</v>
      </c>
      <c r="U380" s="264">
        <f>_xlfn.XLOOKUP(E380,'All Products'!D:D,'All Products'!P:P,FALSE)</f>
        <v>17.98</v>
      </c>
      <c r="V380" s="265">
        <f>_xlfn.XLOOKUP(E380,'All Products'!D:D,'All Products'!Q:Q,FALSE)</f>
        <v>1.41</v>
      </c>
    </row>
    <row r="381" spans="1:22" ht="14.4" customHeight="1">
      <c r="A381" s="101" t="str">
        <f>IF(K381&gt;0,COUNT($A$8:A380)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81" s="610"/>
      <c r="C381" s="611"/>
      <c r="D381" s="274" t="str">
        <f>_xlfn.XLOOKUP(E381,'All Products'!D:D,'All Products'!C:C,FALSE)</f>
        <v>1-22-1-11-12</v>
      </c>
      <c r="E381" s="103">
        <v>100024866</v>
      </c>
      <c r="F381" s="144" t="str">
        <f>_xlfn.XLOOKUP(E381,'All Products'!D:D,'All Products'!E:E,FALSE)</f>
        <v>1 BSP X 1 BRASS QC SJ</v>
      </c>
      <c r="G381" s="103">
        <f>_xlfn.XLOOKUP(E381,'All Products'!D:D,'All Products'!F:F,FALSE)</f>
        <v>20</v>
      </c>
      <c r="H381" s="103" t="str">
        <f>_xlfn.XLOOKUP(E381,'All Products'!D:D,'All Products'!G:G,FALSE)</f>
        <v>-</v>
      </c>
      <c r="I381" s="140">
        <f>_xlfn.XLOOKUP(E381,'All Products'!D:D,'All Products'!H:H,FALSE)</f>
        <v>191.49</v>
      </c>
      <c r="J381" s="173">
        <f>ROUNDUP(I381*Order_Quote!$L$26,2)</f>
        <v>191.49</v>
      </c>
      <c r="K381" s="75"/>
      <c r="L381" s="113"/>
      <c r="M381" s="171">
        <f t="shared" si="9"/>
        <v>0</v>
      </c>
      <c r="O381" s="215" t="str">
        <f>_xlfn.XLOOKUP(E381,'All Products'!D:D,'All Products'!I:I,FALSE)</f>
        <v>In Stock</v>
      </c>
      <c r="P381" s="215" t="str">
        <f>_xlfn.XLOOKUP(E381,'All Products'!D:D,'All Products'!J:J,FALSE)</f>
        <v>Manufactured</v>
      </c>
      <c r="Q381" s="266">
        <f>_xlfn.XLOOKUP(E381,'All Products'!D:D,'All Products'!K:K,FALSE)</f>
        <v>49081022976</v>
      </c>
      <c r="R381" s="266" t="str">
        <f>_xlfn.XLOOKUP(E381,'All Products'!D:D,'All Products'!L:L,FALSE)</f>
        <v>-</v>
      </c>
      <c r="S381" s="266">
        <f>_xlfn.XLOOKUP(E381,'All Products'!D:D,'All Products'!M:M,FALSE)</f>
        <v>40049081022974</v>
      </c>
      <c r="T381" s="264">
        <f>_xlfn.XLOOKUP(E381,'All Products'!D:D,'All Products'!N:N,FALSE)</f>
        <v>1.879</v>
      </c>
      <c r="U381" s="264" t="str">
        <f>_xlfn.XLOOKUP(E381,'All Products'!D:D,'All Products'!P:P,FALSE)</f>
        <v>-</v>
      </c>
      <c r="V381" s="265" t="str">
        <f>_xlfn.XLOOKUP(E381,'All Products'!D:D,'All Products'!Q:Q,FALSE)</f>
        <v>-</v>
      </c>
    </row>
    <row r="382" spans="1:22" ht="14.4" customHeight="1">
      <c r="A382" s="101" t="str">
        <f>IF(K382&gt;0,COUNT($A$8:A381)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82" s="610"/>
      <c r="C382" s="611"/>
      <c r="D382" s="274" t="str">
        <f>_xlfn.XLOOKUP(E382,'All Products'!D:D,'All Products'!C:C,FALSE)</f>
        <v>1-A1-1-11-10</v>
      </c>
      <c r="E382" s="103">
        <v>100023770</v>
      </c>
      <c r="F382" s="144" t="str">
        <f>_xlfn.XLOOKUP(E382,'All Products'!D:D,'All Products'!E:E,FALSE)</f>
        <v>1 MPT X 1 BRASS MPT QCSU X 10 SJ</v>
      </c>
      <c r="G382" s="103">
        <f>_xlfn.XLOOKUP(E382,'All Products'!D:D,'All Products'!F:F,FALSE)</f>
        <v>10</v>
      </c>
      <c r="H382" s="103">
        <f>_xlfn.XLOOKUP(E382,'All Products'!D:D,'All Products'!G:G,FALSE)</f>
        <v>750</v>
      </c>
      <c r="I382" s="140">
        <f>_xlfn.XLOOKUP(E382,'All Products'!D:D,'All Products'!H:H,FALSE)</f>
        <v>191.49</v>
      </c>
      <c r="J382" s="173">
        <f>ROUNDUP(I382*Order_Quote!$L$26,2)</f>
        <v>191.49</v>
      </c>
      <c r="K382" s="75"/>
      <c r="L382" s="113"/>
      <c r="M382" s="171">
        <f t="shared" si="9"/>
        <v>0</v>
      </c>
      <c r="O382" s="215" t="str">
        <f>_xlfn.XLOOKUP(E382,'All Products'!D:D,'All Products'!I:I,FALSE)</f>
        <v>Within 3 Weeks</v>
      </c>
      <c r="P382" s="215" t="str">
        <f>_xlfn.XLOOKUP(E382,'All Products'!D:D,'All Products'!J:J,FALSE)</f>
        <v>Manufactured</v>
      </c>
      <c r="Q382" s="266">
        <f>_xlfn.XLOOKUP(E382,'All Products'!D:D,'All Products'!K:K,FALSE)</f>
        <v>49081020385</v>
      </c>
      <c r="R382" s="266" t="str">
        <f>_xlfn.XLOOKUP(E382,'All Products'!D:D,'All Products'!L:L,FALSE)</f>
        <v>-</v>
      </c>
      <c r="S382" s="266">
        <f>_xlfn.XLOOKUP(E382,'All Products'!D:D,'All Products'!M:M,FALSE)</f>
        <v>40049081020383</v>
      </c>
      <c r="T382" s="264">
        <f>_xlfn.XLOOKUP(E382,'All Products'!D:D,'All Products'!N:N,FALSE)</f>
        <v>1.79</v>
      </c>
      <c r="U382" s="264">
        <f>_xlfn.XLOOKUP(E382,'All Products'!D:D,'All Products'!P:P,FALSE)</f>
        <v>17.899999999999999</v>
      </c>
      <c r="V382" s="265">
        <f>_xlfn.XLOOKUP(E382,'All Products'!D:D,'All Products'!Q:Q,FALSE)</f>
        <v>1.1000000000000001</v>
      </c>
    </row>
    <row r="383" spans="1:22" ht="14.4" customHeight="1">
      <c r="A383" s="101" t="str">
        <f>IF(K383&gt;0,COUNT($A$8:A382)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83" s="610"/>
      <c r="C383" s="611"/>
      <c r="D383" s="274" t="str">
        <f>_xlfn.XLOOKUP(E383,'All Products'!D:D,'All Products'!C:C,FALSE)</f>
        <v>1-A1-1-11-12</v>
      </c>
      <c r="E383" s="103">
        <v>100024873</v>
      </c>
      <c r="F383" s="144" t="str">
        <f>_xlfn.XLOOKUP(E383,'All Products'!D:D,'All Products'!E:E,FALSE)</f>
        <v>1 MPT X 1 BRASS MPT QCSU X 12 SJ</v>
      </c>
      <c r="G383" s="103">
        <f>_xlfn.XLOOKUP(E383,'All Products'!D:D,'All Products'!F:F,FALSE)</f>
        <v>10</v>
      </c>
      <c r="H383" s="103">
        <f>_xlfn.XLOOKUP(E383,'All Products'!D:D,'All Products'!G:G,FALSE)</f>
        <v>750</v>
      </c>
      <c r="I383" s="140">
        <f>_xlfn.XLOOKUP(E383,'All Products'!D:D,'All Products'!H:H,FALSE)</f>
        <v>191.49</v>
      </c>
      <c r="J383" s="173">
        <f>ROUNDUP(I383*Order_Quote!$L$26,2)</f>
        <v>191.49</v>
      </c>
      <c r="K383" s="75"/>
      <c r="L383" s="113"/>
      <c r="M383" s="171">
        <f t="shared" si="9"/>
        <v>0</v>
      </c>
      <c r="O383" s="215" t="str">
        <f>_xlfn.XLOOKUP(E383,'All Products'!D:D,'All Products'!I:I,FALSE)</f>
        <v>In Stock</v>
      </c>
      <c r="P383" s="215" t="str">
        <f>_xlfn.XLOOKUP(E383,'All Products'!D:D,'All Products'!J:J,FALSE)</f>
        <v>Manufactured</v>
      </c>
      <c r="Q383" s="266">
        <f>_xlfn.XLOOKUP(E383,'All Products'!D:D,'All Products'!K:K,FALSE)</f>
        <v>49081020170</v>
      </c>
      <c r="R383" s="266" t="str">
        <f>_xlfn.XLOOKUP(E383,'All Products'!D:D,'All Products'!L:L,FALSE)</f>
        <v>-</v>
      </c>
      <c r="S383" s="266">
        <f>_xlfn.XLOOKUP(E383,'All Products'!D:D,'All Products'!M:M,FALSE)</f>
        <v>40049081020178</v>
      </c>
      <c r="T383" s="264">
        <f>_xlfn.XLOOKUP(E383,'All Products'!D:D,'All Products'!N:N,FALSE)</f>
        <v>1.756</v>
      </c>
      <c r="U383" s="264">
        <f>_xlfn.XLOOKUP(E383,'All Products'!D:D,'All Products'!P:P,FALSE)</f>
        <v>18.79</v>
      </c>
      <c r="V383" s="265">
        <f>_xlfn.XLOOKUP(E383,'All Products'!D:D,'All Products'!Q:Q,FALSE)</f>
        <v>1.1000000000000001</v>
      </c>
    </row>
    <row r="384" spans="1:22" ht="14.4" customHeight="1">
      <c r="A384" s="101" t="str">
        <f>IF(K384&gt;0,COUNT($A$8:A383)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84" s="610"/>
      <c r="C384" s="611"/>
      <c r="D384" s="274" t="str">
        <f>_xlfn.XLOOKUP(E384,'All Products'!D:D,'All Products'!C:C,FALSE)</f>
        <v>1-A1-1-11-14</v>
      </c>
      <c r="E384" s="103">
        <v>100023771</v>
      </c>
      <c r="F384" s="144" t="str">
        <f>_xlfn.XLOOKUP(E384,'All Products'!D:D,'All Products'!E:E,FALSE)</f>
        <v>1 MPT X 1 BRASS MPT QCSU X 14 SJ</v>
      </c>
      <c r="G384" s="103">
        <f>_xlfn.XLOOKUP(E384,'All Products'!D:D,'All Products'!F:F,FALSE)</f>
        <v>10</v>
      </c>
      <c r="H384" s="103">
        <f>_xlfn.XLOOKUP(E384,'All Products'!D:D,'All Products'!G:G,FALSE)</f>
        <v>600</v>
      </c>
      <c r="I384" s="140">
        <f>_xlfn.XLOOKUP(E384,'All Products'!D:D,'All Products'!H:H,FALSE)</f>
        <v>198.47</v>
      </c>
      <c r="J384" s="173">
        <f>ROUNDUP(I384*Order_Quote!$L$26,2)</f>
        <v>198.47</v>
      </c>
      <c r="K384" s="75"/>
      <c r="L384" s="113"/>
      <c r="M384" s="171">
        <f t="shared" si="9"/>
        <v>0</v>
      </c>
      <c r="O384" s="215" t="str">
        <f>_xlfn.XLOOKUP(E384,'All Products'!D:D,'All Products'!I:I,FALSE)</f>
        <v>Within 3 Weeks</v>
      </c>
      <c r="P384" s="215" t="str">
        <f>_xlfn.XLOOKUP(E384,'All Products'!D:D,'All Products'!J:J,FALSE)</f>
        <v>Manufactured</v>
      </c>
      <c r="Q384" s="266">
        <f>_xlfn.XLOOKUP(E384,'All Products'!D:D,'All Products'!K:K,FALSE)</f>
        <v>49081022167</v>
      </c>
      <c r="R384" s="266" t="str">
        <f>_xlfn.XLOOKUP(E384,'All Products'!D:D,'All Products'!L:L,FALSE)</f>
        <v>-</v>
      </c>
      <c r="S384" s="266">
        <f>_xlfn.XLOOKUP(E384,'All Products'!D:D,'All Products'!M:M,FALSE)</f>
        <v>40049081022165</v>
      </c>
      <c r="T384" s="264">
        <f>_xlfn.XLOOKUP(E384,'All Products'!D:D,'All Products'!N:N,FALSE)</f>
        <v>1.9379999999999999</v>
      </c>
      <c r="U384" s="264">
        <f>_xlfn.XLOOKUP(E384,'All Products'!D:D,'All Products'!P:P,FALSE)</f>
        <v>19.38</v>
      </c>
      <c r="V384" s="265">
        <f>_xlfn.XLOOKUP(E384,'All Products'!D:D,'All Products'!Q:Q,FALSE)</f>
        <v>1.41</v>
      </c>
    </row>
    <row r="385" spans="1:22" ht="14.4" customHeight="1">
      <c r="A385" s="101" t="str">
        <f>IF(K385&gt;0,COUNT($A$8:A384)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85" s="610"/>
      <c r="C385" s="611"/>
      <c r="D385" s="274" t="str">
        <f>_xlfn.XLOOKUP(E385,'All Products'!D:D,'All Products'!C:C,FALSE)</f>
        <v>1-A1-1-11-16</v>
      </c>
      <c r="E385" s="103">
        <v>100023772</v>
      </c>
      <c r="F385" s="144" t="str">
        <f>_xlfn.XLOOKUP(E385,'All Products'!D:D,'All Products'!E:E,FALSE)</f>
        <v>1 MPT X 1 BRASS MPT QCSU X 16 SJ</v>
      </c>
      <c r="G385" s="103">
        <f>_xlfn.XLOOKUP(E385,'All Products'!D:D,'All Products'!F:F,FALSE)</f>
        <v>10</v>
      </c>
      <c r="H385" s="103">
        <f>_xlfn.XLOOKUP(E385,'All Products'!D:D,'All Products'!G:G,FALSE)</f>
        <v>240</v>
      </c>
      <c r="I385" s="140">
        <f>_xlfn.XLOOKUP(E385,'All Products'!D:D,'All Products'!H:H,FALSE)</f>
        <v>198.47</v>
      </c>
      <c r="J385" s="173">
        <f>ROUNDUP(I385*Order_Quote!$L$26,2)</f>
        <v>198.47</v>
      </c>
      <c r="K385" s="75"/>
      <c r="L385" s="113"/>
      <c r="M385" s="171">
        <f t="shared" si="9"/>
        <v>0</v>
      </c>
      <c r="O385" s="215" t="str">
        <f>_xlfn.XLOOKUP(E385,'All Products'!D:D,'All Products'!I:I,FALSE)</f>
        <v>Within 3 Weeks</v>
      </c>
      <c r="P385" s="215" t="str">
        <f>_xlfn.XLOOKUP(E385,'All Products'!D:D,'All Products'!J:J,FALSE)</f>
        <v>Manufactured</v>
      </c>
      <c r="Q385" s="266">
        <f>_xlfn.XLOOKUP(E385,'All Products'!D:D,'All Products'!K:K,FALSE)</f>
        <v>49081020408</v>
      </c>
      <c r="R385" s="266" t="str">
        <f>_xlfn.XLOOKUP(E385,'All Products'!D:D,'All Products'!L:L,FALSE)</f>
        <v>-</v>
      </c>
      <c r="S385" s="266">
        <f>_xlfn.XLOOKUP(E385,'All Products'!D:D,'All Products'!M:M,FALSE)</f>
        <v>40049081020406</v>
      </c>
      <c r="T385" s="264">
        <f>_xlfn.XLOOKUP(E385,'All Products'!D:D,'All Products'!N:N,FALSE)</f>
        <v>2.1</v>
      </c>
      <c r="U385" s="264">
        <f>_xlfn.XLOOKUP(E385,'All Products'!D:D,'All Products'!P:P,FALSE)</f>
        <v>21</v>
      </c>
      <c r="V385" s="265">
        <f>_xlfn.XLOOKUP(E385,'All Products'!D:D,'All Products'!Q:Q,FALSE)</f>
        <v>2.77</v>
      </c>
    </row>
    <row r="386" spans="1:22" ht="14.4" customHeight="1">
      <c r="A386" s="101" t="str">
        <f>IF(K386&gt;0,COUNT($A$8:A385)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86" s="610"/>
      <c r="C386" s="611"/>
      <c r="D386" s="274" t="str">
        <f>_xlfn.XLOOKUP(E386,'All Products'!D:D,'All Products'!C:C,FALSE)</f>
        <v>1-A1-1-11-18</v>
      </c>
      <c r="E386" s="103">
        <v>100024874</v>
      </c>
      <c r="F386" s="144" t="str">
        <f>_xlfn.XLOOKUP(E386,'All Products'!D:D,'All Products'!E:E,FALSE)</f>
        <v>1 MPT X 1 BRASS MPT QCSU X 18LL SJ</v>
      </c>
      <c r="G386" s="103">
        <f>_xlfn.XLOOKUP(E386,'All Products'!D:D,'All Products'!F:F,FALSE)</f>
        <v>10</v>
      </c>
      <c r="H386" s="103">
        <f>_xlfn.XLOOKUP(E386,'All Products'!D:D,'All Products'!G:G,FALSE)</f>
        <v>240</v>
      </c>
      <c r="I386" s="140">
        <f>_xlfn.XLOOKUP(E386,'All Products'!D:D,'All Products'!H:H,FALSE)</f>
        <v>198.47</v>
      </c>
      <c r="J386" s="173">
        <f>ROUNDUP(I386*Order_Quote!$L$26,2)</f>
        <v>198.47</v>
      </c>
      <c r="K386" s="75"/>
      <c r="L386" s="113"/>
      <c r="M386" s="171">
        <f t="shared" si="9"/>
        <v>0</v>
      </c>
      <c r="O386" s="215" t="str">
        <f>_xlfn.XLOOKUP(E386,'All Products'!D:D,'All Products'!I:I,FALSE)</f>
        <v>In Stock</v>
      </c>
      <c r="P386" s="215" t="str">
        <f>_xlfn.XLOOKUP(E386,'All Products'!D:D,'All Products'!J:J,FALSE)</f>
        <v>Manufactured</v>
      </c>
      <c r="Q386" s="266">
        <f>_xlfn.XLOOKUP(E386,'All Products'!D:D,'All Products'!K:K,FALSE)</f>
        <v>49081020415</v>
      </c>
      <c r="R386" s="266" t="str">
        <f>_xlfn.XLOOKUP(E386,'All Products'!D:D,'All Products'!L:L,FALSE)</f>
        <v>-</v>
      </c>
      <c r="S386" s="266">
        <f>_xlfn.XLOOKUP(E386,'All Products'!D:D,'All Products'!M:M,FALSE)</f>
        <v>40049081020413</v>
      </c>
      <c r="T386" s="264">
        <f>_xlfn.XLOOKUP(E386,'All Products'!D:D,'All Products'!N:N,FALSE)</f>
        <v>1.9350000000000001</v>
      </c>
      <c r="U386" s="264">
        <f>_xlfn.XLOOKUP(E386,'All Products'!D:D,'All Products'!P:P,FALSE)</f>
        <v>21.91</v>
      </c>
      <c r="V386" s="265">
        <f>_xlfn.XLOOKUP(E386,'All Products'!D:D,'All Products'!Q:Q,FALSE)</f>
        <v>2.77</v>
      </c>
    </row>
    <row r="387" spans="1:22" ht="14.4" customHeight="1">
      <c r="A387" s="101" t="str">
        <f>IF(K387&gt;0,COUNT($A$8:A386)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87" s="610"/>
      <c r="C387" s="611"/>
      <c r="D387" s="274" t="str">
        <f>_xlfn.XLOOKUP(E387,'All Products'!D:D,'All Products'!C:C,FALSE)</f>
        <v>1-A1-1-11-6</v>
      </c>
      <c r="E387" s="103">
        <v>100023775</v>
      </c>
      <c r="F387" s="144" t="str">
        <f>_xlfn.XLOOKUP(E387,'All Products'!D:D,'All Products'!E:E,FALSE)</f>
        <v>1 MPT X 1 BRASS MPT QCSU X 6 SJ</v>
      </c>
      <c r="G387" s="103">
        <f>_xlfn.XLOOKUP(E387,'All Products'!D:D,'All Products'!F:F,FALSE)</f>
        <v>10</v>
      </c>
      <c r="H387" s="103">
        <f>_xlfn.XLOOKUP(E387,'All Products'!D:D,'All Products'!G:G,FALSE)</f>
        <v>750</v>
      </c>
      <c r="I387" s="140">
        <f>_xlfn.XLOOKUP(E387,'All Products'!D:D,'All Products'!H:H,FALSE)</f>
        <v>180.98</v>
      </c>
      <c r="J387" s="173">
        <f>ROUNDUP(I387*Order_Quote!$L$26,2)</f>
        <v>180.98</v>
      </c>
      <c r="K387" s="75"/>
      <c r="L387" s="113"/>
      <c r="M387" s="171">
        <f t="shared" si="9"/>
        <v>0</v>
      </c>
      <c r="O387" s="215" t="str">
        <f>_xlfn.XLOOKUP(E387,'All Products'!D:D,'All Products'!I:I,FALSE)</f>
        <v>Within 3 Weeks</v>
      </c>
      <c r="P387" s="215" t="str">
        <f>_xlfn.XLOOKUP(E387,'All Products'!D:D,'All Products'!J:J,FALSE)</f>
        <v>Manufactured</v>
      </c>
      <c r="Q387" s="266">
        <f>_xlfn.XLOOKUP(E387,'All Products'!D:D,'All Products'!K:K,FALSE)</f>
        <v>49081020422</v>
      </c>
      <c r="R387" s="266" t="str">
        <f>_xlfn.XLOOKUP(E387,'All Products'!D:D,'All Products'!L:L,FALSE)</f>
        <v>-</v>
      </c>
      <c r="S387" s="266">
        <f>_xlfn.XLOOKUP(E387,'All Products'!D:D,'All Products'!M:M,FALSE)</f>
        <v>40049081020420</v>
      </c>
      <c r="T387" s="264">
        <f>_xlfn.XLOOKUP(E387,'All Products'!D:D,'All Products'!N:N,FALSE)</f>
        <v>1.6519999999999999</v>
      </c>
      <c r="U387" s="264">
        <f>_xlfn.XLOOKUP(E387,'All Products'!D:D,'All Products'!P:P,FALSE)</f>
        <v>16.515000000000001</v>
      </c>
      <c r="V387" s="265">
        <f>_xlfn.XLOOKUP(E387,'All Products'!D:D,'All Products'!Q:Q,FALSE)</f>
        <v>0.95</v>
      </c>
    </row>
    <row r="388" spans="1:22" ht="14.4" customHeight="1">
      <c r="A388" s="101" t="str">
        <f>IF(K388&gt;0,COUNT($A$8:A387)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88" s="610"/>
      <c r="C388" s="611"/>
      <c r="D388" s="274" t="str">
        <f>_xlfn.XLOOKUP(E388,'All Products'!D:D,'All Products'!C:C,FALSE)</f>
        <v>1-A1-1-11-8</v>
      </c>
      <c r="E388" s="103">
        <v>100023776</v>
      </c>
      <c r="F388" s="144" t="str">
        <f>_xlfn.XLOOKUP(E388,'All Products'!D:D,'All Products'!E:E,FALSE)</f>
        <v>1 MPT X 1 BRASS MPT QCSU X 8 SJ</v>
      </c>
      <c r="G388" s="103">
        <f>_xlfn.XLOOKUP(E388,'All Products'!D:D,'All Products'!F:F,FALSE)</f>
        <v>10</v>
      </c>
      <c r="H388" s="103">
        <f>_xlfn.XLOOKUP(E388,'All Products'!D:D,'All Products'!G:G,FALSE)</f>
        <v>750</v>
      </c>
      <c r="I388" s="140">
        <f>_xlfn.XLOOKUP(E388,'All Products'!D:D,'All Products'!H:H,FALSE)</f>
        <v>180.98</v>
      </c>
      <c r="J388" s="173">
        <f>ROUNDUP(I388*Order_Quote!$L$26,2)</f>
        <v>180.98</v>
      </c>
      <c r="K388" s="75"/>
      <c r="L388" s="113"/>
      <c r="M388" s="171">
        <f t="shared" si="9"/>
        <v>0</v>
      </c>
      <c r="O388" s="215" t="str">
        <f>_xlfn.XLOOKUP(E388,'All Products'!D:D,'All Products'!I:I,FALSE)</f>
        <v>In Stock</v>
      </c>
      <c r="P388" s="215" t="str">
        <f>_xlfn.XLOOKUP(E388,'All Products'!D:D,'All Products'!J:J,FALSE)</f>
        <v>Manufactured</v>
      </c>
      <c r="Q388" s="266">
        <f>_xlfn.XLOOKUP(E388,'All Products'!D:D,'All Products'!K:K,FALSE)</f>
        <v>49081023157</v>
      </c>
      <c r="R388" s="266" t="str">
        <f>_xlfn.XLOOKUP(E388,'All Products'!D:D,'All Products'!L:L,FALSE)</f>
        <v>-</v>
      </c>
      <c r="S388" s="266">
        <f>_xlfn.XLOOKUP(E388,'All Products'!D:D,'All Products'!M:M,FALSE)</f>
        <v>40049081023155</v>
      </c>
      <c r="T388" s="264">
        <f>_xlfn.XLOOKUP(E388,'All Products'!D:D,'All Products'!N:N,FALSE)</f>
        <v>1.7310000000000001</v>
      </c>
      <c r="U388" s="264">
        <f>_xlfn.XLOOKUP(E388,'All Products'!D:D,'All Products'!P:P,FALSE)</f>
        <v>17.309999999999999</v>
      </c>
      <c r="V388" s="265">
        <f>_xlfn.XLOOKUP(E388,'All Products'!D:D,'All Products'!Q:Q,FALSE)</f>
        <v>1.1000000000000001</v>
      </c>
    </row>
    <row r="389" spans="1:22" ht="14.4" customHeight="1">
      <c r="A389" s="101" t="str">
        <f>IF(K389&gt;0,COUNT($A$8:A388)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89" s="610"/>
      <c r="C389" s="611"/>
      <c r="D389" s="274" t="str">
        <f>_xlfn.XLOOKUP(E389,'All Products'!D:D,'All Products'!C:C,FALSE)</f>
        <v>1-A1-3-11-12</v>
      </c>
      <c r="E389" s="103">
        <v>100024893</v>
      </c>
      <c r="F389" s="144" t="str">
        <f>_xlfn.XLOOKUP(E389,'All Products'!D:D,'All Products'!E:E,FALSE)</f>
        <v>1 MPT X 3/4 BRASS MPT QCSU X 12 SJ</v>
      </c>
      <c r="G389" s="103">
        <f>_xlfn.XLOOKUP(E389,'All Products'!D:D,'All Products'!F:F,FALSE)</f>
        <v>10</v>
      </c>
      <c r="H389" s="103">
        <f>_xlfn.XLOOKUP(E389,'All Products'!D:D,'All Products'!G:G,FALSE)</f>
        <v>750</v>
      </c>
      <c r="I389" s="140">
        <f>_xlfn.XLOOKUP(E389,'All Products'!D:D,'All Products'!H:H,FALSE)</f>
        <v>191.49</v>
      </c>
      <c r="J389" s="173">
        <f>ROUNDUP(I389*Order_Quote!$L$26,2)</f>
        <v>191.49</v>
      </c>
      <c r="K389" s="75"/>
      <c r="L389" s="113"/>
      <c r="M389" s="171">
        <f t="shared" si="9"/>
        <v>0</v>
      </c>
      <c r="O389" s="215" t="str">
        <f>_xlfn.XLOOKUP(E389,'All Products'!D:D,'All Products'!I:I,FALSE)</f>
        <v>Within 3 Weeks</v>
      </c>
      <c r="P389" s="215" t="str">
        <f>_xlfn.XLOOKUP(E389,'All Products'!D:D,'All Products'!J:J,FALSE)</f>
        <v>Manufactured</v>
      </c>
      <c r="Q389" s="266">
        <f>_xlfn.XLOOKUP(E389,'All Products'!D:D,'All Products'!K:K,FALSE)</f>
        <v>49081020651</v>
      </c>
      <c r="R389" s="266" t="str">
        <f>_xlfn.XLOOKUP(E389,'All Products'!D:D,'All Products'!L:L,FALSE)</f>
        <v>-</v>
      </c>
      <c r="S389" s="266" t="str">
        <f>_xlfn.XLOOKUP(E389,'All Products'!D:D,'All Products'!M:M,FALSE)</f>
        <v>-</v>
      </c>
      <c r="T389" s="264">
        <f>_xlfn.XLOOKUP(E389,'All Products'!D:D,'All Products'!N:N,FALSE)</f>
        <v>1.756</v>
      </c>
      <c r="U389" s="264">
        <f>_xlfn.XLOOKUP(E389,'All Products'!D:D,'All Products'!P:P,FALSE)</f>
        <v>17.355</v>
      </c>
      <c r="V389" s="265">
        <f>_xlfn.XLOOKUP(E389,'All Products'!D:D,'All Products'!Q:Q,FALSE)</f>
        <v>1.1000000000000001</v>
      </c>
    </row>
    <row r="390" spans="1:22" ht="14.4" customHeight="1">
      <c r="A390" s="101" t="str">
        <f>IF(K390&gt;0,COUNT($A$8:A389)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90" s="610"/>
      <c r="C390" s="611"/>
      <c r="D390" s="274" t="str">
        <f>_xlfn.XLOOKUP(E390,'All Products'!D:D,'All Products'!C:C,FALSE)</f>
        <v>1-A1-3-11-14</v>
      </c>
      <c r="E390" s="103">
        <v>100023849</v>
      </c>
      <c r="F390" s="144" t="str">
        <f>_xlfn.XLOOKUP(E390,'All Products'!D:D,'All Products'!E:E,FALSE)</f>
        <v>1 MPT X 3/4 BRASS MPT QCSU X 14 SJ</v>
      </c>
      <c r="G390" s="103">
        <f>_xlfn.XLOOKUP(E390,'All Products'!D:D,'All Products'!F:F,FALSE)</f>
        <v>10</v>
      </c>
      <c r="H390" s="103">
        <f>_xlfn.XLOOKUP(E390,'All Products'!D:D,'All Products'!G:G,FALSE)</f>
        <v>180</v>
      </c>
      <c r="I390" s="140">
        <f>_xlfn.XLOOKUP(E390,'All Products'!D:D,'All Products'!H:H,FALSE)</f>
        <v>198.47</v>
      </c>
      <c r="J390" s="173">
        <f>ROUNDUP(I390*Order_Quote!$L$26,2)</f>
        <v>198.47</v>
      </c>
      <c r="K390" s="75"/>
      <c r="L390" s="113"/>
      <c r="M390" s="171">
        <f t="shared" si="9"/>
        <v>0</v>
      </c>
      <c r="O390" s="215" t="str">
        <f>_xlfn.XLOOKUP(E390,'All Products'!D:D,'All Products'!I:I,FALSE)</f>
        <v>Within 3 Weeks</v>
      </c>
      <c r="P390" s="215" t="str">
        <f>_xlfn.XLOOKUP(E390,'All Products'!D:D,'All Products'!J:J,FALSE)</f>
        <v>Manufactured</v>
      </c>
      <c r="Q390" s="266">
        <f>_xlfn.XLOOKUP(E390,'All Products'!D:D,'All Products'!K:K,FALSE)</f>
        <v>49081030995</v>
      </c>
      <c r="R390" s="266" t="str">
        <f>_xlfn.XLOOKUP(E390,'All Products'!D:D,'All Products'!L:L,FALSE)</f>
        <v>-</v>
      </c>
      <c r="S390" s="266">
        <f>_xlfn.XLOOKUP(E390,'All Products'!D:D,'All Products'!M:M,FALSE)</f>
        <v>40049081030993</v>
      </c>
      <c r="T390" s="264">
        <f>_xlfn.XLOOKUP(E390,'All Products'!D:D,'All Products'!N:N,FALSE)</f>
        <v>1.77</v>
      </c>
      <c r="U390" s="264">
        <f>_xlfn.XLOOKUP(E390,'All Products'!D:D,'All Products'!P:P,FALSE)</f>
        <v>17.7</v>
      </c>
      <c r="V390" s="265">
        <f>_xlfn.XLOOKUP(E390,'All Products'!D:D,'All Products'!Q:Q,FALSE)</f>
        <v>2.65</v>
      </c>
    </row>
    <row r="391" spans="1:22" ht="14.4" customHeight="1">
      <c r="A391" s="101" t="str">
        <f>IF(K391&gt;0,COUNT($A$8:A390)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91" s="610"/>
      <c r="C391" s="611"/>
      <c r="D391" s="274" t="str">
        <f>_xlfn.XLOOKUP(E391,'All Products'!D:D,'All Products'!C:C,FALSE)</f>
        <v>1-A1-3-11-18</v>
      </c>
      <c r="E391" s="103">
        <v>100024894</v>
      </c>
      <c r="F391" s="144" t="str">
        <f>_xlfn.XLOOKUP(E391,'All Products'!D:D,'All Products'!E:E,FALSE)</f>
        <v>1 MPT X 3/4 BRASS MPT QCSU X 18 SJ</v>
      </c>
      <c r="G391" s="103">
        <f>_xlfn.XLOOKUP(E391,'All Products'!D:D,'All Products'!F:F,FALSE)</f>
        <v>10</v>
      </c>
      <c r="H391" s="103">
        <f>_xlfn.XLOOKUP(E391,'All Products'!D:D,'All Products'!G:G,FALSE)</f>
        <v>240</v>
      </c>
      <c r="I391" s="140">
        <f>_xlfn.XLOOKUP(E391,'All Products'!D:D,'All Products'!H:H,FALSE)</f>
        <v>198.47</v>
      </c>
      <c r="J391" s="173">
        <f>ROUNDUP(I391*Order_Quote!$L$26,2)</f>
        <v>198.47</v>
      </c>
      <c r="K391" s="75"/>
      <c r="L391" s="113"/>
      <c r="M391" s="171">
        <f t="shared" si="9"/>
        <v>0</v>
      </c>
      <c r="O391" s="215" t="str">
        <f>_xlfn.XLOOKUP(E391,'All Products'!D:D,'All Products'!I:I,FALSE)</f>
        <v>Within 3 Weeks</v>
      </c>
      <c r="P391" s="215" t="str">
        <f>_xlfn.XLOOKUP(E391,'All Products'!D:D,'All Products'!J:J,FALSE)</f>
        <v>Manufactured</v>
      </c>
      <c r="Q391" s="266">
        <f>_xlfn.XLOOKUP(E391,'All Products'!D:D,'All Products'!K:K,FALSE)</f>
        <v>49081235772</v>
      </c>
      <c r="R391" s="266" t="str">
        <f>_xlfn.XLOOKUP(E391,'All Products'!D:D,'All Products'!L:L,FALSE)</f>
        <v>-</v>
      </c>
      <c r="S391" s="266">
        <f>_xlfn.XLOOKUP(E391,'All Products'!D:D,'All Products'!M:M,FALSE)</f>
        <v>40049081023575</v>
      </c>
      <c r="T391" s="264">
        <f>_xlfn.XLOOKUP(E391,'All Products'!D:D,'All Products'!N:N,FALSE)</f>
        <v>1.9350000000000001</v>
      </c>
      <c r="U391" s="264">
        <f>_xlfn.XLOOKUP(E391,'All Products'!D:D,'All Products'!P:P,FALSE)</f>
        <v>21.9</v>
      </c>
      <c r="V391" s="265">
        <f>_xlfn.XLOOKUP(E391,'All Products'!D:D,'All Products'!Q:Q,FALSE)</f>
        <v>2.77</v>
      </c>
    </row>
    <row r="392" spans="1:22" ht="14.4" customHeight="1">
      <c r="A392" s="101" t="str">
        <f>IF(K392&gt;0,COUNT($A$8:A391)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92" s="610"/>
      <c r="C392" s="611"/>
      <c r="D392" s="274" t="str">
        <f>_xlfn.XLOOKUP(E392,'All Products'!D:D,'All Products'!C:C,FALSE)</f>
        <v>1-A2-1-11-10</v>
      </c>
      <c r="E392" s="103">
        <v>100024910</v>
      </c>
      <c r="F392" s="144" t="str">
        <f>_xlfn.XLOOKUP(E392,'All Products'!D:D,'All Products'!E:E,FALSE)</f>
        <v>1 SPG X 1 BRASS MPT QCSU X 10 SJ</v>
      </c>
      <c r="G392" s="103">
        <f>_xlfn.XLOOKUP(E392,'All Products'!D:D,'All Products'!F:F,FALSE)</f>
        <v>10</v>
      </c>
      <c r="H392" s="103">
        <f>_xlfn.XLOOKUP(E392,'All Products'!D:D,'All Products'!G:G,FALSE)</f>
        <v>750</v>
      </c>
      <c r="I392" s="140">
        <f>_xlfn.XLOOKUP(E392,'All Products'!D:D,'All Products'!H:H,FALSE)</f>
        <v>191.49</v>
      </c>
      <c r="J392" s="173">
        <f>ROUNDUP(I392*Order_Quote!$L$26,2)</f>
        <v>191.49</v>
      </c>
      <c r="K392" s="75"/>
      <c r="L392" s="113"/>
      <c r="M392" s="171">
        <f t="shared" si="9"/>
        <v>0</v>
      </c>
      <c r="O392" s="215" t="str">
        <f>_xlfn.XLOOKUP(E392,'All Products'!D:D,'All Products'!I:I,FALSE)</f>
        <v>In Stock</v>
      </c>
      <c r="P392" s="215" t="str">
        <f>_xlfn.XLOOKUP(E392,'All Products'!D:D,'All Products'!J:J,FALSE)</f>
        <v>Manufactured</v>
      </c>
      <c r="Q392" s="266">
        <f>_xlfn.XLOOKUP(E392,'All Products'!D:D,'All Products'!K:K,FALSE)</f>
        <v>49081024055</v>
      </c>
      <c r="R392" s="266" t="str">
        <f>_xlfn.XLOOKUP(E392,'All Products'!D:D,'All Products'!L:L,FALSE)</f>
        <v>-</v>
      </c>
      <c r="S392" s="266">
        <f>_xlfn.XLOOKUP(E392,'All Products'!D:D,'All Products'!M:M,FALSE)</f>
        <v>40049081024053</v>
      </c>
      <c r="T392" s="264">
        <f>_xlfn.XLOOKUP(E392,'All Products'!D:D,'All Products'!N:N,FALSE)</f>
        <v>1.8160000000000001</v>
      </c>
      <c r="U392" s="264">
        <f>_xlfn.XLOOKUP(E392,'All Products'!D:D,'All Products'!P:P,FALSE)</f>
        <v>18.16</v>
      </c>
      <c r="V392" s="265">
        <f>_xlfn.XLOOKUP(E392,'All Products'!D:D,'All Products'!Q:Q,FALSE)</f>
        <v>1.1000000000000001</v>
      </c>
    </row>
    <row r="393" spans="1:22" ht="14.4" customHeight="1">
      <c r="A393" s="101" t="str">
        <f>IF(K393&gt;0,COUNT($A$8:A392)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93" s="610"/>
      <c r="C393" s="611"/>
      <c r="D393" s="274" t="str">
        <f>_xlfn.XLOOKUP(E393,'All Products'!D:D,'All Products'!C:C,FALSE)</f>
        <v>1-A2-1-11-12</v>
      </c>
      <c r="E393" s="103">
        <v>100024911</v>
      </c>
      <c r="F393" s="144" t="str">
        <f>_xlfn.XLOOKUP(E393,'All Products'!D:D,'All Products'!E:E,FALSE)</f>
        <v>1 SPG X 1 BRASS MPT QCSU X 12 SJ</v>
      </c>
      <c r="G393" s="103">
        <f>_xlfn.XLOOKUP(E393,'All Products'!D:D,'All Products'!F:F,FALSE)</f>
        <v>10</v>
      </c>
      <c r="H393" s="103">
        <f>_xlfn.XLOOKUP(E393,'All Products'!D:D,'All Products'!G:G,FALSE)</f>
        <v>750</v>
      </c>
      <c r="I393" s="140">
        <f>_xlfn.XLOOKUP(E393,'All Products'!D:D,'All Products'!H:H,FALSE)</f>
        <v>191.49</v>
      </c>
      <c r="J393" s="173">
        <f>ROUNDUP(I393*Order_Quote!$L$26,2)</f>
        <v>191.49</v>
      </c>
      <c r="K393" s="75"/>
      <c r="L393" s="113"/>
      <c r="M393" s="171">
        <f t="shared" si="9"/>
        <v>0</v>
      </c>
      <c r="O393" s="215" t="str">
        <f>_xlfn.XLOOKUP(E393,'All Products'!D:D,'All Products'!I:I,FALSE)</f>
        <v>Within 3 Weeks</v>
      </c>
      <c r="P393" s="215" t="str">
        <f>_xlfn.XLOOKUP(E393,'All Products'!D:D,'All Products'!J:J,FALSE)</f>
        <v>Manufactured</v>
      </c>
      <c r="Q393" s="266">
        <f>_xlfn.XLOOKUP(E393,'All Products'!D:D,'All Products'!K:K,FALSE)</f>
        <v>49081020781</v>
      </c>
      <c r="R393" s="266" t="str">
        <f>_xlfn.XLOOKUP(E393,'All Products'!D:D,'All Products'!L:L,FALSE)</f>
        <v>-</v>
      </c>
      <c r="S393" s="266">
        <f>_xlfn.XLOOKUP(E393,'All Products'!D:D,'All Products'!M:M,FALSE)</f>
        <v>40049081020789</v>
      </c>
      <c r="T393" s="264">
        <f>_xlfn.XLOOKUP(E393,'All Products'!D:D,'All Products'!N:N,FALSE)</f>
        <v>1.78</v>
      </c>
      <c r="U393" s="264">
        <f>_xlfn.XLOOKUP(E393,'All Products'!D:D,'All Products'!P:P,FALSE)</f>
        <v>18.91</v>
      </c>
      <c r="V393" s="265">
        <f>_xlfn.XLOOKUP(E393,'All Products'!D:D,'All Products'!Q:Q,FALSE)</f>
        <v>1.1000000000000001</v>
      </c>
    </row>
    <row r="394" spans="1:22" ht="14.4" customHeight="1">
      <c r="A394" s="101" t="str">
        <f>IF(K394&gt;0,COUNT($A$8:A393)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94" s="610"/>
      <c r="C394" s="611"/>
      <c r="D394" s="274" t="str">
        <f>_xlfn.XLOOKUP(E394,'All Products'!D:D,'All Products'!C:C,FALSE)</f>
        <v>1-A2-1-11-18</v>
      </c>
      <c r="E394" s="103">
        <v>100024912</v>
      </c>
      <c r="F394" s="144" t="str">
        <f>_xlfn.XLOOKUP(E394,'All Products'!D:D,'All Products'!E:E,FALSE)</f>
        <v>1 SPG X 1 BRASS MPT QCSU X 18 SJ</v>
      </c>
      <c r="G394" s="103">
        <f>_xlfn.XLOOKUP(E394,'All Products'!D:D,'All Products'!F:F,FALSE)</f>
        <v>10</v>
      </c>
      <c r="H394" s="103">
        <f>_xlfn.XLOOKUP(E394,'All Products'!D:D,'All Products'!G:G,FALSE)</f>
        <v>240</v>
      </c>
      <c r="I394" s="140">
        <f>_xlfn.XLOOKUP(E394,'All Products'!D:D,'All Products'!H:H,FALSE)</f>
        <v>198.47</v>
      </c>
      <c r="J394" s="173">
        <f>ROUNDUP(I394*Order_Quote!$L$26,2)</f>
        <v>198.47</v>
      </c>
      <c r="K394" s="75"/>
      <c r="L394" s="113"/>
      <c r="M394" s="171">
        <f t="shared" si="9"/>
        <v>0</v>
      </c>
      <c r="O394" s="215" t="str">
        <f>_xlfn.XLOOKUP(E394,'All Products'!D:D,'All Products'!I:I,FALSE)</f>
        <v>Within 3 Weeks</v>
      </c>
      <c r="P394" s="215" t="str">
        <f>_xlfn.XLOOKUP(E394,'All Products'!D:D,'All Products'!J:J,FALSE)</f>
        <v>Manufactured</v>
      </c>
      <c r="Q394" s="266">
        <f>_xlfn.XLOOKUP(E394,'All Products'!D:D,'All Products'!K:K,FALSE)</f>
        <v>49081020798</v>
      </c>
      <c r="R394" s="266" t="str">
        <f>_xlfn.XLOOKUP(E394,'All Products'!D:D,'All Products'!L:L,FALSE)</f>
        <v>-</v>
      </c>
      <c r="S394" s="266">
        <f>_xlfn.XLOOKUP(E394,'All Products'!D:D,'All Products'!M:M,FALSE)</f>
        <v>40049081020796</v>
      </c>
      <c r="T394" s="264">
        <f>_xlfn.XLOOKUP(E394,'All Products'!D:D,'All Products'!N:N,FALSE)</f>
        <v>1.9590000000000001</v>
      </c>
      <c r="U394" s="264">
        <f>_xlfn.XLOOKUP(E394,'All Products'!D:D,'All Products'!P:P,FALSE)</f>
        <v>19.850000000000001</v>
      </c>
      <c r="V394" s="265">
        <f>_xlfn.XLOOKUP(E394,'All Products'!D:D,'All Products'!Q:Q,FALSE)</f>
        <v>2.77</v>
      </c>
    </row>
    <row r="395" spans="1:22" ht="14.4" customHeight="1">
      <c r="A395" s="101" t="str">
        <f>IF(K395&gt;0,COUNT($A$8:A394)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95" s="610"/>
      <c r="C395" s="611"/>
      <c r="D395" s="274" t="str">
        <f>_xlfn.XLOOKUP(E395,'All Products'!D:D,'All Products'!C:C,FALSE)</f>
        <v>1-A2-1-11-6</v>
      </c>
      <c r="E395" s="103">
        <v>100023905</v>
      </c>
      <c r="F395" s="144" t="str">
        <f>_xlfn.XLOOKUP(E395,'All Products'!D:D,'All Products'!E:E,FALSE)</f>
        <v>1 SPG X 1 BRASS MPT SU X 6 SJ</v>
      </c>
      <c r="G395" s="103">
        <f>_xlfn.XLOOKUP(E395,'All Products'!D:D,'All Products'!F:F,FALSE)</f>
        <v>10</v>
      </c>
      <c r="H395" s="103">
        <f>_xlfn.XLOOKUP(E395,'All Products'!D:D,'All Products'!G:G,FALSE)</f>
        <v>750</v>
      </c>
      <c r="I395" s="140">
        <f>_xlfn.XLOOKUP(E395,'All Products'!D:D,'All Products'!H:H,FALSE)</f>
        <v>180.98</v>
      </c>
      <c r="J395" s="173">
        <f>ROUNDUP(I395*Order_Quote!$L$26,2)</f>
        <v>180.98</v>
      </c>
      <c r="K395" s="75"/>
      <c r="L395" s="113"/>
      <c r="M395" s="171">
        <f t="shared" si="9"/>
        <v>0</v>
      </c>
      <c r="O395" s="215" t="str">
        <f>_xlfn.XLOOKUP(E395,'All Products'!D:D,'All Products'!I:I,FALSE)</f>
        <v>Within 3 Weeks</v>
      </c>
      <c r="P395" s="215" t="str">
        <f>_xlfn.XLOOKUP(E395,'All Products'!D:D,'All Products'!J:J,FALSE)</f>
        <v>Manufactured</v>
      </c>
      <c r="Q395" s="266">
        <f>_xlfn.XLOOKUP(E395,'All Products'!D:D,'All Products'!K:K,FALSE)</f>
        <v>49081024086</v>
      </c>
      <c r="R395" s="266" t="str">
        <f>_xlfn.XLOOKUP(E395,'All Products'!D:D,'All Products'!L:L,FALSE)</f>
        <v>-</v>
      </c>
      <c r="S395" s="266">
        <f>_xlfn.XLOOKUP(E395,'All Products'!D:D,'All Products'!M:M,FALSE)</f>
        <v>40049081024084</v>
      </c>
      <c r="T395" s="264">
        <f>_xlfn.XLOOKUP(E395,'All Products'!D:D,'All Products'!N:N,FALSE)</f>
        <v>1.661</v>
      </c>
      <c r="U395" s="264">
        <f>_xlfn.XLOOKUP(E395,'All Products'!D:D,'All Products'!P:P,FALSE)</f>
        <v>16.605</v>
      </c>
      <c r="V395" s="265">
        <f>_xlfn.XLOOKUP(E395,'All Products'!D:D,'All Products'!Q:Q,FALSE)</f>
        <v>1.1000000000000001</v>
      </c>
    </row>
    <row r="396" spans="1:22" ht="14.4" customHeight="1">
      <c r="A396" s="101" t="str">
        <f>IF(K396&gt;0,COUNT($A$8:A395)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96" s="610"/>
      <c r="C396" s="611"/>
      <c r="D396" s="274" t="str">
        <f>_xlfn.XLOOKUP(E396,'All Products'!D:D,'All Products'!C:C,FALSE)</f>
        <v>1-A2-1-11-8</v>
      </c>
      <c r="E396" s="103">
        <v>100023906</v>
      </c>
      <c r="F396" s="144" t="str">
        <f>_xlfn.XLOOKUP(E396,'All Products'!D:D,'All Products'!E:E,FALSE)</f>
        <v>1 SPG X 1 BRASS MPT QCSU X 8 SJ</v>
      </c>
      <c r="G396" s="103">
        <f>_xlfn.XLOOKUP(E396,'All Products'!D:D,'All Products'!F:F,FALSE)</f>
        <v>20</v>
      </c>
      <c r="H396" s="103" t="str">
        <f>_xlfn.XLOOKUP(E396,'All Products'!D:D,'All Products'!G:G,FALSE)</f>
        <v>-</v>
      </c>
      <c r="I396" s="140">
        <f>_xlfn.XLOOKUP(E396,'All Products'!D:D,'All Products'!H:H,FALSE)</f>
        <v>180.98</v>
      </c>
      <c r="J396" s="173">
        <f>ROUNDUP(I396*Order_Quote!$L$26,2)</f>
        <v>180.98</v>
      </c>
      <c r="K396" s="75"/>
      <c r="L396" s="113"/>
      <c r="M396" s="171">
        <f t="shared" si="9"/>
        <v>0</v>
      </c>
      <c r="O396" s="215" t="str">
        <f>_xlfn.XLOOKUP(E396,'All Products'!D:D,'All Products'!I:I,FALSE)</f>
        <v>Within 3 Weeks</v>
      </c>
      <c r="P396" s="215" t="str">
        <f>_xlfn.XLOOKUP(E396,'All Products'!D:D,'All Products'!J:J,FALSE)</f>
        <v>Manufactured</v>
      </c>
      <c r="Q396" s="266">
        <f>_xlfn.XLOOKUP(E396,'All Products'!D:D,'All Products'!K:K,FALSE)</f>
        <v>49081024093</v>
      </c>
      <c r="R396" s="266" t="str">
        <f>_xlfn.XLOOKUP(E396,'All Products'!D:D,'All Products'!L:L,FALSE)</f>
        <v>-</v>
      </c>
      <c r="S396" s="266">
        <f>_xlfn.XLOOKUP(E396,'All Products'!D:D,'All Products'!M:M,FALSE)</f>
        <v>40049081024091</v>
      </c>
      <c r="T396" s="264">
        <f>_xlfn.XLOOKUP(E396,'All Products'!D:D,'All Products'!N:N,FALSE)</f>
        <v>1.55</v>
      </c>
      <c r="U396" s="264">
        <f>_xlfn.XLOOKUP(E396,'All Products'!D:D,'All Products'!P:P,FALSE)</f>
        <v>31</v>
      </c>
      <c r="V396" s="265" t="str">
        <f>_xlfn.XLOOKUP(E396,'All Products'!D:D,'All Products'!Q:Q,FALSE)</f>
        <v>-</v>
      </c>
    </row>
    <row r="397" spans="1:22" ht="14.4" customHeight="1">
      <c r="A397" s="101" t="str">
        <f>IF(K397&gt;0,COUNT($A$8:A396)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97" s="610"/>
      <c r="C397" s="611"/>
      <c r="D397" s="274" t="str">
        <f>_xlfn.XLOOKUP(E397,'All Products'!D:D,'All Products'!C:C,FALSE)</f>
        <v>1-A2-3-11-12</v>
      </c>
      <c r="E397" s="103">
        <v>100024914</v>
      </c>
      <c r="F397" s="144" t="str">
        <f>_xlfn.XLOOKUP(E397,'All Products'!D:D,'All Products'!E:E,FALSE)</f>
        <v>1SPG X 3/4BRASS MPT QCSU X 12 SJ</v>
      </c>
      <c r="G397" s="103">
        <f>_xlfn.XLOOKUP(E397,'All Products'!D:D,'All Products'!F:F,FALSE)</f>
        <v>10</v>
      </c>
      <c r="H397" s="103">
        <f>_xlfn.XLOOKUP(E397,'All Products'!D:D,'All Products'!G:G,FALSE)</f>
        <v>750</v>
      </c>
      <c r="I397" s="140">
        <f>_xlfn.XLOOKUP(E397,'All Products'!D:D,'All Products'!H:H,FALSE)</f>
        <v>191.49</v>
      </c>
      <c r="J397" s="173">
        <f>ROUNDUP(I397*Order_Quote!$L$26,2)</f>
        <v>191.49</v>
      </c>
      <c r="K397" s="75"/>
      <c r="L397" s="113"/>
      <c r="M397" s="171">
        <f t="shared" si="9"/>
        <v>0</v>
      </c>
      <c r="O397" s="215" t="str">
        <f>_xlfn.XLOOKUP(E397,'All Products'!D:D,'All Products'!I:I,FALSE)</f>
        <v>Within 3 Weeks</v>
      </c>
      <c r="P397" s="215" t="str">
        <f>_xlfn.XLOOKUP(E397,'All Products'!D:D,'All Products'!J:J,FALSE)</f>
        <v>Manufactured</v>
      </c>
      <c r="Q397" s="266">
        <f>_xlfn.XLOOKUP(E397,'All Products'!D:D,'All Products'!K:K,FALSE)</f>
        <v>49081024413</v>
      </c>
      <c r="R397" s="266" t="str">
        <f>_xlfn.XLOOKUP(E397,'All Products'!D:D,'All Products'!L:L,FALSE)</f>
        <v>-</v>
      </c>
      <c r="S397" s="266">
        <f>_xlfn.XLOOKUP(E397,'All Products'!D:D,'All Products'!M:M,FALSE)</f>
        <v>40049081024411</v>
      </c>
      <c r="T397" s="264">
        <f>_xlfn.XLOOKUP(E397,'All Products'!D:D,'All Products'!N:N,FALSE)</f>
        <v>1.78</v>
      </c>
      <c r="U397" s="264">
        <f>_xlfn.XLOOKUP(E397,'All Products'!D:D,'All Products'!P:P,FALSE)</f>
        <v>17.559999999999999</v>
      </c>
      <c r="V397" s="265">
        <f>_xlfn.XLOOKUP(E397,'All Products'!D:D,'All Products'!Q:Q,FALSE)</f>
        <v>1.1000000000000001</v>
      </c>
    </row>
    <row r="398" spans="1:22" ht="14.4" customHeight="1">
      <c r="A398" s="101" t="str">
        <f>IF(K398&gt;0,COUNT($A$8:A397)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98" s="610"/>
      <c r="C398" s="611"/>
      <c r="D398" s="274" t="str">
        <f>_xlfn.XLOOKUP(E398,'All Products'!D:D,'All Products'!C:C,FALSE)</f>
        <v>1-A4-1-11-12</v>
      </c>
      <c r="E398" s="103">
        <v>100023968</v>
      </c>
      <c r="F398" s="144" t="str">
        <f>_xlfn.XLOOKUP(E398,'All Products'!D:D,'All Products'!E:E,FALSE)</f>
        <v>1 SOC X 1 BRASS MPT QCSU X 12 SJ</v>
      </c>
      <c r="G398" s="103">
        <f>_xlfn.XLOOKUP(E398,'All Products'!D:D,'All Products'!F:F,FALSE)</f>
        <v>10</v>
      </c>
      <c r="H398" s="103">
        <f>_xlfn.XLOOKUP(E398,'All Products'!D:D,'All Products'!G:G,FALSE)</f>
        <v>750</v>
      </c>
      <c r="I398" s="140">
        <f>_xlfn.XLOOKUP(E398,'All Products'!D:D,'All Products'!H:H,FALSE)</f>
        <v>191.49</v>
      </c>
      <c r="J398" s="173">
        <f>ROUNDUP(I398*Order_Quote!$L$26,2)</f>
        <v>191.49</v>
      </c>
      <c r="K398" s="75"/>
      <c r="L398" s="113"/>
      <c r="M398" s="171">
        <f t="shared" si="9"/>
        <v>0</v>
      </c>
      <c r="O398" s="215" t="str">
        <f>_xlfn.XLOOKUP(E398,'All Products'!D:D,'All Products'!I:I,FALSE)</f>
        <v>Within 3 Weeks</v>
      </c>
      <c r="P398" s="215" t="str">
        <f>_xlfn.XLOOKUP(E398,'All Products'!D:D,'All Products'!J:J,FALSE)</f>
        <v>Manufactured</v>
      </c>
      <c r="Q398" s="266">
        <f>_xlfn.XLOOKUP(E398,'All Products'!D:D,'All Products'!K:K,FALSE)</f>
        <v>49081020897</v>
      </c>
      <c r="R398" s="266" t="str">
        <f>_xlfn.XLOOKUP(E398,'All Products'!D:D,'All Products'!L:L,FALSE)</f>
        <v>-</v>
      </c>
      <c r="S398" s="266">
        <f>_xlfn.XLOOKUP(E398,'All Products'!D:D,'All Products'!M:M,FALSE)</f>
        <v>40049081020895</v>
      </c>
      <c r="T398" s="264">
        <f>_xlfn.XLOOKUP(E398,'All Products'!D:D,'All Products'!N:N,FALSE)</f>
        <v>1.706</v>
      </c>
      <c r="U398" s="264">
        <f>_xlfn.XLOOKUP(E398,'All Products'!D:D,'All Products'!P:P,FALSE)</f>
        <v>18.954999999999998</v>
      </c>
      <c r="V398" s="265">
        <f>_xlfn.XLOOKUP(E398,'All Products'!D:D,'All Products'!Q:Q,FALSE)</f>
        <v>1.1000000000000001</v>
      </c>
    </row>
    <row r="399" spans="1:22" ht="14.4" customHeight="1">
      <c r="A399" s="101" t="str">
        <f>IF(K399&gt;0,COUNT($A$8:A398)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399" s="610"/>
      <c r="C399" s="611"/>
      <c r="D399" s="274" t="str">
        <f>_xlfn.XLOOKUP(E399,'All Products'!D:D,'All Products'!C:C,FALSE)</f>
        <v>1-A4-1-11-18</v>
      </c>
      <c r="E399" s="103">
        <v>100024917</v>
      </c>
      <c r="F399" s="144" t="str">
        <f>_xlfn.XLOOKUP(E399,'All Products'!D:D,'All Products'!E:E,FALSE)</f>
        <v>1 SOC X 1 BRASS MPT QCSU X 18 SJ</v>
      </c>
      <c r="G399" s="103">
        <f>_xlfn.XLOOKUP(E399,'All Products'!D:D,'All Products'!F:F,FALSE)</f>
        <v>10</v>
      </c>
      <c r="H399" s="103">
        <f>_xlfn.XLOOKUP(E399,'All Products'!D:D,'All Products'!G:G,FALSE)</f>
        <v>240</v>
      </c>
      <c r="I399" s="140">
        <f>_xlfn.XLOOKUP(E399,'All Products'!D:D,'All Products'!H:H,FALSE)</f>
        <v>198.47</v>
      </c>
      <c r="J399" s="173">
        <f>ROUNDUP(I399*Order_Quote!$L$26,2)</f>
        <v>198.47</v>
      </c>
      <c r="K399" s="75"/>
      <c r="L399" s="113"/>
      <c r="M399" s="171">
        <f t="shared" si="9"/>
        <v>0</v>
      </c>
      <c r="O399" s="215" t="str">
        <f>_xlfn.XLOOKUP(E399,'All Products'!D:D,'All Products'!I:I,FALSE)</f>
        <v>In Stock</v>
      </c>
      <c r="P399" s="215" t="str">
        <f>_xlfn.XLOOKUP(E399,'All Products'!D:D,'All Products'!J:J,FALSE)</f>
        <v>Manufactured</v>
      </c>
      <c r="Q399" s="266">
        <f>_xlfn.XLOOKUP(E399,'All Products'!D:D,'All Products'!K:K,FALSE)</f>
        <v>49081024680</v>
      </c>
      <c r="R399" s="266" t="str">
        <f>_xlfn.XLOOKUP(E399,'All Products'!D:D,'All Products'!L:L,FALSE)</f>
        <v>-</v>
      </c>
      <c r="S399" s="266">
        <f>_xlfn.XLOOKUP(E399,'All Products'!D:D,'All Products'!M:M,FALSE)</f>
        <v>40049081024688</v>
      </c>
      <c r="T399" s="264">
        <f>_xlfn.XLOOKUP(E399,'All Products'!D:D,'All Products'!N:N,FALSE)</f>
        <v>1.885</v>
      </c>
      <c r="U399" s="264">
        <f>_xlfn.XLOOKUP(E399,'All Products'!D:D,'All Products'!P:P,FALSE)</f>
        <v>22</v>
      </c>
      <c r="V399" s="265">
        <f>_xlfn.XLOOKUP(E399,'All Products'!D:D,'All Products'!Q:Q,FALSE)</f>
        <v>2.77</v>
      </c>
    </row>
    <row r="400" spans="1:22" ht="14.4" customHeight="1">
      <c r="A400" s="101" t="str">
        <f>IF(K400&gt;0,COUNT($A$8:A399)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00" s="610"/>
      <c r="C400" s="611"/>
      <c r="D400" s="274" t="str">
        <f>_xlfn.XLOOKUP(E400,'All Products'!D:D,'All Products'!C:C,FALSE)</f>
        <v>1-A4-1-11-6</v>
      </c>
      <c r="E400" s="103">
        <v>100023971</v>
      </c>
      <c r="F400" s="144" t="str">
        <f>_xlfn.XLOOKUP(E400,'All Products'!D:D,'All Products'!E:E,FALSE)</f>
        <v>1 SOC X 1 BRS MPT QCSU X 6 LL SJ</v>
      </c>
      <c r="G400" s="103">
        <f>_xlfn.XLOOKUP(E400,'All Products'!D:D,'All Products'!F:F,FALSE)</f>
        <v>20</v>
      </c>
      <c r="H400" s="103" t="str">
        <f>_xlfn.XLOOKUP(E400,'All Products'!D:D,'All Products'!G:G,FALSE)</f>
        <v>-</v>
      </c>
      <c r="I400" s="140">
        <f>_xlfn.XLOOKUP(E400,'All Products'!D:D,'All Products'!H:H,FALSE)</f>
        <v>180.98</v>
      </c>
      <c r="J400" s="173">
        <f>ROUNDUP(I400*Order_Quote!$L$26,2)</f>
        <v>180.98</v>
      </c>
      <c r="K400" s="75"/>
      <c r="L400" s="113"/>
      <c r="M400" s="171">
        <f t="shared" si="9"/>
        <v>0</v>
      </c>
      <c r="O400" s="215" t="str">
        <f>_xlfn.XLOOKUP(E400,'All Products'!D:D,'All Products'!I:I,FALSE)</f>
        <v>Within 3 Weeks</v>
      </c>
      <c r="P400" s="215" t="str">
        <f>_xlfn.XLOOKUP(E400,'All Products'!D:D,'All Products'!J:J,FALSE)</f>
        <v>Manufactured</v>
      </c>
      <c r="Q400" s="266">
        <f>_xlfn.XLOOKUP(E400,'All Products'!D:D,'All Products'!K:K,FALSE)</f>
        <v>49081024697</v>
      </c>
      <c r="R400" s="266" t="str">
        <f>_xlfn.XLOOKUP(E400,'All Products'!D:D,'All Products'!L:L,FALSE)</f>
        <v>-</v>
      </c>
      <c r="S400" s="266">
        <f>_xlfn.XLOOKUP(E400,'All Products'!D:D,'All Products'!M:M,FALSE)</f>
        <v>40049081024695</v>
      </c>
      <c r="T400" s="264">
        <f>_xlfn.XLOOKUP(E400,'All Products'!D:D,'All Products'!N:N,FALSE)</f>
        <v>1.5960000000000001</v>
      </c>
      <c r="U400" s="264">
        <f>_xlfn.XLOOKUP(E400,'All Products'!D:D,'All Products'!P:P,FALSE)</f>
        <v>31.92</v>
      </c>
      <c r="V400" s="265" t="str">
        <f>_xlfn.XLOOKUP(E400,'All Products'!D:D,'All Products'!Q:Q,FALSE)</f>
        <v>-</v>
      </c>
    </row>
    <row r="401" spans="1:22" ht="14.4" customHeight="1">
      <c r="A401" s="101" t="str">
        <f>IF(K401&gt;0,COUNT($A$8:A400)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01" s="610"/>
      <c r="C401" s="611"/>
      <c r="D401" s="274" t="str">
        <f>_xlfn.XLOOKUP(E401,'All Products'!D:D,'All Products'!C:C,FALSE)</f>
        <v>1-A8-1-11-10</v>
      </c>
      <c r="E401" s="103">
        <v>100024010</v>
      </c>
      <c r="F401" s="144" t="str">
        <f>_xlfn.XLOOKUP(E401,'All Products'!D:D,'All Products'!E:E,FALSE)</f>
        <v>4 SPG X 1 BRASS MPT SU X 10 SJ</v>
      </c>
      <c r="G401" s="103">
        <f>_xlfn.XLOOKUP(E401,'All Products'!D:D,'All Products'!F:F,FALSE)</f>
        <v>10</v>
      </c>
      <c r="H401" s="103">
        <f>_xlfn.XLOOKUP(E401,'All Products'!D:D,'All Products'!G:G,FALSE)</f>
        <v>600</v>
      </c>
      <c r="I401" s="140">
        <f>_xlfn.XLOOKUP(E401,'All Products'!D:D,'All Products'!H:H,FALSE)</f>
        <v>191.49</v>
      </c>
      <c r="J401" s="173">
        <f>ROUNDUP(I401*Order_Quote!$L$26,2)</f>
        <v>191.49</v>
      </c>
      <c r="K401" s="75"/>
      <c r="L401" s="113"/>
      <c r="M401" s="171">
        <f t="shared" si="9"/>
        <v>0</v>
      </c>
      <c r="O401" s="215" t="str">
        <f>_xlfn.XLOOKUP(E401,'All Products'!D:D,'All Products'!I:I,FALSE)</f>
        <v>Within 3 Weeks</v>
      </c>
      <c r="P401" s="215" t="str">
        <f>_xlfn.XLOOKUP(E401,'All Products'!D:D,'All Products'!J:J,FALSE)</f>
        <v>Manufactured</v>
      </c>
      <c r="Q401" s="266">
        <f>_xlfn.XLOOKUP(E401,'All Products'!D:D,'All Products'!K:K,FALSE)</f>
        <v>49081024970</v>
      </c>
      <c r="R401" s="266" t="str">
        <f>_xlfn.XLOOKUP(E401,'All Products'!D:D,'All Products'!L:L,FALSE)</f>
        <v>-</v>
      </c>
      <c r="S401" s="266">
        <f>_xlfn.XLOOKUP(E401,'All Products'!D:D,'All Products'!M:M,FALSE)</f>
        <v>40049081024978</v>
      </c>
      <c r="T401" s="264">
        <f>_xlfn.XLOOKUP(E401,'All Products'!D:D,'All Products'!N:N,FALSE)</f>
        <v>1.7809999999999999</v>
      </c>
      <c r="U401" s="264">
        <f>_xlfn.XLOOKUP(E401,'All Products'!D:D,'All Products'!P:P,FALSE)</f>
        <v>19</v>
      </c>
      <c r="V401" s="265">
        <f>_xlfn.XLOOKUP(E401,'All Products'!D:D,'All Products'!Q:Q,FALSE)</f>
        <v>1.41</v>
      </c>
    </row>
    <row r="402" spans="1:22" ht="14.4" customHeight="1">
      <c r="A402" s="101" t="str">
        <f>IF(K402&gt;0,COUNT($A$8:A401)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02" s="610"/>
      <c r="C402" s="611"/>
      <c r="D402" s="274" t="str">
        <f>_xlfn.XLOOKUP(E402,'All Products'!D:D,'All Products'!C:C,FALSE)</f>
        <v>1-A8-1-11-12</v>
      </c>
      <c r="E402" s="103">
        <v>100024923</v>
      </c>
      <c r="F402" s="144" t="str">
        <f>_xlfn.XLOOKUP(E402,'All Products'!D:D,'All Products'!E:E,FALSE)</f>
        <v>4 SPG X 1 BRASS MPT SU X 12 SJ</v>
      </c>
      <c r="G402" s="103">
        <f>_xlfn.XLOOKUP(E402,'All Products'!D:D,'All Products'!F:F,FALSE)</f>
        <v>10</v>
      </c>
      <c r="H402" s="103">
        <f>_xlfn.XLOOKUP(E402,'All Products'!D:D,'All Products'!G:G,FALSE)</f>
        <v>180</v>
      </c>
      <c r="I402" s="140">
        <f>_xlfn.XLOOKUP(E402,'All Products'!D:D,'All Products'!H:H,FALSE)</f>
        <v>191.49</v>
      </c>
      <c r="J402" s="173">
        <f>ROUNDUP(I402*Order_Quote!$L$26,2)</f>
        <v>191.49</v>
      </c>
      <c r="K402" s="75"/>
      <c r="L402" s="113"/>
      <c r="M402" s="171">
        <f t="shared" si="9"/>
        <v>0</v>
      </c>
      <c r="O402" s="215" t="str">
        <f>_xlfn.XLOOKUP(E402,'All Products'!D:D,'All Products'!I:I,FALSE)</f>
        <v>Within 3 Weeks</v>
      </c>
      <c r="P402" s="215" t="str">
        <f>_xlfn.XLOOKUP(E402,'All Products'!D:D,'All Products'!J:J,FALSE)</f>
        <v>Manufactured</v>
      </c>
      <c r="Q402" s="266">
        <f>_xlfn.XLOOKUP(E402,'All Products'!D:D,'All Products'!K:K,FALSE)</f>
        <v>49081020958</v>
      </c>
      <c r="R402" s="266" t="str">
        <f>_xlfn.XLOOKUP(E402,'All Products'!D:D,'All Products'!L:L,FALSE)</f>
        <v>-</v>
      </c>
      <c r="S402" s="266">
        <f>_xlfn.XLOOKUP(E402,'All Products'!D:D,'All Products'!M:M,FALSE)</f>
        <v>40049081020956</v>
      </c>
      <c r="T402" s="264">
        <f>_xlfn.XLOOKUP(E402,'All Products'!D:D,'All Products'!N:N,FALSE)</f>
        <v>1.857</v>
      </c>
      <c r="U402" s="264">
        <f>_xlfn.XLOOKUP(E402,'All Products'!D:D,'All Products'!P:P,FALSE)</f>
        <v>20.39</v>
      </c>
      <c r="V402" s="265">
        <f>_xlfn.XLOOKUP(E402,'All Products'!D:D,'All Products'!Q:Q,FALSE)</f>
        <v>2.65</v>
      </c>
    </row>
    <row r="403" spans="1:22" ht="14.4" customHeight="1">
      <c r="A403" s="101" t="str">
        <f>IF(K403&gt;0,COUNT($A$8:A402)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03" s="610"/>
      <c r="C403" s="611"/>
      <c r="D403" s="274" t="str">
        <f>_xlfn.XLOOKUP(E403,'All Products'!D:D,'All Products'!C:C,FALSE)</f>
        <v>1-A8-1-11-18</v>
      </c>
      <c r="E403" s="103">
        <v>100024924</v>
      </c>
      <c r="F403" s="144" t="str">
        <f>_xlfn.XLOOKUP(E403,'All Products'!D:D,'All Products'!E:E,FALSE)</f>
        <v>4 SPG X 1 BRASS MPT QCSU X 18 SJ</v>
      </c>
      <c r="G403" s="103">
        <f>_xlfn.XLOOKUP(E403,'All Products'!D:D,'All Products'!F:F,FALSE)</f>
        <v>10</v>
      </c>
      <c r="H403" s="103">
        <f>_xlfn.XLOOKUP(E403,'All Products'!D:D,'All Products'!G:G,FALSE)</f>
        <v>240</v>
      </c>
      <c r="I403" s="140">
        <f>_xlfn.XLOOKUP(E403,'All Products'!D:D,'All Products'!H:H,FALSE)</f>
        <v>198.47</v>
      </c>
      <c r="J403" s="173">
        <f>ROUNDUP(I403*Order_Quote!$L$26,2)</f>
        <v>198.47</v>
      </c>
      <c r="K403" s="75"/>
      <c r="L403" s="113"/>
      <c r="M403" s="171">
        <f t="shared" si="9"/>
        <v>0</v>
      </c>
      <c r="O403" s="215" t="str">
        <f>_xlfn.XLOOKUP(E403,'All Products'!D:D,'All Products'!I:I,FALSE)</f>
        <v>Within 3 Weeks</v>
      </c>
      <c r="P403" s="215" t="str">
        <f>_xlfn.XLOOKUP(E403,'All Products'!D:D,'All Products'!J:J,FALSE)</f>
        <v>Manufactured</v>
      </c>
      <c r="Q403" s="266">
        <f>_xlfn.XLOOKUP(E403,'All Products'!D:D,'All Products'!K:K,FALSE)</f>
        <v>49081025007</v>
      </c>
      <c r="R403" s="266" t="str">
        <f>_xlfn.XLOOKUP(E403,'All Products'!D:D,'All Products'!L:L,FALSE)</f>
        <v>-</v>
      </c>
      <c r="S403" s="266">
        <f>_xlfn.XLOOKUP(E403,'All Products'!D:D,'All Products'!M:M,FALSE)</f>
        <v>40049081025005</v>
      </c>
      <c r="T403" s="264">
        <f>_xlfn.XLOOKUP(E403,'All Products'!D:D,'All Products'!N:N,FALSE)</f>
        <v>2.036</v>
      </c>
      <c r="U403" s="264">
        <f>_xlfn.XLOOKUP(E403,'All Products'!D:D,'All Products'!P:P,FALSE)</f>
        <v>22.7</v>
      </c>
      <c r="V403" s="265">
        <f>_xlfn.XLOOKUP(E403,'All Products'!D:D,'All Products'!Q:Q,FALSE)</f>
        <v>2.77</v>
      </c>
    </row>
    <row r="404" spans="1:22" ht="14.4" customHeight="1">
      <c r="A404" s="101" t="str">
        <f>IF(K404&gt;0,COUNT($A$8:A403)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04" s="610"/>
      <c r="C404" s="611"/>
      <c r="D404" s="274" t="str">
        <f>_xlfn.XLOOKUP(E404,'All Products'!D:D,'All Products'!C:C,FALSE)</f>
        <v>1-AF-1-11-12</v>
      </c>
      <c r="E404" s="103">
        <v>100024931</v>
      </c>
      <c r="F404" s="144" t="str">
        <f>_xlfn.XLOOKUP(E404,'All Products'!D:D,'All Products'!E:E,FALSE)</f>
        <v>1-1/2 AQFS X 1 BRS MIPT SU X 12 SJ</v>
      </c>
      <c r="G404" s="103">
        <f>_xlfn.XLOOKUP(E404,'All Products'!D:D,'All Products'!F:F,FALSE)</f>
        <v>10</v>
      </c>
      <c r="H404" s="103">
        <f>_xlfn.XLOOKUP(E404,'All Products'!D:D,'All Products'!G:G,FALSE)</f>
        <v>600</v>
      </c>
      <c r="I404" s="140">
        <f>_xlfn.XLOOKUP(E404,'All Products'!D:D,'All Products'!H:H,FALSE)</f>
        <v>222.22</v>
      </c>
      <c r="J404" s="173">
        <f>ROUNDUP(I404*Order_Quote!$L$26,2)</f>
        <v>222.22</v>
      </c>
      <c r="K404" s="75"/>
      <c r="L404" s="113"/>
      <c r="M404" s="171">
        <f t="shared" si="9"/>
        <v>0</v>
      </c>
      <c r="O404" s="215" t="str">
        <f>_xlfn.XLOOKUP(E404,'All Products'!D:D,'All Products'!I:I,FALSE)</f>
        <v>In Stock</v>
      </c>
      <c r="P404" s="215" t="str">
        <f>_xlfn.XLOOKUP(E404,'All Products'!D:D,'All Products'!J:J,FALSE)</f>
        <v>Manufactured</v>
      </c>
      <c r="Q404" s="266">
        <f>_xlfn.XLOOKUP(E404,'All Products'!D:D,'All Products'!K:K,FALSE)</f>
        <v>49081031534</v>
      </c>
      <c r="R404" s="266" t="str">
        <f>_xlfn.XLOOKUP(E404,'All Products'!D:D,'All Products'!L:L,FALSE)</f>
        <v>-</v>
      </c>
      <c r="S404" s="266">
        <f>_xlfn.XLOOKUP(E404,'All Products'!D:D,'All Products'!M:M,FALSE)</f>
        <v>40049081031532</v>
      </c>
      <c r="T404" s="264">
        <f>_xlfn.XLOOKUP(E404,'All Products'!D:D,'All Products'!N:N,FALSE)</f>
        <v>2.1970000000000001</v>
      </c>
      <c r="U404" s="264">
        <f>_xlfn.XLOOKUP(E404,'All Products'!D:D,'All Products'!P:P,FALSE)</f>
        <v>20.9</v>
      </c>
      <c r="V404" s="265">
        <f>_xlfn.XLOOKUP(E404,'All Products'!D:D,'All Products'!Q:Q,FALSE)</f>
        <v>1.41</v>
      </c>
    </row>
    <row r="405" spans="1:22" ht="14.4" customHeight="1">
      <c r="A405" s="101" t="str">
        <f>IF(K405&gt;0,COUNT($A$8:A404)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05" s="610"/>
      <c r="C405" s="611"/>
      <c r="D405" s="274" t="str">
        <f>_xlfn.XLOOKUP(E405,'All Products'!D:D,'All Products'!C:C,FALSE)</f>
        <v>1-AF-1-11-18</v>
      </c>
      <c r="E405" s="103">
        <v>100024932</v>
      </c>
      <c r="F405" s="144" t="str">
        <f>_xlfn.XLOOKUP(E405,'All Products'!D:D,'All Products'!E:E,FALSE)</f>
        <v>1-1/2 AQFS X 1 BRS MIPT SU X 18 SJ</v>
      </c>
      <c r="G405" s="103">
        <f>_xlfn.XLOOKUP(E405,'All Products'!D:D,'All Products'!F:F,FALSE)</f>
        <v>10</v>
      </c>
      <c r="H405" s="103">
        <f>_xlfn.XLOOKUP(E405,'All Products'!D:D,'All Products'!G:G,FALSE)</f>
        <v>240</v>
      </c>
      <c r="I405" s="140">
        <f>_xlfn.XLOOKUP(E405,'All Products'!D:D,'All Products'!H:H,FALSE)</f>
        <v>229.21</v>
      </c>
      <c r="J405" s="173">
        <f>ROUNDUP(I405*Order_Quote!$L$26,2)</f>
        <v>229.21</v>
      </c>
      <c r="K405" s="75"/>
      <c r="L405" s="113"/>
      <c r="M405" s="171">
        <f t="shared" si="9"/>
        <v>0</v>
      </c>
      <c r="O405" s="215" t="str">
        <f>_xlfn.XLOOKUP(E405,'All Products'!D:D,'All Products'!I:I,FALSE)</f>
        <v>Within 3 Weeks</v>
      </c>
      <c r="P405" s="215" t="str">
        <f>_xlfn.XLOOKUP(E405,'All Products'!D:D,'All Products'!J:J,FALSE)</f>
        <v>Manufactured</v>
      </c>
      <c r="Q405" s="266">
        <f>_xlfn.XLOOKUP(E405,'All Products'!D:D,'All Products'!K:K,FALSE)</f>
        <v>49081031497</v>
      </c>
      <c r="R405" s="266" t="str">
        <f>_xlfn.XLOOKUP(E405,'All Products'!D:D,'All Products'!L:L,FALSE)</f>
        <v>-</v>
      </c>
      <c r="S405" s="266">
        <f>_xlfn.XLOOKUP(E405,'All Products'!D:D,'All Products'!M:M,FALSE)</f>
        <v>40049081031495</v>
      </c>
      <c r="T405" s="264">
        <f>_xlfn.XLOOKUP(E405,'All Products'!D:D,'All Products'!N:N,FALSE)</f>
        <v>2.3759999999999999</v>
      </c>
      <c r="U405" s="264">
        <f>_xlfn.XLOOKUP(E405,'All Products'!D:D,'All Products'!P:P,FALSE)</f>
        <v>23.9</v>
      </c>
      <c r="V405" s="265">
        <f>_xlfn.XLOOKUP(E405,'All Products'!D:D,'All Products'!Q:Q,FALSE)</f>
        <v>2.77</v>
      </c>
    </row>
    <row r="406" spans="1:22" ht="14.4" customHeight="1">
      <c r="A406" s="101" t="str">
        <f>IF(K406&gt;0,COUNT($A$8:A405)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06" s="610"/>
      <c r="C406" s="611"/>
      <c r="D406" s="274" t="str">
        <f>_xlfn.XLOOKUP(E406,'All Products'!D:D,'All Products'!C:C,FALSE)</f>
        <v>1-B1-1-11-12</v>
      </c>
      <c r="E406" s="103">
        <v>100024936</v>
      </c>
      <c r="F406" s="144" t="str">
        <f>_xlfn.XLOOKUP(E406,'All Products'!D:D,'All Products'!E:E,FALSE)</f>
        <v>1 BSP X 1 BRASS MPT QC X 12 SJ</v>
      </c>
      <c r="G406" s="103">
        <f>_xlfn.XLOOKUP(E406,'All Products'!D:D,'All Products'!F:F,FALSE)</f>
        <v>20</v>
      </c>
      <c r="H406" s="103">
        <f>_xlfn.XLOOKUP(E406,'All Products'!D:D,'All Products'!G:G,FALSE)</f>
        <v>1500</v>
      </c>
      <c r="I406" s="140">
        <f>_xlfn.XLOOKUP(E406,'All Products'!D:D,'All Products'!H:H,FALSE)</f>
        <v>191.49</v>
      </c>
      <c r="J406" s="173">
        <f>ROUNDUP(I406*Order_Quote!$L$26,2)</f>
        <v>191.49</v>
      </c>
      <c r="K406" s="75"/>
      <c r="L406" s="113"/>
      <c r="M406" s="171">
        <f t="shared" si="9"/>
        <v>0</v>
      </c>
      <c r="O406" s="215" t="str">
        <f>_xlfn.XLOOKUP(E406,'All Products'!D:D,'All Products'!I:I,FALSE)</f>
        <v>Within 3 Weeks</v>
      </c>
      <c r="P406" s="215" t="str">
        <f>_xlfn.XLOOKUP(E406,'All Products'!D:D,'All Products'!J:J,FALSE)</f>
        <v>Manufactured</v>
      </c>
      <c r="Q406" s="266">
        <f>_xlfn.XLOOKUP(E406,'All Products'!D:D,'All Products'!K:K,FALSE)</f>
        <v>49081021016</v>
      </c>
      <c r="R406" s="266" t="str">
        <f>_xlfn.XLOOKUP(E406,'All Products'!D:D,'All Products'!L:L,FALSE)</f>
        <v>-</v>
      </c>
      <c r="S406" s="266">
        <f>_xlfn.XLOOKUP(E406,'All Products'!D:D,'All Products'!M:M,FALSE)</f>
        <v>40049081021014</v>
      </c>
      <c r="T406" s="264">
        <f>_xlfn.XLOOKUP(E406,'All Products'!D:D,'All Products'!N:N,FALSE)</f>
        <v>1.756</v>
      </c>
      <c r="U406" s="264">
        <f>_xlfn.XLOOKUP(E406,'All Products'!D:D,'All Products'!P:P,FALSE)</f>
        <v>18.7</v>
      </c>
      <c r="V406" s="265">
        <f>_xlfn.XLOOKUP(E406,'All Products'!D:D,'All Products'!Q:Q,FALSE)</f>
        <v>1.1000000000000001</v>
      </c>
    </row>
    <row r="407" spans="1:22" ht="14.4" customHeight="1">
      <c r="A407" s="101" t="str">
        <f>IF(K407&gt;0,COUNT($A$8:A406)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07" s="610"/>
      <c r="C407" s="611"/>
      <c r="D407" s="274" t="str">
        <f>_xlfn.XLOOKUP(E407,'All Products'!D:D,'All Products'!C:C,FALSE)</f>
        <v>1-B1-1-11-18</v>
      </c>
      <c r="E407" s="103">
        <v>100024937</v>
      </c>
      <c r="F407" s="144" t="str">
        <f>_xlfn.XLOOKUP(E407,'All Products'!D:D,'All Products'!E:E,FALSE)</f>
        <v>1 BSP X 1 BRASS MPT QC X 18 SJ</v>
      </c>
      <c r="G407" s="103">
        <f>_xlfn.XLOOKUP(E407,'All Products'!D:D,'All Products'!F:F,FALSE)</f>
        <v>10</v>
      </c>
      <c r="H407" s="103">
        <f>_xlfn.XLOOKUP(E407,'All Products'!D:D,'All Products'!G:G,FALSE)</f>
        <v>240</v>
      </c>
      <c r="I407" s="140">
        <f>_xlfn.XLOOKUP(E407,'All Products'!D:D,'All Products'!H:H,FALSE)</f>
        <v>198.47</v>
      </c>
      <c r="J407" s="173">
        <f>ROUNDUP(I407*Order_Quote!$L$26,2)</f>
        <v>198.47</v>
      </c>
      <c r="K407" s="75"/>
      <c r="L407" s="113"/>
      <c r="M407" s="171">
        <f t="shared" si="9"/>
        <v>0</v>
      </c>
      <c r="O407" s="215" t="str">
        <f>_xlfn.XLOOKUP(E407,'All Products'!D:D,'All Products'!I:I,FALSE)</f>
        <v>Within 3 Weeks</v>
      </c>
      <c r="P407" s="215" t="str">
        <f>_xlfn.XLOOKUP(E407,'All Products'!D:D,'All Products'!J:J,FALSE)</f>
        <v>Manufactured</v>
      </c>
      <c r="Q407" s="266">
        <f>_xlfn.XLOOKUP(E407,'All Products'!D:D,'All Products'!K:K,FALSE)</f>
        <v>49081029562</v>
      </c>
      <c r="R407" s="266" t="str">
        <f>_xlfn.XLOOKUP(E407,'All Products'!D:D,'All Products'!L:L,FALSE)</f>
        <v>-</v>
      </c>
      <c r="S407" s="266">
        <f>_xlfn.XLOOKUP(E407,'All Products'!D:D,'All Products'!M:M,FALSE)</f>
        <v>40049081029560</v>
      </c>
      <c r="T407" s="264">
        <f>_xlfn.XLOOKUP(E407,'All Products'!D:D,'All Products'!N:N,FALSE)</f>
        <v>1.9350000000000001</v>
      </c>
      <c r="U407" s="264">
        <f>_xlfn.XLOOKUP(E407,'All Products'!D:D,'All Products'!P:P,FALSE)</f>
        <v>21.7</v>
      </c>
      <c r="V407" s="265">
        <f>_xlfn.XLOOKUP(E407,'All Products'!D:D,'All Products'!Q:Q,FALSE)</f>
        <v>2.77</v>
      </c>
    </row>
    <row r="408" spans="1:22" ht="14.4" customHeight="1">
      <c r="A408" s="101" t="str">
        <f>IF(K408&gt;0,COUNT($A$8:A407)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08" s="610"/>
      <c r="C408" s="611"/>
      <c r="D408" s="274" t="str">
        <f>_xlfn.XLOOKUP(E408,'All Products'!D:D,'All Products'!C:C,FALSE)</f>
        <v>1-J1-1-11-12</v>
      </c>
      <c r="E408" s="103">
        <v>100024104</v>
      </c>
      <c r="F408" s="144" t="str">
        <f>_xlfn.XLOOKUP(E408,'All Products'!D:D,'All Products'!E:E,FALSE)</f>
        <v>25MM SPG X 1 BRS MIPT QCSU X 12 SJ</v>
      </c>
      <c r="G408" s="103">
        <f>_xlfn.XLOOKUP(E408,'All Products'!D:D,'All Products'!F:F,FALSE)</f>
        <v>10</v>
      </c>
      <c r="H408" s="103">
        <f>_xlfn.XLOOKUP(E408,'All Products'!D:D,'All Products'!G:G,FALSE)</f>
        <v>750</v>
      </c>
      <c r="I408" s="140">
        <f>_xlfn.XLOOKUP(E408,'All Products'!D:D,'All Products'!H:H,FALSE)</f>
        <v>191.49</v>
      </c>
      <c r="J408" s="173">
        <f>ROUNDUP(I408*Order_Quote!$L$26,2)</f>
        <v>191.49</v>
      </c>
      <c r="K408" s="75"/>
      <c r="L408" s="113"/>
      <c r="M408" s="171">
        <f t="shared" si="9"/>
        <v>0</v>
      </c>
      <c r="O408" s="215" t="str">
        <f>_xlfn.XLOOKUP(E408,'All Products'!D:D,'All Products'!I:I,FALSE)</f>
        <v>Within 3 Weeks</v>
      </c>
      <c r="P408" s="215" t="str">
        <f>_xlfn.XLOOKUP(E408,'All Products'!D:D,'All Products'!J:J,FALSE)</f>
        <v>Manufactured</v>
      </c>
      <c r="Q408" s="266">
        <f>_xlfn.XLOOKUP(E408,'All Products'!D:D,'All Products'!K:K,FALSE)</f>
        <v>49081030360</v>
      </c>
      <c r="R408" s="266" t="str">
        <f>_xlfn.XLOOKUP(E408,'All Products'!D:D,'All Products'!L:L,FALSE)</f>
        <v>-</v>
      </c>
      <c r="S408" s="266">
        <f>_xlfn.XLOOKUP(E408,'All Products'!D:D,'All Products'!M:M,FALSE)</f>
        <v>40049081030368</v>
      </c>
      <c r="T408" s="264">
        <f>_xlfn.XLOOKUP(E408,'All Products'!D:D,'All Products'!N:N,FALSE)</f>
        <v>1.694</v>
      </c>
      <c r="U408" s="264">
        <f>_xlfn.XLOOKUP(E408,'All Products'!D:D,'All Products'!P:P,FALSE)</f>
        <v>19.059999999999999</v>
      </c>
      <c r="V408" s="265">
        <f>_xlfn.XLOOKUP(E408,'All Products'!D:D,'All Products'!Q:Q,FALSE)</f>
        <v>1.1000000000000001</v>
      </c>
    </row>
    <row r="409" spans="1:22" ht="14.4" customHeight="1">
      <c r="A409" s="101" t="str">
        <f>IF(K409&gt;0,COUNT($A$8:A408)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09" s="610"/>
      <c r="C409" s="611"/>
      <c r="D409" s="274" t="str">
        <f>_xlfn.XLOOKUP(E409,'All Products'!D:D,'All Products'!C:C,FALSE)</f>
        <v>3-A1-2-11-12</v>
      </c>
      <c r="E409" s="103">
        <v>100025009</v>
      </c>
      <c r="F409" s="144" t="str">
        <f>_xlfn.XLOOKUP(E409,'All Products'!D:D,'All Products'!E:E,FALSE)</f>
        <v>1-1/2MPT X 1-1/2BRASS QCSU X 12 SJ</v>
      </c>
      <c r="G409" s="103">
        <f>_xlfn.XLOOKUP(E409,'All Products'!D:D,'All Products'!F:F,FALSE)</f>
        <v>10</v>
      </c>
      <c r="H409" s="103">
        <f>_xlfn.XLOOKUP(E409,'All Products'!D:D,'All Products'!G:G,FALSE)</f>
        <v>180</v>
      </c>
      <c r="I409" s="140">
        <f>_xlfn.XLOOKUP(E409,'All Products'!D:D,'All Products'!H:H,FALSE)</f>
        <v>298.91000000000003</v>
      </c>
      <c r="J409" s="173">
        <f>ROUNDUP(I409*Order_Quote!$L$26,2)</f>
        <v>298.91000000000003</v>
      </c>
      <c r="K409" s="75"/>
      <c r="L409" s="113"/>
      <c r="M409" s="171">
        <f t="shared" si="9"/>
        <v>0</v>
      </c>
      <c r="O409" s="215" t="str">
        <f>_xlfn.XLOOKUP(E409,'All Products'!D:D,'All Products'!I:I,FALSE)</f>
        <v>In Stock</v>
      </c>
      <c r="P409" s="215" t="str">
        <f>_xlfn.XLOOKUP(E409,'All Products'!D:D,'All Products'!J:J,FALSE)</f>
        <v>Manufactured</v>
      </c>
      <c r="Q409" s="266">
        <f>_xlfn.XLOOKUP(E409,'All Products'!D:D,'All Products'!K:K,FALSE)</f>
        <v>49081021658</v>
      </c>
      <c r="R409" s="266" t="str">
        <f>_xlfn.XLOOKUP(E409,'All Products'!D:D,'All Products'!L:L,FALSE)</f>
        <v>-</v>
      </c>
      <c r="S409" s="266">
        <f>_xlfn.XLOOKUP(E409,'All Products'!D:D,'All Products'!M:M,FALSE)</f>
        <v>40049081021656</v>
      </c>
      <c r="T409" s="264">
        <f>_xlfn.XLOOKUP(E409,'All Products'!D:D,'All Products'!N:N,FALSE)</f>
        <v>2.6749999999999998</v>
      </c>
      <c r="U409" s="264">
        <f>_xlfn.XLOOKUP(E409,'All Products'!D:D,'All Products'!P:P,FALSE)</f>
        <v>29.2</v>
      </c>
      <c r="V409" s="265">
        <f>_xlfn.XLOOKUP(E409,'All Products'!D:D,'All Products'!Q:Q,FALSE)</f>
        <v>2.65</v>
      </c>
    </row>
    <row r="410" spans="1:22" ht="14.4" customHeight="1">
      <c r="A410" s="101" t="str">
        <f>IF(K410&gt;0,COUNT($A$8:A409)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10" s="610"/>
      <c r="C410" s="611"/>
      <c r="D410" s="274" t="str">
        <f>_xlfn.XLOOKUP(E410,'All Products'!D:D,'All Products'!C:C,FALSE)</f>
        <v>3-A1-2-11-18</v>
      </c>
      <c r="E410" s="103">
        <v>100025011</v>
      </c>
      <c r="F410" s="144" t="str">
        <f>_xlfn.XLOOKUP(E410,'All Products'!D:D,'All Products'!E:E,FALSE)</f>
        <v>1-1/2MPT X 1-1/2BRASS QCSU X 18 SJ</v>
      </c>
      <c r="G410" s="103">
        <f>_xlfn.XLOOKUP(E410,'All Products'!D:D,'All Products'!F:F,FALSE)</f>
        <v>10</v>
      </c>
      <c r="H410" s="103">
        <f>_xlfn.XLOOKUP(E410,'All Products'!D:D,'All Products'!G:G,FALSE)</f>
        <v>240</v>
      </c>
      <c r="I410" s="140">
        <f>_xlfn.XLOOKUP(E410,'All Products'!D:D,'All Products'!H:H,FALSE)</f>
        <v>313.79000000000002</v>
      </c>
      <c r="J410" s="173">
        <f>ROUNDUP(I410*Order_Quote!$L$26,2)</f>
        <v>313.79000000000002</v>
      </c>
      <c r="K410" s="75"/>
      <c r="L410" s="113"/>
      <c r="M410" s="171">
        <f t="shared" si="9"/>
        <v>0</v>
      </c>
      <c r="O410" s="215" t="str">
        <f>_xlfn.XLOOKUP(E410,'All Products'!D:D,'All Products'!I:I,FALSE)</f>
        <v>Within 3 Weeks</v>
      </c>
      <c r="P410" s="215" t="str">
        <f>_xlfn.XLOOKUP(E410,'All Products'!D:D,'All Products'!J:J,FALSE)</f>
        <v>Manufactured</v>
      </c>
      <c r="Q410" s="266">
        <f>_xlfn.XLOOKUP(E410,'All Products'!D:D,'All Products'!K:K,FALSE)</f>
        <v>49081021672</v>
      </c>
      <c r="R410" s="266" t="str">
        <f>_xlfn.XLOOKUP(E410,'All Products'!D:D,'All Products'!L:L,FALSE)</f>
        <v>-</v>
      </c>
      <c r="S410" s="266">
        <f>_xlfn.XLOOKUP(E410,'All Products'!D:D,'All Products'!M:M,FALSE)</f>
        <v>40049081021670</v>
      </c>
      <c r="T410" s="264">
        <f>_xlfn.XLOOKUP(E410,'All Products'!D:D,'All Products'!N:N,FALSE)</f>
        <v>2.99</v>
      </c>
      <c r="U410" s="264">
        <f>_xlfn.XLOOKUP(E410,'All Products'!D:D,'All Products'!P:P,FALSE)</f>
        <v>32.549999999999997</v>
      </c>
      <c r="V410" s="265">
        <f>_xlfn.XLOOKUP(E410,'All Products'!D:D,'All Products'!Q:Q,FALSE)</f>
        <v>2.77</v>
      </c>
    </row>
    <row r="411" spans="1:22" ht="14.4" customHeight="1">
      <c r="A411" s="101" t="str">
        <f>IF(K411&gt;0,COUNT($A$8:A410)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11" s="610"/>
      <c r="C411" s="611"/>
      <c r="D411" s="274" t="str">
        <f>_xlfn.XLOOKUP(E411,'All Products'!D:D,'All Products'!C:C,FALSE)</f>
        <v>3-A8-2-11-12</v>
      </c>
      <c r="E411" s="103">
        <v>100024533</v>
      </c>
      <c r="F411" s="144" t="str">
        <f>_xlfn.XLOOKUP(E411,'All Products'!D:D,'All Products'!E:E,FALSE)</f>
        <v>4 SPG X 1-1/2 BRASS MPT SU X 12 SJ</v>
      </c>
      <c r="G411" s="103">
        <f>_xlfn.XLOOKUP(E411,'All Products'!D:D,'All Products'!F:F,FALSE)</f>
        <v>10</v>
      </c>
      <c r="H411" s="103">
        <f>_xlfn.XLOOKUP(E411,'All Products'!D:D,'All Products'!G:G,FALSE)</f>
        <v>180</v>
      </c>
      <c r="I411" s="140">
        <f>_xlfn.XLOOKUP(E411,'All Products'!D:D,'All Products'!H:H,FALSE)</f>
        <v>298.91000000000003</v>
      </c>
      <c r="J411" s="173">
        <f>ROUNDUP(I411*Order_Quote!$L$26,2)</f>
        <v>298.91000000000003</v>
      </c>
      <c r="K411" s="75"/>
      <c r="L411" s="113"/>
      <c r="M411" s="171">
        <f t="shared" si="9"/>
        <v>0</v>
      </c>
      <c r="O411" s="215" t="str">
        <f>_xlfn.XLOOKUP(E411,'All Products'!D:D,'All Products'!I:I,FALSE)</f>
        <v>Within 3 Weeks</v>
      </c>
      <c r="P411" s="215" t="str">
        <f>_xlfn.XLOOKUP(E411,'All Products'!D:D,'All Products'!J:J,FALSE)</f>
        <v>Manufactured</v>
      </c>
      <c r="Q411" s="266">
        <f>_xlfn.XLOOKUP(E411,'All Products'!D:D,'All Products'!K:K,FALSE)</f>
        <v>49081028985</v>
      </c>
      <c r="R411" s="266" t="str">
        <f>_xlfn.XLOOKUP(E411,'All Products'!D:D,'All Products'!L:L,FALSE)</f>
        <v>-</v>
      </c>
      <c r="S411" s="266">
        <f>_xlfn.XLOOKUP(E411,'All Products'!D:D,'All Products'!M:M,FALSE)</f>
        <v>40049081028983</v>
      </c>
      <c r="T411" s="264">
        <f>_xlfn.XLOOKUP(E411,'All Products'!D:D,'All Products'!N:N,FALSE)</f>
        <v>2.8079999999999998</v>
      </c>
      <c r="U411" s="264">
        <f>_xlfn.XLOOKUP(E411,'All Products'!D:D,'All Products'!P:P,FALSE)</f>
        <v>28.9</v>
      </c>
      <c r="V411" s="265">
        <f>_xlfn.XLOOKUP(E411,'All Products'!D:D,'All Products'!Q:Q,FALSE)</f>
        <v>2.65</v>
      </c>
    </row>
    <row r="412" spans="1:22" ht="14.4" customHeight="1">
      <c r="A412" s="101" t="str">
        <f>IF(K412&gt;0,COUNT($A$8:A411)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12" s="610"/>
      <c r="C412" s="611"/>
      <c r="D412" s="274" t="str">
        <f>_xlfn.XLOOKUP(E412,'All Products'!D:D,'All Products'!C:C,FALSE)</f>
        <v>3-A8-2-11-18</v>
      </c>
      <c r="E412" s="103">
        <v>100024535</v>
      </c>
      <c r="F412" s="144" t="str">
        <f>_xlfn.XLOOKUP(E412,'All Products'!D:D,'All Products'!E:E,FALSE)</f>
        <v>4 SPG X 1-1/2 MPT QCSU X 18 LL SJ</v>
      </c>
      <c r="G412" s="103">
        <f>_xlfn.XLOOKUP(E412,'All Products'!D:D,'All Products'!F:F,FALSE)</f>
        <v>10</v>
      </c>
      <c r="H412" s="103">
        <f>_xlfn.XLOOKUP(E412,'All Products'!D:D,'All Products'!G:G,FALSE)</f>
        <v>240</v>
      </c>
      <c r="I412" s="140">
        <f>_xlfn.XLOOKUP(E412,'All Products'!D:D,'All Products'!H:H,FALSE)</f>
        <v>313.79000000000002</v>
      </c>
      <c r="J412" s="173">
        <f>ROUNDUP(I412*Order_Quote!$L$26,2)</f>
        <v>313.79000000000002</v>
      </c>
      <c r="K412" s="75"/>
      <c r="L412" s="113"/>
      <c r="M412" s="171">
        <f t="shared" si="9"/>
        <v>0</v>
      </c>
      <c r="O412" s="215" t="str">
        <f>_xlfn.XLOOKUP(E412,'All Products'!D:D,'All Products'!I:I,FALSE)</f>
        <v>Within 3 Weeks</v>
      </c>
      <c r="P412" s="215" t="str">
        <f>_xlfn.XLOOKUP(E412,'All Products'!D:D,'All Products'!J:J,FALSE)</f>
        <v>Manufactured</v>
      </c>
      <c r="Q412" s="266">
        <f>_xlfn.XLOOKUP(E412,'All Products'!D:D,'All Products'!K:K,FALSE)</f>
        <v>49081022648</v>
      </c>
      <c r="R412" s="266" t="str">
        <f>_xlfn.XLOOKUP(E412,'All Products'!D:D,'All Products'!L:L,FALSE)</f>
        <v>-</v>
      </c>
      <c r="S412" s="266">
        <f>_xlfn.XLOOKUP(E412,'All Products'!D:D,'All Products'!M:M,FALSE)</f>
        <v>40049081022646</v>
      </c>
      <c r="T412" s="264">
        <f>_xlfn.XLOOKUP(E412,'All Products'!D:D,'All Products'!N:N,FALSE)</f>
        <v>2.4140000000000001</v>
      </c>
      <c r="U412" s="264">
        <f>_xlfn.XLOOKUP(E412,'All Products'!D:D,'All Products'!P:P,FALSE)</f>
        <v>33.950000000000003</v>
      </c>
      <c r="V412" s="265">
        <f>_xlfn.XLOOKUP(E412,'All Products'!D:D,'All Products'!Q:Q,FALSE)</f>
        <v>2.77</v>
      </c>
    </row>
    <row r="413" spans="1:22" ht="14.4" customHeight="1">
      <c r="A413" s="101" t="str">
        <f>IF(K413&gt;0,COUNT($A$8:A412)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13" s="610"/>
      <c r="C413" s="611"/>
      <c r="D413" s="274" t="str">
        <f>_xlfn.XLOOKUP(E413,'All Products'!D:D,'All Products'!C:C,FALSE)</f>
        <v>3-B1-2-11-12</v>
      </c>
      <c r="E413" s="103">
        <v>100024567</v>
      </c>
      <c r="F413" s="144" t="str">
        <f>_xlfn.XLOOKUP(E413,'All Products'!D:D,'All Products'!E:E,FALSE)</f>
        <v>1-1/2 BSP X 1-1/2BRASS QCSU X12 SJ</v>
      </c>
      <c r="G413" s="103">
        <f>_xlfn.XLOOKUP(E413,'All Products'!D:D,'All Products'!F:F,FALSE)</f>
        <v>10</v>
      </c>
      <c r="H413" s="103">
        <f>_xlfn.XLOOKUP(E413,'All Products'!D:D,'All Products'!G:G,FALSE)</f>
        <v>180</v>
      </c>
      <c r="I413" s="140">
        <f>_xlfn.XLOOKUP(E413,'All Products'!D:D,'All Products'!H:H,FALSE)</f>
        <v>298.91000000000003</v>
      </c>
      <c r="J413" s="173">
        <f>ROUNDUP(I413*Order_Quote!$L$26,2)</f>
        <v>298.91000000000003</v>
      </c>
      <c r="K413" s="75"/>
      <c r="L413" s="113"/>
      <c r="M413" s="171">
        <f t="shared" si="9"/>
        <v>0</v>
      </c>
      <c r="O413" s="215" t="str">
        <f>_xlfn.XLOOKUP(E413,'All Products'!D:D,'All Products'!I:I,FALSE)</f>
        <v>Within 3 Weeks</v>
      </c>
      <c r="P413" s="215" t="str">
        <f>_xlfn.XLOOKUP(E413,'All Products'!D:D,'All Products'!J:J,FALSE)</f>
        <v>Manufactured</v>
      </c>
      <c r="Q413" s="266">
        <f>_xlfn.XLOOKUP(E413,'All Products'!D:D,'All Products'!K:K,FALSE)</f>
        <v>49081021870</v>
      </c>
      <c r="R413" s="266" t="str">
        <f>_xlfn.XLOOKUP(E413,'All Products'!D:D,'All Products'!L:L,FALSE)</f>
        <v>-</v>
      </c>
      <c r="S413" s="266">
        <f>_xlfn.XLOOKUP(E413,'All Products'!D:D,'All Products'!M:M,FALSE)</f>
        <v>40049081021878</v>
      </c>
      <c r="T413" s="264">
        <f>_xlfn.XLOOKUP(E413,'All Products'!D:D,'All Products'!N:N,FALSE)</f>
        <v>2.6709999999999998</v>
      </c>
      <c r="U413" s="264">
        <f>_xlfn.XLOOKUP(E413,'All Products'!D:D,'All Products'!P:P,FALSE)</f>
        <v>28.94</v>
      </c>
      <c r="V413" s="265">
        <f>_xlfn.XLOOKUP(E413,'All Products'!D:D,'All Products'!Q:Q,FALSE)</f>
        <v>2.65</v>
      </c>
    </row>
    <row r="414" spans="1:22" ht="14.4" customHeight="1">
      <c r="A414" s="101" t="str">
        <f>IF(K414&gt;0,COUNT($A$8:A413)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14" s="610"/>
      <c r="C414" s="611"/>
      <c r="D414" s="274" t="str">
        <f>_xlfn.XLOOKUP(E414,'All Products'!D:D,'All Products'!C:C,FALSE)</f>
        <v>3-B1-2-11-18</v>
      </c>
      <c r="E414" s="103">
        <v>100024570</v>
      </c>
      <c r="F414" s="144" t="str">
        <f>_xlfn.XLOOKUP(E414,'All Products'!D:D,'All Products'!E:E,FALSE)</f>
        <v>1-1/2BSP X 1-1/2BRASS QCSU X 18 SJ</v>
      </c>
      <c r="G414" s="103">
        <f>_xlfn.XLOOKUP(E414,'All Products'!D:D,'All Products'!F:F,FALSE)</f>
        <v>10</v>
      </c>
      <c r="H414" s="103">
        <f>_xlfn.XLOOKUP(E414,'All Products'!D:D,'All Products'!G:G,FALSE)</f>
        <v>240</v>
      </c>
      <c r="I414" s="140">
        <f>_xlfn.XLOOKUP(E414,'All Products'!D:D,'All Products'!H:H,FALSE)</f>
        <v>313.79000000000002</v>
      </c>
      <c r="J414" s="173">
        <f>ROUNDUP(I414*Order_Quote!$L$26,2)</f>
        <v>313.79000000000002</v>
      </c>
      <c r="K414" s="75"/>
      <c r="L414" s="113"/>
      <c r="M414" s="171">
        <f t="shared" si="9"/>
        <v>0</v>
      </c>
      <c r="O414" s="215" t="str">
        <f>_xlfn.XLOOKUP(E414,'All Products'!D:D,'All Products'!I:I,FALSE)</f>
        <v>Within 3 Weeks</v>
      </c>
      <c r="P414" s="215" t="str">
        <f>_xlfn.XLOOKUP(E414,'All Products'!D:D,'All Products'!J:J,FALSE)</f>
        <v>Manufactured</v>
      </c>
      <c r="Q414" s="266">
        <f>_xlfn.XLOOKUP(E414,'All Products'!D:D,'All Products'!K:K,FALSE)</f>
        <v>49081022884</v>
      </c>
      <c r="R414" s="266" t="str">
        <f>_xlfn.XLOOKUP(E414,'All Products'!D:D,'All Products'!L:L,FALSE)</f>
        <v>-</v>
      </c>
      <c r="S414" s="266">
        <f>_xlfn.XLOOKUP(E414,'All Products'!D:D,'All Products'!M:M,FALSE)</f>
        <v>40049081022882</v>
      </c>
      <c r="T414" s="264">
        <f>_xlfn.XLOOKUP(E414,'All Products'!D:D,'All Products'!N:N,FALSE)</f>
        <v>2.9860000000000002</v>
      </c>
      <c r="U414" s="264">
        <f>_xlfn.XLOOKUP(E414,'All Products'!D:D,'All Products'!P:P,FALSE)</f>
        <v>32.549999999999997</v>
      </c>
      <c r="V414" s="265">
        <f>_xlfn.XLOOKUP(E414,'All Products'!D:D,'All Products'!Q:Q,FALSE)</f>
        <v>2.77</v>
      </c>
    </row>
    <row r="415" spans="1:22" ht="14.4" customHeight="1" thickBot="1">
      <c r="A415" s="101" t="str">
        <f>IF(K415&gt;0,COUNT($A$8:A414)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15" s="715"/>
      <c r="C415" s="697"/>
      <c r="D415" s="274" t="str">
        <f>_xlfn.XLOOKUP(E415,'All Products'!D:D,'All Products'!C:C,FALSE)</f>
        <v>3-J6-2-11-12</v>
      </c>
      <c r="E415" s="103">
        <v>100024604</v>
      </c>
      <c r="F415" s="144" t="str">
        <f>_xlfn.XLOOKUP(E415,'All Products'!D:D,'All Products'!E:E,FALSE)</f>
        <v>40MM SOC X 1-1/2 BRAS QCSU X 12 SJ</v>
      </c>
      <c r="G415" s="103">
        <f>_xlfn.XLOOKUP(E415,'All Products'!D:D,'All Products'!F:F,FALSE)</f>
        <v>10</v>
      </c>
      <c r="H415" s="103">
        <f>_xlfn.XLOOKUP(E415,'All Products'!D:D,'All Products'!G:G,FALSE)</f>
        <v>180</v>
      </c>
      <c r="I415" s="140">
        <f>_xlfn.XLOOKUP(E415,'All Products'!D:D,'All Products'!H:H,FALSE)</f>
        <v>298.91000000000003</v>
      </c>
      <c r="J415" s="173">
        <f>ROUNDUP(I415*Order_Quote!$L$26,2)</f>
        <v>298.91000000000003</v>
      </c>
      <c r="K415" s="75"/>
      <c r="L415" s="113"/>
      <c r="M415" s="171">
        <f t="shared" si="9"/>
        <v>0</v>
      </c>
      <c r="O415" s="567" t="str">
        <f>_xlfn.XLOOKUP(E415,'All Products'!D:D,'All Products'!I:I,FALSE)</f>
        <v>Within 3 Weeks</v>
      </c>
      <c r="P415" s="567" t="str">
        <f>_xlfn.XLOOKUP(E415,'All Products'!D:D,'All Products'!J:J,FALSE)</f>
        <v>Manufactured</v>
      </c>
      <c r="Q415" s="569">
        <f>_xlfn.XLOOKUP(E415,'All Products'!D:D,'All Products'!K:K,FALSE)</f>
        <v>49081029593</v>
      </c>
      <c r="R415" s="569" t="str">
        <f>_xlfn.XLOOKUP(E415,'All Products'!D:D,'All Products'!L:L,FALSE)</f>
        <v>-</v>
      </c>
      <c r="S415" s="569">
        <f>_xlfn.XLOOKUP(E415,'All Products'!D:D,'All Products'!M:M,FALSE)</f>
        <v>40049081029591</v>
      </c>
      <c r="T415" s="583">
        <f>_xlfn.XLOOKUP(E415,'All Products'!D:D,'All Products'!N:N,FALSE)</f>
        <v>2.7280000000000002</v>
      </c>
      <c r="U415" s="583">
        <f>_xlfn.XLOOKUP(E415,'All Products'!D:D,'All Products'!P:P,FALSE)</f>
        <v>29.34</v>
      </c>
      <c r="V415" s="570">
        <f>_xlfn.XLOOKUP(E415,'All Products'!D:D,'All Products'!Q:Q,FALSE)</f>
        <v>2.65</v>
      </c>
    </row>
    <row r="416" spans="1:22" ht="16.2" thickBot="1">
      <c r="A416" s="101" t="str">
        <f>IF(K416&gt;0,COUNT($A$8:A415)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16" s="446" t="s">
        <v>3229</v>
      </c>
      <c r="C416" s="151"/>
      <c r="D416" s="151"/>
      <c r="E416" s="459"/>
      <c r="F416" s="151"/>
      <c r="G416" s="468"/>
      <c r="H416" s="151"/>
      <c r="I416" s="472"/>
      <c r="J416" s="468"/>
      <c r="K416" s="566"/>
      <c r="M416" s="545"/>
      <c r="O416" s="357"/>
      <c r="P416" s="145"/>
      <c r="Q416" s="493"/>
      <c r="R416" s="493"/>
      <c r="S416" s="493"/>
      <c r="T416" s="479"/>
      <c r="U416" s="459"/>
      <c r="V416" s="582"/>
    </row>
    <row r="417" spans="1:22" ht="14.4" customHeight="1">
      <c r="A417" s="101" t="str">
        <f>IF(K417&gt;0,COUNT($A$8:A416)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17" s="682"/>
      <c r="C417" s="683"/>
      <c r="D417" s="274" t="str">
        <f>_xlfn.XLOOKUP(E417,'All Products'!D:D,'All Products'!C:C,FALSE)</f>
        <v>BM05-12</v>
      </c>
      <c r="E417" s="103">
        <v>100028410</v>
      </c>
      <c r="F417" s="144" t="str">
        <f>_xlfn.XLOOKUP(E417,'All Products'!D:D,'All Products'!E:E,FALSE)</f>
        <v>1/2 X 12 FLEX SJ MIPT X MIPT BK</v>
      </c>
      <c r="G417" s="103">
        <f>_xlfn.XLOOKUP(E417,'All Products'!D:D,'All Products'!F:F,FALSE)</f>
        <v>50</v>
      </c>
      <c r="H417" s="103">
        <f>_xlfn.XLOOKUP(E417,'All Products'!D:D,'All Products'!G:G,FALSE)</f>
        <v>3750</v>
      </c>
      <c r="I417" s="140">
        <f>_xlfn.XLOOKUP(E417,'All Products'!D:D,'All Products'!H:H,FALSE)</f>
        <v>7.57</v>
      </c>
      <c r="J417" s="173">
        <f>ROUNDUP(I417*Order_Quote!$L$26,2)</f>
        <v>7.57</v>
      </c>
      <c r="K417" s="75"/>
      <c r="L417" s="113"/>
      <c r="M417" s="171">
        <f t="shared" ref="M417:M435" si="10">K417/G417</f>
        <v>0</v>
      </c>
      <c r="O417" s="215" t="str">
        <f>_xlfn.XLOOKUP(E417,'All Products'!D:D,'All Products'!I:I,FALSE)</f>
        <v>Within 6 Weeks</v>
      </c>
      <c r="P417" s="215" t="str">
        <f>_xlfn.XLOOKUP(E417,'All Products'!D:D,'All Products'!J:J,FALSE)</f>
        <v>Sourced</v>
      </c>
      <c r="Q417" s="266">
        <f>_xlfn.XLOOKUP(E417,'All Products'!D:D,'All Products'!K:K,FALSE)</f>
        <v>49081070014</v>
      </c>
      <c r="R417" s="266" t="str">
        <f>_xlfn.XLOOKUP(E417,'All Products'!D:D,'All Products'!L:L,FALSE)</f>
        <v>-</v>
      </c>
      <c r="S417" s="266">
        <f>_xlfn.XLOOKUP(E417,'All Products'!D:D,'All Products'!M:M,FALSE)</f>
        <v>40049081070012</v>
      </c>
      <c r="T417" s="264">
        <f>_xlfn.XLOOKUP(E417,'All Products'!D:D,'All Products'!N:N,FALSE)</f>
        <v>0.161</v>
      </c>
      <c r="U417" s="264">
        <f>_xlfn.XLOOKUP(E417,'All Products'!D:D,'All Products'!P:P,FALSE)</f>
        <v>8.06</v>
      </c>
      <c r="V417" s="265">
        <f>_xlfn.XLOOKUP(E417,'All Products'!D:D,'All Products'!Q:Q,FALSE)</f>
        <v>1.1000000000000001</v>
      </c>
    </row>
    <row r="418" spans="1:22" ht="14.4" customHeight="1">
      <c r="A418" s="101" t="str">
        <f>IF(K418&gt;0,COUNT($A$8:A417)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18" s="610"/>
      <c r="C418" s="611"/>
      <c r="D418" s="274" t="str">
        <f>_xlfn.XLOOKUP(E418,'All Products'!D:D,'All Products'!C:C,FALSE)</f>
        <v>BM05-12-07</v>
      </c>
      <c r="E418" s="153">
        <v>100028411</v>
      </c>
      <c r="F418" s="144" t="str">
        <f>_xlfn.XLOOKUP(E418,'All Products'!D:D,'All Products'!E:E,FALSE)</f>
        <v>1/2X12X3/4 FLEX SJ MPT/MPT BLK</v>
      </c>
      <c r="G418" s="103">
        <f>_xlfn.XLOOKUP(E418,'All Products'!D:D,'All Products'!F:F,FALSE)</f>
        <v>50</v>
      </c>
      <c r="H418" s="103">
        <f>_xlfn.XLOOKUP(E418,'All Products'!D:D,'All Products'!G:G,FALSE)</f>
        <v>3750</v>
      </c>
      <c r="I418" s="140">
        <f>_xlfn.XLOOKUP(E418,'All Products'!D:D,'All Products'!H:H,FALSE)</f>
        <v>7.57</v>
      </c>
      <c r="J418" s="255">
        <f>ROUNDUP(I418*Order_Quote!$L$26,2)</f>
        <v>7.57</v>
      </c>
      <c r="K418" s="161"/>
      <c r="L418" s="113"/>
      <c r="M418" s="243">
        <f t="shared" si="10"/>
        <v>0</v>
      </c>
      <c r="O418" s="215" t="str">
        <f>_xlfn.XLOOKUP(E418,'All Products'!D:D,'All Products'!I:I,FALSE)</f>
        <v>Within 6 Weeks</v>
      </c>
      <c r="P418" s="215" t="str">
        <f>_xlfn.XLOOKUP(E418,'All Products'!D:D,'All Products'!J:J,FALSE)</f>
        <v>Sourced</v>
      </c>
      <c r="Q418" s="266">
        <f>_xlfn.XLOOKUP(E418,'All Products'!D:D,'All Products'!K:K,FALSE)</f>
        <v>49081070014</v>
      </c>
      <c r="R418" s="266" t="str">
        <f>_xlfn.XLOOKUP(E418,'All Products'!D:D,'All Products'!L:L,FALSE)</f>
        <v>-</v>
      </c>
      <c r="S418" s="266">
        <f>_xlfn.XLOOKUP(E418,'All Products'!D:D,'All Products'!M:M,FALSE)</f>
        <v>40049081070012</v>
      </c>
      <c r="T418" s="264">
        <f>_xlfn.XLOOKUP(E418,'All Products'!D:D,'All Products'!N:N,FALSE)</f>
        <v>0.161</v>
      </c>
      <c r="U418" s="264">
        <f>_xlfn.XLOOKUP(E418,'All Products'!D:D,'All Products'!P:P,FALSE)</f>
        <v>8.06</v>
      </c>
      <c r="V418" s="265">
        <f>_xlfn.XLOOKUP(E418,'All Products'!D:D,'All Products'!Q:Q,FALSE)</f>
        <v>1.1000000000000001</v>
      </c>
    </row>
    <row r="419" spans="1:22" ht="14.4" customHeight="1">
      <c r="A419" s="101" t="str">
        <f>IF(K419&gt;0,COUNT($A$8:A418)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19" s="610"/>
      <c r="C419" s="611"/>
      <c r="D419" s="274" t="str">
        <f>_xlfn.XLOOKUP(E419,'All Products'!D:D,'All Products'!C:C,FALSE)</f>
        <v>BM05-6</v>
      </c>
      <c r="E419" s="153">
        <v>100028412</v>
      </c>
      <c r="F419" s="144" t="str">
        <f>_xlfn.XLOOKUP(E419,'All Products'!D:D,'All Products'!E:E,FALSE)</f>
        <v>1/2 X 6 FLEX SJ MIPT X MIPT BLK</v>
      </c>
      <c r="G419" s="103">
        <f>_xlfn.XLOOKUP(E419,'All Products'!D:D,'All Products'!F:F,FALSE)</f>
        <v>50</v>
      </c>
      <c r="H419" s="103">
        <f>_xlfn.XLOOKUP(E419,'All Products'!D:D,'All Products'!G:G,FALSE)</f>
        <v>6000</v>
      </c>
      <c r="I419" s="140">
        <f>_xlfn.XLOOKUP(E419,'All Products'!D:D,'All Products'!H:H,FALSE)</f>
        <v>5.0199999999999996</v>
      </c>
      <c r="J419" s="255">
        <f>ROUNDUP(I419*Order_Quote!$L$26,2)</f>
        <v>5.0199999999999996</v>
      </c>
      <c r="K419" s="161"/>
      <c r="L419" s="113"/>
      <c r="M419" s="243">
        <f t="shared" si="10"/>
        <v>0</v>
      </c>
      <c r="O419" s="215" t="str">
        <f>_xlfn.XLOOKUP(E419,'All Products'!D:D,'All Products'!I:I,FALSE)</f>
        <v>Within 6 Weeks</v>
      </c>
      <c r="P419" s="215" t="str">
        <f>_xlfn.XLOOKUP(E419,'All Products'!D:D,'All Products'!J:J,FALSE)</f>
        <v>Sourced</v>
      </c>
      <c r="Q419" s="266">
        <f>_xlfn.XLOOKUP(E419,'All Products'!D:D,'All Products'!K:K,FALSE)</f>
        <v>49081070014</v>
      </c>
      <c r="R419" s="266" t="str">
        <f>_xlfn.XLOOKUP(E419,'All Products'!D:D,'All Products'!L:L,FALSE)</f>
        <v>-</v>
      </c>
      <c r="S419" s="266">
        <f>_xlfn.XLOOKUP(E419,'All Products'!D:D,'All Products'!M:M,FALSE)</f>
        <v>40049081070012</v>
      </c>
      <c r="T419" s="264">
        <f>_xlfn.XLOOKUP(E419,'All Products'!D:D,'All Products'!N:N,FALSE)</f>
        <v>0.161</v>
      </c>
      <c r="U419" s="264">
        <f>_xlfn.XLOOKUP(E419,'All Products'!D:D,'All Products'!P:P,FALSE)</f>
        <v>6.31</v>
      </c>
      <c r="V419" s="265">
        <f>_xlfn.XLOOKUP(E419,'All Products'!D:D,'All Products'!Q:Q,FALSE)</f>
        <v>0.65</v>
      </c>
    </row>
    <row r="420" spans="1:22" ht="14.4" customHeight="1">
      <c r="A420" s="101" t="str">
        <f>IF(K420&gt;0,COUNT($A$8:A419)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20" s="610"/>
      <c r="C420" s="611"/>
      <c r="D420" s="274" t="str">
        <f>_xlfn.XLOOKUP(E420,'All Products'!D:D,'All Products'!C:C,FALSE)</f>
        <v>BM07-12</v>
      </c>
      <c r="E420" s="153">
        <v>100031681</v>
      </c>
      <c r="F420" s="144" t="str">
        <f>_xlfn.XLOOKUP(E420,'All Products'!D:D,'All Products'!E:E,FALSE)</f>
        <v>3/4 X 12 FLEX SJ MIPT X MIPT BK</v>
      </c>
      <c r="G420" s="103">
        <f>_xlfn.XLOOKUP(E420,'All Products'!D:D,'All Products'!F:F,FALSE)</f>
        <v>50</v>
      </c>
      <c r="H420" s="103">
        <f>_xlfn.XLOOKUP(E420,'All Products'!D:D,'All Products'!G:G,FALSE)</f>
        <v>3750</v>
      </c>
      <c r="I420" s="140">
        <f>_xlfn.XLOOKUP(E420,'All Products'!D:D,'All Products'!H:H,FALSE)</f>
        <v>7.57</v>
      </c>
      <c r="J420" s="255">
        <f>ROUNDUP(I420*Order_Quote!$L$26,2)</f>
        <v>7.57</v>
      </c>
      <c r="K420" s="161"/>
      <c r="L420" s="113"/>
      <c r="M420" s="243">
        <f t="shared" si="10"/>
        <v>0</v>
      </c>
      <c r="O420" s="215" t="str">
        <f>_xlfn.XLOOKUP(E420,'All Products'!D:D,'All Products'!I:I,FALSE)</f>
        <v>Within 6 Weeks</v>
      </c>
      <c r="P420" s="215" t="str">
        <f>_xlfn.XLOOKUP(E420,'All Products'!D:D,'All Products'!J:J,FALSE)</f>
        <v>Sourced</v>
      </c>
      <c r="Q420" s="266">
        <f>_xlfn.XLOOKUP(E420,'All Products'!D:D,'All Products'!K:K,FALSE)</f>
        <v>49081070014</v>
      </c>
      <c r="R420" s="266" t="str">
        <f>_xlfn.XLOOKUP(E420,'All Products'!D:D,'All Products'!L:L,FALSE)</f>
        <v>-</v>
      </c>
      <c r="S420" s="266">
        <f>_xlfn.XLOOKUP(E420,'All Products'!D:D,'All Products'!M:M,FALSE)</f>
        <v>40049081070012</v>
      </c>
      <c r="T420" s="264">
        <f>_xlfn.XLOOKUP(E420,'All Products'!D:D,'All Products'!N:N,FALSE)</f>
        <v>0.161</v>
      </c>
      <c r="U420" s="264">
        <f>_xlfn.XLOOKUP(E420,'All Products'!D:D,'All Products'!P:P,FALSE)</f>
        <v>9.17</v>
      </c>
      <c r="V420" s="265">
        <f>_xlfn.XLOOKUP(E420,'All Products'!D:D,'All Products'!Q:Q,FALSE)</f>
        <v>1.1000000000000001</v>
      </c>
    </row>
    <row r="421" spans="1:22" ht="14.4" customHeight="1">
      <c r="A421" s="101" t="str">
        <f>IF(K421&gt;0,COUNT($A$8:A420)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21" s="610"/>
      <c r="C421" s="611"/>
      <c r="D421" s="274" t="str">
        <f>_xlfn.XLOOKUP(E421,'All Products'!D:D,'All Products'!C:C,FALSE)</f>
        <v>BM07-6</v>
      </c>
      <c r="E421" s="103">
        <v>100028414</v>
      </c>
      <c r="F421" s="144" t="str">
        <f>_xlfn.XLOOKUP(E421,'All Products'!D:D,'All Products'!E:E,FALSE)</f>
        <v>3/4 X 6 FLEX SJ MIPT X MIPT BLK</v>
      </c>
      <c r="G421" s="103">
        <f>_xlfn.XLOOKUP(E421,'All Products'!D:D,'All Products'!F:F,FALSE)</f>
        <v>50</v>
      </c>
      <c r="H421" s="103">
        <f>_xlfn.XLOOKUP(E421,'All Products'!D:D,'All Products'!G:G,FALSE)</f>
        <v>4500</v>
      </c>
      <c r="I421" s="140">
        <f>_xlfn.XLOOKUP(E421,'All Products'!D:D,'All Products'!H:H,FALSE)</f>
        <v>5.0199999999999996</v>
      </c>
      <c r="J421" s="173">
        <f>ROUNDUP(I421*Order_Quote!$L$26,2)</f>
        <v>5.0199999999999996</v>
      </c>
      <c r="K421" s="75"/>
      <c r="L421" s="113"/>
      <c r="M421" s="171">
        <f t="shared" si="10"/>
        <v>0</v>
      </c>
      <c r="O421" s="215" t="str">
        <f>_xlfn.XLOOKUP(E421,'All Products'!D:D,'All Products'!I:I,FALSE)</f>
        <v>Within 6 Weeks</v>
      </c>
      <c r="P421" s="215" t="str">
        <f>_xlfn.XLOOKUP(E421,'All Products'!D:D,'All Products'!J:J,FALSE)</f>
        <v>Sourced</v>
      </c>
      <c r="Q421" s="266">
        <f>_xlfn.XLOOKUP(E421,'All Products'!D:D,'All Products'!K:K,FALSE)</f>
        <v>49081070014</v>
      </c>
      <c r="R421" s="266" t="str">
        <f>_xlfn.XLOOKUP(E421,'All Products'!D:D,'All Products'!L:L,FALSE)</f>
        <v>-</v>
      </c>
      <c r="S421" s="266">
        <f>_xlfn.XLOOKUP(E421,'All Products'!D:D,'All Products'!M:M,FALSE)</f>
        <v>40049081070012</v>
      </c>
      <c r="T421" s="264">
        <f>_xlfn.XLOOKUP(E421,'All Products'!D:D,'All Products'!N:N,FALSE)</f>
        <v>0.161</v>
      </c>
      <c r="U421" s="264">
        <f>_xlfn.XLOOKUP(E421,'All Products'!D:D,'All Products'!P:P,FALSE)</f>
        <v>7.53</v>
      </c>
      <c r="V421" s="265">
        <f>_xlfn.XLOOKUP(E421,'All Products'!D:D,'All Products'!Q:Q,FALSE)</f>
        <v>0.8</v>
      </c>
    </row>
    <row r="422" spans="1:22" ht="14.4" customHeight="1">
      <c r="A422" s="101" t="str">
        <f>IF(K422&gt;0,COUNT($A$8:A421)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22" s="610"/>
      <c r="C422" s="611"/>
      <c r="D422" s="274" t="str">
        <f>_xlfn.XLOOKUP(E422,'All Products'!D:D,'All Products'!C:C,FALSE)</f>
        <v>FME005</v>
      </c>
      <c r="E422" s="103">
        <v>100025075</v>
      </c>
      <c r="F422" s="144" t="str">
        <f>_xlfn.XLOOKUP(E422,'All Products'!D:D,'All Products'!E:E,FALSE)</f>
        <v>1/2X1/2 FLX SJ MPT/ST90</v>
      </c>
      <c r="G422" s="103">
        <f>_xlfn.XLOOKUP(E422,'All Products'!D:D,'All Products'!F:F,FALSE)</f>
        <v>50</v>
      </c>
      <c r="H422" s="103">
        <f>_xlfn.XLOOKUP(E422,'All Products'!D:D,'All Products'!G:G,FALSE)</f>
        <v>1800</v>
      </c>
      <c r="I422" s="140">
        <f>_xlfn.XLOOKUP(E422,'All Products'!D:D,'All Products'!H:H,FALSE)</f>
        <v>19.89</v>
      </c>
      <c r="J422" s="173">
        <f>ROUNDUP(I422*Order_Quote!$L$26,2)</f>
        <v>19.89</v>
      </c>
      <c r="K422" s="75"/>
      <c r="L422" s="113"/>
      <c r="M422" s="171">
        <f t="shared" si="10"/>
        <v>0</v>
      </c>
      <c r="O422" s="215" t="str">
        <f>_xlfn.XLOOKUP(E422,'All Products'!D:D,'All Products'!I:I,FALSE)</f>
        <v>Within 6 Weeks</v>
      </c>
      <c r="P422" s="215" t="str">
        <f>_xlfn.XLOOKUP(E422,'All Products'!D:D,'All Products'!J:J,FALSE)</f>
        <v>Sourced</v>
      </c>
      <c r="Q422" s="266">
        <f>_xlfn.XLOOKUP(E422,'All Products'!D:D,'All Products'!K:K,FALSE)</f>
        <v>49081070014</v>
      </c>
      <c r="R422" s="266" t="str">
        <f>_xlfn.XLOOKUP(E422,'All Products'!D:D,'All Products'!L:L,FALSE)</f>
        <v>-</v>
      </c>
      <c r="S422" s="266">
        <f>_xlfn.XLOOKUP(E422,'All Products'!D:D,'All Products'!M:M,FALSE)</f>
        <v>40049081070012</v>
      </c>
      <c r="T422" s="264">
        <f>_xlfn.XLOOKUP(E422,'All Products'!D:D,'All Products'!N:N,FALSE)</f>
        <v>0.161</v>
      </c>
      <c r="U422" s="264">
        <f>_xlfn.XLOOKUP(E422,'All Products'!D:D,'All Products'!P:P,FALSE)</f>
        <v>27.1</v>
      </c>
      <c r="V422" s="265">
        <f>_xlfn.XLOOKUP(E422,'All Products'!D:D,'All Products'!Q:Q,FALSE)</f>
        <v>2.65</v>
      </c>
    </row>
    <row r="423" spans="1:22" ht="14.4" customHeight="1">
      <c r="A423" s="101" t="str">
        <f>IF(K423&gt;0,COUNT($A$8:A422)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23" s="610"/>
      <c r="C423" s="611"/>
      <c r="D423" s="274" t="str">
        <f>_xlfn.XLOOKUP(E423,'All Products'!D:D,'All Products'!C:C,FALSE)</f>
        <v>FME007</v>
      </c>
      <c r="E423" s="103">
        <v>100025076</v>
      </c>
      <c r="F423" s="144" t="str">
        <f>_xlfn.XLOOKUP(E423,'All Products'!D:D,'All Products'!E:E,FALSE)</f>
        <v>3/4X3/4 FLX SJ MPT/ST90</v>
      </c>
      <c r="G423" s="103">
        <f>_xlfn.XLOOKUP(E423,'All Products'!D:D,'All Products'!F:F,FALSE)</f>
        <v>50</v>
      </c>
      <c r="H423" s="103">
        <f>_xlfn.XLOOKUP(E423,'All Products'!D:D,'All Products'!G:G,FALSE)</f>
        <v>1800</v>
      </c>
      <c r="I423" s="140">
        <f>_xlfn.XLOOKUP(E423,'All Products'!D:D,'All Products'!H:H,FALSE)</f>
        <v>19.89</v>
      </c>
      <c r="J423" s="173">
        <f>ROUNDUP(I423*Order_Quote!$L$26,2)</f>
        <v>19.89</v>
      </c>
      <c r="K423" s="75"/>
      <c r="L423" s="113"/>
      <c r="M423" s="171">
        <f t="shared" si="10"/>
        <v>0</v>
      </c>
      <c r="O423" s="215" t="str">
        <f>_xlfn.XLOOKUP(E423,'All Products'!D:D,'All Products'!I:I,FALSE)</f>
        <v>Within 6 Weeks</v>
      </c>
      <c r="P423" s="215" t="str">
        <f>_xlfn.XLOOKUP(E423,'All Products'!D:D,'All Products'!J:J,FALSE)</f>
        <v>Sourced</v>
      </c>
      <c r="Q423" s="266">
        <f>_xlfn.XLOOKUP(E423,'All Products'!D:D,'All Products'!K:K,FALSE)</f>
        <v>49081070014</v>
      </c>
      <c r="R423" s="266" t="str">
        <f>_xlfn.XLOOKUP(E423,'All Products'!D:D,'All Products'!L:L,FALSE)</f>
        <v>-</v>
      </c>
      <c r="S423" s="266">
        <f>_xlfn.XLOOKUP(E423,'All Products'!D:D,'All Products'!M:M,FALSE)</f>
        <v>40049081070012</v>
      </c>
      <c r="T423" s="264">
        <f>_xlfn.XLOOKUP(E423,'All Products'!D:D,'All Products'!N:N,FALSE)</f>
        <v>0.161</v>
      </c>
      <c r="U423" s="264">
        <f>_xlfn.XLOOKUP(E423,'All Products'!D:D,'All Products'!P:P,FALSE)</f>
        <v>27.59</v>
      </c>
      <c r="V423" s="265">
        <f>_xlfn.XLOOKUP(E423,'All Products'!D:D,'All Products'!Q:Q,FALSE)</f>
        <v>2.65</v>
      </c>
    </row>
    <row r="424" spans="1:22" ht="14.4" customHeight="1">
      <c r="A424" s="101" t="str">
        <f>IF(K424&gt;0,COUNT($A$8:A423)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24" s="610"/>
      <c r="C424" s="611"/>
      <c r="D424" s="274" t="str">
        <f>_xlfn.XLOOKUP(E424,'All Products'!D:D,'All Products'!C:C,FALSE)</f>
        <v>FME074</v>
      </c>
      <c r="E424" s="103">
        <v>100024619</v>
      </c>
      <c r="F424" s="144" t="str">
        <f>_xlfn.XLOOKUP(E424,'All Products'!D:D,'All Products'!E:E,FALSE)</f>
        <v>1/2X3/4 FLX SJ MPT/ST90</v>
      </c>
      <c r="G424" s="103">
        <f>_xlfn.XLOOKUP(E424,'All Products'!D:D,'All Products'!F:F,FALSE)</f>
        <v>50</v>
      </c>
      <c r="H424" s="103">
        <f>_xlfn.XLOOKUP(E424,'All Products'!D:D,'All Products'!G:G,FALSE)</f>
        <v>1800</v>
      </c>
      <c r="I424" s="140">
        <f>_xlfn.XLOOKUP(E424,'All Products'!D:D,'All Products'!H:H,FALSE)</f>
        <v>19.89</v>
      </c>
      <c r="J424" s="173">
        <f>ROUNDUP(I424*Order_Quote!$L$26,2)</f>
        <v>19.89</v>
      </c>
      <c r="K424" s="75"/>
      <c r="L424" s="113"/>
      <c r="M424" s="171">
        <f t="shared" si="10"/>
        <v>0</v>
      </c>
      <c r="O424" s="215" t="str">
        <f>_xlfn.XLOOKUP(E424,'All Products'!D:D,'All Products'!I:I,FALSE)</f>
        <v>Within 6 Weeks</v>
      </c>
      <c r="P424" s="215" t="str">
        <f>_xlfn.XLOOKUP(E424,'All Products'!D:D,'All Products'!J:J,FALSE)</f>
        <v>Sourced</v>
      </c>
      <c r="Q424" s="266">
        <f>_xlfn.XLOOKUP(E424,'All Products'!D:D,'All Products'!K:K,FALSE)</f>
        <v>49081070014</v>
      </c>
      <c r="R424" s="266" t="str">
        <f>_xlfn.XLOOKUP(E424,'All Products'!D:D,'All Products'!L:L,FALSE)</f>
        <v>-</v>
      </c>
      <c r="S424" s="266">
        <f>_xlfn.XLOOKUP(E424,'All Products'!D:D,'All Products'!M:M,FALSE)</f>
        <v>40049081070012</v>
      </c>
      <c r="T424" s="264">
        <f>_xlfn.XLOOKUP(E424,'All Products'!D:D,'All Products'!N:N,FALSE)</f>
        <v>0.161</v>
      </c>
      <c r="U424" s="264">
        <f>_xlfn.XLOOKUP(E424,'All Products'!D:D,'All Products'!P:P,FALSE)</f>
        <v>26.4</v>
      </c>
      <c r="V424" s="265">
        <f>_xlfn.XLOOKUP(E424,'All Products'!D:D,'All Products'!Q:Q,FALSE)</f>
        <v>2.65</v>
      </c>
    </row>
    <row r="425" spans="1:22" ht="14.4" customHeight="1">
      <c r="A425" s="101" t="str">
        <f>IF(K425&gt;0,COUNT($A$8:A424)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25" s="610"/>
      <c r="C425" s="611"/>
      <c r="D425" s="274" t="str">
        <f>_xlfn.XLOOKUP(E425,'All Products'!D:D,'All Products'!C:C,FALSE)</f>
        <v>FMM005</v>
      </c>
      <c r="E425" s="103">
        <v>100024620</v>
      </c>
      <c r="F425" s="144" t="str">
        <f>_xlfn.XLOOKUP(E425,'All Products'!D:D,'All Products'!E:E,FALSE)</f>
        <v>1/2X1/2 FLX SJ MPT/MPT</v>
      </c>
      <c r="G425" s="103">
        <f>_xlfn.XLOOKUP(E425,'All Products'!D:D,'All Products'!F:F,FALSE)</f>
        <v>50</v>
      </c>
      <c r="H425" s="103">
        <f>_xlfn.XLOOKUP(E425,'All Products'!D:D,'All Products'!G:G,FALSE)</f>
        <v>1800</v>
      </c>
      <c r="I425" s="140">
        <f>_xlfn.XLOOKUP(E425,'All Products'!D:D,'All Products'!H:H,FALSE)</f>
        <v>19.89</v>
      </c>
      <c r="J425" s="173">
        <f>ROUNDUP(I425*Order_Quote!$L$26,2)</f>
        <v>19.89</v>
      </c>
      <c r="K425" s="75"/>
      <c r="L425" s="113"/>
      <c r="M425" s="171">
        <f t="shared" si="10"/>
        <v>0</v>
      </c>
      <c r="O425" s="215" t="str">
        <f>_xlfn.XLOOKUP(E425,'All Products'!D:D,'All Products'!I:I,FALSE)</f>
        <v>Within 6 Weeks</v>
      </c>
      <c r="P425" s="215" t="str">
        <f>_xlfn.XLOOKUP(E425,'All Products'!D:D,'All Products'!J:J,FALSE)</f>
        <v>Sourced</v>
      </c>
      <c r="Q425" s="266">
        <f>_xlfn.XLOOKUP(E425,'All Products'!D:D,'All Products'!K:K,FALSE)</f>
        <v>49081070014</v>
      </c>
      <c r="R425" s="266" t="str">
        <f>_xlfn.XLOOKUP(E425,'All Products'!D:D,'All Products'!L:L,FALSE)</f>
        <v>-</v>
      </c>
      <c r="S425" s="266">
        <f>_xlfn.XLOOKUP(E425,'All Products'!D:D,'All Products'!M:M,FALSE)</f>
        <v>40049081070012</v>
      </c>
      <c r="T425" s="264">
        <f>_xlfn.XLOOKUP(E425,'All Products'!D:D,'All Products'!N:N,FALSE)</f>
        <v>0.161</v>
      </c>
      <c r="U425" s="264">
        <f>_xlfn.XLOOKUP(E425,'All Products'!D:D,'All Products'!P:P,FALSE)</f>
        <v>23.09</v>
      </c>
      <c r="V425" s="265">
        <f>_xlfn.XLOOKUP(E425,'All Products'!D:D,'All Products'!Q:Q,FALSE)</f>
        <v>2.65</v>
      </c>
    </row>
    <row r="426" spans="1:22" ht="14.4" customHeight="1">
      <c r="A426" s="101" t="str">
        <f>IF(K426&gt;0,COUNT($A$8:A425)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26" s="610"/>
      <c r="C426" s="611"/>
      <c r="D426" s="274" t="str">
        <f>_xlfn.XLOOKUP(E426,'All Products'!D:D,'All Products'!C:C,FALSE)</f>
        <v>FMM007</v>
      </c>
      <c r="E426" s="103">
        <v>100024621</v>
      </c>
      <c r="F426" s="144" t="str">
        <f>_xlfn.XLOOKUP(E426,'All Products'!D:D,'All Products'!E:E,FALSE)</f>
        <v>3/4X3/4 FLX SJ MPT/MPT</v>
      </c>
      <c r="G426" s="103">
        <f>_xlfn.XLOOKUP(E426,'All Products'!D:D,'All Products'!F:F,FALSE)</f>
        <v>50</v>
      </c>
      <c r="H426" s="103">
        <f>_xlfn.XLOOKUP(E426,'All Products'!D:D,'All Products'!G:G,FALSE)</f>
        <v>1800</v>
      </c>
      <c r="I426" s="140">
        <f>_xlfn.XLOOKUP(E426,'All Products'!D:D,'All Products'!H:H,FALSE)</f>
        <v>19.89</v>
      </c>
      <c r="J426" s="173">
        <f>ROUNDUP(I426*Order_Quote!$L$26,2)</f>
        <v>19.89</v>
      </c>
      <c r="K426" s="75"/>
      <c r="L426" s="113"/>
      <c r="M426" s="171">
        <f t="shared" si="10"/>
        <v>0</v>
      </c>
      <c r="O426" s="215" t="str">
        <f>_xlfn.XLOOKUP(E426,'All Products'!D:D,'All Products'!I:I,FALSE)</f>
        <v>Within 6 Weeks</v>
      </c>
      <c r="P426" s="215" t="str">
        <f>_xlfn.XLOOKUP(E426,'All Products'!D:D,'All Products'!J:J,FALSE)</f>
        <v>Sourced</v>
      </c>
      <c r="Q426" s="266">
        <f>_xlfn.XLOOKUP(E426,'All Products'!D:D,'All Products'!K:K,FALSE)</f>
        <v>49081070014</v>
      </c>
      <c r="R426" s="266" t="str">
        <f>_xlfn.XLOOKUP(E426,'All Products'!D:D,'All Products'!L:L,FALSE)</f>
        <v>-</v>
      </c>
      <c r="S426" s="266">
        <f>_xlfn.XLOOKUP(E426,'All Products'!D:D,'All Products'!M:M,FALSE)</f>
        <v>40049081070012</v>
      </c>
      <c r="T426" s="264">
        <f>_xlfn.XLOOKUP(E426,'All Products'!D:D,'All Products'!N:N,FALSE)</f>
        <v>0.161</v>
      </c>
      <c r="U426" s="264">
        <f>_xlfn.XLOOKUP(E426,'All Products'!D:D,'All Products'!P:P,FALSE)</f>
        <v>27.1</v>
      </c>
      <c r="V426" s="265">
        <f>_xlfn.XLOOKUP(E426,'All Products'!D:D,'All Products'!Q:Q,FALSE)</f>
        <v>2.65</v>
      </c>
    </row>
    <row r="427" spans="1:22" ht="14.4" customHeight="1">
      <c r="A427" s="101" t="str">
        <f>IF(K427&gt;0,COUNT($A$8:A426)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27" s="610"/>
      <c r="C427" s="611"/>
      <c r="D427" s="274" t="str">
        <f>_xlfn.XLOOKUP(E427,'All Products'!D:D,'All Products'!C:C,FALSE)</f>
        <v>FMM074</v>
      </c>
      <c r="E427" s="103">
        <v>100024622</v>
      </c>
      <c r="F427" s="144" t="str">
        <f>_xlfn.XLOOKUP(E427,'All Products'!D:D,'All Products'!E:E,FALSE)</f>
        <v>1/2X3/4 FLX SJ MPT/MPT</v>
      </c>
      <c r="G427" s="103">
        <f>_xlfn.XLOOKUP(E427,'All Products'!D:D,'All Products'!F:F,FALSE)</f>
        <v>50</v>
      </c>
      <c r="H427" s="103">
        <f>_xlfn.XLOOKUP(E427,'All Products'!D:D,'All Products'!G:G,FALSE)</f>
        <v>1800</v>
      </c>
      <c r="I427" s="140">
        <f>_xlfn.XLOOKUP(E427,'All Products'!D:D,'All Products'!H:H,FALSE)</f>
        <v>19.89</v>
      </c>
      <c r="J427" s="173">
        <f>ROUNDUP(I427*Order_Quote!$L$26,2)</f>
        <v>19.89</v>
      </c>
      <c r="K427" s="75"/>
      <c r="L427" s="113"/>
      <c r="M427" s="171">
        <f t="shared" si="10"/>
        <v>0</v>
      </c>
      <c r="O427" s="215" t="str">
        <f>_xlfn.XLOOKUP(E427,'All Products'!D:D,'All Products'!I:I,FALSE)</f>
        <v>Within 6 Weeks</v>
      </c>
      <c r="P427" s="215" t="str">
        <f>_xlfn.XLOOKUP(E427,'All Products'!D:D,'All Products'!J:J,FALSE)</f>
        <v>Sourced</v>
      </c>
      <c r="Q427" s="266">
        <f>_xlfn.XLOOKUP(E427,'All Products'!D:D,'All Products'!K:K,FALSE)</f>
        <v>49081070014</v>
      </c>
      <c r="R427" s="266" t="str">
        <f>_xlfn.XLOOKUP(E427,'All Products'!D:D,'All Products'!L:L,FALSE)</f>
        <v>-</v>
      </c>
      <c r="S427" s="266">
        <f>_xlfn.XLOOKUP(E427,'All Products'!D:D,'All Products'!M:M,FALSE)</f>
        <v>40049081070012</v>
      </c>
      <c r="T427" s="264">
        <f>_xlfn.XLOOKUP(E427,'All Products'!D:D,'All Products'!N:N,FALSE)</f>
        <v>0.161</v>
      </c>
      <c r="U427" s="264">
        <f>_xlfn.XLOOKUP(E427,'All Products'!D:D,'All Products'!P:P,FALSE)</f>
        <v>25.6</v>
      </c>
      <c r="V427" s="265">
        <f>_xlfn.XLOOKUP(E427,'All Products'!D:D,'All Products'!Q:Q,FALSE)</f>
        <v>2.65</v>
      </c>
    </row>
    <row r="428" spans="1:22" ht="14.4" customHeight="1">
      <c r="A428" s="101" t="str">
        <f>IF(K428&gt;0,COUNT($A$8:A427)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28" s="610"/>
      <c r="C428" s="611"/>
      <c r="D428" s="274" t="str">
        <f>_xlfn.XLOOKUP(E428,'All Products'!D:D,'All Products'!C:C,FALSE)</f>
        <v>FSM005</v>
      </c>
      <c r="E428" s="103">
        <v>100024623</v>
      </c>
      <c r="F428" s="144" t="str">
        <f>_xlfn.XLOOKUP(E428,'All Products'!D:D,'All Products'!E:E,FALSE)</f>
        <v>1/2X1/2 FLX SJ MPT/MPT</v>
      </c>
      <c r="G428" s="103">
        <f>_xlfn.XLOOKUP(E428,'All Products'!D:D,'All Products'!F:F,FALSE)</f>
        <v>50</v>
      </c>
      <c r="H428" s="103">
        <f>_xlfn.XLOOKUP(E428,'All Products'!D:D,'All Products'!G:G,FALSE)</f>
        <v>1800</v>
      </c>
      <c r="I428" s="140">
        <f>_xlfn.XLOOKUP(E428,'All Products'!D:D,'All Products'!H:H,FALSE)</f>
        <v>19.89</v>
      </c>
      <c r="J428" s="173">
        <f>ROUNDUP(I428*Order_Quote!$L$26,2)</f>
        <v>19.89</v>
      </c>
      <c r="K428" s="75"/>
      <c r="L428" s="113"/>
      <c r="M428" s="171">
        <f t="shared" si="10"/>
        <v>0</v>
      </c>
      <c r="O428" s="215" t="str">
        <f>_xlfn.XLOOKUP(E428,'All Products'!D:D,'All Products'!I:I,FALSE)</f>
        <v>Within 6 Weeks</v>
      </c>
      <c r="P428" s="215" t="str">
        <f>_xlfn.XLOOKUP(E428,'All Products'!D:D,'All Products'!J:J,FALSE)</f>
        <v>Sourced</v>
      </c>
      <c r="Q428" s="266">
        <f>_xlfn.XLOOKUP(E428,'All Products'!D:D,'All Products'!K:K,FALSE)</f>
        <v>49081070014</v>
      </c>
      <c r="R428" s="266" t="str">
        <f>_xlfn.XLOOKUP(E428,'All Products'!D:D,'All Products'!L:L,FALSE)</f>
        <v>-</v>
      </c>
      <c r="S428" s="266">
        <f>_xlfn.XLOOKUP(E428,'All Products'!D:D,'All Products'!M:M,FALSE)</f>
        <v>40049081070012</v>
      </c>
      <c r="T428" s="264">
        <f>_xlfn.XLOOKUP(E428,'All Products'!D:D,'All Products'!N:N,FALSE)</f>
        <v>0.161</v>
      </c>
      <c r="U428" s="264">
        <f>_xlfn.XLOOKUP(E428,'All Products'!D:D,'All Products'!P:P,FALSE)</f>
        <v>27.09</v>
      </c>
      <c r="V428" s="265">
        <f>_xlfn.XLOOKUP(E428,'All Products'!D:D,'All Products'!Q:Q,FALSE)</f>
        <v>2.65</v>
      </c>
    </row>
    <row r="429" spans="1:22" ht="14.4" customHeight="1">
      <c r="A429" s="101" t="str">
        <f>IF(K429&gt;0,COUNT($A$8:A428)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29" s="610"/>
      <c r="C429" s="611"/>
      <c r="D429" s="274" t="str">
        <f>_xlfn.XLOOKUP(E429,'All Products'!D:D,'All Products'!C:C,FALSE)</f>
        <v>FSM007</v>
      </c>
      <c r="E429" s="103">
        <v>100025077</v>
      </c>
      <c r="F429" s="144" t="str">
        <f>_xlfn.XLOOKUP(E429,'All Products'!D:D,'All Products'!E:E,FALSE)</f>
        <v>3/4X3/4 FLX SJ MPT/MPT</v>
      </c>
      <c r="G429" s="103">
        <f>_xlfn.XLOOKUP(E429,'All Products'!D:D,'All Products'!F:F,FALSE)</f>
        <v>50</v>
      </c>
      <c r="H429" s="103">
        <f>_xlfn.XLOOKUP(E429,'All Products'!D:D,'All Products'!G:G,FALSE)</f>
        <v>1800</v>
      </c>
      <c r="I429" s="140">
        <f>_xlfn.XLOOKUP(E429,'All Products'!D:D,'All Products'!H:H,FALSE)</f>
        <v>19.89</v>
      </c>
      <c r="J429" s="173">
        <f>ROUNDUP(I429*Order_Quote!$L$26,2)</f>
        <v>19.89</v>
      </c>
      <c r="K429" s="75"/>
      <c r="L429" s="113"/>
      <c r="M429" s="171">
        <f t="shared" si="10"/>
        <v>0</v>
      </c>
      <c r="O429" s="215" t="str">
        <f>_xlfn.XLOOKUP(E429,'All Products'!D:D,'All Products'!I:I,FALSE)</f>
        <v>Within 6 Weeks</v>
      </c>
      <c r="P429" s="215" t="str">
        <f>_xlfn.XLOOKUP(E429,'All Products'!D:D,'All Products'!J:J,FALSE)</f>
        <v>Sourced</v>
      </c>
      <c r="Q429" s="266">
        <f>_xlfn.XLOOKUP(E429,'All Products'!D:D,'All Products'!K:K,FALSE)</f>
        <v>49081070014</v>
      </c>
      <c r="R429" s="266" t="str">
        <f>_xlfn.XLOOKUP(E429,'All Products'!D:D,'All Products'!L:L,FALSE)</f>
        <v>-</v>
      </c>
      <c r="S429" s="266">
        <f>_xlfn.XLOOKUP(E429,'All Products'!D:D,'All Products'!M:M,FALSE)</f>
        <v>40049081070012</v>
      </c>
      <c r="T429" s="264">
        <f>_xlfn.XLOOKUP(E429,'All Products'!D:D,'All Products'!N:N,FALSE)</f>
        <v>0.161</v>
      </c>
      <c r="U429" s="264">
        <f>_xlfn.XLOOKUP(E429,'All Products'!D:D,'All Products'!P:P,FALSE)</f>
        <v>27.1</v>
      </c>
      <c r="V429" s="265">
        <f>_xlfn.XLOOKUP(E429,'All Products'!D:D,'All Products'!Q:Q,FALSE)</f>
        <v>2.65</v>
      </c>
    </row>
    <row r="430" spans="1:22" ht="14.4" customHeight="1">
      <c r="A430" s="101" t="str">
        <f>IF(K430&gt;0,COUNT($A$8:A429)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30" s="610"/>
      <c r="C430" s="611"/>
      <c r="D430" s="274" t="str">
        <f>_xlfn.XLOOKUP(E430,'All Products'!D:D,'All Products'!C:C,FALSE)</f>
        <v>FSM074</v>
      </c>
      <c r="E430" s="103">
        <v>100025078</v>
      </c>
      <c r="F430" s="144" t="str">
        <f>_xlfn.XLOOKUP(E430,'All Products'!D:D,'All Products'!E:E,FALSE)</f>
        <v>1/2X3/4 FLX SJ MPT/MPT</v>
      </c>
      <c r="G430" s="103">
        <f>_xlfn.XLOOKUP(E430,'All Products'!D:D,'All Products'!F:F,FALSE)</f>
        <v>50</v>
      </c>
      <c r="H430" s="103">
        <f>_xlfn.XLOOKUP(E430,'All Products'!D:D,'All Products'!G:G,FALSE)</f>
        <v>1800</v>
      </c>
      <c r="I430" s="140">
        <f>_xlfn.XLOOKUP(E430,'All Products'!D:D,'All Products'!H:H,FALSE)</f>
        <v>19.89</v>
      </c>
      <c r="J430" s="173">
        <f>ROUNDUP(I430*Order_Quote!$L$26,2)</f>
        <v>19.89</v>
      </c>
      <c r="K430" s="75"/>
      <c r="L430" s="113"/>
      <c r="M430" s="171">
        <f t="shared" si="10"/>
        <v>0</v>
      </c>
      <c r="O430" s="215" t="str">
        <f>_xlfn.XLOOKUP(E430,'All Products'!D:D,'All Products'!I:I,FALSE)</f>
        <v>Within 6 Weeks</v>
      </c>
      <c r="P430" s="215" t="str">
        <f>_xlfn.XLOOKUP(E430,'All Products'!D:D,'All Products'!J:J,FALSE)</f>
        <v>Sourced</v>
      </c>
      <c r="Q430" s="266">
        <f>_xlfn.XLOOKUP(E430,'All Products'!D:D,'All Products'!K:K,FALSE)</f>
        <v>49081070014</v>
      </c>
      <c r="R430" s="266" t="str">
        <f>_xlfn.XLOOKUP(E430,'All Products'!D:D,'All Products'!L:L,FALSE)</f>
        <v>-</v>
      </c>
      <c r="S430" s="266">
        <f>_xlfn.XLOOKUP(E430,'All Products'!D:D,'All Products'!M:M,FALSE)</f>
        <v>40049081070012</v>
      </c>
      <c r="T430" s="264">
        <f>_xlfn.XLOOKUP(E430,'All Products'!D:D,'All Products'!N:N,FALSE)</f>
        <v>0.161</v>
      </c>
      <c r="U430" s="264">
        <f>_xlfn.XLOOKUP(E430,'All Products'!D:D,'All Products'!P:P,FALSE)</f>
        <v>27.6</v>
      </c>
      <c r="V430" s="265">
        <f>_xlfn.XLOOKUP(E430,'All Products'!D:D,'All Products'!Q:Q,FALSE)</f>
        <v>2.65</v>
      </c>
    </row>
    <row r="431" spans="1:22" ht="14.4" customHeight="1">
      <c r="A431" s="101" t="str">
        <f>IF(K431&gt;0,COUNT($A$8:A430)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31" s="610"/>
      <c r="C431" s="611"/>
      <c r="D431" s="274" t="str">
        <f>_xlfn.XLOOKUP(E431,'All Products'!D:D,'All Products'!C:C,FALSE)</f>
        <v>FSM075</v>
      </c>
      <c r="E431" s="103">
        <v>100028741</v>
      </c>
      <c r="F431" s="144" t="str">
        <f>_xlfn.XLOOKUP(E431,'All Products'!D:D,'All Products'!E:E,FALSE)</f>
        <v>1/2X1 FLX SJ MPT/MPT</v>
      </c>
      <c r="G431" s="103">
        <f>_xlfn.XLOOKUP(E431,'All Products'!D:D,'All Products'!F:F,FALSE)</f>
        <v>50</v>
      </c>
      <c r="H431" s="103">
        <f>_xlfn.XLOOKUP(E431,'All Products'!D:D,'All Products'!G:G,FALSE)</f>
        <v>1800</v>
      </c>
      <c r="I431" s="140">
        <f>_xlfn.XLOOKUP(E431,'All Products'!D:D,'All Products'!H:H,FALSE)</f>
        <v>19.89</v>
      </c>
      <c r="J431" s="173">
        <f>ROUNDUP(I431*Order_Quote!$L$26,2)</f>
        <v>19.89</v>
      </c>
      <c r="K431" s="75"/>
      <c r="L431" s="113"/>
      <c r="M431" s="171">
        <f t="shared" si="10"/>
        <v>0</v>
      </c>
      <c r="O431" s="215" t="str">
        <f>_xlfn.XLOOKUP(E431,'All Products'!D:D,'All Products'!I:I,FALSE)</f>
        <v>Within 6 Weeks</v>
      </c>
      <c r="P431" s="215" t="str">
        <f>_xlfn.XLOOKUP(E431,'All Products'!D:D,'All Products'!J:J,FALSE)</f>
        <v>Sourced</v>
      </c>
      <c r="Q431" s="266">
        <f>_xlfn.XLOOKUP(E431,'All Products'!D:D,'All Products'!K:K,FALSE)</f>
        <v>49081070014</v>
      </c>
      <c r="R431" s="266" t="str">
        <f>_xlfn.XLOOKUP(E431,'All Products'!D:D,'All Products'!L:L,FALSE)</f>
        <v>-</v>
      </c>
      <c r="S431" s="266">
        <f>_xlfn.XLOOKUP(E431,'All Products'!D:D,'All Products'!M:M,FALSE)</f>
        <v>40049081070012</v>
      </c>
      <c r="T431" s="264">
        <f>_xlfn.XLOOKUP(E431,'All Products'!D:D,'All Products'!N:N,FALSE)</f>
        <v>0.161</v>
      </c>
      <c r="U431" s="264">
        <f>_xlfn.XLOOKUP(E431,'All Products'!D:D,'All Products'!P:P,FALSE)</f>
        <v>30.12</v>
      </c>
      <c r="V431" s="265">
        <f>_xlfn.XLOOKUP(E431,'All Products'!D:D,'All Products'!Q:Q,FALSE)</f>
        <v>2.65</v>
      </c>
    </row>
    <row r="432" spans="1:22" ht="14.4" customHeight="1">
      <c r="A432" s="101" t="str">
        <f>IF(K432&gt;0,COUNT($A$8:A431)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32" s="610"/>
      <c r="C432" s="611"/>
      <c r="D432" s="274" t="str">
        <f>_xlfn.XLOOKUP(E432,'All Products'!D:D,'All Products'!C:C,FALSE)</f>
        <v>FSS005</v>
      </c>
      <c r="E432" s="103">
        <v>100025080</v>
      </c>
      <c r="F432" s="144" t="str">
        <f>_xlfn.XLOOKUP(E432,'All Products'!D:D,'All Products'!E:E,FALSE)</f>
        <v>1/2X1/2 FLX SJ SL/MPT</v>
      </c>
      <c r="G432" s="103">
        <f>_xlfn.XLOOKUP(E432,'All Products'!D:D,'All Products'!F:F,FALSE)</f>
        <v>50</v>
      </c>
      <c r="H432" s="103">
        <f>_xlfn.XLOOKUP(E432,'All Products'!D:D,'All Products'!G:G,FALSE)</f>
        <v>1800</v>
      </c>
      <c r="I432" s="140">
        <f>_xlfn.XLOOKUP(E432,'All Products'!D:D,'All Products'!H:H,FALSE)</f>
        <v>19.89</v>
      </c>
      <c r="J432" s="173">
        <f>ROUNDUP(I432*Order_Quote!$L$26,2)</f>
        <v>19.89</v>
      </c>
      <c r="K432" s="75"/>
      <c r="L432" s="113"/>
      <c r="M432" s="171">
        <f t="shared" si="10"/>
        <v>0</v>
      </c>
      <c r="O432" s="215" t="str">
        <f>_xlfn.XLOOKUP(E432,'All Products'!D:D,'All Products'!I:I,FALSE)</f>
        <v>Within 6 Weeks</v>
      </c>
      <c r="P432" s="215" t="str">
        <f>_xlfn.XLOOKUP(E432,'All Products'!D:D,'All Products'!J:J,FALSE)</f>
        <v>Sourced</v>
      </c>
      <c r="Q432" s="266">
        <f>_xlfn.XLOOKUP(E432,'All Products'!D:D,'All Products'!K:K,FALSE)</f>
        <v>49081070014</v>
      </c>
      <c r="R432" s="266" t="str">
        <f>_xlfn.XLOOKUP(E432,'All Products'!D:D,'All Products'!L:L,FALSE)</f>
        <v>-</v>
      </c>
      <c r="S432" s="266">
        <f>_xlfn.XLOOKUP(E432,'All Products'!D:D,'All Products'!M:M,FALSE)</f>
        <v>40049081070012</v>
      </c>
      <c r="T432" s="264">
        <f>_xlfn.XLOOKUP(E432,'All Products'!D:D,'All Products'!N:N,FALSE)</f>
        <v>0.161</v>
      </c>
      <c r="U432" s="264">
        <f>_xlfn.XLOOKUP(E432,'All Products'!D:D,'All Products'!P:P,FALSE)</f>
        <v>28.59</v>
      </c>
      <c r="V432" s="265">
        <f>_xlfn.XLOOKUP(E432,'All Products'!D:D,'All Products'!Q:Q,FALSE)</f>
        <v>2.65</v>
      </c>
    </row>
    <row r="433" spans="1:22" ht="14.4" customHeight="1">
      <c r="A433" s="101" t="str">
        <f>IF(K433&gt;0,COUNT($A$8:A432)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33" s="610"/>
      <c r="C433" s="611"/>
      <c r="D433" s="274" t="str">
        <f>_xlfn.XLOOKUP(E433,'All Products'!D:D,'All Products'!C:C,FALSE)</f>
        <v>FSS007</v>
      </c>
      <c r="E433" s="103">
        <v>100025082</v>
      </c>
      <c r="F433" s="144" t="str">
        <f>_xlfn.XLOOKUP(E433,'All Products'!D:D,'All Products'!E:E,FALSE)</f>
        <v>3/4X3/4 FLX SJ SL/MPT</v>
      </c>
      <c r="G433" s="103">
        <f>_xlfn.XLOOKUP(E433,'All Products'!D:D,'All Products'!F:F,FALSE)</f>
        <v>50</v>
      </c>
      <c r="H433" s="103">
        <f>_xlfn.XLOOKUP(E433,'All Products'!D:D,'All Products'!G:G,FALSE)</f>
        <v>1800</v>
      </c>
      <c r="I433" s="140">
        <f>_xlfn.XLOOKUP(E433,'All Products'!D:D,'All Products'!H:H,FALSE)</f>
        <v>19.89</v>
      </c>
      <c r="J433" s="173">
        <f>ROUNDUP(I433*Order_Quote!$L$26,2)</f>
        <v>19.89</v>
      </c>
      <c r="K433" s="75"/>
      <c r="L433" s="113"/>
      <c r="M433" s="171">
        <f t="shared" si="10"/>
        <v>0</v>
      </c>
      <c r="O433" s="215" t="str">
        <f>_xlfn.XLOOKUP(E433,'All Products'!D:D,'All Products'!I:I,FALSE)</f>
        <v>Within 6 Weeks</v>
      </c>
      <c r="P433" s="215" t="str">
        <f>_xlfn.XLOOKUP(E433,'All Products'!D:D,'All Products'!J:J,FALSE)</f>
        <v>Sourced</v>
      </c>
      <c r="Q433" s="266">
        <f>_xlfn.XLOOKUP(E433,'All Products'!D:D,'All Products'!K:K,FALSE)</f>
        <v>49081070014</v>
      </c>
      <c r="R433" s="266" t="str">
        <f>_xlfn.XLOOKUP(E433,'All Products'!D:D,'All Products'!L:L,FALSE)</f>
        <v>-</v>
      </c>
      <c r="S433" s="266">
        <f>_xlfn.XLOOKUP(E433,'All Products'!D:D,'All Products'!M:M,FALSE)</f>
        <v>40049081070012</v>
      </c>
      <c r="T433" s="264">
        <f>_xlfn.XLOOKUP(E433,'All Products'!D:D,'All Products'!N:N,FALSE)</f>
        <v>0.161</v>
      </c>
      <c r="U433" s="264">
        <f>_xlfn.XLOOKUP(E433,'All Products'!D:D,'All Products'!P:P,FALSE)</f>
        <v>28.59</v>
      </c>
      <c r="V433" s="265">
        <f>_xlfn.XLOOKUP(E433,'All Products'!D:D,'All Products'!Q:Q,FALSE)</f>
        <v>2.65</v>
      </c>
    </row>
    <row r="434" spans="1:22" ht="14.4" customHeight="1">
      <c r="A434" s="101" t="str">
        <f>IF(K434&gt;0,COUNT($A$8:A433)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34" s="610"/>
      <c r="C434" s="611"/>
      <c r="D434" s="274" t="str">
        <f>_xlfn.XLOOKUP(E434,'All Products'!D:D,'All Products'!C:C,FALSE)</f>
        <v>FSS074</v>
      </c>
      <c r="E434" s="103">
        <v>100024625</v>
      </c>
      <c r="F434" s="144" t="str">
        <f>_xlfn.XLOOKUP(E434,'All Products'!D:D,'All Products'!E:E,FALSE)</f>
        <v>1/2X3/4 FLX SJ SL/MPT</v>
      </c>
      <c r="G434" s="103">
        <f>_xlfn.XLOOKUP(E434,'All Products'!D:D,'All Products'!F:F,FALSE)</f>
        <v>50</v>
      </c>
      <c r="H434" s="103">
        <f>_xlfn.XLOOKUP(E434,'All Products'!D:D,'All Products'!G:G,FALSE)</f>
        <v>1800</v>
      </c>
      <c r="I434" s="140">
        <f>_xlfn.XLOOKUP(E434,'All Products'!D:D,'All Products'!H:H,FALSE)</f>
        <v>19.89</v>
      </c>
      <c r="J434" s="173">
        <f>ROUNDUP(I434*Order_Quote!$L$26,2)</f>
        <v>19.89</v>
      </c>
      <c r="K434" s="75"/>
      <c r="L434" s="113"/>
      <c r="M434" s="171">
        <f t="shared" si="10"/>
        <v>0</v>
      </c>
      <c r="O434" s="215" t="str">
        <f>_xlfn.XLOOKUP(E434,'All Products'!D:D,'All Products'!I:I,FALSE)</f>
        <v>Within 6 Weeks</v>
      </c>
      <c r="P434" s="215" t="str">
        <f>_xlfn.XLOOKUP(E434,'All Products'!D:D,'All Products'!J:J,FALSE)</f>
        <v>Sourced</v>
      </c>
      <c r="Q434" s="266">
        <f>_xlfn.XLOOKUP(E434,'All Products'!D:D,'All Products'!K:K,FALSE)</f>
        <v>49081070014</v>
      </c>
      <c r="R434" s="266" t="str">
        <f>_xlfn.XLOOKUP(E434,'All Products'!D:D,'All Products'!L:L,FALSE)</f>
        <v>-</v>
      </c>
      <c r="S434" s="266">
        <f>_xlfn.XLOOKUP(E434,'All Products'!D:D,'All Products'!M:M,FALSE)</f>
        <v>40049081070012</v>
      </c>
      <c r="T434" s="264">
        <f>_xlfn.XLOOKUP(E434,'All Products'!D:D,'All Products'!N:N,FALSE)</f>
        <v>0.161</v>
      </c>
      <c r="U434" s="264">
        <f>_xlfn.XLOOKUP(E434,'All Products'!D:D,'All Products'!P:P,FALSE)</f>
        <v>28.1</v>
      </c>
      <c r="V434" s="265">
        <f>_xlfn.XLOOKUP(E434,'All Products'!D:D,'All Products'!Q:Q,FALSE)</f>
        <v>2.65</v>
      </c>
    </row>
    <row r="435" spans="1:22" ht="14.4" customHeight="1" thickBot="1">
      <c r="A435" s="101" t="str">
        <f>IF(K435&gt;0,COUNT($A$8:A434)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35" s="715"/>
      <c r="C435" s="697"/>
      <c r="D435" s="274" t="str">
        <f>_xlfn.XLOOKUP(E435,'All Products'!D:D,'All Products'!C:C,FALSE)</f>
        <v>FSS075</v>
      </c>
      <c r="E435" s="103">
        <v>100028742</v>
      </c>
      <c r="F435" s="144" t="str">
        <f>_xlfn.XLOOKUP(E435,'All Products'!D:D,'All Products'!E:E,FALSE)</f>
        <v>1/2X1 FLX SJ SL/MPT</v>
      </c>
      <c r="G435" s="103">
        <f>_xlfn.XLOOKUP(E435,'All Products'!D:D,'All Products'!F:F,FALSE)</f>
        <v>50</v>
      </c>
      <c r="H435" s="103">
        <f>_xlfn.XLOOKUP(E435,'All Products'!D:D,'All Products'!G:G,FALSE)</f>
        <v>1800</v>
      </c>
      <c r="I435" s="140">
        <f>_xlfn.XLOOKUP(E435,'All Products'!D:D,'All Products'!H:H,FALSE)</f>
        <v>19.89</v>
      </c>
      <c r="J435" s="173">
        <f>ROUNDUP(I435*Order_Quote!$L$26,2)</f>
        <v>19.89</v>
      </c>
      <c r="K435" s="75"/>
      <c r="L435" s="113"/>
      <c r="M435" s="171">
        <f t="shared" si="10"/>
        <v>0</v>
      </c>
      <c r="O435" s="567" t="str">
        <f>_xlfn.XLOOKUP(E435,'All Products'!D:D,'All Products'!I:I,FALSE)</f>
        <v>Within 6 Weeks</v>
      </c>
      <c r="P435" s="567" t="str">
        <f>_xlfn.XLOOKUP(E435,'All Products'!D:D,'All Products'!J:J,FALSE)</f>
        <v>Sourced</v>
      </c>
      <c r="Q435" s="569">
        <f>_xlfn.XLOOKUP(E435,'All Products'!D:D,'All Products'!K:K,FALSE)</f>
        <v>49081070014</v>
      </c>
      <c r="R435" s="569" t="str">
        <f>_xlfn.XLOOKUP(E435,'All Products'!D:D,'All Products'!L:L,FALSE)</f>
        <v>-</v>
      </c>
      <c r="S435" s="569">
        <f>_xlfn.XLOOKUP(E435,'All Products'!D:D,'All Products'!M:M,FALSE)</f>
        <v>40049081070012</v>
      </c>
      <c r="T435" s="583">
        <f>_xlfn.XLOOKUP(E435,'All Products'!D:D,'All Products'!N:N,FALSE)</f>
        <v>0.161</v>
      </c>
      <c r="U435" s="583">
        <f>_xlfn.XLOOKUP(E435,'All Products'!D:D,'All Products'!P:P,FALSE)</f>
        <v>28.6</v>
      </c>
      <c r="V435" s="570">
        <f>_xlfn.XLOOKUP(E435,'All Products'!D:D,'All Products'!Q:Q,FALSE)</f>
        <v>2.65</v>
      </c>
    </row>
    <row r="436" spans="1:22" ht="16.2" thickBot="1">
      <c r="A436" s="101" t="str">
        <f>IF(K436&gt;0,COUNT($A$8:A435)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36" s="446" t="s">
        <v>3265</v>
      </c>
      <c r="C436" s="151"/>
      <c r="D436" s="151"/>
      <c r="E436" s="459"/>
      <c r="F436" s="151"/>
      <c r="G436" s="468"/>
      <c r="H436" s="151"/>
      <c r="I436" s="472"/>
      <c r="J436" s="468"/>
      <c r="K436" s="566"/>
      <c r="M436" s="545"/>
      <c r="O436" s="357"/>
      <c r="P436" s="145"/>
      <c r="Q436" s="493"/>
      <c r="R436" s="493"/>
      <c r="S436" s="493"/>
      <c r="T436" s="479"/>
      <c r="U436" s="459"/>
      <c r="V436" s="582"/>
    </row>
    <row r="437" spans="1:22" ht="14.4" customHeight="1">
      <c r="A437" s="101" t="str">
        <f>IF(K437&gt;0,COUNT($A$8:A436)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37" s="682"/>
      <c r="C437" s="683"/>
      <c r="D437" s="274" t="str">
        <f>_xlfn.XLOOKUP(E437,'All Products'!D:D,'All Products'!C:C,FALSE)</f>
        <v>1-A1-1-3-0</v>
      </c>
      <c r="E437" s="103">
        <v>100023790</v>
      </c>
      <c r="F437" s="144" t="str">
        <f>_xlfn.XLOOKUP(E437,'All Products'!D:D,'All Products'!E:E,FALSE)</f>
        <v>1 SOC X 1 SOC STD KIT SJ</v>
      </c>
      <c r="G437" s="103">
        <f>_xlfn.XLOOKUP(E437,'All Products'!D:D,'All Products'!F:F,FALSE)</f>
        <v>10</v>
      </c>
      <c r="H437" s="103">
        <f>_xlfn.XLOOKUP(E437,'All Products'!D:D,'All Products'!G:G,FALSE)</f>
        <v>1200</v>
      </c>
      <c r="I437" s="140">
        <f>_xlfn.XLOOKUP(E437,'All Products'!D:D,'All Products'!H:H,FALSE)</f>
        <v>79.58</v>
      </c>
      <c r="J437" s="173">
        <f>ROUNDUP(I437*Order_Quote!$L$26,2)</f>
        <v>79.58</v>
      </c>
      <c r="K437" s="75"/>
      <c r="L437" s="113"/>
      <c r="M437" s="171">
        <f t="shared" ref="M437:M450" si="11">K437/G437</f>
        <v>0</v>
      </c>
      <c r="O437" s="215" t="str">
        <f>_xlfn.XLOOKUP(E437,'All Products'!D:D,'All Products'!I:I,FALSE)</f>
        <v>Within 3 Weeks</v>
      </c>
      <c r="P437" s="215" t="str">
        <f>_xlfn.XLOOKUP(E437,'All Products'!D:D,'All Products'!J:J,FALSE)</f>
        <v>Manufactured</v>
      </c>
      <c r="Q437" s="266">
        <f>_xlfn.XLOOKUP(E437,'All Products'!D:D,'All Products'!K:K,FALSE)</f>
        <v>49081023201</v>
      </c>
      <c r="R437" s="266" t="str">
        <f>_xlfn.XLOOKUP(E437,'All Products'!D:D,'All Products'!L:L,FALSE)</f>
        <v>-</v>
      </c>
      <c r="S437" s="266">
        <f>_xlfn.XLOOKUP(E437,'All Products'!D:D,'All Products'!M:M,FALSE)</f>
        <v>40049081023209</v>
      </c>
      <c r="T437" s="264">
        <f>_xlfn.XLOOKUP(E437,'All Products'!D:D,'All Products'!N:N,FALSE)</f>
        <v>1.085</v>
      </c>
      <c r="U437" s="264">
        <f>_xlfn.XLOOKUP(E437,'All Products'!D:D,'All Products'!P:P,FALSE)</f>
        <v>10.85</v>
      </c>
      <c r="V437" s="265">
        <f>_xlfn.XLOOKUP(E437,'All Products'!D:D,'All Products'!Q:Q,FALSE)</f>
        <v>0.65</v>
      </c>
    </row>
    <row r="438" spans="1:22" ht="14.4" customHeight="1">
      <c r="A438" s="101" t="str">
        <f>IF(K438&gt;0,COUNT($A$8:A437)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38" s="610"/>
      <c r="C438" s="611"/>
      <c r="D438" s="274" t="str">
        <f>_xlfn.XLOOKUP(E438,'All Products'!D:D,'All Products'!C:C,FALSE)</f>
        <v>1-A2-3-3-0</v>
      </c>
      <c r="E438" s="153">
        <v>100024916</v>
      </c>
      <c r="F438" s="144" t="str">
        <f>_xlfn.XLOOKUP(E438,'All Products'!D:D,'All Products'!E:E,FALSE)</f>
        <v>1 SPG X 1 MPT STD KIT SJ</v>
      </c>
      <c r="G438" s="103">
        <f>_xlfn.XLOOKUP(E438,'All Products'!D:D,'All Products'!F:F,FALSE)</f>
        <v>10</v>
      </c>
      <c r="H438" s="103">
        <f>_xlfn.XLOOKUP(E438,'All Products'!D:D,'All Products'!G:G,FALSE)</f>
        <v>1200</v>
      </c>
      <c r="I438" s="140">
        <f>_xlfn.XLOOKUP(E438,'All Products'!D:D,'All Products'!H:H,FALSE)</f>
        <v>79.58</v>
      </c>
      <c r="J438" s="255">
        <f>ROUNDUP(I438*Order_Quote!$L$26,2)</f>
        <v>79.58</v>
      </c>
      <c r="K438" s="161"/>
      <c r="L438" s="113"/>
      <c r="M438" s="243">
        <f t="shared" si="11"/>
        <v>0</v>
      </c>
      <c r="O438" s="215" t="str">
        <f>_xlfn.XLOOKUP(E438,'All Products'!D:D,'All Products'!I:I,FALSE)</f>
        <v>Within 3 Weeks</v>
      </c>
      <c r="P438" s="215" t="str">
        <f>_xlfn.XLOOKUP(E438,'All Products'!D:D,'All Products'!J:J,FALSE)</f>
        <v>Manufactured</v>
      </c>
      <c r="Q438" s="266">
        <f>_xlfn.XLOOKUP(E438,'All Products'!D:D,'All Products'!K:K,FALSE)</f>
        <v>49081020866</v>
      </c>
      <c r="R438" s="266" t="str">
        <f>_xlfn.XLOOKUP(E438,'All Products'!D:D,'All Products'!L:L,FALSE)</f>
        <v>-</v>
      </c>
      <c r="S438" s="266">
        <f>_xlfn.XLOOKUP(E438,'All Products'!D:D,'All Products'!M:M,FALSE)</f>
        <v>40049081020864</v>
      </c>
      <c r="T438" s="264">
        <f>_xlfn.XLOOKUP(E438,'All Products'!D:D,'All Products'!N:N,FALSE)</f>
        <v>0.91300000000000003</v>
      </c>
      <c r="U438" s="264">
        <f>_xlfn.XLOOKUP(E438,'All Products'!D:D,'All Products'!P:P,FALSE)</f>
        <v>10.55</v>
      </c>
      <c r="V438" s="265">
        <f>_xlfn.XLOOKUP(E438,'All Products'!D:D,'All Products'!Q:Q,FALSE)</f>
        <v>0.65</v>
      </c>
    </row>
    <row r="439" spans="1:22" ht="14.4" customHeight="1">
      <c r="A439" s="101" t="str">
        <f>IF(K439&gt;0,COUNT($A$8:A438)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39" s="610"/>
      <c r="C439" s="611"/>
      <c r="D439" s="274" t="str">
        <f>_xlfn.XLOOKUP(E439,'All Products'!D:D,'All Products'!C:C,FALSE)</f>
        <v>1-A2-5-3-0</v>
      </c>
      <c r="E439" s="153">
        <v>100023956</v>
      </c>
      <c r="F439" s="144" t="str">
        <f>_xlfn.XLOOKUP(E439,'All Products'!D:D,'All Products'!E:E,FALSE)</f>
        <v>1 SPG X 1-1/2 MPT STD KIT SJ</v>
      </c>
      <c r="G439" s="103">
        <f>_xlfn.XLOOKUP(E439,'All Products'!D:D,'All Products'!F:F,FALSE)</f>
        <v>10</v>
      </c>
      <c r="H439" s="103">
        <f>_xlfn.XLOOKUP(E439,'All Products'!D:D,'All Products'!G:G,FALSE)</f>
        <v>1200</v>
      </c>
      <c r="I439" s="140">
        <f>_xlfn.XLOOKUP(E439,'All Products'!D:D,'All Products'!H:H,FALSE)</f>
        <v>79.58</v>
      </c>
      <c r="J439" s="255">
        <f>ROUNDUP(I439*Order_Quote!$L$26,2)</f>
        <v>79.58</v>
      </c>
      <c r="K439" s="161"/>
      <c r="L439" s="113"/>
      <c r="M439" s="243">
        <f t="shared" si="11"/>
        <v>0</v>
      </c>
      <c r="O439" s="215" t="str">
        <f>_xlfn.XLOOKUP(E439,'All Products'!D:D,'All Products'!I:I,FALSE)</f>
        <v>Within 3 Weeks</v>
      </c>
      <c r="P439" s="215" t="str">
        <f>_xlfn.XLOOKUP(E439,'All Products'!D:D,'All Products'!J:J,FALSE)</f>
        <v>Manufactured</v>
      </c>
      <c r="Q439" s="266">
        <f>_xlfn.XLOOKUP(E439,'All Products'!D:D,'All Products'!K:K,FALSE)</f>
        <v>49081024529</v>
      </c>
      <c r="R439" s="266" t="str">
        <f>_xlfn.XLOOKUP(E439,'All Products'!D:D,'All Products'!L:L,FALSE)</f>
        <v>-</v>
      </c>
      <c r="S439" s="266">
        <f>_xlfn.XLOOKUP(E439,'All Products'!D:D,'All Products'!M:M,FALSE)</f>
        <v>40049081024527</v>
      </c>
      <c r="T439" s="264">
        <f>_xlfn.XLOOKUP(E439,'All Products'!D:D,'All Products'!N:N,FALSE)</f>
        <v>1.1200000000000001</v>
      </c>
      <c r="U439" s="264">
        <f>_xlfn.XLOOKUP(E439,'All Products'!D:D,'All Products'!P:P,FALSE)</f>
        <v>11.2</v>
      </c>
      <c r="V439" s="265">
        <f>_xlfn.XLOOKUP(E439,'All Products'!D:D,'All Products'!Q:Q,FALSE)</f>
        <v>0.65</v>
      </c>
    </row>
    <row r="440" spans="1:22" ht="14.4" customHeight="1">
      <c r="A440" s="101" t="str">
        <f>IF(K440&gt;0,COUNT($A$8:A439)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40" s="610"/>
      <c r="C440" s="611"/>
      <c r="D440" s="274" t="str">
        <f>_xlfn.XLOOKUP(E440,'All Products'!D:D,'All Products'!C:C,FALSE)</f>
        <v>1-A5-2-3-0</v>
      </c>
      <c r="E440" s="153">
        <v>100024000</v>
      </c>
      <c r="F440" s="144" t="str">
        <f>_xlfn.XLOOKUP(E440,'All Products'!D:D,'All Products'!E:E,FALSE)</f>
        <v>1 MPT X 1 FPT STD KIT SJ</v>
      </c>
      <c r="G440" s="103">
        <f>_xlfn.XLOOKUP(E440,'All Products'!D:D,'All Products'!F:F,FALSE)</f>
        <v>10</v>
      </c>
      <c r="H440" s="103">
        <f>_xlfn.XLOOKUP(E440,'All Products'!D:D,'All Products'!G:G,FALSE)</f>
        <v>1200</v>
      </c>
      <c r="I440" s="140">
        <f>_xlfn.XLOOKUP(E440,'All Products'!D:D,'All Products'!H:H,FALSE)</f>
        <v>79.58</v>
      </c>
      <c r="J440" s="255">
        <f>ROUNDUP(I440*Order_Quote!$L$26,2)</f>
        <v>79.58</v>
      </c>
      <c r="K440" s="161"/>
      <c r="L440" s="113"/>
      <c r="M440" s="243">
        <f t="shared" si="11"/>
        <v>0</v>
      </c>
      <c r="O440" s="215" t="str">
        <f>_xlfn.XLOOKUP(E440,'All Products'!D:D,'All Products'!I:I,FALSE)</f>
        <v>Within 3 Weeks</v>
      </c>
      <c r="P440" s="215" t="str">
        <f>_xlfn.XLOOKUP(E440,'All Products'!D:D,'All Products'!J:J,FALSE)</f>
        <v>Manufactured</v>
      </c>
      <c r="Q440" s="266">
        <f>_xlfn.XLOOKUP(E440,'All Products'!D:D,'All Products'!K:K,FALSE)</f>
        <v>49081024901</v>
      </c>
      <c r="R440" s="266" t="str">
        <f>_xlfn.XLOOKUP(E440,'All Products'!D:D,'All Products'!L:L,FALSE)</f>
        <v>-</v>
      </c>
      <c r="S440" s="266">
        <f>_xlfn.XLOOKUP(E440,'All Products'!D:D,'All Products'!M:M,FALSE)</f>
        <v>40049081024909</v>
      </c>
      <c r="T440" s="264">
        <f>_xlfn.XLOOKUP(E440,'All Products'!D:D,'All Products'!N:N,FALSE)</f>
        <v>1.08</v>
      </c>
      <c r="U440" s="264">
        <f>_xlfn.XLOOKUP(E440,'All Products'!D:D,'All Products'!P:P,FALSE)</f>
        <v>10.8</v>
      </c>
      <c r="V440" s="265">
        <f>_xlfn.XLOOKUP(E440,'All Products'!D:D,'All Products'!Q:Q,FALSE)</f>
        <v>0.65</v>
      </c>
    </row>
    <row r="441" spans="1:22" ht="14.4" customHeight="1">
      <c r="A441" s="101" t="str">
        <f>IF(K441&gt;0,COUNT($A$8:A440)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41" s="610"/>
      <c r="C441" s="611"/>
      <c r="D441" s="274" t="str">
        <f>_xlfn.XLOOKUP(E441,'All Products'!D:D,'All Products'!C:C,FALSE)</f>
        <v>1-A5-3-3-0</v>
      </c>
      <c r="E441" s="153">
        <v>100024002</v>
      </c>
      <c r="F441" s="144" t="str">
        <f>_xlfn.XLOOKUP(E441,'All Products'!D:D,'All Products'!E:E,FALSE)</f>
        <v>1 MPT X 1 MPT STD KIT SJ</v>
      </c>
      <c r="G441" s="103">
        <f>_xlfn.XLOOKUP(E441,'All Products'!D:D,'All Products'!F:F,FALSE)</f>
        <v>10</v>
      </c>
      <c r="H441" s="103">
        <f>_xlfn.XLOOKUP(E441,'All Products'!D:D,'All Products'!G:G,FALSE)</f>
        <v>1200</v>
      </c>
      <c r="I441" s="140">
        <f>_xlfn.XLOOKUP(E441,'All Products'!D:D,'All Products'!H:H,FALSE)</f>
        <v>79.58</v>
      </c>
      <c r="J441" s="255">
        <f>ROUNDUP(I441*Order_Quote!$L$26,2)</f>
        <v>79.58</v>
      </c>
      <c r="K441" s="161"/>
      <c r="L441" s="113"/>
      <c r="M441" s="243">
        <f t="shared" si="11"/>
        <v>0</v>
      </c>
      <c r="O441" s="215" t="str">
        <f>_xlfn.XLOOKUP(E441,'All Products'!D:D,'All Products'!I:I,FALSE)</f>
        <v>Within 3 Weeks</v>
      </c>
      <c r="P441" s="215" t="str">
        <f>_xlfn.XLOOKUP(E441,'All Products'!D:D,'All Products'!J:J,FALSE)</f>
        <v>Manufactured</v>
      </c>
      <c r="Q441" s="266">
        <f>_xlfn.XLOOKUP(E441,'All Products'!D:D,'All Products'!K:K,FALSE)</f>
        <v>49081020934</v>
      </c>
      <c r="R441" s="266" t="str">
        <f>_xlfn.XLOOKUP(E441,'All Products'!D:D,'All Products'!L:L,FALSE)</f>
        <v>-</v>
      </c>
      <c r="S441" s="266">
        <f>_xlfn.XLOOKUP(E441,'All Products'!D:D,'All Products'!M:M,FALSE)</f>
        <v>40049081020932</v>
      </c>
      <c r="T441" s="264">
        <f>_xlfn.XLOOKUP(E441,'All Products'!D:D,'All Products'!N:N,FALSE)</f>
        <v>0.91300000000000003</v>
      </c>
      <c r="U441" s="264">
        <f>_xlfn.XLOOKUP(E441,'All Products'!D:D,'All Products'!P:P,FALSE)</f>
        <v>10.6</v>
      </c>
      <c r="V441" s="265">
        <f>_xlfn.XLOOKUP(E441,'All Products'!D:D,'All Products'!Q:Q,FALSE)</f>
        <v>0.65</v>
      </c>
    </row>
    <row r="442" spans="1:22" ht="14.4" customHeight="1">
      <c r="A442" s="101" t="str">
        <f>IF(K442&gt;0,COUNT($A$8:A441)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42" s="610"/>
      <c r="C442" s="611"/>
      <c r="D442" s="274" t="str">
        <f>_xlfn.XLOOKUP(E442,'All Products'!D:D,'All Products'!C:C,FALSE)</f>
        <v>2-A1-1-3-0</v>
      </c>
      <c r="E442" s="153">
        <v>100024119</v>
      </c>
      <c r="F442" s="144" t="str">
        <f>_xlfn.XLOOKUP(E442,'All Products'!D:D,'All Products'!E:E,FALSE)</f>
        <v>1-1/4 SOC X 1-1/4 SOC STD KIT SJ</v>
      </c>
      <c r="G442" s="103">
        <f>_xlfn.XLOOKUP(E442,'All Products'!D:D,'All Products'!F:F,FALSE)</f>
        <v>10</v>
      </c>
      <c r="H442" s="103">
        <f>_xlfn.XLOOKUP(E442,'All Products'!D:D,'All Products'!G:G,FALSE)</f>
        <v>750</v>
      </c>
      <c r="I442" s="140">
        <f>_xlfn.XLOOKUP(E442,'All Products'!D:D,'All Products'!H:H,FALSE)</f>
        <v>105.38</v>
      </c>
      <c r="J442" s="255">
        <f>ROUNDUP(I442*Order_Quote!$L$26,2)</f>
        <v>105.38</v>
      </c>
      <c r="K442" s="161"/>
      <c r="L442" s="113"/>
      <c r="M442" s="243">
        <f t="shared" si="11"/>
        <v>0</v>
      </c>
      <c r="O442" s="215" t="str">
        <f>_xlfn.XLOOKUP(E442,'All Products'!D:D,'All Products'!I:I,FALSE)</f>
        <v>Within 3 Weeks</v>
      </c>
      <c r="P442" s="215" t="str">
        <f>_xlfn.XLOOKUP(E442,'All Products'!D:D,'All Products'!J:J,FALSE)</f>
        <v>Manufactured</v>
      </c>
      <c r="Q442" s="266">
        <f>_xlfn.XLOOKUP(E442,'All Products'!D:D,'All Products'!K:K,FALSE)</f>
        <v>49081025762</v>
      </c>
      <c r="R442" s="266" t="str">
        <f>_xlfn.XLOOKUP(E442,'All Products'!D:D,'All Products'!L:L,FALSE)</f>
        <v>-</v>
      </c>
      <c r="S442" s="266">
        <f>_xlfn.XLOOKUP(E442,'All Products'!D:D,'All Products'!M:M,FALSE)</f>
        <v>40049081025760</v>
      </c>
      <c r="T442" s="264">
        <f>_xlfn.XLOOKUP(E442,'All Products'!D:D,'All Products'!N:N,FALSE)</f>
        <v>1.1739999999999999</v>
      </c>
      <c r="U442" s="264">
        <f>_xlfn.XLOOKUP(E442,'All Products'!D:D,'All Products'!P:P,FALSE)</f>
        <v>16.3</v>
      </c>
      <c r="V442" s="265">
        <f>_xlfn.XLOOKUP(E442,'All Products'!D:D,'All Products'!Q:Q,FALSE)</f>
        <v>1.1000000000000001</v>
      </c>
    </row>
    <row r="443" spans="1:22" ht="14.4" customHeight="1">
      <c r="A443" s="101" t="str">
        <f>IF(K443&gt;0,COUNT($A$8:A442)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43" s="610"/>
      <c r="C443" s="611"/>
      <c r="D443" s="274" t="str">
        <f>_xlfn.XLOOKUP(E443,'All Products'!D:D,'All Products'!C:C,FALSE)</f>
        <v>2-A1-3-3-0</v>
      </c>
      <c r="E443" s="153">
        <v>100024148</v>
      </c>
      <c r="F443" s="144" t="str">
        <f>_xlfn.XLOOKUP(E443,'All Products'!D:D,'All Products'!E:E,FALSE)</f>
        <v>1-1/4 SOC X 1-1/4 MPT STD KIT SJ</v>
      </c>
      <c r="G443" s="103">
        <f>_xlfn.XLOOKUP(E443,'All Products'!D:D,'All Products'!F:F,FALSE)</f>
        <v>10</v>
      </c>
      <c r="H443" s="103">
        <f>_xlfn.XLOOKUP(E443,'All Products'!D:D,'All Products'!G:G,FALSE)</f>
        <v>750</v>
      </c>
      <c r="I443" s="140">
        <f>_xlfn.XLOOKUP(E443,'All Products'!D:D,'All Products'!H:H,FALSE)</f>
        <v>105.38</v>
      </c>
      <c r="J443" s="255">
        <f>ROUNDUP(I443*Order_Quote!$L$26,2)</f>
        <v>105.38</v>
      </c>
      <c r="K443" s="161"/>
      <c r="L443" s="113"/>
      <c r="M443" s="243">
        <f t="shared" si="11"/>
        <v>0</v>
      </c>
      <c r="O443" s="215" t="str">
        <f>_xlfn.XLOOKUP(E443,'All Products'!D:D,'All Products'!I:I,FALSE)</f>
        <v>Within 3 Weeks</v>
      </c>
      <c r="P443" s="215" t="str">
        <f>_xlfn.XLOOKUP(E443,'All Products'!D:D,'All Products'!J:J,FALSE)</f>
        <v>Manufactured</v>
      </c>
      <c r="Q443" s="266">
        <f>_xlfn.XLOOKUP(E443,'All Products'!D:D,'All Products'!K:K,FALSE)</f>
        <v>49081026035</v>
      </c>
      <c r="R443" s="266" t="str">
        <f>_xlfn.XLOOKUP(E443,'All Products'!D:D,'All Products'!L:L,FALSE)</f>
        <v>-</v>
      </c>
      <c r="S443" s="266">
        <f>_xlfn.XLOOKUP(E443,'All Products'!D:D,'All Products'!M:M,FALSE)</f>
        <v>40049081026033</v>
      </c>
      <c r="T443" s="264">
        <f>_xlfn.XLOOKUP(E443,'All Products'!D:D,'All Products'!N:N,FALSE)</f>
        <v>1.147</v>
      </c>
      <c r="U443" s="264">
        <f>_xlfn.XLOOKUP(E443,'All Products'!D:D,'All Products'!P:P,FALSE)</f>
        <v>14.42</v>
      </c>
      <c r="V443" s="265">
        <f>_xlfn.XLOOKUP(E443,'All Products'!D:D,'All Products'!Q:Q,FALSE)</f>
        <v>0.95</v>
      </c>
    </row>
    <row r="444" spans="1:22" ht="14.4" customHeight="1">
      <c r="A444" s="101" t="str">
        <f>IF(K444&gt;0,COUNT($A$8:A443)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44" s="610"/>
      <c r="C444" s="611"/>
      <c r="D444" s="274" t="str">
        <f>_xlfn.XLOOKUP(E444,'All Products'!D:D,'All Products'!C:C,FALSE)</f>
        <v>2-A5-6-3-0</v>
      </c>
      <c r="E444" s="153">
        <v>100024284</v>
      </c>
      <c r="F444" s="144" t="str">
        <f>_xlfn.XLOOKUP(E444,'All Products'!D:D,'All Products'!E:E,FALSE)</f>
        <v>1-1/4 MPT X 1-1/2 MPT STD KIT SJ</v>
      </c>
      <c r="G444" s="103">
        <f>_xlfn.XLOOKUP(E444,'All Products'!D:D,'All Products'!F:F,FALSE)</f>
        <v>10</v>
      </c>
      <c r="H444" s="103">
        <f>_xlfn.XLOOKUP(E444,'All Products'!D:D,'All Products'!G:G,FALSE)</f>
        <v>750</v>
      </c>
      <c r="I444" s="140">
        <f>_xlfn.XLOOKUP(E444,'All Products'!D:D,'All Products'!H:H,FALSE)</f>
        <v>105.38</v>
      </c>
      <c r="J444" s="255">
        <f>ROUNDUP(I444*Order_Quote!$L$26,2)</f>
        <v>105.38</v>
      </c>
      <c r="K444" s="161"/>
      <c r="L444" s="113"/>
      <c r="M444" s="243">
        <f t="shared" si="11"/>
        <v>0</v>
      </c>
      <c r="O444" s="215" t="str">
        <f>_xlfn.XLOOKUP(E444,'All Products'!D:D,'All Products'!I:I,FALSE)</f>
        <v>Within 3 Weeks</v>
      </c>
      <c r="P444" s="215" t="str">
        <f>_xlfn.XLOOKUP(E444,'All Products'!D:D,'All Products'!J:J,FALSE)</f>
        <v>Manufactured</v>
      </c>
      <c r="Q444" s="266">
        <f>_xlfn.XLOOKUP(E444,'All Products'!D:D,'All Products'!K:K,FALSE)</f>
        <v>49081022495</v>
      </c>
      <c r="R444" s="266" t="str">
        <f>_xlfn.XLOOKUP(E444,'All Products'!D:D,'All Products'!L:L,FALSE)</f>
        <v>-</v>
      </c>
      <c r="S444" s="266">
        <f>_xlfn.XLOOKUP(E444,'All Products'!D:D,'All Products'!M:M,FALSE)</f>
        <v>40049081022493</v>
      </c>
      <c r="T444" s="264">
        <f>_xlfn.XLOOKUP(E444,'All Products'!D:D,'All Products'!N:N,FALSE)</f>
        <v>1.204</v>
      </c>
      <c r="U444" s="264">
        <f>_xlfn.XLOOKUP(E444,'All Products'!D:D,'All Products'!P:P,FALSE)</f>
        <v>18.5</v>
      </c>
      <c r="V444" s="265">
        <f>_xlfn.XLOOKUP(E444,'All Products'!D:D,'All Products'!Q:Q,FALSE)</f>
        <v>1.1000000000000001</v>
      </c>
    </row>
    <row r="445" spans="1:22" ht="14.4" customHeight="1">
      <c r="A445" s="101" t="str">
        <f>IF(K445&gt;0,COUNT($A$8:A444)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45" s="610"/>
      <c r="C445" s="611"/>
      <c r="D445" s="274" t="str">
        <f>_xlfn.XLOOKUP(E445,'All Products'!D:D,'All Products'!C:C,FALSE)</f>
        <v>3-A1-1-3-0</v>
      </c>
      <c r="E445" s="153">
        <v>100024349</v>
      </c>
      <c r="F445" s="144" t="str">
        <f>_xlfn.XLOOKUP(E445,'All Products'!D:D,'All Products'!E:E,FALSE)</f>
        <v>1-1/2 SOC X 1-1/2 SOC STD KIT SJ</v>
      </c>
      <c r="G445" s="103">
        <f>_xlfn.XLOOKUP(E445,'All Products'!D:D,'All Products'!F:F,FALSE)</f>
        <v>20</v>
      </c>
      <c r="H445" s="103" t="str">
        <f>_xlfn.XLOOKUP(E445,'All Products'!D:D,'All Products'!G:G,FALSE)</f>
        <v>-</v>
      </c>
      <c r="I445" s="140">
        <f>_xlfn.XLOOKUP(E445,'All Products'!D:D,'All Products'!H:H,FALSE)</f>
        <v>131.11000000000001</v>
      </c>
      <c r="J445" s="255">
        <f>ROUNDUP(I445*Order_Quote!$L$26,2)</f>
        <v>131.11000000000001</v>
      </c>
      <c r="K445" s="161"/>
      <c r="L445" s="113"/>
      <c r="M445" s="243">
        <f t="shared" si="11"/>
        <v>0</v>
      </c>
      <c r="O445" s="215" t="str">
        <f>_xlfn.XLOOKUP(E445,'All Products'!D:D,'All Products'!I:I,FALSE)</f>
        <v>Within 3 Weeks</v>
      </c>
      <c r="P445" s="215" t="str">
        <f>_xlfn.XLOOKUP(E445,'All Products'!D:D,'All Products'!J:J,FALSE)</f>
        <v>Manufactured</v>
      </c>
      <c r="Q445" s="266">
        <f>_xlfn.XLOOKUP(E445,'All Products'!D:D,'All Products'!K:K,FALSE)</f>
        <v>49081027469</v>
      </c>
      <c r="R445" s="266" t="str">
        <f>_xlfn.XLOOKUP(E445,'All Products'!D:D,'All Products'!L:L,FALSE)</f>
        <v>-</v>
      </c>
      <c r="S445" s="266">
        <f>_xlfn.XLOOKUP(E445,'All Products'!D:D,'All Products'!M:M,FALSE)</f>
        <v>40049081027467</v>
      </c>
      <c r="T445" s="264">
        <f>_xlfn.XLOOKUP(E445,'All Products'!D:D,'All Products'!N:N,FALSE)</f>
        <v>1.903</v>
      </c>
      <c r="U445" s="264">
        <f>_xlfn.XLOOKUP(E445,'All Products'!D:D,'All Products'!P:P,FALSE)</f>
        <v>40</v>
      </c>
      <c r="V445" s="265" t="str">
        <f>_xlfn.XLOOKUP(E445,'All Products'!D:D,'All Products'!Q:Q,FALSE)</f>
        <v>-</v>
      </c>
    </row>
    <row r="446" spans="1:22" ht="14.4" customHeight="1">
      <c r="A446" s="101" t="str">
        <f>IF(K446&gt;0,COUNT($A$8:A445)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46" s="610"/>
      <c r="C446" s="611"/>
      <c r="D446" s="274" t="str">
        <f>_xlfn.XLOOKUP(E446,'All Products'!D:D,'All Products'!C:C,FALSE)</f>
        <v>3-A1-2-3-0</v>
      </c>
      <c r="E446" s="153">
        <v>100024388</v>
      </c>
      <c r="F446" s="144" t="str">
        <f>_xlfn.XLOOKUP(E446,'All Products'!D:D,'All Products'!E:E,FALSE)</f>
        <v>1-1/2 SOC X 1-1/2 FPT STD KIT SJ</v>
      </c>
      <c r="G446" s="103">
        <f>_xlfn.XLOOKUP(E446,'All Products'!D:D,'All Products'!F:F,FALSE)</f>
        <v>10</v>
      </c>
      <c r="H446" s="103">
        <f>_xlfn.XLOOKUP(E446,'All Products'!D:D,'All Products'!G:G,FALSE)</f>
        <v>750</v>
      </c>
      <c r="I446" s="140">
        <f>_xlfn.XLOOKUP(E446,'All Products'!D:D,'All Products'!H:H,FALSE)</f>
        <v>131.11000000000001</v>
      </c>
      <c r="J446" s="255">
        <f>ROUNDUP(I446*Order_Quote!$L$26,2)</f>
        <v>131.11000000000001</v>
      </c>
      <c r="K446" s="161"/>
      <c r="L446" s="113"/>
      <c r="M446" s="243">
        <f t="shared" si="11"/>
        <v>0</v>
      </c>
      <c r="O446" s="215" t="str">
        <f>_xlfn.XLOOKUP(E446,'All Products'!D:D,'All Products'!I:I,FALSE)</f>
        <v>Within 3 Weeks</v>
      </c>
      <c r="P446" s="215" t="str">
        <f>_xlfn.XLOOKUP(E446,'All Products'!D:D,'All Products'!J:J,FALSE)</f>
        <v>Manufactured</v>
      </c>
      <c r="Q446" s="266">
        <f>_xlfn.XLOOKUP(E446,'All Products'!D:D,'All Products'!K:K,FALSE)</f>
        <v>49081030315</v>
      </c>
      <c r="R446" s="266" t="str">
        <f>_xlfn.XLOOKUP(E446,'All Products'!D:D,'All Products'!L:L,FALSE)</f>
        <v>-</v>
      </c>
      <c r="S446" s="266">
        <f>_xlfn.XLOOKUP(E446,'All Products'!D:D,'All Products'!M:M,FALSE)</f>
        <v>40049081030313</v>
      </c>
      <c r="T446" s="264">
        <f>_xlfn.XLOOKUP(E446,'All Products'!D:D,'All Products'!N:N,FALSE)</f>
        <v>1.9279999999999999</v>
      </c>
      <c r="U446" s="264">
        <f>_xlfn.XLOOKUP(E446,'All Products'!D:D,'All Products'!P:P,FALSE)</f>
        <v>20.350000000000001</v>
      </c>
      <c r="V446" s="265">
        <f>_xlfn.XLOOKUP(E446,'All Products'!D:D,'All Products'!Q:Q,FALSE)</f>
        <v>1.1000000000000001</v>
      </c>
    </row>
    <row r="447" spans="1:22" ht="14.4" customHeight="1">
      <c r="A447" s="101" t="str">
        <f>IF(K447&gt;0,COUNT($A$8:A446)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47" s="610"/>
      <c r="C447" s="611"/>
      <c r="D447" s="274" t="str">
        <f>_xlfn.XLOOKUP(E447,'All Products'!D:D,'All Products'!C:C,FALSE)</f>
        <v>3-A1-3-3-0</v>
      </c>
      <c r="E447" s="153">
        <v>100024399</v>
      </c>
      <c r="F447" s="144" t="str">
        <f>_xlfn.XLOOKUP(E447,'All Products'!D:D,'All Products'!E:E,FALSE)</f>
        <v>1-1/2 SOC X 1-1/2 MPT STD KIT SJ</v>
      </c>
      <c r="G447" s="103">
        <f>_xlfn.XLOOKUP(E447,'All Products'!D:D,'All Products'!F:F,FALSE)</f>
        <v>20</v>
      </c>
      <c r="H447" s="103" t="str">
        <f>_xlfn.XLOOKUP(E447,'All Products'!D:D,'All Products'!G:G,FALSE)</f>
        <v>-</v>
      </c>
      <c r="I447" s="140">
        <f>_xlfn.XLOOKUP(E447,'All Products'!D:D,'All Products'!H:H,FALSE)</f>
        <v>131.11000000000001</v>
      </c>
      <c r="J447" s="255">
        <f>ROUNDUP(I447*Order_Quote!$L$26,2)</f>
        <v>131.11000000000001</v>
      </c>
      <c r="K447" s="161"/>
      <c r="L447" s="113"/>
      <c r="M447" s="243">
        <f t="shared" si="11"/>
        <v>0</v>
      </c>
      <c r="O447" s="215" t="str">
        <f>_xlfn.XLOOKUP(E447,'All Products'!D:D,'All Products'!I:I,FALSE)</f>
        <v>Within 3 Weeks</v>
      </c>
      <c r="P447" s="215" t="str">
        <f>_xlfn.XLOOKUP(E447,'All Products'!D:D,'All Products'!J:J,FALSE)</f>
        <v>Manufactured</v>
      </c>
      <c r="Q447" s="266">
        <f>_xlfn.XLOOKUP(E447,'All Products'!D:D,'All Products'!K:K,FALSE)</f>
        <v>49081022754</v>
      </c>
      <c r="R447" s="266" t="str">
        <f>_xlfn.XLOOKUP(E447,'All Products'!D:D,'All Products'!L:L,FALSE)</f>
        <v>-</v>
      </c>
      <c r="S447" s="266">
        <f>_xlfn.XLOOKUP(E447,'All Products'!D:D,'All Products'!M:M,FALSE)</f>
        <v>40049081022752</v>
      </c>
      <c r="T447" s="264">
        <f>_xlfn.XLOOKUP(E447,'All Products'!D:D,'All Products'!N:N,FALSE)</f>
        <v>1.823</v>
      </c>
      <c r="U447" s="264">
        <f>_xlfn.XLOOKUP(E447,'All Products'!D:D,'All Products'!P:P,FALSE)</f>
        <v>39.5</v>
      </c>
      <c r="V447" s="265" t="str">
        <f>_xlfn.XLOOKUP(E447,'All Products'!D:D,'All Products'!Q:Q,FALSE)</f>
        <v>-</v>
      </c>
    </row>
    <row r="448" spans="1:22" ht="14.4" customHeight="1">
      <c r="A448" s="101" t="str">
        <f>IF(K448&gt;0,COUNT($A$8:A447)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48" s="610"/>
      <c r="C448" s="611"/>
      <c r="D448" s="274" t="str">
        <f>_xlfn.XLOOKUP(E448,'All Products'!D:D,'All Products'!C:C,FALSE)</f>
        <v>3-A2-3-3-0</v>
      </c>
      <c r="E448" s="153">
        <v>100024436</v>
      </c>
      <c r="F448" s="144" t="str">
        <f>_xlfn.XLOOKUP(E448,'All Products'!D:D,'All Products'!E:E,FALSE)</f>
        <v>1-1/2 SPG X 1-1/2 MPT STD KIT SJ</v>
      </c>
      <c r="G448" s="103">
        <f>_xlfn.XLOOKUP(E448,'All Products'!D:D,'All Products'!F:F,FALSE)</f>
        <v>10</v>
      </c>
      <c r="H448" s="103">
        <f>_xlfn.XLOOKUP(E448,'All Products'!D:D,'All Products'!G:G,FALSE)</f>
        <v>750</v>
      </c>
      <c r="I448" s="140">
        <f>_xlfn.XLOOKUP(E448,'All Products'!D:D,'All Products'!H:H,FALSE)</f>
        <v>131.11000000000001</v>
      </c>
      <c r="J448" s="255">
        <f>ROUNDUP(I448*Order_Quote!$L$26,2)</f>
        <v>131.11000000000001</v>
      </c>
      <c r="K448" s="161"/>
      <c r="L448" s="113"/>
      <c r="M448" s="243">
        <f t="shared" si="11"/>
        <v>0</v>
      </c>
      <c r="O448" s="215" t="str">
        <f>_xlfn.XLOOKUP(E448,'All Products'!D:D,'All Products'!I:I,FALSE)</f>
        <v>Within 3 Weeks</v>
      </c>
      <c r="P448" s="215" t="str">
        <f>_xlfn.XLOOKUP(E448,'All Products'!D:D,'All Products'!J:J,FALSE)</f>
        <v>Manufactured</v>
      </c>
      <c r="Q448" s="266">
        <f>_xlfn.XLOOKUP(E448,'All Products'!D:D,'All Products'!K:K,FALSE)</f>
        <v>49081022365</v>
      </c>
      <c r="R448" s="266" t="str">
        <f>_xlfn.XLOOKUP(E448,'All Products'!D:D,'All Products'!L:L,FALSE)</f>
        <v>-</v>
      </c>
      <c r="S448" s="266">
        <f>_xlfn.XLOOKUP(E448,'All Products'!D:D,'All Products'!M:M,FALSE)</f>
        <v>40049081022363</v>
      </c>
      <c r="T448" s="264">
        <f>_xlfn.XLOOKUP(E448,'All Products'!D:D,'All Products'!N:N,FALSE)</f>
        <v>1.8129999999999999</v>
      </c>
      <c r="U448" s="264">
        <f>_xlfn.XLOOKUP(E448,'All Products'!D:D,'All Products'!P:P,FALSE)</f>
        <v>19.260000000000002</v>
      </c>
      <c r="V448" s="265">
        <f>_xlfn.XLOOKUP(E448,'All Products'!D:D,'All Products'!Q:Q,FALSE)</f>
        <v>1.1000000000000001</v>
      </c>
    </row>
    <row r="449" spans="1:22" ht="14.4" customHeight="1">
      <c r="A449" s="101" t="str">
        <f>IF(K449&gt;0,COUNT($A$8:A448)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49" s="610"/>
      <c r="C449" s="611"/>
      <c r="D449" s="274" t="str">
        <f>_xlfn.XLOOKUP(E449,'All Products'!D:D,'All Products'!C:C,FALSE)</f>
        <v>3-A5-21-3-0</v>
      </c>
      <c r="E449" s="153">
        <v>100024522</v>
      </c>
      <c r="F449" s="144" t="str">
        <f>_xlfn.XLOOKUP(E449,'All Products'!D:D,'All Products'!E:E,FALSE)</f>
        <v>1-1/2 MPT X 1-1/2 ACME STD KIT SJ</v>
      </c>
      <c r="G449" s="103">
        <f>_xlfn.XLOOKUP(E449,'All Products'!D:D,'All Products'!F:F,FALSE)</f>
        <v>10</v>
      </c>
      <c r="H449" s="103">
        <f>_xlfn.XLOOKUP(E449,'All Products'!D:D,'All Products'!G:G,FALSE)</f>
        <v>750</v>
      </c>
      <c r="I449" s="140">
        <f>_xlfn.XLOOKUP(E449,'All Products'!D:D,'All Products'!H:H,FALSE)</f>
        <v>131.11000000000001</v>
      </c>
      <c r="J449" s="255">
        <f>ROUNDUP(I449*Order_Quote!$L$26,2)</f>
        <v>131.11000000000001</v>
      </c>
      <c r="K449" s="161"/>
      <c r="L449" s="113"/>
      <c r="M449" s="243">
        <f t="shared" si="11"/>
        <v>0</v>
      </c>
      <c r="O449" s="215" t="str">
        <f>_xlfn.XLOOKUP(E449,'All Products'!D:D,'All Products'!I:I,FALSE)</f>
        <v>Within 3 Weeks</v>
      </c>
      <c r="P449" s="215" t="str">
        <f>_xlfn.XLOOKUP(E449,'All Products'!D:D,'All Products'!J:J,FALSE)</f>
        <v>Manufactured</v>
      </c>
      <c r="Q449" s="266">
        <f>_xlfn.XLOOKUP(E449,'All Products'!D:D,'All Products'!K:K,FALSE)</f>
        <v>49081028916</v>
      </c>
      <c r="R449" s="266" t="str">
        <f>_xlfn.XLOOKUP(E449,'All Products'!D:D,'All Products'!L:L,FALSE)</f>
        <v>-</v>
      </c>
      <c r="S449" s="266">
        <f>_xlfn.XLOOKUP(E449,'All Products'!D:D,'All Products'!M:M,FALSE)</f>
        <v>40049081028914</v>
      </c>
      <c r="T449" s="264">
        <f>_xlfn.XLOOKUP(E449,'All Products'!D:D,'All Products'!N:N,FALSE)</f>
        <v>1.893</v>
      </c>
      <c r="U449" s="264">
        <f>_xlfn.XLOOKUP(E449,'All Products'!D:D,'All Products'!P:P,FALSE)</f>
        <v>19.61</v>
      </c>
      <c r="V449" s="265">
        <f>_xlfn.XLOOKUP(E449,'All Products'!D:D,'All Products'!Q:Q,FALSE)</f>
        <v>1.1000000000000001</v>
      </c>
    </row>
    <row r="450" spans="1:22" ht="14.4" customHeight="1" thickBot="1">
      <c r="A450" s="101" t="str">
        <f>IF(K450&gt;0,COUNT($A$8:A449)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50" s="715"/>
      <c r="C450" s="697"/>
      <c r="D450" s="274" t="str">
        <f>_xlfn.XLOOKUP(E450,'All Products'!D:D,'All Products'!C:C,FALSE)</f>
        <v>3-A5-3-3-0</v>
      </c>
      <c r="E450" s="153">
        <v>100024527</v>
      </c>
      <c r="F450" s="144" t="str">
        <f>_xlfn.XLOOKUP(E450,'All Products'!D:D,'All Products'!E:E,FALSE)</f>
        <v>1-1/2 MPT X 1-1/2 MPT STD KIT SJ</v>
      </c>
      <c r="G450" s="103">
        <f>_xlfn.XLOOKUP(E450,'All Products'!D:D,'All Products'!F:F,FALSE)</f>
        <v>20</v>
      </c>
      <c r="H450" s="103">
        <f>_xlfn.XLOOKUP(E450,'All Products'!D:D,'All Products'!G:G,FALSE)</f>
        <v>360</v>
      </c>
      <c r="I450" s="140">
        <f>_xlfn.XLOOKUP(E450,'All Products'!D:D,'All Products'!H:H,FALSE)</f>
        <v>131.11000000000001</v>
      </c>
      <c r="J450" s="255">
        <f>ROUNDUP(I450*Order_Quote!$L$26,2)</f>
        <v>131.11000000000001</v>
      </c>
      <c r="K450" s="161"/>
      <c r="L450" s="113"/>
      <c r="M450" s="243">
        <f t="shared" si="11"/>
        <v>0</v>
      </c>
      <c r="O450" s="567" t="str">
        <f>_xlfn.XLOOKUP(E450,'All Products'!D:D,'All Products'!I:I,FALSE)</f>
        <v>Within 3 Weeks</v>
      </c>
      <c r="P450" s="567" t="str">
        <f>_xlfn.XLOOKUP(E450,'All Products'!D:D,'All Products'!J:J,FALSE)</f>
        <v>Manufactured</v>
      </c>
      <c r="Q450" s="569">
        <f>_xlfn.XLOOKUP(E450,'All Products'!D:D,'All Products'!K:K,FALSE)</f>
        <v>49081028947</v>
      </c>
      <c r="R450" s="569" t="str">
        <f>_xlfn.XLOOKUP(E450,'All Products'!D:D,'All Products'!L:L,FALSE)</f>
        <v>-</v>
      </c>
      <c r="S450" s="569">
        <f>_xlfn.XLOOKUP(E450,'All Products'!D:D,'All Products'!M:M,FALSE)</f>
        <v>40049081028945</v>
      </c>
      <c r="T450" s="583">
        <f>_xlfn.XLOOKUP(E450,'All Products'!D:D,'All Products'!N:N,FALSE)</f>
        <v>1.8380000000000001</v>
      </c>
      <c r="U450" s="583">
        <f>_xlfn.XLOOKUP(E450,'All Products'!D:D,'All Products'!P:P,FALSE)</f>
        <v>38</v>
      </c>
      <c r="V450" s="570">
        <f>_xlfn.XLOOKUP(E450,'All Products'!D:D,'All Products'!Q:Q,FALSE)</f>
        <v>2.65</v>
      </c>
    </row>
    <row r="451" spans="1:22" ht="16.2" thickBot="1">
      <c r="A451" s="101" t="str">
        <f>IF(K451&gt;0,COUNT($A$8:A450)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51" s="446" t="s">
        <v>3294</v>
      </c>
      <c r="C451" s="151"/>
      <c r="D451" s="151"/>
      <c r="E451" s="459"/>
      <c r="F451" s="151"/>
      <c r="G451" s="468"/>
      <c r="H451" s="151"/>
      <c r="I451" s="472"/>
      <c r="J451" s="468"/>
      <c r="K451" s="566"/>
      <c r="M451" s="545"/>
      <c r="O451" s="357"/>
      <c r="P451" s="145"/>
      <c r="Q451" s="493"/>
      <c r="R451" s="493"/>
      <c r="S451" s="493"/>
      <c r="T451" s="479"/>
      <c r="U451" s="459"/>
      <c r="V451" s="582"/>
    </row>
    <row r="452" spans="1:22" ht="14.4" customHeight="1">
      <c r="A452" s="101" t="str">
        <f>IF(K452&gt;0,COUNT($A$8:A451)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52" s="682"/>
      <c r="C452" s="683"/>
      <c r="D452" s="274" t="str">
        <f>_xlfn.XLOOKUP(E452,'All Products'!D:D,'All Products'!C:C,FALSE)</f>
        <v>1-A1-13-5-12</v>
      </c>
      <c r="E452" s="103">
        <v>100024885</v>
      </c>
      <c r="F452" s="144" t="str">
        <f>_xlfn.XLOOKUP(E452,'All Products'!D:D,'All Products'!E:E,FALSE)</f>
        <v>2 SOC TEE X 1 ACME SU X 12 SJ</v>
      </c>
      <c r="G452" s="103">
        <f>_xlfn.XLOOKUP(E452,'All Products'!D:D,'All Products'!F:F,FALSE)</f>
        <v>10</v>
      </c>
      <c r="H452" s="103">
        <f>_xlfn.XLOOKUP(E452,'All Products'!D:D,'All Products'!G:G,FALSE)</f>
        <v>600</v>
      </c>
      <c r="I452" s="140">
        <f>_xlfn.XLOOKUP(E452,'All Products'!D:D,'All Products'!H:H,FALSE)</f>
        <v>136.44999999999999</v>
      </c>
      <c r="J452" s="173">
        <f>ROUNDUP(I452*Order_Quote!$L$26,2)</f>
        <v>136.44999999999999</v>
      </c>
      <c r="K452" s="75"/>
      <c r="L452" s="113"/>
      <c r="M452" s="171">
        <f t="shared" ref="M452:M470" si="12">K452/G452</f>
        <v>0</v>
      </c>
      <c r="O452" s="215" t="str">
        <f>_xlfn.XLOOKUP(E452,'All Products'!D:D,'All Products'!I:I,FALSE)</f>
        <v>Within 3 Weeks</v>
      </c>
      <c r="P452" s="215" t="str">
        <f>_xlfn.XLOOKUP(E452,'All Products'!D:D,'All Products'!J:J,FALSE)</f>
        <v>Manufactured</v>
      </c>
      <c r="Q452" s="266">
        <f>_xlfn.XLOOKUP(E452,'All Products'!D:D,'All Products'!K:K,FALSE)</f>
        <v>49081020101</v>
      </c>
      <c r="R452" s="266" t="str">
        <f>_xlfn.XLOOKUP(E452,'All Products'!D:D,'All Products'!L:L,FALSE)</f>
        <v>-</v>
      </c>
      <c r="S452" s="266">
        <f>_xlfn.XLOOKUP(E452,'All Products'!D:D,'All Products'!M:M,FALSE)</f>
        <v>40049081020109</v>
      </c>
      <c r="T452" s="264">
        <f>_xlfn.XLOOKUP(E452,'All Products'!D:D,'All Products'!N:N,FALSE)</f>
        <v>1.4219999999999999</v>
      </c>
      <c r="U452" s="264">
        <f>_xlfn.XLOOKUP(E452,'All Products'!D:D,'All Products'!P:P,FALSE)</f>
        <v>17.78</v>
      </c>
      <c r="V452" s="265">
        <f>_xlfn.XLOOKUP(E452,'All Products'!D:D,'All Products'!Q:Q,FALSE)</f>
        <v>1.41</v>
      </c>
    </row>
    <row r="453" spans="1:22" ht="14.4" customHeight="1">
      <c r="A453" s="101" t="str">
        <f>IF(K453&gt;0,COUNT($A$8:A452)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53" s="610"/>
      <c r="C453" s="611"/>
      <c r="D453" s="274" t="str">
        <f>_xlfn.XLOOKUP(E453,'All Products'!D:D,'All Products'!C:C,FALSE)</f>
        <v>1-A1-13-5-6</v>
      </c>
      <c r="E453" s="153">
        <v>100023804</v>
      </c>
      <c r="F453" s="144" t="str">
        <f>_xlfn.XLOOKUP(E453,'All Products'!D:D,'All Products'!E:E,FALSE)</f>
        <v>2 SOC TEE X 1 ACME SU X 6 LL SJ</v>
      </c>
      <c r="G453" s="103">
        <f>_xlfn.XLOOKUP(E453,'All Products'!D:D,'All Products'!F:F,FALSE)</f>
        <v>10</v>
      </c>
      <c r="H453" s="103">
        <f>_xlfn.XLOOKUP(E453,'All Products'!D:D,'All Products'!G:G,FALSE)</f>
        <v>750</v>
      </c>
      <c r="I453" s="140">
        <f>_xlfn.XLOOKUP(E453,'All Products'!D:D,'All Products'!H:H,FALSE)</f>
        <v>125.31</v>
      </c>
      <c r="J453" s="255">
        <f>ROUNDUP(I453*Order_Quote!$L$26,2)</f>
        <v>125.31</v>
      </c>
      <c r="K453" s="161"/>
      <c r="L453" s="113"/>
      <c r="M453" s="243">
        <f t="shared" si="12"/>
        <v>0</v>
      </c>
      <c r="O453" s="215" t="str">
        <f>_xlfn.XLOOKUP(E453,'All Products'!D:D,'All Products'!I:I,FALSE)</f>
        <v>Within 3 Weeks</v>
      </c>
      <c r="P453" s="215" t="str">
        <f>_xlfn.XLOOKUP(E453,'All Products'!D:D,'All Products'!J:J,FALSE)</f>
        <v>Manufactured</v>
      </c>
      <c r="Q453" s="266">
        <f>_xlfn.XLOOKUP(E453,'All Products'!D:D,'All Products'!K:K,FALSE)</f>
        <v>49081030896</v>
      </c>
      <c r="R453" s="266" t="str">
        <f>_xlfn.XLOOKUP(E453,'All Products'!D:D,'All Products'!L:L,FALSE)</f>
        <v>-</v>
      </c>
      <c r="S453" s="266">
        <f>_xlfn.XLOOKUP(E453,'All Products'!D:D,'All Products'!M:M,FALSE)</f>
        <v>40049081030894</v>
      </c>
      <c r="T453" s="264">
        <f>_xlfn.XLOOKUP(E453,'All Products'!D:D,'All Products'!N:N,FALSE)</f>
        <v>1.2050000000000001</v>
      </c>
      <c r="U453" s="264">
        <f>_xlfn.XLOOKUP(E453,'All Products'!D:D,'All Products'!P:P,FALSE)</f>
        <v>13.05</v>
      </c>
      <c r="V453" s="265">
        <f>_xlfn.XLOOKUP(E453,'All Products'!D:D,'All Products'!Q:Q,FALSE)</f>
        <v>1.1000000000000001</v>
      </c>
    </row>
    <row r="454" spans="1:22" ht="14.4" customHeight="1">
      <c r="A454" s="101" t="str">
        <f>IF(K454&gt;0,COUNT($A$8:A453)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54" s="610"/>
      <c r="C454" s="611"/>
      <c r="D454" s="274" t="str">
        <f>_xlfn.XLOOKUP(E454,'All Products'!D:D,'All Products'!C:C,FALSE)</f>
        <v>1-A1-1-5-12</v>
      </c>
      <c r="E454" s="153">
        <v>100023821</v>
      </c>
      <c r="F454" s="144" t="str">
        <f>_xlfn.XLOOKUP(E454,'All Products'!D:D,'All Products'!E:E,FALSE)</f>
        <v>2 SOC TEE X 1 SOC SU X 12 SJ</v>
      </c>
      <c r="G454" s="103">
        <f>_xlfn.XLOOKUP(E454,'All Products'!D:D,'All Products'!F:F,FALSE)</f>
        <v>10</v>
      </c>
      <c r="H454" s="103">
        <f>_xlfn.XLOOKUP(E454,'All Products'!D:D,'All Products'!G:G,FALSE)</f>
        <v>600</v>
      </c>
      <c r="I454" s="140">
        <f>_xlfn.XLOOKUP(E454,'All Products'!D:D,'All Products'!H:H,FALSE)</f>
        <v>136.44999999999999</v>
      </c>
      <c r="J454" s="255">
        <f>ROUNDUP(I454*Order_Quote!$L$26,2)</f>
        <v>136.44999999999999</v>
      </c>
      <c r="K454" s="161"/>
      <c r="L454" s="113"/>
      <c r="M454" s="243">
        <f t="shared" si="12"/>
        <v>0</v>
      </c>
      <c r="O454" s="215" t="str">
        <f>_xlfn.XLOOKUP(E454,'All Products'!D:D,'All Products'!I:I,FALSE)</f>
        <v>Within 3 Weeks</v>
      </c>
      <c r="P454" s="215" t="str">
        <f>_xlfn.XLOOKUP(E454,'All Products'!D:D,'All Products'!J:J,FALSE)</f>
        <v>Manufactured</v>
      </c>
      <c r="Q454" s="266">
        <f>_xlfn.XLOOKUP(E454,'All Products'!D:D,'All Products'!K:K,FALSE)</f>
        <v>49081023218</v>
      </c>
      <c r="R454" s="266" t="str">
        <f>_xlfn.XLOOKUP(E454,'All Products'!D:D,'All Products'!L:L,FALSE)</f>
        <v>-</v>
      </c>
      <c r="S454" s="266">
        <f>_xlfn.XLOOKUP(E454,'All Products'!D:D,'All Products'!M:M,FALSE)</f>
        <v>40049081023216</v>
      </c>
      <c r="T454" s="264">
        <f>_xlfn.XLOOKUP(E454,'All Products'!D:D,'All Products'!N:N,FALSE)</f>
        <v>1.4039999999999999</v>
      </c>
      <c r="U454" s="264">
        <f>_xlfn.XLOOKUP(E454,'All Products'!D:D,'All Products'!P:P,FALSE)</f>
        <v>15.08</v>
      </c>
      <c r="V454" s="265">
        <f>_xlfn.XLOOKUP(E454,'All Products'!D:D,'All Products'!Q:Q,FALSE)</f>
        <v>1.41</v>
      </c>
    </row>
    <row r="455" spans="1:22" ht="14.4" customHeight="1">
      <c r="A455" s="101" t="str">
        <f>IF(K455&gt;0,COUNT($A$8:A454)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55" s="610"/>
      <c r="C455" s="611"/>
      <c r="D455" s="274" t="str">
        <f>_xlfn.XLOOKUP(E455,'All Products'!D:D,'All Products'!C:C,FALSE)</f>
        <v>1-A1-3-5-10</v>
      </c>
      <c r="E455" s="153">
        <v>100023877</v>
      </c>
      <c r="F455" s="144" t="str">
        <f>_xlfn.XLOOKUP(E455,'All Products'!D:D,'All Products'!E:E,FALSE)</f>
        <v>2 SOC TEE X 1 MPT SU X 10 SJ</v>
      </c>
      <c r="G455" s="103">
        <f>_xlfn.XLOOKUP(E455,'All Products'!D:D,'All Products'!F:F,FALSE)</f>
        <v>10</v>
      </c>
      <c r="H455" s="103">
        <f>_xlfn.XLOOKUP(E455,'All Products'!D:D,'All Products'!G:G,FALSE)</f>
        <v>600</v>
      </c>
      <c r="I455" s="140">
        <f>_xlfn.XLOOKUP(E455,'All Products'!D:D,'All Products'!H:H,FALSE)</f>
        <v>136.44999999999999</v>
      </c>
      <c r="J455" s="255">
        <f>ROUNDUP(I455*Order_Quote!$L$26,2)</f>
        <v>136.44999999999999</v>
      </c>
      <c r="K455" s="161"/>
      <c r="L455" s="113"/>
      <c r="M455" s="243">
        <f t="shared" si="12"/>
        <v>0</v>
      </c>
      <c r="O455" s="215" t="str">
        <f>_xlfn.XLOOKUP(E455,'All Products'!D:D,'All Products'!I:I,FALSE)</f>
        <v>Within 3 Weeks</v>
      </c>
      <c r="P455" s="215" t="str">
        <f>_xlfn.XLOOKUP(E455,'All Products'!D:D,'All Products'!J:J,FALSE)</f>
        <v>Manufactured</v>
      </c>
      <c r="Q455" s="266">
        <f>_xlfn.XLOOKUP(E455,'All Products'!D:D,'All Products'!K:K,FALSE)</f>
        <v>49081023768</v>
      </c>
      <c r="R455" s="266" t="str">
        <f>_xlfn.XLOOKUP(E455,'All Products'!D:D,'All Products'!L:L,FALSE)</f>
        <v>-</v>
      </c>
      <c r="S455" s="266">
        <f>_xlfn.XLOOKUP(E455,'All Products'!D:D,'All Products'!M:M,FALSE)</f>
        <v>40049081023766</v>
      </c>
      <c r="T455" s="264">
        <f>_xlfn.XLOOKUP(E455,'All Products'!D:D,'All Products'!N:N,FALSE)</f>
        <v>1.3260000000000001</v>
      </c>
      <c r="U455" s="264">
        <f>_xlfn.XLOOKUP(E455,'All Products'!D:D,'All Products'!P:P,FALSE)</f>
        <v>14.88</v>
      </c>
      <c r="V455" s="265">
        <f>_xlfn.XLOOKUP(E455,'All Products'!D:D,'All Products'!Q:Q,FALSE)</f>
        <v>1.25</v>
      </c>
    </row>
    <row r="456" spans="1:22" ht="14.4" customHeight="1">
      <c r="A456" s="101" t="str">
        <f>IF(K456&gt;0,COUNT($A$8:A455)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56" s="610"/>
      <c r="C456" s="611"/>
      <c r="D456" s="274" t="str">
        <f>_xlfn.XLOOKUP(E456,'All Products'!D:D,'All Products'!C:C,FALSE)</f>
        <v>1-A1-3-5-12</v>
      </c>
      <c r="E456" s="153">
        <v>100023878</v>
      </c>
      <c r="F456" s="144" t="str">
        <f>_xlfn.XLOOKUP(E456,'All Products'!D:D,'All Products'!E:E,FALSE)</f>
        <v>2 SOC TEE X 1 MPT SU X 12 SJ</v>
      </c>
      <c r="G456" s="103">
        <f>_xlfn.XLOOKUP(E456,'All Products'!D:D,'All Products'!F:F,FALSE)</f>
        <v>10</v>
      </c>
      <c r="H456" s="103">
        <f>_xlfn.XLOOKUP(E456,'All Products'!D:D,'All Products'!G:G,FALSE)</f>
        <v>600</v>
      </c>
      <c r="I456" s="140">
        <f>_xlfn.XLOOKUP(E456,'All Products'!D:D,'All Products'!H:H,FALSE)</f>
        <v>136.44999999999999</v>
      </c>
      <c r="J456" s="255">
        <f>ROUNDUP(I456*Order_Quote!$L$26,2)</f>
        <v>136.44999999999999</v>
      </c>
      <c r="K456" s="161"/>
      <c r="L456" s="113"/>
      <c r="M456" s="243">
        <f t="shared" si="12"/>
        <v>0</v>
      </c>
      <c r="O456" s="215" t="str">
        <f>_xlfn.XLOOKUP(E456,'All Products'!D:D,'All Products'!I:I,FALSE)</f>
        <v>Within 3 Weeks</v>
      </c>
      <c r="P456" s="215" t="str">
        <f>_xlfn.XLOOKUP(E456,'All Products'!D:D,'All Products'!J:J,FALSE)</f>
        <v>Manufactured</v>
      </c>
      <c r="Q456" s="266">
        <f>_xlfn.XLOOKUP(E456,'All Products'!D:D,'All Products'!K:K,FALSE)</f>
        <v>49081022839</v>
      </c>
      <c r="R456" s="266" t="str">
        <f>_xlfn.XLOOKUP(E456,'All Products'!D:D,'All Products'!L:L,FALSE)</f>
        <v>-</v>
      </c>
      <c r="S456" s="266">
        <f>_xlfn.XLOOKUP(E456,'All Products'!D:D,'All Products'!M:M,FALSE)</f>
        <v>40049081022837</v>
      </c>
      <c r="T456" s="264">
        <f>_xlfn.XLOOKUP(E456,'All Products'!D:D,'All Products'!N:N,FALSE)</f>
        <v>1.4019999999999999</v>
      </c>
      <c r="U456" s="264">
        <f>_xlfn.XLOOKUP(E456,'All Products'!D:D,'All Products'!P:P,FALSE)</f>
        <v>14.78</v>
      </c>
      <c r="V456" s="265">
        <f>_xlfn.XLOOKUP(E456,'All Products'!D:D,'All Products'!Q:Q,FALSE)</f>
        <v>1.41</v>
      </c>
    </row>
    <row r="457" spans="1:22" ht="14.4" customHeight="1">
      <c r="A457" s="101" t="str">
        <f>IF(K457&gt;0,COUNT($A$8:A456)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57" s="610"/>
      <c r="C457" s="611"/>
      <c r="D457" s="274" t="str">
        <f>_xlfn.XLOOKUP(E457,'All Products'!D:D,'All Products'!C:C,FALSE)</f>
        <v>1-A1-3-5-14</v>
      </c>
      <c r="E457" s="153">
        <v>100023879</v>
      </c>
      <c r="F457" s="144" t="str">
        <f>_xlfn.XLOOKUP(E457,'All Products'!D:D,'All Products'!E:E,FALSE)</f>
        <v>2 SOC TEE X 1 MPT SU X 14 SJ</v>
      </c>
      <c r="G457" s="103">
        <f>_xlfn.XLOOKUP(E457,'All Products'!D:D,'All Products'!F:F,FALSE)</f>
        <v>10</v>
      </c>
      <c r="H457" s="103" t="str">
        <f>_xlfn.XLOOKUP(E457,'All Products'!D:D,'All Products'!G:G,FALSE)</f>
        <v>-</v>
      </c>
      <c r="I457" s="140">
        <f>_xlfn.XLOOKUP(E457,'All Products'!D:D,'All Products'!H:H,FALSE)</f>
        <v>150.72999999999999</v>
      </c>
      <c r="J457" s="255">
        <f>ROUNDUP(I457*Order_Quote!$L$26,2)</f>
        <v>150.72999999999999</v>
      </c>
      <c r="K457" s="161"/>
      <c r="L457" s="113"/>
      <c r="M457" s="243">
        <f t="shared" si="12"/>
        <v>0</v>
      </c>
      <c r="O457" s="215" t="str">
        <f>_xlfn.XLOOKUP(E457,'All Products'!D:D,'All Products'!I:I,FALSE)</f>
        <v>Within 3 Weeks</v>
      </c>
      <c r="P457" s="215" t="str">
        <f>_xlfn.XLOOKUP(E457,'All Products'!D:D,'All Products'!J:J,FALSE)</f>
        <v>Manufactured</v>
      </c>
      <c r="Q457" s="266">
        <f>_xlfn.XLOOKUP(E457,'All Products'!D:D,'All Products'!K:K,FALSE)</f>
        <v>49081023775</v>
      </c>
      <c r="R457" s="266" t="str">
        <f>_xlfn.XLOOKUP(E457,'All Products'!D:D,'All Products'!L:L,FALSE)</f>
        <v>-</v>
      </c>
      <c r="S457" s="266">
        <f>_xlfn.XLOOKUP(E457,'All Products'!D:D,'All Products'!M:M,FALSE)</f>
        <v>40049081023773</v>
      </c>
      <c r="T457" s="264">
        <f>_xlfn.XLOOKUP(E457,'All Products'!D:D,'All Products'!N:N,FALSE)</f>
        <v>1.446</v>
      </c>
      <c r="U457" s="264">
        <f>_xlfn.XLOOKUP(E457,'All Products'!D:D,'All Products'!P:P,FALSE)</f>
        <v>16.02</v>
      </c>
      <c r="V457" s="265" t="str">
        <f>_xlfn.XLOOKUP(E457,'All Products'!D:D,'All Products'!Q:Q,FALSE)</f>
        <v>-</v>
      </c>
    </row>
    <row r="458" spans="1:22" ht="14.4" customHeight="1">
      <c r="A458" s="101" t="str">
        <f>IF(K458&gt;0,COUNT($A$8:A457)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58" s="610"/>
      <c r="C458" s="611"/>
      <c r="D458" s="274" t="str">
        <f>_xlfn.XLOOKUP(E458,'All Products'!D:D,'All Products'!C:C,FALSE)</f>
        <v>1-A1-3-5-18</v>
      </c>
      <c r="E458" s="153">
        <v>100024903</v>
      </c>
      <c r="F458" s="144" t="str">
        <f>_xlfn.XLOOKUP(E458,'All Products'!D:D,'All Products'!E:E,FALSE)</f>
        <v>2 SOC TEE X 1 MPT SU X 18 LL SJ</v>
      </c>
      <c r="G458" s="103">
        <f>_xlfn.XLOOKUP(E458,'All Products'!D:D,'All Products'!F:F,FALSE)</f>
        <v>10</v>
      </c>
      <c r="H458" s="103">
        <f>_xlfn.XLOOKUP(E458,'All Products'!D:D,'All Products'!G:G,FALSE)</f>
        <v>240</v>
      </c>
      <c r="I458" s="140">
        <f>_xlfn.XLOOKUP(E458,'All Products'!D:D,'All Products'!H:H,FALSE)</f>
        <v>150.72999999999999</v>
      </c>
      <c r="J458" s="255">
        <f>ROUNDUP(I458*Order_Quote!$L$26,2)</f>
        <v>150.72999999999999</v>
      </c>
      <c r="K458" s="161"/>
      <c r="L458" s="113"/>
      <c r="M458" s="243">
        <f t="shared" si="12"/>
        <v>0</v>
      </c>
      <c r="O458" s="215" t="str">
        <f>_xlfn.XLOOKUP(E458,'All Products'!D:D,'All Products'!I:I,FALSE)</f>
        <v>Within 3 Weeks</v>
      </c>
      <c r="P458" s="215" t="str">
        <f>_xlfn.XLOOKUP(E458,'All Products'!D:D,'All Products'!J:J,FALSE)</f>
        <v>Manufactured</v>
      </c>
      <c r="Q458" s="266">
        <f>_xlfn.XLOOKUP(E458,'All Products'!D:D,'All Products'!K:K,FALSE)</f>
        <v>49081023782</v>
      </c>
      <c r="R458" s="266" t="str">
        <f>_xlfn.XLOOKUP(E458,'All Products'!D:D,'All Products'!L:L,FALSE)</f>
        <v>-</v>
      </c>
      <c r="S458" s="266">
        <f>_xlfn.XLOOKUP(E458,'All Products'!D:D,'All Products'!M:M,FALSE)</f>
        <v>40049081023780</v>
      </c>
      <c r="T458" s="264">
        <f>_xlfn.XLOOKUP(E458,'All Products'!D:D,'All Products'!N:N,FALSE)</f>
        <v>1.581</v>
      </c>
      <c r="U458" s="264">
        <f>_xlfn.XLOOKUP(E458,'All Products'!D:D,'All Products'!P:P,FALSE)</f>
        <v>17.8</v>
      </c>
      <c r="V458" s="265">
        <f>_xlfn.XLOOKUP(E458,'All Products'!D:D,'All Products'!Q:Q,FALSE)</f>
        <v>2.77</v>
      </c>
    </row>
    <row r="459" spans="1:22" ht="14.4" customHeight="1">
      <c r="A459" s="101" t="str">
        <f>IF(K459&gt;0,COUNT($A$8:A458)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59" s="610"/>
      <c r="C459" s="611"/>
      <c r="D459" s="274" t="str">
        <f>_xlfn.XLOOKUP(E459,'All Products'!D:D,'All Products'!C:C,FALSE)</f>
        <v>1-A1-3-5-8</v>
      </c>
      <c r="E459" s="153">
        <v>100023881</v>
      </c>
      <c r="F459" s="144" t="str">
        <f>_xlfn.XLOOKUP(E459,'All Products'!D:D,'All Products'!E:E,FALSE)</f>
        <v>2 SOC TEE X 1 MPT SU X 8 SJ</v>
      </c>
      <c r="G459" s="103">
        <f>_xlfn.XLOOKUP(E459,'All Products'!D:D,'All Products'!F:F,FALSE)</f>
        <v>10</v>
      </c>
      <c r="H459" s="103">
        <f>_xlfn.XLOOKUP(E459,'All Products'!D:D,'All Products'!G:G,FALSE)</f>
        <v>750</v>
      </c>
      <c r="I459" s="140">
        <f>_xlfn.XLOOKUP(E459,'All Products'!D:D,'All Products'!H:H,FALSE)</f>
        <v>125.31</v>
      </c>
      <c r="J459" s="255">
        <f>ROUNDUP(I459*Order_Quote!$L$26,2)</f>
        <v>125.31</v>
      </c>
      <c r="K459" s="161"/>
      <c r="L459" s="113"/>
      <c r="M459" s="243">
        <f t="shared" si="12"/>
        <v>0</v>
      </c>
      <c r="O459" s="215" t="str">
        <f>_xlfn.XLOOKUP(E459,'All Products'!D:D,'All Products'!I:I,FALSE)</f>
        <v>Within 3 Weeks</v>
      </c>
      <c r="P459" s="215" t="str">
        <f>_xlfn.XLOOKUP(E459,'All Products'!D:D,'All Products'!J:J,FALSE)</f>
        <v>Manufactured</v>
      </c>
      <c r="Q459" s="266">
        <f>_xlfn.XLOOKUP(E459,'All Products'!D:D,'All Products'!K:K,FALSE)</f>
        <v>49081023799</v>
      </c>
      <c r="R459" s="266" t="str">
        <f>_xlfn.XLOOKUP(E459,'All Products'!D:D,'All Products'!L:L,FALSE)</f>
        <v>-</v>
      </c>
      <c r="S459" s="266">
        <f>_xlfn.XLOOKUP(E459,'All Products'!D:D,'All Products'!M:M,FALSE)</f>
        <v>40049081023797</v>
      </c>
      <c r="T459" s="264">
        <f>_xlfn.XLOOKUP(E459,'All Products'!D:D,'All Products'!N:N,FALSE)</f>
        <v>1.2490000000000001</v>
      </c>
      <c r="U459" s="264">
        <f>_xlfn.XLOOKUP(E459,'All Products'!D:D,'All Products'!P:P,FALSE)</f>
        <v>14.2</v>
      </c>
      <c r="V459" s="265">
        <f>_xlfn.XLOOKUP(E459,'All Products'!D:D,'All Products'!Q:Q,FALSE)</f>
        <v>1.1000000000000001</v>
      </c>
    </row>
    <row r="460" spans="1:22" ht="14.4" customHeight="1">
      <c r="A460" s="101" t="str">
        <f>IF(K460&gt;0,COUNT($A$8:A459)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60" s="610"/>
      <c r="C460" s="611"/>
      <c r="D460" s="274" t="str">
        <f>_xlfn.XLOOKUP(E460,'All Products'!D:D,'All Products'!C:C,FALSE)</f>
        <v>1-A1-QC-5-12</v>
      </c>
      <c r="E460" s="153">
        <v>100024908</v>
      </c>
      <c r="F460" s="144" t="str">
        <f>_xlfn.XLOOKUP(E460,'All Products'!D:D,'All Products'!E:E,FALSE)</f>
        <v>2 SOC TEE X 1 QC SU X 12 LL SJ</v>
      </c>
      <c r="G460" s="103">
        <f>_xlfn.XLOOKUP(E460,'All Products'!D:D,'All Products'!F:F,FALSE)</f>
        <v>10</v>
      </c>
      <c r="H460" s="103">
        <f>_xlfn.XLOOKUP(E460,'All Products'!D:D,'All Products'!G:G,FALSE)</f>
        <v>180</v>
      </c>
      <c r="I460" s="140">
        <f>_xlfn.XLOOKUP(E460,'All Products'!D:D,'All Products'!H:H,FALSE)</f>
        <v>211.22</v>
      </c>
      <c r="J460" s="255">
        <f>ROUNDUP(I460*Order_Quote!$L$26,2)</f>
        <v>211.22</v>
      </c>
      <c r="K460" s="161"/>
      <c r="L460" s="113"/>
      <c r="M460" s="243">
        <f t="shared" si="12"/>
        <v>0</v>
      </c>
      <c r="O460" s="215" t="str">
        <f>_xlfn.XLOOKUP(E460,'All Products'!D:D,'All Products'!I:I,FALSE)</f>
        <v>Within 3 Weeks</v>
      </c>
      <c r="P460" s="215" t="str">
        <f>_xlfn.XLOOKUP(E460,'All Products'!D:D,'All Products'!J:J,FALSE)</f>
        <v>Manufactured</v>
      </c>
      <c r="Q460" s="266">
        <f>_xlfn.XLOOKUP(E460,'All Products'!D:D,'All Products'!K:K,FALSE)</f>
        <v>49081022082</v>
      </c>
      <c r="R460" s="266" t="str">
        <f>_xlfn.XLOOKUP(E460,'All Products'!D:D,'All Products'!L:L,FALSE)</f>
        <v>-</v>
      </c>
      <c r="S460" s="266">
        <f>_xlfn.XLOOKUP(E460,'All Products'!D:D,'All Products'!M:M,FALSE)</f>
        <v>40049081022080</v>
      </c>
      <c r="T460" s="264">
        <f>_xlfn.XLOOKUP(E460,'All Products'!D:D,'All Products'!N:N,FALSE)</f>
        <v>2.0720000000000001</v>
      </c>
      <c r="U460" s="264">
        <f>_xlfn.XLOOKUP(E460,'All Products'!D:D,'All Products'!P:P,FALSE)</f>
        <v>22.6</v>
      </c>
      <c r="V460" s="265">
        <f>_xlfn.XLOOKUP(E460,'All Products'!D:D,'All Products'!Q:Q,FALSE)</f>
        <v>2.65</v>
      </c>
    </row>
    <row r="461" spans="1:22" ht="14.4" customHeight="1">
      <c r="A461" s="101" t="str">
        <f>IF(K461&gt;0,COUNT($A$8:A460)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61" s="610"/>
      <c r="C461" s="611"/>
      <c r="D461" s="274" t="str">
        <f>_xlfn.XLOOKUP(E461,'All Products'!D:D,'All Products'!C:C,FALSE)</f>
        <v>1-A1-QC-5-18</v>
      </c>
      <c r="E461" s="153">
        <v>100023900</v>
      </c>
      <c r="F461" s="144" t="str">
        <f>_xlfn.XLOOKUP(E461,'All Products'!D:D,'All Products'!E:E,FALSE)</f>
        <v>2 SOC X 1 QC ORNG TEE SU X 18 SJ</v>
      </c>
      <c r="G461" s="103">
        <f>_xlfn.XLOOKUP(E461,'All Products'!D:D,'All Products'!F:F,FALSE)</f>
        <v>10</v>
      </c>
      <c r="H461" s="103">
        <f>_xlfn.XLOOKUP(E461,'All Products'!D:D,'All Products'!G:G,FALSE)</f>
        <v>240</v>
      </c>
      <c r="I461" s="140">
        <f>_xlfn.XLOOKUP(E461,'All Products'!D:D,'All Products'!H:H,FALSE)</f>
        <v>218.18</v>
      </c>
      <c r="J461" s="255">
        <f>ROUNDUP(I461*Order_Quote!$L$26,2)</f>
        <v>218.18</v>
      </c>
      <c r="K461" s="161"/>
      <c r="L461" s="113"/>
      <c r="M461" s="243">
        <f t="shared" si="12"/>
        <v>0</v>
      </c>
      <c r="O461" s="215" t="str">
        <f>_xlfn.XLOOKUP(E461,'All Products'!D:D,'All Products'!I:I,FALSE)</f>
        <v>Within 3 Weeks</v>
      </c>
      <c r="P461" s="215" t="str">
        <f>_xlfn.XLOOKUP(E461,'All Products'!D:D,'All Products'!J:J,FALSE)</f>
        <v>Manufactured</v>
      </c>
      <c r="Q461" s="266">
        <f>_xlfn.XLOOKUP(E461,'All Products'!D:D,'All Products'!K:K,FALSE)</f>
        <v>49081023997</v>
      </c>
      <c r="R461" s="266" t="str">
        <f>_xlfn.XLOOKUP(E461,'All Products'!D:D,'All Products'!L:L,FALSE)</f>
        <v>-</v>
      </c>
      <c r="S461" s="266">
        <f>_xlfn.XLOOKUP(E461,'All Products'!D:D,'All Products'!M:M,FALSE)</f>
        <v>40049081023995</v>
      </c>
      <c r="T461" s="264">
        <f>_xlfn.XLOOKUP(E461,'All Products'!D:D,'All Products'!N:N,FALSE)</f>
        <v>2.2509999999999999</v>
      </c>
      <c r="U461" s="264">
        <f>_xlfn.XLOOKUP(E461,'All Products'!D:D,'All Products'!P:P,FALSE)</f>
        <v>24.9</v>
      </c>
      <c r="V461" s="265">
        <f>_xlfn.XLOOKUP(E461,'All Products'!D:D,'All Products'!Q:Q,FALSE)</f>
        <v>2.77</v>
      </c>
    </row>
    <row r="462" spans="1:22" ht="14.4" customHeight="1">
      <c r="A462" s="101" t="str">
        <f>IF(K462&gt;0,COUNT($A$8:A461)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62" s="610"/>
      <c r="C462" s="611"/>
      <c r="D462" s="274" t="str">
        <f>_xlfn.XLOOKUP(E462,'All Products'!D:D,'All Products'!C:C,FALSE)</f>
        <v>2-A2-16-5-12</v>
      </c>
      <c r="E462" s="153">
        <v>100024971</v>
      </c>
      <c r="F462" s="144" t="str">
        <f>_xlfn.XLOOKUP(E462,'All Products'!D:D,'All Products'!E:E,FALSE)</f>
        <v>2 SOC TEE X 1 ACME SU X 12 LL SJ</v>
      </c>
      <c r="G462" s="103">
        <f>_xlfn.XLOOKUP(E462,'All Products'!D:D,'All Products'!F:F,FALSE)</f>
        <v>10</v>
      </c>
      <c r="H462" s="103">
        <f>_xlfn.XLOOKUP(E462,'All Products'!D:D,'All Products'!G:G,FALSE)</f>
        <v>180</v>
      </c>
      <c r="I462" s="140">
        <f>_xlfn.XLOOKUP(E462,'All Products'!D:D,'All Products'!H:H,FALSE)</f>
        <v>177.5</v>
      </c>
      <c r="J462" s="255">
        <f>ROUNDUP(I462*Order_Quote!$L$26,2)</f>
        <v>177.5</v>
      </c>
      <c r="K462" s="161"/>
      <c r="L462" s="113"/>
      <c r="M462" s="243">
        <f t="shared" si="12"/>
        <v>0</v>
      </c>
      <c r="O462" s="215" t="str">
        <f>_xlfn.XLOOKUP(E462,'All Products'!D:D,'All Products'!I:I,FALSE)</f>
        <v>Within 3 Weeks</v>
      </c>
      <c r="P462" s="215" t="str">
        <f>_xlfn.XLOOKUP(E462,'All Products'!D:D,'All Products'!J:J,FALSE)</f>
        <v>Manufactured</v>
      </c>
      <c r="Q462" s="266">
        <f>_xlfn.XLOOKUP(E462,'All Products'!D:D,'All Products'!K:K,FALSE)</f>
        <v>49081022099</v>
      </c>
      <c r="R462" s="266" t="str">
        <f>_xlfn.XLOOKUP(E462,'All Products'!D:D,'All Products'!L:L,FALSE)</f>
        <v>-</v>
      </c>
      <c r="S462" s="266">
        <f>_xlfn.XLOOKUP(E462,'All Products'!D:D,'All Products'!M:M,FALSE)</f>
        <v>40049081022097</v>
      </c>
      <c r="T462" s="264">
        <f>_xlfn.XLOOKUP(E462,'All Products'!D:D,'All Products'!N:N,FALSE)</f>
        <v>1.8979999999999999</v>
      </c>
      <c r="U462" s="264">
        <f>_xlfn.XLOOKUP(E462,'All Products'!D:D,'All Products'!P:P,FALSE)</f>
        <v>19.690000000000001</v>
      </c>
      <c r="V462" s="265">
        <f>_xlfn.XLOOKUP(E462,'All Products'!D:D,'All Products'!Q:Q,FALSE)</f>
        <v>2.65</v>
      </c>
    </row>
    <row r="463" spans="1:22" ht="14.4" customHeight="1">
      <c r="A463" s="101" t="str">
        <f>IF(K463&gt;0,COUNT($A$8:A462)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63" s="610"/>
      <c r="C463" s="611"/>
      <c r="D463" s="274" t="str">
        <f>_xlfn.XLOOKUP(E463,'All Products'!D:D,'All Products'!C:C,FALSE)</f>
        <v>2-A2-3-5-10</v>
      </c>
      <c r="E463" s="153">
        <v>100024216</v>
      </c>
      <c r="F463" s="144" t="str">
        <f>_xlfn.XLOOKUP(E463,'All Products'!D:D,'All Products'!E:E,FALSE)</f>
        <v>2 SOC TEE X 1-1/4 MPT SU X 10 SJ</v>
      </c>
      <c r="G463" s="103">
        <f>_xlfn.XLOOKUP(E463,'All Products'!D:D,'All Products'!F:F,FALSE)</f>
        <v>10</v>
      </c>
      <c r="H463" s="103" t="str">
        <f>_xlfn.XLOOKUP(E463,'All Products'!D:D,'All Products'!G:G,FALSE)</f>
        <v>-</v>
      </c>
      <c r="I463" s="140">
        <f>_xlfn.XLOOKUP(E463,'All Products'!D:D,'All Products'!H:H,FALSE)</f>
        <v>177.5</v>
      </c>
      <c r="J463" s="255">
        <f>ROUNDUP(I463*Order_Quote!$L$26,2)</f>
        <v>177.5</v>
      </c>
      <c r="K463" s="161"/>
      <c r="L463" s="113"/>
      <c r="M463" s="243">
        <f t="shared" si="12"/>
        <v>0</v>
      </c>
      <c r="O463" s="215" t="str">
        <f>_xlfn.XLOOKUP(E463,'All Products'!D:D,'All Products'!I:I,FALSE)</f>
        <v>Within 3 Weeks</v>
      </c>
      <c r="P463" s="215" t="str">
        <f>_xlfn.XLOOKUP(E463,'All Products'!D:D,'All Products'!J:J,FALSE)</f>
        <v>Manufactured</v>
      </c>
      <c r="Q463" s="266">
        <f>_xlfn.XLOOKUP(E463,'All Products'!D:D,'All Products'!K:K,FALSE)</f>
        <v>49081026516</v>
      </c>
      <c r="R463" s="266" t="str">
        <f>_xlfn.XLOOKUP(E463,'All Products'!D:D,'All Products'!L:L,FALSE)</f>
        <v>-</v>
      </c>
      <c r="S463" s="266">
        <f>_xlfn.XLOOKUP(E463,'All Products'!D:D,'All Products'!M:M,FALSE)</f>
        <v>40049081026514</v>
      </c>
      <c r="T463" s="264">
        <f>_xlfn.XLOOKUP(E463,'All Products'!D:D,'All Products'!N:N,FALSE)</f>
        <v>1.4710000000000001</v>
      </c>
      <c r="U463" s="264">
        <f>_xlfn.XLOOKUP(E463,'All Products'!D:D,'All Products'!P:P,FALSE)</f>
        <v>19.68</v>
      </c>
      <c r="V463" s="265">
        <f>_xlfn.XLOOKUP(E463,'All Products'!D:D,'All Products'!Q:Q,FALSE)</f>
        <v>2.11</v>
      </c>
    </row>
    <row r="464" spans="1:22" ht="14.4" customHeight="1">
      <c r="A464" s="101" t="str">
        <f>IF(K464&gt;0,COUNT($A$8:A463)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64" s="610"/>
      <c r="C464" s="611"/>
      <c r="D464" s="274" t="str">
        <f>_xlfn.XLOOKUP(E464,'All Products'!D:D,'All Products'!C:C,FALSE)</f>
        <v>2-A2-7-5-12</v>
      </c>
      <c r="E464" s="153">
        <v>100024248</v>
      </c>
      <c r="F464" s="144" t="str">
        <f>_xlfn.XLOOKUP(E464,'All Products'!D:D,'All Products'!E:E,FALSE)</f>
        <v>2 SOC TEE X 1 MPT SU X 12 SJ</v>
      </c>
      <c r="G464" s="103">
        <f>_xlfn.XLOOKUP(E464,'All Products'!D:D,'All Products'!F:F,FALSE)</f>
        <v>10</v>
      </c>
      <c r="H464" s="103">
        <f>_xlfn.XLOOKUP(E464,'All Products'!D:D,'All Products'!G:G,FALSE)</f>
        <v>180</v>
      </c>
      <c r="I464" s="140">
        <f>_xlfn.XLOOKUP(E464,'All Products'!D:D,'All Products'!H:H,FALSE)</f>
        <v>177.5</v>
      </c>
      <c r="J464" s="255">
        <f>ROUNDUP(I464*Order_Quote!$L$26,2)</f>
        <v>177.5</v>
      </c>
      <c r="K464" s="161"/>
      <c r="L464" s="113"/>
      <c r="M464" s="243">
        <f t="shared" si="12"/>
        <v>0</v>
      </c>
      <c r="O464" s="215" t="str">
        <f>_xlfn.XLOOKUP(E464,'All Products'!D:D,'All Products'!I:I,FALSE)</f>
        <v>Within 3 Weeks</v>
      </c>
      <c r="P464" s="215" t="str">
        <f>_xlfn.XLOOKUP(E464,'All Products'!D:D,'All Products'!J:J,FALSE)</f>
        <v>Manufactured</v>
      </c>
      <c r="Q464" s="266">
        <f>_xlfn.XLOOKUP(E464,'All Products'!D:D,'All Products'!K:K,FALSE)</f>
        <v>49081026738</v>
      </c>
      <c r="R464" s="266" t="str">
        <f>_xlfn.XLOOKUP(E464,'All Products'!D:D,'All Products'!L:L,FALSE)</f>
        <v>-</v>
      </c>
      <c r="S464" s="266">
        <f>_xlfn.XLOOKUP(E464,'All Products'!D:D,'All Products'!M:M,FALSE)</f>
        <v>40049081026736</v>
      </c>
      <c r="T464" s="264">
        <f>_xlfn.XLOOKUP(E464,'All Products'!D:D,'All Products'!N:N,FALSE)</f>
        <v>1.865</v>
      </c>
      <c r="U464" s="264">
        <f>_xlfn.XLOOKUP(E464,'All Products'!D:D,'All Products'!P:P,FALSE)</f>
        <v>20.5</v>
      </c>
      <c r="V464" s="265">
        <f>_xlfn.XLOOKUP(E464,'All Products'!D:D,'All Products'!Q:Q,FALSE)</f>
        <v>2.65</v>
      </c>
    </row>
    <row r="465" spans="1:22" ht="14.4" customHeight="1">
      <c r="A465" s="101" t="str">
        <f>IF(K465&gt;0,COUNT($A$8:A464)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65" s="610"/>
      <c r="C465" s="611"/>
      <c r="D465" s="274" t="str">
        <f>_xlfn.XLOOKUP(E465,'All Products'!D:D,'All Products'!C:C,FALSE)</f>
        <v>2-A2-7-5-18</v>
      </c>
      <c r="E465" s="153">
        <v>100024249</v>
      </c>
      <c r="F465" s="144" t="str">
        <f>_xlfn.XLOOKUP(E465,'All Products'!D:D,'All Products'!E:E,FALSE)</f>
        <v>2 SOC TEE X 1 MPT SU X 18 LL SJ</v>
      </c>
      <c r="G465" s="103">
        <f>_xlfn.XLOOKUP(E465,'All Products'!D:D,'All Products'!F:F,FALSE)</f>
        <v>10</v>
      </c>
      <c r="H465" s="103" t="str">
        <f>_xlfn.XLOOKUP(E465,'All Products'!D:D,'All Products'!G:G,FALSE)</f>
        <v>-</v>
      </c>
      <c r="I465" s="140">
        <f>_xlfn.XLOOKUP(E465,'All Products'!D:D,'All Products'!H:H,FALSE)</f>
        <v>188.57</v>
      </c>
      <c r="J465" s="255">
        <f>ROUNDUP(I465*Order_Quote!$L$26,2)</f>
        <v>188.57</v>
      </c>
      <c r="K465" s="161"/>
      <c r="L465" s="113"/>
      <c r="M465" s="243">
        <f t="shared" si="12"/>
        <v>0</v>
      </c>
      <c r="O465" s="215" t="str">
        <f>_xlfn.XLOOKUP(E465,'All Products'!D:D,'All Products'!I:I,FALSE)</f>
        <v>Within 3 Weeks</v>
      </c>
      <c r="P465" s="215" t="str">
        <f>_xlfn.XLOOKUP(E465,'All Products'!D:D,'All Products'!J:J,FALSE)</f>
        <v>Manufactured</v>
      </c>
      <c r="Q465" s="266">
        <f>_xlfn.XLOOKUP(E465,'All Products'!D:D,'All Products'!K:K,FALSE)</f>
        <v>49081026745</v>
      </c>
      <c r="R465" s="266" t="str">
        <f>_xlfn.XLOOKUP(E465,'All Products'!D:D,'All Products'!L:L,FALSE)</f>
        <v>-</v>
      </c>
      <c r="S465" s="266">
        <f>_xlfn.XLOOKUP(E465,'All Products'!D:D,'All Products'!M:M,FALSE)</f>
        <v>40049081026743</v>
      </c>
      <c r="T465" s="264">
        <f>_xlfn.XLOOKUP(E465,'All Products'!D:D,'All Products'!N:N,FALSE)</f>
        <v>2.1389999999999998</v>
      </c>
      <c r="U465" s="264">
        <f>_xlfn.XLOOKUP(E465,'All Products'!D:D,'All Products'!P:P,FALSE)</f>
        <v>21</v>
      </c>
      <c r="V465" s="265" t="str">
        <f>_xlfn.XLOOKUP(E465,'All Products'!D:D,'All Products'!Q:Q,FALSE)</f>
        <v>-</v>
      </c>
    </row>
    <row r="466" spans="1:22" ht="14.4" customHeight="1">
      <c r="A466" s="101" t="str">
        <f>IF(K466&gt;0,COUNT($A$8:A465)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66" s="610"/>
      <c r="C466" s="611"/>
      <c r="D466" s="274" t="str">
        <f>_xlfn.XLOOKUP(E466,'All Products'!D:D,'All Products'!C:C,FALSE)</f>
        <v>3-A1-3-5-12</v>
      </c>
      <c r="E466" s="153">
        <v>100024401</v>
      </c>
      <c r="F466" s="144" t="str">
        <f>_xlfn.XLOOKUP(E466,'All Products'!D:D,'All Products'!E:E,FALSE)</f>
        <v>2 SOC TEE X 1-1/2 MIPT SU X 12 SJ</v>
      </c>
      <c r="G466" s="103">
        <f>_xlfn.XLOOKUP(E466,'All Products'!D:D,'All Products'!F:F,FALSE)</f>
        <v>10</v>
      </c>
      <c r="H466" s="103">
        <f>_xlfn.XLOOKUP(E466,'All Products'!D:D,'All Products'!G:G,FALSE)</f>
        <v>180</v>
      </c>
      <c r="I466" s="140">
        <f>_xlfn.XLOOKUP(E466,'All Products'!D:D,'All Products'!H:H,FALSE)</f>
        <v>214.32</v>
      </c>
      <c r="J466" s="255">
        <f>ROUNDUP(I466*Order_Quote!$L$26,2)</f>
        <v>214.32</v>
      </c>
      <c r="K466" s="161"/>
      <c r="L466" s="113"/>
      <c r="M466" s="243">
        <f t="shared" si="12"/>
        <v>0</v>
      </c>
      <c r="O466" s="215" t="str">
        <f>_xlfn.XLOOKUP(E466,'All Products'!D:D,'All Products'!I:I,FALSE)</f>
        <v>Within 3 Weeks</v>
      </c>
      <c r="P466" s="215" t="str">
        <f>_xlfn.XLOOKUP(E466,'All Products'!D:D,'All Products'!J:J,FALSE)</f>
        <v>Manufactured</v>
      </c>
      <c r="Q466" s="266">
        <f>_xlfn.XLOOKUP(E466,'All Products'!D:D,'All Products'!K:K,FALSE)</f>
        <v>49081027865</v>
      </c>
      <c r="R466" s="266" t="str">
        <f>_xlfn.XLOOKUP(E466,'All Products'!D:D,'All Products'!L:L,FALSE)</f>
        <v>-</v>
      </c>
      <c r="S466" s="266">
        <f>_xlfn.XLOOKUP(E466,'All Products'!D:D,'All Products'!M:M,FALSE)</f>
        <v>40049081027863</v>
      </c>
      <c r="T466" s="264">
        <f>_xlfn.XLOOKUP(E466,'All Products'!D:D,'All Products'!N:N,FALSE)</f>
        <v>2.234</v>
      </c>
      <c r="U466" s="264">
        <f>_xlfn.XLOOKUP(E466,'All Products'!D:D,'All Products'!P:P,FALSE)</f>
        <v>22.8</v>
      </c>
      <c r="V466" s="265">
        <f>_xlfn.XLOOKUP(E466,'All Products'!D:D,'All Products'!Q:Q,FALSE)</f>
        <v>2.65</v>
      </c>
    </row>
    <row r="467" spans="1:22" ht="14.4" customHeight="1">
      <c r="A467" s="101" t="str">
        <f>IF(K467&gt;0,COUNT($A$8:A466)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67" s="610"/>
      <c r="C467" s="611"/>
      <c r="D467" s="274" t="str">
        <f>_xlfn.XLOOKUP(E467,'All Products'!D:D,'All Products'!C:C,FALSE)</f>
        <v>3-A3-21-5-12</v>
      </c>
      <c r="E467" s="153">
        <v>100025026</v>
      </c>
      <c r="F467" s="144" t="str">
        <f>_xlfn.XLOOKUP(E467,'All Products'!D:D,'All Products'!E:E,FALSE)</f>
        <v>2 SOC TEE X 1-1/2 ACME SU X 12 SJ</v>
      </c>
      <c r="G467" s="103">
        <f>_xlfn.XLOOKUP(E467,'All Products'!D:D,'All Products'!F:F,FALSE)</f>
        <v>10</v>
      </c>
      <c r="H467" s="103">
        <f>_xlfn.XLOOKUP(E467,'All Products'!D:D,'All Products'!G:G,FALSE)</f>
        <v>180</v>
      </c>
      <c r="I467" s="140">
        <f>_xlfn.XLOOKUP(E467,'All Products'!D:D,'All Products'!H:H,FALSE)</f>
        <v>214.32</v>
      </c>
      <c r="J467" s="255">
        <f>ROUNDUP(I467*Order_Quote!$L$26,2)</f>
        <v>214.32</v>
      </c>
      <c r="K467" s="161"/>
      <c r="L467" s="113"/>
      <c r="M467" s="243">
        <f t="shared" si="12"/>
        <v>0</v>
      </c>
      <c r="O467" s="215" t="str">
        <f>_xlfn.XLOOKUP(E467,'All Products'!D:D,'All Products'!I:I,FALSE)</f>
        <v>In Stock</v>
      </c>
      <c r="P467" s="215" t="str">
        <f>_xlfn.XLOOKUP(E467,'All Products'!D:D,'All Products'!J:J,FALSE)</f>
        <v>Manufactured</v>
      </c>
      <c r="Q467" s="266">
        <f>_xlfn.XLOOKUP(E467,'All Products'!D:D,'All Products'!K:K,FALSE)</f>
        <v>49081020187</v>
      </c>
      <c r="R467" s="266" t="str">
        <f>_xlfn.XLOOKUP(E467,'All Products'!D:D,'All Products'!L:L,FALSE)</f>
        <v>-</v>
      </c>
      <c r="S467" s="266">
        <f>_xlfn.XLOOKUP(E467,'All Products'!D:D,'All Products'!M:M,FALSE)</f>
        <v>40049081020185</v>
      </c>
      <c r="T467" s="264">
        <f>_xlfn.XLOOKUP(E467,'All Products'!D:D,'All Products'!N:N,FALSE)</f>
        <v>2.2890000000000001</v>
      </c>
      <c r="U467" s="264">
        <f>_xlfn.XLOOKUP(E467,'All Products'!D:D,'All Products'!P:P,FALSE)</f>
        <v>24.17</v>
      </c>
      <c r="V467" s="265">
        <f>_xlfn.XLOOKUP(E467,'All Products'!D:D,'All Products'!Q:Q,FALSE)</f>
        <v>2.65</v>
      </c>
    </row>
    <row r="468" spans="1:22" ht="14.4" customHeight="1">
      <c r="A468" s="101" t="str">
        <f>IF(K468&gt;0,COUNT($A$8:A467)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68" s="610"/>
      <c r="C468" s="611"/>
      <c r="D468" s="274" t="str">
        <f>_xlfn.XLOOKUP(E468,'All Products'!D:D,'All Products'!C:C,FALSE)</f>
        <v>3-A3-3-5-10</v>
      </c>
      <c r="E468" s="153">
        <v>100024482</v>
      </c>
      <c r="F468" s="144" t="str">
        <f>_xlfn.XLOOKUP(E468,'All Products'!D:D,'All Products'!E:E,FALSE)</f>
        <v>2 SOC TEE X 1-1/2 MPT SU X 10 SJ</v>
      </c>
      <c r="G468" s="103">
        <f>_xlfn.XLOOKUP(E468,'All Products'!D:D,'All Products'!F:F,FALSE)</f>
        <v>10</v>
      </c>
      <c r="H468" s="103">
        <f>_xlfn.XLOOKUP(E468,'All Products'!D:D,'All Products'!G:G,FALSE)</f>
        <v>180</v>
      </c>
      <c r="I468" s="140">
        <f>_xlfn.XLOOKUP(E468,'All Products'!D:D,'All Products'!H:H,FALSE)</f>
        <v>214.32</v>
      </c>
      <c r="J468" s="255">
        <f>ROUNDUP(I468*Order_Quote!$L$26,2)</f>
        <v>214.32</v>
      </c>
      <c r="K468" s="161"/>
      <c r="L468" s="113"/>
      <c r="M468" s="243">
        <f t="shared" si="12"/>
        <v>0</v>
      </c>
      <c r="O468" s="215" t="str">
        <f>_xlfn.XLOOKUP(E468,'All Products'!D:D,'All Products'!I:I,FALSE)</f>
        <v>Within 3 Weeks</v>
      </c>
      <c r="P468" s="215" t="str">
        <f>_xlfn.XLOOKUP(E468,'All Products'!D:D,'All Products'!J:J,FALSE)</f>
        <v>Manufactured</v>
      </c>
      <c r="Q468" s="266">
        <f>_xlfn.XLOOKUP(E468,'All Products'!D:D,'All Products'!K:K,FALSE)</f>
        <v>49081028503</v>
      </c>
      <c r="R468" s="266" t="str">
        <f>_xlfn.XLOOKUP(E468,'All Products'!D:D,'All Products'!L:L,FALSE)</f>
        <v>-</v>
      </c>
      <c r="S468" s="266">
        <f>_xlfn.XLOOKUP(E468,'All Products'!D:D,'All Products'!M:M,FALSE)</f>
        <v>40049081028501</v>
      </c>
      <c r="T468" s="264">
        <f>_xlfn.XLOOKUP(E468,'All Products'!D:D,'All Products'!N:N,FALSE)</f>
        <v>2.1280000000000001</v>
      </c>
      <c r="U468" s="264">
        <f>_xlfn.XLOOKUP(E468,'All Products'!D:D,'All Products'!P:P,FALSE)</f>
        <v>24.2</v>
      </c>
      <c r="V468" s="265">
        <f>_xlfn.XLOOKUP(E468,'All Products'!D:D,'All Products'!Q:Q,FALSE)</f>
        <v>2.65</v>
      </c>
    </row>
    <row r="469" spans="1:22" ht="14.4" customHeight="1">
      <c r="A469" s="101" t="str">
        <f>IF(K469&gt;0,COUNT($A$8:A468)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69" s="610"/>
      <c r="C469" s="611"/>
      <c r="D469" s="274" t="str">
        <f>_xlfn.XLOOKUP(E469,'All Products'!D:D,'All Products'!C:C,FALSE)</f>
        <v>3-A3-3-5-12</v>
      </c>
      <c r="E469" s="153">
        <v>100025031</v>
      </c>
      <c r="F469" s="144" t="str">
        <f>_xlfn.XLOOKUP(E469,'All Products'!D:D,'All Products'!E:E,FALSE)</f>
        <v>2 SOC TEE X 1-1/2 MPT SU X 12 SJ</v>
      </c>
      <c r="G469" s="103">
        <f>_xlfn.XLOOKUP(E469,'All Products'!D:D,'All Products'!F:F,FALSE)</f>
        <v>10</v>
      </c>
      <c r="H469" s="103">
        <f>_xlfn.XLOOKUP(E469,'All Products'!D:D,'All Products'!G:G,FALSE)</f>
        <v>180</v>
      </c>
      <c r="I469" s="140">
        <f>_xlfn.XLOOKUP(E469,'All Products'!D:D,'All Products'!H:H,FALSE)</f>
        <v>214.32</v>
      </c>
      <c r="J469" s="255">
        <f>ROUNDUP(I469*Order_Quote!$L$26,2)</f>
        <v>214.32</v>
      </c>
      <c r="K469" s="161"/>
      <c r="L469" s="113"/>
      <c r="M469" s="243">
        <f t="shared" si="12"/>
        <v>0</v>
      </c>
      <c r="O469" s="215" t="str">
        <f>_xlfn.XLOOKUP(E469,'All Products'!D:D,'All Products'!I:I,FALSE)</f>
        <v>Within 3 Weeks</v>
      </c>
      <c r="P469" s="215" t="str">
        <f>_xlfn.XLOOKUP(E469,'All Products'!D:D,'All Products'!J:J,FALSE)</f>
        <v>Manufactured</v>
      </c>
      <c r="Q469" s="266">
        <f>_xlfn.XLOOKUP(E469,'All Products'!D:D,'All Products'!K:K,FALSE)</f>
        <v>49081028510</v>
      </c>
      <c r="R469" s="266" t="str">
        <f>_xlfn.XLOOKUP(E469,'All Products'!D:D,'All Products'!L:L,FALSE)</f>
        <v>-</v>
      </c>
      <c r="S469" s="266">
        <f>_xlfn.XLOOKUP(E469,'All Products'!D:D,'All Products'!M:M,FALSE)</f>
        <v>40049081028518</v>
      </c>
      <c r="T469" s="264">
        <f>_xlfn.XLOOKUP(E469,'All Products'!D:D,'All Products'!N:N,FALSE)</f>
        <v>2.234</v>
      </c>
      <c r="U469" s="264">
        <f>_xlfn.XLOOKUP(E469,'All Products'!D:D,'All Products'!P:P,FALSE)</f>
        <v>25.2</v>
      </c>
      <c r="V469" s="265">
        <f>_xlfn.XLOOKUP(E469,'All Products'!D:D,'All Products'!Q:Q,FALSE)</f>
        <v>2.65</v>
      </c>
    </row>
    <row r="470" spans="1:22" ht="14.4" customHeight="1" thickBot="1">
      <c r="A470" s="101" t="str">
        <f>IF(K470&gt;0,COUNT($A$8:A469)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70" s="715"/>
      <c r="C470" s="697"/>
      <c r="D470" s="274" t="str">
        <f>_xlfn.XLOOKUP(E470,'All Products'!D:D,'All Products'!C:C,FALSE)</f>
        <v>3-A3-3-5-14</v>
      </c>
      <c r="E470" s="153">
        <v>100024483</v>
      </c>
      <c r="F470" s="144" t="str">
        <f>_xlfn.XLOOKUP(E470,'All Products'!D:D,'All Products'!E:E,FALSE)</f>
        <v>2 SOC TEE X 1-1/2 MPT SU X 14 SJ</v>
      </c>
      <c r="G470" s="103">
        <f>_xlfn.XLOOKUP(E470,'All Products'!D:D,'All Products'!F:F,FALSE)</f>
        <v>10</v>
      </c>
      <c r="H470" s="103" t="str">
        <f>_xlfn.XLOOKUP(E470,'All Products'!D:D,'All Products'!G:G,FALSE)</f>
        <v>-</v>
      </c>
      <c r="I470" s="140">
        <f>_xlfn.XLOOKUP(E470,'All Products'!D:D,'All Products'!H:H,FALSE)</f>
        <v>225.4</v>
      </c>
      <c r="J470" s="255">
        <f>ROUNDUP(I470*Order_Quote!$L$26,2)</f>
        <v>225.4</v>
      </c>
      <c r="K470" s="161"/>
      <c r="L470" s="113"/>
      <c r="M470" s="243">
        <f t="shared" si="12"/>
        <v>0</v>
      </c>
      <c r="O470" s="567" t="str">
        <f>_xlfn.XLOOKUP(E470,'All Products'!D:D,'All Products'!I:I,FALSE)</f>
        <v>Within 3 Weeks</v>
      </c>
      <c r="P470" s="567" t="str">
        <f>_xlfn.XLOOKUP(E470,'All Products'!D:D,'All Products'!J:J,FALSE)</f>
        <v>Manufactured</v>
      </c>
      <c r="Q470" s="569">
        <f>_xlfn.XLOOKUP(E470,'All Products'!D:D,'All Products'!K:K,FALSE)</f>
        <v>49081028527</v>
      </c>
      <c r="R470" s="569" t="str">
        <f>_xlfn.XLOOKUP(E470,'All Products'!D:D,'All Products'!L:L,FALSE)</f>
        <v>-</v>
      </c>
      <c r="S470" s="569">
        <f>_xlfn.XLOOKUP(E470,'All Products'!D:D,'All Products'!M:M,FALSE)</f>
        <v>40049081028525</v>
      </c>
      <c r="T470" s="583">
        <f>_xlfn.XLOOKUP(E470,'All Products'!D:D,'All Products'!N:N,FALSE)</f>
        <v>2.323</v>
      </c>
      <c r="U470" s="583">
        <f>_xlfn.XLOOKUP(E470,'All Products'!D:D,'All Products'!P:P,FALSE)</f>
        <v>12</v>
      </c>
      <c r="V470" s="570" t="str">
        <f>_xlfn.XLOOKUP(E470,'All Products'!D:D,'All Products'!Q:Q,FALSE)</f>
        <v>-</v>
      </c>
    </row>
    <row r="471" spans="1:22" ht="16.2" thickBot="1">
      <c r="A471" s="101" t="str">
        <f>IF(K471&gt;0,COUNT($A$8:A470)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71" s="446" t="s">
        <v>3331</v>
      </c>
      <c r="C471" s="151"/>
      <c r="D471" s="151"/>
      <c r="E471" s="459"/>
      <c r="F471" s="151"/>
      <c r="G471" s="468"/>
      <c r="H471" s="151"/>
      <c r="I471" s="472"/>
      <c r="J471" s="468"/>
      <c r="K471" s="566"/>
      <c r="M471" s="545"/>
      <c r="O471" s="357"/>
      <c r="P471" s="145"/>
      <c r="Q471" s="493"/>
      <c r="R471" s="493"/>
      <c r="S471" s="493"/>
      <c r="T471" s="479"/>
      <c r="U471" s="459"/>
      <c r="V471" s="582"/>
    </row>
    <row r="472" spans="1:22" ht="14.4" customHeight="1">
      <c r="A472" s="101" t="str">
        <f>IF(K472&gt;0,COUNT($A$8:A471)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72" s="682"/>
      <c r="C472" s="683"/>
      <c r="D472" s="274" t="str">
        <f>_xlfn.XLOOKUP(E472,'All Products'!D:D,'All Products'!C:C,FALSE)</f>
        <v>1-A1-QC-7-18</v>
      </c>
      <c r="E472" s="103">
        <v>100024909</v>
      </c>
      <c r="F472" s="144" t="str">
        <f>_xlfn.XLOOKUP(E472,'All Products'!D:D,'All Products'!E:E,FALSE)</f>
        <v>2 SOC ELL X 1 QC SU X 18LL SJ</v>
      </c>
      <c r="G472" s="103">
        <f>_xlfn.XLOOKUP(E472,'All Products'!D:D,'All Products'!F:F,FALSE)</f>
        <v>10</v>
      </c>
      <c r="H472" s="103">
        <f>_xlfn.XLOOKUP(E472,'All Products'!D:D,'All Products'!G:G,FALSE)</f>
        <v>240</v>
      </c>
      <c r="I472" s="140">
        <f>_xlfn.XLOOKUP(E472,'All Products'!D:D,'All Products'!H:H,FALSE)</f>
        <v>215.18</v>
      </c>
      <c r="J472" s="173">
        <f>ROUNDUP(I472*Order_Quote!$L$26,2)</f>
        <v>215.18</v>
      </c>
      <c r="K472" s="75"/>
      <c r="L472" s="113"/>
      <c r="M472" s="171">
        <f t="shared" ref="M472:M486" si="13">K472/G472</f>
        <v>0</v>
      </c>
      <c r="O472" s="215" t="str">
        <f>_xlfn.XLOOKUP(E472,'All Products'!D:D,'All Products'!I:I,FALSE)</f>
        <v>Within 3 Weeks</v>
      </c>
      <c r="P472" s="215" t="str">
        <f>_xlfn.XLOOKUP(E472,'All Products'!D:D,'All Products'!J:J,FALSE)</f>
        <v>Manufactured</v>
      </c>
      <c r="Q472" s="266">
        <f>_xlfn.XLOOKUP(E472,'All Products'!D:D,'All Products'!K:K,FALSE)</f>
        <v>49081024017</v>
      </c>
      <c r="R472" s="266" t="str">
        <f>_xlfn.XLOOKUP(E472,'All Products'!D:D,'All Products'!L:L,FALSE)</f>
        <v>-</v>
      </c>
      <c r="S472" s="266">
        <f>_xlfn.XLOOKUP(E472,'All Products'!D:D,'All Products'!M:M,FALSE)</f>
        <v>40049081024015</v>
      </c>
      <c r="T472" s="264">
        <f>_xlfn.XLOOKUP(E472,'All Products'!D:D,'All Products'!N:N,FALSE)</f>
        <v>2.2999999999999998</v>
      </c>
      <c r="U472" s="264">
        <f>_xlfn.XLOOKUP(E472,'All Products'!D:D,'All Products'!P:P,FALSE)</f>
        <v>25.7</v>
      </c>
      <c r="V472" s="265">
        <f>_xlfn.XLOOKUP(E472,'All Products'!D:D,'All Products'!Q:Q,FALSE)</f>
        <v>2.77</v>
      </c>
    </row>
    <row r="473" spans="1:22" ht="14.4" customHeight="1">
      <c r="A473" s="101" t="str">
        <f>IF(K473&gt;0,COUNT($A$8:A472)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73" s="610"/>
      <c r="C473" s="611"/>
      <c r="D473" s="274" t="str">
        <f>_xlfn.XLOOKUP(E473,'All Products'!D:D,'All Products'!C:C,FALSE)</f>
        <v>1-A1-13-7-12</v>
      </c>
      <c r="E473" s="153">
        <v>100024887</v>
      </c>
      <c r="F473" s="144" t="str">
        <f>_xlfn.XLOOKUP(E473,'All Products'!D:D,'All Products'!E:E,FALSE)</f>
        <v>2 SOC ELL X 1 ACME SU X 12 SJ</v>
      </c>
      <c r="G473" s="103">
        <f>_xlfn.XLOOKUP(E473,'All Products'!D:D,'All Products'!F:F,FALSE)</f>
        <v>10</v>
      </c>
      <c r="H473" s="103">
        <f>_xlfn.XLOOKUP(E473,'All Products'!D:D,'All Products'!G:G,FALSE)</f>
        <v>750</v>
      </c>
      <c r="I473" s="140">
        <f>_xlfn.XLOOKUP(E473,'All Products'!D:D,'All Products'!H:H,FALSE)</f>
        <v>132.65</v>
      </c>
      <c r="J473" s="255">
        <f>ROUNDUP(I473*Order_Quote!$L$26,2)</f>
        <v>132.65</v>
      </c>
      <c r="K473" s="161"/>
      <c r="L473" s="113"/>
      <c r="M473" s="243">
        <f t="shared" si="13"/>
        <v>0</v>
      </c>
      <c r="O473" s="215" t="str">
        <f>_xlfn.XLOOKUP(E473,'All Products'!D:D,'All Products'!I:I,FALSE)</f>
        <v>Within 3 Weeks</v>
      </c>
      <c r="P473" s="215" t="str">
        <f>_xlfn.XLOOKUP(E473,'All Products'!D:D,'All Products'!J:J,FALSE)</f>
        <v>Manufactured</v>
      </c>
      <c r="Q473" s="266">
        <f>_xlfn.XLOOKUP(E473,'All Products'!D:D,'All Products'!K:K,FALSE)</f>
        <v>49081020545</v>
      </c>
      <c r="R473" s="266" t="str">
        <f>_xlfn.XLOOKUP(E473,'All Products'!D:D,'All Products'!L:L,FALSE)</f>
        <v>-</v>
      </c>
      <c r="S473" s="266">
        <f>_xlfn.XLOOKUP(E473,'All Products'!D:D,'All Products'!M:M,FALSE)</f>
        <v>40049081020543</v>
      </c>
      <c r="T473" s="264">
        <f>_xlfn.XLOOKUP(E473,'All Products'!D:D,'All Products'!N:N,FALSE)</f>
        <v>1.4710000000000001</v>
      </c>
      <c r="U473" s="264">
        <f>_xlfn.XLOOKUP(E473,'All Products'!D:D,'All Products'!P:P,FALSE)</f>
        <v>15.3</v>
      </c>
      <c r="V473" s="265">
        <f>_xlfn.XLOOKUP(E473,'All Products'!D:D,'All Products'!Q:Q,FALSE)</f>
        <v>1.1000000000000001</v>
      </c>
    </row>
    <row r="474" spans="1:22" ht="14.4" customHeight="1">
      <c r="A474" s="101" t="str">
        <f>IF(K474&gt;0,COUNT($A$8:A473)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74" s="610"/>
      <c r="C474" s="611"/>
      <c r="D474" s="274" t="str">
        <f>_xlfn.XLOOKUP(E474,'All Products'!D:D,'All Products'!C:C,FALSE)</f>
        <v>1-A1-3-7-12</v>
      </c>
      <c r="E474" s="153">
        <v>100023885</v>
      </c>
      <c r="F474" s="144" t="str">
        <f>_xlfn.XLOOKUP(E474,'All Products'!D:D,'All Products'!E:E,FALSE)</f>
        <v>2 SOC ELL X 1 MPT SU X 12 SJ</v>
      </c>
      <c r="G474" s="103">
        <f>_xlfn.XLOOKUP(E474,'All Products'!D:D,'All Products'!F:F,FALSE)</f>
        <v>10</v>
      </c>
      <c r="H474" s="103">
        <f>_xlfn.XLOOKUP(E474,'All Products'!D:D,'All Products'!G:G,FALSE)</f>
        <v>750</v>
      </c>
      <c r="I474" s="140">
        <f>_xlfn.XLOOKUP(E474,'All Products'!D:D,'All Products'!H:H,FALSE)</f>
        <v>132.65</v>
      </c>
      <c r="J474" s="255">
        <f>ROUNDUP(I474*Order_Quote!$L$26,2)</f>
        <v>132.65</v>
      </c>
      <c r="K474" s="161"/>
      <c r="L474" s="113"/>
      <c r="M474" s="243">
        <f t="shared" si="13"/>
        <v>0</v>
      </c>
      <c r="O474" s="215" t="str">
        <f>_xlfn.XLOOKUP(E474,'All Products'!D:D,'All Products'!I:I,FALSE)</f>
        <v>Within 3 Weeks</v>
      </c>
      <c r="P474" s="215" t="str">
        <f>_xlfn.XLOOKUP(E474,'All Products'!D:D,'All Products'!J:J,FALSE)</f>
        <v>Manufactured</v>
      </c>
      <c r="Q474" s="266">
        <f>_xlfn.XLOOKUP(E474,'All Products'!D:D,'All Products'!K:K,FALSE)</f>
        <v>49081023829</v>
      </c>
      <c r="R474" s="266" t="str">
        <f>_xlfn.XLOOKUP(E474,'All Products'!D:D,'All Products'!L:L,FALSE)</f>
        <v>-</v>
      </c>
      <c r="S474" s="266">
        <f>_xlfn.XLOOKUP(E474,'All Products'!D:D,'All Products'!M:M,FALSE)</f>
        <v>40049081023827</v>
      </c>
      <c r="T474" s="264">
        <f>_xlfn.XLOOKUP(E474,'All Products'!D:D,'All Products'!N:N,FALSE)</f>
        <v>1.4510000000000001</v>
      </c>
      <c r="U474" s="264">
        <f>_xlfn.XLOOKUP(E474,'All Products'!D:D,'All Products'!P:P,FALSE)</f>
        <v>14.6</v>
      </c>
      <c r="V474" s="265">
        <f>_xlfn.XLOOKUP(E474,'All Products'!D:D,'All Products'!Q:Q,FALSE)</f>
        <v>1.1000000000000001</v>
      </c>
    </row>
    <row r="475" spans="1:22" ht="14.4" customHeight="1">
      <c r="A475" s="101" t="str">
        <f>IF(K475&gt;0,COUNT($A$8:A474)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75" s="610"/>
      <c r="C475" s="611"/>
      <c r="D475" s="274" t="str">
        <f>_xlfn.XLOOKUP(E475,'All Products'!D:D,'All Products'!C:C,FALSE)</f>
        <v>1-A1-3-7-14</v>
      </c>
      <c r="E475" s="153">
        <v>100023886</v>
      </c>
      <c r="F475" s="144" t="str">
        <f>_xlfn.XLOOKUP(E475,'All Products'!D:D,'All Products'!E:E,FALSE)</f>
        <v>2 SOC ELL X 1 MPT SU X 14 SJ</v>
      </c>
      <c r="G475" s="103">
        <f>_xlfn.XLOOKUP(E475,'All Products'!D:D,'All Products'!F:F,FALSE)</f>
        <v>10</v>
      </c>
      <c r="H475" s="103" t="str">
        <f>_xlfn.XLOOKUP(E475,'All Products'!D:D,'All Products'!G:G,FALSE)</f>
        <v>-</v>
      </c>
      <c r="I475" s="140">
        <f>_xlfn.XLOOKUP(E475,'All Products'!D:D,'All Products'!H:H,FALSE)</f>
        <v>143.82</v>
      </c>
      <c r="J475" s="255">
        <f>ROUNDUP(I475*Order_Quote!$L$26,2)</f>
        <v>143.82</v>
      </c>
      <c r="K475" s="161"/>
      <c r="L475" s="113"/>
      <c r="M475" s="243">
        <f t="shared" si="13"/>
        <v>0</v>
      </c>
      <c r="O475" s="215" t="str">
        <f>_xlfn.XLOOKUP(E475,'All Products'!D:D,'All Products'!I:I,FALSE)</f>
        <v>Within 3 Weeks</v>
      </c>
      <c r="P475" s="215" t="str">
        <f>_xlfn.XLOOKUP(E475,'All Products'!D:D,'All Products'!J:J,FALSE)</f>
        <v>Manufactured</v>
      </c>
      <c r="Q475" s="266">
        <f>_xlfn.XLOOKUP(E475,'All Products'!D:D,'All Products'!K:K,FALSE)</f>
        <v>49081023836</v>
      </c>
      <c r="R475" s="266" t="str">
        <f>_xlfn.XLOOKUP(E475,'All Products'!D:D,'All Products'!L:L,FALSE)</f>
        <v>-</v>
      </c>
      <c r="S475" s="266">
        <f>_xlfn.XLOOKUP(E475,'All Products'!D:D,'All Products'!M:M,FALSE)</f>
        <v>40049081023834</v>
      </c>
      <c r="T475" s="264">
        <f>_xlfn.XLOOKUP(E475,'All Products'!D:D,'All Products'!N:N,FALSE)</f>
        <v>1.4950000000000001</v>
      </c>
      <c r="U475" s="264">
        <f>_xlfn.XLOOKUP(E475,'All Products'!D:D,'All Products'!P:P,FALSE)</f>
        <v>15.3</v>
      </c>
      <c r="V475" s="265" t="str">
        <f>_xlfn.XLOOKUP(E475,'All Products'!D:D,'All Products'!Q:Q,FALSE)</f>
        <v>-</v>
      </c>
    </row>
    <row r="476" spans="1:22" ht="14.4" customHeight="1">
      <c r="A476" s="101" t="str">
        <f>IF(K476&gt;0,COUNT($A$8:A475)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76" s="610"/>
      <c r="C476" s="611"/>
      <c r="D476" s="274" t="str">
        <f>_xlfn.XLOOKUP(E476,'All Products'!D:D,'All Products'!C:C,FALSE)</f>
        <v>1-A1-3-7-8</v>
      </c>
      <c r="E476" s="153">
        <v>100023888</v>
      </c>
      <c r="F476" s="144" t="str">
        <f>_xlfn.XLOOKUP(E476,'All Products'!D:D,'All Products'!E:E,FALSE)</f>
        <v>2 SOC ELL X 1 MPT SU X 8 SJ</v>
      </c>
      <c r="G476" s="103">
        <f>_xlfn.XLOOKUP(E476,'All Products'!D:D,'All Products'!F:F,FALSE)</f>
        <v>10</v>
      </c>
      <c r="H476" s="103">
        <f>_xlfn.XLOOKUP(E476,'All Products'!D:D,'All Products'!G:G,FALSE)</f>
        <v>750</v>
      </c>
      <c r="I476" s="140">
        <f>_xlfn.XLOOKUP(E476,'All Products'!D:D,'All Products'!H:H,FALSE)</f>
        <v>121.5</v>
      </c>
      <c r="J476" s="255">
        <f>ROUNDUP(I476*Order_Quote!$L$26,2)</f>
        <v>121.5</v>
      </c>
      <c r="K476" s="161"/>
      <c r="L476" s="113"/>
      <c r="M476" s="243">
        <f t="shared" si="13"/>
        <v>0</v>
      </c>
      <c r="O476" s="215" t="str">
        <f>_xlfn.XLOOKUP(E476,'All Products'!D:D,'All Products'!I:I,FALSE)</f>
        <v>Within 3 Weeks</v>
      </c>
      <c r="P476" s="215" t="str">
        <f>_xlfn.XLOOKUP(E476,'All Products'!D:D,'All Products'!J:J,FALSE)</f>
        <v>Manufactured</v>
      </c>
      <c r="Q476" s="266">
        <f>_xlfn.XLOOKUP(E476,'All Products'!D:D,'All Products'!K:K,FALSE)</f>
        <v>49081023850</v>
      </c>
      <c r="R476" s="266" t="str">
        <f>_xlfn.XLOOKUP(E476,'All Products'!D:D,'All Products'!L:L,FALSE)</f>
        <v>-</v>
      </c>
      <c r="S476" s="266">
        <f>_xlfn.XLOOKUP(E476,'All Products'!D:D,'All Products'!M:M,FALSE)</f>
        <v>40049081023858</v>
      </c>
      <c r="T476" s="264">
        <f>_xlfn.XLOOKUP(E476,'All Products'!D:D,'All Products'!N:N,FALSE)</f>
        <v>1.298</v>
      </c>
      <c r="U476" s="264">
        <f>_xlfn.XLOOKUP(E476,'All Products'!D:D,'All Products'!P:P,FALSE)</f>
        <v>13.3</v>
      </c>
      <c r="V476" s="265">
        <f>_xlfn.XLOOKUP(E476,'All Products'!D:D,'All Products'!Q:Q,FALSE)</f>
        <v>1.1000000000000001</v>
      </c>
    </row>
    <row r="477" spans="1:22" ht="14.4" customHeight="1">
      <c r="A477" s="101" t="str">
        <f>IF(K477&gt;0,COUNT($A$8:A476)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77" s="610"/>
      <c r="C477" s="611"/>
      <c r="D477" s="274" t="str">
        <f>_xlfn.XLOOKUP(E477,'All Products'!D:D,'All Products'!C:C,FALSE)</f>
        <v>2-A2-16-7-12</v>
      </c>
      <c r="E477" s="153">
        <v>100024973</v>
      </c>
      <c r="F477" s="144" t="str">
        <f>_xlfn.XLOOKUP(E477,'All Products'!D:D,'All Products'!E:E,FALSE)</f>
        <v>2 SOC ELL X 1 ACME SU X 12 LL SJ</v>
      </c>
      <c r="G477" s="103">
        <f>_xlfn.XLOOKUP(E477,'All Products'!D:D,'All Products'!F:F,FALSE)</f>
        <v>10</v>
      </c>
      <c r="H477" s="103">
        <f>_xlfn.XLOOKUP(E477,'All Products'!D:D,'All Products'!G:G,FALSE)</f>
        <v>180</v>
      </c>
      <c r="I477" s="140">
        <f>_xlfn.XLOOKUP(E477,'All Products'!D:D,'All Products'!H:H,FALSE)</f>
        <v>173.7</v>
      </c>
      <c r="J477" s="255">
        <f>ROUNDUP(I477*Order_Quote!$L$26,2)</f>
        <v>173.7</v>
      </c>
      <c r="K477" s="161"/>
      <c r="L477" s="113"/>
      <c r="M477" s="243">
        <f t="shared" si="13"/>
        <v>0</v>
      </c>
      <c r="O477" s="215" t="str">
        <f>_xlfn.XLOOKUP(E477,'All Products'!D:D,'All Products'!I:I,FALSE)</f>
        <v>Within 3 Weeks</v>
      </c>
      <c r="P477" s="215" t="str">
        <f>_xlfn.XLOOKUP(E477,'All Products'!D:D,'All Products'!J:J,FALSE)</f>
        <v>Manufactured</v>
      </c>
      <c r="Q477" s="266">
        <f>_xlfn.XLOOKUP(E477,'All Products'!D:D,'All Products'!K:K,FALSE)</f>
        <v>49081029807</v>
      </c>
      <c r="R477" s="266" t="str">
        <f>_xlfn.XLOOKUP(E477,'All Products'!D:D,'All Products'!L:L,FALSE)</f>
        <v>-</v>
      </c>
      <c r="S477" s="266">
        <f>_xlfn.XLOOKUP(E477,'All Products'!D:D,'All Products'!M:M,FALSE)</f>
        <v>40049081029805</v>
      </c>
      <c r="T477" s="264">
        <f>_xlfn.XLOOKUP(E477,'All Products'!D:D,'All Products'!N:N,FALSE)</f>
        <v>1.982</v>
      </c>
      <c r="U477" s="264">
        <f>_xlfn.XLOOKUP(E477,'All Products'!D:D,'All Products'!P:P,FALSE)</f>
        <v>20.100000000000001</v>
      </c>
      <c r="V477" s="265">
        <f>_xlfn.XLOOKUP(E477,'All Products'!D:D,'All Products'!Q:Q,FALSE)</f>
        <v>2.65</v>
      </c>
    </row>
    <row r="478" spans="1:22" ht="14.4" customHeight="1">
      <c r="A478" s="101" t="str">
        <f>IF(K478&gt;0,COUNT($A$8:A477)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78" s="610"/>
      <c r="C478" s="611"/>
      <c r="D478" s="274" t="str">
        <f>_xlfn.XLOOKUP(E478,'All Products'!D:D,'All Products'!C:C,FALSE)</f>
        <v>2-A2-3-7-10</v>
      </c>
      <c r="E478" s="153">
        <v>100024220</v>
      </c>
      <c r="F478" s="144" t="str">
        <f>_xlfn.XLOOKUP(E478,'All Products'!D:D,'All Products'!E:E,FALSE)</f>
        <v>2 SOC ELL X 1-1/4 MPT SU X 10 SJ</v>
      </c>
      <c r="G478" s="103">
        <f>_xlfn.XLOOKUP(E478,'All Products'!D:D,'All Products'!F:F,FALSE)</f>
        <v>10</v>
      </c>
      <c r="H478" s="103" t="str">
        <f>_xlfn.XLOOKUP(E478,'All Products'!D:D,'All Products'!G:G,FALSE)</f>
        <v>-</v>
      </c>
      <c r="I478" s="140">
        <f>_xlfn.XLOOKUP(E478,'All Products'!D:D,'All Products'!H:H,FALSE)</f>
        <v>173.7</v>
      </c>
      <c r="J478" s="255">
        <f>ROUNDUP(I478*Order_Quote!$L$26,2)</f>
        <v>173.7</v>
      </c>
      <c r="K478" s="161"/>
      <c r="L478" s="113"/>
      <c r="M478" s="243">
        <f t="shared" si="13"/>
        <v>0</v>
      </c>
      <c r="O478" s="215" t="str">
        <f>_xlfn.XLOOKUP(E478,'All Products'!D:D,'All Products'!I:I,FALSE)</f>
        <v>Within 3 Weeks</v>
      </c>
      <c r="P478" s="215" t="str">
        <f>_xlfn.XLOOKUP(E478,'All Products'!D:D,'All Products'!J:J,FALSE)</f>
        <v>Manufactured</v>
      </c>
      <c r="Q478" s="266">
        <f>_xlfn.XLOOKUP(E478,'All Products'!D:D,'All Products'!K:K,FALSE)</f>
        <v>49081026554</v>
      </c>
      <c r="R478" s="266" t="str">
        <f>_xlfn.XLOOKUP(E478,'All Products'!D:D,'All Products'!L:L,FALSE)</f>
        <v>-</v>
      </c>
      <c r="S478" s="266">
        <f>_xlfn.XLOOKUP(E478,'All Products'!D:D,'All Products'!M:M,FALSE)</f>
        <v>40049081026552</v>
      </c>
      <c r="T478" s="264">
        <f>_xlfn.XLOOKUP(E478,'All Products'!D:D,'All Products'!N:N,FALSE)</f>
        <v>1.5549999999999999</v>
      </c>
      <c r="U478" s="264">
        <f>_xlfn.XLOOKUP(E478,'All Products'!D:D,'All Products'!P:P,FALSE)</f>
        <v>18.46</v>
      </c>
      <c r="V478" s="265">
        <f>_xlfn.XLOOKUP(E478,'All Products'!D:D,'All Products'!Q:Q,FALSE)</f>
        <v>2.11</v>
      </c>
    </row>
    <row r="479" spans="1:22" ht="14.4" customHeight="1">
      <c r="A479" s="101" t="str">
        <f>IF(K479&gt;0,COUNT($A$8:A478)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79" s="610"/>
      <c r="C479" s="611"/>
      <c r="D479" s="274" t="str">
        <f>_xlfn.XLOOKUP(E479,'All Products'!D:D,'All Products'!C:C,FALSE)</f>
        <v>2-A2-3-7-12</v>
      </c>
      <c r="E479" s="153">
        <v>100024221</v>
      </c>
      <c r="F479" s="144" t="str">
        <f>_xlfn.XLOOKUP(E479,'All Products'!D:D,'All Products'!E:E,FALSE)</f>
        <v>2 SOC ELL X 1-1/4 MPT SU X 12 SJ</v>
      </c>
      <c r="G479" s="103">
        <f>_xlfn.XLOOKUP(E479,'All Products'!D:D,'All Products'!F:F,FALSE)</f>
        <v>10</v>
      </c>
      <c r="H479" s="103" t="str">
        <f>_xlfn.XLOOKUP(E479,'All Products'!D:D,'All Products'!G:G,FALSE)</f>
        <v>-</v>
      </c>
      <c r="I479" s="140">
        <f>_xlfn.XLOOKUP(E479,'All Products'!D:D,'All Products'!H:H,FALSE)</f>
        <v>173.7</v>
      </c>
      <c r="J479" s="255">
        <f>ROUNDUP(I479*Order_Quote!$L$26,2)</f>
        <v>173.7</v>
      </c>
      <c r="K479" s="161"/>
      <c r="L479" s="113"/>
      <c r="M479" s="243">
        <f t="shared" si="13"/>
        <v>0</v>
      </c>
      <c r="O479" s="215" t="str">
        <f>_xlfn.XLOOKUP(E479,'All Products'!D:D,'All Products'!I:I,FALSE)</f>
        <v>Within 3 Weeks</v>
      </c>
      <c r="P479" s="215" t="str">
        <f>_xlfn.XLOOKUP(E479,'All Products'!D:D,'All Products'!J:J,FALSE)</f>
        <v>Manufactured</v>
      </c>
      <c r="Q479" s="266">
        <f>_xlfn.XLOOKUP(E479,'All Products'!D:D,'All Products'!K:K,FALSE)</f>
        <v>49081026561</v>
      </c>
      <c r="R479" s="266" t="str">
        <f>_xlfn.XLOOKUP(E479,'All Products'!D:D,'All Products'!L:L,FALSE)</f>
        <v>-</v>
      </c>
      <c r="S479" s="266">
        <f>_xlfn.XLOOKUP(E479,'All Products'!D:D,'All Products'!M:M,FALSE)</f>
        <v>40049081026569</v>
      </c>
      <c r="T479" s="264">
        <f>_xlfn.XLOOKUP(E479,'All Products'!D:D,'All Products'!N:N,FALSE)</f>
        <v>1.9419999999999999</v>
      </c>
      <c r="U479" s="264">
        <f>_xlfn.XLOOKUP(E479,'All Products'!D:D,'All Products'!P:P,FALSE)</f>
        <v>19.3</v>
      </c>
      <c r="V479" s="265">
        <f>_xlfn.XLOOKUP(E479,'All Products'!D:D,'All Products'!Q:Q,FALSE)</f>
        <v>2.11</v>
      </c>
    </row>
    <row r="480" spans="1:22" ht="14.4" customHeight="1">
      <c r="A480" s="101" t="str">
        <f>IF(K480&gt;0,COUNT($A$8:A479)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80" s="610"/>
      <c r="C480" s="611"/>
      <c r="D480" s="274" t="str">
        <f>_xlfn.XLOOKUP(E480,'All Products'!D:D,'All Products'!C:C,FALSE)</f>
        <v>3-A1-3-7-12</v>
      </c>
      <c r="E480" s="153">
        <v>100024402</v>
      </c>
      <c r="F480" s="144" t="str">
        <f>_xlfn.XLOOKUP(E480,'All Products'!D:D,'All Products'!E:E,FALSE)</f>
        <v>2 SOC ELL X 1-1/2 MIPT SU X 12 SJ</v>
      </c>
      <c r="G480" s="103">
        <f>_xlfn.XLOOKUP(E480,'All Products'!D:D,'All Products'!F:F,FALSE)</f>
        <v>10</v>
      </c>
      <c r="H480" s="103">
        <f>_xlfn.XLOOKUP(E480,'All Products'!D:D,'All Products'!G:G,FALSE)</f>
        <v>180</v>
      </c>
      <c r="I480" s="140">
        <f>_xlfn.XLOOKUP(E480,'All Products'!D:D,'All Products'!H:H,FALSE)</f>
        <v>210.6</v>
      </c>
      <c r="J480" s="255">
        <f>ROUNDUP(I480*Order_Quote!$L$26,2)</f>
        <v>210.6</v>
      </c>
      <c r="K480" s="161"/>
      <c r="L480" s="113"/>
      <c r="M480" s="243">
        <f t="shared" si="13"/>
        <v>0</v>
      </c>
      <c r="O480" s="215" t="str">
        <f>_xlfn.XLOOKUP(E480,'All Products'!D:D,'All Products'!I:I,FALSE)</f>
        <v>Within 3 Weeks</v>
      </c>
      <c r="P480" s="215" t="str">
        <f>_xlfn.XLOOKUP(E480,'All Products'!D:D,'All Products'!J:J,FALSE)</f>
        <v>Manufactured</v>
      </c>
      <c r="Q480" s="266">
        <f>_xlfn.XLOOKUP(E480,'All Products'!D:D,'All Products'!K:K,FALSE)</f>
        <v>49081027872</v>
      </c>
      <c r="R480" s="266" t="str">
        <f>_xlfn.XLOOKUP(E480,'All Products'!D:D,'All Products'!L:L,FALSE)</f>
        <v>-</v>
      </c>
      <c r="S480" s="266">
        <f>_xlfn.XLOOKUP(E480,'All Products'!D:D,'All Products'!M:M,FALSE)</f>
        <v>40049081027870</v>
      </c>
      <c r="T480" s="264">
        <f>_xlfn.XLOOKUP(E480,'All Products'!D:D,'All Products'!N:N,FALSE)</f>
        <v>2.2839999999999998</v>
      </c>
      <c r="U480" s="264">
        <f>_xlfn.XLOOKUP(E480,'All Products'!D:D,'All Products'!P:P,FALSE)</f>
        <v>24.04</v>
      </c>
      <c r="V480" s="265">
        <f>_xlfn.XLOOKUP(E480,'All Products'!D:D,'All Products'!Q:Q,FALSE)</f>
        <v>2.65</v>
      </c>
    </row>
    <row r="481" spans="1:22" ht="14.4" customHeight="1">
      <c r="A481" s="101" t="str">
        <f>IF(K481&gt;0,COUNT($A$8:A480)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81" s="610"/>
      <c r="C481" s="611"/>
      <c r="D481" s="274" t="str">
        <f>_xlfn.XLOOKUP(E481,'All Products'!D:D,'All Products'!C:C,FALSE)</f>
        <v>3-A3-21-7-12</v>
      </c>
      <c r="E481" s="153">
        <v>100025028</v>
      </c>
      <c r="F481" s="144" t="str">
        <f>_xlfn.XLOOKUP(E481,'All Products'!D:D,'All Products'!E:E,FALSE)</f>
        <v>2 SOC ELL X 1-1/2 ACME SU X 12 SJ</v>
      </c>
      <c r="G481" s="103">
        <f>_xlfn.XLOOKUP(E481,'All Products'!D:D,'All Products'!F:F,FALSE)</f>
        <v>10</v>
      </c>
      <c r="H481" s="103">
        <f>_xlfn.XLOOKUP(E481,'All Products'!D:D,'All Products'!G:G,FALSE)</f>
        <v>180</v>
      </c>
      <c r="I481" s="140">
        <f>_xlfn.XLOOKUP(E481,'All Products'!D:D,'All Products'!H:H,FALSE)</f>
        <v>210.6</v>
      </c>
      <c r="J481" s="255">
        <f>ROUNDUP(I481*Order_Quote!$L$26,2)</f>
        <v>210.6</v>
      </c>
      <c r="K481" s="161"/>
      <c r="L481" s="113"/>
      <c r="M481" s="243">
        <f t="shared" si="13"/>
        <v>0</v>
      </c>
      <c r="O481" s="215" t="str">
        <f>_xlfn.XLOOKUP(E481,'All Products'!D:D,'All Products'!I:I,FALSE)</f>
        <v>Within 3 Weeks</v>
      </c>
      <c r="P481" s="215" t="str">
        <f>_xlfn.XLOOKUP(E481,'All Products'!D:D,'All Products'!J:J,FALSE)</f>
        <v>Manufactured</v>
      </c>
      <c r="Q481" s="266">
        <f>_xlfn.XLOOKUP(E481,'All Products'!D:D,'All Products'!K:K,FALSE)</f>
        <v>49081021764</v>
      </c>
      <c r="R481" s="266" t="str">
        <f>_xlfn.XLOOKUP(E481,'All Products'!D:D,'All Products'!L:L,FALSE)</f>
        <v>-</v>
      </c>
      <c r="S481" s="266">
        <f>_xlfn.XLOOKUP(E481,'All Products'!D:D,'All Products'!M:M,FALSE)</f>
        <v>40049081021762</v>
      </c>
      <c r="T481" s="264">
        <f>_xlfn.XLOOKUP(E481,'All Products'!D:D,'All Products'!N:N,FALSE)</f>
        <v>2.339</v>
      </c>
      <c r="U481" s="264">
        <f>_xlfn.XLOOKUP(E481,'All Products'!D:D,'All Products'!P:P,FALSE)</f>
        <v>24.54</v>
      </c>
      <c r="V481" s="265">
        <f>_xlfn.XLOOKUP(E481,'All Products'!D:D,'All Products'!Q:Q,FALSE)</f>
        <v>2.65</v>
      </c>
    </row>
    <row r="482" spans="1:22" ht="14.4" customHeight="1">
      <c r="A482" s="101" t="str">
        <f>IF(K482&gt;0,COUNT($A$8:A481)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82" s="610"/>
      <c r="C482" s="611"/>
      <c r="D482" s="274" t="str">
        <f>_xlfn.XLOOKUP(E482,'All Products'!D:D,'All Products'!C:C,FALSE)</f>
        <v>3-A3-21-7-6</v>
      </c>
      <c r="E482" s="153">
        <v>100024463</v>
      </c>
      <c r="F482" s="144" t="str">
        <f>_xlfn.XLOOKUP(E482,'All Products'!D:D,'All Products'!E:E,FALSE)</f>
        <v>2 SOC ELL X 1-1/2 ACME SU X 6LL SJ</v>
      </c>
      <c r="G482" s="103">
        <f>_xlfn.XLOOKUP(E482,'All Products'!D:D,'All Products'!F:F,FALSE)</f>
        <v>1</v>
      </c>
      <c r="H482" s="103">
        <f>_xlfn.XLOOKUP(E482,'All Products'!D:D,'All Products'!G:G,FALSE)</f>
        <v>60</v>
      </c>
      <c r="I482" s="140">
        <f>_xlfn.XLOOKUP(E482,'All Products'!D:D,'All Products'!H:H,FALSE)</f>
        <v>199.54</v>
      </c>
      <c r="J482" s="255">
        <f>ROUNDUP(I482*Order_Quote!$L$26,2)</f>
        <v>199.54</v>
      </c>
      <c r="K482" s="161"/>
      <c r="L482" s="113"/>
      <c r="M482" s="243">
        <f t="shared" si="13"/>
        <v>0</v>
      </c>
      <c r="O482" s="215" t="str">
        <f>_xlfn.XLOOKUP(E482,'All Products'!D:D,'All Products'!I:I,FALSE)</f>
        <v>Within 3 Weeks</v>
      </c>
      <c r="P482" s="215" t="str">
        <f>_xlfn.XLOOKUP(E482,'All Products'!D:D,'All Products'!J:J,FALSE)</f>
        <v>Manufactured</v>
      </c>
      <c r="Q482" s="266">
        <f>_xlfn.XLOOKUP(E482,'All Products'!D:D,'All Products'!K:K,FALSE)</f>
        <v>49081031510</v>
      </c>
      <c r="R482" s="266" t="str">
        <f>_xlfn.XLOOKUP(E482,'All Products'!D:D,'All Products'!L:L,FALSE)</f>
        <v>-</v>
      </c>
      <c r="S482" s="266">
        <f>_xlfn.XLOOKUP(E482,'All Products'!D:D,'All Products'!M:M,FALSE)</f>
        <v>40049081031518</v>
      </c>
      <c r="T482" s="264">
        <f>_xlfn.XLOOKUP(E482,'All Products'!D:D,'All Products'!N:N,FALSE)</f>
        <v>2.0179999999999998</v>
      </c>
      <c r="U482" s="264">
        <f>_xlfn.XLOOKUP(E482,'All Products'!D:D,'All Products'!P:P,FALSE)</f>
        <v>20.9</v>
      </c>
      <c r="V482" s="265">
        <f>_xlfn.XLOOKUP(E482,'All Products'!D:D,'All Products'!Q:Q,FALSE)</f>
        <v>1.41</v>
      </c>
    </row>
    <row r="483" spans="1:22" ht="14.4" customHeight="1">
      <c r="A483" s="101" t="str">
        <f>IF(K483&gt;0,COUNT($A$8:A482)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83" s="610"/>
      <c r="C483" s="611"/>
      <c r="D483" s="274" t="str">
        <f>_xlfn.XLOOKUP(E483,'All Products'!D:D,'All Products'!C:C,FALSE)</f>
        <v>3-A3-21-7-8</v>
      </c>
      <c r="E483" s="153">
        <v>100024464</v>
      </c>
      <c r="F483" s="144" t="str">
        <f>_xlfn.XLOOKUP(E483,'All Products'!D:D,'All Products'!E:E,FALSE)</f>
        <v>2 SOC ELL X 1-1/2 ACME SU X 8LL SJ</v>
      </c>
      <c r="G483" s="103">
        <f>_xlfn.XLOOKUP(E483,'All Products'!D:D,'All Products'!F:F,FALSE)</f>
        <v>10</v>
      </c>
      <c r="H483" s="103">
        <f>_xlfn.XLOOKUP(E483,'All Products'!D:D,'All Products'!G:G,FALSE)</f>
        <v>600</v>
      </c>
      <c r="I483" s="140">
        <f>_xlfn.XLOOKUP(E483,'All Products'!D:D,'All Products'!H:H,FALSE)</f>
        <v>199.54</v>
      </c>
      <c r="J483" s="255">
        <f>ROUNDUP(I483*Order_Quote!$L$26,2)</f>
        <v>199.54</v>
      </c>
      <c r="K483" s="161"/>
      <c r="L483" s="113"/>
      <c r="M483" s="243">
        <f t="shared" si="13"/>
        <v>0</v>
      </c>
      <c r="O483" s="215" t="str">
        <f>_xlfn.XLOOKUP(E483,'All Products'!D:D,'All Products'!I:I,FALSE)</f>
        <v>Within 3 Weeks</v>
      </c>
      <c r="P483" s="215" t="str">
        <f>_xlfn.XLOOKUP(E483,'All Products'!D:D,'All Products'!J:J,FALSE)</f>
        <v>Manufactured</v>
      </c>
      <c r="Q483" s="266">
        <f>_xlfn.XLOOKUP(E483,'All Products'!D:D,'All Products'!K:K,FALSE)</f>
        <v>49081031503</v>
      </c>
      <c r="R483" s="266" t="str">
        <f>_xlfn.XLOOKUP(E483,'All Products'!D:D,'All Products'!L:L,FALSE)</f>
        <v>-</v>
      </c>
      <c r="S483" s="266">
        <f>_xlfn.XLOOKUP(E483,'All Products'!D:D,'All Products'!M:M,FALSE)</f>
        <v>40049081031501</v>
      </c>
      <c r="T483" s="264">
        <f>_xlfn.XLOOKUP(E483,'All Products'!D:D,'All Products'!N:N,FALSE)</f>
        <v>2.1280000000000001</v>
      </c>
      <c r="U483" s="264">
        <f>_xlfn.XLOOKUP(E483,'All Products'!D:D,'All Products'!P:P,FALSE)</f>
        <v>21.7</v>
      </c>
      <c r="V483" s="265">
        <f>_xlfn.XLOOKUP(E483,'All Products'!D:D,'All Products'!Q:Q,FALSE)</f>
        <v>1.41</v>
      </c>
    </row>
    <row r="484" spans="1:22" ht="14.4" customHeight="1">
      <c r="A484" s="101" t="str">
        <f>IF(K484&gt;0,COUNT($A$8:A483)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84" s="610"/>
      <c r="C484" s="611"/>
      <c r="D484" s="274" t="str">
        <f>_xlfn.XLOOKUP(E484,'All Products'!D:D,'All Products'!C:C,FALSE)</f>
        <v>3-A3-3-7-10</v>
      </c>
      <c r="E484" s="153">
        <v>100024486</v>
      </c>
      <c r="F484" s="144" t="str">
        <f>_xlfn.XLOOKUP(E484,'All Products'!D:D,'All Products'!E:E,FALSE)</f>
        <v>2 SOC ELL X 1-1/2 MPT SU X 10 SJ</v>
      </c>
      <c r="G484" s="103">
        <f>_xlfn.XLOOKUP(E484,'All Products'!D:D,'All Products'!F:F,FALSE)</f>
        <v>10</v>
      </c>
      <c r="H484" s="103" t="str">
        <f>_xlfn.XLOOKUP(E484,'All Products'!D:D,'All Products'!G:G,FALSE)</f>
        <v>-</v>
      </c>
      <c r="I484" s="140">
        <f>_xlfn.XLOOKUP(E484,'All Products'!D:D,'All Products'!H:H,FALSE)</f>
        <v>210.6</v>
      </c>
      <c r="J484" s="255">
        <f>ROUNDUP(I484*Order_Quote!$L$26,2)</f>
        <v>210.6</v>
      </c>
      <c r="K484" s="161"/>
      <c r="L484" s="113"/>
      <c r="M484" s="243">
        <f t="shared" si="13"/>
        <v>0</v>
      </c>
      <c r="O484" s="215" t="str">
        <f>_xlfn.XLOOKUP(E484,'All Products'!D:D,'All Products'!I:I,FALSE)</f>
        <v>Within 3 Weeks</v>
      </c>
      <c r="P484" s="215" t="str">
        <f>_xlfn.XLOOKUP(E484,'All Products'!D:D,'All Products'!J:J,FALSE)</f>
        <v>Manufactured</v>
      </c>
      <c r="Q484" s="266">
        <f>_xlfn.XLOOKUP(E484,'All Products'!D:D,'All Products'!K:K,FALSE)</f>
        <v>49081028558</v>
      </c>
      <c r="R484" s="266" t="str">
        <f>_xlfn.XLOOKUP(E484,'All Products'!D:D,'All Products'!L:L,FALSE)</f>
        <v>-</v>
      </c>
      <c r="S484" s="266">
        <f>_xlfn.XLOOKUP(E484,'All Products'!D:D,'All Products'!M:M,FALSE)</f>
        <v>40049081028556</v>
      </c>
      <c r="T484" s="264">
        <f>_xlfn.XLOOKUP(E484,'All Products'!D:D,'All Products'!N:N,FALSE)</f>
        <v>2.1779999999999999</v>
      </c>
      <c r="U484" s="264">
        <f>_xlfn.XLOOKUP(E484,'All Products'!D:D,'All Products'!P:P,FALSE)</f>
        <v>23.3</v>
      </c>
      <c r="V484" s="265" t="str">
        <f>_xlfn.XLOOKUP(E484,'All Products'!D:D,'All Products'!Q:Q,FALSE)</f>
        <v>-</v>
      </c>
    </row>
    <row r="485" spans="1:22" ht="14.4" customHeight="1">
      <c r="A485" s="101" t="str">
        <f>IF(K485&gt;0,COUNT($A$8:A484)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85" s="610"/>
      <c r="C485" s="611"/>
      <c r="D485" s="274" t="str">
        <f>_xlfn.XLOOKUP(E485,'All Products'!D:D,'All Products'!C:C,FALSE)</f>
        <v>3-A3-3-7-12</v>
      </c>
      <c r="E485" s="153">
        <v>100024487</v>
      </c>
      <c r="F485" s="144" t="str">
        <f>_xlfn.XLOOKUP(E485,'All Products'!D:D,'All Products'!E:E,FALSE)</f>
        <v>2 SOC ELL X 1-1/2 MPT SU X 12 SJ</v>
      </c>
      <c r="G485" s="103">
        <f>_xlfn.XLOOKUP(E485,'All Products'!D:D,'All Products'!F:F,FALSE)</f>
        <v>10</v>
      </c>
      <c r="H485" s="103" t="str">
        <f>_xlfn.XLOOKUP(E485,'All Products'!D:D,'All Products'!G:G,FALSE)</f>
        <v>-</v>
      </c>
      <c r="I485" s="140">
        <f>_xlfn.XLOOKUP(E485,'All Products'!D:D,'All Products'!H:H,FALSE)</f>
        <v>210.6</v>
      </c>
      <c r="J485" s="255">
        <f>ROUNDUP(I485*Order_Quote!$L$26,2)</f>
        <v>210.6</v>
      </c>
      <c r="K485" s="161"/>
      <c r="L485" s="113"/>
      <c r="M485" s="243">
        <f t="shared" si="13"/>
        <v>0</v>
      </c>
      <c r="O485" s="215" t="str">
        <f>_xlfn.XLOOKUP(E485,'All Products'!D:D,'All Products'!I:I,FALSE)</f>
        <v>Within 3 Weeks</v>
      </c>
      <c r="P485" s="215" t="str">
        <f>_xlfn.XLOOKUP(E485,'All Products'!D:D,'All Products'!J:J,FALSE)</f>
        <v>Manufactured</v>
      </c>
      <c r="Q485" s="266">
        <f>_xlfn.XLOOKUP(E485,'All Products'!D:D,'All Products'!K:K,FALSE)</f>
        <v>49081028565</v>
      </c>
      <c r="R485" s="266" t="str">
        <f>_xlfn.XLOOKUP(E485,'All Products'!D:D,'All Products'!L:L,FALSE)</f>
        <v>-</v>
      </c>
      <c r="S485" s="266">
        <f>_xlfn.XLOOKUP(E485,'All Products'!D:D,'All Products'!M:M,FALSE)</f>
        <v>40049081028563</v>
      </c>
      <c r="T485" s="264">
        <f>_xlfn.XLOOKUP(E485,'All Products'!D:D,'All Products'!N:N,FALSE)</f>
        <v>2.2839999999999998</v>
      </c>
      <c r="U485" s="264">
        <f>_xlfn.XLOOKUP(E485,'All Products'!D:D,'All Products'!P:P,FALSE)</f>
        <v>24.6</v>
      </c>
      <c r="V485" s="265" t="str">
        <f>_xlfn.XLOOKUP(E485,'All Products'!D:D,'All Products'!Q:Q,FALSE)</f>
        <v>-</v>
      </c>
    </row>
    <row r="486" spans="1:22" ht="14.4" customHeight="1" thickBot="1">
      <c r="A486" s="101" t="str">
        <f>IF(K486&gt;0,COUNT($A$8:A485)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86" s="715"/>
      <c r="C486" s="697"/>
      <c r="D486" s="274" t="str">
        <f>_xlfn.XLOOKUP(E486,'All Products'!D:D,'All Products'!C:C,FALSE)</f>
        <v>3-A3-3-7-14</v>
      </c>
      <c r="E486" s="153">
        <v>100024488</v>
      </c>
      <c r="F486" s="144" t="str">
        <f>_xlfn.XLOOKUP(E486,'All Products'!D:D,'All Products'!E:E,FALSE)</f>
        <v>2 SOC ELL X 1-1/2 MPT SU X 14 SJ</v>
      </c>
      <c r="G486" s="103">
        <f>_xlfn.XLOOKUP(E486,'All Products'!D:D,'All Products'!F:F,FALSE)</f>
        <v>10</v>
      </c>
      <c r="H486" s="103" t="str">
        <f>_xlfn.XLOOKUP(E486,'All Products'!D:D,'All Products'!G:G,FALSE)</f>
        <v>-</v>
      </c>
      <c r="I486" s="140">
        <f>_xlfn.XLOOKUP(E486,'All Products'!D:D,'All Products'!H:H,FALSE)</f>
        <v>221.64</v>
      </c>
      <c r="J486" s="255">
        <f>ROUNDUP(I486*Order_Quote!$L$26,2)</f>
        <v>221.64</v>
      </c>
      <c r="K486" s="161"/>
      <c r="L486" s="113"/>
      <c r="M486" s="243">
        <f t="shared" si="13"/>
        <v>0</v>
      </c>
      <c r="O486" s="567" t="str">
        <f>_xlfn.XLOOKUP(E486,'All Products'!D:D,'All Products'!I:I,FALSE)</f>
        <v>Within 3 Weeks</v>
      </c>
      <c r="P486" s="567" t="str">
        <f>_xlfn.XLOOKUP(E486,'All Products'!D:D,'All Products'!J:J,FALSE)</f>
        <v>Manufactured</v>
      </c>
      <c r="Q486" s="569">
        <f>_xlfn.XLOOKUP(E486,'All Products'!D:D,'All Products'!K:K,FALSE)</f>
        <v>49081028572</v>
      </c>
      <c r="R486" s="569" t="str">
        <f>_xlfn.XLOOKUP(E486,'All Products'!D:D,'All Products'!L:L,FALSE)</f>
        <v>-</v>
      </c>
      <c r="S486" s="569">
        <f>_xlfn.XLOOKUP(E486,'All Products'!D:D,'All Products'!M:M,FALSE)</f>
        <v>40049081028570</v>
      </c>
      <c r="T486" s="583">
        <f>_xlfn.XLOOKUP(E486,'All Products'!D:D,'All Products'!N:N,FALSE)</f>
        <v>2.3730000000000002</v>
      </c>
      <c r="U486" s="583">
        <f>_xlfn.XLOOKUP(E486,'All Products'!D:D,'All Products'!P:P,FALSE)</f>
        <v>12</v>
      </c>
      <c r="V486" s="570" t="str">
        <f>_xlfn.XLOOKUP(E486,'All Products'!D:D,'All Products'!Q:Q,FALSE)</f>
        <v>-</v>
      </c>
    </row>
    <row r="487" spans="1:22" ht="16.2" thickBot="1">
      <c r="A487" s="101" t="str">
        <f>IF(K487&gt;0,COUNT($A$8:A486)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87" s="446" t="s">
        <v>3362</v>
      </c>
      <c r="C487" s="151"/>
      <c r="D487" s="151"/>
      <c r="E487" s="459"/>
      <c r="F487" s="151"/>
      <c r="G487" s="468"/>
      <c r="H487" s="151"/>
      <c r="I487" s="472"/>
      <c r="J487" s="468"/>
      <c r="K487" s="566"/>
      <c r="M487" s="545"/>
      <c r="O487" s="357"/>
      <c r="P487" s="145"/>
      <c r="Q487" s="493"/>
      <c r="R487" s="493"/>
      <c r="S487" s="493"/>
      <c r="T487" s="479"/>
      <c r="U487" s="459"/>
      <c r="V487" s="582"/>
    </row>
    <row r="488" spans="1:22" ht="67.5" customHeight="1" thickBot="1">
      <c r="A488" s="101" t="str">
        <f>IF(K488&gt;0,COUNT($A$8:A487)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88" s="714"/>
      <c r="C488" s="709"/>
      <c r="D488" s="274" t="str">
        <f>_xlfn.XLOOKUP(E488,'All Products'!D:D,'All Products'!C:C,FALSE)</f>
        <v>3-A3-21-13-12</v>
      </c>
      <c r="E488" s="103">
        <v>100024451</v>
      </c>
      <c r="F488" s="144" t="str">
        <f>_xlfn.XLOOKUP(E488,'All Products'!D:D,'All Products'!E:E,FALSE)</f>
        <v>2 HTEE X 1-1/2 ACME SU X 12 SJ</v>
      </c>
      <c r="G488" s="103">
        <f>_xlfn.XLOOKUP(E488,'All Products'!D:D,'All Products'!F:F,FALSE)</f>
        <v>10</v>
      </c>
      <c r="H488" s="103">
        <f>_xlfn.XLOOKUP(E488,'All Products'!D:D,'All Products'!G:G,FALSE)</f>
        <v>180</v>
      </c>
      <c r="I488" s="140">
        <f>_xlfn.XLOOKUP(E488,'All Products'!D:D,'All Products'!H:H,FALSE)</f>
        <v>302.60000000000002</v>
      </c>
      <c r="J488" s="173">
        <f>ROUNDUP(I488*Order_Quote!$L$26,2)</f>
        <v>302.60000000000002</v>
      </c>
      <c r="K488" s="75"/>
      <c r="L488" s="113"/>
      <c r="M488" s="171">
        <f>K488/G488</f>
        <v>0</v>
      </c>
      <c r="O488" s="567" t="str">
        <f>_xlfn.XLOOKUP(E488,'All Products'!D:D,'All Products'!I:I,FALSE)</f>
        <v>Within 3 Weeks</v>
      </c>
      <c r="P488" s="567" t="str">
        <f>_xlfn.XLOOKUP(E488,'All Products'!D:D,'All Products'!J:J,FALSE)</f>
        <v>Manufactured</v>
      </c>
      <c r="Q488" s="569">
        <f>_xlfn.XLOOKUP(E488,'All Products'!D:D,'All Products'!K:K,FALSE)</f>
        <v>49081022761</v>
      </c>
      <c r="R488" s="569" t="str">
        <f>_xlfn.XLOOKUP(E488,'All Products'!D:D,'All Products'!L:L,FALSE)</f>
        <v>-</v>
      </c>
      <c r="S488" s="569">
        <f>_xlfn.XLOOKUP(E488,'All Products'!D:D,'All Products'!M:M,FALSE)</f>
        <v>40049081022769</v>
      </c>
      <c r="T488" s="583">
        <f>_xlfn.XLOOKUP(E488,'All Products'!D:D,'All Products'!N:N,FALSE)</f>
        <v>1.73</v>
      </c>
      <c r="U488" s="583">
        <f>_xlfn.XLOOKUP(E488,'All Products'!D:D,'All Products'!P:P,FALSE)</f>
        <v>33.799999999999997</v>
      </c>
      <c r="V488" s="570">
        <f>_xlfn.XLOOKUP(E488,'All Products'!D:D,'All Products'!Q:Q,FALSE)</f>
        <v>4.38</v>
      </c>
    </row>
    <row r="489" spans="1:22" ht="16.2" thickBot="1">
      <c r="A489" s="101" t="str">
        <f>IF(K489&gt;0,COUNT($A$8:A488)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89" s="446" t="s">
        <v>3365</v>
      </c>
      <c r="C489" s="151"/>
      <c r="D489" s="151"/>
      <c r="E489" s="459"/>
      <c r="F489" s="151"/>
      <c r="G489" s="468"/>
      <c r="H489" s="151"/>
      <c r="I489" s="472"/>
      <c r="J489" s="468"/>
      <c r="K489" s="566"/>
      <c r="M489" s="545"/>
      <c r="O489" s="357"/>
      <c r="P489" s="145"/>
      <c r="Q489" s="493"/>
      <c r="R489" s="493"/>
      <c r="S489" s="493"/>
      <c r="T489" s="479"/>
      <c r="U489" s="459"/>
      <c r="V489" s="582"/>
    </row>
    <row r="490" spans="1:22" ht="18" customHeight="1">
      <c r="A490" s="101" t="str">
        <f>IF(K490&gt;0,COUNT($A$8:A489)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90" s="682"/>
      <c r="C490" s="683"/>
      <c r="D490" s="274" t="str">
        <f>_xlfn.XLOOKUP(E490,'All Products'!D:D,'All Products'!C:C,FALSE)</f>
        <v>1-A1-11-4-0</v>
      </c>
      <c r="E490" s="103">
        <v>100023782</v>
      </c>
      <c r="F490" s="144" t="str">
        <f>_xlfn.XLOOKUP(E490,'All Products'!D:D,'All Products'!E:E,FALSE)</f>
        <v>1 SOC X 1 BRASS MIPT ULTRA KIT SJ</v>
      </c>
      <c r="G490" s="103">
        <f>_xlfn.XLOOKUP(E490,'All Products'!D:D,'All Products'!F:F,FALSE)</f>
        <v>10</v>
      </c>
      <c r="H490" s="103">
        <f>_xlfn.XLOOKUP(E490,'All Products'!D:D,'All Products'!G:G,FALSE)</f>
        <v>750</v>
      </c>
      <c r="I490" s="140">
        <f>_xlfn.XLOOKUP(E490,'All Products'!D:D,'All Products'!H:H,FALSE)</f>
        <v>246.94</v>
      </c>
      <c r="J490" s="173">
        <f>ROUNDUP(I490*Order_Quote!$L$26,2)</f>
        <v>246.94</v>
      </c>
      <c r="K490" s="75"/>
      <c r="L490" s="113"/>
      <c r="M490" s="171">
        <f>K490/G490</f>
        <v>0</v>
      </c>
      <c r="O490" s="215" t="str">
        <f>_xlfn.XLOOKUP(E490,'All Products'!D:D,'All Products'!I:I,FALSE)</f>
        <v>Within 3 Weeks</v>
      </c>
      <c r="P490" s="215" t="str">
        <f>_xlfn.XLOOKUP(E490,'All Products'!D:D,'All Products'!J:J,FALSE)</f>
        <v>Manufactured</v>
      </c>
      <c r="Q490" s="266">
        <f>_xlfn.XLOOKUP(E490,'All Products'!D:D,'All Products'!K:K,FALSE)</f>
        <v>49081031305</v>
      </c>
      <c r="R490" s="266" t="str">
        <f>_xlfn.XLOOKUP(E490,'All Products'!D:D,'All Products'!L:L,FALSE)</f>
        <v>-</v>
      </c>
      <c r="S490" s="266">
        <f>_xlfn.XLOOKUP(E490,'All Products'!D:D,'All Products'!M:M,FALSE)</f>
        <v>40049081031303</v>
      </c>
      <c r="T490" s="264">
        <f>_xlfn.XLOOKUP(E490,'All Products'!D:D,'All Products'!N:N,FALSE)</f>
        <v>2.23</v>
      </c>
      <c r="U490" s="264">
        <f>_xlfn.XLOOKUP(E490,'All Products'!D:D,'All Products'!P:P,FALSE)</f>
        <v>22.3</v>
      </c>
      <c r="V490" s="265">
        <f>_xlfn.XLOOKUP(E490,'All Products'!D:D,'All Products'!Q:Q,FALSE)</f>
        <v>1.1000000000000001</v>
      </c>
    </row>
    <row r="491" spans="1:22" ht="18" customHeight="1">
      <c r="A491" s="101" t="str">
        <f>IF(K491&gt;0,COUNT($A$8:A490)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91" s="610"/>
      <c r="C491" s="611"/>
      <c r="D491" s="274" t="str">
        <f>_xlfn.XLOOKUP(E491,'All Products'!D:D,'All Products'!C:C,FALSE)</f>
        <v>1-A5-2-4-0</v>
      </c>
      <c r="E491" s="153">
        <v>100024001</v>
      </c>
      <c r="F491" s="144" t="str">
        <f>_xlfn.XLOOKUP(E491,'All Products'!D:D,'All Products'!E:E,FALSE)</f>
        <v>1 MIPT X 1 FIPT ULTRA KIT SJ</v>
      </c>
      <c r="G491" s="103">
        <f>_xlfn.XLOOKUP(E491,'All Products'!D:D,'All Products'!F:F,FALSE)</f>
        <v>10</v>
      </c>
      <c r="H491" s="103" t="str">
        <f>_xlfn.XLOOKUP(E491,'All Products'!D:D,'All Products'!G:G,FALSE)</f>
        <v>-</v>
      </c>
      <c r="I491" s="140">
        <f>_xlfn.XLOOKUP(E491,'All Products'!D:D,'All Products'!H:H,FALSE)</f>
        <v>136.44999999999999</v>
      </c>
      <c r="J491" s="255">
        <f>ROUNDUP(I491*Order_Quote!$L$26,2)</f>
        <v>136.44999999999999</v>
      </c>
      <c r="K491" s="161"/>
      <c r="L491" s="113"/>
      <c r="M491" s="243">
        <f>K491/G491</f>
        <v>0</v>
      </c>
      <c r="O491" s="215" t="str">
        <f>_xlfn.XLOOKUP(E491,'All Products'!D:D,'All Products'!I:I,FALSE)</f>
        <v>Within 3 Weeks</v>
      </c>
      <c r="P491" s="215" t="str">
        <f>_xlfn.XLOOKUP(E491,'All Products'!D:D,'All Products'!J:J,FALSE)</f>
        <v>Manufactured</v>
      </c>
      <c r="Q491" s="266">
        <f>_xlfn.XLOOKUP(E491,'All Products'!D:D,'All Products'!K:K,FALSE)</f>
        <v>49081024918</v>
      </c>
      <c r="R491" s="266" t="str">
        <f>_xlfn.XLOOKUP(E491,'All Products'!D:D,'All Products'!L:L,FALSE)</f>
        <v>-</v>
      </c>
      <c r="S491" s="266">
        <f>_xlfn.XLOOKUP(E491,'All Products'!D:D,'All Products'!M:M,FALSE)</f>
        <v>40049081024916</v>
      </c>
      <c r="T491" s="264">
        <f>_xlfn.XLOOKUP(E491,'All Products'!D:D,'All Products'!N:N,FALSE)</f>
        <v>1.4330000000000001</v>
      </c>
      <c r="U491" s="264">
        <f>_xlfn.XLOOKUP(E491,'All Products'!D:D,'All Products'!P:P,FALSE)</f>
        <v>1.7</v>
      </c>
      <c r="V491" s="265">
        <f>_xlfn.XLOOKUP(E491,'All Products'!D:D,'All Products'!Q:Q,FALSE)</f>
        <v>17</v>
      </c>
    </row>
    <row r="492" spans="1:22" ht="18" customHeight="1">
      <c r="A492" s="101" t="str">
        <f>IF(K492&gt;0,COUNT($A$8:A491)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92" s="610"/>
      <c r="C492" s="611"/>
      <c r="D492" s="274" t="str">
        <f>_xlfn.XLOOKUP(E492,'All Products'!D:D,'All Products'!C:C,FALSE)</f>
        <v>1-A5-3-4-0</v>
      </c>
      <c r="E492" s="153">
        <v>100024003</v>
      </c>
      <c r="F492" s="144" t="str">
        <f>_xlfn.XLOOKUP(E492,'All Products'!D:D,'All Products'!E:E,FALSE)</f>
        <v>1 MPT X 1 MPT ULT KIT SJ</v>
      </c>
      <c r="G492" s="103">
        <f>_xlfn.XLOOKUP(E492,'All Products'!D:D,'All Products'!F:F,FALSE)</f>
        <v>10</v>
      </c>
      <c r="H492" s="103">
        <f>_xlfn.XLOOKUP(E492,'All Products'!D:D,'All Products'!G:G,FALSE)</f>
        <v>900</v>
      </c>
      <c r="I492" s="140">
        <f>_xlfn.XLOOKUP(E492,'All Products'!D:D,'All Products'!H:H,FALSE)</f>
        <v>136.44999999999999</v>
      </c>
      <c r="J492" s="255">
        <f>ROUNDUP(I492*Order_Quote!$L$26,2)</f>
        <v>136.44999999999999</v>
      </c>
      <c r="K492" s="161"/>
      <c r="L492" s="113"/>
      <c r="M492" s="243">
        <f>K492/G492</f>
        <v>0</v>
      </c>
      <c r="O492" s="215" t="str">
        <f>_xlfn.XLOOKUP(E492,'All Products'!D:D,'All Products'!I:I,FALSE)</f>
        <v>Within 3 Weeks</v>
      </c>
      <c r="P492" s="215" t="str">
        <f>_xlfn.XLOOKUP(E492,'All Products'!D:D,'All Products'!J:J,FALSE)</f>
        <v>Manufactured</v>
      </c>
      <c r="Q492" s="266">
        <f>_xlfn.XLOOKUP(E492,'All Products'!D:D,'All Products'!K:K,FALSE)</f>
        <v>49081020941</v>
      </c>
      <c r="R492" s="266" t="str">
        <f>_xlfn.XLOOKUP(E492,'All Products'!D:D,'All Products'!L:L,FALSE)</f>
        <v>-</v>
      </c>
      <c r="S492" s="266">
        <f>_xlfn.XLOOKUP(E492,'All Products'!D:D,'All Products'!M:M,FALSE)</f>
        <v>40049081020949</v>
      </c>
      <c r="T492" s="264">
        <f>_xlfn.XLOOKUP(E492,'All Products'!D:D,'All Products'!N:N,FALSE)</f>
        <v>1.427</v>
      </c>
      <c r="U492" s="264">
        <f>_xlfn.XLOOKUP(E492,'All Products'!D:D,'All Products'!P:P,FALSE)</f>
        <v>15.8</v>
      </c>
      <c r="V492" s="265">
        <f>_xlfn.XLOOKUP(E492,'All Products'!D:D,'All Products'!Q:Q,FALSE)</f>
        <v>0.8</v>
      </c>
    </row>
    <row r="493" spans="1:22" ht="18" customHeight="1">
      <c r="A493" s="101" t="str">
        <f>IF(K493&gt;0,COUNT($A$8:A492)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93" s="610"/>
      <c r="C493" s="611"/>
      <c r="D493" s="274" t="str">
        <f>_xlfn.XLOOKUP(E493,'All Products'!D:D,'All Products'!C:C,FALSE)</f>
        <v>2-A5-17-4-0</v>
      </c>
      <c r="E493" s="153">
        <v>100024272</v>
      </c>
      <c r="F493" s="144" t="str">
        <f>_xlfn.XLOOKUP(E493,'All Products'!D:D,'All Products'!E:E,FALSE)</f>
        <v>1-1/4 MPT X 1-1/4 ACME ULT KIT SJ</v>
      </c>
      <c r="G493" s="103">
        <f>_xlfn.XLOOKUP(E493,'All Products'!D:D,'All Products'!F:F,FALSE)</f>
        <v>10</v>
      </c>
      <c r="H493" s="103">
        <f>_xlfn.XLOOKUP(E493,'All Products'!D:D,'All Products'!G:G,FALSE)</f>
        <v>750</v>
      </c>
      <c r="I493" s="140">
        <f>_xlfn.XLOOKUP(E493,'All Products'!D:D,'All Products'!H:H,FALSE)</f>
        <v>169.43</v>
      </c>
      <c r="J493" s="255">
        <f>ROUNDUP(I493*Order_Quote!$L$26,2)</f>
        <v>169.43</v>
      </c>
      <c r="K493" s="161"/>
      <c r="L493" s="113"/>
      <c r="M493" s="243">
        <f>K493/G493</f>
        <v>0</v>
      </c>
      <c r="O493" s="215" t="str">
        <f>_xlfn.XLOOKUP(E493,'All Products'!D:D,'All Products'!I:I,FALSE)</f>
        <v>Within 3 Weeks</v>
      </c>
      <c r="P493" s="215" t="str">
        <f>_xlfn.XLOOKUP(E493,'All Products'!D:D,'All Products'!J:J,FALSE)</f>
        <v>Manufactured</v>
      </c>
      <c r="Q493" s="266">
        <f>_xlfn.XLOOKUP(E493,'All Products'!D:D,'All Products'!K:K,FALSE)</f>
        <v>49081026868</v>
      </c>
      <c r="R493" s="266" t="str">
        <f>_xlfn.XLOOKUP(E493,'All Products'!D:D,'All Products'!L:L,FALSE)</f>
        <v>-</v>
      </c>
      <c r="S493" s="266">
        <f>_xlfn.XLOOKUP(E493,'All Products'!D:D,'All Products'!M:M,FALSE)</f>
        <v>40049081026866</v>
      </c>
      <c r="T493" s="264">
        <f>_xlfn.XLOOKUP(E493,'All Products'!D:D,'All Products'!N:N,FALSE)</f>
        <v>1.9179999999999999</v>
      </c>
      <c r="U493" s="264">
        <f>_xlfn.XLOOKUP(E493,'All Products'!D:D,'All Products'!P:P,FALSE)</f>
        <v>21.26</v>
      </c>
      <c r="V493" s="265">
        <f>_xlfn.XLOOKUP(E493,'All Products'!D:D,'All Products'!Q:Q,FALSE)</f>
        <v>1.1000000000000001</v>
      </c>
    </row>
    <row r="494" spans="1:22" ht="18" customHeight="1">
      <c r="A494" s="101" t="str">
        <f>IF(K494&gt;0,COUNT($A$8:A493)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Fittings'!$A$8:$A$29)+1,"")</f>
        <v/>
      </c>
      <c r="B494" s="612"/>
      <c r="C494" s="613"/>
      <c r="D494" s="274" t="str">
        <f>_xlfn.XLOOKUP(E494,'All Products'!D:D,'All Products'!C:C,FALSE)</f>
        <v>3-A5-3-4-0</v>
      </c>
      <c r="E494" s="153">
        <v>100024528</v>
      </c>
      <c r="F494" s="144" t="str">
        <f>_xlfn.XLOOKUP(E494,'All Products'!D:D,'All Products'!E:E,FALSE)</f>
        <v>1-1/2 MPT X 1-1/2 MPT ULT KIT SJ</v>
      </c>
      <c r="G494" s="103">
        <f>_xlfn.XLOOKUP(E494,'All Products'!D:D,'All Products'!F:F,FALSE)</f>
        <v>10</v>
      </c>
      <c r="H494" s="103">
        <f>_xlfn.XLOOKUP(E494,'All Products'!D:D,'All Products'!G:G,FALSE)</f>
        <v>180</v>
      </c>
      <c r="I494" s="140">
        <f>_xlfn.XLOOKUP(E494,'All Products'!D:D,'All Products'!H:H,FALSE)</f>
        <v>205.79</v>
      </c>
      <c r="J494" s="255">
        <f>ROUNDUP(I494*Order_Quote!$L$26,2)</f>
        <v>205.79</v>
      </c>
      <c r="K494" s="161"/>
      <c r="L494" s="239"/>
      <c r="M494" s="243">
        <f>K494/G494</f>
        <v>0</v>
      </c>
      <c r="O494" s="215" t="str">
        <f>_xlfn.XLOOKUP(E494,'All Products'!D:D,'All Products'!I:I,FALSE)</f>
        <v>Within 3 Weeks</v>
      </c>
      <c r="P494" s="215" t="str">
        <f>_xlfn.XLOOKUP(E494,'All Products'!D:D,'All Products'!J:J,FALSE)</f>
        <v>Manufactured</v>
      </c>
      <c r="Q494" s="266">
        <f>_xlfn.XLOOKUP(E494,'All Products'!D:D,'All Products'!K:K,FALSE)</f>
        <v>49081028954</v>
      </c>
      <c r="R494" s="266" t="str">
        <f>_xlfn.XLOOKUP(E494,'All Products'!D:D,'All Products'!L:L,FALSE)</f>
        <v>-</v>
      </c>
      <c r="S494" s="266">
        <f>_xlfn.XLOOKUP(E494,'All Products'!D:D,'All Products'!M:M,FALSE)</f>
        <v>40049081028952</v>
      </c>
      <c r="T494" s="264">
        <f>_xlfn.XLOOKUP(E494,'All Products'!D:D,'All Products'!N:N,FALSE)</f>
        <v>2.7759999999999998</v>
      </c>
      <c r="U494" s="264">
        <f>_xlfn.XLOOKUP(E494,'All Products'!D:D,'All Products'!P:P,FALSE)</f>
        <v>29.64</v>
      </c>
      <c r="V494" s="265">
        <f>_xlfn.XLOOKUP(E494,'All Products'!D:D,'All Products'!Q:Q,FALSE)</f>
        <v>2.65</v>
      </c>
    </row>
    <row r="495" spans="1:22" ht="15" customHeight="1">
      <c r="A495" s="101">
        <f>MAX(A9:A494)+1</f>
        <v>1</v>
      </c>
    </row>
    <row r="496" spans="1:22" s="139" customFormat="1" ht="15" hidden="1" customHeight="1">
      <c r="A496" s="261"/>
      <c r="D496" s="141"/>
      <c r="Q496" s="463"/>
      <c r="R496" s="463"/>
      <c r="S496" s="463"/>
    </row>
    <row r="497" spans="1:19" s="139" customFormat="1" ht="15" hidden="1" customHeight="1">
      <c r="A497" s="261"/>
      <c r="D497" s="141"/>
      <c r="Q497" s="463"/>
      <c r="R497" s="463"/>
      <c r="S497" s="463"/>
    </row>
    <row r="498" spans="1:19" s="139" customFormat="1" ht="15" hidden="1" customHeight="1">
      <c r="A498" s="261"/>
      <c r="D498" s="141"/>
      <c r="Q498" s="463"/>
      <c r="R498" s="463"/>
      <c r="S498" s="463"/>
    </row>
    <row r="499" spans="1:19" s="139" customFormat="1" ht="15" hidden="1" customHeight="1">
      <c r="A499" s="261"/>
      <c r="D499" s="141"/>
      <c r="Q499" s="463"/>
      <c r="R499" s="463"/>
      <c r="S499" s="463"/>
    </row>
    <row r="500" spans="1:19" s="139" customFormat="1" ht="15" hidden="1" customHeight="1">
      <c r="A500" s="261"/>
      <c r="D500" s="141"/>
      <c r="Q500" s="463"/>
      <c r="R500" s="463"/>
      <c r="S500" s="463"/>
    </row>
    <row r="501" spans="1:19" s="139" customFormat="1" ht="15" hidden="1" customHeight="1">
      <c r="A501" s="261"/>
      <c r="D501" s="141"/>
      <c r="Q501" s="463"/>
      <c r="R501" s="463"/>
      <c r="S501" s="463"/>
    </row>
    <row r="502" spans="1:19" s="139" customFormat="1" ht="15" hidden="1" customHeight="1">
      <c r="A502" s="261"/>
      <c r="D502" s="141"/>
      <c r="Q502" s="463"/>
      <c r="R502" s="463"/>
      <c r="S502" s="463"/>
    </row>
    <row r="503" spans="1:19" s="139" customFormat="1" ht="15" hidden="1" customHeight="1">
      <c r="A503" s="261"/>
      <c r="D503" s="141"/>
      <c r="Q503" s="463"/>
      <c r="R503" s="463"/>
      <c r="S503" s="463"/>
    </row>
    <row r="504" spans="1:19" s="139" customFormat="1" ht="15" hidden="1" customHeight="1">
      <c r="A504" s="261"/>
      <c r="D504" s="141"/>
      <c r="Q504" s="463"/>
      <c r="R504" s="463"/>
      <c r="S504" s="463"/>
    </row>
    <row r="505" spans="1:19" s="139" customFormat="1" ht="15" hidden="1" customHeight="1">
      <c r="A505" s="261"/>
      <c r="D505" s="141"/>
      <c r="Q505" s="463"/>
      <c r="R505" s="463"/>
      <c r="S505" s="463"/>
    </row>
    <row r="506" spans="1:19" s="139" customFormat="1" ht="15" hidden="1" customHeight="1">
      <c r="A506" s="261"/>
      <c r="D506" s="141"/>
      <c r="Q506" s="463"/>
      <c r="R506" s="463"/>
      <c r="S506" s="463"/>
    </row>
    <row r="507" spans="1:19" s="139" customFormat="1" ht="15" hidden="1" customHeight="1">
      <c r="A507" s="261"/>
      <c r="D507" s="141"/>
      <c r="Q507" s="463"/>
      <c r="R507" s="463"/>
      <c r="S507" s="463"/>
    </row>
    <row r="508" spans="1:19" s="139" customFormat="1" ht="15" hidden="1" customHeight="1">
      <c r="A508" s="261"/>
      <c r="D508" s="141"/>
      <c r="Q508" s="463"/>
      <c r="R508" s="463"/>
      <c r="S508" s="463"/>
    </row>
    <row r="509" spans="1:19" s="139" customFormat="1" ht="15" hidden="1" customHeight="1">
      <c r="A509" s="261"/>
      <c r="D509" s="141"/>
      <c r="Q509" s="463"/>
      <c r="R509" s="463"/>
      <c r="S509" s="463"/>
    </row>
    <row r="510" spans="1:19" s="139" customFormat="1" ht="15" hidden="1" customHeight="1">
      <c r="A510" s="261"/>
      <c r="D510" s="141"/>
      <c r="Q510" s="463"/>
      <c r="R510" s="463"/>
      <c r="S510" s="463"/>
    </row>
    <row r="511" spans="1:19" s="139" customFormat="1" ht="15" hidden="1" customHeight="1">
      <c r="A511" s="261"/>
      <c r="D511" s="141"/>
      <c r="Q511" s="463"/>
      <c r="R511" s="463"/>
      <c r="S511" s="463"/>
    </row>
    <row r="512" spans="1:19" s="139" customFormat="1" ht="15" hidden="1" customHeight="1">
      <c r="A512" s="261"/>
      <c r="D512" s="141"/>
      <c r="Q512" s="463"/>
      <c r="R512" s="463"/>
      <c r="S512" s="463"/>
    </row>
    <row r="513" spans="1:19" s="139" customFormat="1" ht="15" hidden="1" customHeight="1">
      <c r="A513" s="261"/>
      <c r="D513" s="141"/>
      <c r="Q513" s="463"/>
      <c r="R513" s="463"/>
      <c r="S513" s="463"/>
    </row>
    <row r="514" spans="1:19" s="139" customFormat="1" ht="15" hidden="1" customHeight="1">
      <c r="A514" s="261"/>
      <c r="D514" s="141"/>
      <c r="Q514" s="463"/>
      <c r="R514" s="463"/>
      <c r="S514" s="463"/>
    </row>
    <row r="515" spans="1:19" s="139" customFormat="1" ht="15" hidden="1" customHeight="1">
      <c r="A515" s="261"/>
      <c r="D515" s="141"/>
      <c r="Q515" s="463"/>
      <c r="R515" s="463"/>
      <c r="S515" s="463"/>
    </row>
    <row r="516" spans="1:19" s="139" customFormat="1" ht="15" hidden="1" customHeight="1">
      <c r="A516" s="261"/>
      <c r="D516" s="141"/>
      <c r="Q516" s="463"/>
      <c r="R516" s="463"/>
      <c r="S516" s="463"/>
    </row>
    <row r="517" spans="1:19" s="139" customFormat="1" ht="15" hidden="1" customHeight="1">
      <c r="A517" s="261"/>
      <c r="D517" s="141"/>
      <c r="Q517" s="463"/>
      <c r="R517" s="463"/>
      <c r="S517" s="463"/>
    </row>
    <row r="518" spans="1:19" s="139" customFormat="1" ht="15" hidden="1" customHeight="1">
      <c r="A518" s="261"/>
      <c r="D518" s="141"/>
      <c r="Q518" s="463"/>
      <c r="R518" s="463"/>
      <c r="S518" s="463"/>
    </row>
    <row r="519" spans="1:19" s="139" customFormat="1" ht="15" hidden="1" customHeight="1">
      <c r="A519" s="261"/>
      <c r="D519" s="141"/>
      <c r="Q519" s="463"/>
      <c r="R519" s="463"/>
      <c r="S519" s="463"/>
    </row>
    <row r="520" spans="1:19" s="139" customFormat="1" ht="15" hidden="1" customHeight="1">
      <c r="A520" s="261"/>
      <c r="D520" s="141"/>
      <c r="Q520" s="463"/>
      <c r="R520" s="463"/>
      <c r="S520" s="463"/>
    </row>
    <row r="521" spans="1:19" s="139" customFormat="1" ht="15" hidden="1" customHeight="1">
      <c r="A521" s="261"/>
      <c r="D521" s="141"/>
      <c r="Q521" s="463"/>
      <c r="R521" s="463"/>
      <c r="S521" s="463"/>
    </row>
    <row r="522" spans="1:19" s="139" customFormat="1" ht="15" hidden="1" customHeight="1">
      <c r="A522" s="261"/>
      <c r="D522" s="141"/>
      <c r="Q522" s="463"/>
      <c r="R522" s="463"/>
      <c r="S522" s="463"/>
    </row>
    <row r="523" spans="1:19" s="139" customFormat="1" ht="15" hidden="1" customHeight="1">
      <c r="A523" s="261"/>
      <c r="D523" s="141"/>
      <c r="Q523" s="463"/>
      <c r="R523" s="463"/>
      <c r="S523" s="463"/>
    </row>
    <row r="524" spans="1:19" s="139" customFormat="1" ht="15" hidden="1" customHeight="1">
      <c r="A524" s="261"/>
      <c r="D524" s="141"/>
      <c r="Q524" s="463"/>
      <c r="R524" s="463"/>
      <c r="S524" s="463"/>
    </row>
    <row r="525" spans="1:19" s="139" customFormat="1" ht="15" hidden="1" customHeight="1">
      <c r="A525" s="261"/>
      <c r="D525" s="141"/>
      <c r="Q525" s="463"/>
      <c r="R525" s="463"/>
      <c r="S525" s="463"/>
    </row>
    <row r="526" spans="1:19" s="139" customFormat="1" ht="15" hidden="1" customHeight="1">
      <c r="A526" s="261"/>
      <c r="D526" s="141"/>
      <c r="Q526" s="463"/>
      <c r="R526" s="463"/>
      <c r="S526" s="463"/>
    </row>
    <row r="527" spans="1:19" s="139" customFormat="1" ht="15" hidden="1" customHeight="1">
      <c r="A527" s="261"/>
      <c r="D527" s="141"/>
      <c r="Q527" s="463"/>
      <c r="R527" s="463"/>
      <c r="S527" s="463"/>
    </row>
    <row r="528" spans="1:19" s="139" customFormat="1" ht="15" hidden="1" customHeight="1">
      <c r="A528" s="261"/>
      <c r="D528" s="141"/>
      <c r="Q528" s="463"/>
      <c r="R528" s="463"/>
      <c r="S528" s="463"/>
    </row>
    <row r="529" spans="1:19" s="139" customFormat="1" ht="15" hidden="1" customHeight="1">
      <c r="A529" s="261"/>
      <c r="D529" s="141"/>
      <c r="Q529" s="463"/>
      <c r="R529" s="463"/>
      <c r="S529" s="463"/>
    </row>
    <row r="530" spans="1:19" s="139" customFormat="1" ht="15" hidden="1" customHeight="1">
      <c r="A530" s="261"/>
      <c r="D530" s="141"/>
      <c r="Q530" s="463"/>
      <c r="R530" s="463"/>
      <c r="S530" s="463"/>
    </row>
    <row r="531" spans="1:19" s="139" customFormat="1" ht="15" hidden="1" customHeight="1">
      <c r="A531" s="261"/>
      <c r="D531" s="141"/>
      <c r="Q531" s="463"/>
      <c r="R531" s="463"/>
      <c r="S531" s="463"/>
    </row>
    <row r="532" spans="1:19" s="139" customFormat="1" ht="15" hidden="1" customHeight="1">
      <c r="A532" s="261"/>
      <c r="D532" s="141"/>
      <c r="Q532" s="463"/>
      <c r="R532" s="463"/>
      <c r="S532" s="463"/>
    </row>
    <row r="533" spans="1:19" s="139" customFormat="1" ht="15" hidden="1" customHeight="1">
      <c r="A533" s="261"/>
      <c r="D533" s="141"/>
      <c r="Q533" s="463"/>
      <c r="R533" s="463"/>
      <c r="S533" s="463"/>
    </row>
    <row r="534" spans="1:19" s="139" customFormat="1" ht="15" hidden="1" customHeight="1">
      <c r="A534" s="261"/>
      <c r="D534" s="141"/>
      <c r="Q534" s="463"/>
      <c r="R534" s="463"/>
      <c r="S534" s="463"/>
    </row>
    <row r="535" spans="1:19" s="139" customFormat="1" ht="15" hidden="1" customHeight="1">
      <c r="A535" s="261"/>
      <c r="D535" s="141"/>
      <c r="Q535" s="463"/>
      <c r="R535" s="463"/>
      <c r="S535" s="463"/>
    </row>
    <row r="536" spans="1:19" s="139" customFormat="1" ht="15" hidden="1" customHeight="1">
      <c r="A536" s="261"/>
      <c r="D536" s="141"/>
      <c r="Q536" s="463"/>
      <c r="R536" s="463"/>
      <c r="S536" s="463"/>
    </row>
    <row r="537" spans="1:19" s="139" customFormat="1" ht="15" hidden="1" customHeight="1">
      <c r="A537" s="261"/>
      <c r="D537" s="141"/>
      <c r="Q537" s="463"/>
      <c r="R537" s="463"/>
      <c r="S537" s="463"/>
    </row>
    <row r="538" spans="1:19" s="139" customFormat="1" ht="15" hidden="1" customHeight="1">
      <c r="A538" s="261"/>
      <c r="D538" s="141"/>
      <c r="Q538" s="463"/>
      <c r="R538" s="463"/>
      <c r="S538" s="463"/>
    </row>
    <row r="539" spans="1:19" s="139" customFormat="1" ht="15" hidden="1" customHeight="1">
      <c r="A539" s="261"/>
      <c r="D539" s="141"/>
      <c r="Q539" s="463"/>
      <c r="R539" s="463"/>
      <c r="S539" s="463"/>
    </row>
    <row r="540" spans="1:19" s="139" customFormat="1" ht="15" hidden="1" customHeight="1">
      <c r="A540" s="261"/>
      <c r="D540" s="141"/>
      <c r="Q540" s="463"/>
      <c r="R540" s="463"/>
      <c r="S540" s="463"/>
    </row>
    <row r="541" spans="1:19" s="139" customFormat="1" ht="15" hidden="1" customHeight="1">
      <c r="A541" s="261"/>
      <c r="D541" s="141"/>
      <c r="Q541" s="463"/>
      <c r="R541" s="463"/>
      <c r="S541" s="463"/>
    </row>
    <row r="542" spans="1:19" s="139" customFormat="1" ht="15" hidden="1" customHeight="1">
      <c r="A542" s="261"/>
      <c r="D542" s="141"/>
      <c r="Q542" s="463"/>
      <c r="R542" s="463"/>
      <c r="S542" s="463"/>
    </row>
    <row r="543" spans="1:19" s="139" customFormat="1" ht="15" hidden="1" customHeight="1">
      <c r="A543" s="261"/>
      <c r="D543" s="141"/>
      <c r="Q543" s="463"/>
      <c r="R543" s="463"/>
      <c r="S543" s="463"/>
    </row>
    <row r="544" spans="1:19" s="139" customFormat="1" ht="15" hidden="1" customHeight="1">
      <c r="A544" s="261"/>
      <c r="D544" s="141"/>
      <c r="Q544" s="463"/>
      <c r="R544" s="463"/>
      <c r="S544" s="463"/>
    </row>
    <row r="545" spans="1:19" s="139" customFormat="1" ht="15" hidden="1" customHeight="1">
      <c r="A545" s="261"/>
      <c r="D545" s="141"/>
      <c r="Q545" s="463"/>
      <c r="R545" s="463"/>
      <c r="S545" s="463"/>
    </row>
    <row r="546" spans="1:19" s="139" customFormat="1" ht="15" hidden="1" customHeight="1">
      <c r="A546" s="261"/>
      <c r="D546" s="141"/>
      <c r="Q546" s="463"/>
      <c r="R546" s="463"/>
      <c r="S546" s="463"/>
    </row>
    <row r="547" spans="1:19" s="139" customFormat="1" ht="15" hidden="1" customHeight="1">
      <c r="A547" s="261"/>
      <c r="D547" s="141"/>
      <c r="Q547" s="463"/>
      <c r="R547" s="463"/>
      <c r="S547" s="463"/>
    </row>
    <row r="548" spans="1:19" s="139" customFormat="1" ht="15" hidden="1" customHeight="1">
      <c r="A548" s="261"/>
      <c r="D548" s="141"/>
      <c r="Q548" s="463"/>
      <c r="R548" s="463"/>
      <c r="S548" s="463"/>
    </row>
    <row r="549" spans="1:19" s="139" customFormat="1" ht="15" hidden="1" customHeight="1">
      <c r="A549" s="261"/>
      <c r="D549" s="141"/>
      <c r="Q549" s="463"/>
      <c r="R549" s="463"/>
      <c r="S549" s="463"/>
    </row>
    <row r="550" spans="1:19" s="139" customFormat="1" ht="15" hidden="1" customHeight="1">
      <c r="A550" s="261"/>
      <c r="D550" s="141"/>
      <c r="Q550" s="463"/>
      <c r="R550" s="463"/>
      <c r="S550" s="463"/>
    </row>
    <row r="551" spans="1:19" s="139" customFormat="1" ht="15" hidden="1" customHeight="1">
      <c r="A551" s="261"/>
      <c r="D551" s="141"/>
      <c r="Q551" s="463"/>
      <c r="R551" s="463"/>
      <c r="S551" s="463"/>
    </row>
    <row r="552" spans="1:19" s="139" customFormat="1" ht="15" hidden="1" customHeight="1">
      <c r="A552" s="261"/>
      <c r="D552" s="141"/>
      <c r="Q552" s="463"/>
      <c r="R552" s="463"/>
      <c r="S552" s="463"/>
    </row>
    <row r="553" spans="1:19" s="139" customFormat="1" ht="15" hidden="1" customHeight="1">
      <c r="A553" s="261"/>
      <c r="D553" s="141"/>
      <c r="Q553" s="463"/>
      <c r="R553" s="463"/>
      <c r="S553" s="463"/>
    </row>
    <row r="554" spans="1:19" s="139" customFormat="1" ht="15" hidden="1" customHeight="1">
      <c r="A554" s="261"/>
      <c r="D554" s="141"/>
      <c r="Q554" s="463"/>
      <c r="R554" s="463"/>
      <c r="S554" s="463"/>
    </row>
    <row r="555" spans="1:19" s="139" customFormat="1" ht="15" hidden="1" customHeight="1">
      <c r="A555" s="261"/>
      <c r="D555" s="141"/>
      <c r="Q555" s="463"/>
      <c r="R555" s="463"/>
      <c r="S555" s="463"/>
    </row>
    <row r="556" spans="1:19" s="139" customFormat="1" ht="15" hidden="1" customHeight="1">
      <c r="A556" s="261"/>
      <c r="D556" s="141"/>
      <c r="Q556" s="463"/>
      <c r="R556" s="463"/>
      <c r="S556" s="463"/>
    </row>
    <row r="557" spans="1:19" s="139" customFormat="1" ht="15" hidden="1" customHeight="1">
      <c r="A557" s="261"/>
      <c r="D557" s="141"/>
      <c r="Q557" s="463"/>
      <c r="R557" s="463"/>
      <c r="S557" s="463"/>
    </row>
    <row r="558" spans="1:19" s="139" customFormat="1" ht="15" hidden="1" customHeight="1">
      <c r="A558" s="261"/>
      <c r="D558" s="141"/>
      <c r="Q558" s="463"/>
      <c r="R558" s="463"/>
      <c r="S558" s="463"/>
    </row>
    <row r="559" spans="1:19" s="139" customFormat="1" ht="15" hidden="1" customHeight="1">
      <c r="A559" s="261"/>
      <c r="D559" s="141"/>
      <c r="Q559" s="463"/>
      <c r="R559" s="463"/>
      <c r="S559" s="463"/>
    </row>
    <row r="560" spans="1:19" s="139" customFormat="1" ht="15" hidden="1" customHeight="1">
      <c r="A560" s="261"/>
      <c r="D560" s="141"/>
      <c r="Q560" s="463"/>
      <c r="R560" s="463"/>
      <c r="S560" s="463"/>
    </row>
    <row r="561" spans="1:19" s="139" customFormat="1" ht="15" hidden="1" customHeight="1">
      <c r="A561" s="261"/>
      <c r="D561" s="141"/>
      <c r="Q561" s="463"/>
      <c r="R561" s="463"/>
      <c r="S561" s="463"/>
    </row>
    <row r="562" spans="1:19" s="139" customFormat="1" ht="15" hidden="1" customHeight="1">
      <c r="A562" s="261"/>
      <c r="D562" s="141"/>
      <c r="Q562" s="463"/>
      <c r="R562" s="463"/>
      <c r="S562" s="463"/>
    </row>
    <row r="563" spans="1:19" s="139" customFormat="1" ht="15" hidden="1" customHeight="1">
      <c r="A563" s="261"/>
      <c r="D563" s="141"/>
      <c r="Q563" s="463"/>
      <c r="R563" s="463"/>
      <c r="S563" s="463"/>
    </row>
    <row r="564" spans="1:19" s="139" customFormat="1" ht="15" hidden="1" customHeight="1">
      <c r="A564" s="261"/>
      <c r="D564" s="141"/>
      <c r="Q564" s="463"/>
      <c r="R564" s="463"/>
      <c r="S564" s="463"/>
    </row>
    <row r="565" spans="1:19" s="139" customFormat="1" ht="15" hidden="1" customHeight="1">
      <c r="A565" s="261"/>
      <c r="D565" s="141"/>
      <c r="Q565" s="463"/>
      <c r="R565" s="463"/>
      <c r="S565" s="463"/>
    </row>
    <row r="566" spans="1:19" s="139" customFormat="1" ht="15" hidden="1" customHeight="1">
      <c r="A566" s="261"/>
      <c r="D566" s="141"/>
      <c r="Q566" s="463"/>
      <c r="R566" s="463"/>
      <c r="S566" s="463"/>
    </row>
    <row r="567" spans="1:19" s="139" customFormat="1" ht="15" hidden="1" customHeight="1">
      <c r="A567" s="261"/>
      <c r="D567" s="141"/>
      <c r="Q567" s="463"/>
      <c r="R567" s="463"/>
      <c r="S567" s="463"/>
    </row>
    <row r="568" spans="1:19" s="139" customFormat="1" ht="15" hidden="1" customHeight="1">
      <c r="A568" s="261"/>
      <c r="D568" s="141"/>
      <c r="Q568" s="463"/>
      <c r="R568" s="463"/>
      <c r="S568" s="463"/>
    </row>
    <row r="569" spans="1:19" s="139" customFormat="1" ht="15" hidden="1" customHeight="1">
      <c r="A569" s="261"/>
      <c r="D569" s="141"/>
      <c r="Q569" s="463"/>
      <c r="R569" s="463"/>
      <c r="S569" s="463"/>
    </row>
    <row r="570" spans="1:19" s="139" customFormat="1" ht="15" hidden="1" customHeight="1">
      <c r="A570" s="261"/>
      <c r="D570" s="141"/>
      <c r="Q570" s="463"/>
      <c r="R570" s="463"/>
      <c r="S570" s="463"/>
    </row>
    <row r="571" spans="1:19" s="139" customFormat="1" ht="15" hidden="1" customHeight="1">
      <c r="A571" s="261"/>
      <c r="D571" s="141"/>
      <c r="Q571" s="463"/>
      <c r="R571" s="463"/>
      <c r="S571" s="463"/>
    </row>
    <row r="572" spans="1:19" s="139" customFormat="1" ht="15" hidden="1" customHeight="1">
      <c r="A572" s="261"/>
      <c r="D572" s="141"/>
      <c r="Q572" s="463"/>
      <c r="R572" s="463"/>
      <c r="S572" s="463"/>
    </row>
    <row r="573" spans="1:19" s="139" customFormat="1" ht="15" hidden="1" customHeight="1">
      <c r="A573" s="261"/>
      <c r="D573" s="141"/>
      <c r="Q573" s="463"/>
      <c r="R573" s="463"/>
      <c r="S573" s="463"/>
    </row>
    <row r="574" spans="1:19" s="139" customFormat="1" ht="15" hidden="1" customHeight="1">
      <c r="A574" s="261"/>
      <c r="D574" s="141"/>
      <c r="Q574" s="463"/>
      <c r="R574" s="463"/>
      <c r="S574" s="463"/>
    </row>
    <row r="575" spans="1:19" s="139" customFormat="1" ht="15" hidden="1" customHeight="1">
      <c r="A575" s="261"/>
      <c r="D575" s="141"/>
      <c r="Q575" s="463"/>
      <c r="R575" s="463"/>
      <c r="S575" s="463"/>
    </row>
    <row r="576" spans="1:19" s="139" customFormat="1" ht="15" hidden="1" customHeight="1">
      <c r="A576" s="261"/>
      <c r="D576" s="141"/>
      <c r="Q576" s="463"/>
      <c r="R576" s="463"/>
      <c r="S576" s="463"/>
    </row>
    <row r="577" spans="1:19" s="139" customFormat="1" ht="15" hidden="1" customHeight="1">
      <c r="A577" s="261"/>
      <c r="D577" s="141"/>
      <c r="Q577" s="463"/>
      <c r="R577" s="463"/>
      <c r="S577" s="463"/>
    </row>
    <row r="578" spans="1:19" s="139" customFormat="1" ht="15" hidden="1" customHeight="1">
      <c r="A578" s="261"/>
      <c r="D578" s="141"/>
      <c r="Q578" s="463"/>
      <c r="R578" s="463"/>
      <c r="S578" s="463"/>
    </row>
    <row r="579" spans="1:19" s="139" customFormat="1" ht="15" hidden="1" customHeight="1">
      <c r="A579" s="261"/>
      <c r="D579" s="141"/>
      <c r="Q579" s="463"/>
      <c r="R579" s="463"/>
      <c r="S579" s="463"/>
    </row>
    <row r="580" spans="1:19" s="139" customFormat="1" ht="15" hidden="1" customHeight="1">
      <c r="A580" s="261"/>
      <c r="D580" s="141"/>
      <c r="Q580" s="463"/>
      <c r="R580" s="463"/>
      <c r="S580" s="463"/>
    </row>
    <row r="581" spans="1:19" s="139" customFormat="1" ht="15" hidden="1" customHeight="1">
      <c r="A581" s="261"/>
      <c r="D581" s="141"/>
      <c r="Q581" s="463"/>
      <c r="R581" s="463"/>
      <c r="S581" s="463"/>
    </row>
    <row r="582" spans="1:19" s="139" customFormat="1" ht="15" hidden="1" customHeight="1">
      <c r="A582" s="261"/>
      <c r="D582" s="141"/>
      <c r="Q582" s="463"/>
      <c r="R582" s="463"/>
      <c r="S582" s="463"/>
    </row>
    <row r="583" spans="1:19" s="139" customFormat="1" ht="15" hidden="1" customHeight="1">
      <c r="A583" s="261"/>
      <c r="D583" s="141"/>
      <c r="Q583" s="463"/>
      <c r="R583" s="463"/>
      <c r="S583" s="463"/>
    </row>
    <row r="584" spans="1:19" s="139" customFormat="1" ht="15" hidden="1" customHeight="1">
      <c r="A584" s="261"/>
      <c r="D584" s="141"/>
      <c r="Q584" s="463"/>
      <c r="R584" s="463"/>
      <c r="S584" s="463"/>
    </row>
    <row r="585" spans="1:19" s="139" customFormat="1" ht="15" hidden="1" customHeight="1">
      <c r="A585" s="261"/>
      <c r="D585" s="141"/>
      <c r="Q585" s="463"/>
      <c r="R585" s="463"/>
      <c r="S585" s="463"/>
    </row>
    <row r="586" spans="1:19" s="139" customFormat="1" ht="15" hidden="1" customHeight="1">
      <c r="A586" s="261"/>
      <c r="D586" s="141"/>
      <c r="Q586" s="463"/>
      <c r="R586" s="463"/>
      <c r="S586" s="463"/>
    </row>
    <row r="587" spans="1:19" s="139" customFormat="1" ht="15" hidden="1" customHeight="1">
      <c r="A587" s="261"/>
      <c r="D587" s="141"/>
      <c r="Q587" s="463"/>
      <c r="R587" s="463"/>
      <c r="S587" s="463"/>
    </row>
    <row r="588" spans="1:19" s="139" customFormat="1" ht="15" hidden="1" customHeight="1">
      <c r="A588" s="261"/>
      <c r="D588" s="141"/>
      <c r="Q588" s="463"/>
      <c r="R588" s="463"/>
      <c r="S588" s="463"/>
    </row>
    <row r="589" spans="1:19" s="139" customFormat="1" ht="15" hidden="1" customHeight="1">
      <c r="A589" s="261"/>
      <c r="D589" s="141"/>
      <c r="Q589" s="463"/>
      <c r="R589" s="463"/>
      <c r="S589" s="463"/>
    </row>
    <row r="590" spans="1:19" s="139" customFormat="1" ht="15" hidden="1" customHeight="1">
      <c r="A590" s="261"/>
      <c r="D590" s="141"/>
      <c r="Q590" s="463"/>
      <c r="R590" s="463"/>
      <c r="S590" s="463"/>
    </row>
    <row r="591" spans="1:19" s="139" customFormat="1" ht="15" hidden="1" customHeight="1">
      <c r="A591" s="261"/>
      <c r="D591" s="141"/>
      <c r="Q591" s="463"/>
      <c r="R591" s="463"/>
      <c r="S591" s="463"/>
    </row>
    <row r="592" spans="1:19" s="139" customFormat="1" ht="15" hidden="1" customHeight="1">
      <c r="A592" s="261"/>
      <c r="D592" s="141"/>
      <c r="Q592" s="463"/>
      <c r="R592" s="463"/>
      <c r="S592" s="463"/>
    </row>
    <row r="593" spans="1:19" s="139" customFormat="1" ht="15" hidden="1" customHeight="1">
      <c r="A593" s="261"/>
      <c r="D593" s="141"/>
      <c r="Q593" s="463"/>
      <c r="R593" s="463"/>
      <c r="S593" s="463"/>
    </row>
    <row r="594" spans="1:19" s="139" customFormat="1" ht="15" hidden="1" customHeight="1">
      <c r="A594" s="261"/>
      <c r="D594" s="141"/>
      <c r="Q594" s="463"/>
      <c r="R594" s="463"/>
      <c r="S594" s="463"/>
    </row>
    <row r="595" spans="1:19" s="139" customFormat="1" ht="15" hidden="1" customHeight="1">
      <c r="A595" s="261"/>
      <c r="D595" s="141"/>
      <c r="Q595" s="463"/>
      <c r="R595" s="463"/>
      <c r="S595" s="463"/>
    </row>
    <row r="596" spans="1:19" s="139" customFormat="1" ht="15" hidden="1" customHeight="1">
      <c r="A596" s="261"/>
      <c r="D596" s="141"/>
      <c r="Q596" s="463"/>
      <c r="R596" s="463"/>
      <c r="S596" s="463"/>
    </row>
    <row r="597" spans="1:19" s="139" customFormat="1" ht="15" hidden="1" customHeight="1">
      <c r="A597" s="261"/>
      <c r="D597" s="141"/>
      <c r="Q597" s="463"/>
      <c r="R597" s="463"/>
      <c r="S597" s="463"/>
    </row>
    <row r="598" spans="1:19" s="139" customFormat="1" ht="15" hidden="1" customHeight="1">
      <c r="A598" s="261"/>
      <c r="D598" s="141"/>
      <c r="Q598" s="463"/>
      <c r="R598" s="463"/>
      <c r="S598" s="463"/>
    </row>
    <row r="599" spans="1:19" s="139" customFormat="1" ht="15" hidden="1" customHeight="1">
      <c r="A599" s="261"/>
      <c r="D599" s="141"/>
      <c r="Q599" s="463"/>
      <c r="R599" s="463"/>
      <c r="S599" s="463"/>
    </row>
    <row r="600" spans="1:19" s="139" customFormat="1" ht="15" hidden="1" customHeight="1">
      <c r="A600" s="261"/>
      <c r="D600" s="141"/>
      <c r="Q600" s="463"/>
      <c r="R600" s="463"/>
      <c r="S600" s="463"/>
    </row>
    <row r="601" spans="1:19" s="139" customFormat="1" ht="15" hidden="1" customHeight="1">
      <c r="A601" s="261"/>
      <c r="D601" s="141"/>
      <c r="Q601" s="463"/>
      <c r="R601" s="463"/>
      <c r="S601" s="463"/>
    </row>
    <row r="602" spans="1:19" s="139" customFormat="1" ht="15" hidden="1" customHeight="1">
      <c r="A602" s="261"/>
      <c r="D602" s="141"/>
      <c r="Q602" s="463"/>
      <c r="R602" s="463"/>
      <c r="S602" s="463"/>
    </row>
    <row r="603" spans="1:19" s="139" customFormat="1" ht="15" hidden="1" customHeight="1">
      <c r="A603" s="261"/>
      <c r="D603" s="141"/>
      <c r="Q603" s="463"/>
      <c r="R603" s="463"/>
      <c r="S603" s="463"/>
    </row>
    <row r="604" spans="1:19" s="139" customFormat="1" ht="15" hidden="1" customHeight="1">
      <c r="A604" s="261"/>
      <c r="D604" s="141"/>
      <c r="Q604" s="463"/>
      <c r="R604" s="463"/>
      <c r="S604" s="463"/>
    </row>
    <row r="605" spans="1:19" s="139" customFormat="1" ht="15" hidden="1" customHeight="1">
      <c r="A605" s="261"/>
      <c r="D605" s="141"/>
      <c r="Q605" s="463"/>
      <c r="R605" s="463"/>
      <c r="S605" s="463"/>
    </row>
    <row r="606" spans="1:19" s="139" customFormat="1" ht="15" hidden="1" customHeight="1">
      <c r="A606" s="261"/>
      <c r="D606" s="141"/>
      <c r="Q606" s="463"/>
      <c r="R606" s="463"/>
      <c r="S606" s="463"/>
    </row>
    <row r="607" spans="1:19" s="139" customFormat="1" ht="15" hidden="1" customHeight="1">
      <c r="A607" s="261"/>
      <c r="D607" s="141"/>
      <c r="Q607" s="463"/>
      <c r="R607" s="463"/>
      <c r="S607" s="463"/>
    </row>
    <row r="608" spans="1:19" s="139" customFormat="1" ht="15" hidden="1" customHeight="1">
      <c r="A608" s="261"/>
      <c r="D608" s="141"/>
      <c r="Q608" s="463"/>
      <c r="R608" s="463"/>
      <c r="S608" s="463"/>
    </row>
    <row r="609" spans="1:19" s="139" customFormat="1" ht="15" hidden="1" customHeight="1">
      <c r="A609" s="261"/>
      <c r="D609" s="141"/>
      <c r="Q609" s="463"/>
      <c r="R609" s="463"/>
      <c r="S609" s="463"/>
    </row>
    <row r="610" spans="1:19" s="139" customFormat="1" ht="15" hidden="1" customHeight="1">
      <c r="A610" s="261"/>
      <c r="D610" s="141"/>
      <c r="Q610" s="463"/>
      <c r="R610" s="463"/>
      <c r="S610" s="463"/>
    </row>
    <row r="611" spans="1:19" s="139" customFormat="1" ht="15" hidden="1" customHeight="1">
      <c r="A611" s="261"/>
      <c r="D611" s="141"/>
      <c r="Q611" s="463"/>
      <c r="R611" s="463"/>
      <c r="S611" s="463"/>
    </row>
    <row r="612" spans="1:19" s="139" customFormat="1" ht="15" hidden="1" customHeight="1">
      <c r="A612" s="261"/>
      <c r="D612" s="141"/>
      <c r="Q612" s="463"/>
      <c r="R612" s="463"/>
      <c r="S612" s="463"/>
    </row>
    <row r="613" spans="1:19" s="139" customFormat="1" ht="15" hidden="1" customHeight="1">
      <c r="A613" s="261"/>
      <c r="D613" s="141"/>
      <c r="Q613" s="463"/>
      <c r="R613" s="463"/>
      <c r="S613" s="463"/>
    </row>
    <row r="614" spans="1:19" s="139" customFormat="1" ht="15" hidden="1" customHeight="1">
      <c r="A614" s="261"/>
      <c r="D614" s="141"/>
      <c r="Q614" s="463"/>
      <c r="R614" s="463"/>
      <c r="S614" s="463"/>
    </row>
    <row r="615" spans="1:19" s="139" customFormat="1" ht="15" hidden="1" customHeight="1">
      <c r="A615" s="261"/>
      <c r="D615" s="141"/>
      <c r="Q615" s="463"/>
      <c r="R615" s="463"/>
      <c r="S615" s="463"/>
    </row>
    <row r="616" spans="1:19" s="139" customFormat="1" ht="15" hidden="1" customHeight="1">
      <c r="A616" s="261"/>
      <c r="D616" s="141"/>
      <c r="Q616" s="463"/>
      <c r="R616" s="463"/>
      <c r="S616" s="463"/>
    </row>
    <row r="617" spans="1:19" s="139" customFormat="1" ht="15" hidden="1" customHeight="1">
      <c r="A617" s="261"/>
      <c r="D617" s="141"/>
      <c r="Q617" s="463"/>
      <c r="R617" s="463"/>
      <c r="S617" s="463"/>
    </row>
    <row r="618" spans="1:19" s="139" customFormat="1" ht="15" hidden="1" customHeight="1">
      <c r="A618" s="261"/>
      <c r="D618" s="141"/>
      <c r="Q618" s="463"/>
      <c r="R618" s="463"/>
      <c r="S618" s="463"/>
    </row>
    <row r="619" spans="1:19" s="139" customFormat="1" ht="15" hidden="1" customHeight="1">
      <c r="A619" s="261"/>
      <c r="D619" s="141"/>
      <c r="Q619" s="463"/>
      <c r="R619" s="463"/>
      <c r="S619" s="463"/>
    </row>
    <row r="620" spans="1:19" s="139" customFormat="1" ht="15" hidden="1" customHeight="1">
      <c r="A620" s="261"/>
      <c r="D620" s="141"/>
      <c r="Q620" s="463"/>
      <c r="R620" s="463"/>
      <c r="S620" s="463"/>
    </row>
    <row r="621" spans="1:19" s="139" customFormat="1" ht="15" hidden="1" customHeight="1">
      <c r="A621" s="261"/>
      <c r="D621" s="141"/>
      <c r="Q621" s="463"/>
      <c r="R621" s="463"/>
      <c r="S621" s="463"/>
    </row>
    <row r="622" spans="1:19" s="139" customFormat="1" ht="15" hidden="1" customHeight="1">
      <c r="A622" s="261"/>
      <c r="D622" s="141"/>
      <c r="Q622" s="463"/>
      <c r="R622" s="463"/>
      <c r="S622" s="463"/>
    </row>
    <row r="623" spans="1:19" s="139" customFormat="1" ht="15" hidden="1" customHeight="1">
      <c r="A623" s="261"/>
      <c r="D623" s="141"/>
      <c r="Q623" s="463"/>
      <c r="R623" s="463"/>
      <c r="S623" s="463"/>
    </row>
    <row r="624" spans="1:19" s="139" customFormat="1" ht="15" hidden="1" customHeight="1">
      <c r="A624" s="261"/>
      <c r="D624" s="141"/>
      <c r="Q624" s="463"/>
      <c r="R624" s="463"/>
      <c r="S624" s="463"/>
    </row>
    <row r="625" spans="1:19" s="139" customFormat="1" ht="15" hidden="1" customHeight="1">
      <c r="A625" s="261"/>
      <c r="D625" s="141"/>
      <c r="Q625" s="463"/>
      <c r="R625" s="463"/>
      <c r="S625" s="463"/>
    </row>
    <row r="626" spans="1:19" s="139" customFormat="1" ht="15" hidden="1" customHeight="1">
      <c r="A626" s="261"/>
      <c r="D626" s="141"/>
      <c r="Q626" s="463"/>
      <c r="R626" s="463"/>
      <c r="S626" s="463"/>
    </row>
    <row r="627" spans="1:19" s="139" customFormat="1" ht="15" hidden="1" customHeight="1">
      <c r="A627" s="261"/>
      <c r="D627" s="141"/>
      <c r="Q627" s="463"/>
      <c r="R627" s="463"/>
      <c r="S627" s="463"/>
    </row>
    <row r="628" spans="1:19" s="139" customFormat="1" ht="15" hidden="1" customHeight="1">
      <c r="A628" s="261"/>
      <c r="D628" s="141"/>
      <c r="Q628" s="463"/>
      <c r="R628" s="463"/>
      <c r="S628" s="463"/>
    </row>
    <row r="629" spans="1:19" s="139" customFormat="1" ht="15" hidden="1" customHeight="1">
      <c r="A629" s="261"/>
      <c r="D629" s="141"/>
      <c r="Q629" s="463"/>
      <c r="R629" s="463"/>
      <c r="S629" s="463"/>
    </row>
    <row r="630" spans="1:19" s="139" customFormat="1" ht="15" hidden="1" customHeight="1">
      <c r="A630" s="261"/>
      <c r="D630" s="141"/>
      <c r="Q630" s="463"/>
      <c r="R630" s="463"/>
      <c r="S630" s="463"/>
    </row>
    <row r="631" spans="1:19" s="139" customFormat="1" ht="15" hidden="1" customHeight="1">
      <c r="A631" s="261"/>
      <c r="D631" s="141"/>
      <c r="Q631" s="463"/>
      <c r="R631" s="463"/>
      <c r="S631" s="463"/>
    </row>
    <row r="632" spans="1:19" s="139" customFormat="1" ht="15" hidden="1" customHeight="1">
      <c r="A632" s="261"/>
      <c r="D632" s="141"/>
      <c r="Q632" s="463"/>
      <c r="R632" s="463"/>
      <c r="S632" s="463"/>
    </row>
    <row r="633" spans="1:19" s="139" customFormat="1" ht="15" hidden="1" customHeight="1">
      <c r="A633" s="261"/>
      <c r="D633" s="141"/>
      <c r="Q633" s="463"/>
      <c r="R633" s="463"/>
      <c r="S633" s="463"/>
    </row>
    <row r="634" spans="1:19" s="139" customFormat="1" ht="15" hidden="1" customHeight="1">
      <c r="A634" s="261"/>
      <c r="D634" s="141"/>
      <c r="Q634" s="463"/>
      <c r="R634" s="463"/>
      <c r="S634" s="463"/>
    </row>
    <row r="635" spans="1:19" s="139" customFormat="1" ht="15" hidden="1" customHeight="1">
      <c r="A635" s="261"/>
      <c r="D635" s="141"/>
      <c r="Q635" s="463"/>
      <c r="R635" s="463"/>
      <c r="S635" s="463"/>
    </row>
    <row r="636" spans="1:19" s="139" customFormat="1" ht="15" hidden="1" customHeight="1">
      <c r="A636" s="261"/>
      <c r="D636" s="141"/>
      <c r="Q636" s="463"/>
      <c r="R636" s="463"/>
      <c r="S636" s="463"/>
    </row>
    <row r="637" spans="1:19" s="139" customFormat="1" ht="15" hidden="1" customHeight="1">
      <c r="A637" s="261"/>
      <c r="D637" s="141"/>
      <c r="Q637" s="463"/>
      <c r="R637" s="463"/>
      <c r="S637" s="463"/>
    </row>
    <row r="638" spans="1:19" s="139" customFormat="1" ht="15" hidden="1" customHeight="1">
      <c r="A638" s="261"/>
      <c r="D638" s="141"/>
      <c r="Q638" s="463"/>
      <c r="R638" s="463"/>
      <c r="S638" s="463"/>
    </row>
    <row r="639" spans="1:19" s="139" customFormat="1" ht="15" hidden="1" customHeight="1">
      <c r="A639" s="261"/>
      <c r="D639" s="141"/>
      <c r="Q639" s="463"/>
      <c r="R639" s="463"/>
      <c r="S639" s="463"/>
    </row>
    <row r="640" spans="1:19" s="139" customFormat="1" ht="15" hidden="1" customHeight="1">
      <c r="A640" s="261"/>
      <c r="D640" s="141"/>
      <c r="Q640" s="463"/>
      <c r="R640" s="463"/>
      <c r="S640" s="463"/>
    </row>
    <row r="641" spans="1:19" s="139" customFormat="1" ht="15" hidden="1" customHeight="1">
      <c r="A641" s="261"/>
      <c r="D641" s="141"/>
      <c r="Q641" s="463"/>
      <c r="R641" s="463"/>
      <c r="S641" s="463"/>
    </row>
    <row r="642" spans="1:19" s="139" customFormat="1" ht="15" hidden="1" customHeight="1">
      <c r="A642" s="261"/>
      <c r="D642" s="141"/>
      <c r="Q642" s="463"/>
      <c r="R642" s="463"/>
      <c r="S642" s="463"/>
    </row>
    <row r="643" spans="1:19" s="139" customFormat="1" ht="15" hidden="1" customHeight="1">
      <c r="A643" s="261"/>
      <c r="D643" s="141"/>
      <c r="Q643" s="463"/>
      <c r="R643" s="463"/>
      <c r="S643" s="463"/>
    </row>
    <row r="644" spans="1:19" s="139" customFormat="1" ht="15" hidden="1" customHeight="1">
      <c r="A644" s="261"/>
      <c r="D644" s="141"/>
      <c r="Q644" s="463"/>
      <c r="R644" s="463"/>
      <c r="S644" s="463"/>
    </row>
    <row r="645" spans="1:19" s="139" customFormat="1" ht="15" hidden="1" customHeight="1">
      <c r="A645" s="261"/>
      <c r="D645" s="141"/>
      <c r="Q645" s="463"/>
      <c r="R645" s="463"/>
      <c r="S645" s="463"/>
    </row>
    <row r="646" spans="1:19" s="139" customFormat="1" ht="15" hidden="1" customHeight="1">
      <c r="A646" s="261"/>
      <c r="D646" s="141"/>
      <c r="Q646" s="463"/>
      <c r="R646" s="463"/>
      <c r="S646" s="463"/>
    </row>
    <row r="647" spans="1:19" s="139" customFormat="1" ht="15" hidden="1" customHeight="1">
      <c r="A647" s="261"/>
      <c r="D647" s="141"/>
      <c r="Q647" s="463"/>
      <c r="R647" s="463"/>
      <c r="S647" s="463"/>
    </row>
    <row r="648" spans="1:19" s="139" customFormat="1" ht="15" hidden="1" customHeight="1">
      <c r="A648" s="261"/>
      <c r="D648" s="141"/>
      <c r="Q648" s="463"/>
      <c r="R648" s="463"/>
      <c r="S648" s="463"/>
    </row>
    <row r="649" spans="1:19" s="139" customFormat="1" ht="15" hidden="1" customHeight="1">
      <c r="A649" s="261"/>
      <c r="D649" s="141"/>
      <c r="Q649" s="463"/>
      <c r="R649" s="463"/>
      <c r="S649" s="463"/>
    </row>
    <row r="650" spans="1:19" s="139" customFormat="1" ht="15" hidden="1" customHeight="1">
      <c r="A650" s="261"/>
      <c r="D650" s="141"/>
      <c r="Q650" s="463"/>
      <c r="R650" s="463"/>
      <c r="S650" s="463"/>
    </row>
    <row r="651" spans="1:19" s="139" customFormat="1" ht="15" hidden="1" customHeight="1">
      <c r="A651" s="261"/>
      <c r="D651" s="141"/>
      <c r="Q651" s="463"/>
      <c r="R651" s="463"/>
      <c r="S651" s="463"/>
    </row>
    <row r="652" spans="1:19" s="139" customFormat="1" ht="15" hidden="1" customHeight="1">
      <c r="A652" s="261"/>
      <c r="D652" s="141"/>
      <c r="Q652" s="463"/>
      <c r="R652" s="463"/>
      <c r="S652" s="463"/>
    </row>
    <row r="653" spans="1:19" s="139" customFormat="1" ht="15" hidden="1" customHeight="1">
      <c r="A653" s="261"/>
      <c r="D653" s="141"/>
      <c r="Q653" s="463"/>
      <c r="R653" s="463"/>
      <c r="S653" s="463"/>
    </row>
    <row r="654" spans="1:19" s="139" customFormat="1" ht="15" hidden="1" customHeight="1">
      <c r="A654" s="261"/>
      <c r="D654" s="141"/>
      <c r="Q654" s="463"/>
      <c r="R654" s="463"/>
      <c r="S654" s="463"/>
    </row>
    <row r="655" spans="1:19" s="139" customFormat="1" ht="15" hidden="1" customHeight="1">
      <c r="A655" s="261"/>
      <c r="D655" s="141"/>
      <c r="Q655" s="463"/>
      <c r="R655" s="463"/>
      <c r="S655" s="463"/>
    </row>
    <row r="656" spans="1:19" s="139" customFormat="1" ht="15" hidden="1" customHeight="1">
      <c r="A656" s="261"/>
      <c r="D656" s="141"/>
      <c r="Q656" s="463"/>
      <c r="R656" s="463"/>
      <c r="S656" s="463"/>
    </row>
    <row r="657" spans="1:19" s="139" customFormat="1" ht="15" hidden="1" customHeight="1">
      <c r="A657" s="261"/>
      <c r="D657" s="141"/>
      <c r="Q657" s="463"/>
      <c r="R657" s="463"/>
      <c r="S657" s="463"/>
    </row>
    <row r="658" spans="1:19" s="139" customFormat="1" ht="15" hidden="1" customHeight="1">
      <c r="A658" s="261"/>
      <c r="D658" s="141"/>
      <c r="Q658" s="463"/>
      <c r="R658" s="463"/>
      <c r="S658" s="463"/>
    </row>
    <row r="659" spans="1:19" s="139" customFormat="1" ht="15" hidden="1" customHeight="1">
      <c r="A659" s="261"/>
      <c r="D659" s="141"/>
      <c r="Q659" s="463"/>
      <c r="R659" s="463"/>
      <c r="S659" s="463"/>
    </row>
    <row r="660" spans="1:19" s="139" customFormat="1" ht="15" hidden="1" customHeight="1">
      <c r="A660" s="261"/>
      <c r="D660" s="141"/>
      <c r="Q660" s="463"/>
      <c r="R660" s="463"/>
      <c r="S660" s="463"/>
    </row>
    <row r="661" spans="1:19" s="139" customFormat="1" ht="15" hidden="1" customHeight="1">
      <c r="A661" s="261"/>
      <c r="D661" s="141"/>
      <c r="Q661" s="463"/>
      <c r="R661" s="463"/>
      <c r="S661" s="463"/>
    </row>
    <row r="662" spans="1:19" s="139" customFormat="1" ht="15" hidden="1" customHeight="1">
      <c r="A662" s="261"/>
      <c r="D662" s="141"/>
      <c r="Q662" s="463"/>
      <c r="R662" s="463"/>
      <c r="S662" s="463"/>
    </row>
    <row r="663" spans="1:19" s="139" customFormat="1" ht="15" hidden="1" customHeight="1">
      <c r="A663" s="261"/>
      <c r="D663" s="141"/>
      <c r="Q663" s="463"/>
      <c r="R663" s="463"/>
      <c r="S663" s="463"/>
    </row>
    <row r="664" spans="1:19" s="139" customFormat="1" ht="15" hidden="1" customHeight="1">
      <c r="A664" s="261"/>
      <c r="D664" s="141"/>
      <c r="Q664" s="463"/>
      <c r="R664" s="463"/>
      <c r="S664" s="463"/>
    </row>
    <row r="665" spans="1:19" s="139" customFormat="1" ht="15" hidden="1" customHeight="1">
      <c r="A665" s="261"/>
      <c r="D665" s="141"/>
      <c r="Q665" s="463"/>
      <c r="R665" s="463"/>
      <c r="S665" s="463"/>
    </row>
    <row r="666" spans="1:19" s="139" customFormat="1" ht="15" hidden="1" customHeight="1">
      <c r="A666" s="261"/>
      <c r="D666" s="141"/>
      <c r="Q666" s="463"/>
      <c r="R666" s="463"/>
      <c r="S666" s="463"/>
    </row>
    <row r="667" spans="1:19" s="139" customFormat="1" ht="15" hidden="1" customHeight="1">
      <c r="A667" s="261"/>
      <c r="D667" s="141"/>
      <c r="Q667" s="463"/>
      <c r="R667" s="463"/>
      <c r="S667" s="463"/>
    </row>
    <row r="668" spans="1:19" s="139" customFormat="1" ht="15" hidden="1" customHeight="1">
      <c r="A668" s="261"/>
      <c r="D668" s="141"/>
      <c r="Q668" s="463"/>
      <c r="R668" s="463"/>
      <c r="S668" s="463"/>
    </row>
    <row r="669" spans="1:19" s="139" customFormat="1" ht="15" hidden="1" customHeight="1">
      <c r="A669" s="261"/>
      <c r="D669" s="141"/>
      <c r="Q669" s="463"/>
      <c r="R669" s="463"/>
      <c r="S669" s="463"/>
    </row>
    <row r="670" spans="1:19" s="139" customFormat="1" ht="15" hidden="1" customHeight="1">
      <c r="A670" s="261"/>
      <c r="D670" s="141"/>
      <c r="Q670" s="463"/>
      <c r="R670" s="463"/>
      <c r="S670" s="463"/>
    </row>
    <row r="671" spans="1:19" s="139" customFormat="1" ht="15" hidden="1" customHeight="1">
      <c r="A671" s="261"/>
      <c r="D671" s="141"/>
      <c r="Q671" s="463"/>
      <c r="R671" s="463"/>
      <c r="S671" s="463"/>
    </row>
    <row r="672" spans="1:19" s="139" customFormat="1" ht="15" hidden="1" customHeight="1">
      <c r="A672" s="261"/>
      <c r="D672" s="141"/>
      <c r="Q672" s="463"/>
      <c r="R672" s="463"/>
      <c r="S672" s="463"/>
    </row>
    <row r="673" spans="1:19" s="139" customFormat="1" ht="15" hidden="1" customHeight="1">
      <c r="A673" s="261"/>
      <c r="D673" s="141"/>
      <c r="Q673" s="463"/>
      <c r="R673" s="463"/>
      <c r="S673" s="463"/>
    </row>
    <row r="674" spans="1:19" s="139" customFormat="1" ht="15" hidden="1" customHeight="1">
      <c r="A674" s="261"/>
      <c r="D674" s="141"/>
      <c r="Q674" s="463"/>
      <c r="R674" s="463"/>
      <c r="S674" s="463"/>
    </row>
    <row r="675" spans="1:19" s="139" customFormat="1" ht="15" hidden="1" customHeight="1">
      <c r="A675" s="261"/>
      <c r="D675" s="141"/>
      <c r="Q675" s="463"/>
      <c r="R675" s="463"/>
      <c r="S675" s="463"/>
    </row>
    <row r="676" spans="1:19" s="139" customFormat="1" ht="15" hidden="1" customHeight="1">
      <c r="A676" s="261"/>
      <c r="D676" s="141"/>
      <c r="Q676" s="463"/>
      <c r="R676" s="463"/>
      <c r="S676" s="463"/>
    </row>
    <row r="677" spans="1:19" s="139" customFormat="1" ht="15" hidden="1" customHeight="1">
      <c r="A677" s="261"/>
      <c r="D677" s="141"/>
      <c r="Q677" s="463"/>
      <c r="R677" s="463"/>
      <c r="S677" s="463"/>
    </row>
    <row r="678" spans="1:19" s="139" customFormat="1" ht="15" hidden="1" customHeight="1">
      <c r="A678" s="261"/>
      <c r="D678" s="141"/>
      <c r="Q678" s="463"/>
      <c r="R678" s="463"/>
      <c r="S678" s="463"/>
    </row>
    <row r="679" spans="1:19" s="139" customFormat="1" ht="15" hidden="1" customHeight="1">
      <c r="A679" s="261"/>
      <c r="D679" s="141"/>
      <c r="Q679" s="463"/>
      <c r="R679" s="463"/>
      <c r="S679" s="463"/>
    </row>
    <row r="680" spans="1:19" s="139" customFormat="1" ht="15" hidden="1" customHeight="1">
      <c r="A680" s="261"/>
      <c r="D680" s="141"/>
      <c r="Q680" s="463"/>
      <c r="R680" s="463"/>
      <c r="S680" s="463"/>
    </row>
    <row r="681" spans="1:19" s="139" customFormat="1" ht="15" hidden="1" customHeight="1">
      <c r="A681" s="261"/>
      <c r="D681" s="141"/>
      <c r="Q681" s="463"/>
      <c r="R681" s="463"/>
      <c r="S681" s="463"/>
    </row>
    <row r="682" spans="1:19" s="139" customFormat="1" ht="15" hidden="1" customHeight="1">
      <c r="A682" s="261"/>
      <c r="D682" s="141"/>
      <c r="Q682" s="463"/>
      <c r="R682" s="463"/>
      <c r="S682" s="463"/>
    </row>
    <row r="683" spans="1:19" s="139" customFormat="1" ht="15" hidden="1" customHeight="1">
      <c r="A683" s="261"/>
      <c r="D683" s="141"/>
      <c r="Q683" s="463"/>
      <c r="R683" s="463"/>
      <c r="S683" s="463"/>
    </row>
    <row r="684" spans="1:19" s="139" customFormat="1" ht="15" hidden="1" customHeight="1">
      <c r="A684" s="261"/>
      <c r="D684" s="141"/>
      <c r="Q684" s="463"/>
      <c r="R684" s="463"/>
      <c r="S684" s="463"/>
    </row>
    <row r="685" spans="1:19" s="139" customFormat="1" ht="15" hidden="1" customHeight="1">
      <c r="A685" s="261"/>
      <c r="D685" s="141"/>
      <c r="Q685" s="463"/>
      <c r="R685" s="463"/>
      <c r="S685" s="463"/>
    </row>
    <row r="686" spans="1:19" s="139" customFormat="1" ht="15" hidden="1" customHeight="1">
      <c r="A686" s="261"/>
      <c r="D686" s="141"/>
      <c r="Q686" s="463"/>
      <c r="R686" s="463"/>
      <c r="S686" s="463"/>
    </row>
    <row r="687" spans="1:19" s="139" customFormat="1" ht="15" hidden="1" customHeight="1">
      <c r="A687" s="261"/>
      <c r="D687" s="141"/>
      <c r="Q687" s="463"/>
      <c r="R687" s="463"/>
      <c r="S687" s="463"/>
    </row>
    <row r="688" spans="1:19" s="139" customFormat="1" ht="15" hidden="1" customHeight="1">
      <c r="A688" s="261"/>
      <c r="D688" s="141"/>
      <c r="Q688" s="463"/>
      <c r="R688" s="463"/>
      <c r="S688" s="463"/>
    </row>
    <row r="689" spans="1:19" s="139" customFormat="1" ht="15" hidden="1" customHeight="1">
      <c r="A689" s="261"/>
      <c r="D689" s="141"/>
      <c r="Q689" s="463"/>
      <c r="R689" s="463"/>
      <c r="S689" s="463"/>
    </row>
    <row r="690" spans="1:19" s="139" customFormat="1" ht="15" hidden="1" customHeight="1">
      <c r="A690" s="261"/>
      <c r="D690" s="141"/>
      <c r="Q690" s="463"/>
      <c r="R690" s="463"/>
      <c r="S690" s="463"/>
    </row>
    <row r="691" spans="1:19" s="139" customFormat="1" ht="15" hidden="1" customHeight="1">
      <c r="A691" s="261"/>
      <c r="D691" s="141"/>
      <c r="Q691" s="463"/>
      <c r="R691" s="463"/>
      <c r="S691" s="463"/>
    </row>
    <row r="692" spans="1:19" s="139" customFormat="1" ht="15" hidden="1" customHeight="1">
      <c r="A692" s="261"/>
      <c r="D692" s="141"/>
      <c r="Q692" s="463"/>
      <c r="R692" s="463"/>
      <c r="S692" s="463"/>
    </row>
    <row r="693" spans="1:19" s="139" customFormat="1" ht="15" hidden="1" customHeight="1">
      <c r="A693" s="261"/>
      <c r="D693" s="141"/>
      <c r="Q693" s="463"/>
      <c r="R693" s="463"/>
      <c r="S693" s="463"/>
    </row>
    <row r="694" spans="1:19" s="139" customFormat="1" ht="15" hidden="1" customHeight="1">
      <c r="A694" s="261"/>
      <c r="D694" s="141"/>
      <c r="Q694" s="463"/>
      <c r="R694" s="463"/>
      <c r="S694" s="463"/>
    </row>
    <row r="695" spans="1:19" s="139" customFormat="1" ht="15" hidden="1" customHeight="1">
      <c r="A695" s="261"/>
      <c r="D695" s="141"/>
      <c r="Q695" s="463"/>
      <c r="R695" s="463"/>
      <c r="S695" s="463"/>
    </row>
    <row r="696" spans="1:19" s="139" customFormat="1" ht="15" hidden="1" customHeight="1">
      <c r="A696" s="261"/>
      <c r="D696" s="141"/>
      <c r="Q696" s="463"/>
      <c r="R696" s="463"/>
      <c r="S696" s="463"/>
    </row>
    <row r="697" spans="1:19" s="139" customFormat="1" ht="15" hidden="1" customHeight="1">
      <c r="A697" s="261"/>
      <c r="D697" s="141"/>
      <c r="Q697" s="463"/>
      <c r="R697" s="463"/>
      <c r="S697" s="463"/>
    </row>
    <row r="698" spans="1:19" s="139" customFormat="1" ht="15" hidden="1" customHeight="1">
      <c r="A698" s="261"/>
      <c r="D698" s="141"/>
      <c r="Q698" s="463"/>
      <c r="R698" s="463"/>
      <c r="S698" s="463"/>
    </row>
    <row r="699" spans="1:19" s="139" customFormat="1" ht="15" hidden="1" customHeight="1">
      <c r="A699" s="261"/>
      <c r="D699" s="141"/>
      <c r="Q699" s="463"/>
      <c r="R699" s="463"/>
      <c r="S699" s="463"/>
    </row>
    <row r="700" spans="1:19" s="139" customFormat="1" ht="15" hidden="1" customHeight="1">
      <c r="A700" s="261"/>
      <c r="D700" s="141"/>
      <c r="Q700" s="463"/>
      <c r="R700" s="463"/>
      <c r="S700" s="463"/>
    </row>
    <row r="701" spans="1:19" s="139" customFormat="1" ht="15" hidden="1" customHeight="1">
      <c r="A701" s="261"/>
      <c r="D701" s="141"/>
      <c r="Q701" s="463"/>
      <c r="R701" s="463"/>
      <c r="S701" s="463"/>
    </row>
    <row r="702" spans="1:19" s="139" customFormat="1" ht="15" hidden="1" customHeight="1">
      <c r="A702" s="261"/>
      <c r="D702" s="141"/>
      <c r="Q702" s="463"/>
      <c r="R702" s="463"/>
      <c r="S702" s="463"/>
    </row>
    <row r="703" spans="1:19" s="139" customFormat="1" ht="15" hidden="1" customHeight="1">
      <c r="A703" s="261"/>
      <c r="D703" s="141"/>
      <c r="Q703" s="463"/>
      <c r="R703" s="463"/>
      <c r="S703" s="463"/>
    </row>
    <row r="704" spans="1:19" s="139" customFormat="1" ht="15" hidden="1" customHeight="1">
      <c r="A704" s="261"/>
      <c r="D704" s="141"/>
      <c r="Q704" s="463"/>
      <c r="R704" s="463"/>
      <c r="S704" s="463"/>
    </row>
    <row r="705" spans="1:19" s="139" customFormat="1" ht="15" hidden="1" customHeight="1">
      <c r="A705" s="261"/>
      <c r="D705" s="141"/>
      <c r="Q705" s="463"/>
      <c r="R705" s="463"/>
      <c r="S705" s="463"/>
    </row>
    <row r="706" spans="1:19" s="139" customFormat="1" ht="15" hidden="1" customHeight="1">
      <c r="A706" s="261"/>
      <c r="D706" s="141"/>
      <c r="Q706" s="463"/>
      <c r="R706" s="463"/>
      <c r="S706" s="463"/>
    </row>
    <row r="707" spans="1:19" s="139" customFormat="1" ht="15" hidden="1" customHeight="1">
      <c r="A707" s="261"/>
      <c r="D707" s="141"/>
      <c r="Q707" s="463"/>
      <c r="R707" s="463"/>
      <c r="S707" s="463"/>
    </row>
    <row r="708" spans="1:19" s="139" customFormat="1" ht="15" hidden="1" customHeight="1">
      <c r="A708" s="261"/>
      <c r="D708" s="141"/>
      <c r="Q708" s="463"/>
      <c r="R708" s="463"/>
      <c r="S708" s="463"/>
    </row>
    <row r="709" spans="1:19" s="139" customFormat="1" ht="15" hidden="1" customHeight="1">
      <c r="A709" s="261"/>
      <c r="D709" s="141"/>
      <c r="Q709" s="463"/>
      <c r="R709" s="463"/>
      <c r="S709" s="463"/>
    </row>
    <row r="710" spans="1:19" s="139" customFormat="1" ht="15" hidden="1" customHeight="1">
      <c r="A710" s="261"/>
      <c r="D710" s="141"/>
      <c r="Q710" s="463"/>
      <c r="R710" s="463"/>
      <c r="S710" s="463"/>
    </row>
    <row r="711" spans="1:19" s="139" customFormat="1" ht="15" hidden="1" customHeight="1">
      <c r="A711" s="261"/>
      <c r="D711" s="141"/>
      <c r="Q711" s="463"/>
      <c r="R711" s="463"/>
      <c r="S711" s="463"/>
    </row>
    <row r="712" spans="1:19" s="139" customFormat="1" ht="15" hidden="1" customHeight="1">
      <c r="A712" s="261"/>
      <c r="D712" s="141"/>
      <c r="Q712" s="463"/>
      <c r="R712" s="463"/>
      <c r="S712" s="463"/>
    </row>
    <row r="713" spans="1:19" s="139" customFormat="1" ht="15" hidden="1" customHeight="1">
      <c r="A713" s="261"/>
      <c r="D713" s="141"/>
      <c r="Q713" s="463"/>
      <c r="R713" s="463"/>
      <c r="S713" s="463"/>
    </row>
    <row r="714" spans="1:19" s="139" customFormat="1" ht="15" hidden="1" customHeight="1">
      <c r="A714" s="261"/>
      <c r="D714" s="141"/>
      <c r="Q714" s="463"/>
      <c r="R714" s="463"/>
      <c r="S714" s="463"/>
    </row>
    <row r="715" spans="1:19" s="139" customFormat="1" ht="15" hidden="1" customHeight="1">
      <c r="A715" s="261"/>
      <c r="D715" s="141"/>
      <c r="Q715" s="463"/>
      <c r="R715" s="463"/>
      <c r="S715" s="463"/>
    </row>
    <row r="716" spans="1:19" s="139" customFormat="1" ht="15" hidden="1" customHeight="1">
      <c r="A716" s="261"/>
      <c r="D716" s="141"/>
      <c r="Q716" s="463"/>
      <c r="R716" s="463"/>
      <c r="S716" s="463"/>
    </row>
    <row r="717" spans="1:19" s="139" customFormat="1" ht="15" hidden="1" customHeight="1">
      <c r="A717" s="261"/>
      <c r="D717" s="141"/>
      <c r="Q717" s="463"/>
      <c r="R717" s="463"/>
      <c r="S717" s="463"/>
    </row>
    <row r="718" spans="1:19" s="139" customFormat="1" ht="15" hidden="1" customHeight="1">
      <c r="A718" s="261"/>
      <c r="D718" s="141"/>
      <c r="Q718" s="463"/>
      <c r="R718" s="463"/>
      <c r="S718" s="463"/>
    </row>
    <row r="719" spans="1:19" s="139" customFormat="1" ht="15" hidden="1" customHeight="1">
      <c r="A719" s="261"/>
      <c r="D719" s="141"/>
      <c r="Q719" s="463"/>
      <c r="R719" s="463"/>
      <c r="S719" s="463"/>
    </row>
    <row r="720" spans="1:19" s="139" customFormat="1" ht="15" hidden="1" customHeight="1">
      <c r="A720" s="261"/>
      <c r="D720" s="141"/>
      <c r="Q720" s="463"/>
      <c r="R720" s="463"/>
      <c r="S720" s="463"/>
    </row>
    <row r="721" spans="1:19" s="139" customFormat="1" ht="15" hidden="1" customHeight="1">
      <c r="A721" s="261"/>
      <c r="D721" s="141"/>
      <c r="Q721" s="463"/>
      <c r="R721" s="463"/>
      <c r="S721" s="463"/>
    </row>
    <row r="722" spans="1:19" s="139" customFormat="1" ht="15" hidden="1" customHeight="1">
      <c r="A722" s="261"/>
      <c r="D722" s="141"/>
      <c r="Q722" s="463"/>
      <c r="R722" s="463"/>
      <c r="S722" s="463"/>
    </row>
    <row r="723" spans="1:19" s="139" customFormat="1" ht="15" hidden="1" customHeight="1">
      <c r="A723" s="261"/>
      <c r="D723" s="141"/>
      <c r="Q723" s="463"/>
      <c r="R723" s="463"/>
      <c r="S723" s="463"/>
    </row>
    <row r="724" spans="1:19" s="139" customFormat="1" ht="15" hidden="1" customHeight="1">
      <c r="A724" s="261"/>
      <c r="D724" s="141"/>
      <c r="Q724" s="463"/>
      <c r="R724" s="463"/>
      <c r="S724" s="463"/>
    </row>
    <row r="725" spans="1:19" s="139" customFormat="1" ht="15" hidden="1" customHeight="1">
      <c r="A725" s="261"/>
      <c r="D725" s="141"/>
      <c r="Q725" s="463"/>
      <c r="R725" s="463"/>
      <c r="S725" s="463"/>
    </row>
    <row r="726" spans="1:19" s="139" customFormat="1" ht="15" hidden="1" customHeight="1">
      <c r="A726" s="261"/>
      <c r="D726" s="141"/>
      <c r="Q726" s="463"/>
      <c r="R726" s="463"/>
      <c r="S726" s="463"/>
    </row>
    <row r="727" spans="1:19" s="139" customFormat="1" ht="15" hidden="1" customHeight="1">
      <c r="A727" s="261"/>
      <c r="D727" s="141"/>
      <c r="Q727" s="463"/>
      <c r="R727" s="463"/>
      <c r="S727" s="463"/>
    </row>
    <row r="728" spans="1:19" s="139" customFormat="1" ht="15" hidden="1" customHeight="1">
      <c r="A728" s="261"/>
      <c r="D728" s="141"/>
      <c r="Q728" s="463"/>
      <c r="R728" s="463"/>
      <c r="S728" s="463"/>
    </row>
    <row r="729" spans="1:19" s="139" customFormat="1" ht="15" hidden="1" customHeight="1">
      <c r="A729" s="261"/>
      <c r="D729" s="141"/>
      <c r="Q729" s="463"/>
      <c r="R729" s="463"/>
      <c r="S729" s="463"/>
    </row>
    <row r="730" spans="1:19" s="139" customFormat="1" ht="15" hidden="1" customHeight="1">
      <c r="A730" s="261"/>
      <c r="D730" s="141"/>
      <c r="Q730" s="463"/>
      <c r="R730" s="463"/>
      <c r="S730" s="463"/>
    </row>
    <row r="731" spans="1:19" s="139" customFormat="1" ht="15" hidden="1" customHeight="1">
      <c r="A731" s="261"/>
      <c r="D731" s="141"/>
      <c r="Q731" s="463"/>
      <c r="R731" s="463"/>
      <c r="S731" s="463"/>
    </row>
    <row r="732" spans="1:19" s="139" customFormat="1" ht="15" hidden="1" customHeight="1">
      <c r="A732" s="261"/>
      <c r="D732" s="141"/>
      <c r="Q732" s="463"/>
      <c r="R732" s="463"/>
      <c r="S732" s="463"/>
    </row>
    <row r="733" spans="1:19" s="139" customFormat="1" ht="15" hidden="1" customHeight="1">
      <c r="A733" s="261"/>
      <c r="D733" s="141"/>
      <c r="Q733" s="463"/>
      <c r="R733" s="463"/>
      <c r="S733" s="463"/>
    </row>
    <row r="734" spans="1:19" s="139" customFormat="1" ht="15" hidden="1" customHeight="1">
      <c r="A734" s="261"/>
      <c r="D734" s="141"/>
      <c r="Q734" s="463"/>
      <c r="R734" s="463"/>
      <c r="S734" s="463"/>
    </row>
    <row r="735" spans="1:19" s="139" customFormat="1" ht="15" hidden="1" customHeight="1">
      <c r="A735" s="261"/>
      <c r="D735" s="141"/>
      <c r="Q735" s="463"/>
      <c r="R735" s="463"/>
      <c r="S735" s="463"/>
    </row>
    <row r="736" spans="1:19" s="139" customFormat="1" ht="15" hidden="1" customHeight="1">
      <c r="A736" s="261"/>
      <c r="D736" s="141"/>
      <c r="Q736" s="463"/>
      <c r="R736" s="463"/>
      <c r="S736" s="463"/>
    </row>
    <row r="737" spans="1:19" s="139" customFormat="1" ht="15" hidden="1" customHeight="1">
      <c r="A737" s="261"/>
      <c r="D737" s="141"/>
      <c r="Q737" s="463"/>
      <c r="R737" s="463"/>
      <c r="S737" s="463"/>
    </row>
    <row r="738" spans="1:19" s="139" customFormat="1" ht="15" hidden="1" customHeight="1">
      <c r="A738" s="261"/>
      <c r="D738" s="141"/>
      <c r="Q738" s="463"/>
      <c r="R738" s="463"/>
      <c r="S738" s="463"/>
    </row>
    <row r="739" spans="1:19" s="139" customFormat="1" ht="15" hidden="1" customHeight="1">
      <c r="A739" s="261"/>
      <c r="D739" s="141"/>
      <c r="Q739" s="463"/>
      <c r="R739" s="463"/>
      <c r="S739" s="463"/>
    </row>
    <row r="740" spans="1:19" s="139" customFormat="1" ht="15" hidden="1" customHeight="1">
      <c r="A740" s="261"/>
      <c r="D740" s="141"/>
      <c r="Q740" s="463"/>
      <c r="R740" s="463"/>
      <c r="S740" s="463"/>
    </row>
    <row r="741" spans="1:19" s="139" customFormat="1" ht="15" hidden="1" customHeight="1">
      <c r="A741" s="261"/>
      <c r="D741" s="141"/>
      <c r="Q741" s="463"/>
      <c r="R741" s="463"/>
      <c r="S741" s="463"/>
    </row>
    <row r="742" spans="1:19" s="139" customFormat="1" ht="15" hidden="1" customHeight="1">
      <c r="A742" s="261"/>
      <c r="D742" s="141"/>
      <c r="Q742" s="463"/>
      <c r="R742" s="463"/>
      <c r="S742" s="463"/>
    </row>
    <row r="743" spans="1:19" s="139" customFormat="1" ht="15" hidden="1" customHeight="1">
      <c r="A743" s="261"/>
      <c r="D743" s="141"/>
      <c r="Q743" s="463"/>
      <c r="R743" s="463"/>
      <c r="S743" s="463"/>
    </row>
    <row r="744" spans="1:19" s="139" customFormat="1" ht="15" hidden="1" customHeight="1">
      <c r="A744" s="261"/>
      <c r="D744" s="141"/>
      <c r="Q744" s="463"/>
      <c r="R744" s="463"/>
      <c r="S744" s="463"/>
    </row>
    <row r="745" spans="1:19" s="139" customFormat="1" ht="15" hidden="1" customHeight="1">
      <c r="A745" s="261"/>
      <c r="D745" s="141"/>
      <c r="Q745" s="463"/>
      <c r="R745" s="463"/>
      <c r="S745" s="463"/>
    </row>
    <row r="746" spans="1:19" s="139" customFormat="1" ht="15" hidden="1" customHeight="1">
      <c r="A746" s="261"/>
      <c r="D746" s="141"/>
      <c r="Q746" s="463"/>
      <c r="R746" s="463"/>
      <c r="S746" s="463"/>
    </row>
    <row r="747" spans="1:19" s="139" customFormat="1" ht="15" hidden="1" customHeight="1">
      <c r="A747" s="261"/>
      <c r="D747" s="141"/>
      <c r="Q747" s="463"/>
      <c r="R747" s="463"/>
      <c r="S747" s="463"/>
    </row>
    <row r="748" spans="1:19" s="139" customFormat="1" ht="15" hidden="1" customHeight="1">
      <c r="A748" s="261"/>
      <c r="D748" s="141"/>
      <c r="Q748" s="463"/>
      <c r="R748" s="463"/>
      <c r="S748" s="463"/>
    </row>
    <row r="749" spans="1:19" s="139" customFormat="1" ht="15" hidden="1" customHeight="1">
      <c r="A749" s="261"/>
      <c r="D749" s="141"/>
      <c r="Q749" s="463"/>
      <c r="R749" s="463"/>
      <c r="S749" s="463"/>
    </row>
    <row r="750" spans="1:19" s="139" customFormat="1" ht="15" hidden="1" customHeight="1">
      <c r="A750" s="261"/>
      <c r="D750" s="141"/>
      <c r="Q750" s="463"/>
      <c r="R750" s="463"/>
      <c r="S750" s="463"/>
    </row>
    <row r="751" spans="1:19" s="139" customFormat="1" ht="15" hidden="1" customHeight="1">
      <c r="A751" s="261"/>
      <c r="D751" s="141"/>
      <c r="Q751" s="463"/>
      <c r="R751" s="463"/>
      <c r="S751" s="463"/>
    </row>
    <row r="752" spans="1:19" s="139" customFormat="1" ht="15" hidden="1" customHeight="1">
      <c r="A752" s="261"/>
      <c r="D752" s="141"/>
      <c r="Q752" s="463"/>
      <c r="R752" s="463"/>
      <c r="S752" s="463"/>
    </row>
    <row r="753" spans="1:19" s="139" customFormat="1" ht="15" hidden="1" customHeight="1">
      <c r="A753" s="261"/>
      <c r="D753" s="141"/>
      <c r="Q753" s="463"/>
      <c r="R753" s="463"/>
      <c r="S753" s="463"/>
    </row>
    <row r="754" spans="1:19" s="139" customFormat="1" ht="15" hidden="1" customHeight="1">
      <c r="A754" s="261"/>
      <c r="D754" s="141"/>
      <c r="Q754" s="463"/>
      <c r="R754" s="463"/>
      <c r="S754" s="463"/>
    </row>
    <row r="755" spans="1:19" s="139" customFormat="1" ht="15" hidden="1" customHeight="1">
      <c r="A755" s="261"/>
      <c r="D755" s="141"/>
      <c r="Q755" s="463"/>
      <c r="R755" s="463"/>
      <c r="S755" s="463"/>
    </row>
    <row r="756" spans="1:19" s="139" customFormat="1" ht="15" hidden="1" customHeight="1">
      <c r="A756" s="261"/>
      <c r="D756" s="141"/>
      <c r="Q756" s="463"/>
      <c r="R756" s="463"/>
      <c r="S756" s="463"/>
    </row>
    <row r="757" spans="1:19" s="139" customFormat="1" ht="15" hidden="1" customHeight="1">
      <c r="A757" s="261"/>
      <c r="D757" s="141"/>
      <c r="Q757" s="463"/>
      <c r="R757" s="463"/>
      <c r="S757" s="463"/>
    </row>
    <row r="758" spans="1:19" s="139" customFormat="1" ht="15" hidden="1" customHeight="1">
      <c r="A758" s="261"/>
      <c r="D758" s="141"/>
      <c r="Q758" s="463"/>
      <c r="R758" s="463"/>
      <c r="S758" s="463"/>
    </row>
    <row r="759" spans="1:19" s="139" customFormat="1" ht="15" hidden="1" customHeight="1">
      <c r="A759" s="261"/>
      <c r="D759" s="141"/>
      <c r="Q759" s="463"/>
      <c r="R759" s="463"/>
      <c r="S759" s="463"/>
    </row>
    <row r="760" spans="1:19" s="139" customFormat="1" ht="15" hidden="1" customHeight="1">
      <c r="A760" s="261"/>
      <c r="D760" s="141"/>
      <c r="Q760" s="463"/>
      <c r="R760" s="463"/>
      <c r="S760" s="463"/>
    </row>
    <row r="761" spans="1:19" s="139" customFormat="1" ht="15" hidden="1" customHeight="1">
      <c r="A761" s="261"/>
      <c r="D761" s="141"/>
      <c r="Q761" s="463"/>
      <c r="R761" s="463"/>
      <c r="S761" s="463"/>
    </row>
    <row r="762" spans="1:19" s="139" customFormat="1" ht="15" hidden="1" customHeight="1">
      <c r="A762" s="261"/>
      <c r="D762" s="141"/>
      <c r="Q762" s="463"/>
      <c r="R762" s="463"/>
      <c r="S762" s="463"/>
    </row>
    <row r="763" spans="1:19" s="139" customFormat="1" ht="15" hidden="1" customHeight="1">
      <c r="A763" s="261"/>
      <c r="D763" s="141"/>
      <c r="Q763" s="463"/>
      <c r="R763" s="463"/>
      <c r="S763" s="463"/>
    </row>
    <row r="764" spans="1:19" s="139" customFormat="1" ht="15" hidden="1" customHeight="1">
      <c r="A764" s="261"/>
      <c r="D764" s="141"/>
      <c r="Q764" s="463"/>
      <c r="R764" s="463"/>
      <c r="S764" s="463"/>
    </row>
    <row r="765" spans="1:19" s="139" customFormat="1" ht="15" hidden="1" customHeight="1">
      <c r="A765" s="261"/>
      <c r="D765" s="141"/>
      <c r="Q765" s="463"/>
      <c r="R765" s="463"/>
      <c r="S765" s="463"/>
    </row>
    <row r="766" spans="1:19" s="139" customFormat="1" ht="15" hidden="1" customHeight="1">
      <c r="A766" s="261"/>
      <c r="D766" s="141"/>
      <c r="Q766" s="463"/>
      <c r="R766" s="463"/>
      <c r="S766" s="463"/>
    </row>
    <row r="767" spans="1:19" s="139" customFormat="1" ht="15" hidden="1" customHeight="1">
      <c r="A767" s="261"/>
      <c r="D767" s="141"/>
      <c r="Q767" s="463"/>
      <c r="R767" s="463"/>
      <c r="S767" s="463"/>
    </row>
    <row r="768" spans="1:19" s="139" customFormat="1" ht="15" hidden="1" customHeight="1">
      <c r="A768" s="261"/>
      <c r="D768" s="141"/>
      <c r="Q768" s="463"/>
      <c r="R768" s="463"/>
      <c r="S768" s="463"/>
    </row>
    <row r="769" spans="1:19" s="139" customFormat="1" ht="15" hidden="1" customHeight="1">
      <c r="A769" s="261"/>
      <c r="D769" s="141"/>
      <c r="Q769" s="463"/>
      <c r="R769" s="463"/>
      <c r="S769" s="463"/>
    </row>
    <row r="770" spans="1:19" s="139" customFormat="1" ht="15" hidden="1" customHeight="1">
      <c r="A770" s="261"/>
      <c r="D770" s="141"/>
      <c r="Q770" s="463"/>
      <c r="R770" s="463"/>
      <c r="S770" s="463"/>
    </row>
    <row r="771" spans="1:19" s="139" customFormat="1" ht="15" hidden="1" customHeight="1">
      <c r="A771" s="261"/>
      <c r="D771" s="141"/>
      <c r="Q771" s="463"/>
      <c r="R771" s="463"/>
      <c r="S771" s="463"/>
    </row>
    <row r="772" spans="1:19" s="139" customFormat="1" ht="15" hidden="1" customHeight="1">
      <c r="A772" s="261"/>
      <c r="D772" s="141"/>
      <c r="Q772" s="463"/>
      <c r="R772" s="463"/>
      <c r="S772" s="463"/>
    </row>
    <row r="773" spans="1:19" s="139" customFormat="1" ht="15" hidden="1" customHeight="1">
      <c r="A773" s="261"/>
      <c r="D773" s="141"/>
      <c r="Q773" s="463"/>
      <c r="R773" s="463"/>
      <c r="S773" s="463"/>
    </row>
    <row r="774" spans="1:19" s="139" customFormat="1" ht="15" hidden="1" customHeight="1">
      <c r="A774" s="261"/>
      <c r="D774" s="141"/>
      <c r="Q774" s="463"/>
      <c r="R774" s="463"/>
      <c r="S774" s="463"/>
    </row>
    <row r="775" spans="1:19" s="139" customFormat="1" ht="15" hidden="1" customHeight="1">
      <c r="A775" s="261"/>
      <c r="D775" s="141"/>
      <c r="Q775" s="463"/>
      <c r="R775" s="463"/>
      <c r="S775" s="463"/>
    </row>
    <row r="776" spans="1:19" s="139" customFormat="1" ht="15" hidden="1" customHeight="1">
      <c r="A776" s="261"/>
      <c r="D776" s="141"/>
      <c r="Q776" s="463"/>
      <c r="R776" s="463"/>
      <c r="S776" s="463"/>
    </row>
    <row r="777" spans="1:19" s="139" customFormat="1" ht="15" hidden="1" customHeight="1">
      <c r="A777" s="261"/>
      <c r="D777" s="141"/>
      <c r="Q777" s="463"/>
      <c r="R777" s="463"/>
      <c r="S777" s="463"/>
    </row>
    <row r="778" spans="1:19" s="139" customFormat="1" ht="15" hidden="1" customHeight="1">
      <c r="A778" s="261"/>
      <c r="D778" s="141"/>
      <c r="Q778" s="463"/>
      <c r="R778" s="463"/>
      <c r="S778" s="463"/>
    </row>
    <row r="779" spans="1:19" s="139" customFormat="1" ht="15" hidden="1" customHeight="1">
      <c r="A779" s="261"/>
      <c r="D779" s="141"/>
      <c r="Q779" s="463"/>
      <c r="R779" s="463"/>
      <c r="S779" s="463"/>
    </row>
    <row r="780" spans="1:19" s="139" customFormat="1" ht="15" hidden="1" customHeight="1">
      <c r="A780" s="261"/>
      <c r="D780" s="141"/>
      <c r="Q780" s="463"/>
      <c r="R780" s="463"/>
      <c r="S780" s="463"/>
    </row>
    <row r="781" spans="1:19" s="139" customFormat="1" ht="15" hidden="1" customHeight="1">
      <c r="A781" s="261"/>
      <c r="D781" s="141"/>
      <c r="Q781" s="463"/>
      <c r="R781" s="463"/>
      <c r="S781" s="463"/>
    </row>
    <row r="782" spans="1:19" s="139" customFormat="1" ht="15" hidden="1" customHeight="1">
      <c r="A782" s="261"/>
      <c r="D782" s="141"/>
      <c r="Q782" s="463"/>
      <c r="R782" s="463"/>
      <c r="S782" s="463"/>
    </row>
    <row r="783" spans="1:19" s="139" customFormat="1" ht="15" hidden="1" customHeight="1">
      <c r="A783" s="261"/>
      <c r="D783" s="141"/>
      <c r="Q783" s="463"/>
      <c r="R783" s="463"/>
      <c r="S783" s="463"/>
    </row>
    <row r="784" spans="1:19" s="139" customFormat="1" ht="15" hidden="1" customHeight="1">
      <c r="A784" s="261"/>
      <c r="D784" s="141"/>
      <c r="Q784" s="463"/>
      <c r="R784" s="463"/>
      <c r="S784" s="463"/>
    </row>
    <row r="785" spans="1:19" s="139" customFormat="1" ht="15" hidden="1" customHeight="1">
      <c r="A785" s="261"/>
      <c r="D785" s="141"/>
      <c r="Q785" s="463"/>
      <c r="R785" s="463"/>
      <c r="S785" s="463"/>
    </row>
    <row r="786" spans="1:19" s="139" customFormat="1" ht="15" hidden="1" customHeight="1">
      <c r="A786" s="261"/>
      <c r="D786" s="141"/>
      <c r="Q786" s="463"/>
      <c r="R786" s="463"/>
      <c r="S786" s="463"/>
    </row>
    <row r="787" spans="1:19" s="139" customFormat="1" ht="15" hidden="1" customHeight="1">
      <c r="A787" s="261"/>
      <c r="D787" s="141"/>
      <c r="Q787" s="463"/>
      <c r="R787" s="463"/>
      <c r="S787" s="463"/>
    </row>
    <row r="788" spans="1:19" s="139" customFormat="1" ht="15" hidden="1" customHeight="1">
      <c r="A788" s="261"/>
      <c r="D788" s="141"/>
      <c r="Q788" s="463"/>
      <c r="R788" s="463"/>
      <c r="S788" s="463"/>
    </row>
    <row r="789" spans="1:19" s="139" customFormat="1" ht="15" hidden="1" customHeight="1">
      <c r="A789" s="261"/>
      <c r="D789" s="141"/>
      <c r="Q789" s="463"/>
      <c r="R789" s="463"/>
      <c r="S789" s="463"/>
    </row>
    <row r="790" spans="1:19" s="139" customFormat="1" ht="15" hidden="1" customHeight="1">
      <c r="A790" s="261"/>
      <c r="D790" s="141"/>
      <c r="Q790" s="463"/>
      <c r="R790" s="463"/>
      <c r="S790" s="463"/>
    </row>
    <row r="791" spans="1:19" s="139" customFormat="1" ht="15" hidden="1" customHeight="1">
      <c r="A791" s="261"/>
      <c r="D791" s="141"/>
      <c r="Q791" s="463"/>
      <c r="R791" s="463"/>
      <c r="S791" s="463"/>
    </row>
    <row r="792" spans="1:19" s="139" customFormat="1" ht="15" hidden="1" customHeight="1">
      <c r="A792" s="261"/>
      <c r="D792" s="141"/>
      <c r="Q792" s="463"/>
      <c r="R792" s="463"/>
      <c r="S792" s="463"/>
    </row>
    <row r="793" spans="1:19" s="139" customFormat="1" ht="15" hidden="1" customHeight="1">
      <c r="A793" s="261"/>
      <c r="D793" s="141"/>
      <c r="Q793" s="463"/>
      <c r="R793" s="463"/>
      <c r="S793" s="463"/>
    </row>
    <row r="794" spans="1:19" s="139" customFormat="1" ht="15" hidden="1" customHeight="1">
      <c r="A794" s="261"/>
      <c r="D794" s="141"/>
      <c r="Q794" s="463"/>
      <c r="R794" s="463"/>
      <c r="S794" s="463"/>
    </row>
    <row r="795" spans="1:19" s="139" customFormat="1" ht="15" hidden="1" customHeight="1">
      <c r="A795" s="261"/>
      <c r="D795" s="141"/>
      <c r="Q795" s="463"/>
      <c r="R795" s="463"/>
      <c r="S795" s="463"/>
    </row>
    <row r="796" spans="1:19" s="139" customFormat="1" ht="15" hidden="1" customHeight="1">
      <c r="A796" s="261"/>
      <c r="D796" s="141"/>
      <c r="Q796" s="463"/>
      <c r="R796" s="463"/>
      <c r="S796" s="463"/>
    </row>
    <row r="797" spans="1:19" s="139" customFormat="1" ht="15" hidden="1" customHeight="1">
      <c r="A797" s="261"/>
      <c r="D797" s="141"/>
      <c r="Q797" s="463"/>
      <c r="R797" s="463"/>
      <c r="S797" s="463"/>
    </row>
    <row r="798" spans="1:19" s="139" customFormat="1" ht="15" hidden="1" customHeight="1">
      <c r="A798" s="261"/>
      <c r="D798" s="141"/>
      <c r="Q798" s="463"/>
      <c r="R798" s="463"/>
      <c r="S798" s="463"/>
    </row>
    <row r="799" spans="1:19" s="139" customFormat="1" ht="15" hidden="1" customHeight="1">
      <c r="A799" s="261"/>
      <c r="D799" s="141"/>
      <c r="Q799" s="463"/>
      <c r="R799" s="463"/>
      <c r="S799" s="463"/>
    </row>
    <row r="800" spans="1:19" s="139" customFormat="1" ht="15" hidden="1" customHeight="1">
      <c r="A800" s="261"/>
      <c r="D800" s="141"/>
      <c r="Q800" s="463"/>
      <c r="R800" s="463"/>
      <c r="S800" s="463"/>
    </row>
    <row r="801" spans="1:19" s="139" customFormat="1" ht="15" hidden="1" customHeight="1">
      <c r="A801" s="261"/>
      <c r="D801" s="141"/>
      <c r="Q801" s="463"/>
      <c r="R801" s="463"/>
      <c r="S801" s="463"/>
    </row>
    <row r="802" spans="1:19" s="139" customFormat="1" ht="15" hidden="1" customHeight="1">
      <c r="A802" s="261"/>
      <c r="D802" s="141"/>
      <c r="Q802" s="463"/>
      <c r="R802" s="463"/>
      <c r="S802" s="463"/>
    </row>
    <row r="803" spans="1:19" s="139" customFormat="1" ht="15" hidden="1" customHeight="1">
      <c r="A803" s="261"/>
      <c r="D803" s="141"/>
      <c r="Q803" s="463"/>
      <c r="R803" s="463"/>
      <c r="S803" s="463"/>
    </row>
    <row r="804" spans="1:19" s="139" customFormat="1" ht="15" hidden="1" customHeight="1">
      <c r="A804" s="261"/>
      <c r="D804" s="141"/>
      <c r="Q804" s="463"/>
      <c r="R804" s="463"/>
      <c r="S804" s="463"/>
    </row>
    <row r="805" spans="1:19" s="139" customFormat="1" ht="15" hidden="1" customHeight="1">
      <c r="A805" s="261"/>
      <c r="D805" s="141"/>
      <c r="Q805" s="463"/>
      <c r="R805" s="463"/>
      <c r="S805" s="463"/>
    </row>
    <row r="806" spans="1:19" s="139" customFormat="1" ht="15" hidden="1" customHeight="1">
      <c r="A806" s="261"/>
      <c r="D806" s="141"/>
      <c r="Q806" s="463"/>
      <c r="R806" s="463"/>
      <c r="S806" s="463"/>
    </row>
    <row r="807" spans="1:19" s="139" customFormat="1" ht="15" hidden="1" customHeight="1">
      <c r="A807" s="261"/>
      <c r="D807" s="141"/>
      <c r="Q807" s="463"/>
      <c r="R807" s="463"/>
      <c r="S807" s="463"/>
    </row>
    <row r="808" spans="1:19" s="139" customFormat="1" ht="15" hidden="1" customHeight="1">
      <c r="A808" s="261"/>
      <c r="D808" s="141"/>
      <c r="Q808" s="463"/>
      <c r="R808" s="463"/>
      <c r="S808" s="463"/>
    </row>
    <row r="809" spans="1:19" s="139" customFormat="1" ht="15" hidden="1" customHeight="1">
      <c r="A809" s="261"/>
      <c r="D809" s="141"/>
      <c r="Q809" s="463"/>
      <c r="R809" s="463"/>
      <c r="S809" s="463"/>
    </row>
    <row r="810" spans="1:19" s="139" customFormat="1" ht="15" hidden="1" customHeight="1">
      <c r="A810" s="261"/>
      <c r="D810" s="141"/>
      <c r="Q810" s="463"/>
      <c r="R810" s="463"/>
      <c r="S810" s="463"/>
    </row>
    <row r="811" spans="1:19" s="139" customFormat="1" ht="15" hidden="1" customHeight="1">
      <c r="A811" s="261"/>
      <c r="D811" s="141"/>
      <c r="Q811" s="463"/>
      <c r="R811" s="463"/>
      <c r="S811" s="463"/>
    </row>
    <row r="812" spans="1:19" s="139" customFormat="1" ht="15" hidden="1" customHeight="1">
      <c r="A812" s="261"/>
      <c r="D812" s="141"/>
      <c r="Q812" s="463"/>
      <c r="R812" s="463"/>
      <c r="S812" s="463"/>
    </row>
    <row r="813" spans="1:19" s="139" customFormat="1" ht="15" hidden="1" customHeight="1">
      <c r="A813" s="261"/>
      <c r="D813" s="141"/>
      <c r="Q813" s="463"/>
      <c r="R813" s="463"/>
      <c r="S813" s="463"/>
    </row>
    <row r="814" spans="1:19" s="139" customFormat="1" ht="15" hidden="1" customHeight="1">
      <c r="A814" s="261"/>
      <c r="D814" s="141"/>
      <c r="Q814" s="463"/>
      <c r="R814" s="463"/>
      <c r="S814" s="463"/>
    </row>
    <row r="815" spans="1:19" s="139" customFormat="1" ht="15" hidden="1" customHeight="1">
      <c r="A815" s="261"/>
      <c r="D815" s="141"/>
      <c r="Q815" s="463"/>
      <c r="R815" s="463"/>
      <c r="S815" s="463"/>
    </row>
    <row r="816" spans="1:19" s="139" customFormat="1" ht="15" hidden="1" customHeight="1">
      <c r="A816" s="261"/>
      <c r="D816" s="141"/>
      <c r="Q816" s="463"/>
      <c r="R816" s="463"/>
      <c r="S816" s="463"/>
    </row>
    <row r="817" spans="1:19" s="139" customFormat="1" ht="15" hidden="1" customHeight="1">
      <c r="A817" s="261"/>
      <c r="D817" s="141"/>
      <c r="Q817" s="463"/>
      <c r="R817" s="463"/>
      <c r="S817" s="463"/>
    </row>
    <row r="818" spans="1:19" s="139" customFormat="1" ht="15" hidden="1" customHeight="1">
      <c r="A818" s="261"/>
      <c r="D818" s="141"/>
      <c r="Q818" s="463"/>
      <c r="R818" s="463"/>
      <c r="S818" s="463"/>
    </row>
    <row r="819" spans="1:19" s="139" customFormat="1" ht="15" hidden="1" customHeight="1">
      <c r="A819" s="261"/>
      <c r="D819" s="141"/>
      <c r="Q819" s="463"/>
      <c r="R819" s="463"/>
      <c r="S819" s="463"/>
    </row>
    <row r="820" spans="1:19" s="139" customFormat="1" ht="15" hidden="1" customHeight="1">
      <c r="A820" s="261"/>
      <c r="D820" s="141"/>
      <c r="Q820" s="463"/>
      <c r="R820" s="463"/>
      <c r="S820" s="463"/>
    </row>
    <row r="821" spans="1:19" s="139" customFormat="1" ht="15" hidden="1" customHeight="1">
      <c r="A821" s="261"/>
      <c r="D821" s="141"/>
      <c r="Q821" s="463"/>
      <c r="R821" s="463"/>
      <c r="S821" s="463"/>
    </row>
    <row r="822" spans="1:19" s="139" customFormat="1" ht="15" hidden="1" customHeight="1">
      <c r="A822" s="261"/>
      <c r="D822" s="141"/>
      <c r="Q822" s="463"/>
      <c r="R822" s="463"/>
      <c r="S822" s="463"/>
    </row>
    <row r="823" spans="1:19" s="139" customFormat="1" ht="15" hidden="1" customHeight="1">
      <c r="A823" s="261"/>
      <c r="D823" s="141"/>
      <c r="Q823" s="463"/>
      <c r="R823" s="463"/>
      <c r="S823" s="463"/>
    </row>
    <row r="824" spans="1:19" s="139" customFormat="1" ht="15" hidden="1" customHeight="1">
      <c r="A824" s="261"/>
      <c r="D824" s="141"/>
      <c r="Q824" s="463"/>
      <c r="R824" s="463"/>
      <c r="S824" s="463"/>
    </row>
    <row r="825" spans="1:19" s="139" customFormat="1" ht="15" hidden="1" customHeight="1">
      <c r="A825" s="261"/>
      <c r="D825" s="141"/>
      <c r="Q825" s="463"/>
      <c r="R825" s="463"/>
      <c r="S825" s="463"/>
    </row>
    <row r="826" spans="1:19" s="139" customFormat="1" ht="15" hidden="1" customHeight="1">
      <c r="A826" s="261"/>
      <c r="D826" s="141"/>
      <c r="Q826" s="463"/>
      <c r="R826" s="463"/>
      <c r="S826" s="463"/>
    </row>
    <row r="827" spans="1:19" s="139" customFormat="1" ht="15" hidden="1" customHeight="1">
      <c r="A827" s="261"/>
      <c r="D827" s="141"/>
      <c r="Q827" s="463"/>
      <c r="R827" s="463"/>
      <c r="S827" s="463"/>
    </row>
    <row r="828" spans="1:19" s="139" customFormat="1" ht="15" hidden="1" customHeight="1">
      <c r="A828" s="261"/>
      <c r="D828" s="141"/>
      <c r="Q828" s="463"/>
      <c r="R828" s="463"/>
      <c r="S828" s="463"/>
    </row>
    <row r="829" spans="1:19" s="139" customFormat="1" ht="15" hidden="1" customHeight="1">
      <c r="A829" s="261"/>
      <c r="D829" s="141"/>
      <c r="Q829" s="463"/>
      <c r="R829" s="463"/>
      <c r="S829" s="463"/>
    </row>
    <row r="830" spans="1:19" s="139" customFormat="1" ht="15" hidden="1" customHeight="1">
      <c r="A830" s="261"/>
      <c r="D830" s="141"/>
      <c r="Q830" s="463"/>
      <c r="R830" s="463"/>
      <c r="S830" s="463"/>
    </row>
    <row r="831" spans="1:19" s="139" customFormat="1" ht="15" hidden="1" customHeight="1">
      <c r="A831" s="261"/>
      <c r="D831" s="141"/>
      <c r="Q831" s="463"/>
      <c r="R831" s="463"/>
      <c r="S831" s="463"/>
    </row>
    <row r="832" spans="1:19" s="139" customFormat="1" ht="15" hidden="1" customHeight="1">
      <c r="A832" s="261"/>
      <c r="D832" s="141"/>
      <c r="Q832" s="463"/>
      <c r="R832" s="463"/>
      <c r="S832" s="463"/>
    </row>
    <row r="833" spans="1:19" s="139" customFormat="1" ht="15" hidden="1" customHeight="1">
      <c r="A833" s="261"/>
      <c r="D833" s="141"/>
      <c r="Q833" s="463"/>
      <c r="R833" s="463"/>
      <c r="S833" s="463"/>
    </row>
    <row r="834" spans="1:19" s="139" customFormat="1" ht="15" hidden="1" customHeight="1">
      <c r="A834" s="261"/>
      <c r="D834" s="141"/>
      <c r="Q834" s="463"/>
      <c r="R834" s="463"/>
      <c r="S834" s="463"/>
    </row>
    <row r="835" spans="1:19" s="139" customFormat="1" ht="15" hidden="1" customHeight="1">
      <c r="A835" s="261"/>
      <c r="D835" s="141"/>
      <c r="Q835" s="463"/>
      <c r="R835" s="463"/>
      <c r="S835" s="463"/>
    </row>
    <row r="836" spans="1:19" s="139" customFormat="1" ht="15" hidden="1" customHeight="1">
      <c r="A836" s="261"/>
      <c r="D836" s="141"/>
      <c r="Q836" s="463"/>
      <c r="R836" s="463"/>
      <c r="S836" s="463"/>
    </row>
    <row r="837" spans="1:19" s="139" customFormat="1" ht="15" hidden="1" customHeight="1">
      <c r="A837" s="261"/>
      <c r="D837" s="141"/>
      <c r="Q837" s="463"/>
      <c r="R837" s="463"/>
      <c r="S837" s="463"/>
    </row>
    <row r="838" spans="1:19" s="139" customFormat="1" ht="15" hidden="1" customHeight="1">
      <c r="A838" s="261"/>
      <c r="D838" s="141"/>
      <c r="Q838" s="463"/>
      <c r="R838" s="463"/>
      <c r="S838" s="463"/>
    </row>
    <row r="839" spans="1:19" s="139" customFormat="1" ht="15" hidden="1" customHeight="1">
      <c r="A839" s="261"/>
      <c r="D839" s="141"/>
      <c r="Q839" s="463"/>
      <c r="R839" s="463"/>
      <c r="S839" s="463"/>
    </row>
    <row r="840" spans="1:19" s="139" customFormat="1" ht="15" hidden="1" customHeight="1">
      <c r="A840" s="261"/>
      <c r="D840" s="141"/>
      <c r="Q840" s="463"/>
      <c r="R840" s="463"/>
      <c r="S840" s="463"/>
    </row>
    <row r="841" spans="1:19" s="139" customFormat="1" ht="15" hidden="1" customHeight="1">
      <c r="A841" s="261"/>
      <c r="D841" s="141"/>
      <c r="Q841" s="463"/>
      <c r="R841" s="463"/>
      <c r="S841" s="463"/>
    </row>
    <row r="842" spans="1:19" s="139" customFormat="1" ht="15" hidden="1" customHeight="1">
      <c r="A842" s="261"/>
      <c r="D842" s="141"/>
      <c r="Q842" s="463"/>
      <c r="R842" s="463"/>
      <c r="S842" s="463"/>
    </row>
    <row r="843" spans="1:19" s="139" customFormat="1" ht="15" hidden="1" customHeight="1">
      <c r="A843" s="261"/>
      <c r="D843" s="141"/>
      <c r="Q843" s="463"/>
      <c r="R843" s="463"/>
      <c r="S843" s="463"/>
    </row>
    <row r="844" spans="1:19" s="139" customFormat="1" ht="15" hidden="1" customHeight="1">
      <c r="A844" s="261"/>
      <c r="D844" s="141"/>
      <c r="Q844" s="463"/>
      <c r="R844" s="463"/>
      <c r="S844" s="463"/>
    </row>
    <row r="845" spans="1:19" s="139" customFormat="1" ht="15" hidden="1" customHeight="1">
      <c r="A845" s="261"/>
      <c r="D845" s="141"/>
      <c r="Q845" s="463"/>
      <c r="R845" s="463"/>
      <c r="S845" s="463"/>
    </row>
    <row r="846" spans="1:19" s="139" customFormat="1" ht="15" hidden="1" customHeight="1">
      <c r="A846" s="261"/>
      <c r="D846" s="141"/>
      <c r="Q846" s="463"/>
      <c r="R846" s="463"/>
      <c r="S846" s="463"/>
    </row>
    <row r="847" spans="1:19" s="139" customFormat="1" ht="15" hidden="1" customHeight="1">
      <c r="A847" s="261"/>
      <c r="D847" s="141"/>
      <c r="Q847" s="463"/>
      <c r="R847" s="463"/>
      <c r="S847" s="463"/>
    </row>
    <row r="848" spans="1:19" s="139" customFormat="1" ht="15" hidden="1" customHeight="1">
      <c r="A848" s="261"/>
      <c r="D848" s="141"/>
      <c r="Q848" s="463"/>
      <c r="R848" s="463"/>
      <c r="S848" s="463"/>
    </row>
    <row r="849" spans="1:19" s="139" customFormat="1" ht="15" hidden="1" customHeight="1">
      <c r="A849" s="261"/>
      <c r="D849" s="141"/>
      <c r="Q849" s="463"/>
      <c r="R849" s="463"/>
      <c r="S849" s="463"/>
    </row>
    <row r="850" spans="1:19" s="139" customFormat="1" ht="15" hidden="1" customHeight="1">
      <c r="A850" s="261"/>
      <c r="D850" s="141"/>
      <c r="Q850" s="463"/>
      <c r="R850" s="463"/>
      <c r="S850" s="463"/>
    </row>
    <row r="851" spans="1:19" s="139" customFormat="1" ht="15" hidden="1" customHeight="1">
      <c r="A851" s="261"/>
      <c r="D851" s="141"/>
      <c r="Q851" s="463"/>
      <c r="R851" s="463"/>
      <c r="S851" s="463"/>
    </row>
    <row r="852" spans="1:19" s="139" customFormat="1" ht="15" hidden="1" customHeight="1">
      <c r="A852" s="261"/>
      <c r="D852" s="141"/>
      <c r="Q852" s="463"/>
      <c r="R852" s="463"/>
      <c r="S852" s="463"/>
    </row>
    <row r="853" spans="1:19" s="139" customFormat="1" ht="15" hidden="1" customHeight="1">
      <c r="A853" s="261"/>
      <c r="D853" s="141"/>
      <c r="Q853" s="463"/>
      <c r="R853" s="463"/>
      <c r="S853" s="463"/>
    </row>
    <row r="854" spans="1:19" s="139" customFormat="1" ht="15" hidden="1" customHeight="1">
      <c r="A854" s="261"/>
      <c r="D854" s="141"/>
      <c r="Q854" s="463"/>
      <c r="R854" s="463"/>
      <c r="S854" s="463"/>
    </row>
    <row r="855" spans="1:19" s="139" customFormat="1" ht="15" hidden="1" customHeight="1">
      <c r="A855" s="261"/>
      <c r="D855" s="141"/>
      <c r="Q855" s="463"/>
      <c r="R855" s="463"/>
      <c r="S855" s="463"/>
    </row>
    <row r="856" spans="1:19" s="139" customFormat="1" ht="15" hidden="1" customHeight="1">
      <c r="A856" s="261"/>
      <c r="D856" s="141"/>
      <c r="Q856" s="463"/>
      <c r="R856" s="463"/>
      <c r="S856" s="463"/>
    </row>
    <row r="857" spans="1:19" s="139" customFormat="1" ht="15" hidden="1" customHeight="1">
      <c r="A857" s="261"/>
      <c r="D857" s="141"/>
      <c r="Q857" s="463"/>
      <c r="R857" s="463"/>
      <c r="S857" s="463"/>
    </row>
    <row r="858" spans="1:19" s="139" customFormat="1" ht="15" hidden="1" customHeight="1">
      <c r="A858" s="261"/>
      <c r="D858" s="141"/>
      <c r="Q858" s="463"/>
      <c r="R858" s="463"/>
      <c r="S858" s="463"/>
    </row>
    <row r="859" spans="1:19" s="139" customFormat="1" ht="15" hidden="1" customHeight="1">
      <c r="A859" s="261"/>
      <c r="D859" s="141"/>
      <c r="Q859" s="463"/>
      <c r="R859" s="463"/>
      <c r="S859" s="463"/>
    </row>
    <row r="860" spans="1:19" s="139" customFormat="1" ht="15" hidden="1" customHeight="1">
      <c r="A860" s="261"/>
      <c r="D860" s="141"/>
      <c r="Q860" s="463"/>
      <c r="R860" s="463"/>
      <c r="S860" s="463"/>
    </row>
    <row r="861" spans="1:19" s="139" customFormat="1" ht="15" hidden="1" customHeight="1">
      <c r="A861" s="261"/>
      <c r="D861" s="141"/>
      <c r="Q861" s="463"/>
      <c r="R861" s="463"/>
      <c r="S861" s="463"/>
    </row>
    <row r="862" spans="1:19" s="139" customFormat="1" ht="15" hidden="1" customHeight="1">
      <c r="A862" s="261"/>
      <c r="D862" s="141"/>
      <c r="Q862" s="463"/>
      <c r="R862" s="463"/>
      <c r="S862" s="463"/>
    </row>
    <row r="863" spans="1:19" s="139" customFormat="1" ht="15" hidden="1" customHeight="1">
      <c r="A863" s="261"/>
      <c r="D863" s="141"/>
      <c r="Q863" s="463"/>
      <c r="R863" s="463"/>
      <c r="S863" s="463"/>
    </row>
    <row r="864" spans="1:19" s="139" customFormat="1" ht="15" hidden="1" customHeight="1">
      <c r="A864" s="261"/>
      <c r="D864" s="141"/>
      <c r="Q864" s="463"/>
      <c r="R864" s="463"/>
      <c r="S864" s="463"/>
    </row>
    <row r="865" spans="1:19" s="139" customFormat="1" ht="15" hidden="1" customHeight="1">
      <c r="A865" s="261"/>
      <c r="D865" s="141"/>
      <c r="Q865" s="463"/>
      <c r="R865" s="463"/>
      <c r="S865" s="463"/>
    </row>
    <row r="866" spans="1:19" s="139" customFormat="1" ht="15" hidden="1" customHeight="1">
      <c r="A866" s="261"/>
      <c r="D866" s="141"/>
      <c r="Q866" s="463"/>
      <c r="R866" s="463"/>
      <c r="S866" s="463"/>
    </row>
    <row r="867" spans="1:19" s="139" customFormat="1" ht="15" hidden="1" customHeight="1">
      <c r="A867" s="261"/>
      <c r="D867" s="141"/>
      <c r="Q867" s="463"/>
      <c r="R867" s="463"/>
      <c r="S867" s="463"/>
    </row>
    <row r="868" spans="1:19" s="139" customFormat="1" ht="15" hidden="1" customHeight="1">
      <c r="A868" s="261"/>
      <c r="D868" s="141"/>
      <c r="Q868" s="463"/>
      <c r="R868" s="463"/>
      <c r="S868" s="463"/>
    </row>
    <row r="869" spans="1:19" s="139" customFormat="1" ht="15" hidden="1" customHeight="1">
      <c r="A869" s="261"/>
      <c r="D869" s="141"/>
      <c r="Q869" s="463"/>
      <c r="R869" s="463"/>
      <c r="S869" s="463"/>
    </row>
    <row r="870" spans="1:19" s="139" customFormat="1" ht="15" hidden="1" customHeight="1">
      <c r="A870" s="261"/>
      <c r="D870" s="141"/>
      <c r="Q870" s="463"/>
      <c r="R870" s="463"/>
      <c r="S870" s="463"/>
    </row>
    <row r="871" spans="1:19" s="139" customFormat="1" ht="15" hidden="1" customHeight="1">
      <c r="A871" s="261"/>
      <c r="D871" s="141"/>
      <c r="Q871" s="463"/>
      <c r="R871" s="463"/>
      <c r="S871" s="463"/>
    </row>
    <row r="872" spans="1:19" s="139" customFormat="1" ht="15" hidden="1" customHeight="1">
      <c r="A872" s="261"/>
      <c r="D872" s="141"/>
      <c r="Q872" s="463"/>
      <c r="R872" s="463"/>
      <c r="S872" s="463"/>
    </row>
    <row r="873" spans="1:19" s="139" customFormat="1" ht="15" hidden="1" customHeight="1">
      <c r="A873" s="261"/>
      <c r="D873" s="141"/>
      <c r="Q873" s="463"/>
      <c r="R873" s="463"/>
      <c r="S873" s="463"/>
    </row>
    <row r="874" spans="1:19" s="139" customFormat="1" ht="15" hidden="1" customHeight="1">
      <c r="A874" s="261"/>
      <c r="D874" s="141"/>
      <c r="Q874" s="463"/>
      <c r="R874" s="463"/>
      <c r="S874" s="463"/>
    </row>
    <row r="875" spans="1:19" s="139" customFormat="1" ht="15" hidden="1" customHeight="1">
      <c r="A875" s="261"/>
      <c r="D875" s="141"/>
      <c r="Q875" s="463"/>
      <c r="R875" s="463"/>
      <c r="S875" s="463"/>
    </row>
    <row r="876" spans="1:19" s="139" customFormat="1" ht="15" hidden="1" customHeight="1">
      <c r="A876" s="261"/>
      <c r="D876" s="141"/>
      <c r="Q876" s="463"/>
      <c r="R876" s="463"/>
      <c r="S876" s="463"/>
    </row>
    <row r="877" spans="1:19" s="139" customFormat="1" ht="15" hidden="1" customHeight="1">
      <c r="A877" s="261"/>
      <c r="D877" s="141"/>
      <c r="Q877" s="463"/>
      <c r="R877" s="463"/>
      <c r="S877" s="463"/>
    </row>
    <row r="878" spans="1:19" s="139" customFormat="1" ht="15" hidden="1" customHeight="1">
      <c r="A878" s="261"/>
      <c r="D878" s="141"/>
      <c r="Q878" s="463"/>
      <c r="R878" s="463"/>
      <c r="S878" s="463"/>
    </row>
    <row r="879" spans="1:19" s="139" customFormat="1" ht="15" hidden="1" customHeight="1">
      <c r="A879" s="261"/>
      <c r="D879" s="141"/>
      <c r="Q879" s="463"/>
      <c r="R879" s="463"/>
      <c r="S879" s="463"/>
    </row>
    <row r="880" spans="1:19" s="139" customFormat="1" ht="15" hidden="1" customHeight="1">
      <c r="A880" s="261"/>
      <c r="D880" s="141"/>
      <c r="Q880" s="463"/>
      <c r="R880" s="463"/>
      <c r="S880" s="463"/>
    </row>
    <row r="881" spans="1:19" s="139" customFormat="1" ht="15" hidden="1" customHeight="1">
      <c r="A881" s="261"/>
      <c r="D881" s="141"/>
      <c r="Q881" s="463"/>
      <c r="R881" s="463"/>
      <c r="S881" s="463"/>
    </row>
    <row r="882" spans="1:19" s="139" customFormat="1" ht="15" hidden="1" customHeight="1">
      <c r="A882" s="261"/>
      <c r="D882" s="141"/>
      <c r="Q882" s="463"/>
      <c r="R882" s="463"/>
      <c r="S882" s="463"/>
    </row>
    <row r="883" spans="1:19" s="139" customFormat="1" ht="15" hidden="1" customHeight="1">
      <c r="A883" s="261"/>
      <c r="D883" s="141"/>
      <c r="Q883" s="463"/>
      <c r="R883" s="463"/>
      <c r="S883" s="463"/>
    </row>
    <row r="884" spans="1:19" s="139" customFormat="1" ht="15" hidden="1" customHeight="1">
      <c r="A884" s="261"/>
      <c r="D884" s="141"/>
      <c r="Q884" s="463"/>
      <c r="R884" s="463"/>
      <c r="S884" s="463"/>
    </row>
    <row r="885" spans="1:19" s="139" customFormat="1" ht="15" hidden="1" customHeight="1">
      <c r="A885" s="261"/>
      <c r="D885" s="141"/>
      <c r="Q885" s="463"/>
      <c r="R885" s="463"/>
      <c r="S885" s="463"/>
    </row>
    <row r="886" spans="1:19" s="139" customFormat="1" ht="15" hidden="1" customHeight="1">
      <c r="A886" s="261"/>
      <c r="D886" s="141"/>
      <c r="Q886" s="463"/>
      <c r="R886" s="463"/>
      <c r="S886" s="463"/>
    </row>
    <row r="887" spans="1:19" s="139" customFormat="1" ht="15" hidden="1" customHeight="1">
      <c r="A887" s="261"/>
      <c r="D887" s="141"/>
      <c r="Q887" s="463"/>
      <c r="R887" s="463"/>
      <c r="S887" s="463"/>
    </row>
    <row r="888" spans="1:19" s="139" customFormat="1" ht="15" hidden="1" customHeight="1">
      <c r="A888" s="261"/>
      <c r="D888" s="141"/>
      <c r="Q888" s="463"/>
      <c r="R888" s="463"/>
      <c r="S888" s="463"/>
    </row>
    <row r="889" spans="1:19" s="139" customFormat="1" ht="15" hidden="1" customHeight="1">
      <c r="A889" s="261"/>
      <c r="D889" s="141"/>
      <c r="Q889" s="463"/>
      <c r="R889" s="463"/>
      <c r="S889" s="463"/>
    </row>
    <row r="890" spans="1:19" s="139" customFormat="1" ht="15" hidden="1" customHeight="1">
      <c r="A890" s="261"/>
      <c r="D890" s="141"/>
      <c r="Q890" s="463"/>
      <c r="R890" s="463"/>
      <c r="S890" s="463"/>
    </row>
    <row r="891" spans="1:19" s="139" customFormat="1" ht="15" hidden="1" customHeight="1">
      <c r="A891" s="261"/>
      <c r="D891" s="141"/>
      <c r="Q891" s="463"/>
      <c r="R891" s="463"/>
      <c r="S891" s="463"/>
    </row>
    <row r="892" spans="1:19" s="139" customFormat="1" ht="15" hidden="1" customHeight="1">
      <c r="A892" s="261"/>
      <c r="D892" s="141"/>
      <c r="Q892" s="463"/>
      <c r="R892" s="463"/>
      <c r="S892" s="463"/>
    </row>
    <row r="893" spans="1:19" s="139" customFormat="1" ht="15" hidden="1" customHeight="1">
      <c r="A893" s="261"/>
      <c r="D893" s="141"/>
      <c r="Q893" s="463"/>
      <c r="R893" s="463"/>
      <c r="S893" s="463"/>
    </row>
    <row r="894" spans="1:19" s="139" customFormat="1" ht="15" hidden="1" customHeight="1">
      <c r="A894" s="261"/>
      <c r="D894" s="141"/>
      <c r="Q894" s="463"/>
      <c r="R894" s="463"/>
      <c r="S894" s="463"/>
    </row>
    <row r="895" spans="1:19" s="139" customFormat="1" ht="15" hidden="1" customHeight="1">
      <c r="A895" s="261"/>
      <c r="D895" s="141"/>
      <c r="Q895" s="463"/>
      <c r="R895" s="463"/>
      <c r="S895" s="463"/>
    </row>
    <row r="896" spans="1:19" s="139" customFormat="1" ht="15" hidden="1" customHeight="1">
      <c r="A896" s="261"/>
      <c r="D896" s="141"/>
      <c r="Q896" s="463"/>
      <c r="R896" s="463"/>
      <c r="S896" s="463"/>
    </row>
    <row r="897" spans="1:19" s="139" customFormat="1" ht="15" hidden="1" customHeight="1">
      <c r="A897" s="261"/>
      <c r="D897" s="141"/>
      <c r="Q897" s="463"/>
      <c r="R897" s="463"/>
      <c r="S897" s="463"/>
    </row>
    <row r="898" spans="1:19" s="139" customFormat="1" ht="15" hidden="1" customHeight="1">
      <c r="A898" s="261"/>
      <c r="D898" s="141"/>
      <c r="Q898" s="463"/>
      <c r="R898" s="463"/>
      <c r="S898" s="463"/>
    </row>
    <row r="899" spans="1:19" s="139" customFormat="1" ht="15" hidden="1" customHeight="1">
      <c r="A899" s="261"/>
      <c r="D899" s="141"/>
      <c r="Q899" s="463"/>
      <c r="R899" s="463"/>
      <c r="S899" s="463"/>
    </row>
    <row r="900" spans="1:19" s="139" customFormat="1" ht="15" hidden="1" customHeight="1">
      <c r="A900" s="261"/>
      <c r="D900" s="141"/>
      <c r="Q900" s="463"/>
      <c r="R900" s="463"/>
      <c r="S900" s="463"/>
    </row>
    <row r="901" spans="1:19" s="139" customFormat="1" ht="15" hidden="1" customHeight="1">
      <c r="A901" s="261"/>
      <c r="D901" s="141"/>
      <c r="Q901" s="463"/>
      <c r="R901" s="463"/>
      <c r="S901" s="463"/>
    </row>
    <row r="902" spans="1:19" s="139" customFormat="1" ht="15" hidden="1" customHeight="1">
      <c r="A902" s="261"/>
      <c r="D902" s="141"/>
      <c r="Q902" s="463"/>
      <c r="R902" s="463"/>
      <c r="S902" s="463"/>
    </row>
    <row r="903" spans="1:19" s="139" customFormat="1" ht="15" hidden="1" customHeight="1">
      <c r="A903" s="261"/>
      <c r="D903" s="141"/>
      <c r="Q903" s="463"/>
      <c r="R903" s="463"/>
      <c r="S903" s="463"/>
    </row>
    <row r="904" spans="1:19" s="139" customFormat="1" ht="15" hidden="1" customHeight="1">
      <c r="A904" s="261"/>
      <c r="D904" s="141"/>
      <c r="Q904" s="463"/>
      <c r="R904" s="463"/>
      <c r="S904" s="463"/>
    </row>
    <row r="905" spans="1:19" s="139" customFormat="1" ht="15" hidden="1" customHeight="1">
      <c r="A905" s="261"/>
      <c r="D905" s="141"/>
      <c r="Q905" s="463"/>
      <c r="R905" s="463"/>
      <c r="S905" s="463"/>
    </row>
    <row r="906" spans="1:19" s="139" customFormat="1" ht="15" hidden="1" customHeight="1">
      <c r="A906" s="261"/>
      <c r="D906" s="141"/>
      <c r="Q906" s="463"/>
      <c r="R906" s="463"/>
      <c r="S906" s="463"/>
    </row>
    <row r="907" spans="1:19" s="139" customFormat="1" ht="15" hidden="1" customHeight="1">
      <c r="A907" s="261"/>
      <c r="D907" s="141"/>
      <c r="Q907" s="463"/>
      <c r="R907" s="463"/>
      <c r="S907" s="463"/>
    </row>
    <row r="908" spans="1:19" s="139" customFormat="1" ht="15" hidden="1" customHeight="1">
      <c r="A908" s="261"/>
      <c r="D908" s="141"/>
      <c r="Q908" s="463"/>
      <c r="R908" s="463"/>
      <c r="S908" s="463"/>
    </row>
    <row r="909" spans="1:19" s="139" customFormat="1" ht="15" hidden="1" customHeight="1">
      <c r="A909" s="261"/>
      <c r="D909" s="141"/>
      <c r="Q909" s="463"/>
      <c r="R909" s="463"/>
      <c r="S909" s="463"/>
    </row>
    <row r="910" spans="1:19" s="139" customFormat="1" ht="15" hidden="1" customHeight="1">
      <c r="A910" s="261"/>
      <c r="D910" s="141"/>
      <c r="Q910" s="463"/>
      <c r="R910" s="463"/>
      <c r="S910" s="463"/>
    </row>
    <row r="911" spans="1:19" s="139" customFormat="1" ht="15" hidden="1" customHeight="1">
      <c r="A911" s="261"/>
      <c r="D911" s="141"/>
      <c r="Q911" s="463"/>
      <c r="R911" s="463"/>
      <c r="S911" s="463"/>
    </row>
    <row r="912" spans="1:19" s="139" customFormat="1" ht="15" hidden="1" customHeight="1">
      <c r="A912" s="261"/>
      <c r="D912" s="141"/>
      <c r="Q912" s="463"/>
      <c r="R912" s="463"/>
      <c r="S912" s="463"/>
    </row>
    <row r="913" spans="1:19" s="139" customFormat="1" ht="15" hidden="1" customHeight="1">
      <c r="A913" s="261"/>
      <c r="D913" s="141"/>
      <c r="Q913" s="463"/>
      <c r="R913" s="463"/>
      <c r="S913" s="463"/>
    </row>
    <row r="914" spans="1:19" s="139" customFormat="1" ht="15" hidden="1" customHeight="1">
      <c r="A914" s="261"/>
      <c r="D914" s="141"/>
      <c r="Q914" s="463"/>
      <c r="R914" s="463"/>
      <c r="S914" s="463"/>
    </row>
    <row r="915" spans="1:19" s="139" customFormat="1" ht="15" hidden="1" customHeight="1">
      <c r="A915" s="261"/>
      <c r="D915" s="141"/>
      <c r="Q915" s="463"/>
      <c r="R915" s="463"/>
      <c r="S915" s="463"/>
    </row>
    <row r="916" spans="1:19" s="139" customFormat="1" ht="15" hidden="1" customHeight="1">
      <c r="A916" s="261"/>
      <c r="D916" s="141"/>
      <c r="Q916" s="463"/>
      <c r="R916" s="463"/>
      <c r="S916" s="463"/>
    </row>
    <row r="917" spans="1:19" s="139" customFormat="1" ht="15" hidden="1" customHeight="1">
      <c r="A917" s="261"/>
      <c r="D917" s="141"/>
      <c r="Q917" s="463"/>
      <c r="R917" s="463"/>
      <c r="S917" s="463"/>
    </row>
    <row r="918" spans="1:19" s="139" customFormat="1" ht="15" hidden="1" customHeight="1">
      <c r="A918" s="261"/>
      <c r="D918" s="141"/>
      <c r="Q918" s="463"/>
      <c r="R918" s="463"/>
      <c r="S918" s="463"/>
    </row>
    <row r="919" spans="1:19" s="139" customFormat="1" ht="15" hidden="1" customHeight="1">
      <c r="A919" s="261"/>
      <c r="D919" s="141"/>
      <c r="Q919" s="463"/>
      <c r="R919" s="463"/>
      <c r="S919" s="463"/>
    </row>
    <row r="920" spans="1:19" s="139" customFormat="1" ht="15" hidden="1" customHeight="1">
      <c r="A920" s="261"/>
      <c r="D920" s="141"/>
      <c r="Q920" s="463"/>
      <c r="R920" s="463"/>
      <c r="S920" s="463"/>
    </row>
    <row r="921" spans="1:19" s="139" customFormat="1" ht="15" hidden="1" customHeight="1">
      <c r="A921" s="261"/>
      <c r="D921" s="141"/>
      <c r="Q921" s="463"/>
      <c r="R921" s="463"/>
      <c r="S921" s="463"/>
    </row>
    <row r="922" spans="1:19" s="139" customFormat="1" ht="15" hidden="1" customHeight="1">
      <c r="A922" s="261"/>
      <c r="D922" s="141"/>
      <c r="Q922" s="463"/>
      <c r="R922" s="463"/>
      <c r="S922" s="463"/>
    </row>
    <row r="923" spans="1:19" s="139" customFormat="1" ht="15" hidden="1" customHeight="1">
      <c r="A923" s="261"/>
      <c r="D923" s="141"/>
      <c r="Q923" s="463"/>
      <c r="R923" s="463"/>
      <c r="S923" s="463"/>
    </row>
    <row r="924" spans="1:19" s="139" customFormat="1" ht="15" hidden="1" customHeight="1">
      <c r="A924" s="261"/>
      <c r="D924" s="141"/>
      <c r="Q924" s="463"/>
      <c r="R924" s="463"/>
      <c r="S924" s="463"/>
    </row>
    <row r="925" spans="1:19" s="139" customFormat="1" ht="15" hidden="1" customHeight="1">
      <c r="A925" s="261"/>
      <c r="D925" s="141"/>
      <c r="Q925" s="463"/>
      <c r="R925" s="463"/>
      <c r="S925" s="463"/>
    </row>
    <row r="926" spans="1:19" s="139" customFormat="1" ht="15" hidden="1" customHeight="1">
      <c r="A926" s="261"/>
      <c r="D926" s="141"/>
      <c r="Q926" s="463"/>
      <c r="R926" s="463"/>
      <c r="S926" s="463"/>
    </row>
  </sheetData>
  <sheetProtection algorithmName="SHA-512" hashValue="1uIu4EtoWHS+j+SJTDJCHskvLeKCFmBSDnP6xcIO9qHO/MAzj+wfiUYEb/Cp0Uqdx17Q3Cp6lw6hQ7P1w3+yNA==" saltValue="3Ug0/YtyU6a0bAQAd7EOTw==" spinCount="100000" sheet="1" formatCells="0" formatColumns="0" formatRows="0" insertColumns="0" insertRows="0" insertHyperlinks="0" deleteColumns="0" deleteRows="0" sort="0" autoFilter="0" pivotTables="0"/>
  <mergeCells count="13">
    <mergeCell ref="Q6:S6"/>
    <mergeCell ref="B490:C494"/>
    <mergeCell ref="B488:C488"/>
    <mergeCell ref="B472:C486"/>
    <mergeCell ref="B452:C470"/>
    <mergeCell ref="B437:C450"/>
    <mergeCell ref="B417:C435"/>
    <mergeCell ref="B378:C415"/>
    <mergeCell ref="B340:C376"/>
    <mergeCell ref="B322:C338"/>
    <mergeCell ref="B258:C320"/>
    <mergeCell ref="B217:C256"/>
    <mergeCell ref="B9:C215"/>
  </mergeCells>
  <dataValidations count="5">
    <dataValidation type="whole" operator="greaterThanOrEqual" allowBlank="1" showInputMessage="1" showErrorMessage="1" errorTitle="Invalid Entry!" error="An invalid quantity has been entered. Please enter only whole numbers. Click Retry to change entry or Cancel to clear entry." sqref="L217:L256 L1:L6 L437:L450 L452:L470 L488 L322:L338 L927:L64594 L113:L215 L472:L486 L378:L415 L340:L376 L258:L320 L490:L495 L417:L435" xr:uid="{411EB85D-AEA0-49D1-B27C-A7D2B45E006D}">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3B026811-6542-407B-86CE-F919D8F8F226}">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7:L8 L216 L257 L321 L339 L377 L416 L436 L451 L471 L487 L489" xr:uid="{67B6DE17-C363-4442-9182-65C74D6EEACA}">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L9:L54" xr:uid="{5661FDFA-DBFC-4687-8EDF-8F8CDE2A5D86}">
      <formula1>1</formula1>
    </dataValidation>
    <dataValidation allowBlank="1" showErrorMessage="1" sqref="K1:K1048576" xr:uid="{CFC109CB-C6E7-4751-82AB-2ECED90DFACB}"/>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rowBreaks count="9" manualBreakCount="9">
    <brk id="64" max="8" man="1"/>
    <brk id="121" max="8" man="1"/>
    <brk id="178" max="8" man="1"/>
    <brk id="234" max="8" man="1"/>
    <brk id="290" max="8" man="1"/>
    <brk id="338" max="8" man="1"/>
    <brk id="395" max="8" man="1"/>
    <brk id="435" max="8" man="1"/>
    <brk id="486" max="8"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AA0FF-A84E-4A4D-BAAC-796F6A103F74}">
  <sheetPr codeName="Sheet31">
    <tabColor theme="0"/>
    <pageSetUpPr fitToPage="1"/>
  </sheetPr>
  <dimension ref="A1:V566"/>
  <sheetViews>
    <sheetView topLeftCell="A102" workbookViewId="0">
      <selection activeCell="B112" sqref="B112:C134"/>
    </sheetView>
  </sheetViews>
  <sheetFormatPr defaultColWidth="9.109375" defaultRowHeight="0" customHeight="1" zeroHeight="1"/>
  <cols>
    <col min="1" max="1" width="2.33203125" style="101" customWidth="1"/>
    <col min="2" max="3" width="8.6640625" style="17" customWidth="1"/>
    <col min="4" max="5" width="12.6640625" style="20" customWidth="1"/>
    <col min="6" max="6" width="50.6640625" style="184" customWidth="1"/>
    <col min="7" max="8" width="10.6640625" style="20" customWidth="1"/>
    <col min="9" max="9" width="10.6640625" style="25" customWidth="1"/>
    <col min="10" max="10" width="10.6640625" style="240" customWidth="1"/>
    <col min="11" max="11" width="10.6640625" style="20" customWidth="1"/>
    <col min="12" max="12" width="1.44140625" style="20" customWidth="1"/>
    <col min="13" max="13" width="10.6640625" style="20" customWidth="1"/>
    <col min="14" max="14" width="2.33203125" style="17" customWidth="1"/>
    <col min="15" max="15" width="12.6640625" style="20" customWidth="1"/>
    <col min="16" max="16" width="10.6640625" style="20" customWidth="1"/>
    <col min="17" max="17" width="11.33203125" style="321" bestFit="1" customWidth="1"/>
    <col min="18" max="18" width="9.109375" style="321" customWidth="1"/>
    <col min="19" max="19" width="13.109375" style="321" bestFit="1" customWidth="1"/>
    <col min="20" max="32" width="9.109375" style="17" customWidth="1"/>
    <col min="33" max="16384" width="9.109375" style="17"/>
  </cols>
  <sheetData>
    <row r="1" spans="1:22" ht="18">
      <c r="F1" s="155" t="s">
        <v>45</v>
      </c>
      <c r="G1" s="198"/>
      <c r="H1" s="198"/>
      <c r="O1" s="198"/>
      <c r="P1" s="198"/>
    </row>
    <row r="2" spans="1:22" ht="14.4" customHeight="1">
      <c r="D2" s="441"/>
      <c r="E2" s="201"/>
      <c r="F2" s="198"/>
      <c r="G2" s="198"/>
      <c r="J2" s="262" t="s">
        <v>59</v>
      </c>
      <c r="K2" s="241"/>
    </row>
    <row r="3" spans="1:22" ht="14.4" customHeight="1">
      <c r="F3" s="323" t="s">
        <v>3376</v>
      </c>
      <c r="G3" s="4"/>
      <c r="H3" s="4"/>
      <c r="J3" s="241"/>
      <c r="K3" s="241"/>
    </row>
    <row r="4" spans="1:22" ht="14.4" customHeight="1">
      <c r="E4" s="147" t="s">
        <v>5741</v>
      </c>
      <c r="F4" s="327" t="s">
        <v>5999</v>
      </c>
      <c r="G4" s="4"/>
      <c r="H4" s="4"/>
      <c r="J4" s="182"/>
      <c r="K4" s="17"/>
    </row>
    <row r="5" spans="1:22" ht="14.4" customHeight="1">
      <c r="F5" s="325" t="s">
        <v>5973</v>
      </c>
      <c r="G5" s="4"/>
      <c r="H5" s="4"/>
      <c r="J5" s="182"/>
      <c r="K5" s="17"/>
    </row>
    <row r="6" spans="1:22" ht="14.4" customHeight="1" thickBot="1">
      <c r="J6" s="182"/>
      <c r="K6" s="17"/>
      <c r="Q6" s="698" t="s">
        <v>64</v>
      </c>
      <c r="R6" s="698"/>
      <c r="S6" s="698"/>
      <c r="T6" s="25"/>
      <c r="U6" s="25"/>
      <c r="V6" s="25"/>
    </row>
    <row r="7" spans="1:22" ht="29.4" thickBot="1">
      <c r="B7" s="584"/>
      <c r="C7" s="585"/>
      <c r="D7" s="586" t="s">
        <v>48</v>
      </c>
      <c r="E7" s="585" t="s">
        <v>49</v>
      </c>
      <c r="F7" s="585" t="s">
        <v>50</v>
      </c>
      <c r="G7" s="585" t="s">
        <v>65</v>
      </c>
      <c r="H7" s="585" t="s">
        <v>66</v>
      </c>
      <c r="I7" s="587" t="s">
        <v>51</v>
      </c>
      <c r="J7" s="587" t="s">
        <v>55</v>
      </c>
      <c r="K7" s="588" t="s">
        <v>52</v>
      </c>
      <c r="L7" s="17"/>
      <c r="M7" s="593" t="s">
        <v>67</v>
      </c>
      <c r="O7" s="589" t="s">
        <v>68</v>
      </c>
      <c r="P7" s="590" t="s">
        <v>69</v>
      </c>
      <c r="Q7" s="591" t="s">
        <v>70</v>
      </c>
      <c r="R7" s="591" t="s">
        <v>71</v>
      </c>
      <c r="S7" s="591" t="s">
        <v>72</v>
      </c>
      <c r="T7" s="590" t="s">
        <v>73</v>
      </c>
      <c r="U7" s="592" t="s">
        <v>328</v>
      </c>
      <c r="V7" s="213" t="s">
        <v>329</v>
      </c>
    </row>
    <row r="8" spans="1:22" ht="16.2" thickBot="1">
      <c r="B8" s="446" t="s">
        <v>3377</v>
      </c>
      <c r="C8" s="151"/>
      <c r="D8" s="151"/>
      <c r="E8" s="459"/>
      <c r="F8" s="151"/>
      <c r="G8" s="468"/>
      <c r="H8" s="151"/>
      <c r="I8" s="472"/>
      <c r="J8" s="468"/>
      <c r="K8" s="566"/>
      <c r="L8" s="17"/>
      <c r="M8" s="545"/>
      <c r="O8" s="357"/>
      <c r="P8" s="145"/>
      <c r="Q8" s="493"/>
      <c r="R8" s="493"/>
      <c r="S8" s="493"/>
      <c r="T8" s="479"/>
      <c r="U8" s="459"/>
      <c r="V8" s="582"/>
    </row>
    <row r="9" spans="1:22" ht="14.4" customHeight="1">
      <c r="A9" s="101" t="str">
        <f>IF(K9&gt;0,COUNT($A$8:A8)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9" s="682"/>
      <c r="C9" s="683"/>
      <c r="D9" s="274" t="str">
        <f>_xlfn.XLOOKUP(E9,'All Products'!D:D,'All Products'!C:C,FALSE)</f>
        <v>OA39-010</v>
      </c>
      <c r="E9" s="103">
        <v>100028394</v>
      </c>
      <c r="F9" s="144" t="str">
        <f>_xlfn.XLOOKUP(E9,'All Products'!D:D,'All Products'!E:E,FALSE)</f>
        <v>1 ACME X 1 FPT ACME ADAPTER SJ</v>
      </c>
      <c r="G9" s="103">
        <f>_xlfn.XLOOKUP(E9,'All Products'!D:D,'All Products'!F:F,FALSE)</f>
        <v>1</v>
      </c>
      <c r="H9" s="103" t="str">
        <f>_xlfn.XLOOKUP(E9,'All Products'!D:D,'All Products'!G:G,FALSE)</f>
        <v>-</v>
      </c>
      <c r="I9" s="140">
        <f>_xlfn.XLOOKUP(E9,'All Products'!D:D,'All Products'!H:H,FALSE)</f>
        <v>16.64</v>
      </c>
      <c r="J9" s="173">
        <f>ROUNDUP(I9*Order_Quote!$L$27,2)</f>
        <v>16.64</v>
      </c>
      <c r="K9" s="75"/>
      <c r="L9" s="113"/>
      <c r="M9" s="171">
        <f t="shared" ref="M9:M18" si="0">K9/G9</f>
        <v>0</v>
      </c>
      <c r="N9" s="363"/>
      <c r="O9" s="215" t="str">
        <f>_xlfn.XLOOKUP(E9,'All Products'!D:D,'All Products'!I:I,FALSE)</f>
        <v>Within 3 Weeks</v>
      </c>
      <c r="P9" s="215" t="str">
        <f>_xlfn.XLOOKUP(E9,'All Products'!D:D,'All Products'!J:J,FALSE)</f>
        <v>Manufactured</v>
      </c>
      <c r="Q9" s="266" t="str">
        <f>_xlfn.XLOOKUP(E9,'All Products'!D:D,'All Products'!K:K,FALSE)</f>
        <v>-</v>
      </c>
      <c r="R9" s="266" t="str">
        <f>_xlfn.XLOOKUP(E9,'All Products'!D:D,'All Products'!L:L,FALSE)</f>
        <v>-</v>
      </c>
      <c r="S9" s="266" t="str">
        <f>_xlfn.XLOOKUP(E9,'All Products'!D:D,'All Products'!M:M,FALSE)</f>
        <v>-</v>
      </c>
      <c r="T9" s="264">
        <f>_xlfn.XLOOKUP(E9,'All Products'!D:D,'All Products'!N:N,FALSE)</f>
        <v>0.124</v>
      </c>
      <c r="U9" s="264">
        <f>_xlfn.XLOOKUP(E9,'All Products'!D:D,'All Products'!P:P,FALSE)</f>
        <v>0.124</v>
      </c>
      <c r="V9" s="265" t="str">
        <f>_xlfn.XLOOKUP(E9,'All Products'!D:D,'All Products'!Q:Q,FALSE)</f>
        <v>-</v>
      </c>
    </row>
    <row r="10" spans="1:22" ht="14.4" customHeight="1">
      <c r="A10" s="101" t="str">
        <f>IF(K10&gt;0,COUNT($A$8:A9)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0" s="610"/>
      <c r="C10" s="611"/>
      <c r="D10" s="274" t="str">
        <f>_xlfn.XLOOKUP(E10,'All Products'!D:D,'All Products'!C:C,FALSE)</f>
        <v>OA39-012</v>
      </c>
      <c r="E10" s="103">
        <v>100028395</v>
      </c>
      <c r="F10" s="144" t="str">
        <f>_xlfn.XLOOKUP(E10,'All Products'!D:D,'All Products'!E:E,FALSE)</f>
        <v>1-1/4 ACME X 1-1/4 FPT ADAPTER SJ</v>
      </c>
      <c r="G10" s="103">
        <f>_xlfn.XLOOKUP(E10,'All Products'!D:D,'All Products'!F:F,FALSE)</f>
        <v>1</v>
      </c>
      <c r="H10" s="103" t="str">
        <f>_xlfn.XLOOKUP(E10,'All Products'!D:D,'All Products'!G:G,FALSE)</f>
        <v>-</v>
      </c>
      <c r="I10" s="140">
        <f>_xlfn.XLOOKUP(E10,'All Products'!D:D,'All Products'!H:H,FALSE)</f>
        <v>17.05</v>
      </c>
      <c r="J10" s="173">
        <f>ROUNDUP(I10*Order_Quote!$L$27,2)</f>
        <v>17.05</v>
      </c>
      <c r="K10" s="75"/>
      <c r="L10" s="113"/>
      <c r="M10" s="171">
        <f t="shared" si="0"/>
        <v>0</v>
      </c>
      <c r="N10" s="363"/>
      <c r="O10" s="215" t="str">
        <f>_xlfn.XLOOKUP(E10,'All Products'!D:D,'All Products'!I:I,FALSE)</f>
        <v>Within 3 Weeks</v>
      </c>
      <c r="P10" s="215" t="str">
        <f>_xlfn.XLOOKUP(E10,'All Products'!D:D,'All Products'!J:J,FALSE)</f>
        <v>Manufactured</v>
      </c>
      <c r="Q10" s="266">
        <f>_xlfn.XLOOKUP(E10,'All Products'!D:D,'All Products'!K:K,FALSE)</f>
        <v>49081012014</v>
      </c>
      <c r="R10" s="266" t="str">
        <f>_xlfn.XLOOKUP(E10,'All Products'!D:D,'All Products'!L:L,FALSE)</f>
        <v>-</v>
      </c>
      <c r="S10" s="266">
        <f>_xlfn.XLOOKUP(E10,'All Products'!D:D,'All Products'!M:M,FALSE)</f>
        <v>40049081012012</v>
      </c>
      <c r="T10" s="264">
        <f>_xlfn.XLOOKUP(E10,'All Products'!D:D,'All Products'!N:N,FALSE)</f>
        <v>0.13</v>
      </c>
      <c r="U10" s="264">
        <f>_xlfn.XLOOKUP(E10,'All Products'!D:D,'All Products'!P:P,FALSE)</f>
        <v>0.13</v>
      </c>
      <c r="V10" s="265" t="str">
        <f>_xlfn.XLOOKUP(E10,'All Products'!D:D,'All Products'!Q:Q,FALSE)</f>
        <v>-</v>
      </c>
    </row>
    <row r="11" spans="1:22" ht="14.4" customHeight="1">
      <c r="A11" s="101" t="str">
        <f>IF(K11&gt;0,COUNT($A$8:A10)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1" s="610"/>
      <c r="C11" s="611"/>
      <c r="D11" s="274" t="str">
        <f>_xlfn.XLOOKUP(E11,'All Products'!D:D,'All Products'!C:C,FALSE)</f>
        <v>OA39-015</v>
      </c>
      <c r="E11" s="103">
        <v>100028396</v>
      </c>
      <c r="F11" s="144" t="str">
        <f>_xlfn.XLOOKUP(E11,'All Products'!D:D,'All Products'!E:E,FALSE)</f>
        <v>1-1/2 ACME X 1-1/2 FPT ADAPTER SJ</v>
      </c>
      <c r="G11" s="103">
        <f>_xlfn.XLOOKUP(E11,'All Products'!D:D,'All Products'!F:F,FALSE)</f>
        <v>1</v>
      </c>
      <c r="H11" s="103" t="str">
        <f>_xlfn.XLOOKUP(E11,'All Products'!D:D,'All Products'!G:G,FALSE)</f>
        <v>-</v>
      </c>
      <c r="I11" s="140">
        <f>_xlfn.XLOOKUP(E11,'All Products'!D:D,'All Products'!H:H,FALSE)</f>
        <v>17.600000000000001</v>
      </c>
      <c r="J11" s="173">
        <f>ROUNDUP(I11*Order_Quote!$L$27,2)</f>
        <v>17.600000000000001</v>
      </c>
      <c r="K11" s="75"/>
      <c r="L11" s="113"/>
      <c r="M11" s="171">
        <f t="shared" si="0"/>
        <v>0</v>
      </c>
      <c r="N11" s="363"/>
      <c r="O11" s="215" t="str">
        <f>_xlfn.XLOOKUP(E11,'All Products'!D:D,'All Products'!I:I,FALSE)</f>
        <v>In Stock</v>
      </c>
      <c r="P11" s="215" t="str">
        <f>_xlfn.XLOOKUP(E11,'All Products'!D:D,'All Products'!J:J,FALSE)</f>
        <v>Manufactured</v>
      </c>
      <c r="Q11" s="266" t="str">
        <f>_xlfn.XLOOKUP(E11,'All Products'!D:D,'All Products'!K:K,FALSE)</f>
        <v>-</v>
      </c>
      <c r="R11" s="266" t="str">
        <f>_xlfn.XLOOKUP(E11,'All Products'!D:D,'All Products'!L:L,FALSE)</f>
        <v>-</v>
      </c>
      <c r="S11" s="266" t="str">
        <f>_xlfn.XLOOKUP(E11,'All Products'!D:D,'All Products'!M:M,FALSE)</f>
        <v>-</v>
      </c>
      <c r="T11" s="264">
        <f>_xlfn.XLOOKUP(E11,'All Products'!D:D,'All Products'!N:N,FALSE)</f>
        <v>0.16600000000000001</v>
      </c>
      <c r="U11" s="264">
        <f>_xlfn.XLOOKUP(E11,'All Products'!D:D,'All Products'!P:P,FALSE)</f>
        <v>0.16600000000000001</v>
      </c>
      <c r="V11" s="265" t="str">
        <f>_xlfn.XLOOKUP(E11,'All Products'!D:D,'All Products'!Q:Q,FALSE)</f>
        <v>-</v>
      </c>
    </row>
    <row r="12" spans="1:22" ht="14.4" customHeight="1">
      <c r="A12" s="101" t="str">
        <f>IF(K12&gt;0,COUNT($A$8:A11)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2" s="610"/>
      <c r="C12" s="611"/>
      <c r="D12" s="274" t="str">
        <f>_xlfn.XLOOKUP(E12,'All Products'!D:D,'All Products'!C:C,FALSE)</f>
        <v>OA39-168</v>
      </c>
      <c r="E12" s="103">
        <v>100028397</v>
      </c>
      <c r="F12" s="144" t="str">
        <f>_xlfn.XLOOKUP(E12,'All Products'!D:D,'All Products'!E:E,FALSE)</f>
        <v>1-1/4 ACME X 1 FPT ADAPTER SJ</v>
      </c>
      <c r="G12" s="103">
        <f>_xlfn.XLOOKUP(E12,'All Products'!D:D,'All Products'!F:F,FALSE)</f>
        <v>1</v>
      </c>
      <c r="H12" s="103" t="str">
        <f>_xlfn.XLOOKUP(E12,'All Products'!D:D,'All Products'!G:G,FALSE)</f>
        <v>-</v>
      </c>
      <c r="I12" s="140">
        <f>_xlfn.XLOOKUP(E12,'All Products'!D:D,'All Products'!H:H,FALSE)</f>
        <v>16.809999999999999</v>
      </c>
      <c r="J12" s="173">
        <f>ROUNDUP(I12*Order_Quote!$L$27,2)</f>
        <v>16.809999999999999</v>
      </c>
      <c r="K12" s="75"/>
      <c r="L12" s="113"/>
      <c r="M12" s="171">
        <f t="shared" si="0"/>
        <v>0</v>
      </c>
      <c r="N12" s="363"/>
      <c r="O12" s="215" t="str">
        <f>_xlfn.XLOOKUP(E12,'All Products'!D:D,'All Products'!I:I,FALSE)</f>
        <v>Within 3 Weeks</v>
      </c>
      <c r="P12" s="215" t="str">
        <f>_xlfn.XLOOKUP(E12,'All Products'!D:D,'All Products'!J:J,FALSE)</f>
        <v>Manufactured</v>
      </c>
      <c r="Q12" s="266">
        <f>_xlfn.XLOOKUP(E12,'All Products'!D:D,'All Products'!K:K,FALSE)</f>
        <v>49081012052</v>
      </c>
      <c r="R12" s="266" t="str">
        <f>_xlfn.XLOOKUP(E12,'All Products'!D:D,'All Products'!L:L,FALSE)</f>
        <v>-</v>
      </c>
      <c r="S12" s="266">
        <f>_xlfn.XLOOKUP(E12,'All Products'!D:D,'All Products'!M:M,FALSE)</f>
        <v>40049081012050</v>
      </c>
      <c r="T12" s="264">
        <f>_xlfn.XLOOKUP(E12,'All Products'!D:D,'All Products'!N:N,FALSE)</f>
        <v>0.20499999999999999</v>
      </c>
      <c r="U12" s="264">
        <f>_xlfn.XLOOKUP(E12,'All Products'!D:D,'All Products'!P:P,FALSE)</f>
        <v>0.20499999999999999</v>
      </c>
      <c r="V12" s="265" t="str">
        <f>_xlfn.XLOOKUP(E12,'All Products'!D:D,'All Products'!Q:Q,FALSE)</f>
        <v>-</v>
      </c>
    </row>
    <row r="13" spans="1:22" ht="14.4" customHeight="1">
      <c r="A13" s="101" t="str">
        <f>IF(K13&gt;0,COUNT($A$8:A12)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3" s="610"/>
      <c r="C13" s="611"/>
      <c r="D13" s="274" t="str">
        <f>_xlfn.XLOOKUP(E13,'All Products'!D:D,'All Products'!C:C,FALSE)</f>
        <v>OA39-169</v>
      </c>
      <c r="E13" s="103">
        <v>100028398</v>
      </c>
      <c r="F13" s="144" t="str">
        <f>_xlfn.XLOOKUP(E13,'All Products'!D:D,'All Products'!E:E,FALSE)</f>
        <v>1-1/4 ACME X 1-1/2 FPT ADAPTER SJ</v>
      </c>
      <c r="G13" s="103">
        <f>_xlfn.XLOOKUP(E13,'All Products'!D:D,'All Products'!F:F,FALSE)</f>
        <v>1</v>
      </c>
      <c r="H13" s="103" t="str">
        <f>_xlfn.XLOOKUP(E13,'All Products'!D:D,'All Products'!G:G,FALSE)</f>
        <v>-</v>
      </c>
      <c r="I13" s="140">
        <f>_xlfn.XLOOKUP(E13,'All Products'!D:D,'All Products'!H:H,FALSE)</f>
        <v>17.440000000000001</v>
      </c>
      <c r="J13" s="173">
        <f>ROUNDUP(I13*Order_Quote!$L$27,2)</f>
        <v>17.440000000000001</v>
      </c>
      <c r="K13" s="75"/>
      <c r="L13" s="113"/>
      <c r="M13" s="171">
        <f t="shared" si="0"/>
        <v>0</v>
      </c>
      <c r="N13" s="363"/>
      <c r="O13" s="215" t="str">
        <f>_xlfn.XLOOKUP(E13,'All Products'!D:D,'All Products'!I:I,FALSE)</f>
        <v>In Stock</v>
      </c>
      <c r="P13" s="215" t="str">
        <f>_xlfn.XLOOKUP(E13,'All Products'!D:D,'All Products'!J:J,FALSE)</f>
        <v>Manufactured</v>
      </c>
      <c r="Q13" s="266">
        <f>_xlfn.XLOOKUP(E13,'All Products'!D:D,'All Products'!K:K,FALSE)</f>
        <v>49081012069</v>
      </c>
      <c r="R13" s="266" t="str">
        <f>_xlfn.XLOOKUP(E13,'All Products'!D:D,'All Products'!L:L,FALSE)</f>
        <v>-</v>
      </c>
      <c r="S13" s="266">
        <f>_xlfn.XLOOKUP(E13,'All Products'!D:D,'All Products'!M:M,FALSE)</f>
        <v>40049081012067</v>
      </c>
      <c r="T13" s="264">
        <f>_xlfn.XLOOKUP(E13,'All Products'!D:D,'All Products'!N:N,FALSE)</f>
        <v>0.185</v>
      </c>
      <c r="U13" s="264">
        <f>_xlfn.XLOOKUP(E13,'All Products'!D:D,'All Products'!P:P,FALSE)</f>
        <v>0.185</v>
      </c>
      <c r="V13" s="265" t="str">
        <f>_xlfn.XLOOKUP(E13,'All Products'!D:D,'All Products'!Q:Q,FALSE)</f>
        <v>-</v>
      </c>
    </row>
    <row r="14" spans="1:22" ht="14.4" customHeight="1">
      <c r="A14" s="101" t="str">
        <f>IF(K14&gt;0,COUNT($A$8:A13)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4" s="610"/>
      <c r="C14" s="611"/>
      <c r="D14" s="274" t="str">
        <f>_xlfn.XLOOKUP(E14,'All Products'!D:D,'All Products'!C:C,FALSE)</f>
        <v>OA39-211</v>
      </c>
      <c r="E14" s="103">
        <v>100023756</v>
      </c>
      <c r="F14" s="144" t="str">
        <f>_xlfn.XLOOKUP(E14,'All Products'!D:D,'All Products'!E:E,FALSE)</f>
        <v>1-1/2 MA ACME X 1 FIPT (2-PC) SJ</v>
      </c>
      <c r="G14" s="103">
        <f>_xlfn.XLOOKUP(E14,'All Products'!D:D,'All Products'!F:F,FALSE)</f>
        <v>1</v>
      </c>
      <c r="H14" s="103" t="str">
        <f>_xlfn.XLOOKUP(E14,'All Products'!D:D,'All Products'!G:G,FALSE)</f>
        <v>-</v>
      </c>
      <c r="I14" s="140">
        <f>_xlfn.XLOOKUP(E14,'All Products'!D:D,'All Products'!H:H,FALSE)</f>
        <v>17.600000000000001</v>
      </c>
      <c r="J14" s="173">
        <f>ROUNDUP(I14*Order_Quote!$L$27,2)</f>
        <v>17.600000000000001</v>
      </c>
      <c r="K14" s="75"/>
      <c r="L14" s="113"/>
      <c r="M14" s="171">
        <f t="shared" si="0"/>
        <v>0</v>
      </c>
      <c r="N14" s="363"/>
      <c r="O14" s="215" t="str">
        <f>_xlfn.XLOOKUP(E14,'All Products'!D:D,'All Products'!I:I,FALSE)</f>
        <v>In Stock</v>
      </c>
      <c r="P14" s="215" t="str">
        <f>_xlfn.XLOOKUP(E14,'All Products'!D:D,'All Products'!J:J,FALSE)</f>
        <v>Manufactured</v>
      </c>
      <c r="Q14" s="266">
        <f>_xlfn.XLOOKUP(E14,'All Products'!D:D,'All Products'!K:K,FALSE)</f>
        <v>49081012076</v>
      </c>
      <c r="R14" s="266" t="str">
        <f>_xlfn.XLOOKUP(E14,'All Products'!D:D,'All Products'!L:L,FALSE)</f>
        <v>-</v>
      </c>
      <c r="S14" s="266">
        <f>_xlfn.XLOOKUP(E14,'All Products'!D:D,'All Products'!M:M,FALSE)</f>
        <v>40049081012074</v>
      </c>
      <c r="T14" s="264">
        <f>_xlfn.XLOOKUP(E14,'All Products'!D:D,'All Products'!N:N,FALSE)</f>
        <v>0.38500000000000001</v>
      </c>
      <c r="U14" s="264">
        <f>_xlfn.XLOOKUP(E14,'All Products'!D:D,'All Products'!P:P,FALSE)</f>
        <v>0.38500000000000001</v>
      </c>
      <c r="V14" s="265" t="str">
        <f>_xlfn.XLOOKUP(E14,'All Products'!D:D,'All Products'!Q:Q,FALSE)</f>
        <v>-</v>
      </c>
    </row>
    <row r="15" spans="1:22" ht="14.4" customHeight="1">
      <c r="A15" s="101" t="str">
        <f>IF(K15&gt;0,COUNT($A$8:A14)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5" s="610"/>
      <c r="C15" s="611"/>
      <c r="D15" s="274" t="str">
        <f>_xlfn.XLOOKUP(E15,'All Products'!D:D,'All Products'!C:C,FALSE)</f>
        <v>OA39-212</v>
      </c>
      <c r="E15" s="103">
        <v>100023757</v>
      </c>
      <c r="F15" s="144" t="str">
        <f>_xlfn.XLOOKUP(E15,'All Products'!D:D,'All Products'!E:E,FALSE)</f>
        <v>1-1/2 MA ACME X 1-1/4 FIPT(2PC) SJ</v>
      </c>
      <c r="G15" s="103">
        <f>_xlfn.XLOOKUP(E15,'All Products'!D:D,'All Products'!F:F,FALSE)</f>
        <v>1</v>
      </c>
      <c r="H15" s="103" t="str">
        <f>_xlfn.XLOOKUP(E15,'All Products'!D:D,'All Products'!G:G,FALSE)</f>
        <v>-</v>
      </c>
      <c r="I15" s="140">
        <f>_xlfn.XLOOKUP(E15,'All Products'!D:D,'All Products'!H:H,FALSE)</f>
        <v>17.600000000000001</v>
      </c>
      <c r="J15" s="173">
        <f>ROUNDUP(I15*Order_Quote!$L$27,2)</f>
        <v>17.600000000000001</v>
      </c>
      <c r="K15" s="75"/>
      <c r="L15" s="113"/>
      <c r="M15" s="171">
        <f t="shared" si="0"/>
        <v>0</v>
      </c>
      <c r="N15" s="363"/>
      <c r="O15" s="215" t="str">
        <f>_xlfn.XLOOKUP(E15,'All Products'!D:D,'All Products'!I:I,FALSE)</f>
        <v>In Stock</v>
      </c>
      <c r="P15" s="215" t="str">
        <f>_xlfn.XLOOKUP(E15,'All Products'!D:D,'All Products'!J:J,FALSE)</f>
        <v>Manufactured</v>
      </c>
      <c r="Q15" s="266">
        <f>_xlfn.XLOOKUP(E15,'All Products'!D:D,'All Products'!K:K,FALSE)</f>
        <v>49081012083</v>
      </c>
      <c r="R15" s="266" t="str">
        <f>_xlfn.XLOOKUP(E15,'All Products'!D:D,'All Products'!L:L,FALSE)</f>
        <v>-</v>
      </c>
      <c r="S15" s="266">
        <f>_xlfn.XLOOKUP(E15,'All Products'!D:D,'All Products'!M:M,FALSE)</f>
        <v>40049081012081</v>
      </c>
      <c r="T15" s="264">
        <f>_xlfn.XLOOKUP(E15,'All Products'!D:D,'All Products'!N:N,FALSE)</f>
        <v>0.37</v>
      </c>
      <c r="U15" s="264">
        <f>_xlfn.XLOOKUP(E15,'All Products'!D:D,'All Products'!P:P,FALSE)</f>
        <v>0.37</v>
      </c>
      <c r="V15" s="265" t="str">
        <f>_xlfn.XLOOKUP(E15,'All Products'!D:D,'All Products'!Q:Q,FALSE)</f>
        <v>-</v>
      </c>
    </row>
    <row r="16" spans="1:22" ht="14.4" customHeight="1">
      <c r="A16" s="101" t="str">
        <f>IF(K16&gt;0,COUNT($A$8:A15)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6" s="610"/>
      <c r="C16" s="611"/>
      <c r="D16" s="274" t="str">
        <f>_xlfn.XLOOKUP(E16,'All Products'!D:D,'All Products'!C:C,FALSE)</f>
        <v>OBA39-010</v>
      </c>
      <c r="E16" s="103">
        <v>100028399</v>
      </c>
      <c r="F16" s="144" t="str">
        <f>_xlfn.XLOOKUP(E16,'All Products'!D:D,'All Products'!E:E,FALSE)</f>
        <v>1 ACME X 1 BSP ACME ADAPTER SJ</v>
      </c>
      <c r="G16" s="103">
        <f>_xlfn.XLOOKUP(E16,'All Products'!D:D,'All Products'!F:F,FALSE)</f>
        <v>1</v>
      </c>
      <c r="H16" s="103" t="str">
        <f>_xlfn.XLOOKUP(E16,'All Products'!D:D,'All Products'!G:G,FALSE)</f>
        <v>-</v>
      </c>
      <c r="I16" s="140">
        <f>_xlfn.XLOOKUP(E16,'All Products'!D:D,'All Products'!H:H,FALSE)</f>
        <v>16.64</v>
      </c>
      <c r="J16" s="173">
        <f>ROUNDUP(I16*Order_Quote!$L$27,2)</f>
        <v>16.64</v>
      </c>
      <c r="K16" s="75"/>
      <c r="L16" s="113"/>
      <c r="M16" s="171">
        <f t="shared" si="0"/>
        <v>0</v>
      </c>
      <c r="N16" s="363"/>
      <c r="O16" s="215" t="str">
        <f>_xlfn.XLOOKUP(E16,'All Products'!D:D,'All Products'!I:I,FALSE)</f>
        <v>Within 3 Weeks</v>
      </c>
      <c r="P16" s="215" t="str">
        <f>_xlfn.XLOOKUP(E16,'All Products'!D:D,'All Products'!J:J,FALSE)</f>
        <v>Manufactured</v>
      </c>
      <c r="Q16" s="266" t="str">
        <f>_xlfn.XLOOKUP(E16,'All Products'!D:D,'All Products'!K:K,FALSE)</f>
        <v>-</v>
      </c>
      <c r="R16" s="266" t="str">
        <f>_xlfn.XLOOKUP(E16,'All Products'!D:D,'All Products'!L:L,FALSE)</f>
        <v>-</v>
      </c>
      <c r="S16" s="266" t="str">
        <f>_xlfn.XLOOKUP(E16,'All Products'!D:D,'All Products'!M:M,FALSE)</f>
        <v>-</v>
      </c>
      <c r="T16" s="264">
        <f>_xlfn.XLOOKUP(E16,'All Products'!D:D,'All Products'!N:N,FALSE)</f>
        <v>9.5000000000000001E-2</v>
      </c>
      <c r="U16" s="264">
        <f>_xlfn.XLOOKUP(E16,'All Products'!D:D,'All Products'!P:P,FALSE)</f>
        <v>9.5000000000000001E-2</v>
      </c>
      <c r="V16" s="265" t="str">
        <f>_xlfn.XLOOKUP(E16,'All Products'!D:D,'All Products'!Q:Q,FALSE)</f>
        <v>-</v>
      </c>
    </row>
    <row r="17" spans="1:22" ht="14.4" customHeight="1">
      <c r="A17" s="101" t="str">
        <f>IF(K17&gt;0,COUNT($A$8:A16)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7" s="610"/>
      <c r="C17" s="611"/>
      <c r="D17" s="274" t="str">
        <f>_xlfn.XLOOKUP(E17,'All Products'!D:D,'All Products'!C:C,FALSE)</f>
        <v>OBA39-012</v>
      </c>
      <c r="E17" s="103">
        <v>100028400</v>
      </c>
      <c r="F17" s="144" t="str">
        <f>_xlfn.XLOOKUP(E17,'All Products'!D:D,'All Products'!E:E,FALSE)</f>
        <v>1-1/4 ACME X 1-1/4 BSP ADAPTER SJ</v>
      </c>
      <c r="G17" s="103">
        <f>_xlfn.XLOOKUP(E17,'All Products'!D:D,'All Products'!F:F,FALSE)</f>
        <v>1</v>
      </c>
      <c r="H17" s="103" t="str">
        <f>_xlfn.XLOOKUP(E17,'All Products'!D:D,'All Products'!G:G,FALSE)</f>
        <v>-</v>
      </c>
      <c r="I17" s="140">
        <f>_xlfn.XLOOKUP(E17,'All Products'!D:D,'All Products'!H:H,FALSE)</f>
        <v>17.05</v>
      </c>
      <c r="J17" s="173">
        <f>ROUNDUP(I17*Order_Quote!$L$27,2)</f>
        <v>17.05</v>
      </c>
      <c r="K17" s="75"/>
      <c r="L17" s="113"/>
      <c r="M17" s="171">
        <f t="shared" si="0"/>
        <v>0</v>
      </c>
      <c r="N17" s="363"/>
      <c r="O17" s="215" t="str">
        <f>_xlfn.XLOOKUP(E17,'All Products'!D:D,'All Products'!I:I,FALSE)</f>
        <v>In Stock</v>
      </c>
      <c r="P17" s="215" t="str">
        <f>_xlfn.XLOOKUP(E17,'All Products'!D:D,'All Products'!J:J,FALSE)</f>
        <v>Manufactured</v>
      </c>
      <c r="Q17" s="266">
        <f>_xlfn.XLOOKUP(E17,'All Products'!D:D,'All Products'!K:K,FALSE)</f>
        <v>49081012113</v>
      </c>
      <c r="R17" s="266" t="str">
        <f>_xlfn.XLOOKUP(E17,'All Products'!D:D,'All Products'!L:L,FALSE)</f>
        <v>-</v>
      </c>
      <c r="S17" s="266">
        <f>_xlfn.XLOOKUP(E17,'All Products'!D:D,'All Products'!M:M,FALSE)</f>
        <v>40049081012111</v>
      </c>
      <c r="T17" s="264">
        <f>_xlfn.XLOOKUP(E17,'All Products'!D:D,'All Products'!N:N,FALSE)</f>
        <v>0.13100000000000001</v>
      </c>
      <c r="U17" s="264">
        <f>_xlfn.XLOOKUP(E17,'All Products'!D:D,'All Products'!P:P,FALSE)</f>
        <v>0.13100000000000001</v>
      </c>
      <c r="V17" s="265" t="str">
        <f>_xlfn.XLOOKUP(E17,'All Products'!D:D,'All Products'!Q:Q,FALSE)</f>
        <v>-</v>
      </c>
    </row>
    <row r="18" spans="1:22" ht="14.4" customHeight="1" thickBot="1">
      <c r="A18" s="101" t="str">
        <f>IF(K18&gt;0,COUNT($A$8:A17)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8" s="715"/>
      <c r="C18" s="697"/>
      <c r="D18" s="274" t="str">
        <f>_xlfn.XLOOKUP(E18,'All Products'!D:D,'All Products'!C:C,FALSE)</f>
        <v>OBA39-015</v>
      </c>
      <c r="E18" s="103">
        <v>100028401</v>
      </c>
      <c r="F18" s="144" t="str">
        <f>_xlfn.XLOOKUP(E18,'All Products'!D:D,'All Products'!E:E,FALSE)</f>
        <v>1-1/2 ACME X 1-1/2 BSP ADAPTER SJ</v>
      </c>
      <c r="G18" s="103">
        <f>_xlfn.XLOOKUP(E18,'All Products'!D:D,'All Products'!F:F,FALSE)</f>
        <v>1</v>
      </c>
      <c r="H18" s="103" t="str">
        <f>_xlfn.XLOOKUP(E18,'All Products'!D:D,'All Products'!G:G,FALSE)</f>
        <v>-</v>
      </c>
      <c r="I18" s="140">
        <f>_xlfn.XLOOKUP(E18,'All Products'!D:D,'All Products'!H:H,FALSE)</f>
        <v>17.600000000000001</v>
      </c>
      <c r="J18" s="173">
        <f>ROUNDUP(I18*Order_Quote!$L$27,2)</f>
        <v>17.600000000000001</v>
      </c>
      <c r="K18" s="75"/>
      <c r="L18" s="113"/>
      <c r="M18" s="171">
        <f t="shared" si="0"/>
        <v>0</v>
      </c>
      <c r="N18" s="363"/>
      <c r="O18" s="567" t="str">
        <f>_xlfn.XLOOKUP(E18,'All Products'!D:D,'All Products'!I:I,FALSE)</f>
        <v>In Stock</v>
      </c>
      <c r="P18" s="567" t="str">
        <f>_xlfn.XLOOKUP(E18,'All Products'!D:D,'All Products'!J:J,FALSE)</f>
        <v>Manufactured</v>
      </c>
      <c r="Q18" s="569" t="str">
        <f>_xlfn.XLOOKUP(E18,'All Products'!D:D,'All Products'!K:K,FALSE)</f>
        <v>-</v>
      </c>
      <c r="R18" s="569" t="str">
        <f>_xlfn.XLOOKUP(E18,'All Products'!D:D,'All Products'!L:L,FALSE)</f>
        <v>-</v>
      </c>
      <c r="S18" s="569" t="str">
        <f>_xlfn.XLOOKUP(E18,'All Products'!D:D,'All Products'!M:M,FALSE)</f>
        <v>-</v>
      </c>
      <c r="T18" s="583">
        <f>_xlfn.XLOOKUP(E18,'All Products'!D:D,'All Products'!N:N,FALSE)</f>
        <v>0.16</v>
      </c>
      <c r="U18" s="583">
        <f>_xlfn.XLOOKUP(E18,'All Products'!D:D,'All Products'!P:P,FALSE)</f>
        <v>0.16</v>
      </c>
      <c r="V18" s="570" t="str">
        <f>_xlfn.XLOOKUP(E18,'All Products'!D:D,'All Products'!Q:Q,FALSE)</f>
        <v>-</v>
      </c>
    </row>
    <row r="19" spans="1:22" ht="16.2" thickBot="1">
      <c r="A19" s="101" t="str">
        <f>IF(K19&gt;0,COUNT($A$8:A18)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9" s="446" t="s">
        <v>3398</v>
      </c>
      <c r="C19" s="151"/>
      <c r="D19" s="151"/>
      <c r="E19" s="459"/>
      <c r="F19" s="151"/>
      <c r="G19" s="468"/>
      <c r="H19" s="151"/>
      <c r="I19" s="472"/>
      <c r="J19" s="468"/>
      <c r="K19" s="566"/>
      <c r="M19" s="545"/>
      <c r="O19" s="357"/>
      <c r="P19" s="145"/>
      <c r="Q19" s="493"/>
      <c r="R19" s="493"/>
      <c r="S19" s="493"/>
      <c r="T19" s="479"/>
      <c r="U19" s="459"/>
      <c r="V19" s="582"/>
    </row>
    <row r="20" spans="1:22" ht="14.4" customHeight="1">
      <c r="A20" s="101" t="str">
        <f>IF(K20&gt;0,COUNT($A$8:A19)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20" s="682"/>
      <c r="C20" s="683"/>
      <c r="D20" s="274" t="str">
        <f>_xlfn.XLOOKUP(E20,'All Products'!D:D,'All Products'!C:C,FALSE)</f>
        <v>A06-010</v>
      </c>
      <c r="E20" s="103">
        <v>100028319</v>
      </c>
      <c r="F20" s="144" t="str">
        <f>_xlfn.XLOOKUP(E20,'All Products'!D:D,'All Products'!E:E,FALSE)</f>
        <v>1 FE ACME X 1 FE SWG ELL SJ</v>
      </c>
      <c r="G20" s="103">
        <f>_xlfn.XLOOKUP(E20,'All Products'!D:D,'All Products'!F:F,FALSE)</f>
        <v>1</v>
      </c>
      <c r="H20" s="103" t="str">
        <f>_xlfn.XLOOKUP(E20,'All Products'!D:D,'All Products'!G:G,FALSE)</f>
        <v>-</v>
      </c>
      <c r="I20" s="140">
        <f>_xlfn.XLOOKUP(E20,'All Products'!D:D,'All Products'!H:H,FALSE)</f>
        <v>22.79</v>
      </c>
      <c r="J20" s="173">
        <f>ROUNDUP(I20*Order_Quote!$L$27,2)</f>
        <v>22.79</v>
      </c>
      <c r="K20" s="75"/>
      <c r="L20" s="113"/>
      <c r="M20" s="171">
        <f t="shared" ref="M20:M84" si="1">K20/G20</f>
        <v>0</v>
      </c>
      <c r="N20" s="363"/>
      <c r="O20" s="215" t="str">
        <f>_xlfn.XLOOKUP(E20,'All Products'!D:D,'All Products'!I:I,FALSE)</f>
        <v>Within 3 Weeks</v>
      </c>
      <c r="P20" s="215" t="str">
        <f>_xlfn.XLOOKUP(E20,'All Products'!D:D,'All Products'!J:J,FALSE)</f>
        <v>Manufactured</v>
      </c>
      <c r="Q20" s="266">
        <f>_xlfn.XLOOKUP(E20,'All Products'!D:D,'All Products'!K:K,FALSE)</f>
        <v>49081012229</v>
      </c>
      <c r="R20" s="266" t="str">
        <f>_xlfn.XLOOKUP(E20,'All Products'!D:D,'All Products'!L:L,FALSE)</f>
        <v>-</v>
      </c>
      <c r="S20" s="266">
        <f>_xlfn.XLOOKUP(E20,'All Products'!D:D,'All Products'!M:M,FALSE)</f>
        <v>40049081012227</v>
      </c>
      <c r="T20" s="264">
        <f>_xlfn.XLOOKUP(E20,'All Products'!D:D,'All Products'!N:N,FALSE)</f>
        <v>0.26</v>
      </c>
      <c r="U20" s="264">
        <f>_xlfn.XLOOKUP(E20,'All Products'!D:D,'All Products'!P:P,FALSE)</f>
        <v>0.26</v>
      </c>
      <c r="V20" s="265" t="str">
        <f>_xlfn.XLOOKUP(E20,'All Products'!D:D,'All Products'!Q:Q,FALSE)</f>
        <v>-</v>
      </c>
    </row>
    <row r="21" spans="1:22" ht="14.4" customHeight="1">
      <c r="A21" s="101" t="str">
        <f>IF(K21&gt;0,COUNT($A$8:A20)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21" s="610"/>
      <c r="C21" s="611"/>
      <c r="D21" s="274" t="str">
        <f>_xlfn.XLOOKUP(E21,'All Products'!D:D,'All Products'!C:C,FALSE)</f>
        <v>A06-015</v>
      </c>
      <c r="E21" s="103">
        <v>100028321</v>
      </c>
      <c r="F21" s="144" t="str">
        <f>_xlfn.XLOOKUP(E21,'All Products'!D:D,'All Products'!E:E,FALSE)</f>
        <v>1-1/2 FE ACME X 1-1/2 FE SWNG SJ</v>
      </c>
      <c r="G21" s="103">
        <f>_xlfn.XLOOKUP(E21,'All Products'!D:D,'All Products'!F:F,FALSE)</f>
        <v>1</v>
      </c>
      <c r="H21" s="103" t="str">
        <f>_xlfn.XLOOKUP(E21,'All Products'!D:D,'All Products'!G:G,FALSE)</f>
        <v>-</v>
      </c>
      <c r="I21" s="140">
        <f>_xlfn.XLOOKUP(E21,'All Products'!D:D,'All Products'!H:H,FALSE)</f>
        <v>28.93</v>
      </c>
      <c r="J21" s="173">
        <f>ROUNDUP(I21*Order_Quote!$L$27,2)</f>
        <v>28.93</v>
      </c>
      <c r="K21" s="75"/>
      <c r="L21" s="113"/>
      <c r="M21" s="171">
        <f t="shared" si="1"/>
        <v>0</v>
      </c>
      <c r="N21" s="363"/>
      <c r="O21" s="215" t="str">
        <f>_xlfn.XLOOKUP(E21,'All Products'!D:D,'All Products'!I:I,FALSE)</f>
        <v>Within 3 Weeks</v>
      </c>
      <c r="P21" s="215" t="str">
        <f>_xlfn.XLOOKUP(E21,'All Products'!D:D,'All Products'!J:J,FALSE)</f>
        <v>Manufactured</v>
      </c>
      <c r="Q21" s="266">
        <f>_xlfn.XLOOKUP(E21,'All Products'!D:D,'All Products'!K:K,FALSE)</f>
        <v>49081012243</v>
      </c>
      <c r="R21" s="266" t="str">
        <f>_xlfn.XLOOKUP(E21,'All Products'!D:D,'All Products'!L:L,FALSE)</f>
        <v>-</v>
      </c>
      <c r="S21" s="266">
        <f>_xlfn.XLOOKUP(E21,'All Products'!D:D,'All Products'!M:M,FALSE)</f>
        <v>40049081012241</v>
      </c>
      <c r="T21" s="264">
        <f>_xlfn.XLOOKUP(E21,'All Products'!D:D,'All Products'!N:N,FALSE)</f>
        <v>0.49</v>
      </c>
      <c r="U21" s="264">
        <f>_xlfn.XLOOKUP(E21,'All Products'!D:D,'All Products'!P:P,FALSE)</f>
        <v>0.49</v>
      </c>
      <c r="V21" s="265" t="str">
        <f>_xlfn.XLOOKUP(E21,'All Products'!D:D,'All Products'!Q:Q,FALSE)</f>
        <v>-</v>
      </c>
    </row>
    <row r="22" spans="1:22" ht="14.4" customHeight="1">
      <c r="A22" s="101" t="str">
        <f>IF(K22&gt;0,COUNT($A$8:A21)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22" s="610"/>
      <c r="C22" s="611"/>
      <c r="D22" s="274" t="str">
        <f>_xlfn.XLOOKUP(E22,'All Products'!D:D,'All Products'!C:C,FALSE)</f>
        <v>A35-010</v>
      </c>
      <c r="E22" s="103">
        <v>100028322</v>
      </c>
      <c r="F22" s="144" t="str">
        <f>_xlfn.XLOOKUP(E22,'All Products'!D:D,'All Products'!E:E,FALSE)</f>
        <v>1 FEMALE ACME X SLIP SJ COMPT</v>
      </c>
      <c r="G22" s="103">
        <f>_xlfn.XLOOKUP(E22,'All Products'!D:D,'All Products'!F:F,FALSE)</f>
        <v>1</v>
      </c>
      <c r="H22" s="103" t="str">
        <f>_xlfn.XLOOKUP(E22,'All Products'!D:D,'All Products'!G:G,FALSE)</f>
        <v>-</v>
      </c>
      <c r="I22" s="140">
        <f>_xlfn.XLOOKUP(E22,'All Products'!D:D,'All Products'!H:H,FALSE)</f>
        <v>16.64</v>
      </c>
      <c r="J22" s="173">
        <f>ROUNDUP(I22*Order_Quote!$L$27,2)</f>
        <v>16.64</v>
      </c>
      <c r="K22" s="75"/>
      <c r="L22" s="113"/>
      <c r="M22" s="171">
        <f t="shared" si="1"/>
        <v>0</v>
      </c>
      <c r="N22" s="363"/>
      <c r="O22" s="215" t="str">
        <f>_xlfn.XLOOKUP(E22,'All Products'!D:D,'All Products'!I:I,FALSE)</f>
        <v>Within 3 Weeks</v>
      </c>
      <c r="P22" s="215" t="str">
        <f>_xlfn.XLOOKUP(E22,'All Products'!D:D,'All Products'!J:J,FALSE)</f>
        <v>Manufactured</v>
      </c>
      <c r="Q22" s="266">
        <f>_xlfn.XLOOKUP(E22,'All Products'!D:D,'All Products'!K:K,FALSE)</f>
        <v>49081011437</v>
      </c>
      <c r="R22" s="266" t="str">
        <f>_xlfn.XLOOKUP(E22,'All Products'!D:D,'All Products'!L:L,FALSE)</f>
        <v>-</v>
      </c>
      <c r="S22" s="266">
        <f>_xlfn.XLOOKUP(E22,'All Products'!D:D,'All Products'!M:M,FALSE)</f>
        <v>40049081011435</v>
      </c>
      <c r="T22" s="264">
        <f>_xlfn.XLOOKUP(E22,'All Products'!D:D,'All Products'!N:N,FALSE)</f>
        <v>0.125</v>
      </c>
      <c r="U22" s="264">
        <f>_xlfn.XLOOKUP(E22,'All Products'!D:D,'All Products'!P:P,FALSE)</f>
        <v>0.125</v>
      </c>
      <c r="V22" s="265" t="str">
        <f>_xlfn.XLOOKUP(E22,'All Products'!D:D,'All Products'!Q:Q,FALSE)</f>
        <v>-</v>
      </c>
    </row>
    <row r="23" spans="1:22" ht="14.4" customHeight="1">
      <c r="A23" s="101" t="str">
        <f>IF(K23&gt;0,COUNT($A$8:A22)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23" s="610"/>
      <c r="C23" s="611"/>
      <c r="D23" s="274" t="str">
        <f>_xlfn.XLOOKUP(E23,'All Products'!D:D,'All Products'!C:C,FALSE)</f>
        <v>A35-015</v>
      </c>
      <c r="E23" s="103">
        <v>100028323</v>
      </c>
      <c r="F23" s="144" t="str">
        <f>_xlfn.XLOOKUP(E23,'All Products'!D:D,'All Products'!E:E,FALSE)</f>
        <v>1-1/2 FEM ACME X SLP SJ COMPT</v>
      </c>
      <c r="G23" s="103">
        <f>_xlfn.XLOOKUP(E23,'All Products'!D:D,'All Products'!F:F,FALSE)</f>
        <v>1</v>
      </c>
      <c r="H23" s="103" t="str">
        <f>_xlfn.XLOOKUP(E23,'All Products'!D:D,'All Products'!G:G,FALSE)</f>
        <v>-</v>
      </c>
      <c r="I23" s="140">
        <f>_xlfn.XLOOKUP(E23,'All Products'!D:D,'All Products'!H:H,FALSE)</f>
        <v>17.600000000000001</v>
      </c>
      <c r="J23" s="173">
        <f>ROUNDUP(I23*Order_Quote!$L$27,2)</f>
        <v>17.600000000000001</v>
      </c>
      <c r="K23" s="75"/>
      <c r="L23" s="113"/>
      <c r="M23" s="171">
        <f t="shared" si="1"/>
        <v>0</v>
      </c>
      <c r="N23" s="363"/>
      <c r="O23" s="215" t="str">
        <f>_xlfn.XLOOKUP(E23,'All Products'!D:D,'All Products'!I:I,FALSE)</f>
        <v>Within 3 Weeks</v>
      </c>
      <c r="P23" s="215" t="str">
        <f>_xlfn.XLOOKUP(E23,'All Products'!D:D,'All Products'!J:J,FALSE)</f>
        <v>Manufactured</v>
      </c>
      <c r="Q23" s="266">
        <f>_xlfn.XLOOKUP(E23,'All Products'!D:D,'All Products'!K:K,FALSE)</f>
        <v>49081011482</v>
      </c>
      <c r="R23" s="266" t="str">
        <f>_xlfn.XLOOKUP(E23,'All Products'!D:D,'All Products'!L:L,FALSE)</f>
        <v>-</v>
      </c>
      <c r="S23" s="266">
        <f>_xlfn.XLOOKUP(E23,'All Products'!D:D,'All Products'!M:M,FALSE)</f>
        <v>40049081011480</v>
      </c>
      <c r="T23" s="264">
        <f>_xlfn.XLOOKUP(E23,'All Products'!D:D,'All Products'!N:N,FALSE)</f>
        <v>0.28499999999999998</v>
      </c>
      <c r="U23" s="264">
        <f>_xlfn.XLOOKUP(E23,'All Products'!D:D,'All Products'!P:P,FALSE)</f>
        <v>0.28499999999999998</v>
      </c>
      <c r="V23" s="265" t="str">
        <f>_xlfn.XLOOKUP(E23,'All Products'!D:D,'All Products'!Q:Q,FALSE)</f>
        <v>-</v>
      </c>
    </row>
    <row r="24" spans="1:22" ht="14.4" customHeight="1">
      <c r="A24" s="101" t="str">
        <f>IF(K24&gt;0,COUNT($A$8:A23)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24" s="610"/>
      <c r="C24" s="611"/>
      <c r="D24" s="274" t="str">
        <f>_xlfn.XLOOKUP(E24,'All Products'!D:D,'All Products'!C:C,FALSE)</f>
        <v>A36-010</v>
      </c>
      <c r="E24" s="103">
        <v>100030528</v>
      </c>
      <c r="F24" s="144" t="str">
        <f>_xlfn.XLOOKUP(E24,'All Products'!D:D,'All Products'!E:E,FALSE)</f>
        <v>1 MA ACME X 1 SLIP SJ</v>
      </c>
      <c r="G24" s="103">
        <f>_xlfn.XLOOKUP(E24,'All Products'!D:D,'All Products'!F:F,FALSE)</f>
        <v>25</v>
      </c>
      <c r="H24" s="103" t="str">
        <f>_xlfn.XLOOKUP(E24,'All Products'!D:D,'All Products'!G:G,FALSE)</f>
        <v>-</v>
      </c>
      <c r="I24" s="140">
        <f>_xlfn.XLOOKUP(E24,'All Products'!D:D,'All Products'!H:H,FALSE)</f>
        <v>16.64</v>
      </c>
      <c r="J24" s="173">
        <f>ROUNDUP(I24*Order_Quote!$L$27,2)</f>
        <v>16.64</v>
      </c>
      <c r="K24" s="75"/>
      <c r="L24" s="113"/>
      <c r="M24" s="171">
        <f t="shared" si="1"/>
        <v>0</v>
      </c>
      <c r="N24" s="363"/>
      <c r="O24" s="215" t="str">
        <f>_xlfn.XLOOKUP(E24,'All Products'!D:D,'All Products'!I:I,FALSE)</f>
        <v>In Stock</v>
      </c>
      <c r="P24" s="215" t="str">
        <f>_xlfn.XLOOKUP(E24,'All Products'!D:D,'All Products'!J:J,FALSE)</f>
        <v>Manufactured</v>
      </c>
      <c r="Q24" s="266">
        <f>_xlfn.XLOOKUP(E24,'All Products'!D:D,'All Products'!K:K,FALSE)</f>
        <v>49081012441</v>
      </c>
      <c r="R24" s="266" t="str">
        <f>_xlfn.XLOOKUP(E24,'All Products'!D:D,'All Products'!L:L,FALSE)</f>
        <v>-</v>
      </c>
      <c r="S24" s="266">
        <f>_xlfn.XLOOKUP(E24,'All Products'!D:D,'All Products'!M:M,FALSE)</f>
        <v>40049081012449</v>
      </c>
      <c r="T24" s="264">
        <f>_xlfn.XLOOKUP(E24,'All Products'!D:D,'All Products'!N:N,FALSE)</f>
        <v>0.124</v>
      </c>
      <c r="U24" s="264">
        <f>_xlfn.XLOOKUP(E24,'All Products'!D:D,'All Products'!P:P,FALSE)</f>
        <v>0.124</v>
      </c>
      <c r="V24" s="265" t="str">
        <f>_xlfn.XLOOKUP(E24,'All Products'!D:D,'All Products'!Q:Q,FALSE)</f>
        <v>-</v>
      </c>
    </row>
    <row r="25" spans="1:22" ht="14.4" customHeight="1">
      <c r="A25" s="101" t="str">
        <f>IF(K25&gt;0,COUNT($A$8:A24)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25" s="610"/>
      <c r="C25" s="611"/>
      <c r="D25" s="274" t="str">
        <f>_xlfn.XLOOKUP(E25,'All Products'!D:D,'All Products'!C:C,FALSE)</f>
        <v>A36-015</v>
      </c>
      <c r="E25" s="103">
        <v>100028324</v>
      </c>
      <c r="F25" s="144" t="str">
        <f>_xlfn.XLOOKUP(E25,'All Products'!D:D,'All Products'!E:E,FALSE)</f>
        <v>1-1/2 ACME X 1-1/2 SLIP SJ</v>
      </c>
      <c r="G25" s="103">
        <f>_xlfn.XLOOKUP(E25,'All Products'!D:D,'All Products'!F:F,FALSE)</f>
        <v>1</v>
      </c>
      <c r="H25" s="103" t="str">
        <f>_xlfn.XLOOKUP(E25,'All Products'!D:D,'All Products'!G:G,FALSE)</f>
        <v>-</v>
      </c>
      <c r="I25" s="140">
        <f>_xlfn.XLOOKUP(E25,'All Products'!D:D,'All Products'!H:H,FALSE)</f>
        <v>17.600000000000001</v>
      </c>
      <c r="J25" s="173">
        <f>ROUNDUP(I25*Order_Quote!$L$27,2)</f>
        <v>17.600000000000001</v>
      </c>
      <c r="K25" s="75"/>
      <c r="L25" s="113"/>
      <c r="M25" s="171">
        <f t="shared" si="1"/>
        <v>0</v>
      </c>
      <c r="N25" s="363"/>
      <c r="O25" s="215" t="str">
        <f>_xlfn.XLOOKUP(E25,'All Products'!D:D,'All Products'!I:I,FALSE)</f>
        <v>Within 3 Weeks</v>
      </c>
      <c r="P25" s="215" t="str">
        <f>_xlfn.XLOOKUP(E25,'All Products'!D:D,'All Products'!J:J,FALSE)</f>
        <v>Manufactured</v>
      </c>
      <c r="Q25" s="266">
        <f>_xlfn.XLOOKUP(E25,'All Products'!D:D,'All Products'!K:K,FALSE)</f>
        <v>49081011499</v>
      </c>
      <c r="R25" s="266" t="str">
        <f>_xlfn.XLOOKUP(E25,'All Products'!D:D,'All Products'!L:L,FALSE)</f>
        <v>-</v>
      </c>
      <c r="S25" s="266">
        <f>_xlfn.XLOOKUP(E25,'All Products'!D:D,'All Products'!M:M,FALSE)</f>
        <v>40049081011497</v>
      </c>
      <c r="T25" s="264">
        <f>_xlfn.XLOOKUP(E25,'All Products'!D:D,'All Products'!N:N,FALSE)</f>
        <v>0.19</v>
      </c>
      <c r="U25" s="264">
        <f>_xlfn.XLOOKUP(E25,'All Products'!D:D,'All Products'!P:P,FALSE)</f>
        <v>0.19</v>
      </c>
      <c r="V25" s="265" t="str">
        <f>_xlfn.XLOOKUP(E25,'All Products'!D:D,'All Products'!Q:Q,FALSE)</f>
        <v>-</v>
      </c>
    </row>
    <row r="26" spans="1:22" ht="14.4" customHeight="1">
      <c r="A26" s="101" t="str">
        <f>IF(K26&gt;0,COUNT($A$8:A25)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26" s="610"/>
      <c r="C26" s="611"/>
      <c r="D26" s="274" t="str">
        <f>_xlfn.XLOOKUP(E26,'All Products'!D:D,'All Products'!C:C,FALSE)</f>
        <v>A36-132</v>
      </c>
      <c r="E26" s="103">
        <v>100028325</v>
      </c>
      <c r="F26" s="144" t="str">
        <f>_xlfn.XLOOKUP(E26,'All Products'!D:D,'All Products'!E:E,FALSE)</f>
        <v>1-1/4 ACME FPT X 1 ACME MPT SJ</v>
      </c>
      <c r="G26" s="103">
        <f>_xlfn.XLOOKUP(E26,'All Products'!D:D,'All Products'!F:F,FALSE)</f>
        <v>1</v>
      </c>
      <c r="H26" s="103" t="str">
        <f>_xlfn.XLOOKUP(E26,'All Products'!D:D,'All Products'!G:G,FALSE)</f>
        <v>-</v>
      </c>
      <c r="I26" s="140">
        <f>_xlfn.XLOOKUP(E26,'All Products'!D:D,'All Products'!H:H,FALSE)</f>
        <v>16.809999999999999</v>
      </c>
      <c r="J26" s="173">
        <f>ROUNDUP(I26*Order_Quote!$L$27,2)</f>
        <v>16.809999999999999</v>
      </c>
      <c r="K26" s="75"/>
      <c r="L26" s="113"/>
      <c r="M26" s="171">
        <f t="shared" si="1"/>
        <v>0</v>
      </c>
      <c r="N26" s="363"/>
      <c r="O26" s="215" t="str">
        <f>_xlfn.XLOOKUP(E26,'All Products'!D:D,'All Products'!I:I,FALSE)</f>
        <v>In Stock</v>
      </c>
      <c r="P26" s="215" t="str">
        <f>_xlfn.XLOOKUP(E26,'All Products'!D:D,'All Products'!J:J,FALSE)</f>
        <v>Manufactured</v>
      </c>
      <c r="Q26" s="266">
        <f>_xlfn.XLOOKUP(E26,'All Products'!D:D,'All Products'!K:K,FALSE)</f>
        <v>49081011505</v>
      </c>
      <c r="R26" s="266" t="str">
        <f>_xlfn.XLOOKUP(E26,'All Products'!D:D,'All Products'!L:L,FALSE)</f>
        <v>-</v>
      </c>
      <c r="S26" s="266">
        <f>_xlfn.XLOOKUP(E26,'All Products'!D:D,'All Products'!M:M,FALSE)</f>
        <v>40049081011503</v>
      </c>
      <c r="T26" s="264">
        <f>_xlfn.XLOOKUP(E26,'All Products'!D:D,'All Products'!N:N,FALSE)</f>
        <v>0.17</v>
      </c>
      <c r="U26" s="264">
        <f>_xlfn.XLOOKUP(E26,'All Products'!D:D,'All Products'!P:P,FALSE)</f>
        <v>0.17</v>
      </c>
      <c r="V26" s="265" t="str">
        <f>_xlfn.XLOOKUP(E26,'All Products'!D:D,'All Products'!Q:Q,FALSE)</f>
        <v>-</v>
      </c>
    </row>
    <row r="27" spans="1:22" ht="14.4" customHeight="1">
      <c r="A27" s="101" t="str">
        <f>IF(K27&gt;0,COUNT($A$8:A26)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27" s="610"/>
      <c r="C27" s="611"/>
      <c r="D27" s="274" t="str">
        <f>_xlfn.XLOOKUP(E27,'All Products'!D:D,'All Products'!C:C,FALSE)</f>
        <v>A36-133</v>
      </c>
      <c r="E27" s="103">
        <v>100028326</v>
      </c>
      <c r="F27" s="144" t="str">
        <f>_xlfn.XLOOKUP(E27,'All Products'!D:D,'All Products'!E:E,FALSE)</f>
        <v>1 MA ACME X 1-1/2 FE ACME SJ</v>
      </c>
      <c r="G27" s="103">
        <f>_xlfn.XLOOKUP(E27,'All Products'!D:D,'All Products'!F:F,FALSE)</f>
        <v>1</v>
      </c>
      <c r="H27" s="103" t="str">
        <f>_xlfn.XLOOKUP(E27,'All Products'!D:D,'All Products'!G:G,FALSE)</f>
        <v>-</v>
      </c>
      <c r="I27" s="140">
        <f>_xlfn.XLOOKUP(E27,'All Products'!D:D,'All Products'!H:H,FALSE)</f>
        <v>16.809999999999999</v>
      </c>
      <c r="J27" s="173">
        <f>ROUNDUP(I27*Order_Quote!$L$27,2)</f>
        <v>16.809999999999999</v>
      </c>
      <c r="K27" s="75"/>
      <c r="L27" s="113"/>
      <c r="M27" s="171">
        <f t="shared" si="1"/>
        <v>0</v>
      </c>
      <c r="N27" s="363"/>
      <c r="O27" s="215" t="str">
        <f>_xlfn.XLOOKUP(E27,'All Products'!D:D,'All Products'!I:I,FALSE)</f>
        <v>Within 3 Weeks</v>
      </c>
      <c r="P27" s="215" t="str">
        <f>_xlfn.XLOOKUP(E27,'All Products'!D:D,'All Products'!J:J,FALSE)</f>
        <v>Manufactured</v>
      </c>
      <c r="Q27" s="266">
        <f>_xlfn.XLOOKUP(E27,'All Products'!D:D,'All Products'!K:K,FALSE)</f>
        <v>49081012465</v>
      </c>
      <c r="R27" s="266" t="str">
        <f>_xlfn.XLOOKUP(E27,'All Products'!D:D,'All Products'!L:L,FALSE)</f>
        <v>-</v>
      </c>
      <c r="S27" s="266">
        <f>_xlfn.XLOOKUP(E27,'All Products'!D:D,'All Products'!M:M,FALSE)</f>
        <v>40049081012463</v>
      </c>
      <c r="T27" s="264">
        <f>_xlfn.XLOOKUP(E27,'All Products'!D:D,'All Products'!N:N,FALSE)</f>
        <v>0.2</v>
      </c>
      <c r="U27" s="264">
        <f>_xlfn.XLOOKUP(E27,'All Products'!D:D,'All Products'!P:P,FALSE)</f>
        <v>0.2</v>
      </c>
      <c r="V27" s="265" t="str">
        <f>_xlfn.XLOOKUP(E27,'All Products'!D:D,'All Products'!Q:Q,FALSE)</f>
        <v>-</v>
      </c>
    </row>
    <row r="28" spans="1:22" ht="14.4" customHeight="1">
      <c r="A28" s="101" t="str">
        <f>IF(K28&gt;0,COUNT($A$8:A27)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28" s="610"/>
      <c r="C28" s="611"/>
      <c r="D28" s="274" t="str">
        <f>_xlfn.XLOOKUP(E28,'All Products'!D:D,'All Products'!C:C,FALSE)</f>
        <v>A36-169</v>
      </c>
      <c r="E28" s="103">
        <v>100028328</v>
      </c>
      <c r="F28" s="144" t="str">
        <f>_xlfn.XLOOKUP(E28,'All Products'!D:D,'All Products'!E:E,FALSE)</f>
        <v>1-1/4 M ACME X 1-1/2 FE ACME SJ</v>
      </c>
      <c r="G28" s="103">
        <f>_xlfn.XLOOKUP(E28,'All Products'!D:D,'All Products'!F:F,FALSE)</f>
        <v>1</v>
      </c>
      <c r="H28" s="103" t="str">
        <f>_xlfn.XLOOKUP(E28,'All Products'!D:D,'All Products'!G:G,FALSE)</f>
        <v>-</v>
      </c>
      <c r="I28" s="140">
        <f>_xlfn.XLOOKUP(E28,'All Products'!D:D,'All Products'!H:H,FALSE)</f>
        <v>17.440000000000001</v>
      </c>
      <c r="J28" s="173">
        <f>ROUNDUP(I28*Order_Quote!$L$27,2)</f>
        <v>17.440000000000001</v>
      </c>
      <c r="K28" s="75"/>
      <c r="L28" s="113"/>
      <c r="M28" s="171">
        <f t="shared" si="1"/>
        <v>0</v>
      </c>
      <c r="N28" s="363"/>
      <c r="O28" s="215" t="str">
        <f>_xlfn.XLOOKUP(E28,'All Products'!D:D,'All Products'!I:I,FALSE)</f>
        <v>Within 3 Weeks</v>
      </c>
      <c r="P28" s="215" t="str">
        <f>_xlfn.XLOOKUP(E28,'All Products'!D:D,'All Products'!J:J,FALSE)</f>
        <v>Manufactured</v>
      </c>
      <c r="Q28" s="266">
        <f>_xlfn.XLOOKUP(E28,'All Products'!D:D,'All Products'!K:K,FALSE)</f>
        <v>49081012472</v>
      </c>
      <c r="R28" s="266" t="str">
        <f>_xlfn.XLOOKUP(E28,'All Products'!D:D,'All Products'!L:L,FALSE)</f>
        <v>-</v>
      </c>
      <c r="S28" s="266">
        <f>_xlfn.XLOOKUP(E28,'All Products'!D:D,'All Products'!M:M,FALSE)</f>
        <v>40049081012470</v>
      </c>
      <c r="T28" s="264">
        <f>_xlfn.XLOOKUP(E28,'All Products'!D:D,'All Products'!N:N,FALSE)</f>
        <v>0.21</v>
      </c>
      <c r="U28" s="264">
        <f>_xlfn.XLOOKUP(E28,'All Products'!D:D,'All Products'!P:P,FALSE)</f>
        <v>0.21</v>
      </c>
      <c r="V28" s="265" t="str">
        <f>_xlfn.XLOOKUP(E28,'All Products'!D:D,'All Products'!Q:Q,FALSE)</f>
        <v>-</v>
      </c>
    </row>
    <row r="29" spans="1:22" ht="14.4" customHeight="1">
      <c r="A29" s="101" t="str">
        <f>IF(K29&gt;0,COUNT($A$8:A28)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29" s="610"/>
      <c r="C29" s="611"/>
      <c r="D29" s="274" t="str">
        <f>_xlfn.XLOOKUP(E29,'All Products'!D:D,'All Products'!C:C,FALSE)</f>
        <v>A36-211</v>
      </c>
      <c r="E29" s="103">
        <v>100028329</v>
      </c>
      <c r="F29" s="144" t="str">
        <f>_xlfn.XLOOKUP(E29,'All Products'!D:D,'All Products'!E:E,FALSE)</f>
        <v>1-1/2 MA ACME X 1 FE ACME SJ CT</v>
      </c>
      <c r="G29" s="103">
        <f>_xlfn.XLOOKUP(E29,'All Products'!D:D,'All Products'!F:F,FALSE)</f>
        <v>1</v>
      </c>
      <c r="H29" s="103" t="str">
        <f>_xlfn.XLOOKUP(E29,'All Products'!D:D,'All Products'!G:G,FALSE)</f>
        <v>-</v>
      </c>
      <c r="I29" s="140">
        <f>_xlfn.XLOOKUP(E29,'All Products'!D:D,'All Products'!H:H,FALSE)</f>
        <v>17.600000000000001</v>
      </c>
      <c r="J29" s="173">
        <f>ROUNDUP(I29*Order_Quote!$L$27,2)</f>
        <v>17.600000000000001</v>
      </c>
      <c r="K29" s="75"/>
      <c r="L29" s="113"/>
      <c r="M29" s="171">
        <f t="shared" si="1"/>
        <v>0</v>
      </c>
      <c r="N29" s="363"/>
      <c r="O29" s="215" t="str">
        <f>_xlfn.XLOOKUP(E29,'All Products'!D:D,'All Products'!I:I,FALSE)</f>
        <v>Within 3 Weeks</v>
      </c>
      <c r="P29" s="215" t="str">
        <f>_xlfn.XLOOKUP(E29,'All Products'!D:D,'All Products'!J:J,FALSE)</f>
        <v>Manufactured</v>
      </c>
      <c r="Q29" s="266">
        <f>_xlfn.XLOOKUP(E29,'All Products'!D:D,'All Products'!K:K,FALSE)</f>
        <v>49081012205</v>
      </c>
      <c r="R29" s="266" t="str">
        <f>_xlfn.XLOOKUP(E29,'All Products'!D:D,'All Products'!L:L,FALSE)</f>
        <v>-</v>
      </c>
      <c r="S29" s="266">
        <f>_xlfn.XLOOKUP(E29,'All Products'!D:D,'All Products'!M:M,FALSE)</f>
        <v>40049081012203</v>
      </c>
      <c r="T29" s="264">
        <f>_xlfn.XLOOKUP(E29,'All Products'!D:D,'All Products'!N:N,FALSE)</f>
        <v>0.28999999999999998</v>
      </c>
      <c r="U29" s="264">
        <f>_xlfn.XLOOKUP(E29,'All Products'!D:D,'All Products'!P:P,FALSE)</f>
        <v>0.28999999999999998</v>
      </c>
      <c r="V29" s="265" t="str">
        <f>_xlfn.XLOOKUP(E29,'All Products'!D:D,'All Products'!Q:Q,FALSE)</f>
        <v>-</v>
      </c>
    </row>
    <row r="30" spans="1:22" ht="14.4" customHeight="1">
      <c r="A30" s="101" t="str">
        <f>IF(K30&gt;0,COUNT($A$8:A29)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30" s="610"/>
      <c r="C30" s="611"/>
      <c r="D30" s="274" t="str">
        <f>_xlfn.XLOOKUP(E30,'All Products'!D:D,'All Products'!C:C,FALSE)</f>
        <v>A39-132</v>
      </c>
      <c r="E30" s="103">
        <v>100031048</v>
      </c>
      <c r="F30" s="144" t="str">
        <f>_xlfn.XLOOKUP(E30,'All Products'!D:D,'All Products'!E:E,FALSE)</f>
        <v>1 MALE ACME X 1-1/4 FIPT SJ CPT</v>
      </c>
      <c r="G30" s="103">
        <f>_xlfn.XLOOKUP(E30,'All Products'!D:D,'All Products'!F:F,FALSE)</f>
        <v>1</v>
      </c>
      <c r="H30" s="103" t="str">
        <f>_xlfn.XLOOKUP(E30,'All Products'!D:D,'All Products'!G:G,FALSE)</f>
        <v>-</v>
      </c>
      <c r="I30" s="140">
        <f>_xlfn.XLOOKUP(E30,'All Products'!D:D,'All Products'!H:H,FALSE)</f>
        <v>16.809999999999999</v>
      </c>
      <c r="J30" s="173">
        <f>ROUNDUP(I30*Order_Quote!$L$27,2)</f>
        <v>16.809999999999999</v>
      </c>
      <c r="K30" s="75"/>
      <c r="L30" s="113"/>
      <c r="M30" s="171">
        <f t="shared" si="1"/>
        <v>0</v>
      </c>
      <c r="N30" s="363"/>
      <c r="O30" s="215" t="str">
        <f>_xlfn.XLOOKUP(E30,'All Products'!D:D,'All Products'!I:I,FALSE)</f>
        <v>In Stock</v>
      </c>
      <c r="P30" s="215" t="str">
        <f>_xlfn.XLOOKUP(E30,'All Products'!D:D,'All Products'!J:J,FALSE)</f>
        <v>Manufactured</v>
      </c>
      <c r="Q30" s="266">
        <f>_xlfn.XLOOKUP(E30,'All Products'!D:D,'All Products'!K:K,FALSE)</f>
        <v>49081011512</v>
      </c>
      <c r="R30" s="266" t="str">
        <f>_xlfn.XLOOKUP(E30,'All Products'!D:D,'All Products'!L:L,FALSE)</f>
        <v>-</v>
      </c>
      <c r="S30" s="266">
        <f>_xlfn.XLOOKUP(E30,'All Products'!D:D,'All Products'!M:M,FALSE)</f>
        <v>40049081011510</v>
      </c>
      <c r="T30" s="264">
        <f>_xlfn.XLOOKUP(E30,'All Products'!D:D,'All Products'!N:N,FALSE)</f>
        <v>0.19500000000000001</v>
      </c>
      <c r="U30" s="264">
        <f>_xlfn.XLOOKUP(E30,'All Products'!D:D,'All Products'!P:P,FALSE)</f>
        <v>0.19500000000000001</v>
      </c>
      <c r="V30" s="265" t="str">
        <f>_xlfn.XLOOKUP(E30,'All Products'!D:D,'All Products'!Q:Q,FALSE)</f>
        <v>-</v>
      </c>
    </row>
    <row r="31" spans="1:22" ht="14.4" customHeight="1">
      <c r="A31" s="101" t="str">
        <f>IF(K31&gt;0,COUNT($A$8:A30)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31" s="610"/>
      <c r="C31" s="611"/>
      <c r="D31" s="274" t="str">
        <f>_xlfn.XLOOKUP(E31,'All Products'!D:D,'All Products'!C:C,FALSE)</f>
        <v>A90-010</v>
      </c>
      <c r="E31" s="103">
        <v>100028331</v>
      </c>
      <c r="F31" s="144" t="str">
        <f>_xlfn.XLOOKUP(E31,'All Products'!D:D,'All Products'!E:E,FALSE)</f>
        <v>1 FS X ACME SJ COMPT</v>
      </c>
      <c r="G31" s="103">
        <f>_xlfn.XLOOKUP(E31,'All Products'!D:D,'All Products'!F:F,FALSE)</f>
        <v>1</v>
      </c>
      <c r="H31" s="103" t="str">
        <f>_xlfn.XLOOKUP(E31,'All Products'!D:D,'All Products'!G:G,FALSE)</f>
        <v>-</v>
      </c>
      <c r="I31" s="140">
        <f>_xlfn.XLOOKUP(E31,'All Products'!D:D,'All Products'!H:H,FALSE)</f>
        <v>34.18</v>
      </c>
      <c r="J31" s="173">
        <f>ROUNDUP(I31*Order_Quote!$L$27,2)</f>
        <v>34.18</v>
      </c>
      <c r="K31" s="75"/>
      <c r="L31" s="113"/>
      <c r="M31" s="171">
        <f t="shared" si="1"/>
        <v>0</v>
      </c>
      <c r="N31" s="363"/>
      <c r="O31" s="215" t="str">
        <f>_xlfn.XLOOKUP(E31,'All Products'!D:D,'All Products'!I:I,FALSE)</f>
        <v>In Stock</v>
      </c>
      <c r="P31" s="215" t="str">
        <f>_xlfn.XLOOKUP(E31,'All Products'!D:D,'All Products'!J:J,FALSE)</f>
        <v>Manufactured</v>
      </c>
      <c r="Q31" s="266">
        <f>_xlfn.XLOOKUP(E31,'All Products'!D:D,'All Products'!K:K,FALSE)</f>
        <v>49081011529</v>
      </c>
      <c r="R31" s="266" t="str">
        <f>_xlfn.XLOOKUP(E31,'All Products'!D:D,'All Products'!L:L,FALSE)</f>
        <v>-</v>
      </c>
      <c r="S31" s="266">
        <f>_xlfn.XLOOKUP(E31,'All Products'!D:D,'All Products'!M:M,FALSE)</f>
        <v>40049081011527</v>
      </c>
      <c r="T31" s="264">
        <f>_xlfn.XLOOKUP(E31,'All Products'!D:D,'All Products'!N:N,FALSE)</f>
        <v>0.26400000000000001</v>
      </c>
      <c r="U31" s="264">
        <f>_xlfn.XLOOKUP(E31,'All Products'!D:D,'All Products'!P:P,FALSE)</f>
        <v>0.26400000000000001</v>
      </c>
      <c r="V31" s="265" t="str">
        <f>_xlfn.XLOOKUP(E31,'All Products'!D:D,'All Products'!Q:Q,FALSE)</f>
        <v>-</v>
      </c>
    </row>
    <row r="32" spans="1:22" ht="14.4" customHeight="1">
      <c r="A32" s="101" t="str">
        <f>IF(K32&gt;0,COUNT($A$8:A31)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32" s="610"/>
      <c r="C32" s="611"/>
      <c r="D32" s="274" t="str">
        <f>_xlfn.XLOOKUP(E32,'All Products'!D:D,'All Products'!C:C,FALSE)</f>
        <v>A90-012</v>
      </c>
      <c r="E32" s="103">
        <v>100028332</v>
      </c>
      <c r="F32" s="144" t="str">
        <f>_xlfn.XLOOKUP(E32,'All Products'!D:D,'All Products'!E:E,FALSE)</f>
        <v>1-1/4 FS X ACME SJ COMPT</v>
      </c>
      <c r="G32" s="103">
        <f>_xlfn.XLOOKUP(E32,'All Products'!D:D,'All Products'!F:F,FALSE)</f>
        <v>1</v>
      </c>
      <c r="H32" s="103" t="str">
        <f>_xlfn.XLOOKUP(E32,'All Products'!D:D,'All Products'!G:G,FALSE)</f>
        <v>-</v>
      </c>
      <c r="I32" s="140">
        <f>_xlfn.XLOOKUP(E32,'All Products'!D:D,'All Products'!H:H,FALSE)</f>
        <v>42.11</v>
      </c>
      <c r="J32" s="173">
        <f>ROUNDUP(I32*Order_Quote!$L$27,2)</f>
        <v>42.11</v>
      </c>
      <c r="K32" s="75"/>
      <c r="L32" s="113"/>
      <c r="M32" s="171">
        <f t="shared" si="1"/>
        <v>0</v>
      </c>
      <c r="N32" s="363"/>
      <c r="O32" s="215" t="str">
        <f>_xlfn.XLOOKUP(E32,'All Products'!D:D,'All Products'!I:I,FALSE)</f>
        <v>Within 3 Weeks</v>
      </c>
      <c r="P32" s="215" t="str">
        <f>_xlfn.XLOOKUP(E32,'All Products'!D:D,'All Products'!J:J,FALSE)</f>
        <v>Manufactured</v>
      </c>
      <c r="Q32" s="266">
        <f>_xlfn.XLOOKUP(E32,'All Products'!D:D,'All Products'!K:K,FALSE)</f>
        <v>49081011536</v>
      </c>
      <c r="R32" s="266" t="str">
        <f>_xlfn.XLOOKUP(E32,'All Products'!D:D,'All Products'!L:L,FALSE)</f>
        <v>-</v>
      </c>
      <c r="S32" s="266">
        <f>_xlfn.XLOOKUP(E32,'All Products'!D:D,'All Products'!M:M,FALSE)</f>
        <v>40049081011534</v>
      </c>
      <c r="T32" s="264">
        <f>_xlfn.XLOOKUP(E32,'All Products'!D:D,'All Products'!N:N,FALSE)</f>
        <v>0.37</v>
      </c>
      <c r="U32" s="264">
        <f>_xlfn.XLOOKUP(E32,'All Products'!D:D,'All Products'!P:P,FALSE)</f>
        <v>0.37</v>
      </c>
      <c r="V32" s="265" t="str">
        <f>_xlfn.XLOOKUP(E32,'All Products'!D:D,'All Products'!Q:Q,FALSE)</f>
        <v>-</v>
      </c>
    </row>
    <row r="33" spans="1:22" ht="14.4" customHeight="1">
      <c r="A33" s="101" t="str">
        <f>IF(K33&gt;0,COUNT($A$8:A32)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33" s="610"/>
      <c r="C33" s="611"/>
      <c r="D33" s="274" t="str">
        <f>_xlfn.XLOOKUP(E33,'All Products'!D:D,'All Products'!C:C,FALSE)</f>
        <v>A90-015</v>
      </c>
      <c r="E33" s="103">
        <v>100028333</v>
      </c>
      <c r="F33" s="144" t="str">
        <f>_xlfn.XLOOKUP(E33,'All Products'!D:D,'All Products'!E:E,FALSE)</f>
        <v>1-1/2 FS X 1-1/2 ACME SJ COMPT</v>
      </c>
      <c r="G33" s="103">
        <f>_xlfn.XLOOKUP(E33,'All Products'!D:D,'All Products'!F:F,FALSE)</f>
        <v>1</v>
      </c>
      <c r="H33" s="103" t="str">
        <f>_xlfn.XLOOKUP(E33,'All Products'!D:D,'All Products'!G:G,FALSE)</f>
        <v>-</v>
      </c>
      <c r="I33" s="140">
        <f>_xlfn.XLOOKUP(E33,'All Products'!D:D,'All Products'!H:H,FALSE)</f>
        <v>50.15</v>
      </c>
      <c r="J33" s="173">
        <f>ROUNDUP(I33*Order_Quote!$L$27,2)</f>
        <v>50.15</v>
      </c>
      <c r="K33" s="75"/>
      <c r="L33" s="113"/>
      <c r="M33" s="171">
        <f t="shared" si="1"/>
        <v>0</v>
      </c>
      <c r="N33" s="363"/>
      <c r="O33" s="215" t="str">
        <f>_xlfn.XLOOKUP(E33,'All Products'!D:D,'All Products'!I:I,FALSE)</f>
        <v>In Stock</v>
      </c>
      <c r="P33" s="215" t="str">
        <f>_xlfn.XLOOKUP(E33,'All Products'!D:D,'All Products'!J:J,FALSE)</f>
        <v>Manufactured</v>
      </c>
      <c r="Q33" s="266">
        <f>_xlfn.XLOOKUP(E33,'All Products'!D:D,'All Products'!K:K,FALSE)</f>
        <v>49081011543</v>
      </c>
      <c r="R33" s="266" t="str">
        <f>_xlfn.XLOOKUP(E33,'All Products'!D:D,'All Products'!L:L,FALSE)</f>
        <v>-</v>
      </c>
      <c r="S33" s="266">
        <f>_xlfn.XLOOKUP(E33,'All Products'!D:D,'All Products'!M:M,FALSE)</f>
        <v>40049081011541</v>
      </c>
      <c r="T33" s="264">
        <f>_xlfn.XLOOKUP(E33,'All Products'!D:D,'All Products'!N:N,FALSE)</f>
        <v>0.47499999999999998</v>
      </c>
      <c r="U33" s="264">
        <f>_xlfn.XLOOKUP(E33,'All Products'!D:D,'All Products'!P:P,FALSE)</f>
        <v>0.47499999999999998</v>
      </c>
      <c r="V33" s="265" t="str">
        <f>_xlfn.XLOOKUP(E33,'All Products'!D:D,'All Products'!Q:Q,FALSE)</f>
        <v>-</v>
      </c>
    </row>
    <row r="34" spans="1:22" ht="14.4" customHeight="1">
      <c r="A34" s="101" t="str">
        <f>IF(K34&gt;0,COUNT($A$8:A33)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34" s="610"/>
      <c r="C34" s="611"/>
      <c r="D34" s="274" t="str">
        <f>_xlfn.XLOOKUP(E34,'All Products'!D:D,'All Products'!C:C,FALSE)</f>
        <v>A90-132</v>
      </c>
      <c r="E34" s="103">
        <v>100028334</v>
      </c>
      <c r="F34" s="144" t="str">
        <f>_xlfn.XLOOKUP(E34,'All Products'!D:D,'All Products'!E:E,FALSE)</f>
        <v>1 FS X 1-1/4 ACME SJ COMPT</v>
      </c>
      <c r="G34" s="103">
        <f>_xlfn.XLOOKUP(E34,'All Products'!D:D,'All Products'!F:F,FALSE)</f>
        <v>1</v>
      </c>
      <c r="H34" s="103" t="str">
        <f>_xlfn.XLOOKUP(E34,'All Products'!D:D,'All Products'!G:G,FALSE)</f>
        <v>-</v>
      </c>
      <c r="I34" s="140">
        <f>_xlfn.XLOOKUP(E34,'All Products'!D:D,'All Products'!H:H,FALSE)</f>
        <v>42.11</v>
      </c>
      <c r="J34" s="173">
        <f>ROUNDUP(I34*Order_Quote!$L$27,2)</f>
        <v>42.11</v>
      </c>
      <c r="K34" s="75"/>
      <c r="L34" s="113"/>
      <c r="M34" s="171">
        <f t="shared" si="1"/>
        <v>0</v>
      </c>
      <c r="N34" s="363"/>
      <c r="O34" s="215" t="str">
        <f>_xlfn.XLOOKUP(E34,'All Products'!D:D,'All Products'!I:I,FALSE)</f>
        <v>In Stock</v>
      </c>
      <c r="P34" s="215" t="str">
        <f>_xlfn.XLOOKUP(E34,'All Products'!D:D,'All Products'!J:J,FALSE)</f>
        <v>Manufactured</v>
      </c>
      <c r="Q34" s="266">
        <f>_xlfn.XLOOKUP(E34,'All Products'!D:D,'All Products'!K:K,FALSE)</f>
        <v>49081011550</v>
      </c>
      <c r="R34" s="266" t="str">
        <f>_xlfn.XLOOKUP(E34,'All Products'!D:D,'All Products'!L:L,FALSE)</f>
        <v>-</v>
      </c>
      <c r="S34" s="266">
        <f>_xlfn.XLOOKUP(E34,'All Products'!D:D,'All Products'!M:M,FALSE)</f>
        <v>40049081011558</v>
      </c>
      <c r="T34" s="264">
        <f>_xlfn.XLOOKUP(E34,'All Products'!D:D,'All Products'!N:N,FALSE)</f>
        <v>0.28000000000000003</v>
      </c>
      <c r="U34" s="264">
        <f>_xlfn.XLOOKUP(E34,'All Products'!D:D,'All Products'!P:P,FALSE)</f>
        <v>0.28000000000000003</v>
      </c>
      <c r="V34" s="265" t="str">
        <f>_xlfn.XLOOKUP(E34,'All Products'!D:D,'All Products'!Q:Q,FALSE)</f>
        <v>-</v>
      </c>
    </row>
    <row r="35" spans="1:22" ht="14.4" customHeight="1">
      <c r="A35" s="101" t="str">
        <f>IF(K35&gt;0,COUNT($A$8:A34)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35" s="610"/>
      <c r="C35" s="611"/>
      <c r="D35" s="274" t="str">
        <f>_xlfn.XLOOKUP(E35,'All Products'!D:D,'All Products'!C:C,FALSE)</f>
        <v>A90-133</v>
      </c>
      <c r="E35" s="103">
        <v>100028335</v>
      </c>
      <c r="F35" s="144" t="str">
        <f>_xlfn.XLOOKUP(E35,'All Products'!D:D,'All Products'!E:E,FALSE)</f>
        <v>1 FS X 1-1/2 ACME COMPT SJ</v>
      </c>
      <c r="G35" s="103">
        <f>_xlfn.XLOOKUP(E35,'All Products'!D:D,'All Products'!F:F,FALSE)</f>
        <v>1</v>
      </c>
      <c r="H35" s="103" t="str">
        <f>_xlfn.XLOOKUP(E35,'All Products'!D:D,'All Products'!G:G,FALSE)</f>
        <v>-</v>
      </c>
      <c r="I35" s="140">
        <f>_xlfn.XLOOKUP(E35,'All Products'!D:D,'All Products'!H:H,FALSE)</f>
        <v>50.15</v>
      </c>
      <c r="J35" s="173">
        <f>ROUNDUP(I35*Order_Quote!$L$27,2)</f>
        <v>50.15</v>
      </c>
      <c r="K35" s="75"/>
      <c r="L35" s="113"/>
      <c r="M35" s="171">
        <f t="shared" si="1"/>
        <v>0</v>
      </c>
      <c r="N35" s="363"/>
      <c r="O35" s="215" t="str">
        <f>_xlfn.XLOOKUP(E35,'All Products'!D:D,'All Products'!I:I,FALSE)</f>
        <v>In Stock</v>
      </c>
      <c r="P35" s="215" t="str">
        <f>_xlfn.XLOOKUP(E35,'All Products'!D:D,'All Products'!J:J,FALSE)</f>
        <v>Manufactured</v>
      </c>
      <c r="Q35" s="266">
        <f>_xlfn.XLOOKUP(E35,'All Products'!D:D,'All Products'!K:K,FALSE)</f>
        <v>49081011567</v>
      </c>
      <c r="R35" s="266" t="str">
        <f>_xlfn.XLOOKUP(E35,'All Products'!D:D,'All Products'!L:L,FALSE)</f>
        <v>-</v>
      </c>
      <c r="S35" s="266">
        <f>_xlfn.XLOOKUP(E35,'All Products'!D:D,'All Products'!M:M,FALSE)</f>
        <v>40049081011565</v>
      </c>
      <c r="T35" s="264">
        <f>_xlfn.XLOOKUP(E35,'All Products'!D:D,'All Products'!N:N,FALSE)</f>
        <v>0.30599999999999999</v>
      </c>
      <c r="U35" s="264">
        <f>_xlfn.XLOOKUP(E35,'All Products'!D:D,'All Products'!P:P,FALSE)</f>
        <v>0.30599999999999999</v>
      </c>
      <c r="V35" s="265" t="str">
        <f>_xlfn.XLOOKUP(E35,'All Products'!D:D,'All Products'!Q:Q,FALSE)</f>
        <v>-</v>
      </c>
    </row>
    <row r="36" spans="1:22" ht="14.4" customHeight="1">
      <c r="A36" s="101" t="str">
        <f>IF(K36&gt;0,COUNT($A$8:A35)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36" s="610"/>
      <c r="C36" s="611"/>
      <c r="D36" s="274" t="str">
        <f>_xlfn.XLOOKUP(E36,'All Products'!D:D,'All Products'!C:C,FALSE)</f>
        <v>A90-168</v>
      </c>
      <c r="E36" s="103">
        <v>100028336</v>
      </c>
      <c r="F36" s="144" t="str">
        <f>_xlfn.XLOOKUP(E36,'All Products'!D:D,'All Products'!E:E,FALSE)</f>
        <v>1-1/4 FS X 1 ACME SJ COMPT</v>
      </c>
      <c r="G36" s="103">
        <f>_xlfn.XLOOKUP(E36,'All Products'!D:D,'All Products'!F:F,FALSE)</f>
        <v>1</v>
      </c>
      <c r="H36" s="103" t="str">
        <f>_xlfn.XLOOKUP(E36,'All Products'!D:D,'All Products'!G:G,FALSE)</f>
        <v>-</v>
      </c>
      <c r="I36" s="140">
        <f>_xlfn.XLOOKUP(E36,'All Products'!D:D,'All Products'!H:H,FALSE)</f>
        <v>42.11</v>
      </c>
      <c r="J36" s="173">
        <f>ROUNDUP(I36*Order_Quote!$L$27,2)</f>
        <v>42.11</v>
      </c>
      <c r="K36" s="75"/>
      <c r="L36" s="113"/>
      <c r="M36" s="171">
        <f t="shared" si="1"/>
        <v>0</v>
      </c>
      <c r="N36" s="363"/>
      <c r="O36" s="215" t="str">
        <f>_xlfn.XLOOKUP(E36,'All Products'!D:D,'All Products'!I:I,FALSE)</f>
        <v>In Stock</v>
      </c>
      <c r="P36" s="215" t="str">
        <f>_xlfn.XLOOKUP(E36,'All Products'!D:D,'All Products'!J:J,FALSE)</f>
        <v>Manufactured</v>
      </c>
      <c r="Q36" s="266">
        <f>_xlfn.XLOOKUP(E36,'All Products'!D:D,'All Products'!K:K,FALSE)</f>
        <v>49081011574</v>
      </c>
      <c r="R36" s="266" t="str">
        <f>_xlfn.XLOOKUP(E36,'All Products'!D:D,'All Products'!L:L,FALSE)</f>
        <v>-</v>
      </c>
      <c r="S36" s="266">
        <f>_xlfn.XLOOKUP(E36,'All Products'!D:D,'All Products'!M:M,FALSE)</f>
        <v>40049081011572</v>
      </c>
      <c r="T36" s="264">
        <f>_xlfn.XLOOKUP(E36,'All Products'!D:D,'All Products'!N:N,FALSE)</f>
        <v>0.39500000000000002</v>
      </c>
      <c r="U36" s="264">
        <f>_xlfn.XLOOKUP(E36,'All Products'!D:D,'All Products'!P:P,FALSE)</f>
        <v>0.39500000000000002</v>
      </c>
      <c r="V36" s="265" t="str">
        <f>_xlfn.XLOOKUP(E36,'All Products'!D:D,'All Products'!Q:Q,FALSE)</f>
        <v>-</v>
      </c>
    </row>
    <row r="37" spans="1:22" ht="14.4" customHeight="1">
      <c r="A37" s="101" t="str">
        <f>IF(K37&gt;0,COUNT($A$8:A36)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37" s="610"/>
      <c r="C37" s="611"/>
      <c r="D37" s="274" t="str">
        <f>_xlfn.XLOOKUP(E37,'All Products'!D:D,'All Products'!C:C,FALSE)</f>
        <v>A90-169</v>
      </c>
      <c r="E37" s="103">
        <v>100028337</v>
      </c>
      <c r="F37" s="144" t="str">
        <f>_xlfn.XLOOKUP(E37,'All Products'!D:D,'All Products'!E:E,FALSE)</f>
        <v>1-1/4 FS X 1-1/2 ACME COMPT SJ</v>
      </c>
      <c r="G37" s="103">
        <f>_xlfn.XLOOKUP(E37,'All Products'!D:D,'All Products'!F:F,FALSE)</f>
        <v>1</v>
      </c>
      <c r="H37" s="103" t="str">
        <f>_xlfn.XLOOKUP(E37,'All Products'!D:D,'All Products'!G:G,FALSE)</f>
        <v>-</v>
      </c>
      <c r="I37" s="140">
        <f>_xlfn.XLOOKUP(E37,'All Products'!D:D,'All Products'!H:H,FALSE)</f>
        <v>50.15</v>
      </c>
      <c r="J37" s="173">
        <f>ROUNDUP(I37*Order_Quote!$L$27,2)</f>
        <v>50.15</v>
      </c>
      <c r="K37" s="75"/>
      <c r="L37" s="113"/>
      <c r="M37" s="171">
        <f t="shared" si="1"/>
        <v>0</v>
      </c>
      <c r="N37" s="363"/>
      <c r="O37" s="215" t="str">
        <f>_xlfn.XLOOKUP(E37,'All Products'!D:D,'All Products'!I:I,FALSE)</f>
        <v>Within 3 Weeks</v>
      </c>
      <c r="P37" s="215" t="str">
        <f>_xlfn.XLOOKUP(E37,'All Products'!D:D,'All Products'!J:J,FALSE)</f>
        <v>Manufactured</v>
      </c>
      <c r="Q37" s="266">
        <f>_xlfn.XLOOKUP(E37,'All Products'!D:D,'All Products'!K:K,FALSE)</f>
        <v>49081011581</v>
      </c>
      <c r="R37" s="266" t="str">
        <f>_xlfn.XLOOKUP(E37,'All Products'!D:D,'All Products'!L:L,FALSE)</f>
        <v>-</v>
      </c>
      <c r="S37" s="266">
        <f>_xlfn.XLOOKUP(E37,'All Products'!D:D,'All Products'!M:M,FALSE)</f>
        <v>40049081011589</v>
      </c>
      <c r="T37" s="264">
        <f>_xlfn.XLOOKUP(E37,'All Products'!D:D,'All Products'!N:N,FALSE)</f>
        <v>0.40300000000000002</v>
      </c>
      <c r="U37" s="264">
        <f>_xlfn.XLOOKUP(E37,'All Products'!D:D,'All Products'!P:P,FALSE)</f>
        <v>0.40300000000000002</v>
      </c>
      <c r="V37" s="265" t="str">
        <f>_xlfn.XLOOKUP(E37,'All Products'!D:D,'All Products'!Q:Q,FALSE)</f>
        <v>-</v>
      </c>
    </row>
    <row r="38" spans="1:22" ht="14.4" customHeight="1">
      <c r="A38" s="101" t="str">
        <f>IF(K38&gt;0,COUNT($A$8:A37)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38" s="610"/>
      <c r="C38" s="611"/>
      <c r="D38" s="274" t="str">
        <f>_xlfn.XLOOKUP(E38,'All Products'!D:D,'All Products'!C:C,FALSE)</f>
        <v>A90-211</v>
      </c>
      <c r="E38" s="103">
        <v>100028338</v>
      </c>
      <c r="F38" s="144" t="str">
        <f>_xlfn.XLOOKUP(E38,'All Products'!D:D,'All Products'!E:E,FALSE)</f>
        <v>1-1/2 FS X 1 ACME SJ COMPT</v>
      </c>
      <c r="G38" s="103">
        <f>_xlfn.XLOOKUP(E38,'All Products'!D:D,'All Products'!F:F,FALSE)</f>
        <v>1</v>
      </c>
      <c r="H38" s="103" t="str">
        <f>_xlfn.XLOOKUP(E38,'All Products'!D:D,'All Products'!G:G,FALSE)</f>
        <v>-</v>
      </c>
      <c r="I38" s="140">
        <f>_xlfn.XLOOKUP(E38,'All Products'!D:D,'All Products'!H:H,FALSE)</f>
        <v>44.41</v>
      </c>
      <c r="J38" s="173">
        <f>ROUNDUP(I38*Order_Quote!$L$27,2)</f>
        <v>44.41</v>
      </c>
      <c r="K38" s="75"/>
      <c r="L38" s="113"/>
      <c r="M38" s="171">
        <f t="shared" si="1"/>
        <v>0</v>
      </c>
      <c r="N38" s="363"/>
      <c r="O38" s="215" t="str">
        <f>_xlfn.XLOOKUP(E38,'All Products'!D:D,'All Products'!I:I,FALSE)</f>
        <v>In Stock</v>
      </c>
      <c r="P38" s="215" t="str">
        <f>_xlfn.XLOOKUP(E38,'All Products'!D:D,'All Products'!J:J,FALSE)</f>
        <v>Manufactured</v>
      </c>
      <c r="Q38" s="266">
        <f>_xlfn.XLOOKUP(E38,'All Products'!D:D,'All Products'!K:K,FALSE)</f>
        <v>49081011635</v>
      </c>
      <c r="R38" s="266" t="str">
        <f>_xlfn.XLOOKUP(E38,'All Products'!D:D,'All Products'!L:L,FALSE)</f>
        <v>-</v>
      </c>
      <c r="S38" s="266">
        <f>_xlfn.XLOOKUP(E38,'All Products'!D:D,'All Products'!M:M,FALSE)</f>
        <v>40049081011633</v>
      </c>
      <c r="T38" s="264">
        <f>_xlfn.XLOOKUP(E38,'All Products'!D:D,'All Products'!N:N,FALSE)</f>
        <v>0.503</v>
      </c>
      <c r="U38" s="264">
        <f>_xlfn.XLOOKUP(E38,'All Products'!D:D,'All Products'!P:P,FALSE)</f>
        <v>0.503</v>
      </c>
      <c r="V38" s="265" t="str">
        <f>_xlfn.XLOOKUP(E38,'All Products'!D:D,'All Products'!Q:Q,FALSE)</f>
        <v>-</v>
      </c>
    </row>
    <row r="39" spans="1:22" ht="14.4" customHeight="1">
      <c r="A39" s="101" t="str">
        <f>IF(K39&gt;0,COUNT($A$8:A38)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39" s="610"/>
      <c r="C39" s="611"/>
      <c r="D39" s="274" t="str">
        <f>_xlfn.XLOOKUP(E39,'All Products'!D:D,'All Products'!C:C,FALSE)</f>
        <v>A90-212</v>
      </c>
      <c r="E39" s="103">
        <v>100028339</v>
      </c>
      <c r="F39" s="144" t="str">
        <f>_xlfn.XLOOKUP(E39,'All Products'!D:D,'All Products'!E:E,FALSE)</f>
        <v>1-1/2 FS X 1-1/4 ACME COMPT SJ</v>
      </c>
      <c r="G39" s="103">
        <f>_xlfn.XLOOKUP(E39,'All Products'!D:D,'All Products'!F:F,FALSE)</f>
        <v>1</v>
      </c>
      <c r="H39" s="103" t="str">
        <f>_xlfn.XLOOKUP(E39,'All Products'!D:D,'All Products'!G:G,FALSE)</f>
        <v>-</v>
      </c>
      <c r="I39" s="140">
        <f>_xlfn.XLOOKUP(E39,'All Products'!D:D,'All Products'!H:H,FALSE)</f>
        <v>50.15</v>
      </c>
      <c r="J39" s="173">
        <f>ROUNDUP(I39*Order_Quote!$L$27,2)</f>
        <v>50.15</v>
      </c>
      <c r="K39" s="75"/>
      <c r="L39" s="113"/>
      <c r="M39" s="171">
        <f t="shared" si="1"/>
        <v>0</v>
      </c>
      <c r="N39" s="363"/>
      <c r="O39" s="215" t="str">
        <f>_xlfn.XLOOKUP(E39,'All Products'!D:D,'All Products'!I:I,FALSE)</f>
        <v>In Stock</v>
      </c>
      <c r="P39" s="215" t="str">
        <f>_xlfn.XLOOKUP(E39,'All Products'!D:D,'All Products'!J:J,FALSE)</f>
        <v>Manufactured</v>
      </c>
      <c r="Q39" s="266">
        <f>_xlfn.XLOOKUP(E39,'All Products'!D:D,'All Products'!K:K,FALSE)</f>
        <v>49081011598</v>
      </c>
      <c r="R39" s="266" t="str">
        <f>_xlfn.XLOOKUP(E39,'All Products'!D:D,'All Products'!L:L,FALSE)</f>
        <v>-</v>
      </c>
      <c r="S39" s="266">
        <f>_xlfn.XLOOKUP(E39,'All Products'!D:D,'All Products'!M:M,FALSE)</f>
        <v>40049081011596</v>
      </c>
      <c r="T39" s="264">
        <f>_xlfn.XLOOKUP(E39,'All Products'!D:D,'All Products'!N:N,FALSE)</f>
        <v>0.46</v>
      </c>
      <c r="U39" s="264">
        <f>_xlfn.XLOOKUP(E39,'All Products'!D:D,'All Products'!P:P,FALSE)</f>
        <v>0.46</v>
      </c>
      <c r="V39" s="265" t="str">
        <f>_xlfn.XLOOKUP(E39,'All Products'!D:D,'All Products'!Q:Q,FALSE)</f>
        <v>-</v>
      </c>
    </row>
    <row r="40" spans="1:22" ht="14.4" customHeight="1">
      <c r="A40" s="101" t="str">
        <f>IF(K40&gt;0,COUNT($A$8:A39)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40" s="610"/>
      <c r="C40" s="611"/>
      <c r="D40" s="274" t="str">
        <f>_xlfn.XLOOKUP(E40,'All Products'!D:D,'All Products'!C:C,FALSE)</f>
        <v>470-010</v>
      </c>
      <c r="E40" s="103">
        <v>100027317</v>
      </c>
      <c r="F40" s="144" t="str">
        <f>_xlfn.XLOOKUP(E40,'All Products'!D:D,'All Products'!E:E,FALSE)</f>
        <v>2" IPS X 1" FS SADDLE</v>
      </c>
      <c r="G40" s="103">
        <f>_xlfn.XLOOKUP(E40,'All Products'!D:D,'All Products'!F:F,FALSE)</f>
        <v>1</v>
      </c>
      <c r="H40" s="103" t="str">
        <f>_xlfn.XLOOKUP(E40,'All Products'!D:D,'All Products'!G:G,FALSE)</f>
        <v>-</v>
      </c>
      <c r="I40" s="140">
        <f>_xlfn.XLOOKUP(E40,'All Products'!D:D,'All Products'!H:H,FALSE)</f>
        <v>37.909999999999997</v>
      </c>
      <c r="J40" s="173">
        <f>ROUNDUP(I40*Order_Quote!$L$27,2)</f>
        <v>37.909999999999997</v>
      </c>
      <c r="K40" s="75"/>
      <c r="L40" s="113"/>
      <c r="M40" s="171">
        <f t="shared" si="1"/>
        <v>0</v>
      </c>
      <c r="N40" s="363"/>
      <c r="O40" s="215" t="str">
        <f>_xlfn.XLOOKUP(E40,'All Products'!D:D,'All Products'!I:I,FALSE)</f>
        <v>Within 3 Weeks</v>
      </c>
      <c r="P40" s="215" t="str">
        <f>_xlfn.XLOOKUP(E40,'All Products'!D:D,'All Products'!J:J,FALSE)</f>
        <v>Manufactured</v>
      </c>
      <c r="Q40" s="266">
        <f>_xlfn.XLOOKUP(E40,'All Products'!D:D,'All Products'!K:K,FALSE)</f>
        <v>49081011109</v>
      </c>
      <c r="R40" s="266" t="str">
        <f>_xlfn.XLOOKUP(E40,'All Products'!D:D,'All Products'!L:L,FALSE)</f>
        <v>-</v>
      </c>
      <c r="S40" s="266">
        <f>_xlfn.XLOOKUP(E40,'All Products'!D:D,'All Products'!M:M,FALSE)</f>
        <v>40049081011107</v>
      </c>
      <c r="T40" s="264">
        <f>_xlfn.XLOOKUP(E40,'All Products'!D:D,'All Products'!N:N,FALSE)</f>
        <v>0.68500000000000005</v>
      </c>
      <c r="U40" s="264">
        <f>_xlfn.XLOOKUP(E40,'All Products'!D:D,'All Products'!P:P,FALSE)</f>
        <v>0.68500000000000005</v>
      </c>
      <c r="V40" s="265" t="str">
        <f>_xlfn.XLOOKUP(E40,'All Products'!D:D,'All Products'!Q:Q,FALSE)</f>
        <v>-</v>
      </c>
    </row>
    <row r="41" spans="1:22" ht="14.4" customHeight="1">
      <c r="A41" s="101" t="str">
        <f>IF(K41&gt;0,COUNT($A$8:A40)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41" s="610"/>
      <c r="C41" s="611"/>
      <c r="D41" s="274" t="str">
        <f>_xlfn.XLOOKUP(E41,'All Products'!D:D,'All Products'!C:C,FALSE)</f>
        <v>470-012</v>
      </c>
      <c r="E41" s="103">
        <v>100027318</v>
      </c>
      <c r="F41" s="144" t="str">
        <f>_xlfn.XLOOKUP(E41,'All Products'!D:D,'All Products'!E:E,FALSE)</f>
        <v>2" IPS X 1.1/4" FS SADDLE</v>
      </c>
      <c r="G41" s="103">
        <f>_xlfn.XLOOKUP(E41,'All Products'!D:D,'All Products'!F:F,FALSE)</f>
        <v>1</v>
      </c>
      <c r="H41" s="103" t="str">
        <f>_xlfn.XLOOKUP(E41,'All Products'!D:D,'All Products'!G:G,FALSE)</f>
        <v>-</v>
      </c>
      <c r="I41" s="140">
        <f>_xlfn.XLOOKUP(E41,'All Products'!D:D,'All Products'!H:H,FALSE)</f>
        <v>37.909999999999997</v>
      </c>
      <c r="J41" s="173">
        <f>ROUNDUP(I41*Order_Quote!$L$27,2)</f>
        <v>37.909999999999997</v>
      </c>
      <c r="K41" s="75"/>
      <c r="L41" s="113"/>
      <c r="M41" s="171">
        <f t="shared" si="1"/>
        <v>0</v>
      </c>
      <c r="N41" s="363"/>
      <c r="O41" s="215" t="str">
        <f>_xlfn.XLOOKUP(E41,'All Products'!D:D,'All Products'!I:I,FALSE)</f>
        <v>Within 3 Weeks</v>
      </c>
      <c r="P41" s="215" t="str">
        <f>_xlfn.XLOOKUP(E41,'All Products'!D:D,'All Products'!J:J,FALSE)</f>
        <v>Manufactured</v>
      </c>
      <c r="Q41" s="266">
        <f>_xlfn.XLOOKUP(E41,'All Products'!D:D,'All Products'!K:K,FALSE)</f>
        <v>49081011116</v>
      </c>
      <c r="R41" s="266" t="str">
        <f>_xlfn.XLOOKUP(E41,'All Products'!D:D,'All Products'!L:L,FALSE)</f>
        <v>-</v>
      </c>
      <c r="S41" s="266">
        <f>_xlfn.XLOOKUP(E41,'All Products'!D:D,'All Products'!M:M,FALSE)</f>
        <v>40049081011114</v>
      </c>
      <c r="T41" s="264">
        <f>_xlfn.XLOOKUP(E41,'All Products'!D:D,'All Products'!N:N,FALSE)</f>
        <v>0.57899999999999996</v>
      </c>
      <c r="U41" s="264">
        <f>_xlfn.XLOOKUP(E41,'All Products'!D:D,'All Products'!P:P,FALSE)</f>
        <v>0.57899999999999996</v>
      </c>
      <c r="V41" s="265" t="str">
        <f>_xlfn.XLOOKUP(E41,'All Products'!D:D,'All Products'!Q:Q,FALSE)</f>
        <v>-</v>
      </c>
    </row>
    <row r="42" spans="1:22" ht="14.4" customHeight="1">
      <c r="A42" s="101" t="str">
        <f>IF(K42&gt;0,COUNT($A$8:A41)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42" s="610"/>
      <c r="C42" s="611"/>
      <c r="D42" s="274" t="str">
        <f>_xlfn.XLOOKUP(E42,'All Products'!D:D,'All Products'!C:C,FALSE)</f>
        <v>470-015</v>
      </c>
      <c r="E42" s="103">
        <v>100027319</v>
      </c>
      <c r="F42" s="144" t="str">
        <f>_xlfn.XLOOKUP(E42,'All Products'!D:D,'All Products'!E:E,FALSE)</f>
        <v>2" IPS X 1.1/2" FS SADDLE</v>
      </c>
      <c r="G42" s="103">
        <f>_xlfn.XLOOKUP(E42,'All Products'!D:D,'All Products'!F:F,FALSE)</f>
        <v>1</v>
      </c>
      <c r="H42" s="103" t="str">
        <f>_xlfn.XLOOKUP(E42,'All Products'!D:D,'All Products'!G:G,FALSE)</f>
        <v>-</v>
      </c>
      <c r="I42" s="140">
        <f>_xlfn.XLOOKUP(E42,'All Products'!D:D,'All Products'!H:H,FALSE)</f>
        <v>37.909999999999997</v>
      </c>
      <c r="J42" s="173">
        <f>ROUNDUP(I42*Order_Quote!$L$27,2)</f>
        <v>37.909999999999997</v>
      </c>
      <c r="K42" s="75"/>
      <c r="L42" s="113"/>
      <c r="M42" s="171">
        <f t="shared" si="1"/>
        <v>0</v>
      </c>
      <c r="N42" s="363"/>
      <c r="O42" s="215" t="str">
        <f>_xlfn.XLOOKUP(E42,'All Products'!D:D,'All Products'!I:I,FALSE)</f>
        <v>In Stock</v>
      </c>
      <c r="P42" s="215" t="str">
        <f>_xlfn.XLOOKUP(E42,'All Products'!D:D,'All Products'!J:J,FALSE)</f>
        <v>Manufactured</v>
      </c>
      <c r="Q42" s="266">
        <f>_xlfn.XLOOKUP(E42,'All Products'!D:D,'All Products'!K:K,FALSE)</f>
        <v>49081011123</v>
      </c>
      <c r="R42" s="266" t="str">
        <f>_xlfn.XLOOKUP(E42,'All Products'!D:D,'All Products'!L:L,FALSE)</f>
        <v>-</v>
      </c>
      <c r="S42" s="266">
        <f>_xlfn.XLOOKUP(E42,'All Products'!D:D,'All Products'!M:M,FALSE)</f>
        <v>40049081011121</v>
      </c>
      <c r="T42" s="264">
        <f>_xlfn.XLOOKUP(E42,'All Products'!D:D,'All Products'!N:N,FALSE)</f>
        <v>0.73</v>
      </c>
      <c r="U42" s="264">
        <f>_xlfn.XLOOKUP(E42,'All Products'!D:D,'All Products'!P:P,FALSE)</f>
        <v>0.73</v>
      </c>
      <c r="V42" s="265" t="str">
        <f>_xlfn.XLOOKUP(E42,'All Products'!D:D,'All Products'!Q:Q,FALSE)</f>
        <v>-</v>
      </c>
    </row>
    <row r="43" spans="1:22" ht="14.4" customHeight="1">
      <c r="A43" s="101" t="str">
        <f>IF(K43&gt;0,COUNT($A$8:A42)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43" s="610"/>
      <c r="C43" s="611"/>
      <c r="D43" s="274" t="str">
        <f>_xlfn.XLOOKUP(E43,'All Products'!D:D,'All Products'!C:C,FALSE)</f>
        <v>A70-010</v>
      </c>
      <c r="E43" s="103">
        <v>100027326</v>
      </c>
      <c r="F43" s="144" t="str">
        <f>_xlfn.XLOOKUP(E43,'All Products'!D:D,'All Products'!E:E,FALSE)</f>
        <v>2" IPS X 1 FE ACME SADDLE</v>
      </c>
      <c r="G43" s="103">
        <f>_xlfn.XLOOKUP(E43,'All Products'!D:D,'All Products'!F:F,FALSE)</f>
        <v>1</v>
      </c>
      <c r="H43" s="103" t="str">
        <f>_xlfn.XLOOKUP(E43,'All Products'!D:D,'All Products'!G:G,FALSE)</f>
        <v>-</v>
      </c>
      <c r="I43" s="140">
        <f>_xlfn.XLOOKUP(E43,'All Products'!D:D,'All Products'!H:H,FALSE)</f>
        <v>37.909999999999997</v>
      </c>
      <c r="J43" s="173">
        <f>ROUNDUP(I43*Order_Quote!$L$27,2)</f>
        <v>37.909999999999997</v>
      </c>
      <c r="K43" s="75"/>
      <c r="L43" s="113"/>
      <c r="M43" s="171">
        <f t="shared" si="1"/>
        <v>0</v>
      </c>
      <c r="N43" s="363"/>
      <c r="O43" s="215" t="str">
        <f>_xlfn.XLOOKUP(E43,'All Products'!D:D,'All Products'!I:I,FALSE)</f>
        <v>In Stock</v>
      </c>
      <c r="P43" s="215" t="str">
        <f>_xlfn.XLOOKUP(E43,'All Products'!D:D,'All Products'!J:J,FALSE)</f>
        <v>Manufactured</v>
      </c>
      <c r="Q43" s="266">
        <f>_xlfn.XLOOKUP(E43,'All Products'!D:D,'All Products'!K:K,FALSE)</f>
        <v>49081011086</v>
      </c>
      <c r="R43" s="266" t="str">
        <f>_xlfn.XLOOKUP(E43,'All Products'!D:D,'All Products'!L:L,FALSE)</f>
        <v>-</v>
      </c>
      <c r="S43" s="266">
        <f>_xlfn.XLOOKUP(E43,'All Products'!D:D,'All Products'!M:M,FALSE)</f>
        <v>40049081011084</v>
      </c>
      <c r="T43" s="264">
        <f>_xlfn.XLOOKUP(E43,'All Products'!D:D,'All Products'!N:N,FALSE)</f>
        <v>0.68500000000000005</v>
      </c>
      <c r="U43" s="264">
        <f>_xlfn.XLOOKUP(E43,'All Products'!D:D,'All Products'!P:P,FALSE)</f>
        <v>0.68500000000000005</v>
      </c>
      <c r="V43" s="265" t="str">
        <f>_xlfn.XLOOKUP(E43,'All Products'!D:D,'All Products'!Q:Q,FALSE)</f>
        <v>-</v>
      </c>
    </row>
    <row r="44" spans="1:22" ht="14.4" customHeight="1">
      <c r="A44" s="101" t="str">
        <f>IF(K44&gt;0,COUNT($A$8:A43)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44" s="610"/>
      <c r="C44" s="611"/>
      <c r="D44" s="274" t="str">
        <f>_xlfn.XLOOKUP(E44,'All Products'!D:D,'All Products'!C:C,FALSE)</f>
        <v>A70-012</v>
      </c>
      <c r="E44" s="103">
        <v>100027327</v>
      </c>
      <c r="F44" s="144" t="str">
        <f>_xlfn.XLOOKUP(E44,'All Products'!D:D,'All Products'!E:E,FALSE)</f>
        <v>2" IPS X 1.1/4" FE ACME SADDLE</v>
      </c>
      <c r="G44" s="103">
        <f>_xlfn.XLOOKUP(E44,'All Products'!D:D,'All Products'!F:F,FALSE)</f>
        <v>1</v>
      </c>
      <c r="H44" s="103" t="str">
        <f>_xlfn.XLOOKUP(E44,'All Products'!D:D,'All Products'!G:G,FALSE)</f>
        <v>-</v>
      </c>
      <c r="I44" s="140">
        <f>_xlfn.XLOOKUP(E44,'All Products'!D:D,'All Products'!H:H,FALSE)</f>
        <v>37.909999999999997</v>
      </c>
      <c r="J44" s="173">
        <f>ROUNDUP(I44*Order_Quote!$L$27,2)</f>
        <v>37.909999999999997</v>
      </c>
      <c r="K44" s="75"/>
      <c r="L44" s="113"/>
      <c r="M44" s="171">
        <f t="shared" si="1"/>
        <v>0</v>
      </c>
      <c r="N44" s="363"/>
      <c r="O44" s="215" t="str">
        <f>_xlfn.XLOOKUP(E44,'All Products'!D:D,'All Products'!I:I,FALSE)</f>
        <v>In Stock</v>
      </c>
      <c r="P44" s="215" t="str">
        <f>_xlfn.XLOOKUP(E44,'All Products'!D:D,'All Products'!J:J,FALSE)</f>
        <v>Manufactured</v>
      </c>
      <c r="Q44" s="266">
        <f>_xlfn.XLOOKUP(E44,'All Products'!D:D,'All Products'!K:K,FALSE)</f>
        <v>49081011048</v>
      </c>
      <c r="R44" s="266" t="str">
        <f>_xlfn.XLOOKUP(E44,'All Products'!D:D,'All Products'!L:L,FALSE)</f>
        <v>-</v>
      </c>
      <c r="S44" s="266">
        <f>_xlfn.XLOOKUP(E44,'All Products'!D:D,'All Products'!M:M,FALSE)</f>
        <v>40049081011046</v>
      </c>
      <c r="T44" s="264">
        <f>_xlfn.XLOOKUP(E44,'All Products'!D:D,'All Products'!N:N,FALSE)</f>
        <v>0.57899999999999996</v>
      </c>
      <c r="U44" s="264">
        <f>_xlfn.XLOOKUP(E44,'All Products'!D:D,'All Products'!P:P,FALSE)</f>
        <v>0.57899999999999996</v>
      </c>
      <c r="V44" s="265" t="str">
        <f>_xlfn.XLOOKUP(E44,'All Products'!D:D,'All Products'!Q:Q,FALSE)</f>
        <v>-</v>
      </c>
    </row>
    <row r="45" spans="1:22" ht="14.4" customHeight="1">
      <c r="A45" s="101" t="str">
        <f>IF(K45&gt;0,COUNT($A$8:A44)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45" s="610"/>
      <c r="C45" s="611"/>
      <c r="D45" s="274" t="str">
        <f>_xlfn.XLOOKUP(E45,'All Products'!D:D,'All Products'!C:C,FALSE)</f>
        <v>A70-015</v>
      </c>
      <c r="E45" s="103">
        <v>100027328</v>
      </c>
      <c r="F45" s="144" t="str">
        <f>_xlfn.XLOOKUP(E45,'All Products'!D:D,'All Products'!E:E,FALSE)</f>
        <v>2" IPS X 1.1/2" FE ACME SADDLE</v>
      </c>
      <c r="G45" s="103">
        <f>_xlfn.XLOOKUP(E45,'All Products'!D:D,'All Products'!F:F,FALSE)</f>
        <v>50</v>
      </c>
      <c r="H45" s="103" t="str">
        <f>_xlfn.XLOOKUP(E45,'All Products'!D:D,'All Products'!G:G,FALSE)</f>
        <v>-</v>
      </c>
      <c r="I45" s="140">
        <f>_xlfn.XLOOKUP(E45,'All Products'!D:D,'All Products'!H:H,FALSE)</f>
        <v>37.909999999999997</v>
      </c>
      <c r="J45" s="173">
        <f>ROUNDUP(I45*Order_Quote!$L$27,2)</f>
        <v>37.909999999999997</v>
      </c>
      <c r="K45" s="75"/>
      <c r="L45" s="113"/>
      <c r="M45" s="171">
        <f t="shared" si="1"/>
        <v>0</v>
      </c>
      <c r="N45" s="363"/>
      <c r="O45" s="215" t="str">
        <f>_xlfn.XLOOKUP(E45,'All Products'!D:D,'All Products'!I:I,FALSE)</f>
        <v>In Stock</v>
      </c>
      <c r="P45" s="215" t="str">
        <f>_xlfn.XLOOKUP(E45,'All Products'!D:D,'All Products'!J:J,FALSE)</f>
        <v>Manufactured</v>
      </c>
      <c r="Q45" s="266">
        <f>_xlfn.XLOOKUP(E45,'All Products'!D:D,'All Products'!K:K,FALSE)</f>
        <v>49081011093</v>
      </c>
      <c r="R45" s="266" t="str">
        <f>_xlfn.XLOOKUP(E45,'All Products'!D:D,'All Products'!L:L,FALSE)</f>
        <v>-</v>
      </c>
      <c r="S45" s="266">
        <f>_xlfn.XLOOKUP(E45,'All Products'!D:D,'All Products'!M:M,FALSE)</f>
        <v>40049081011091</v>
      </c>
      <c r="T45" s="264">
        <f>_xlfn.XLOOKUP(E45,'All Products'!D:D,'All Products'!N:N,FALSE)</f>
        <v>0.80500000000000005</v>
      </c>
      <c r="U45" s="264">
        <f>_xlfn.XLOOKUP(E45,'All Products'!D:D,'All Products'!P:P,FALSE)</f>
        <v>0.80500000000000005</v>
      </c>
      <c r="V45" s="265" t="str">
        <f>_xlfn.XLOOKUP(E45,'All Products'!D:D,'All Products'!Q:Q,FALSE)</f>
        <v>-</v>
      </c>
    </row>
    <row r="46" spans="1:22" ht="14.4" customHeight="1">
      <c r="A46" s="101" t="str">
        <f>IF(K46&gt;0,COUNT($A$8:A45)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46" s="610"/>
      <c r="C46" s="611"/>
      <c r="D46" s="274" t="str">
        <f>_xlfn.XLOOKUP(E46,'All Products'!D:D,'All Products'!C:C,FALSE)</f>
        <v>570-010</v>
      </c>
      <c r="E46" s="103">
        <v>100031693</v>
      </c>
      <c r="F46" s="144" t="str">
        <f>_xlfn.XLOOKUP(E46,'All Products'!D:D,'All Products'!E:E,FALSE)</f>
        <v>3" IPS X 1" FS SADDLE</v>
      </c>
      <c r="G46" s="103">
        <f>_xlfn.XLOOKUP(E46,'All Products'!D:D,'All Products'!F:F,FALSE)</f>
        <v>50</v>
      </c>
      <c r="H46" s="103" t="str">
        <f>_xlfn.XLOOKUP(E46,'All Products'!D:D,'All Products'!G:G,FALSE)</f>
        <v>-</v>
      </c>
      <c r="I46" s="140">
        <f>_xlfn.XLOOKUP(E46,'All Products'!D:D,'All Products'!H:H,FALSE)</f>
        <v>66.36</v>
      </c>
      <c r="J46" s="173">
        <f>ROUNDUP(I46*Order_Quote!$L$27,2)</f>
        <v>66.36</v>
      </c>
      <c r="K46" s="75"/>
      <c r="L46" s="113"/>
      <c r="M46" s="171">
        <f t="shared" si="1"/>
        <v>0</v>
      </c>
      <c r="N46" s="363"/>
      <c r="O46" s="215" t="str">
        <f>_xlfn.XLOOKUP(E46,'All Products'!D:D,'All Products'!I:I,FALSE)</f>
        <v>In Stock</v>
      </c>
      <c r="P46" s="215" t="str">
        <f>_xlfn.XLOOKUP(E46,'All Products'!D:D,'All Products'!J:J,FALSE)</f>
        <v>Manufactured</v>
      </c>
      <c r="Q46" s="266" t="str">
        <f>_xlfn.XLOOKUP(E46,'All Products'!D:D,'All Products'!K:K,FALSE)</f>
        <v>-</v>
      </c>
      <c r="R46" s="266" t="str">
        <f>_xlfn.XLOOKUP(E46,'All Products'!D:D,'All Products'!L:L,FALSE)</f>
        <v>-</v>
      </c>
      <c r="S46" s="266" t="str">
        <f>_xlfn.XLOOKUP(E46,'All Products'!D:D,'All Products'!M:M,FALSE)</f>
        <v>-</v>
      </c>
      <c r="T46" s="264">
        <f>_xlfn.XLOOKUP(E46,'All Products'!D:D,'All Products'!N:N,FALSE)</f>
        <v>1.2150000000000001</v>
      </c>
      <c r="U46" s="264">
        <f>_xlfn.XLOOKUP(E46,'All Products'!D:D,'All Products'!P:P,FALSE)</f>
        <v>1.2150000000000001</v>
      </c>
      <c r="V46" s="265" t="str">
        <f>_xlfn.XLOOKUP(E46,'All Products'!D:D,'All Products'!Q:Q,FALSE)</f>
        <v>-</v>
      </c>
    </row>
    <row r="47" spans="1:22" ht="14.4" customHeight="1">
      <c r="A47" s="101" t="str">
        <f>IF(K47&gt;0,COUNT($A$8:A46)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47" s="610"/>
      <c r="C47" s="611"/>
      <c r="D47" s="274" t="str">
        <f>_xlfn.XLOOKUP(E47,'All Products'!D:D,'All Products'!C:C,FALSE)</f>
        <v>570-012</v>
      </c>
      <c r="E47" s="103">
        <v>100031694</v>
      </c>
      <c r="F47" s="144" t="str">
        <f>_xlfn.XLOOKUP(E47,'All Products'!D:D,'All Products'!E:E,FALSE)</f>
        <v>3" IPS X 1.1/4" FS SADDLE</v>
      </c>
      <c r="G47" s="103">
        <f>_xlfn.XLOOKUP(E47,'All Products'!D:D,'All Products'!F:F,FALSE)</f>
        <v>50</v>
      </c>
      <c r="H47" s="103" t="str">
        <f>_xlfn.XLOOKUP(E47,'All Products'!D:D,'All Products'!G:G,FALSE)</f>
        <v>-</v>
      </c>
      <c r="I47" s="140">
        <f>_xlfn.XLOOKUP(E47,'All Products'!D:D,'All Products'!H:H,FALSE)</f>
        <v>66.94</v>
      </c>
      <c r="J47" s="173">
        <f>ROUNDUP(I47*Order_Quote!$L$27,2)</f>
        <v>66.94</v>
      </c>
      <c r="K47" s="75"/>
      <c r="L47" s="113"/>
      <c r="M47" s="171">
        <f t="shared" si="1"/>
        <v>0</v>
      </c>
      <c r="N47" s="363"/>
      <c r="O47" s="215" t="str">
        <f>_xlfn.XLOOKUP(E47,'All Products'!D:D,'All Products'!I:I,FALSE)</f>
        <v>In Stock</v>
      </c>
      <c r="P47" s="215" t="str">
        <f>_xlfn.XLOOKUP(E47,'All Products'!D:D,'All Products'!J:J,FALSE)</f>
        <v>Manufactured</v>
      </c>
      <c r="Q47" s="266" t="str">
        <f>_xlfn.XLOOKUP(E47,'All Products'!D:D,'All Products'!K:K,FALSE)</f>
        <v>-</v>
      </c>
      <c r="R47" s="266" t="str">
        <f>_xlfn.XLOOKUP(E47,'All Products'!D:D,'All Products'!L:L,FALSE)</f>
        <v>-</v>
      </c>
      <c r="S47" s="266" t="str">
        <f>_xlfn.XLOOKUP(E47,'All Products'!D:D,'All Products'!M:M,FALSE)</f>
        <v>-</v>
      </c>
      <c r="T47" s="264">
        <f>_xlfn.XLOOKUP(E47,'All Products'!D:D,'All Products'!N:N,FALSE)</f>
        <v>1.2789999999999999</v>
      </c>
      <c r="U47" s="264">
        <f>_xlfn.XLOOKUP(E47,'All Products'!D:D,'All Products'!P:P,FALSE)</f>
        <v>1.2789999999999999</v>
      </c>
      <c r="V47" s="265" t="str">
        <f>_xlfn.XLOOKUP(E47,'All Products'!D:D,'All Products'!Q:Q,FALSE)</f>
        <v>-</v>
      </c>
    </row>
    <row r="48" spans="1:22" ht="14.4" customHeight="1">
      <c r="A48" s="101" t="str">
        <f>IF(K48&gt;0,COUNT($A$8:A47)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48" s="610"/>
      <c r="C48" s="611"/>
      <c r="D48" s="274" t="str">
        <f>_xlfn.XLOOKUP(E48,'All Products'!D:D,'All Products'!C:C,FALSE)</f>
        <v>570-015</v>
      </c>
      <c r="E48" s="103">
        <v>100031695</v>
      </c>
      <c r="F48" s="144" t="str">
        <f>_xlfn.XLOOKUP(E48,'All Products'!D:D,'All Products'!E:E,FALSE)</f>
        <v>3" IPS X 1.1/2" FS SADDLE</v>
      </c>
      <c r="G48" s="103">
        <f>_xlfn.XLOOKUP(E48,'All Products'!D:D,'All Products'!F:F,FALSE)</f>
        <v>50</v>
      </c>
      <c r="H48" s="103" t="str">
        <f>_xlfn.XLOOKUP(E48,'All Products'!D:D,'All Products'!G:G,FALSE)</f>
        <v>-</v>
      </c>
      <c r="I48" s="140">
        <f>_xlfn.XLOOKUP(E48,'All Products'!D:D,'All Products'!H:H,FALSE)</f>
        <v>68.09</v>
      </c>
      <c r="J48" s="173">
        <f>ROUNDUP(I48*Order_Quote!$L$27,2)</f>
        <v>68.09</v>
      </c>
      <c r="K48" s="75"/>
      <c r="L48" s="113"/>
      <c r="M48" s="171">
        <f t="shared" si="1"/>
        <v>0</v>
      </c>
      <c r="N48" s="363"/>
      <c r="O48" s="215" t="str">
        <f>_xlfn.XLOOKUP(E48,'All Products'!D:D,'All Products'!I:I,FALSE)</f>
        <v>In Stock</v>
      </c>
      <c r="P48" s="215" t="str">
        <f>_xlfn.XLOOKUP(E48,'All Products'!D:D,'All Products'!J:J,FALSE)</f>
        <v>Manufactured</v>
      </c>
      <c r="Q48" s="266" t="str">
        <f>_xlfn.XLOOKUP(E48,'All Products'!D:D,'All Products'!K:K,FALSE)</f>
        <v>-</v>
      </c>
      <c r="R48" s="266" t="str">
        <f>_xlfn.XLOOKUP(E48,'All Products'!D:D,'All Products'!L:L,FALSE)</f>
        <v>-</v>
      </c>
      <c r="S48" s="266" t="str">
        <f>_xlfn.XLOOKUP(E48,'All Products'!D:D,'All Products'!M:M,FALSE)</f>
        <v>-</v>
      </c>
      <c r="T48" s="264">
        <f>_xlfn.XLOOKUP(E48,'All Products'!D:D,'All Products'!N:N,FALSE)</f>
        <v>1.3109999999999999</v>
      </c>
      <c r="U48" s="264">
        <f>_xlfn.XLOOKUP(E48,'All Products'!D:D,'All Products'!P:P,FALSE)</f>
        <v>1.3109999999999999</v>
      </c>
      <c r="V48" s="265" t="str">
        <f>_xlfn.XLOOKUP(E48,'All Products'!D:D,'All Products'!Q:Q,FALSE)</f>
        <v>-</v>
      </c>
    </row>
    <row r="49" spans="1:22" ht="14.4" customHeight="1">
      <c r="A49" s="101" t="str">
        <f>IF(K49&gt;0,COUNT($A$8:A48)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49" s="610"/>
      <c r="C49" s="611"/>
      <c r="D49" s="274" t="str">
        <f>_xlfn.XLOOKUP(E49,'All Products'!D:D,'All Products'!C:C,FALSE)</f>
        <v>A72-010</v>
      </c>
      <c r="E49" s="103">
        <v>100031696</v>
      </c>
      <c r="F49" s="144" t="str">
        <f>_xlfn.XLOOKUP(E49,'All Products'!D:D,'All Products'!E:E,FALSE)</f>
        <v>3" IPS X 1" ACME SADDLE</v>
      </c>
      <c r="G49" s="103">
        <f>_xlfn.XLOOKUP(E49,'All Products'!D:D,'All Products'!F:F,FALSE)</f>
        <v>50</v>
      </c>
      <c r="H49" s="103" t="str">
        <f>_xlfn.XLOOKUP(E49,'All Products'!D:D,'All Products'!G:G,FALSE)</f>
        <v>-</v>
      </c>
      <c r="I49" s="140">
        <f>_xlfn.XLOOKUP(E49,'All Products'!D:D,'All Products'!H:H,FALSE)</f>
        <v>66.760000000000005</v>
      </c>
      <c r="J49" s="173">
        <f>ROUNDUP(I49*Order_Quote!$L$27,2)</f>
        <v>66.760000000000005</v>
      </c>
      <c r="K49" s="75"/>
      <c r="L49" s="113"/>
      <c r="M49" s="171">
        <f t="shared" si="1"/>
        <v>0</v>
      </c>
      <c r="N49" s="363"/>
      <c r="O49" s="215" t="str">
        <f>_xlfn.XLOOKUP(E49,'All Products'!D:D,'All Products'!I:I,FALSE)</f>
        <v>In Stock</v>
      </c>
      <c r="P49" s="215" t="str">
        <f>_xlfn.XLOOKUP(E49,'All Products'!D:D,'All Products'!J:J,FALSE)</f>
        <v>Manufactured</v>
      </c>
      <c r="Q49" s="266" t="str">
        <f>_xlfn.XLOOKUP(E49,'All Products'!D:D,'All Products'!K:K,FALSE)</f>
        <v>-</v>
      </c>
      <c r="R49" s="266" t="str">
        <f>_xlfn.XLOOKUP(E49,'All Products'!D:D,'All Products'!L:L,FALSE)</f>
        <v>-</v>
      </c>
      <c r="S49" s="266" t="str">
        <f>_xlfn.XLOOKUP(E49,'All Products'!D:D,'All Products'!M:M,FALSE)</f>
        <v>-</v>
      </c>
      <c r="T49" s="264">
        <f>_xlfn.XLOOKUP(E49,'All Products'!D:D,'All Products'!N:N,FALSE)</f>
        <v>1.329</v>
      </c>
      <c r="U49" s="264">
        <f>_xlfn.XLOOKUP(E49,'All Products'!D:D,'All Products'!P:P,FALSE)</f>
        <v>1.329</v>
      </c>
      <c r="V49" s="265" t="str">
        <f>_xlfn.XLOOKUP(E49,'All Products'!D:D,'All Products'!Q:Q,FALSE)</f>
        <v>-</v>
      </c>
    </row>
    <row r="50" spans="1:22" ht="14.4" customHeight="1">
      <c r="A50" s="101" t="str">
        <f>IF(K50&gt;0,COUNT($A$8:A49)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50" s="610"/>
      <c r="C50" s="611"/>
      <c r="D50" s="274" t="str">
        <f>_xlfn.XLOOKUP(E50,'All Products'!D:D,'All Products'!C:C,FALSE)</f>
        <v>A72-015</v>
      </c>
      <c r="E50" s="103">
        <v>100031697</v>
      </c>
      <c r="F50" s="144" t="str">
        <f>_xlfn.XLOOKUP(E50,'All Products'!D:D,'All Products'!E:E,FALSE)</f>
        <v>3" IPS X 1.1/2" ACME SADDLE</v>
      </c>
      <c r="G50" s="103">
        <f>_xlfn.XLOOKUP(E50,'All Products'!D:D,'All Products'!F:F,FALSE)</f>
        <v>50</v>
      </c>
      <c r="H50" s="103" t="str">
        <f>_xlfn.XLOOKUP(E50,'All Products'!D:D,'All Products'!G:G,FALSE)</f>
        <v>-</v>
      </c>
      <c r="I50" s="140">
        <f>_xlfn.XLOOKUP(E50,'All Products'!D:D,'All Products'!H:H,FALSE)</f>
        <v>68.400000000000006</v>
      </c>
      <c r="J50" s="173">
        <f>ROUNDUP(I50*Order_Quote!$L$27,2)</f>
        <v>68.400000000000006</v>
      </c>
      <c r="K50" s="75"/>
      <c r="L50" s="113"/>
      <c r="M50" s="171">
        <f t="shared" si="1"/>
        <v>0</v>
      </c>
      <c r="N50" s="363"/>
      <c r="O50" s="215" t="str">
        <f>_xlfn.XLOOKUP(E50,'All Products'!D:D,'All Products'!I:I,FALSE)</f>
        <v>In Stock</v>
      </c>
      <c r="P50" s="215" t="str">
        <f>_xlfn.XLOOKUP(E50,'All Products'!D:D,'All Products'!J:J,FALSE)</f>
        <v>Manufactured</v>
      </c>
      <c r="Q50" s="266" t="str">
        <f>_xlfn.XLOOKUP(E50,'All Products'!D:D,'All Products'!K:K,FALSE)</f>
        <v>-</v>
      </c>
      <c r="R50" s="266" t="str">
        <f>_xlfn.XLOOKUP(E50,'All Products'!D:D,'All Products'!L:L,FALSE)</f>
        <v>-</v>
      </c>
      <c r="S50" s="266" t="str">
        <f>_xlfn.XLOOKUP(E50,'All Products'!D:D,'All Products'!M:M,FALSE)</f>
        <v>-</v>
      </c>
      <c r="T50" s="264">
        <f>_xlfn.XLOOKUP(E50,'All Products'!D:D,'All Products'!N:N,FALSE)</f>
        <v>1.329</v>
      </c>
      <c r="U50" s="264">
        <f>_xlfn.XLOOKUP(E50,'All Products'!D:D,'All Products'!P:P,FALSE)</f>
        <v>1.329</v>
      </c>
      <c r="V50" s="265" t="str">
        <f>_xlfn.XLOOKUP(E50,'All Products'!D:D,'All Products'!Q:Q,FALSE)</f>
        <v>-</v>
      </c>
    </row>
    <row r="51" spans="1:22" ht="14.4" customHeight="1">
      <c r="A51" s="101" t="str">
        <f>IF(K51&gt;0,COUNT($A$8:A50)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51" s="610"/>
      <c r="C51" s="611"/>
      <c r="D51" s="274" t="str">
        <f>_xlfn.XLOOKUP(E51,'All Products'!D:D,'All Products'!C:C,FALSE)</f>
        <v>BS86-010</v>
      </c>
      <c r="E51" s="103">
        <v>100028343</v>
      </c>
      <c r="F51" s="144" t="str">
        <f>_xlfn.XLOOKUP(E51,'All Products'!D:D,'All Products'!E:E,FALSE)</f>
        <v>1 BSPT X 1 MS SJ COMP</v>
      </c>
      <c r="G51" s="103">
        <f>_xlfn.XLOOKUP(E51,'All Products'!D:D,'All Products'!F:F,FALSE)</f>
        <v>1</v>
      </c>
      <c r="H51" s="103" t="str">
        <f>_xlfn.XLOOKUP(E51,'All Products'!D:D,'All Products'!G:G,FALSE)</f>
        <v>-</v>
      </c>
      <c r="I51" s="140">
        <f>_xlfn.XLOOKUP(E51,'All Products'!D:D,'All Products'!H:H,FALSE)</f>
        <v>14.82</v>
      </c>
      <c r="J51" s="173">
        <f>ROUNDUP(I51*Order_Quote!$L$27,2)</f>
        <v>14.82</v>
      </c>
      <c r="K51" s="75"/>
      <c r="L51" s="113"/>
      <c r="M51" s="171">
        <f t="shared" si="1"/>
        <v>0</v>
      </c>
      <c r="N51" s="363"/>
      <c r="O51" s="215" t="str">
        <f>_xlfn.XLOOKUP(E51,'All Products'!D:D,'All Products'!I:I,FALSE)</f>
        <v>Within 3 Weeks</v>
      </c>
      <c r="P51" s="215" t="str">
        <f>_xlfn.XLOOKUP(E51,'All Products'!D:D,'All Products'!J:J,FALSE)</f>
        <v>Manufactured</v>
      </c>
      <c r="Q51" s="266">
        <f>_xlfn.XLOOKUP(E51,'All Products'!D:D,'All Products'!K:K,FALSE)</f>
        <v>49081010904</v>
      </c>
      <c r="R51" s="266" t="str">
        <f>_xlfn.XLOOKUP(E51,'All Products'!D:D,'All Products'!L:L,FALSE)</f>
        <v>-</v>
      </c>
      <c r="S51" s="266">
        <f>_xlfn.XLOOKUP(E51,'All Products'!D:D,'All Products'!M:M,FALSE)</f>
        <v>40049081010902</v>
      </c>
      <c r="T51" s="264">
        <f>_xlfn.XLOOKUP(E51,'All Products'!D:D,'All Products'!N:N,FALSE)</f>
        <v>0.1</v>
      </c>
      <c r="U51" s="264">
        <f>_xlfn.XLOOKUP(E51,'All Products'!D:D,'All Products'!P:P,FALSE)</f>
        <v>0.1</v>
      </c>
      <c r="V51" s="265" t="str">
        <f>_xlfn.XLOOKUP(E51,'All Products'!D:D,'All Products'!Q:Q,FALSE)</f>
        <v>-</v>
      </c>
    </row>
    <row r="52" spans="1:22" ht="14.4" customHeight="1">
      <c r="A52" s="101" t="str">
        <f>IF(K52&gt;0,COUNT($A$8:A51)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52" s="610"/>
      <c r="C52" s="611"/>
      <c r="D52" s="274" t="str">
        <f>_xlfn.XLOOKUP(E52,'All Products'!D:D,'All Products'!C:C,FALSE)</f>
        <v>BS86-012</v>
      </c>
      <c r="E52" s="103">
        <v>100028344</v>
      </c>
      <c r="F52" s="144" t="str">
        <f>_xlfn.XLOOKUP(E52,'All Products'!D:D,'All Products'!E:E,FALSE)</f>
        <v>1-1/4 BSPT X 1-1/2 MS SJ COMPT</v>
      </c>
      <c r="G52" s="103">
        <f>_xlfn.XLOOKUP(E52,'All Products'!D:D,'All Products'!F:F,FALSE)</f>
        <v>1</v>
      </c>
      <c r="H52" s="103" t="str">
        <f>_xlfn.XLOOKUP(E52,'All Products'!D:D,'All Products'!G:G,FALSE)</f>
        <v>-</v>
      </c>
      <c r="I52" s="140">
        <f>_xlfn.XLOOKUP(E52,'All Products'!D:D,'All Products'!H:H,FALSE)</f>
        <v>18.18</v>
      </c>
      <c r="J52" s="173">
        <f>ROUNDUP(I52*Order_Quote!$L$27,2)</f>
        <v>18.18</v>
      </c>
      <c r="K52" s="75"/>
      <c r="L52" s="113"/>
      <c r="M52" s="171">
        <f t="shared" si="1"/>
        <v>0</v>
      </c>
      <c r="N52" s="363"/>
      <c r="O52" s="215" t="str">
        <f>_xlfn.XLOOKUP(E52,'All Products'!D:D,'All Products'!I:I,FALSE)</f>
        <v>Within 3 Weeks</v>
      </c>
      <c r="P52" s="215" t="str">
        <f>_xlfn.XLOOKUP(E52,'All Products'!D:D,'All Products'!J:J,FALSE)</f>
        <v>Manufactured</v>
      </c>
      <c r="Q52" s="266">
        <f>_xlfn.XLOOKUP(E52,'All Products'!D:D,'All Products'!K:K,FALSE)</f>
        <v>49081010911</v>
      </c>
      <c r="R52" s="266" t="str">
        <f>_xlfn.XLOOKUP(E52,'All Products'!D:D,'All Products'!L:L,FALSE)</f>
        <v>-</v>
      </c>
      <c r="S52" s="266">
        <f>_xlfn.XLOOKUP(E52,'All Products'!D:D,'All Products'!M:M,FALSE)</f>
        <v>40049081010919</v>
      </c>
      <c r="T52" s="264">
        <f>_xlfn.XLOOKUP(E52,'All Products'!D:D,'All Products'!N:N,FALSE)</f>
        <v>0.13</v>
      </c>
      <c r="U52" s="264">
        <f>_xlfn.XLOOKUP(E52,'All Products'!D:D,'All Products'!P:P,FALSE)</f>
        <v>0.13</v>
      </c>
      <c r="V52" s="265" t="str">
        <f>_xlfn.XLOOKUP(E52,'All Products'!D:D,'All Products'!Q:Q,FALSE)</f>
        <v>-</v>
      </c>
    </row>
    <row r="53" spans="1:22" ht="14.4" customHeight="1">
      <c r="A53" s="101" t="str">
        <f>IF(K53&gt;0,COUNT($A$8:A52)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53" s="610"/>
      <c r="C53" s="611"/>
      <c r="D53" s="274" t="str">
        <f>_xlfn.XLOOKUP(E53,'All Products'!D:D,'All Products'!C:C,FALSE)</f>
        <v>BS86-015</v>
      </c>
      <c r="E53" s="103">
        <v>100028345</v>
      </c>
      <c r="F53" s="144" t="str">
        <f>_xlfn.XLOOKUP(E53,'All Products'!D:D,'All Products'!E:E,FALSE)</f>
        <v>1-1/2 BSP X 1-1/2 MS SJ COMPT</v>
      </c>
      <c r="G53" s="103">
        <f>_xlfn.XLOOKUP(E53,'All Products'!D:D,'All Products'!F:F,FALSE)</f>
        <v>1</v>
      </c>
      <c r="H53" s="103" t="str">
        <f>_xlfn.XLOOKUP(E53,'All Products'!D:D,'All Products'!G:G,FALSE)</f>
        <v>-</v>
      </c>
      <c r="I53" s="140">
        <f>_xlfn.XLOOKUP(E53,'All Products'!D:D,'All Products'!H:H,FALSE)</f>
        <v>24</v>
      </c>
      <c r="J53" s="173">
        <f>ROUNDUP(I53*Order_Quote!$L$27,2)</f>
        <v>24</v>
      </c>
      <c r="K53" s="75"/>
      <c r="L53" s="113"/>
      <c r="M53" s="171">
        <f t="shared" si="1"/>
        <v>0</v>
      </c>
      <c r="N53" s="363"/>
      <c r="O53" s="215" t="str">
        <f>_xlfn.XLOOKUP(E53,'All Products'!D:D,'All Products'!I:I,FALSE)</f>
        <v>Within 3 Weeks</v>
      </c>
      <c r="P53" s="215" t="str">
        <f>_xlfn.XLOOKUP(E53,'All Products'!D:D,'All Products'!J:J,FALSE)</f>
        <v>Manufactured</v>
      </c>
      <c r="Q53" s="266">
        <f>_xlfn.XLOOKUP(E53,'All Products'!D:D,'All Products'!K:K,FALSE)</f>
        <v>49081010928</v>
      </c>
      <c r="R53" s="266" t="str">
        <f>_xlfn.XLOOKUP(E53,'All Products'!D:D,'All Products'!L:L,FALSE)</f>
        <v>-</v>
      </c>
      <c r="S53" s="266">
        <f>_xlfn.XLOOKUP(E53,'All Products'!D:D,'All Products'!M:M,FALSE)</f>
        <v>40049081010926</v>
      </c>
      <c r="T53" s="264">
        <f>_xlfn.XLOOKUP(E53,'All Products'!D:D,'All Products'!N:N,FALSE)</f>
        <v>0.215</v>
      </c>
      <c r="U53" s="264">
        <f>_xlfn.XLOOKUP(E53,'All Products'!D:D,'All Products'!P:P,FALSE)</f>
        <v>0.215</v>
      </c>
      <c r="V53" s="265" t="str">
        <f>_xlfn.XLOOKUP(E53,'All Products'!D:D,'All Products'!Q:Q,FALSE)</f>
        <v>-</v>
      </c>
    </row>
    <row r="54" spans="1:22" ht="14.4" customHeight="1">
      <c r="A54" s="101" t="str">
        <f>IF(K54&gt;0,COUNT($A$8:A53)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54" s="610"/>
      <c r="C54" s="611"/>
      <c r="D54" s="274" t="str">
        <f>_xlfn.XLOOKUP(E54,'All Products'!D:D,'All Products'!C:C,FALSE)</f>
        <v>BS86-132</v>
      </c>
      <c r="E54" s="103">
        <v>100028346</v>
      </c>
      <c r="F54" s="144" t="str">
        <f>_xlfn.XLOOKUP(E54,'All Products'!D:D,'All Products'!E:E,FALSE)</f>
        <v>1-1/4 BSPT X 1 MS SJ COMPT</v>
      </c>
      <c r="G54" s="103">
        <f>_xlfn.XLOOKUP(E54,'All Products'!D:D,'All Products'!F:F,FALSE)</f>
        <v>1</v>
      </c>
      <c r="H54" s="103" t="str">
        <f>_xlfn.XLOOKUP(E54,'All Products'!D:D,'All Products'!G:G,FALSE)</f>
        <v>-</v>
      </c>
      <c r="I54" s="140">
        <f>_xlfn.XLOOKUP(E54,'All Products'!D:D,'All Products'!H:H,FALSE)</f>
        <v>16.36</v>
      </c>
      <c r="J54" s="173">
        <f>ROUNDUP(I54*Order_Quote!$L$27,2)</f>
        <v>16.36</v>
      </c>
      <c r="K54" s="75"/>
      <c r="L54" s="113"/>
      <c r="M54" s="171">
        <f t="shared" si="1"/>
        <v>0</v>
      </c>
      <c r="N54" s="363"/>
      <c r="O54" s="215" t="str">
        <f>_xlfn.XLOOKUP(E54,'All Products'!D:D,'All Products'!I:I,FALSE)</f>
        <v>Within 3 Weeks</v>
      </c>
      <c r="P54" s="215" t="str">
        <f>_xlfn.XLOOKUP(E54,'All Products'!D:D,'All Products'!J:J,FALSE)</f>
        <v>Manufactured</v>
      </c>
      <c r="Q54" s="266">
        <f>_xlfn.XLOOKUP(E54,'All Products'!D:D,'All Products'!K:K,FALSE)</f>
        <v>49081010966</v>
      </c>
      <c r="R54" s="266" t="str">
        <f>_xlfn.XLOOKUP(E54,'All Products'!D:D,'All Products'!L:L,FALSE)</f>
        <v>-</v>
      </c>
      <c r="S54" s="266">
        <f>_xlfn.XLOOKUP(E54,'All Products'!D:D,'All Products'!M:M,FALSE)</f>
        <v>40049081010964</v>
      </c>
      <c r="T54" s="264">
        <f>_xlfn.XLOOKUP(E54,'All Products'!D:D,'All Products'!N:N,FALSE)</f>
        <v>0.15</v>
      </c>
      <c r="U54" s="264">
        <f>_xlfn.XLOOKUP(E54,'All Products'!D:D,'All Products'!P:P,FALSE)</f>
        <v>0.15</v>
      </c>
      <c r="V54" s="265" t="str">
        <f>_xlfn.XLOOKUP(E54,'All Products'!D:D,'All Products'!Q:Q,FALSE)</f>
        <v>-</v>
      </c>
    </row>
    <row r="55" spans="1:22" ht="14.4" customHeight="1">
      <c r="A55" s="101" t="str">
        <f>IF(K55&gt;0,COUNT($A$8:A54)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55" s="610"/>
      <c r="C55" s="611"/>
      <c r="D55" s="274" t="str">
        <f>_xlfn.XLOOKUP(E55,'All Products'!D:D,'All Products'!C:C,FALSE)</f>
        <v>BS86-133</v>
      </c>
      <c r="E55" s="103">
        <v>100028347</v>
      </c>
      <c r="F55" s="144" t="str">
        <f>_xlfn.XLOOKUP(E55,'All Products'!D:D,'All Products'!E:E,FALSE)</f>
        <v>1-1/2 BSPT X 1 MS SJ COMPT</v>
      </c>
      <c r="G55" s="103">
        <f>_xlfn.XLOOKUP(E55,'All Products'!D:D,'All Products'!F:F,FALSE)</f>
        <v>1</v>
      </c>
      <c r="H55" s="103" t="str">
        <f>_xlfn.XLOOKUP(E55,'All Products'!D:D,'All Products'!G:G,FALSE)</f>
        <v>-</v>
      </c>
      <c r="I55" s="140">
        <f>_xlfn.XLOOKUP(E55,'All Products'!D:D,'All Products'!H:H,FALSE)</f>
        <v>17.190000000000001</v>
      </c>
      <c r="J55" s="173">
        <f>ROUNDUP(I55*Order_Quote!$L$27,2)</f>
        <v>17.190000000000001</v>
      </c>
      <c r="K55" s="75"/>
      <c r="L55" s="113"/>
      <c r="M55" s="171">
        <f t="shared" si="1"/>
        <v>0</v>
      </c>
      <c r="N55" s="363"/>
      <c r="O55" s="215" t="str">
        <f>_xlfn.XLOOKUP(E55,'All Products'!D:D,'All Products'!I:I,FALSE)</f>
        <v>Within 3 Weeks</v>
      </c>
      <c r="P55" s="215" t="str">
        <f>_xlfn.XLOOKUP(E55,'All Products'!D:D,'All Products'!J:J,FALSE)</f>
        <v>Manufactured</v>
      </c>
      <c r="Q55" s="266">
        <f>_xlfn.XLOOKUP(E55,'All Products'!D:D,'All Products'!K:K,FALSE)</f>
        <v>49081010973</v>
      </c>
      <c r="R55" s="266" t="str">
        <f>_xlfn.XLOOKUP(E55,'All Products'!D:D,'All Products'!L:L,FALSE)</f>
        <v>-</v>
      </c>
      <c r="S55" s="266">
        <f>_xlfn.XLOOKUP(E55,'All Products'!D:D,'All Products'!M:M,FALSE)</f>
        <v>40049081010971</v>
      </c>
      <c r="T55" s="264">
        <f>_xlfn.XLOOKUP(E55,'All Products'!D:D,'All Products'!N:N,FALSE)</f>
        <v>0.14499999999999999</v>
      </c>
      <c r="U55" s="264">
        <f>_xlfn.XLOOKUP(E55,'All Products'!D:D,'All Products'!P:P,FALSE)</f>
        <v>0.14499999999999999</v>
      </c>
      <c r="V55" s="265" t="str">
        <f>_xlfn.XLOOKUP(E55,'All Products'!D:D,'All Products'!Q:Q,FALSE)</f>
        <v>-</v>
      </c>
    </row>
    <row r="56" spans="1:22" ht="14.4" customHeight="1">
      <c r="A56" s="101" t="str">
        <f>IF(K56&gt;0,COUNT($A$8:A55)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56" s="610"/>
      <c r="C56" s="611"/>
      <c r="D56" s="274" t="str">
        <f>_xlfn.XLOOKUP(E56,'All Products'!D:D,'All Products'!C:C,FALSE)</f>
        <v>BS87-010</v>
      </c>
      <c r="E56" s="103">
        <v>100028348</v>
      </c>
      <c r="F56" s="144" t="str">
        <f>_xlfn.XLOOKUP(E56,'All Products'!D:D,'All Products'!E:E,FALSE)</f>
        <v>1 BSP X FS SJ COMPT</v>
      </c>
      <c r="G56" s="103">
        <f>_xlfn.XLOOKUP(E56,'All Products'!D:D,'All Products'!F:F,FALSE)</f>
        <v>1</v>
      </c>
      <c r="H56" s="103" t="str">
        <f>_xlfn.XLOOKUP(E56,'All Products'!D:D,'All Products'!G:G,FALSE)</f>
        <v>-</v>
      </c>
      <c r="I56" s="140">
        <f>_xlfn.XLOOKUP(E56,'All Products'!D:D,'All Products'!H:H,FALSE)</f>
        <v>14.03</v>
      </c>
      <c r="J56" s="173">
        <f>ROUNDUP(I56*Order_Quote!$L$27,2)</f>
        <v>14.03</v>
      </c>
      <c r="K56" s="75"/>
      <c r="L56" s="113"/>
      <c r="M56" s="171">
        <f t="shared" si="1"/>
        <v>0</v>
      </c>
      <c r="N56" s="363"/>
      <c r="O56" s="215" t="str">
        <f>_xlfn.XLOOKUP(E56,'All Products'!D:D,'All Products'!I:I,FALSE)</f>
        <v>In Stock</v>
      </c>
      <c r="P56" s="215" t="str">
        <f>_xlfn.XLOOKUP(E56,'All Products'!D:D,'All Products'!J:J,FALSE)</f>
        <v>Manufactured</v>
      </c>
      <c r="Q56" s="266">
        <f>_xlfn.XLOOKUP(E56,'All Products'!D:D,'All Products'!K:K,FALSE)</f>
        <v>49081010409</v>
      </c>
      <c r="R56" s="266" t="str">
        <f>_xlfn.XLOOKUP(E56,'All Products'!D:D,'All Products'!L:L,FALSE)</f>
        <v>-</v>
      </c>
      <c r="S56" s="266">
        <f>_xlfn.XLOOKUP(E56,'All Products'!D:D,'All Products'!M:M,FALSE)</f>
        <v>40049081010407</v>
      </c>
      <c r="T56" s="264">
        <f>_xlfn.XLOOKUP(E56,'All Products'!D:D,'All Products'!N:N,FALSE)</f>
        <v>0.12</v>
      </c>
      <c r="U56" s="264">
        <f>_xlfn.XLOOKUP(E56,'All Products'!D:D,'All Products'!P:P,FALSE)</f>
        <v>0.12</v>
      </c>
      <c r="V56" s="265" t="str">
        <f>_xlfn.XLOOKUP(E56,'All Products'!D:D,'All Products'!Q:Q,FALSE)</f>
        <v>-</v>
      </c>
    </row>
    <row r="57" spans="1:22" ht="14.4" customHeight="1">
      <c r="A57" s="101" t="str">
        <f>IF(K57&gt;0,COUNT($A$8:A56)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57" s="610"/>
      <c r="C57" s="611"/>
      <c r="D57" s="274" t="str">
        <f>_xlfn.XLOOKUP(E57,'All Products'!D:D,'All Products'!C:C,FALSE)</f>
        <v>BS87-012</v>
      </c>
      <c r="E57" s="103">
        <v>100028349</v>
      </c>
      <c r="F57" s="144" t="str">
        <f>_xlfn.XLOOKUP(E57,'All Products'!D:D,'All Products'!E:E,FALSE)</f>
        <v>1-1/4 BSP X FS SJ COMPT</v>
      </c>
      <c r="G57" s="103">
        <f>_xlfn.XLOOKUP(E57,'All Products'!D:D,'All Products'!F:F,FALSE)</f>
        <v>1</v>
      </c>
      <c r="H57" s="103" t="str">
        <f>_xlfn.XLOOKUP(E57,'All Products'!D:D,'All Products'!G:G,FALSE)</f>
        <v>-</v>
      </c>
      <c r="I57" s="140">
        <f>_xlfn.XLOOKUP(E57,'All Products'!D:D,'All Products'!H:H,FALSE)</f>
        <v>17.2</v>
      </c>
      <c r="J57" s="173">
        <f>ROUNDUP(I57*Order_Quote!$L$27,2)</f>
        <v>17.2</v>
      </c>
      <c r="K57" s="75"/>
      <c r="L57" s="113"/>
      <c r="M57" s="171">
        <f t="shared" si="1"/>
        <v>0</v>
      </c>
      <c r="N57" s="363"/>
      <c r="O57" s="215" t="str">
        <f>_xlfn.XLOOKUP(E57,'All Products'!D:D,'All Products'!I:I,FALSE)</f>
        <v>Within 3 Weeks</v>
      </c>
      <c r="P57" s="215" t="str">
        <f>_xlfn.XLOOKUP(E57,'All Products'!D:D,'All Products'!J:J,FALSE)</f>
        <v>Manufactured</v>
      </c>
      <c r="Q57" s="266">
        <f>_xlfn.XLOOKUP(E57,'All Products'!D:D,'All Products'!K:K,FALSE)</f>
        <v>49081010416</v>
      </c>
      <c r="R57" s="266" t="str">
        <f>_xlfn.XLOOKUP(E57,'All Products'!D:D,'All Products'!L:L,FALSE)</f>
        <v>-</v>
      </c>
      <c r="S57" s="266">
        <f>_xlfn.XLOOKUP(E57,'All Products'!D:D,'All Products'!M:M,FALSE)</f>
        <v>40049081010414</v>
      </c>
      <c r="T57" s="264">
        <f>_xlfn.XLOOKUP(E57,'All Products'!D:D,'All Products'!N:N,FALSE)</f>
        <v>0.187</v>
      </c>
      <c r="U57" s="264">
        <f>_xlfn.XLOOKUP(E57,'All Products'!D:D,'All Products'!P:P,FALSE)</f>
        <v>0.187</v>
      </c>
      <c r="V57" s="265" t="str">
        <f>_xlfn.XLOOKUP(E57,'All Products'!D:D,'All Products'!Q:Q,FALSE)</f>
        <v>-</v>
      </c>
    </row>
    <row r="58" spans="1:22" ht="14.4" customHeight="1">
      <c r="A58" s="101" t="str">
        <f>IF(K58&gt;0,COUNT($A$8:A57)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58" s="610"/>
      <c r="C58" s="611"/>
      <c r="D58" s="274" t="str">
        <f>_xlfn.XLOOKUP(E58,'All Products'!D:D,'All Products'!C:C,FALSE)</f>
        <v>BS87-015</v>
      </c>
      <c r="E58" s="103">
        <v>100028350</v>
      </c>
      <c r="F58" s="144" t="str">
        <f>_xlfn.XLOOKUP(E58,'All Products'!D:D,'All Products'!E:E,FALSE)</f>
        <v>1-1/2 BSP X FS SJ COMPT</v>
      </c>
      <c r="G58" s="103">
        <f>_xlfn.XLOOKUP(E58,'All Products'!D:D,'All Products'!F:F,FALSE)</f>
        <v>1</v>
      </c>
      <c r="H58" s="103" t="str">
        <f>_xlfn.XLOOKUP(E58,'All Products'!D:D,'All Products'!G:G,FALSE)</f>
        <v>-</v>
      </c>
      <c r="I58" s="140">
        <f>_xlfn.XLOOKUP(E58,'All Products'!D:D,'All Products'!H:H,FALSE)</f>
        <v>22.86</v>
      </c>
      <c r="J58" s="173">
        <f>ROUNDUP(I58*Order_Quote!$L$27,2)</f>
        <v>22.86</v>
      </c>
      <c r="K58" s="75"/>
      <c r="L58" s="113"/>
      <c r="M58" s="171">
        <f t="shared" si="1"/>
        <v>0</v>
      </c>
      <c r="N58" s="363"/>
      <c r="O58" s="215" t="str">
        <f>_xlfn.XLOOKUP(E58,'All Products'!D:D,'All Products'!I:I,FALSE)</f>
        <v>Within 3 Weeks</v>
      </c>
      <c r="P58" s="215" t="str">
        <f>_xlfn.XLOOKUP(E58,'All Products'!D:D,'All Products'!J:J,FALSE)</f>
        <v>Manufactured</v>
      </c>
      <c r="Q58" s="266">
        <f>_xlfn.XLOOKUP(E58,'All Products'!D:D,'All Products'!K:K,FALSE)</f>
        <v>49081010423</v>
      </c>
      <c r="R58" s="266" t="str">
        <f>_xlfn.XLOOKUP(E58,'All Products'!D:D,'All Products'!L:L,FALSE)</f>
        <v>-</v>
      </c>
      <c r="S58" s="266">
        <f>_xlfn.XLOOKUP(E58,'All Products'!D:D,'All Products'!M:M,FALSE)</f>
        <v>40049081010421</v>
      </c>
      <c r="T58" s="264">
        <f>_xlfn.XLOOKUP(E58,'All Products'!D:D,'All Products'!N:N,FALSE)</f>
        <v>0.24</v>
      </c>
      <c r="U58" s="264">
        <f>_xlfn.XLOOKUP(E58,'All Products'!D:D,'All Products'!P:P,FALSE)</f>
        <v>0.24</v>
      </c>
      <c r="V58" s="265" t="str">
        <f>_xlfn.XLOOKUP(E58,'All Products'!D:D,'All Products'!Q:Q,FALSE)</f>
        <v>-</v>
      </c>
    </row>
    <row r="59" spans="1:22" ht="14.4" customHeight="1">
      <c r="A59" s="101" t="str">
        <f>IF(K59&gt;0,COUNT($A$8:A58)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59" s="610"/>
      <c r="C59" s="611"/>
      <c r="D59" s="274" t="str">
        <f>_xlfn.XLOOKUP(E59,'All Products'!D:D,'All Products'!C:C,FALSE)</f>
        <v>BS90-010</v>
      </c>
      <c r="E59" s="103">
        <v>100028351</v>
      </c>
      <c r="F59" s="144" t="str">
        <f>_xlfn.XLOOKUP(E59,'All Products'!D:D,'All Products'!E:E,FALSE)</f>
        <v>1 FS X BSP SJ COMPT</v>
      </c>
      <c r="G59" s="103">
        <f>_xlfn.XLOOKUP(E59,'All Products'!D:D,'All Products'!F:F,FALSE)</f>
        <v>1</v>
      </c>
      <c r="H59" s="103" t="str">
        <f>_xlfn.XLOOKUP(E59,'All Products'!D:D,'All Products'!G:G,FALSE)</f>
        <v>-</v>
      </c>
      <c r="I59" s="140">
        <f>_xlfn.XLOOKUP(E59,'All Products'!D:D,'All Products'!H:H,FALSE)</f>
        <v>14.82</v>
      </c>
      <c r="J59" s="173">
        <f>ROUNDUP(I59*Order_Quote!$L$27,2)</f>
        <v>14.82</v>
      </c>
      <c r="K59" s="75"/>
      <c r="L59" s="113"/>
      <c r="M59" s="171">
        <f t="shared" si="1"/>
        <v>0</v>
      </c>
      <c r="N59" s="363"/>
      <c r="O59" s="215" t="str">
        <f>_xlfn.XLOOKUP(E59,'All Products'!D:D,'All Products'!I:I,FALSE)</f>
        <v>In Stock</v>
      </c>
      <c r="P59" s="215" t="str">
        <f>_xlfn.XLOOKUP(E59,'All Products'!D:D,'All Products'!J:J,FALSE)</f>
        <v>Manufactured</v>
      </c>
      <c r="Q59" s="266">
        <f>_xlfn.XLOOKUP(E59,'All Products'!D:D,'All Products'!K:K,FALSE)</f>
        <v>49081011857</v>
      </c>
      <c r="R59" s="266" t="str">
        <f>_xlfn.XLOOKUP(E59,'All Products'!D:D,'All Products'!L:L,FALSE)</f>
        <v>-</v>
      </c>
      <c r="S59" s="266">
        <f>_xlfn.XLOOKUP(E59,'All Products'!D:D,'All Products'!M:M,FALSE)</f>
        <v>40049081011855</v>
      </c>
      <c r="T59" s="264">
        <f>_xlfn.XLOOKUP(E59,'All Products'!D:D,'All Products'!N:N,FALSE)</f>
        <v>0.24299999999999999</v>
      </c>
      <c r="U59" s="264">
        <f>_xlfn.XLOOKUP(E59,'All Products'!D:D,'All Products'!P:P,FALSE)</f>
        <v>0.24299999999999999</v>
      </c>
      <c r="V59" s="265" t="str">
        <f>_xlfn.XLOOKUP(E59,'All Products'!D:D,'All Products'!Q:Q,FALSE)</f>
        <v>-</v>
      </c>
    </row>
    <row r="60" spans="1:22" ht="14.4" customHeight="1">
      <c r="A60" s="101" t="str">
        <f>IF(K60&gt;0,COUNT($A$8:A59)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60" s="610"/>
      <c r="C60" s="611"/>
      <c r="D60" s="274" t="str">
        <f>_xlfn.XLOOKUP(E60,'All Products'!D:D,'All Products'!C:C,FALSE)</f>
        <v>BS90-012</v>
      </c>
      <c r="E60" s="103">
        <v>100028352</v>
      </c>
      <c r="F60" s="144" t="str">
        <f>_xlfn.XLOOKUP(E60,'All Products'!D:D,'All Products'!E:E,FALSE)</f>
        <v>1-1/4 FS X BSP SJ COMPT</v>
      </c>
      <c r="G60" s="103">
        <f>_xlfn.XLOOKUP(E60,'All Products'!D:D,'All Products'!F:F,FALSE)</f>
        <v>1</v>
      </c>
      <c r="H60" s="103" t="str">
        <f>_xlfn.XLOOKUP(E60,'All Products'!D:D,'All Products'!G:G,FALSE)</f>
        <v>-</v>
      </c>
      <c r="I60" s="140">
        <f>_xlfn.XLOOKUP(E60,'All Products'!D:D,'All Products'!H:H,FALSE)</f>
        <v>24.76</v>
      </c>
      <c r="J60" s="173">
        <f>ROUNDUP(I60*Order_Quote!$L$27,2)</f>
        <v>24.76</v>
      </c>
      <c r="K60" s="75"/>
      <c r="L60" s="113"/>
      <c r="M60" s="171">
        <f t="shared" si="1"/>
        <v>0</v>
      </c>
      <c r="N60" s="363"/>
      <c r="O60" s="215" t="str">
        <f>_xlfn.XLOOKUP(E60,'All Products'!D:D,'All Products'!I:I,FALSE)</f>
        <v>Within 3 Weeks</v>
      </c>
      <c r="P60" s="215" t="str">
        <f>_xlfn.XLOOKUP(E60,'All Products'!D:D,'All Products'!J:J,FALSE)</f>
        <v>Manufactured</v>
      </c>
      <c r="Q60" s="266">
        <f>_xlfn.XLOOKUP(E60,'All Products'!D:D,'All Products'!K:K,FALSE)</f>
        <v>49081011864</v>
      </c>
      <c r="R60" s="266" t="str">
        <f>_xlfn.XLOOKUP(E60,'All Products'!D:D,'All Products'!L:L,FALSE)</f>
        <v>-</v>
      </c>
      <c r="S60" s="266">
        <f>_xlfn.XLOOKUP(E60,'All Products'!D:D,'All Products'!M:M,FALSE)</f>
        <v>40049081011862</v>
      </c>
      <c r="T60" s="264">
        <f>_xlfn.XLOOKUP(E60,'All Products'!D:D,'All Products'!N:N,FALSE)</f>
        <v>0.35799999999999998</v>
      </c>
      <c r="U60" s="264">
        <f>_xlfn.XLOOKUP(E60,'All Products'!D:D,'All Products'!P:P,FALSE)</f>
        <v>0.35799999999999998</v>
      </c>
      <c r="V60" s="265" t="str">
        <f>_xlfn.XLOOKUP(E60,'All Products'!D:D,'All Products'!Q:Q,FALSE)</f>
        <v>-</v>
      </c>
    </row>
    <row r="61" spans="1:22" ht="14.4" customHeight="1">
      <c r="A61" s="101" t="str">
        <f>IF(K61&gt;0,COUNT($A$8:A60)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61" s="610"/>
      <c r="C61" s="611"/>
      <c r="D61" s="274" t="str">
        <f>_xlfn.XLOOKUP(E61,'All Products'!D:D,'All Products'!C:C,FALSE)</f>
        <v>BS90-015</v>
      </c>
      <c r="E61" s="103">
        <v>100028353</v>
      </c>
      <c r="F61" s="144" t="str">
        <f>_xlfn.XLOOKUP(E61,'All Products'!D:D,'All Products'!E:E,FALSE)</f>
        <v>1-1/2 FS X BSP SJ COMPT</v>
      </c>
      <c r="G61" s="103">
        <f>_xlfn.XLOOKUP(E61,'All Products'!D:D,'All Products'!F:F,FALSE)</f>
        <v>1</v>
      </c>
      <c r="H61" s="103" t="str">
        <f>_xlfn.XLOOKUP(E61,'All Products'!D:D,'All Products'!G:G,FALSE)</f>
        <v>-</v>
      </c>
      <c r="I61" s="140">
        <f>_xlfn.XLOOKUP(E61,'All Products'!D:D,'All Products'!H:H,FALSE)</f>
        <v>27.44</v>
      </c>
      <c r="J61" s="173">
        <f>ROUNDUP(I61*Order_Quote!$L$27,2)</f>
        <v>27.44</v>
      </c>
      <c r="K61" s="75"/>
      <c r="L61" s="113"/>
      <c r="M61" s="171">
        <f t="shared" si="1"/>
        <v>0</v>
      </c>
      <c r="N61" s="363"/>
      <c r="O61" s="215" t="str">
        <f>_xlfn.XLOOKUP(E61,'All Products'!D:D,'All Products'!I:I,FALSE)</f>
        <v>In Stock</v>
      </c>
      <c r="P61" s="215" t="str">
        <f>_xlfn.XLOOKUP(E61,'All Products'!D:D,'All Products'!J:J,FALSE)</f>
        <v>Manufactured</v>
      </c>
      <c r="Q61" s="266">
        <f>_xlfn.XLOOKUP(E61,'All Products'!D:D,'All Products'!K:K,FALSE)</f>
        <v>49081011871</v>
      </c>
      <c r="R61" s="266" t="str">
        <f>_xlfn.XLOOKUP(E61,'All Products'!D:D,'All Products'!L:L,FALSE)</f>
        <v>-</v>
      </c>
      <c r="S61" s="266">
        <f>_xlfn.XLOOKUP(E61,'All Products'!D:D,'All Products'!M:M,FALSE)</f>
        <v>40049081011879</v>
      </c>
      <c r="T61" s="264">
        <f>_xlfn.XLOOKUP(E61,'All Products'!D:D,'All Products'!N:N,FALSE)</f>
        <v>0.43</v>
      </c>
      <c r="U61" s="264">
        <f>_xlfn.XLOOKUP(E61,'All Products'!D:D,'All Products'!P:P,FALSE)</f>
        <v>0.43</v>
      </c>
      <c r="V61" s="265" t="str">
        <f>_xlfn.XLOOKUP(E61,'All Products'!D:D,'All Products'!Q:Q,FALSE)</f>
        <v>-</v>
      </c>
    </row>
    <row r="62" spans="1:22" ht="14.4" customHeight="1">
      <c r="A62" s="101" t="str">
        <f>IF(K62&gt;0,COUNT($A$8:A61)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62" s="610"/>
      <c r="C62" s="611"/>
      <c r="D62" s="274" t="str">
        <f>_xlfn.XLOOKUP(E62,'All Products'!D:D,'All Products'!C:C,FALSE)</f>
        <v>BS90-132</v>
      </c>
      <c r="E62" s="103">
        <v>100028354</v>
      </c>
      <c r="F62" s="144" t="str">
        <f>_xlfn.XLOOKUP(E62,'All Products'!D:D,'All Products'!E:E,FALSE)</f>
        <v>1 FS X 1-1/4 BSP SJ COMPT</v>
      </c>
      <c r="G62" s="103">
        <f>_xlfn.XLOOKUP(E62,'All Products'!D:D,'All Products'!F:F,FALSE)</f>
        <v>1</v>
      </c>
      <c r="H62" s="103" t="str">
        <f>_xlfn.XLOOKUP(E62,'All Products'!D:D,'All Products'!G:G,FALSE)</f>
        <v>-</v>
      </c>
      <c r="I62" s="140">
        <f>_xlfn.XLOOKUP(E62,'All Products'!D:D,'All Products'!H:H,FALSE)</f>
        <v>35.090000000000003</v>
      </c>
      <c r="J62" s="173">
        <f>ROUNDUP(I62*Order_Quote!$L$27,2)</f>
        <v>35.090000000000003</v>
      </c>
      <c r="K62" s="75"/>
      <c r="L62" s="113"/>
      <c r="M62" s="171">
        <f t="shared" si="1"/>
        <v>0</v>
      </c>
      <c r="N62" s="363"/>
      <c r="O62" s="215" t="str">
        <f>_xlfn.XLOOKUP(E62,'All Products'!D:D,'All Products'!I:I,FALSE)</f>
        <v>Within 3 Weeks</v>
      </c>
      <c r="P62" s="215" t="str">
        <f>_xlfn.XLOOKUP(E62,'All Products'!D:D,'All Products'!J:J,FALSE)</f>
        <v>Manufactured</v>
      </c>
      <c r="Q62" s="266">
        <f>_xlfn.XLOOKUP(E62,'All Products'!D:D,'All Products'!K:K,FALSE)</f>
        <v>49081011901</v>
      </c>
      <c r="R62" s="266" t="str">
        <f>_xlfn.XLOOKUP(E62,'All Products'!D:D,'All Products'!L:L,FALSE)</f>
        <v>-</v>
      </c>
      <c r="S62" s="266">
        <f>_xlfn.XLOOKUP(E62,'All Products'!D:D,'All Products'!M:M,FALSE)</f>
        <v>40049081011909</v>
      </c>
      <c r="T62" s="264">
        <f>_xlfn.XLOOKUP(E62,'All Products'!D:D,'All Products'!N:N,FALSE)</f>
        <v>0.315</v>
      </c>
      <c r="U62" s="264">
        <f>_xlfn.XLOOKUP(E62,'All Products'!D:D,'All Products'!P:P,FALSE)</f>
        <v>0.315</v>
      </c>
      <c r="V62" s="265" t="str">
        <f>_xlfn.XLOOKUP(E62,'All Products'!D:D,'All Products'!Q:Q,FALSE)</f>
        <v>-</v>
      </c>
    </row>
    <row r="63" spans="1:22" ht="14.4" customHeight="1">
      <c r="A63" s="101" t="str">
        <f>IF(K63&gt;0,COUNT($A$8:A62)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63" s="610"/>
      <c r="C63" s="611"/>
      <c r="D63" s="274" t="str">
        <f>_xlfn.XLOOKUP(E63,'All Products'!D:D,'All Products'!C:C,FALSE)</f>
        <v>BS90-133</v>
      </c>
      <c r="E63" s="103">
        <v>100028355</v>
      </c>
      <c r="F63" s="144" t="str">
        <f>_xlfn.XLOOKUP(E63,'All Products'!D:D,'All Products'!E:E,FALSE)</f>
        <v>1 FS X 1-1/2 BSP SJ COMPT</v>
      </c>
      <c r="G63" s="103">
        <f>_xlfn.XLOOKUP(E63,'All Products'!D:D,'All Products'!F:F,FALSE)</f>
        <v>1</v>
      </c>
      <c r="H63" s="103" t="str">
        <f>_xlfn.XLOOKUP(E63,'All Products'!D:D,'All Products'!G:G,FALSE)</f>
        <v>-</v>
      </c>
      <c r="I63" s="140">
        <f>_xlfn.XLOOKUP(E63,'All Products'!D:D,'All Products'!H:H,FALSE)</f>
        <v>44.91</v>
      </c>
      <c r="J63" s="173">
        <f>ROUNDUP(I63*Order_Quote!$L$27,2)</f>
        <v>44.91</v>
      </c>
      <c r="K63" s="75"/>
      <c r="L63" s="113"/>
      <c r="M63" s="171">
        <f t="shared" si="1"/>
        <v>0</v>
      </c>
      <c r="N63" s="363"/>
      <c r="O63" s="215" t="str">
        <f>_xlfn.XLOOKUP(E63,'All Products'!D:D,'All Products'!I:I,FALSE)</f>
        <v>Within 3 Weeks</v>
      </c>
      <c r="P63" s="215" t="str">
        <f>_xlfn.XLOOKUP(E63,'All Products'!D:D,'All Products'!J:J,FALSE)</f>
        <v>Manufactured</v>
      </c>
      <c r="Q63" s="266">
        <f>_xlfn.XLOOKUP(E63,'All Products'!D:D,'All Products'!K:K,FALSE)</f>
        <v>49081011918</v>
      </c>
      <c r="R63" s="266" t="str">
        <f>_xlfn.XLOOKUP(E63,'All Products'!D:D,'All Products'!L:L,FALSE)</f>
        <v>-</v>
      </c>
      <c r="S63" s="266">
        <f>_xlfn.XLOOKUP(E63,'All Products'!D:D,'All Products'!M:M,FALSE)</f>
        <v>40049081011916</v>
      </c>
      <c r="T63" s="264">
        <f>_xlfn.XLOOKUP(E63,'All Products'!D:D,'All Products'!N:N,FALSE)</f>
        <v>0.33500000000000002</v>
      </c>
      <c r="U63" s="264">
        <f>_xlfn.XLOOKUP(E63,'All Products'!D:D,'All Products'!P:P,FALSE)</f>
        <v>0.33500000000000002</v>
      </c>
      <c r="V63" s="265" t="str">
        <f>_xlfn.XLOOKUP(E63,'All Products'!D:D,'All Products'!Q:Q,FALSE)</f>
        <v>-</v>
      </c>
    </row>
    <row r="64" spans="1:22" ht="14.4" customHeight="1">
      <c r="A64" s="101" t="str">
        <f>IF(K64&gt;0,COUNT($A$8:A63)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64" s="610"/>
      <c r="C64" s="611"/>
      <c r="D64" s="274" t="str">
        <f>_xlfn.XLOOKUP(E64,'All Products'!D:D,'All Products'!C:C,FALSE)</f>
        <v>BS90-168</v>
      </c>
      <c r="E64" s="103">
        <v>100028356</v>
      </c>
      <c r="F64" s="144" t="str">
        <f>_xlfn.XLOOKUP(E64,'All Products'!D:D,'All Products'!E:E,FALSE)</f>
        <v>1-1/4 FS X 1 BSP SJ COMPT</v>
      </c>
      <c r="G64" s="103">
        <f>_xlfn.XLOOKUP(E64,'All Products'!D:D,'All Products'!F:F,FALSE)</f>
        <v>1</v>
      </c>
      <c r="H64" s="103" t="str">
        <f>_xlfn.XLOOKUP(E64,'All Products'!D:D,'All Products'!G:G,FALSE)</f>
        <v>-</v>
      </c>
      <c r="I64" s="140">
        <f>_xlfn.XLOOKUP(E64,'All Products'!D:D,'All Products'!H:H,FALSE)</f>
        <v>35.090000000000003</v>
      </c>
      <c r="J64" s="173">
        <f>ROUNDUP(I64*Order_Quote!$L$27,2)</f>
        <v>35.090000000000003</v>
      </c>
      <c r="K64" s="75"/>
      <c r="L64" s="113"/>
      <c r="M64" s="171">
        <f t="shared" si="1"/>
        <v>0</v>
      </c>
      <c r="N64" s="363"/>
      <c r="O64" s="215" t="str">
        <f>_xlfn.XLOOKUP(E64,'All Products'!D:D,'All Products'!I:I,FALSE)</f>
        <v>Within 3 Weeks</v>
      </c>
      <c r="P64" s="215" t="str">
        <f>_xlfn.XLOOKUP(E64,'All Products'!D:D,'All Products'!J:J,FALSE)</f>
        <v>Manufactured</v>
      </c>
      <c r="Q64" s="266">
        <f>_xlfn.XLOOKUP(E64,'All Products'!D:D,'All Products'!K:K,FALSE)</f>
        <v>49081011925</v>
      </c>
      <c r="R64" s="266" t="str">
        <f>_xlfn.XLOOKUP(E64,'All Products'!D:D,'All Products'!L:L,FALSE)</f>
        <v>-</v>
      </c>
      <c r="S64" s="266">
        <f>_xlfn.XLOOKUP(E64,'All Products'!D:D,'All Products'!M:M,FALSE)</f>
        <v>40049081011923</v>
      </c>
      <c r="T64" s="264">
        <f>_xlfn.XLOOKUP(E64,'All Products'!D:D,'All Products'!N:N,FALSE)</f>
        <v>0.34</v>
      </c>
      <c r="U64" s="264">
        <f>_xlfn.XLOOKUP(E64,'All Products'!D:D,'All Products'!P:P,FALSE)</f>
        <v>0.34</v>
      </c>
      <c r="V64" s="265" t="str">
        <f>_xlfn.XLOOKUP(E64,'All Products'!D:D,'All Products'!Q:Q,FALSE)</f>
        <v>-</v>
      </c>
    </row>
    <row r="65" spans="1:22" ht="14.4" customHeight="1">
      <c r="A65" s="101" t="str">
        <f>IF(K65&gt;0,COUNT($A$8:A64)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65" s="610"/>
      <c r="C65" s="611"/>
      <c r="D65" s="274" t="str">
        <f>_xlfn.XLOOKUP(E65,'All Products'!D:D,'All Products'!C:C,FALSE)</f>
        <v>BS90-169</v>
      </c>
      <c r="E65" s="103">
        <v>100028357</v>
      </c>
      <c r="F65" s="144" t="str">
        <f>_xlfn.XLOOKUP(E65,'All Products'!D:D,'All Products'!E:E,FALSE)</f>
        <v>1-1/4 FS X 1-1/2 BSP SJ COMPT</v>
      </c>
      <c r="G65" s="103">
        <f>_xlfn.XLOOKUP(E65,'All Products'!D:D,'All Products'!F:F,FALSE)</f>
        <v>1</v>
      </c>
      <c r="H65" s="103" t="str">
        <f>_xlfn.XLOOKUP(E65,'All Products'!D:D,'All Products'!G:G,FALSE)</f>
        <v>-</v>
      </c>
      <c r="I65" s="140">
        <f>_xlfn.XLOOKUP(E65,'All Products'!D:D,'All Products'!H:H,FALSE)</f>
        <v>44.91</v>
      </c>
      <c r="J65" s="173">
        <f>ROUNDUP(I65*Order_Quote!$L$27,2)</f>
        <v>44.91</v>
      </c>
      <c r="K65" s="75"/>
      <c r="L65" s="113"/>
      <c r="M65" s="171">
        <f t="shared" si="1"/>
        <v>0</v>
      </c>
      <c r="N65" s="363"/>
      <c r="O65" s="215" t="str">
        <f>_xlfn.XLOOKUP(E65,'All Products'!D:D,'All Products'!I:I,FALSE)</f>
        <v>Within 3 Weeks</v>
      </c>
      <c r="P65" s="215" t="str">
        <f>_xlfn.XLOOKUP(E65,'All Products'!D:D,'All Products'!J:J,FALSE)</f>
        <v>Manufactured</v>
      </c>
      <c r="Q65" s="266">
        <f>_xlfn.XLOOKUP(E65,'All Products'!D:D,'All Products'!K:K,FALSE)</f>
        <v>49081011932</v>
      </c>
      <c r="R65" s="266" t="str">
        <f>_xlfn.XLOOKUP(E65,'All Products'!D:D,'All Products'!L:L,FALSE)</f>
        <v>-</v>
      </c>
      <c r="S65" s="266">
        <f>_xlfn.XLOOKUP(E65,'All Products'!D:D,'All Products'!M:M,FALSE)</f>
        <v>40049081011930</v>
      </c>
      <c r="T65" s="264">
        <f>_xlfn.XLOOKUP(E65,'All Products'!D:D,'All Products'!N:N,FALSE)</f>
        <v>0.39500000000000002</v>
      </c>
      <c r="U65" s="264">
        <f>_xlfn.XLOOKUP(E65,'All Products'!D:D,'All Products'!P:P,FALSE)</f>
        <v>0.39500000000000002</v>
      </c>
      <c r="V65" s="265" t="str">
        <f>_xlfn.XLOOKUP(E65,'All Products'!D:D,'All Products'!Q:Q,FALSE)</f>
        <v>-</v>
      </c>
    </row>
    <row r="66" spans="1:22" ht="14.4" customHeight="1">
      <c r="A66" s="101" t="str">
        <f>IF(K66&gt;0,COUNT($A$8:A65)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66" s="610"/>
      <c r="C66" s="611"/>
      <c r="D66" s="274" t="str">
        <f>_xlfn.XLOOKUP(E66,'All Products'!D:D,'All Products'!C:C,FALSE)</f>
        <v>BS90-212</v>
      </c>
      <c r="E66" s="103">
        <v>100028359</v>
      </c>
      <c r="F66" s="144" t="str">
        <f>_xlfn.XLOOKUP(E66,'All Products'!D:D,'All Products'!E:E,FALSE)</f>
        <v>1-1/2 FS X 1-1/4 BSP SJ COMPT</v>
      </c>
      <c r="G66" s="103">
        <f>_xlfn.XLOOKUP(E66,'All Products'!D:D,'All Products'!F:F,FALSE)</f>
        <v>1</v>
      </c>
      <c r="H66" s="103" t="str">
        <f>_xlfn.XLOOKUP(E66,'All Products'!D:D,'All Products'!G:G,FALSE)</f>
        <v>-</v>
      </c>
      <c r="I66" s="140">
        <f>_xlfn.XLOOKUP(E66,'All Products'!D:D,'All Products'!H:H,FALSE)</f>
        <v>44.91</v>
      </c>
      <c r="J66" s="173">
        <f>ROUNDUP(I66*Order_Quote!$L$27,2)</f>
        <v>44.91</v>
      </c>
      <c r="K66" s="75"/>
      <c r="L66" s="113"/>
      <c r="M66" s="171">
        <f t="shared" si="1"/>
        <v>0</v>
      </c>
      <c r="N66" s="363"/>
      <c r="O66" s="215" t="str">
        <f>_xlfn.XLOOKUP(E66,'All Products'!D:D,'All Products'!I:I,FALSE)</f>
        <v>In Stock</v>
      </c>
      <c r="P66" s="215" t="str">
        <f>_xlfn.XLOOKUP(E66,'All Products'!D:D,'All Products'!J:J,FALSE)</f>
        <v>Manufactured</v>
      </c>
      <c r="Q66" s="266">
        <f>_xlfn.XLOOKUP(E66,'All Products'!D:D,'All Products'!K:K,FALSE)</f>
        <v>49081011949</v>
      </c>
      <c r="R66" s="266" t="str">
        <f>_xlfn.XLOOKUP(E66,'All Products'!D:D,'All Products'!L:L,FALSE)</f>
        <v>-</v>
      </c>
      <c r="S66" s="266">
        <f>_xlfn.XLOOKUP(E66,'All Products'!D:D,'All Products'!M:M,FALSE)</f>
        <v>40049081011947</v>
      </c>
      <c r="T66" s="264">
        <f>_xlfn.XLOOKUP(E66,'All Products'!D:D,'All Products'!N:N,FALSE)</f>
        <v>0.44500000000000001</v>
      </c>
      <c r="U66" s="264">
        <f>_xlfn.XLOOKUP(E66,'All Products'!D:D,'All Products'!P:P,FALSE)</f>
        <v>0.44500000000000001</v>
      </c>
      <c r="V66" s="265" t="str">
        <f>_xlfn.XLOOKUP(E66,'All Products'!D:D,'All Products'!Q:Q,FALSE)</f>
        <v>-</v>
      </c>
    </row>
    <row r="67" spans="1:22" ht="14.4" customHeight="1">
      <c r="A67" s="101" t="str">
        <f>IF(K67&gt;0,COUNT($A$8:A66)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67" s="610"/>
      <c r="C67" s="611"/>
      <c r="D67" s="274" t="str">
        <f>_xlfn.XLOOKUP(E67,'All Products'!D:D,'All Products'!C:C,FALSE)</f>
        <v>BSA90-015</v>
      </c>
      <c r="E67" s="103">
        <v>100028362</v>
      </c>
      <c r="F67" s="144" t="str">
        <f>_xlfn.XLOOKUP(E67,'All Products'!D:D,'All Products'!E:E,FALSE)</f>
        <v>1-1/2 BSPT X 1-1/2 ACME ELL SJ</v>
      </c>
      <c r="G67" s="103">
        <f>_xlfn.XLOOKUP(E67,'All Products'!D:D,'All Products'!F:F,FALSE)</f>
        <v>1</v>
      </c>
      <c r="H67" s="103" t="str">
        <f>_xlfn.XLOOKUP(E67,'All Products'!D:D,'All Products'!G:G,FALSE)</f>
        <v>-</v>
      </c>
      <c r="I67" s="140">
        <f>_xlfn.XLOOKUP(E67,'All Products'!D:D,'All Products'!H:H,FALSE)</f>
        <v>45.21</v>
      </c>
      <c r="J67" s="173">
        <f>ROUNDUP(I67*Order_Quote!$L$27,2)</f>
        <v>45.21</v>
      </c>
      <c r="K67" s="75"/>
      <c r="L67" s="113"/>
      <c r="M67" s="171">
        <f t="shared" si="1"/>
        <v>0</v>
      </c>
      <c r="N67" s="363"/>
      <c r="O67" s="215" t="str">
        <f>_xlfn.XLOOKUP(E67,'All Products'!D:D,'All Products'!I:I,FALSE)</f>
        <v>Within 3 Weeks</v>
      </c>
      <c r="P67" s="215" t="str">
        <f>_xlfn.XLOOKUP(E67,'All Products'!D:D,'All Products'!J:J,FALSE)</f>
        <v>Manufactured</v>
      </c>
      <c r="Q67" s="266">
        <f>_xlfn.XLOOKUP(E67,'All Products'!D:D,'All Products'!K:K,FALSE)</f>
        <v>49081011956</v>
      </c>
      <c r="R67" s="266" t="str">
        <f>_xlfn.XLOOKUP(E67,'All Products'!D:D,'All Products'!L:L,FALSE)</f>
        <v>-</v>
      </c>
      <c r="S67" s="266">
        <f>_xlfn.XLOOKUP(E67,'All Products'!D:D,'All Products'!M:M,FALSE)</f>
        <v>40049081011954</v>
      </c>
      <c r="T67" s="264">
        <f>_xlfn.XLOOKUP(E67,'All Products'!D:D,'All Products'!N:N,FALSE)</f>
        <v>0.47499999999999998</v>
      </c>
      <c r="U67" s="264">
        <f>_xlfn.XLOOKUP(E67,'All Products'!D:D,'All Products'!P:P,FALSE)</f>
        <v>0.47499999999999998</v>
      </c>
      <c r="V67" s="265" t="str">
        <f>_xlfn.XLOOKUP(E67,'All Products'!D:D,'All Products'!Q:Q,FALSE)</f>
        <v>-</v>
      </c>
    </row>
    <row r="68" spans="1:22" ht="14.4" customHeight="1">
      <c r="A68" s="101" t="str">
        <f>IF(K68&gt;0,COUNT($A$8:A67)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68" s="610"/>
      <c r="C68" s="611"/>
      <c r="D68" s="274" t="str">
        <f>_xlfn.XLOOKUP(E68,'All Products'!D:D,'All Products'!C:C,FALSE)</f>
        <v>BSA90-132</v>
      </c>
      <c r="E68" s="103">
        <v>100028363</v>
      </c>
      <c r="F68" s="144" t="str">
        <f>_xlfn.XLOOKUP(E68,'All Products'!D:D,'All Products'!E:E,FALSE)</f>
        <v>1 BSPT X 1-1/4 ACME ELL SJ</v>
      </c>
      <c r="G68" s="103">
        <f>_xlfn.XLOOKUP(E68,'All Products'!D:D,'All Products'!F:F,FALSE)</f>
        <v>1</v>
      </c>
      <c r="H68" s="103" t="str">
        <f>_xlfn.XLOOKUP(E68,'All Products'!D:D,'All Products'!G:G,FALSE)</f>
        <v>-</v>
      </c>
      <c r="I68" s="140">
        <f>_xlfn.XLOOKUP(E68,'All Products'!D:D,'All Products'!H:H,FALSE)</f>
        <v>42.11</v>
      </c>
      <c r="J68" s="173">
        <f>ROUNDUP(I68*Order_Quote!$L$27,2)</f>
        <v>42.11</v>
      </c>
      <c r="K68" s="75"/>
      <c r="L68" s="113"/>
      <c r="M68" s="171">
        <f t="shared" si="1"/>
        <v>0</v>
      </c>
      <c r="N68" s="363"/>
      <c r="O68" s="215" t="str">
        <f>_xlfn.XLOOKUP(E68,'All Products'!D:D,'All Products'!I:I,FALSE)</f>
        <v>Within 3 Weeks</v>
      </c>
      <c r="P68" s="215" t="str">
        <f>_xlfn.XLOOKUP(E68,'All Products'!D:D,'All Products'!J:J,FALSE)</f>
        <v>Manufactured</v>
      </c>
      <c r="Q68" s="266">
        <f>_xlfn.XLOOKUP(E68,'All Products'!D:D,'All Products'!K:K,FALSE)</f>
        <v>49081011888</v>
      </c>
      <c r="R68" s="266" t="str">
        <f>_xlfn.XLOOKUP(E68,'All Products'!D:D,'All Products'!L:L,FALSE)</f>
        <v>-</v>
      </c>
      <c r="S68" s="266">
        <f>_xlfn.XLOOKUP(E68,'All Products'!D:D,'All Products'!M:M,FALSE)</f>
        <v>40049081011886</v>
      </c>
      <c r="T68" s="264">
        <f>_xlfn.XLOOKUP(E68,'All Products'!D:D,'All Products'!N:N,FALSE)</f>
        <v>0.27500000000000002</v>
      </c>
      <c r="U68" s="264">
        <f>_xlfn.XLOOKUP(E68,'All Products'!D:D,'All Products'!P:P,FALSE)</f>
        <v>0.27500000000000002</v>
      </c>
      <c r="V68" s="265" t="str">
        <f>_xlfn.XLOOKUP(E68,'All Products'!D:D,'All Products'!Q:Q,FALSE)</f>
        <v>-</v>
      </c>
    </row>
    <row r="69" spans="1:22" ht="14.4" customHeight="1">
      <c r="A69" s="101" t="str">
        <f>IF(K69&gt;0,COUNT($A$8:A68)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69" s="610"/>
      <c r="C69" s="611"/>
      <c r="D69" s="274" t="str">
        <f>_xlfn.XLOOKUP(E69,'All Products'!D:D,'All Products'!C:C,FALSE)</f>
        <v>BSA90-212</v>
      </c>
      <c r="E69" s="103">
        <v>100028364</v>
      </c>
      <c r="F69" s="144" t="str">
        <f>_xlfn.XLOOKUP(E69,'All Products'!D:D,'All Products'!E:E,FALSE)</f>
        <v>1-1/2 BSPT X 1-1/4 ACME ELL SJ</v>
      </c>
      <c r="G69" s="103">
        <f>_xlfn.XLOOKUP(E69,'All Products'!D:D,'All Products'!F:F,FALSE)</f>
        <v>1</v>
      </c>
      <c r="H69" s="103" t="str">
        <f>_xlfn.XLOOKUP(E69,'All Products'!D:D,'All Products'!G:G,FALSE)</f>
        <v>-</v>
      </c>
      <c r="I69" s="140">
        <f>_xlfn.XLOOKUP(E69,'All Products'!D:D,'All Products'!H:H,FALSE)</f>
        <v>46.64</v>
      </c>
      <c r="J69" s="173">
        <f>ROUNDUP(I69*Order_Quote!$L$27,2)</f>
        <v>46.64</v>
      </c>
      <c r="K69" s="75"/>
      <c r="L69" s="113"/>
      <c r="M69" s="171">
        <f t="shared" si="1"/>
        <v>0</v>
      </c>
      <c r="N69" s="363"/>
      <c r="O69" s="215" t="str">
        <f>_xlfn.XLOOKUP(E69,'All Products'!D:D,'All Products'!I:I,FALSE)</f>
        <v>Within 3 Weeks</v>
      </c>
      <c r="P69" s="215" t="str">
        <f>_xlfn.XLOOKUP(E69,'All Products'!D:D,'All Products'!J:J,FALSE)</f>
        <v>Manufactured</v>
      </c>
      <c r="Q69" s="266">
        <f>_xlfn.XLOOKUP(E69,'All Products'!D:D,'All Products'!K:K,FALSE)</f>
        <v>49081011895</v>
      </c>
      <c r="R69" s="266" t="str">
        <f>_xlfn.XLOOKUP(E69,'All Products'!D:D,'All Products'!L:L,FALSE)</f>
        <v>-</v>
      </c>
      <c r="S69" s="266">
        <f>_xlfn.XLOOKUP(E69,'All Products'!D:D,'All Products'!M:M,FALSE)</f>
        <v>40049081011893</v>
      </c>
      <c r="T69" s="264">
        <f>_xlfn.XLOOKUP(E69,'All Products'!D:D,'All Products'!N:N,FALSE)</f>
        <v>0.46500000000000002</v>
      </c>
      <c r="U69" s="264">
        <f>_xlfn.XLOOKUP(E69,'All Products'!D:D,'All Products'!P:P,FALSE)</f>
        <v>0.46500000000000002</v>
      </c>
      <c r="V69" s="265" t="str">
        <f>_xlfn.XLOOKUP(E69,'All Products'!D:D,'All Products'!Q:Q,FALSE)</f>
        <v>-</v>
      </c>
    </row>
    <row r="70" spans="1:22" ht="14.4" customHeight="1">
      <c r="A70" s="101" t="str">
        <f>IF(K70&gt;0,COUNT($A$8:A69)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70" s="610"/>
      <c r="C70" s="611"/>
      <c r="D70" s="274" t="str">
        <f>_xlfn.XLOOKUP(E70,'All Products'!D:D,'All Products'!C:C,FALSE)</f>
        <v>BSQ90-010</v>
      </c>
      <c r="E70" s="103">
        <v>100031237</v>
      </c>
      <c r="F70" s="144" t="str">
        <f>_xlfn.XLOOKUP(E70,'All Products'!D:D,'All Products'!E:E,FALSE)</f>
        <v>1 FS X 1 BRASS BSP SJ COMPT</v>
      </c>
      <c r="G70" s="103">
        <f>_xlfn.XLOOKUP(E70,'All Products'!D:D,'All Products'!F:F,FALSE)</f>
        <v>1</v>
      </c>
      <c r="H70" s="103" t="str">
        <f>_xlfn.XLOOKUP(E70,'All Products'!D:D,'All Products'!G:G,FALSE)</f>
        <v>-</v>
      </c>
      <c r="I70" s="140">
        <f>_xlfn.XLOOKUP(E70,'All Products'!D:D,'All Products'!H:H,FALSE)</f>
        <v>66.78</v>
      </c>
      <c r="J70" s="173">
        <f>ROUNDUP(I70*Order_Quote!$L$27,2)</f>
        <v>66.78</v>
      </c>
      <c r="K70" s="75"/>
      <c r="L70" s="113"/>
      <c r="M70" s="171">
        <f t="shared" si="1"/>
        <v>0</v>
      </c>
      <c r="N70" s="363"/>
      <c r="O70" s="215" t="str">
        <f>_xlfn.XLOOKUP(E70,'All Products'!D:D,'All Products'!I:I,FALSE)</f>
        <v>Within 3 Weeks</v>
      </c>
      <c r="P70" s="215" t="str">
        <f>_xlfn.XLOOKUP(E70,'All Products'!D:D,'All Products'!J:J,FALSE)</f>
        <v>Manufactured</v>
      </c>
      <c r="Q70" s="266">
        <f>_xlfn.XLOOKUP(E70,'All Products'!D:D,'All Products'!K:K,FALSE)</f>
        <v>49081011987</v>
      </c>
      <c r="R70" s="266" t="str">
        <f>_xlfn.XLOOKUP(E70,'All Products'!D:D,'All Products'!L:L,FALSE)</f>
        <v>-</v>
      </c>
      <c r="S70" s="266">
        <f>_xlfn.XLOOKUP(E70,'All Products'!D:D,'All Products'!M:M,FALSE)</f>
        <v>40049081011985</v>
      </c>
      <c r="T70" s="264">
        <f>_xlfn.XLOOKUP(E70,'All Products'!D:D,'All Products'!N:N,FALSE)</f>
        <v>0.74</v>
      </c>
      <c r="U70" s="264">
        <f>_xlfn.XLOOKUP(E70,'All Products'!D:D,'All Products'!P:P,FALSE)</f>
        <v>0.74</v>
      </c>
      <c r="V70" s="265" t="str">
        <f>_xlfn.XLOOKUP(E70,'All Products'!D:D,'All Products'!Q:Q,FALSE)</f>
        <v>-</v>
      </c>
    </row>
    <row r="71" spans="1:22" ht="14.4" customHeight="1">
      <c r="A71" s="101" t="str">
        <f>IF(K71&gt;0,COUNT($A$8:A70)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71" s="610"/>
      <c r="C71" s="611"/>
      <c r="D71" s="274" t="str">
        <f>_xlfn.XLOOKUP(E71,'All Products'!D:D,'All Products'!C:C,FALSE)</f>
        <v>D100EXT12</v>
      </c>
      <c r="E71" s="103">
        <v>100023744</v>
      </c>
      <c r="F71" s="144" t="str">
        <f>_xlfn.XLOOKUP(E71,'All Products'!D:D,'All Products'!E:E,FALSE)</f>
        <v>12 EXTENSION KIT, 1 DIAM SJ</v>
      </c>
      <c r="G71" s="103">
        <f>_xlfn.XLOOKUP(E71,'All Products'!D:D,'All Products'!F:F,FALSE)</f>
        <v>1</v>
      </c>
      <c r="H71" s="103" t="str">
        <f>_xlfn.XLOOKUP(E71,'All Products'!D:D,'All Products'!G:G,FALSE)</f>
        <v>-</v>
      </c>
      <c r="I71" s="140">
        <f>_xlfn.XLOOKUP(E71,'All Products'!D:D,'All Products'!H:H,FALSE)</f>
        <v>67.87</v>
      </c>
      <c r="J71" s="173">
        <f>ROUNDUP(I71*Order_Quote!$L$27,2)</f>
        <v>67.87</v>
      </c>
      <c r="K71" s="75"/>
      <c r="L71" s="113"/>
      <c r="M71" s="171">
        <f t="shared" si="1"/>
        <v>0</v>
      </c>
      <c r="N71" s="363"/>
      <c r="O71" s="215" t="str">
        <f>_xlfn.XLOOKUP(E71,'All Products'!D:D,'All Products'!I:I,FALSE)</f>
        <v>Within 3 Weeks</v>
      </c>
      <c r="P71" s="215" t="str">
        <f>_xlfn.XLOOKUP(E71,'All Products'!D:D,'All Products'!J:J,FALSE)</f>
        <v>Manufactured</v>
      </c>
      <c r="Q71" s="266">
        <f>_xlfn.XLOOKUP(E71,'All Products'!D:D,'All Products'!K:K,FALSE)</f>
        <v>49081013325</v>
      </c>
      <c r="R71" s="266" t="str">
        <f>_xlfn.XLOOKUP(E71,'All Products'!D:D,'All Products'!L:L,FALSE)</f>
        <v>-</v>
      </c>
      <c r="S71" s="266">
        <f>_xlfn.XLOOKUP(E71,'All Products'!D:D,'All Products'!M:M,FALSE)</f>
        <v>40049081013323</v>
      </c>
      <c r="T71" s="264">
        <f>_xlfn.XLOOKUP(E71,'All Products'!D:D,'All Products'!N:N,FALSE)</f>
        <v>0.7</v>
      </c>
      <c r="U71" s="264">
        <f>_xlfn.XLOOKUP(E71,'All Products'!D:D,'All Products'!P:P,FALSE)</f>
        <v>0.7</v>
      </c>
      <c r="V71" s="265" t="str">
        <f>_xlfn.XLOOKUP(E71,'All Products'!D:D,'All Products'!Q:Q,FALSE)</f>
        <v>-</v>
      </c>
    </row>
    <row r="72" spans="1:22" ht="14.4" customHeight="1">
      <c r="A72" s="101" t="str">
        <f>IF(K72&gt;0,COUNT($A$8:A71)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72" s="610"/>
      <c r="C72" s="611"/>
      <c r="D72" s="274" t="str">
        <f>_xlfn.XLOOKUP(E72,'All Products'!D:D,'All Products'!C:C,FALSE)</f>
        <v>D100EXT18</v>
      </c>
      <c r="E72" s="103">
        <v>100023745</v>
      </c>
      <c r="F72" s="144" t="str">
        <f>_xlfn.XLOOKUP(E72,'All Products'!D:D,'All Products'!E:E,FALSE)</f>
        <v>18 EXTENSION KIT, 1 DIAM SJ</v>
      </c>
      <c r="G72" s="103">
        <f>_xlfn.XLOOKUP(E72,'All Products'!D:D,'All Products'!F:F,FALSE)</f>
        <v>1</v>
      </c>
      <c r="H72" s="103" t="str">
        <f>_xlfn.XLOOKUP(E72,'All Products'!D:D,'All Products'!G:G,FALSE)</f>
        <v>-</v>
      </c>
      <c r="I72" s="140">
        <f>_xlfn.XLOOKUP(E72,'All Products'!D:D,'All Products'!H:H,FALSE)</f>
        <v>75.78</v>
      </c>
      <c r="J72" s="173">
        <f>ROUNDUP(I72*Order_Quote!$L$27,2)</f>
        <v>75.78</v>
      </c>
      <c r="K72" s="75"/>
      <c r="L72" s="113"/>
      <c r="M72" s="171">
        <f t="shared" si="1"/>
        <v>0</v>
      </c>
      <c r="N72" s="363"/>
      <c r="O72" s="215" t="str">
        <f>_xlfn.XLOOKUP(E72,'All Products'!D:D,'All Products'!I:I,FALSE)</f>
        <v>Within 3 Weeks</v>
      </c>
      <c r="P72" s="215" t="str">
        <f>_xlfn.XLOOKUP(E72,'All Products'!D:D,'All Products'!J:J,FALSE)</f>
        <v>Manufactured</v>
      </c>
      <c r="Q72" s="266">
        <f>_xlfn.XLOOKUP(E72,'All Products'!D:D,'All Products'!K:K,FALSE)</f>
        <v>49081013356</v>
      </c>
      <c r="R72" s="266" t="str">
        <f>_xlfn.XLOOKUP(E72,'All Products'!D:D,'All Products'!L:L,FALSE)</f>
        <v>-</v>
      </c>
      <c r="S72" s="266">
        <f>_xlfn.XLOOKUP(E72,'All Products'!D:D,'All Products'!M:M,FALSE)</f>
        <v>40049081013354</v>
      </c>
      <c r="T72" s="264">
        <f>_xlfn.XLOOKUP(E72,'All Products'!D:D,'All Products'!N:N,FALSE)</f>
        <v>0.879</v>
      </c>
      <c r="U72" s="264">
        <f>_xlfn.XLOOKUP(E72,'All Products'!D:D,'All Products'!P:P,FALSE)</f>
        <v>0.879</v>
      </c>
      <c r="V72" s="265" t="str">
        <f>_xlfn.XLOOKUP(E72,'All Products'!D:D,'All Products'!Q:Q,FALSE)</f>
        <v>-</v>
      </c>
    </row>
    <row r="73" spans="1:22" ht="14.4" customHeight="1">
      <c r="A73" s="101" t="str">
        <f>IF(K73&gt;0,COUNT($A$8:A72)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73" s="610"/>
      <c r="C73" s="611"/>
      <c r="D73" s="274" t="str">
        <f>_xlfn.XLOOKUP(E73,'All Products'!D:D,'All Products'!C:C,FALSE)</f>
        <v>D100EXT6</v>
      </c>
      <c r="E73" s="103">
        <v>100023746</v>
      </c>
      <c r="F73" s="144" t="str">
        <f>_xlfn.XLOOKUP(E73,'All Products'!D:D,'All Products'!E:E,FALSE)</f>
        <v>6 EXTENSION KIT, 1 DIAM SJ</v>
      </c>
      <c r="G73" s="103">
        <f>_xlfn.XLOOKUP(E73,'All Products'!D:D,'All Products'!F:F,FALSE)</f>
        <v>1</v>
      </c>
      <c r="H73" s="103" t="str">
        <f>_xlfn.XLOOKUP(E73,'All Products'!D:D,'All Products'!G:G,FALSE)</f>
        <v>-</v>
      </c>
      <c r="I73" s="140">
        <f>_xlfn.XLOOKUP(E73,'All Products'!D:D,'All Products'!H:H,FALSE)</f>
        <v>60.15</v>
      </c>
      <c r="J73" s="173">
        <f>ROUNDUP(I73*Order_Quote!$L$27,2)</f>
        <v>60.15</v>
      </c>
      <c r="K73" s="75"/>
      <c r="L73" s="113"/>
      <c r="M73" s="171">
        <f t="shared" si="1"/>
        <v>0</v>
      </c>
      <c r="N73" s="363"/>
      <c r="O73" s="215" t="str">
        <f>_xlfn.XLOOKUP(E73,'All Products'!D:D,'All Products'!I:I,FALSE)</f>
        <v>Within 3 Weeks</v>
      </c>
      <c r="P73" s="215" t="str">
        <f>_xlfn.XLOOKUP(E73,'All Products'!D:D,'All Products'!J:J,FALSE)</f>
        <v>Manufactured</v>
      </c>
      <c r="Q73" s="266">
        <f>_xlfn.XLOOKUP(E73,'All Products'!D:D,'All Products'!K:K,FALSE)</f>
        <v>49081013295</v>
      </c>
      <c r="R73" s="266" t="str">
        <f>_xlfn.XLOOKUP(E73,'All Products'!D:D,'All Products'!L:L,FALSE)</f>
        <v>-</v>
      </c>
      <c r="S73" s="266">
        <f>_xlfn.XLOOKUP(E73,'All Products'!D:D,'All Products'!M:M,FALSE)</f>
        <v>40049081013293</v>
      </c>
      <c r="T73" s="264">
        <f>_xlfn.XLOOKUP(E73,'All Products'!D:D,'All Products'!N:N,FALSE)</f>
        <v>0.47899999999999998</v>
      </c>
      <c r="U73" s="264">
        <f>_xlfn.XLOOKUP(E73,'All Products'!D:D,'All Products'!P:P,FALSE)</f>
        <v>0.47899999999999998</v>
      </c>
      <c r="V73" s="265" t="str">
        <f>_xlfn.XLOOKUP(E73,'All Products'!D:D,'All Products'!Q:Q,FALSE)</f>
        <v>-</v>
      </c>
    </row>
    <row r="74" spans="1:22" ht="14.4" customHeight="1">
      <c r="A74" s="101" t="str">
        <f>IF(K74&gt;0,COUNT($A$8:A73)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74" s="610"/>
      <c r="C74" s="611"/>
      <c r="D74" s="274" t="str">
        <f>_xlfn.XLOOKUP(E74,'All Products'!D:D,'All Products'!C:C,FALSE)</f>
        <v>D100EXT8</v>
      </c>
      <c r="E74" s="103">
        <v>100023747</v>
      </c>
      <c r="F74" s="144" t="str">
        <f>_xlfn.XLOOKUP(E74,'All Products'!D:D,'All Products'!E:E,FALSE)</f>
        <v>8 EXTENSION KIT, 1 DIAM SJ</v>
      </c>
      <c r="G74" s="103">
        <f>_xlfn.XLOOKUP(E74,'All Products'!D:D,'All Products'!F:F,FALSE)</f>
        <v>1</v>
      </c>
      <c r="H74" s="103" t="str">
        <f>_xlfn.XLOOKUP(E74,'All Products'!D:D,'All Products'!G:G,FALSE)</f>
        <v>-</v>
      </c>
      <c r="I74" s="140">
        <f>_xlfn.XLOOKUP(E74,'All Products'!D:D,'All Products'!H:H,FALSE)</f>
        <v>60.15</v>
      </c>
      <c r="J74" s="173">
        <f>ROUNDUP(I74*Order_Quote!$L$27,2)</f>
        <v>60.15</v>
      </c>
      <c r="K74" s="75"/>
      <c r="L74" s="113"/>
      <c r="M74" s="171">
        <f t="shared" si="1"/>
        <v>0</v>
      </c>
      <c r="N74" s="363"/>
      <c r="O74" s="215" t="str">
        <f>_xlfn.XLOOKUP(E74,'All Products'!D:D,'All Products'!I:I,FALSE)</f>
        <v>Within 3 Weeks</v>
      </c>
      <c r="P74" s="215" t="str">
        <f>_xlfn.XLOOKUP(E74,'All Products'!D:D,'All Products'!J:J,FALSE)</f>
        <v>Manufactured</v>
      </c>
      <c r="Q74" s="266">
        <f>_xlfn.XLOOKUP(E74,'All Products'!D:D,'All Products'!K:K,FALSE)</f>
        <v>49081013301</v>
      </c>
      <c r="R74" s="266" t="str">
        <f>_xlfn.XLOOKUP(E74,'All Products'!D:D,'All Products'!L:L,FALSE)</f>
        <v>-</v>
      </c>
      <c r="S74" s="266">
        <f>_xlfn.XLOOKUP(E74,'All Products'!D:D,'All Products'!M:M,FALSE)</f>
        <v>40049081013309</v>
      </c>
      <c r="T74" s="264">
        <f>_xlfn.XLOOKUP(E74,'All Products'!D:D,'All Products'!N:N,FALSE)</f>
        <v>0.54500000000000004</v>
      </c>
      <c r="U74" s="264">
        <f>_xlfn.XLOOKUP(E74,'All Products'!D:D,'All Products'!P:P,FALSE)</f>
        <v>0.54500000000000004</v>
      </c>
      <c r="V74" s="265" t="str">
        <f>_xlfn.XLOOKUP(E74,'All Products'!D:D,'All Products'!Q:Q,FALSE)</f>
        <v>-</v>
      </c>
    </row>
    <row r="75" spans="1:22" ht="14.4" customHeight="1">
      <c r="A75" s="101" t="str">
        <f>IF(K75&gt;0,COUNT($A$8:A74)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75" s="610"/>
      <c r="C75" s="611"/>
      <c r="D75" s="274" t="str">
        <f>_xlfn.XLOOKUP(E75,'All Products'!D:D,'All Products'!C:C,FALSE)</f>
        <v>D125EXT12</v>
      </c>
      <c r="E75" s="103">
        <v>100023748</v>
      </c>
      <c r="F75" s="144" t="str">
        <f>_xlfn.XLOOKUP(E75,'All Products'!D:D,'All Products'!E:E,FALSE)</f>
        <v>12 EXTENSION KIT, 1-1/2 DIAM SJ</v>
      </c>
      <c r="G75" s="103">
        <f>_xlfn.XLOOKUP(E75,'All Products'!D:D,'All Products'!F:F,FALSE)</f>
        <v>1</v>
      </c>
      <c r="H75" s="103" t="str">
        <f>_xlfn.XLOOKUP(E75,'All Products'!D:D,'All Products'!G:G,FALSE)</f>
        <v>-</v>
      </c>
      <c r="I75" s="140">
        <f>_xlfn.XLOOKUP(E75,'All Products'!D:D,'All Products'!H:H,FALSE)</f>
        <v>88.08</v>
      </c>
      <c r="J75" s="173">
        <f>ROUNDUP(I75*Order_Quote!$L$27,2)</f>
        <v>88.08</v>
      </c>
      <c r="K75" s="75"/>
      <c r="L75" s="113"/>
      <c r="M75" s="171">
        <f t="shared" si="1"/>
        <v>0</v>
      </c>
      <c r="N75" s="363"/>
      <c r="O75" s="215" t="str">
        <f>_xlfn.XLOOKUP(E75,'All Products'!D:D,'All Products'!I:I,FALSE)</f>
        <v>Within 3 Weeks</v>
      </c>
      <c r="P75" s="215" t="str">
        <f>_xlfn.XLOOKUP(E75,'All Products'!D:D,'All Products'!J:J,FALSE)</f>
        <v>Manufactured</v>
      </c>
      <c r="Q75" s="266">
        <f>_xlfn.XLOOKUP(E75,'All Products'!D:D,'All Products'!K:K,FALSE)</f>
        <v>49081013417</v>
      </c>
      <c r="R75" s="266" t="str">
        <f>_xlfn.XLOOKUP(E75,'All Products'!D:D,'All Products'!L:L,FALSE)</f>
        <v>-</v>
      </c>
      <c r="S75" s="266">
        <f>_xlfn.XLOOKUP(E75,'All Products'!D:D,'All Products'!M:M,FALSE)</f>
        <v>40049081013415</v>
      </c>
      <c r="T75" s="264">
        <f>_xlfn.XLOOKUP(E75,'All Products'!D:D,'All Products'!N:N,FALSE)</f>
        <v>1.0049999999999999</v>
      </c>
      <c r="U75" s="264">
        <f>_xlfn.XLOOKUP(E75,'All Products'!D:D,'All Products'!P:P,FALSE)</f>
        <v>1.0049999999999999</v>
      </c>
      <c r="V75" s="265" t="str">
        <f>_xlfn.XLOOKUP(E75,'All Products'!D:D,'All Products'!Q:Q,FALSE)</f>
        <v>-</v>
      </c>
    </row>
    <row r="76" spans="1:22" ht="14.4" customHeight="1">
      <c r="A76" s="101" t="str">
        <f>IF(K76&gt;0,COUNT($A$8:A75)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76" s="610"/>
      <c r="C76" s="611"/>
      <c r="D76" s="274" t="str">
        <f>_xlfn.XLOOKUP(E76,'All Products'!D:D,'All Products'!C:C,FALSE)</f>
        <v>D125EXT18</v>
      </c>
      <c r="E76" s="103">
        <v>100023749</v>
      </c>
      <c r="F76" s="144" t="str">
        <f>_xlfn.XLOOKUP(E76,'All Products'!D:D,'All Products'!E:E,FALSE)</f>
        <v>18 EXTENSION KID, 1-1/4 DIAM SJ</v>
      </c>
      <c r="G76" s="103">
        <f>_xlfn.XLOOKUP(E76,'All Products'!D:D,'All Products'!F:F,FALSE)</f>
        <v>1</v>
      </c>
      <c r="H76" s="103" t="str">
        <f>_xlfn.XLOOKUP(E76,'All Products'!D:D,'All Products'!G:G,FALSE)</f>
        <v>-</v>
      </c>
      <c r="I76" s="140">
        <f>_xlfn.XLOOKUP(E76,'All Products'!D:D,'All Products'!H:H,FALSE)</f>
        <v>95.04</v>
      </c>
      <c r="J76" s="173">
        <f>ROUNDUP(I76*Order_Quote!$L$27,2)</f>
        <v>95.04</v>
      </c>
      <c r="K76" s="75"/>
      <c r="L76" s="113"/>
      <c r="M76" s="171">
        <f t="shared" si="1"/>
        <v>0</v>
      </c>
      <c r="N76" s="363"/>
      <c r="O76" s="215" t="str">
        <f>_xlfn.XLOOKUP(E76,'All Products'!D:D,'All Products'!I:I,FALSE)</f>
        <v>Within 3 Weeks</v>
      </c>
      <c r="P76" s="215" t="str">
        <f>_xlfn.XLOOKUP(E76,'All Products'!D:D,'All Products'!J:J,FALSE)</f>
        <v>Manufactured</v>
      </c>
      <c r="Q76" s="266">
        <f>_xlfn.XLOOKUP(E76,'All Products'!D:D,'All Products'!K:K,FALSE)</f>
        <v>49081013448</v>
      </c>
      <c r="R76" s="266" t="str">
        <f>_xlfn.XLOOKUP(E76,'All Products'!D:D,'All Products'!L:L,FALSE)</f>
        <v>-</v>
      </c>
      <c r="S76" s="266">
        <f>_xlfn.XLOOKUP(E76,'All Products'!D:D,'All Products'!M:M,FALSE)</f>
        <v>40049081013446</v>
      </c>
      <c r="T76" s="264">
        <f>_xlfn.XLOOKUP(E76,'All Products'!D:D,'All Products'!N:N,FALSE)</f>
        <v>1.2649999999999999</v>
      </c>
      <c r="U76" s="264">
        <f>_xlfn.XLOOKUP(E76,'All Products'!D:D,'All Products'!P:P,FALSE)</f>
        <v>1.2649999999999999</v>
      </c>
      <c r="V76" s="265" t="str">
        <f>_xlfn.XLOOKUP(E76,'All Products'!D:D,'All Products'!Q:Q,FALSE)</f>
        <v>-</v>
      </c>
    </row>
    <row r="77" spans="1:22" ht="14.4" customHeight="1">
      <c r="A77" s="101" t="str">
        <f>IF(K77&gt;0,COUNT($A$8:A76)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77" s="610"/>
      <c r="C77" s="611"/>
      <c r="D77" s="274" t="str">
        <f>_xlfn.XLOOKUP(E77,'All Products'!D:D,'All Products'!C:C,FALSE)</f>
        <v>D125EXT6</v>
      </c>
      <c r="E77" s="103">
        <v>100023750</v>
      </c>
      <c r="F77" s="144" t="str">
        <f>_xlfn.XLOOKUP(E77,'All Products'!D:D,'All Products'!E:E,FALSE)</f>
        <v>6 EXTENSION KIT, 1-1/4 DIAM SJ</v>
      </c>
      <c r="G77" s="103">
        <f>_xlfn.XLOOKUP(E77,'All Products'!D:D,'All Products'!F:F,FALSE)</f>
        <v>1</v>
      </c>
      <c r="H77" s="103" t="str">
        <f>_xlfn.XLOOKUP(E77,'All Products'!D:D,'All Products'!G:G,FALSE)</f>
        <v>-</v>
      </c>
      <c r="I77" s="140">
        <f>_xlfn.XLOOKUP(E77,'All Products'!D:D,'All Products'!H:H,FALSE)</f>
        <v>78.989999999999995</v>
      </c>
      <c r="J77" s="173">
        <f>ROUNDUP(I77*Order_Quote!$L$27,2)</f>
        <v>78.989999999999995</v>
      </c>
      <c r="K77" s="75"/>
      <c r="L77" s="113"/>
      <c r="M77" s="171">
        <f t="shared" si="1"/>
        <v>0</v>
      </c>
      <c r="N77" s="363"/>
      <c r="O77" s="215" t="str">
        <f>_xlfn.XLOOKUP(E77,'All Products'!D:D,'All Products'!I:I,FALSE)</f>
        <v>Within 3 Weeks</v>
      </c>
      <c r="P77" s="215" t="str">
        <f>_xlfn.XLOOKUP(E77,'All Products'!D:D,'All Products'!J:J,FALSE)</f>
        <v>Manufactured</v>
      </c>
      <c r="Q77" s="266">
        <f>_xlfn.XLOOKUP(E77,'All Products'!D:D,'All Products'!K:K,FALSE)</f>
        <v>49081013387</v>
      </c>
      <c r="R77" s="266" t="str">
        <f>_xlfn.XLOOKUP(E77,'All Products'!D:D,'All Products'!L:L,FALSE)</f>
        <v>-</v>
      </c>
      <c r="S77" s="266">
        <f>_xlfn.XLOOKUP(E77,'All Products'!D:D,'All Products'!M:M,FALSE)</f>
        <v>40049081013385</v>
      </c>
      <c r="T77" s="264">
        <f>_xlfn.XLOOKUP(E77,'All Products'!D:D,'All Products'!N:N,FALSE)</f>
        <v>0.71199999999999997</v>
      </c>
      <c r="U77" s="264">
        <f>_xlfn.XLOOKUP(E77,'All Products'!D:D,'All Products'!P:P,FALSE)</f>
        <v>0.71199999999999997</v>
      </c>
      <c r="V77" s="265" t="str">
        <f>_xlfn.XLOOKUP(E77,'All Products'!D:D,'All Products'!Q:Q,FALSE)</f>
        <v>-</v>
      </c>
    </row>
    <row r="78" spans="1:22" ht="14.4" customHeight="1">
      <c r="A78" s="101" t="str">
        <f>IF(K78&gt;0,COUNT($A$8:A77)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78" s="610"/>
      <c r="C78" s="611"/>
      <c r="D78" s="274" t="str">
        <f>_xlfn.XLOOKUP(E78,'All Products'!D:D,'All Products'!C:C,FALSE)</f>
        <v>D125EXT8</v>
      </c>
      <c r="E78" s="103">
        <v>100023751</v>
      </c>
      <c r="F78" s="144" t="str">
        <f>_xlfn.XLOOKUP(E78,'All Products'!D:D,'All Products'!E:E,FALSE)</f>
        <v>8 EXTENSION KIT, 1-1/4 DIAM SJ</v>
      </c>
      <c r="G78" s="103">
        <f>_xlfn.XLOOKUP(E78,'All Products'!D:D,'All Products'!F:F,FALSE)</f>
        <v>1</v>
      </c>
      <c r="H78" s="103" t="str">
        <f>_xlfn.XLOOKUP(E78,'All Products'!D:D,'All Products'!G:G,FALSE)</f>
        <v>-</v>
      </c>
      <c r="I78" s="140">
        <f>_xlfn.XLOOKUP(E78,'All Products'!D:D,'All Products'!H:H,FALSE)</f>
        <v>78.989999999999995</v>
      </c>
      <c r="J78" s="173">
        <f>ROUNDUP(I78*Order_Quote!$L$27,2)</f>
        <v>78.989999999999995</v>
      </c>
      <c r="K78" s="75"/>
      <c r="L78" s="113"/>
      <c r="M78" s="171">
        <f t="shared" si="1"/>
        <v>0</v>
      </c>
      <c r="N78" s="363"/>
      <c r="O78" s="215" t="str">
        <f>_xlfn.XLOOKUP(E78,'All Products'!D:D,'All Products'!I:I,FALSE)</f>
        <v>Within 3 Weeks</v>
      </c>
      <c r="P78" s="215" t="str">
        <f>_xlfn.XLOOKUP(E78,'All Products'!D:D,'All Products'!J:J,FALSE)</f>
        <v>Manufactured</v>
      </c>
      <c r="Q78" s="266">
        <f>_xlfn.XLOOKUP(E78,'All Products'!D:D,'All Products'!K:K,FALSE)</f>
        <v>49081013394</v>
      </c>
      <c r="R78" s="266" t="str">
        <f>_xlfn.XLOOKUP(E78,'All Products'!D:D,'All Products'!L:L,FALSE)</f>
        <v>-</v>
      </c>
      <c r="S78" s="266">
        <f>_xlfn.XLOOKUP(E78,'All Products'!D:D,'All Products'!M:M,FALSE)</f>
        <v>40049081013392</v>
      </c>
      <c r="T78" s="264">
        <f>_xlfn.XLOOKUP(E78,'All Products'!D:D,'All Products'!N:N,FALSE)</f>
        <v>0.81299999999999994</v>
      </c>
      <c r="U78" s="264">
        <f>_xlfn.XLOOKUP(E78,'All Products'!D:D,'All Products'!P:P,FALSE)</f>
        <v>0.81299999999999994</v>
      </c>
      <c r="V78" s="265" t="str">
        <f>_xlfn.XLOOKUP(E78,'All Products'!D:D,'All Products'!Q:Q,FALSE)</f>
        <v>-</v>
      </c>
    </row>
    <row r="79" spans="1:22" ht="14.4" customHeight="1">
      <c r="A79" s="101" t="str">
        <f>IF(K79&gt;0,COUNT($A$8:A78)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79" s="610"/>
      <c r="C79" s="611"/>
      <c r="D79" s="274" t="str">
        <f>_xlfn.XLOOKUP(E79,'All Products'!D:D,'All Products'!C:C,FALSE)</f>
        <v>D150EXT12</v>
      </c>
      <c r="E79" s="103">
        <v>100023752</v>
      </c>
      <c r="F79" s="144" t="str">
        <f>_xlfn.XLOOKUP(E79,'All Products'!D:D,'All Products'!E:E,FALSE)</f>
        <v>12 EXTENSION KIT, 1-1/2 DIAM SJ</v>
      </c>
      <c r="G79" s="103">
        <f>_xlfn.XLOOKUP(E79,'All Products'!D:D,'All Products'!F:F,FALSE)</f>
        <v>1</v>
      </c>
      <c r="H79" s="103" t="str">
        <f>_xlfn.XLOOKUP(E79,'All Products'!D:D,'All Products'!G:G,FALSE)</f>
        <v>-</v>
      </c>
      <c r="I79" s="140">
        <f>_xlfn.XLOOKUP(E79,'All Products'!D:D,'All Products'!H:H,FALSE)</f>
        <v>108.89</v>
      </c>
      <c r="J79" s="173">
        <f>ROUNDUP(I79*Order_Quote!$L$27,2)</f>
        <v>108.89</v>
      </c>
      <c r="K79" s="75"/>
      <c r="L79" s="113"/>
      <c r="M79" s="171">
        <f t="shared" si="1"/>
        <v>0</v>
      </c>
      <c r="N79" s="363"/>
      <c r="O79" s="215" t="str">
        <f>_xlfn.XLOOKUP(E79,'All Products'!D:D,'All Products'!I:I,FALSE)</f>
        <v>Within 3 Weeks</v>
      </c>
      <c r="P79" s="215" t="str">
        <f>_xlfn.XLOOKUP(E79,'All Products'!D:D,'All Products'!J:J,FALSE)</f>
        <v>Manufactured</v>
      </c>
      <c r="Q79" s="266">
        <f>_xlfn.XLOOKUP(E79,'All Products'!D:D,'All Products'!K:K,FALSE)</f>
        <v>49081013509</v>
      </c>
      <c r="R79" s="266" t="str">
        <f>_xlfn.XLOOKUP(E79,'All Products'!D:D,'All Products'!L:L,FALSE)</f>
        <v>-</v>
      </c>
      <c r="S79" s="266">
        <f>_xlfn.XLOOKUP(E79,'All Products'!D:D,'All Products'!M:M,FALSE)</f>
        <v>40049081013507</v>
      </c>
      <c r="T79" s="264">
        <f>_xlfn.XLOOKUP(E79,'All Products'!D:D,'All Products'!N:N,FALSE)</f>
        <v>1.266</v>
      </c>
      <c r="U79" s="264">
        <f>_xlfn.XLOOKUP(E79,'All Products'!D:D,'All Products'!P:P,FALSE)</f>
        <v>1.266</v>
      </c>
      <c r="V79" s="265" t="str">
        <f>_xlfn.XLOOKUP(E79,'All Products'!D:D,'All Products'!Q:Q,FALSE)</f>
        <v>-</v>
      </c>
    </row>
    <row r="80" spans="1:22" ht="14.4" customHeight="1">
      <c r="A80" s="101" t="str">
        <f>IF(K80&gt;0,COUNT($A$8:A79)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80" s="610"/>
      <c r="C80" s="611"/>
      <c r="D80" s="274" t="str">
        <f>_xlfn.XLOOKUP(E80,'All Products'!D:D,'All Products'!C:C,FALSE)</f>
        <v>D150EXT18</v>
      </c>
      <c r="E80" s="103">
        <v>100023753</v>
      </c>
      <c r="F80" s="144" t="str">
        <f>_xlfn.XLOOKUP(E80,'All Products'!D:D,'All Products'!E:E,FALSE)</f>
        <v>18 EXTENSION KIT, 1-1/2 DIAM SJ</v>
      </c>
      <c r="G80" s="103">
        <f>_xlfn.XLOOKUP(E80,'All Products'!D:D,'All Products'!F:F,FALSE)</f>
        <v>1</v>
      </c>
      <c r="H80" s="103" t="str">
        <f>_xlfn.XLOOKUP(E80,'All Products'!D:D,'All Products'!G:G,FALSE)</f>
        <v>-</v>
      </c>
      <c r="I80" s="140">
        <f>_xlfn.XLOOKUP(E80,'All Products'!D:D,'All Products'!H:H,FALSE)</f>
        <v>117.8</v>
      </c>
      <c r="J80" s="173">
        <f>ROUNDUP(I80*Order_Quote!$L$27,2)</f>
        <v>117.8</v>
      </c>
      <c r="K80" s="75"/>
      <c r="L80" s="113"/>
      <c r="M80" s="171">
        <f t="shared" si="1"/>
        <v>0</v>
      </c>
      <c r="N80" s="363"/>
      <c r="O80" s="215" t="str">
        <f>_xlfn.XLOOKUP(E80,'All Products'!D:D,'All Products'!I:I,FALSE)</f>
        <v>Within 3 Weeks</v>
      </c>
      <c r="P80" s="215" t="str">
        <f>_xlfn.XLOOKUP(E80,'All Products'!D:D,'All Products'!J:J,FALSE)</f>
        <v>Manufactured</v>
      </c>
      <c r="Q80" s="266">
        <f>_xlfn.XLOOKUP(E80,'All Products'!D:D,'All Products'!K:K,FALSE)</f>
        <v>49081013516</v>
      </c>
      <c r="R80" s="266" t="str">
        <f>_xlfn.XLOOKUP(E80,'All Products'!D:D,'All Products'!L:L,FALSE)</f>
        <v>-</v>
      </c>
      <c r="S80" s="266">
        <f>_xlfn.XLOOKUP(E80,'All Products'!D:D,'All Products'!M:M,FALSE)</f>
        <v>40049081013514</v>
      </c>
      <c r="T80" s="264">
        <f>_xlfn.XLOOKUP(E80,'All Products'!D:D,'All Products'!N:N,FALSE)</f>
        <v>1.585</v>
      </c>
      <c r="U80" s="264">
        <f>_xlfn.XLOOKUP(E80,'All Products'!D:D,'All Products'!P:P,FALSE)</f>
        <v>1.585</v>
      </c>
      <c r="V80" s="265" t="str">
        <f>_xlfn.XLOOKUP(E80,'All Products'!D:D,'All Products'!Q:Q,FALSE)</f>
        <v>-</v>
      </c>
    </row>
    <row r="81" spans="1:22" ht="14.4" customHeight="1">
      <c r="A81" s="101" t="str">
        <f>IF(K81&gt;0,COUNT($A$8:A80)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81" s="610"/>
      <c r="C81" s="611"/>
      <c r="D81" s="274" t="str">
        <f>_xlfn.XLOOKUP(E81,'All Products'!D:D,'All Products'!C:C,FALSE)</f>
        <v>D150EXT6</v>
      </c>
      <c r="E81" s="103">
        <v>100023754</v>
      </c>
      <c r="F81" s="144" t="str">
        <f>_xlfn.XLOOKUP(E81,'All Products'!D:D,'All Products'!E:E,FALSE)</f>
        <v>6 EXTENSION KIT, 1-1/2 DIAM SJ</v>
      </c>
      <c r="G81" s="103">
        <f>_xlfn.XLOOKUP(E81,'All Products'!D:D,'All Products'!F:F,FALSE)</f>
        <v>1</v>
      </c>
      <c r="H81" s="103" t="str">
        <f>_xlfn.XLOOKUP(E81,'All Products'!D:D,'All Products'!G:G,FALSE)</f>
        <v>-</v>
      </c>
      <c r="I81" s="140">
        <f>_xlfn.XLOOKUP(E81,'All Products'!D:D,'All Products'!H:H,FALSE)</f>
        <v>97.24</v>
      </c>
      <c r="J81" s="173">
        <f>ROUNDUP(I81*Order_Quote!$L$27,2)</f>
        <v>97.24</v>
      </c>
      <c r="K81" s="75"/>
      <c r="L81" s="113"/>
      <c r="M81" s="171">
        <f t="shared" si="1"/>
        <v>0</v>
      </c>
      <c r="N81" s="363"/>
      <c r="O81" s="215" t="str">
        <f>_xlfn.XLOOKUP(E81,'All Products'!D:D,'All Products'!I:I,FALSE)</f>
        <v>Within 3 Weeks</v>
      </c>
      <c r="P81" s="215" t="str">
        <f>_xlfn.XLOOKUP(E81,'All Products'!D:D,'All Products'!J:J,FALSE)</f>
        <v>Manufactured</v>
      </c>
      <c r="Q81" s="266">
        <f>_xlfn.XLOOKUP(E81,'All Products'!D:D,'All Products'!K:K,FALSE)</f>
        <v>49081013479</v>
      </c>
      <c r="R81" s="266" t="str">
        <f>_xlfn.XLOOKUP(E81,'All Products'!D:D,'All Products'!L:L,FALSE)</f>
        <v>-</v>
      </c>
      <c r="S81" s="266">
        <f>_xlfn.XLOOKUP(E81,'All Products'!D:D,'All Products'!M:M,FALSE)</f>
        <v>40049081013477</v>
      </c>
      <c r="T81" s="264">
        <f>_xlfn.XLOOKUP(E81,'All Products'!D:D,'All Products'!N:N,FALSE)</f>
        <v>0.96</v>
      </c>
      <c r="U81" s="264">
        <f>_xlfn.XLOOKUP(E81,'All Products'!D:D,'All Products'!P:P,FALSE)</f>
        <v>0.96</v>
      </c>
      <c r="V81" s="265" t="str">
        <f>_xlfn.XLOOKUP(E81,'All Products'!D:D,'All Products'!Q:Q,FALSE)</f>
        <v>-</v>
      </c>
    </row>
    <row r="82" spans="1:22" ht="14.4" customHeight="1">
      <c r="A82" s="101" t="str">
        <f>IF(K82&gt;0,COUNT($A$8:A81)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82" s="610"/>
      <c r="C82" s="611"/>
      <c r="D82" s="274" t="str">
        <f>_xlfn.XLOOKUP(E82,'All Products'!D:D,'All Products'!C:C,FALSE)</f>
        <v>D150EXT8</v>
      </c>
      <c r="E82" s="103">
        <v>100023755</v>
      </c>
      <c r="F82" s="144" t="str">
        <f>_xlfn.XLOOKUP(E82,'All Products'!D:D,'All Products'!E:E,FALSE)</f>
        <v>8 EXTENSION KIT, 1-1/2 DIAM SJ</v>
      </c>
      <c r="G82" s="103">
        <f>_xlfn.XLOOKUP(E82,'All Products'!D:D,'All Products'!F:F,FALSE)</f>
        <v>1</v>
      </c>
      <c r="H82" s="103" t="str">
        <f>_xlfn.XLOOKUP(E82,'All Products'!D:D,'All Products'!G:G,FALSE)</f>
        <v>-</v>
      </c>
      <c r="I82" s="140">
        <f>_xlfn.XLOOKUP(E82,'All Products'!D:D,'All Products'!H:H,FALSE)</f>
        <v>97.24</v>
      </c>
      <c r="J82" s="173">
        <f>ROUNDUP(I82*Order_Quote!$L$27,2)</f>
        <v>97.24</v>
      </c>
      <c r="K82" s="75"/>
      <c r="L82" s="113"/>
      <c r="M82" s="171">
        <f t="shared" si="1"/>
        <v>0</v>
      </c>
      <c r="N82" s="363"/>
      <c r="O82" s="215" t="str">
        <f>_xlfn.XLOOKUP(E82,'All Products'!D:D,'All Products'!I:I,FALSE)</f>
        <v>Within 3 Weeks</v>
      </c>
      <c r="P82" s="215" t="str">
        <f>_xlfn.XLOOKUP(E82,'All Products'!D:D,'All Products'!J:J,FALSE)</f>
        <v>Manufactured</v>
      </c>
      <c r="Q82" s="266">
        <f>_xlfn.XLOOKUP(E82,'All Products'!D:D,'All Products'!K:K,FALSE)</f>
        <v>49081013486</v>
      </c>
      <c r="R82" s="266" t="str">
        <f>_xlfn.XLOOKUP(E82,'All Products'!D:D,'All Products'!L:L,FALSE)</f>
        <v>-</v>
      </c>
      <c r="S82" s="266">
        <f>_xlfn.XLOOKUP(E82,'All Products'!D:D,'All Products'!M:M,FALSE)</f>
        <v>40049081013484</v>
      </c>
      <c r="T82" s="264">
        <f>_xlfn.XLOOKUP(E82,'All Products'!D:D,'All Products'!N:N,FALSE)</f>
        <v>1.0509999999999999</v>
      </c>
      <c r="U82" s="264">
        <f>_xlfn.XLOOKUP(E82,'All Products'!D:D,'All Products'!P:P,FALSE)</f>
        <v>1.0509999999999999</v>
      </c>
      <c r="V82" s="265" t="str">
        <f>_xlfn.XLOOKUP(E82,'All Products'!D:D,'All Products'!Q:Q,FALSE)</f>
        <v>-</v>
      </c>
    </row>
    <row r="83" spans="1:22" ht="14.4" customHeight="1">
      <c r="A83" s="101" t="str">
        <f>IF(K83&gt;0,COUNT($A$8:A82)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83" s="610"/>
      <c r="C83" s="611"/>
      <c r="D83" s="274" t="str">
        <f>_xlfn.XLOOKUP(E83,'All Products'!D:D,'All Products'!C:C,FALSE)</f>
        <v>DL-010</v>
      </c>
      <c r="E83" s="103">
        <v>100028365</v>
      </c>
      <c r="F83" s="144" t="str">
        <f>_xlfn.XLOOKUP(E83,'All Products'!D:D,'All Products'!E:E,FALSE)</f>
        <v>1 QUICK COUPLER LOCK SJ</v>
      </c>
      <c r="G83" s="103">
        <f>_xlfn.XLOOKUP(E83,'All Products'!D:D,'All Products'!F:F,FALSE)</f>
        <v>1</v>
      </c>
      <c r="H83" s="103" t="str">
        <f>_xlfn.XLOOKUP(E83,'All Products'!D:D,'All Products'!G:G,FALSE)</f>
        <v>-</v>
      </c>
      <c r="I83" s="140">
        <f>_xlfn.XLOOKUP(E83,'All Products'!D:D,'All Products'!H:H,FALSE)</f>
        <v>21.44</v>
      </c>
      <c r="J83" s="173">
        <f>ROUNDUP(I83*Order_Quote!$L$27,2)</f>
        <v>21.44</v>
      </c>
      <c r="K83" s="75"/>
      <c r="L83" s="113"/>
      <c r="M83" s="171">
        <f t="shared" si="1"/>
        <v>0</v>
      </c>
      <c r="N83" s="363"/>
      <c r="O83" s="215" t="str">
        <f>_xlfn.XLOOKUP(E83,'All Products'!D:D,'All Products'!I:I,FALSE)</f>
        <v>In Stock</v>
      </c>
      <c r="P83" s="215" t="str">
        <f>_xlfn.XLOOKUP(E83,'All Products'!D:D,'All Products'!J:J,FALSE)</f>
        <v>Manufactured</v>
      </c>
      <c r="Q83" s="266">
        <f>_xlfn.XLOOKUP(E83,'All Products'!D:D,'All Products'!K:K,FALSE)</f>
        <v>49081161323</v>
      </c>
      <c r="R83" s="266" t="str">
        <f>_xlfn.XLOOKUP(E83,'All Products'!D:D,'All Products'!L:L,FALSE)</f>
        <v>-</v>
      </c>
      <c r="S83" s="266">
        <f>_xlfn.XLOOKUP(E83,'All Products'!D:D,'All Products'!M:M,FALSE)</f>
        <v>40049081161321</v>
      </c>
      <c r="T83" s="264">
        <f>_xlfn.XLOOKUP(E83,'All Products'!D:D,'All Products'!N:N,FALSE)</f>
        <v>0.22</v>
      </c>
      <c r="U83" s="264">
        <f>_xlfn.XLOOKUP(E83,'All Products'!D:D,'All Products'!P:P,FALSE)</f>
        <v>0.22</v>
      </c>
      <c r="V83" s="265" t="str">
        <f>_xlfn.XLOOKUP(E83,'All Products'!D:D,'All Products'!Q:Q,FALSE)</f>
        <v>-</v>
      </c>
    </row>
    <row r="84" spans="1:22" ht="14.4" customHeight="1" thickBot="1">
      <c r="A84" s="101" t="str">
        <f>IF(K84&gt;0,COUNT($A$8:A83)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84" s="715"/>
      <c r="C84" s="697"/>
      <c r="D84" s="274" t="str">
        <f>_xlfn.XLOOKUP(E84,'All Products'!D:D,'All Products'!C:C,FALSE)</f>
        <v>DL-015</v>
      </c>
      <c r="E84" s="103">
        <v>100028366</v>
      </c>
      <c r="F84" s="144" t="str">
        <f>_xlfn.XLOOKUP(E84,'All Products'!D:D,'All Products'!E:E,FALSE)</f>
        <v>1-1/2 QUICK COUPLER LOCK SJ</v>
      </c>
      <c r="G84" s="103">
        <f>_xlfn.XLOOKUP(E84,'All Products'!D:D,'All Products'!F:F,FALSE)</f>
        <v>1</v>
      </c>
      <c r="H84" s="103" t="str">
        <f>_xlfn.XLOOKUP(E84,'All Products'!D:D,'All Products'!G:G,FALSE)</f>
        <v>-</v>
      </c>
      <c r="I84" s="140">
        <f>_xlfn.XLOOKUP(E84,'All Products'!D:D,'All Products'!H:H,FALSE)</f>
        <v>26.75</v>
      </c>
      <c r="J84" s="173">
        <f>ROUNDUP(I84*Order_Quote!$L$27,2)</f>
        <v>26.75</v>
      </c>
      <c r="K84" s="75"/>
      <c r="L84" s="113"/>
      <c r="M84" s="171">
        <f t="shared" si="1"/>
        <v>0</v>
      </c>
      <c r="N84" s="363"/>
      <c r="O84" s="567" t="str">
        <f>_xlfn.XLOOKUP(E84,'All Products'!D:D,'All Products'!I:I,FALSE)</f>
        <v>Within 3 Weeks</v>
      </c>
      <c r="P84" s="567" t="str">
        <f>_xlfn.XLOOKUP(E84,'All Products'!D:D,'All Products'!J:J,FALSE)</f>
        <v>Manufactured</v>
      </c>
      <c r="Q84" s="569">
        <f>_xlfn.XLOOKUP(E84,'All Products'!D:D,'All Products'!K:K,FALSE)</f>
        <v>49081161330</v>
      </c>
      <c r="R84" s="569" t="str">
        <f>_xlfn.XLOOKUP(E84,'All Products'!D:D,'All Products'!L:L,FALSE)</f>
        <v>-</v>
      </c>
      <c r="S84" s="569">
        <f>_xlfn.XLOOKUP(E84,'All Products'!D:D,'All Products'!M:M,FALSE)</f>
        <v>40049081161338</v>
      </c>
      <c r="T84" s="583">
        <f>_xlfn.XLOOKUP(E84,'All Products'!D:D,'All Products'!N:N,FALSE)</f>
        <v>0.20499999999999999</v>
      </c>
      <c r="U84" s="583">
        <f>_xlfn.XLOOKUP(E84,'All Products'!D:D,'All Products'!P:P,FALSE)</f>
        <v>0.20499999999999999</v>
      </c>
      <c r="V84" s="570" t="str">
        <f>_xlfn.XLOOKUP(E84,'All Products'!D:D,'All Products'!Q:Q,FALSE)</f>
        <v>-</v>
      </c>
    </row>
    <row r="85" spans="1:22" ht="16.2" thickBot="1">
      <c r="A85" s="101" t="str">
        <f>IF(K85&gt;0,COUNT($A$8:A84)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85" s="446" t="s">
        <v>3528</v>
      </c>
      <c r="C85" s="151"/>
      <c r="D85" s="151"/>
      <c r="E85" s="459"/>
      <c r="F85" s="151"/>
      <c r="G85" s="468"/>
      <c r="H85" s="151"/>
      <c r="I85" s="472"/>
      <c r="J85" s="468"/>
      <c r="K85" s="566"/>
      <c r="M85" s="545"/>
      <c r="O85" s="357"/>
      <c r="P85" s="145"/>
      <c r="Q85" s="493"/>
      <c r="R85" s="493"/>
      <c r="S85" s="493"/>
      <c r="T85" s="479"/>
      <c r="U85" s="459"/>
      <c r="V85" s="582"/>
    </row>
    <row r="86" spans="1:22" ht="14.4" customHeight="1">
      <c r="A86" s="101" t="str">
        <f>IF(K86&gt;0,COUNT($A$8:A85)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86" s="682"/>
      <c r="C86" s="683"/>
      <c r="D86" s="274" t="str">
        <f>_xlfn.XLOOKUP(E86,'All Products'!D:D,'All Products'!C:C,FALSE)</f>
        <v>1-UB-10</v>
      </c>
      <c r="E86" s="103">
        <v>100028226</v>
      </c>
      <c r="F86" s="144" t="str">
        <f>_xlfn.XLOOKUP(E86,'All Products'!D:D,'All Products'!E:E,FALSE)</f>
        <v>1 X 10 UNIBODY SJ</v>
      </c>
      <c r="G86" s="103">
        <f>_xlfn.XLOOKUP(E86,'All Products'!D:D,'All Products'!F:F,FALSE)</f>
        <v>1</v>
      </c>
      <c r="H86" s="103" t="str">
        <f>_xlfn.XLOOKUP(E86,'All Products'!D:D,'All Products'!G:G,FALSE)</f>
        <v>-</v>
      </c>
      <c r="I86" s="140">
        <f>_xlfn.XLOOKUP(E86,'All Products'!D:D,'All Products'!H:H,FALSE)</f>
        <v>53.05</v>
      </c>
      <c r="J86" s="173">
        <f>ROUNDUP(I86*Order_Quote!$L$27,2)</f>
        <v>53.05</v>
      </c>
      <c r="K86" s="75"/>
      <c r="L86" s="113"/>
      <c r="M86" s="171">
        <f t="shared" ref="M86:M106" si="2">K86/G86</f>
        <v>0</v>
      </c>
      <c r="N86" s="363"/>
      <c r="O86" s="215" t="str">
        <f>_xlfn.XLOOKUP(E86,'All Products'!D:D,'All Products'!I:I,FALSE)</f>
        <v>Within 3 Weeks</v>
      </c>
      <c r="P86" s="215" t="str">
        <f>_xlfn.XLOOKUP(E86,'All Products'!D:D,'All Products'!J:J,FALSE)</f>
        <v>Manufactured</v>
      </c>
      <c r="Q86" s="266">
        <f>_xlfn.XLOOKUP(E86,'All Products'!D:D,'All Products'!K:K,FALSE)</f>
        <v>49081012762</v>
      </c>
      <c r="R86" s="266" t="str">
        <f>_xlfn.XLOOKUP(E86,'All Products'!D:D,'All Products'!L:L,FALSE)</f>
        <v>-</v>
      </c>
      <c r="S86" s="266">
        <f>_xlfn.XLOOKUP(E86,'All Products'!D:D,'All Products'!M:M,FALSE)</f>
        <v>40049081012760</v>
      </c>
      <c r="T86" s="264">
        <f>_xlfn.XLOOKUP(E86,'All Products'!D:D,'All Products'!N:N,FALSE)</f>
        <v>0.38500000000000001</v>
      </c>
      <c r="U86" s="264">
        <f>_xlfn.XLOOKUP(E86,'All Products'!D:D,'All Products'!P:P,FALSE)</f>
        <v>0.38500000000000001</v>
      </c>
      <c r="V86" s="265" t="str">
        <f>_xlfn.XLOOKUP(E86,'All Products'!D:D,'All Products'!Q:Q,FALSE)</f>
        <v>-</v>
      </c>
    </row>
    <row r="87" spans="1:22" ht="14.4" customHeight="1">
      <c r="A87" s="101" t="str">
        <f>IF(K87&gt;0,COUNT($A$8:A86)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87" s="610"/>
      <c r="C87" s="611"/>
      <c r="D87" s="274" t="str">
        <f>_xlfn.XLOOKUP(E87,'All Products'!D:D,'All Products'!C:C,FALSE)</f>
        <v>1-UB-12</v>
      </c>
      <c r="E87" s="153">
        <v>100028227</v>
      </c>
      <c r="F87" s="144" t="str">
        <f>_xlfn.XLOOKUP(E87,'All Products'!D:D,'All Products'!E:E,FALSE)</f>
        <v>1 X 12 UNIBODY SJ</v>
      </c>
      <c r="G87" s="103">
        <f>_xlfn.XLOOKUP(E87,'All Products'!D:D,'All Products'!F:F,FALSE)</f>
        <v>1</v>
      </c>
      <c r="H87" s="103" t="str">
        <f>_xlfn.XLOOKUP(E87,'All Products'!D:D,'All Products'!G:G,FALSE)</f>
        <v>-</v>
      </c>
      <c r="I87" s="140">
        <f>_xlfn.XLOOKUP(E87,'All Products'!D:D,'All Products'!H:H,FALSE)</f>
        <v>53.05</v>
      </c>
      <c r="J87" s="255">
        <f>ROUNDUP(I87*Order_Quote!$L$27,2)</f>
        <v>53.05</v>
      </c>
      <c r="K87" s="161"/>
      <c r="L87" s="113"/>
      <c r="M87" s="243">
        <f t="shared" si="2"/>
        <v>0</v>
      </c>
      <c r="N87" s="363"/>
      <c r="O87" s="215" t="str">
        <f>_xlfn.XLOOKUP(E87,'All Products'!D:D,'All Products'!I:I,FALSE)</f>
        <v>Within 3 Weeks</v>
      </c>
      <c r="P87" s="215" t="str">
        <f>_xlfn.XLOOKUP(E87,'All Products'!D:D,'All Products'!J:J,FALSE)</f>
        <v>Manufactured</v>
      </c>
      <c r="Q87" s="266">
        <f>_xlfn.XLOOKUP(E87,'All Products'!D:D,'All Products'!K:K,FALSE)</f>
        <v>49081012793</v>
      </c>
      <c r="R87" s="266" t="str">
        <f>_xlfn.XLOOKUP(E87,'All Products'!D:D,'All Products'!L:L,FALSE)</f>
        <v>-</v>
      </c>
      <c r="S87" s="266">
        <f>_xlfn.XLOOKUP(E87,'All Products'!D:D,'All Products'!M:M,FALSE)</f>
        <v>40049081012791</v>
      </c>
      <c r="T87" s="264">
        <f>_xlfn.XLOOKUP(E87,'All Products'!D:D,'All Products'!N:N,FALSE)</f>
        <v>0.46500000000000002</v>
      </c>
      <c r="U87" s="264">
        <f>_xlfn.XLOOKUP(E87,'All Products'!D:D,'All Products'!P:P,FALSE)</f>
        <v>0.46500000000000002</v>
      </c>
      <c r="V87" s="265" t="str">
        <f>_xlfn.XLOOKUP(E87,'All Products'!D:D,'All Products'!Q:Q,FALSE)</f>
        <v>-</v>
      </c>
    </row>
    <row r="88" spans="1:22" ht="14.4" customHeight="1">
      <c r="A88" s="101" t="str">
        <f>IF(K88&gt;0,COUNT($A$8:A87)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88" s="610"/>
      <c r="C88" s="611"/>
      <c r="D88" s="274" t="str">
        <f>_xlfn.XLOOKUP(E88,'All Products'!D:D,'All Products'!C:C,FALSE)</f>
        <v>1-UB-14</v>
      </c>
      <c r="E88" s="153">
        <v>100028228</v>
      </c>
      <c r="F88" s="144" t="str">
        <f>_xlfn.XLOOKUP(E88,'All Products'!D:D,'All Products'!E:E,FALSE)</f>
        <v>1 X 14 UNIBODY SJ</v>
      </c>
      <c r="G88" s="103">
        <f>_xlfn.XLOOKUP(E88,'All Products'!D:D,'All Products'!F:F,FALSE)</f>
        <v>1</v>
      </c>
      <c r="H88" s="103" t="str">
        <f>_xlfn.XLOOKUP(E88,'All Products'!D:D,'All Products'!G:G,FALSE)</f>
        <v>-</v>
      </c>
      <c r="I88" s="140">
        <f>_xlfn.XLOOKUP(E88,'All Products'!D:D,'All Products'!H:H,FALSE)</f>
        <v>60.93</v>
      </c>
      <c r="J88" s="255">
        <f>ROUNDUP(I88*Order_Quote!$L$27,2)</f>
        <v>60.93</v>
      </c>
      <c r="K88" s="161"/>
      <c r="L88" s="113"/>
      <c r="M88" s="243">
        <f t="shared" si="2"/>
        <v>0</v>
      </c>
      <c r="N88" s="363"/>
      <c r="O88" s="215" t="str">
        <f>_xlfn.XLOOKUP(E88,'All Products'!D:D,'All Products'!I:I,FALSE)</f>
        <v>Within 3 Weeks</v>
      </c>
      <c r="P88" s="215" t="str">
        <f>_xlfn.XLOOKUP(E88,'All Products'!D:D,'All Products'!J:J,FALSE)</f>
        <v>Manufactured</v>
      </c>
      <c r="Q88" s="266">
        <f>_xlfn.XLOOKUP(E88,'All Products'!D:D,'All Products'!K:K,FALSE)</f>
        <v>49081012823</v>
      </c>
      <c r="R88" s="266" t="str">
        <f>_xlfn.XLOOKUP(E88,'All Products'!D:D,'All Products'!L:L,FALSE)</f>
        <v>-</v>
      </c>
      <c r="S88" s="266">
        <f>_xlfn.XLOOKUP(E88,'All Products'!D:D,'All Products'!M:M,FALSE)</f>
        <v>40049081012821</v>
      </c>
      <c r="T88" s="264">
        <f>_xlfn.XLOOKUP(E88,'All Products'!D:D,'All Products'!N:N,FALSE)</f>
        <v>0.505</v>
      </c>
      <c r="U88" s="264">
        <f>_xlfn.XLOOKUP(E88,'All Products'!D:D,'All Products'!P:P,FALSE)</f>
        <v>0.505</v>
      </c>
      <c r="V88" s="265" t="str">
        <f>_xlfn.XLOOKUP(E88,'All Products'!D:D,'All Products'!Q:Q,FALSE)</f>
        <v>-</v>
      </c>
    </row>
    <row r="89" spans="1:22" ht="14.4" customHeight="1">
      <c r="A89" s="101" t="str">
        <f>IF(K89&gt;0,COUNT($A$8:A88)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89" s="610"/>
      <c r="C89" s="611"/>
      <c r="D89" s="274" t="str">
        <f>_xlfn.XLOOKUP(E89,'All Products'!D:D,'All Products'!C:C,FALSE)</f>
        <v>1-UB-16</v>
      </c>
      <c r="E89" s="153">
        <v>100028229</v>
      </c>
      <c r="F89" s="144" t="str">
        <f>_xlfn.XLOOKUP(E89,'All Products'!D:D,'All Products'!E:E,FALSE)</f>
        <v>1 X 16 UNIBODY SJ</v>
      </c>
      <c r="G89" s="103">
        <f>_xlfn.XLOOKUP(E89,'All Products'!D:D,'All Products'!F:F,FALSE)</f>
        <v>1</v>
      </c>
      <c r="H89" s="103" t="str">
        <f>_xlfn.XLOOKUP(E89,'All Products'!D:D,'All Products'!G:G,FALSE)</f>
        <v>-</v>
      </c>
      <c r="I89" s="140">
        <f>_xlfn.XLOOKUP(E89,'All Products'!D:D,'All Products'!H:H,FALSE)</f>
        <v>60.93</v>
      </c>
      <c r="J89" s="255">
        <f>ROUNDUP(I89*Order_Quote!$L$27,2)</f>
        <v>60.93</v>
      </c>
      <c r="K89" s="161"/>
      <c r="L89" s="113"/>
      <c r="M89" s="243">
        <f t="shared" si="2"/>
        <v>0</v>
      </c>
      <c r="N89" s="363"/>
      <c r="O89" s="215" t="str">
        <f>_xlfn.XLOOKUP(E89,'All Products'!D:D,'All Products'!I:I,FALSE)</f>
        <v>Within 3 Weeks</v>
      </c>
      <c r="P89" s="215" t="str">
        <f>_xlfn.XLOOKUP(E89,'All Products'!D:D,'All Products'!J:J,FALSE)</f>
        <v>Manufactured</v>
      </c>
      <c r="Q89" s="266">
        <f>_xlfn.XLOOKUP(E89,'All Products'!D:D,'All Products'!K:K,FALSE)</f>
        <v>49081012854</v>
      </c>
      <c r="R89" s="266" t="str">
        <f>_xlfn.XLOOKUP(E89,'All Products'!D:D,'All Products'!L:L,FALSE)</f>
        <v>-</v>
      </c>
      <c r="S89" s="266">
        <f>_xlfn.XLOOKUP(E89,'All Products'!D:D,'All Products'!M:M,FALSE)</f>
        <v>40049081012852</v>
      </c>
      <c r="T89" s="264">
        <f>_xlfn.XLOOKUP(E89,'All Products'!D:D,'All Products'!N:N,FALSE)</f>
        <v>0.56999999999999995</v>
      </c>
      <c r="U89" s="264">
        <f>_xlfn.XLOOKUP(E89,'All Products'!D:D,'All Products'!P:P,FALSE)</f>
        <v>0.56999999999999995</v>
      </c>
      <c r="V89" s="265" t="str">
        <f>_xlfn.XLOOKUP(E89,'All Products'!D:D,'All Products'!Q:Q,FALSE)</f>
        <v>-</v>
      </c>
    </row>
    <row r="90" spans="1:22" ht="14.4" customHeight="1">
      <c r="A90" s="101" t="str">
        <f>IF(K90&gt;0,COUNT($A$8:A89)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90" s="610"/>
      <c r="C90" s="611"/>
      <c r="D90" s="274" t="str">
        <f>_xlfn.XLOOKUP(E90,'All Products'!D:D,'All Products'!C:C,FALSE)</f>
        <v>1-UB-18</v>
      </c>
      <c r="E90" s="153">
        <v>100028230</v>
      </c>
      <c r="F90" s="144" t="str">
        <f>_xlfn.XLOOKUP(E90,'All Products'!D:D,'All Products'!E:E,FALSE)</f>
        <v>1 X 18 UNIBODY SJ</v>
      </c>
      <c r="G90" s="103">
        <f>_xlfn.XLOOKUP(E90,'All Products'!D:D,'All Products'!F:F,FALSE)</f>
        <v>1</v>
      </c>
      <c r="H90" s="103" t="str">
        <f>_xlfn.XLOOKUP(E90,'All Products'!D:D,'All Products'!G:G,FALSE)</f>
        <v>-</v>
      </c>
      <c r="I90" s="140">
        <f>_xlfn.XLOOKUP(E90,'All Products'!D:D,'All Products'!H:H,FALSE)</f>
        <v>60.93</v>
      </c>
      <c r="J90" s="255">
        <f>ROUNDUP(I90*Order_Quote!$L$27,2)</f>
        <v>60.93</v>
      </c>
      <c r="K90" s="161"/>
      <c r="L90" s="113"/>
      <c r="M90" s="243">
        <f t="shared" si="2"/>
        <v>0</v>
      </c>
      <c r="N90" s="363"/>
      <c r="O90" s="215" t="str">
        <f>_xlfn.XLOOKUP(E90,'All Products'!D:D,'All Products'!I:I,FALSE)</f>
        <v>In Stock</v>
      </c>
      <c r="P90" s="215" t="str">
        <f>_xlfn.XLOOKUP(E90,'All Products'!D:D,'All Products'!J:J,FALSE)</f>
        <v>Manufactured</v>
      </c>
      <c r="Q90" s="266">
        <f>_xlfn.XLOOKUP(E90,'All Products'!D:D,'All Products'!K:K,FALSE)</f>
        <v>49081012885</v>
      </c>
      <c r="R90" s="266" t="str">
        <f>_xlfn.XLOOKUP(E90,'All Products'!D:D,'All Products'!L:L,FALSE)</f>
        <v>-</v>
      </c>
      <c r="S90" s="266">
        <f>_xlfn.XLOOKUP(E90,'All Products'!D:D,'All Products'!M:M,FALSE)</f>
        <v>40049081012883</v>
      </c>
      <c r="T90" s="264">
        <f>_xlfn.XLOOKUP(E90,'All Products'!D:D,'All Products'!N:N,FALSE)</f>
        <v>0.64400000000000002</v>
      </c>
      <c r="U90" s="264">
        <f>_xlfn.XLOOKUP(E90,'All Products'!D:D,'All Products'!P:P,FALSE)</f>
        <v>0.64400000000000002</v>
      </c>
      <c r="V90" s="265" t="str">
        <f>_xlfn.XLOOKUP(E90,'All Products'!D:D,'All Products'!Q:Q,FALSE)</f>
        <v>-</v>
      </c>
    </row>
    <row r="91" spans="1:22" ht="14.4" customHeight="1">
      <c r="A91" s="101" t="str">
        <f>IF(K91&gt;0,COUNT($A$8:A90)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91" s="610"/>
      <c r="C91" s="611"/>
      <c r="D91" s="274" t="str">
        <f>_xlfn.XLOOKUP(E91,'All Products'!D:D,'All Products'!C:C,FALSE)</f>
        <v>1-UB-6</v>
      </c>
      <c r="E91" s="153">
        <v>100028231</v>
      </c>
      <c r="F91" s="144" t="str">
        <f>_xlfn.XLOOKUP(E91,'All Products'!D:D,'All Products'!E:E,FALSE)</f>
        <v>1 X 6 UNIBODY SJ</v>
      </c>
      <c r="G91" s="103">
        <f>_xlfn.XLOOKUP(E91,'All Products'!D:D,'All Products'!F:F,FALSE)</f>
        <v>1</v>
      </c>
      <c r="H91" s="103" t="str">
        <f>_xlfn.XLOOKUP(E91,'All Products'!D:D,'All Products'!G:G,FALSE)</f>
        <v>-</v>
      </c>
      <c r="I91" s="140">
        <f>_xlfn.XLOOKUP(E91,'All Products'!D:D,'All Products'!H:H,FALSE)</f>
        <v>45.39</v>
      </c>
      <c r="J91" s="255">
        <f>ROUNDUP(I91*Order_Quote!$L$27,2)</f>
        <v>45.39</v>
      </c>
      <c r="K91" s="161"/>
      <c r="L91" s="113"/>
      <c r="M91" s="243">
        <f t="shared" si="2"/>
        <v>0</v>
      </c>
      <c r="N91" s="363"/>
      <c r="O91" s="215" t="str">
        <f>_xlfn.XLOOKUP(E91,'All Products'!D:D,'All Products'!I:I,FALSE)</f>
        <v>Within 3 Weeks</v>
      </c>
      <c r="P91" s="215" t="str">
        <f>_xlfn.XLOOKUP(E91,'All Products'!D:D,'All Products'!J:J,FALSE)</f>
        <v>Manufactured</v>
      </c>
      <c r="Q91" s="266">
        <f>_xlfn.XLOOKUP(E91,'All Products'!D:D,'All Products'!K:K,FALSE)</f>
        <v>49081012700</v>
      </c>
      <c r="R91" s="266" t="str">
        <f>_xlfn.XLOOKUP(E91,'All Products'!D:D,'All Products'!L:L,FALSE)</f>
        <v>-</v>
      </c>
      <c r="S91" s="266">
        <f>_xlfn.XLOOKUP(E91,'All Products'!D:D,'All Products'!M:M,FALSE)</f>
        <v>40049081012708</v>
      </c>
      <c r="T91" s="264">
        <f>_xlfn.XLOOKUP(E91,'All Products'!D:D,'All Products'!N:N,FALSE)</f>
        <v>0.24399999999999999</v>
      </c>
      <c r="U91" s="264">
        <f>_xlfn.XLOOKUP(E91,'All Products'!D:D,'All Products'!P:P,FALSE)</f>
        <v>0.24399999999999999</v>
      </c>
      <c r="V91" s="265" t="str">
        <f>_xlfn.XLOOKUP(E91,'All Products'!D:D,'All Products'!Q:Q,FALSE)</f>
        <v>-</v>
      </c>
    </row>
    <row r="92" spans="1:22" ht="14.4" customHeight="1">
      <c r="A92" s="101" t="str">
        <f>IF(K92&gt;0,COUNT($A$8:A91)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92" s="610"/>
      <c r="C92" s="611"/>
      <c r="D92" s="274" t="str">
        <f>_xlfn.XLOOKUP(E92,'All Products'!D:D,'All Products'!C:C,FALSE)</f>
        <v>1-UB-8</v>
      </c>
      <c r="E92" s="153">
        <v>100028232</v>
      </c>
      <c r="F92" s="144" t="str">
        <f>_xlfn.XLOOKUP(E92,'All Products'!D:D,'All Products'!E:E,FALSE)</f>
        <v>1 X 8 UNIBODY SJ</v>
      </c>
      <c r="G92" s="103">
        <f>_xlfn.XLOOKUP(E92,'All Products'!D:D,'All Products'!F:F,FALSE)</f>
        <v>1</v>
      </c>
      <c r="H92" s="103" t="str">
        <f>_xlfn.XLOOKUP(E92,'All Products'!D:D,'All Products'!G:G,FALSE)</f>
        <v>-</v>
      </c>
      <c r="I92" s="140">
        <f>_xlfn.XLOOKUP(E92,'All Products'!D:D,'All Products'!H:H,FALSE)</f>
        <v>45.39</v>
      </c>
      <c r="J92" s="255">
        <f>ROUNDUP(I92*Order_Quote!$L$27,2)</f>
        <v>45.39</v>
      </c>
      <c r="K92" s="161"/>
      <c r="L92" s="113"/>
      <c r="M92" s="243">
        <f t="shared" si="2"/>
        <v>0</v>
      </c>
      <c r="N92" s="363"/>
      <c r="O92" s="215" t="str">
        <f>_xlfn.XLOOKUP(E92,'All Products'!D:D,'All Products'!I:I,FALSE)</f>
        <v>In Stock</v>
      </c>
      <c r="P92" s="215" t="str">
        <f>_xlfn.XLOOKUP(E92,'All Products'!D:D,'All Products'!J:J,FALSE)</f>
        <v>Manufactured</v>
      </c>
      <c r="Q92" s="266">
        <f>_xlfn.XLOOKUP(E92,'All Products'!D:D,'All Products'!K:K,FALSE)</f>
        <v>49081012731</v>
      </c>
      <c r="R92" s="266" t="str">
        <f>_xlfn.XLOOKUP(E92,'All Products'!D:D,'All Products'!L:L,FALSE)</f>
        <v>-</v>
      </c>
      <c r="S92" s="266">
        <f>_xlfn.XLOOKUP(E92,'All Products'!D:D,'All Products'!M:M,FALSE)</f>
        <v>40049081012739</v>
      </c>
      <c r="T92" s="264">
        <f>_xlfn.XLOOKUP(E92,'All Products'!D:D,'All Products'!N:N,FALSE)</f>
        <v>0.31</v>
      </c>
      <c r="U92" s="264">
        <f>_xlfn.XLOOKUP(E92,'All Products'!D:D,'All Products'!P:P,FALSE)</f>
        <v>0.31</v>
      </c>
      <c r="V92" s="265" t="str">
        <f>_xlfn.XLOOKUP(E92,'All Products'!D:D,'All Products'!Q:Q,FALSE)</f>
        <v>-</v>
      </c>
    </row>
    <row r="93" spans="1:22" ht="14.4" customHeight="1">
      <c r="A93" s="101" t="str">
        <f>IF(K93&gt;0,COUNT($A$8:A92)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93" s="610"/>
      <c r="C93" s="611"/>
      <c r="D93" s="274" t="str">
        <f>_xlfn.XLOOKUP(E93,'All Products'!D:D,'All Products'!C:C,FALSE)</f>
        <v>2-UB-10</v>
      </c>
      <c r="E93" s="153">
        <v>100028234</v>
      </c>
      <c r="F93" s="144" t="str">
        <f>_xlfn.XLOOKUP(E93,'All Products'!D:D,'All Products'!E:E,FALSE)</f>
        <v>1-1/4 X 10 UNIBODY SJ COMPT</v>
      </c>
      <c r="G93" s="103">
        <f>_xlfn.XLOOKUP(E93,'All Products'!D:D,'All Products'!F:F,FALSE)</f>
        <v>1</v>
      </c>
      <c r="H93" s="103" t="str">
        <f>_xlfn.XLOOKUP(E93,'All Products'!D:D,'All Products'!G:G,FALSE)</f>
        <v>-</v>
      </c>
      <c r="I93" s="140">
        <f>_xlfn.XLOOKUP(E93,'All Products'!D:D,'All Products'!H:H,FALSE)</f>
        <v>63.32</v>
      </c>
      <c r="J93" s="255">
        <f>ROUNDUP(I93*Order_Quote!$L$27,2)</f>
        <v>63.32</v>
      </c>
      <c r="K93" s="161"/>
      <c r="L93" s="113"/>
      <c r="M93" s="243">
        <f t="shared" si="2"/>
        <v>0</v>
      </c>
      <c r="N93" s="363"/>
      <c r="O93" s="215" t="str">
        <f>_xlfn.XLOOKUP(E93,'All Products'!D:D,'All Products'!I:I,FALSE)</f>
        <v>Within 3 Weeks</v>
      </c>
      <c r="P93" s="215" t="str">
        <f>_xlfn.XLOOKUP(E93,'All Products'!D:D,'All Products'!J:J,FALSE)</f>
        <v>Manufactured</v>
      </c>
      <c r="Q93" s="266">
        <f>_xlfn.XLOOKUP(E93,'All Products'!D:D,'All Products'!K:K,FALSE)</f>
        <v>49081012779</v>
      </c>
      <c r="R93" s="266" t="str">
        <f>_xlfn.XLOOKUP(E93,'All Products'!D:D,'All Products'!L:L,FALSE)</f>
        <v>-</v>
      </c>
      <c r="S93" s="266">
        <f>_xlfn.XLOOKUP(E93,'All Products'!D:D,'All Products'!M:M,FALSE)</f>
        <v>40049081012777</v>
      </c>
      <c r="T93" s="264">
        <f>_xlfn.XLOOKUP(E93,'All Products'!D:D,'All Products'!N:N,FALSE)</f>
        <v>0.52</v>
      </c>
      <c r="U93" s="264">
        <f>_xlfn.XLOOKUP(E93,'All Products'!D:D,'All Products'!P:P,FALSE)</f>
        <v>0.52</v>
      </c>
      <c r="V93" s="265" t="str">
        <f>_xlfn.XLOOKUP(E93,'All Products'!D:D,'All Products'!Q:Q,FALSE)</f>
        <v>-</v>
      </c>
    </row>
    <row r="94" spans="1:22" ht="14.4" customHeight="1">
      <c r="A94" s="101" t="str">
        <f>IF(K94&gt;0,COUNT($A$8:A93)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94" s="610"/>
      <c r="C94" s="611"/>
      <c r="D94" s="274" t="str">
        <f>_xlfn.XLOOKUP(E94,'All Products'!D:D,'All Products'!C:C,FALSE)</f>
        <v>2-UB-12</v>
      </c>
      <c r="E94" s="153">
        <v>100028235</v>
      </c>
      <c r="F94" s="144" t="str">
        <f>_xlfn.XLOOKUP(E94,'All Products'!D:D,'All Products'!E:E,FALSE)</f>
        <v>1-1/4 X 12 UNIBODY SJ</v>
      </c>
      <c r="G94" s="103">
        <f>_xlfn.XLOOKUP(E94,'All Products'!D:D,'All Products'!F:F,FALSE)</f>
        <v>1</v>
      </c>
      <c r="H94" s="103" t="str">
        <f>_xlfn.XLOOKUP(E94,'All Products'!D:D,'All Products'!G:G,FALSE)</f>
        <v>-</v>
      </c>
      <c r="I94" s="140">
        <f>_xlfn.XLOOKUP(E94,'All Products'!D:D,'All Products'!H:H,FALSE)</f>
        <v>63.32</v>
      </c>
      <c r="J94" s="255">
        <f>ROUNDUP(I94*Order_Quote!$L$27,2)</f>
        <v>63.32</v>
      </c>
      <c r="K94" s="161"/>
      <c r="L94" s="113"/>
      <c r="M94" s="243">
        <f t="shared" si="2"/>
        <v>0</v>
      </c>
      <c r="N94" s="363"/>
      <c r="O94" s="215" t="str">
        <f>_xlfn.XLOOKUP(E94,'All Products'!D:D,'All Products'!I:I,FALSE)</f>
        <v>In Stock</v>
      </c>
      <c r="P94" s="215" t="str">
        <f>_xlfn.XLOOKUP(E94,'All Products'!D:D,'All Products'!J:J,FALSE)</f>
        <v>Manufactured</v>
      </c>
      <c r="Q94" s="266">
        <f>_xlfn.XLOOKUP(E94,'All Products'!D:D,'All Products'!K:K,FALSE)</f>
        <v>49081012809</v>
      </c>
      <c r="R94" s="266" t="str">
        <f>_xlfn.XLOOKUP(E94,'All Products'!D:D,'All Products'!L:L,FALSE)</f>
        <v>-</v>
      </c>
      <c r="S94" s="266">
        <f>_xlfn.XLOOKUP(E94,'All Products'!D:D,'All Products'!M:M,FALSE)</f>
        <v>40049081012807</v>
      </c>
      <c r="T94" s="264">
        <f>_xlfn.XLOOKUP(E94,'All Products'!D:D,'All Products'!N:N,FALSE)</f>
        <v>0.63</v>
      </c>
      <c r="U94" s="264">
        <f>_xlfn.XLOOKUP(E94,'All Products'!D:D,'All Products'!P:P,FALSE)</f>
        <v>0.63</v>
      </c>
      <c r="V94" s="265" t="str">
        <f>_xlfn.XLOOKUP(E94,'All Products'!D:D,'All Products'!Q:Q,FALSE)</f>
        <v>-</v>
      </c>
    </row>
    <row r="95" spans="1:22" ht="14.4" customHeight="1">
      <c r="A95" s="101" t="str">
        <f>IF(K95&gt;0,COUNT($A$8:A94)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95" s="610"/>
      <c r="C95" s="611"/>
      <c r="D95" s="274" t="str">
        <f>_xlfn.XLOOKUP(E95,'All Products'!D:D,'All Products'!C:C,FALSE)</f>
        <v>2-UB-14</v>
      </c>
      <c r="E95" s="153">
        <v>100028236</v>
      </c>
      <c r="F95" s="144" t="str">
        <f>_xlfn.XLOOKUP(E95,'All Products'!D:D,'All Products'!E:E,FALSE)</f>
        <v>1-1/4 X 14 UNIBODY SJ</v>
      </c>
      <c r="G95" s="103">
        <f>_xlfn.XLOOKUP(E95,'All Products'!D:D,'All Products'!F:F,FALSE)</f>
        <v>1</v>
      </c>
      <c r="H95" s="103" t="str">
        <f>_xlfn.XLOOKUP(E95,'All Products'!D:D,'All Products'!G:G,FALSE)</f>
        <v>-</v>
      </c>
      <c r="I95" s="140">
        <f>_xlfn.XLOOKUP(E95,'All Products'!D:D,'All Products'!H:H,FALSE)</f>
        <v>70.28</v>
      </c>
      <c r="J95" s="255">
        <f>ROUNDUP(I95*Order_Quote!$L$27,2)</f>
        <v>70.28</v>
      </c>
      <c r="K95" s="161"/>
      <c r="L95" s="113"/>
      <c r="M95" s="243">
        <f t="shared" si="2"/>
        <v>0</v>
      </c>
      <c r="N95" s="363"/>
      <c r="O95" s="215" t="str">
        <f>_xlfn.XLOOKUP(E95,'All Products'!D:D,'All Products'!I:I,FALSE)</f>
        <v>Within 3 Weeks</v>
      </c>
      <c r="P95" s="215" t="str">
        <f>_xlfn.XLOOKUP(E95,'All Products'!D:D,'All Products'!J:J,FALSE)</f>
        <v>Manufactured</v>
      </c>
      <c r="Q95" s="266">
        <f>_xlfn.XLOOKUP(E95,'All Products'!D:D,'All Products'!K:K,FALSE)</f>
        <v>49081012830</v>
      </c>
      <c r="R95" s="266" t="str">
        <f>_xlfn.XLOOKUP(E95,'All Products'!D:D,'All Products'!L:L,FALSE)</f>
        <v>-</v>
      </c>
      <c r="S95" s="266">
        <f>_xlfn.XLOOKUP(E95,'All Products'!D:D,'All Products'!M:M,FALSE)</f>
        <v>40049081012838</v>
      </c>
      <c r="T95" s="264">
        <f>_xlfn.XLOOKUP(E95,'All Products'!D:D,'All Products'!N:N,FALSE)</f>
        <v>0.66</v>
      </c>
      <c r="U95" s="264">
        <f>_xlfn.XLOOKUP(E95,'All Products'!D:D,'All Products'!P:P,FALSE)</f>
        <v>0.66</v>
      </c>
      <c r="V95" s="265" t="str">
        <f>_xlfn.XLOOKUP(E95,'All Products'!D:D,'All Products'!Q:Q,FALSE)</f>
        <v>-</v>
      </c>
    </row>
    <row r="96" spans="1:22" ht="14.4" customHeight="1">
      <c r="A96" s="101" t="str">
        <f>IF(K96&gt;0,COUNT($A$8:A95)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96" s="610"/>
      <c r="C96" s="611"/>
      <c r="D96" s="274" t="str">
        <f>_xlfn.XLOOKUP(E96,'All Products'!D:D,'All Products'!C:C,FALSE)</f>
        <v>2-UB-16</v>
      </c>
      <c r="E96" s="153">
        <v>100028237</v>
      </c>
      <c r="F96" s="144" t="str">
        <f>_xlfn.XLOOKUP(E96,'All Products'!D:D,'All Products'!E:E,FALSE)</f>
        <v>1-1/4 UNIBODY 16 LL SJ</v>
      </c>
      <c r="G96" s="103">
        <f>_xlfn.XLOOKUP(E96,'All Products'!D:D,'All Products'!F:F,FALSE)</f>
        <v>1</v>
      </c>
      <c r="H96" s="103" t="str">
        <f>_xlfn.XLOOKUP(E96,'All Products'!D:D,'All Products'!G:G,FALSE)</f>
        <v>-</v>
      </c>
      <c r="I96" s="140">
        <f>_xlfn.XLOOKUP(E96,'All Products'!D:D,'All Products'!H:H,FALSE)</f>
        <v>70.28</v>
      </c>
      <c r="J96" s="255">
        <f>ROUNDUP(I96*Order_Quote!$L$27,2)</f>
        <v>70.28</v>
      </c>
      <c r="K96" s="161"/>
      <c r="L96" s="113"/>
      <c r="M96" s="243">
        <f t="shared" si="2"/>
        <v>0</v>
      </c>
      <c r="N96" s="363"/>
      <c r="O96" s="215" t="str">
        <f>_xlfn.XLOOKUP(E96,'All Products'!D:D,'All Products'!I:I,FALSE)</f>
        <v>Within 3 Weeks</v>
      </c>
      <c r="P96" s="215" t="str">
        <f>_xlfn.XLOOKUP(E96,'All Products'!D:D,'All Products'!J:J,FALSE)</f>
        <v>Manufactured</v>
      </c>
      <c r="Q96" s="266">
        <f>_xlfn.XLOOKUP(E96,'All Products'!D:D,'All Products'!K:K,FALSE)</f>
        <v>49081012861</v>
      </c>
      <c r="R96" s="266" t="str">
        <f>_xlfn.XLOOKUP(E96,'All Products'!D:D,'All Products'!L:L,FALSE)</f>
        <v>-</v>
      </c>
      <c r="S96" s="266">
        <f>_xlfn.XLOOKUP(E96,'All Products'!D:D,'All Products'!M:M,FALSE)</f>
        <v>40049081012869</v>
      </c>
      <c r="T96" s="264">
        <f>_xlfn.XLOOKUP(E96,'All Products'!D:D,'All Products'!N:N,FALSE)</f>
        <v>0.72</v>
      </c>
      <c r="U96" s="264">
        <f>_xlfn.XLOOKUP(E96,'All Products'!D:D,'All Products'!P:P,FALSE)</f>
        <v>0.72</v>
      </c>
      <c r="V96" s="265" t="str">
        <f>_xlfn.XLOOKUP(E96,'All Products'!D:D,'All Products'!Q:Q,FALSE)</f>
        <v>-</v>
      </c>
    </row>
    <row r="97" spans="1:22" ht="14.4" customHeight="1">
      <c r="A97" s="101" t="str">
        <f>IF(K97&gt;0,COUNT($A$8:A96)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97" s="610"/>
      <c r="C97" s="611"/>
      <c r="D97" s="274" t="str">
        <f>_xlfn.XLOOKUP(E97,'All Products'!D:D,'All Products'!C:C,FALSE)</f>
        <v>2-UB-18</v>
      </c>
      <c r="E97" s="153">
        <v>100028238</v>
      </c>
      <c r="F97" s="144" t="str">
        <f>_xlfn.XLOOKUP(E97,'All Products'!D:D,'All Products'!E:E,FALSE)</f>
        <v>1-1/4 X 18 UNIBODY SJ</v>
      </c>
      <c r="G97" s="103">
        <f>_xlfn.XLOOKUP(E97,'All Products'!D:D,'All Products'!F:F,FALSE)</f>
        <v>1</v>
      </c>
      <c r="H97" s="103" t="str">
        <f>_xlfn.XLOOKUP(E97,'All Products'!D:D,'All Products'!G:G,FALSE)</f>
        <v>-</v>
      </c>
      <c r="I97" s="140">
        <f>_xlfn.XLOOKUP(E97,'All Products'!D:D,'All Products'!H:H,FALSE)</f>
        <v>70.28</v>
      </c>
      <c r="J97" s="255">
        <f>ROUNDUP(I97*Order_Quote!$L$27,2)</f>
        <v>70.28</v>
      </c>
      <c r="K97" s="161"/>
      <c r="L97" s="113"/>
      <c r="M97" s="243">
        <f t="shared" si="2"/>
        <v>0</v>
      </c>
      <c r="N97" s="363"/>
      <c r="O97" s="215" t="str">
        <f>_xlfn.XLOOKUP(E97,'All Products'!D:D,'All Products'!I:I,FALSE)</f>
        <v>Within 3 Weeks</v>
      </c>
      <c r="P97" s="215" t="str">
        <f>_xlfn.XLOOKUP(E97,'All Products'!D:D,'All Products'!J:J,FALSE)</f>
        <v>Manufactured</v>
      </c>
      <c r="Q97" s="266">
        <f>_xlfn.XLOOKUP(E97,'All Products'!D:D,'All Products'!K:K,FALSE)</f>
        <v>49081012892</v>
      </c>
      <c r="R97" s="266" t="str">
        <f>_xlfn.XLOOKUP(E97,'All Products'!D:D,'All Products'!L:L,FALSE)</f>
        <v>-</v>
      </c>
      <c r="S97" s="266">
        <f>_xlfn.XLOOKUP(E97,'All Products'!D:D,'All Products'!M:M,FALSE)</f>
        <v>40049081012890</v>
      </c>
      <c r="T97" s="264">
        <f>_xlfn.XLOOKUP(E97,'All Products'!D:D,'All Products'!N:N,FALSE)</f>
        <v>0.89500000000000002</v>
      </c>
      <c r="U97" s="264">
        <f>_xlfn.XLOOKUP(E97,'All Products'!D:D,'All Products'!P:P,FALSE)</f>
        <v>0.89500000000000002</v>
      </c>
      <c r="V97" s="265" t="str">
        <f>_xlfn.XLOOKUP(E97,'All Products'!D:D,'All Products'!Q:Q,FALSE)</f>
        <v>-</v>
      </c>
    </row>
    <row r="98" spans="1:22" ht="14.4" customHeight="1">
      <c r="A98" s="101" t="str">
        <f>IF(K98&gt;0,COUNT($A$8:A97)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98" s="610"/>
      <c r="C98" s="611"/>
      <c r="D98" s="274" t="str">
        <f>_xlfn.XLOOKUP(E98,'All Products'!D:D,'All Products'!C:C,FALSE)</f>
        <v>2-UB-6</v>
      </c>
      <c r="E98" s="153">
        <v>100028239</v>
      </c>
      <c r="F98" s="144" t="str">
        <f>_xlfn.XLOOKUP(E98,'All Products'!D:D,'All Products'!E:E,FALSE)</f>
        <v>1-1/4 X 6 UNIBODY SJ</v>
      </c>
      <c r="G98" s="103">
        <f>_xlfn.XLOOKUP(E98,'All Products'!D:D,'All Products'!F:F,FALSE)</f>
        <v>1</v>
      </c>
      <c r="H98" s="103" t="str">
        <f>_xlfn.XLOOKUP(E98,'All Products'!D:D,'All Products'!G:G,FALSE)</f>
        <v>-</v>
      </c>
      <c r="I98" s="140">
        <f>_xlfn.XLOOKUP(E98,'All Products'!D:D,'All Products'!H:H,FALSE)</f>
        <v>54.21</v>
      </c>
      <c r="J98" s="255">
        <f>ROUNDUP(I98*Order_Quote!$L$27,2)</f>
        <v>54.21</v>
      </c>
      <c r="K98" s="161"/>
      <c r="L98" s="113"/>
      <c r="M98" s="243">
        <f t="shared" si="2"/>
        <v>0</v>
      </c>
      <c r="N98" s="363"/>
      <c r="O98" s="215" t="str">
        <f>_xlfn.XLOOKUP(E98,'All Products'!D:D,'All Products'!I:I,FALSE)</f>
        <v>Within 3 Weeks</v>
      </c>
      <c r="P98" s="215" t="str">
        <f>_xlfn.XLOOKUP(E98,'All Products'!D:D,'All Products'!J:J,FALSE)</f>
        <v>Manufactured</v>
      </c>
      <c r="Q98" s="266">
        <f>_xlfn.XLOOKUP(E98,'All Products'!D:D,'All Products'!K:K,FALSE)</f>
        <v>49081012717</v>
      </c>
      <c r="R98" s="266" t="str">
        <f>_xlfn.XLOOKUP(E98,'All Products'!D:D,'All Products'!L:L,FALSE)</f>
        <v>-</v>
      </c>
      <c r="S98" s="266">
        <f>_xlfn.XLOOKUP(E98,'All Products'!D:D,'All Products'!M:M,FALSE)</f>
        <v>40049081012715</v>
      </c>
      <c r="T98" s="264">
        <f>_xlfn.XLOOKUP(E98,'All Products'!D:D,'All Products'!N:N,FALSE)</f>
        <v>0.34200000000000003</v>
      </c>
      <c r="U98" s="264">
        <f>_xlfn.XLOOKUP(E98,'All Products'!D:D,'All Products'!P:P,FALSE)</f>
        <v>0.34200000000000003</v>
      </c>
      <c r="V98" s="265" t="str">
        <f>_xlfn.XLOOKUP(E98,'All Products'!D:D,'All Products'!Q:Q,FALSE)</f>
        <v>-</v>
      </c>
    </row>
    <row r="99" spans="1:22" ht="14.4" customHeight="1">
      <c r="A99" s="101" t="str">
        <f>IF(K99&gt;0,COUNT($A$8:A98)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99" s="610"/>
      <c r="C99" s="611"/>
      <c r="D99" s="274" t="str">
        <f>_xlfn.XLOOKUP(E99,'All Products'!D:D,'All Products'!C:C,FALSE)</f>
        <v>2-UB-8</v>
      </c>
      <c r="E99" s="153">
        <v>100028240</v>
      </c>
      <c r="F99" s="144" t="str">
        <f>_xlfn.XLOOKUP(E99,'All Products'!D:D,'All Products'!E:E,FALSE)</f>
        <v>1-1/4 X 8 UNIBODY SJ</v>
      </c>
      <c r="G99" s="103">
        <f>_xlfn.XLOOKUP(E99,'All Products'!D:D,'All Products'!F:F,FALSE)</f>
        <v>1</v>
      </c>
      <c r="H99" s="103" t="str">
        <f>_xlfn.XLOOKUP(E99,'All Products'!D:D,'All Products'!G:G,FALSE)</f>
        <v>-</v>
      </c>
      <c r="I99" s="140">
        <f>_xlfn.XLOOKUP(E99,'All Products'!D:D,'All Products'!H:H,FALSE)</f>
        <v>54.21</v>
      </c>
      <c r="J99" s="255">
        <f>ROUNDUP(I99*Order_Quote!$L$27,2)</f>
        <v>54.21</v>
      </c>
      <c r="K99" s="161"/>
      <c r="L99" s="113"/>
      <c r="M99" s="243">
        <f t="shared" si="2"/>
        <v>0</v>
      </c>
      <c r="N99" s="363"/>
      <c r="O99" s="215" t="str">
        <f>_xlfn.XLOOKUP(E99,'All Products'!D:D,'All Products'!I:I,FALSE)</f>
        <v>In Stock</v>
      </c>
      <c r="P99" s="215" t="str">
        <f>_xlfn.XLOOKUP(E99,'All Products'!D:D,'All Products'!J:J,FALSE)</f>
        <v>Manufactured</v>
      </c>
      <c r="Q99" s="266">
        <f>_xlfn.XLOOKUP(E99,'All Products'!D:D,'All Products'!K:K,FALSE)</f>
        <v>49081012748</v>
      </c>
      <c r="R99" s="266" t="str">
        <f>_xlfn.XLOOKUP(E99,'All Products'!D:D,'All Products'!L:L,FALSE)</f>
        <v>-</v>
      </c>
      <c r="S99" s="266">
        <f>_xlfn.XLOOKUP(E99,'All Products'!D:D,'All Products'!M:M,FALSE)</f>
        <v>40049081012746</v>
      </c>
      <c r="T99" s="264">
        <f>_xlfn.XLOOKUP(E99,'All Products'!D:D,'All Products'!N:N,FALSE)</f>
        <v>0.443</v>
      </c>
      <c r="U99" s="264">
        <f>_xlfn.XLOOKUP(E99,'All Products'!D:D,'All Products'!P:P,FALSE)</f>
        <v>0.443</v>
      </c>
      <c r="V99" s="265" t="str">
        <f>_xlfn.XLOOKUP(E99,'All Products'!D:D,'All Products'!Q:Q,FALSE)</f>
        <v>-</v>
      </c>
    </row>
    <row r="100" spans="1:22" ht="14.4" customHeight="1">
      <c r="A100" s="101" t="str">
        <f>IF(K100&gt;0,COUNT($A$8:A99)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00" s="610"/>
      <c r="C100" s="611"/>
      <c r="D100" s="274" t="str">
        <f>_xlfn.XLOOKUP(E100,'All Products'!D:D,'All Products'!C:C,FALSE)</f>
        <v>3-UB-10</v>
      </c>
      <c r="E100" s="153">
        <v>100028242</v>
      </c>
      <c r="F100" s="144" t="str">
        <f>_xlfn.XLOOKUP(E100,'All Products'!D:D,'All Products'!E:E,FALSE)</f>
        <v>1-1/2 X 10 UNIBODY SJ</v>
      </c>
      <c r="G100" s="103">
        <f>_xlfn.XLOOKUP(E100,'All Products'!D:D,'All Products'!F:F,FALSE)</f>
        <v>1</v>
      </c>
      <c r="H100" s="103" t="str">
        <f>_xlfn.XLOOKUP(E100,'All Products'!D:D,'All Products'!G:G,FALSE)</f>
        <v>-</v>
      </c>
      <c r="I100" s="140">
        <f>_xlfn.XLOOKUP(E100,'All Products'!D:D,'All Products'!H:H,FALSE)</f>
        <v>80.010000000000005</v>
      </c>
      <c r="J100" s="255">
        <f>ROUNDUP(I100*Order_Quote!$L$27,2)</f>
        <v>80.010000000000005</v>
      </c>
      <c r="K100" s="161"/>
      <c r="L100" s="113"/>
      <c r="M100" s="243">
        <f t="shared" si="2"/>
        <v>0</v>
      </c>
      <c r="N100" s="363"/>
      <c r="O100" s="215" t="str">
        <f>_xlfn.XLOOKUP(E100,'All Products'!D:D,'All Products'!I:I,FALSE)</f>
        <v>Within 3 Weeks</v>
      </c>
      <c r="P100" s="215" t="str">
        <f>_xlfn.XLOOKUP(E100,'All Products'!D:D,'All Products'!J:J,FALSE)</f>
        <v>Manufactured</v>
      </c>
      <c r="Q100" s="266">
        <f>_xlfn.XLOOKUP(E100,'All Products'!D:D,'All Products'!K:K,FALSE)</f>
        <v>49081012786</v>
      </c>
      <c r="R100" s="266" t="str">
        <f>_xlfn.XLOOKUP(E100,'All Products'!D:D,'All Products'!L:L,FALSE)</f>
        <v>-</v>
      </c>
      <c r="S100" s="266">
        <f>_xlfn.XLOOKUP(E100,'All Products'!D:D,'All Products'!M:M,FALSE)</f>
        <v>40049081012784</v>
      </c>
      <c r="T100" s="264">
        <f>_xlfn.XLOOKUP(E100,'All Products'!D:D,'All Products'!N:N,FALSE)</f>
        <v>0.67</v>
      </c>
      <c r="U100" s="264">
        <f>_xlfn.XLOOKUP(E100,'All Products'!D:D,'All Products'!P:P,FALSE)</f>
        <v>0.67</v>
      </c>
      <c r="V100" s="265" t="str">
        <f>_xlfn.XLOOKUP(E100,'All Products'!D:D,'All Products'!Q:Q,FALSE)</f>
        <v>-</v>
      </c>
    </row>
    <row r="101" spans="1:22" ht="14.4" customHeight="1">
      <c r="A101" s="101" t="str">
        <f>IF(K101&gt;0,COUNT($A$8:A100)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01" s="610"/>
      <c r="C101" s="611"/>
      <c r="D101" s="274" t="str">
        <f>_xlfn.XLOOKUP(E101,'All Products'!D:D,'All Products'!C:C,FALSE)</f>
        <v>3-UB-12</v>
      </c>
      <c r="E101" s="153">
        <v>100028243</v>
      </c>
      <c r="F101" s="144" t="str">
        <f>_xlfn.XLOOKUP(E101,'All Products'!D:D,'All Products'!E:E,FALSE)</f>
        <v>1-1/2 X 12 UNIBODY SJ</v>
      </c>
      <c r="G101" s="103">
        <f>_xlfn.XLOOKUP(E101,'All Products'!D:D,'All Products'!F:F,FALSE)</f>
        <v>1</v>
      </c>
      <c r="H101" s="103" t="str">
        <f>_xlfn.XLOOKUP(E101,'All Products'!D:D,'All Products'!G:G,FALSE)</f>
        <v>-</v>
      </c>
      <c r="I101" s="140">
        <f>_xlfn.XLOOKUP(E101,'All Products'!D:D,'All Products'!H:H,FALSE)</f>
        <v>80.010000000000005</v>
      </c>
      <c r="J101" s="255">
        <f>ROUNDUP(I101*Order_Quote!$L$27,2)</f>
        <v>80.010000000000005</v>
      </c>
      <c r="K101" s="161"/>
      <c r="L101" s="113"/>
      <c r="M101" s="243">
        <f t="shared" si="2"/>
        <v>0</v>
      </c>
      <c r="N101" s="363"/>
      <c r="O101" s="215" t="str">
        <f>_xlfn.XLOOKUP(E101,'All Products'!D:D,'All Products'!I:I,FALSE)</f>
        <v>Within 3 Weeks</v>
      </c>
      <c r="P101" s="215" t="str">
        <f>_xlfn.XLOOKUP(E101,'All Products'!D:D,'All Products'!J:J,FALSE)</f>
        <v>Manufactured</v>
      </c>
      <c r="Q101" s="266">
        <f>_xlfn.XLOOKUP(E101,'All Products'!D:D,'All Products'!K:K,FALSE)</f>
        <v>49081012816</v>
      </c>
      <c r="R101" s="266" t="str">
        <f>_xlfn.XLOOKUP(E101,'All Products'!D:D,'All Products'!L:L,FALSE)</f>
        <v>-</v>
      </c>
      <c r="S101" s="266">
        <f>_xlfn.XLOOKUP(E101,'All Products'!D:D,'All Products'!M:M,FALSE)</f>
        <v>40049081012814</v>
      </c>
      <c r="T101" s="264">
        <f>_xlfn.XLOOKUP(E101,'All Products'!D:D,'All Products'!N:N,FALSE)</f>
        <v>0.78</v>
      </c>
      <c r="U101" s="264">
        <f>_xlfn.XLOOKUP(E101,'All Products'!D:D,'All Products'!P:P,FALSE)</f>
        <v>0.78</v>
      </c>
      <c r="V101" s="265" t="str">
        <f>_xlfn.XLOOKUP(E101,'All Products'!D:D,'All Products'!Q:Q,FALSE)</f>
        <v>-</v>
      </c>
    </row>
    <row r="102" spans="1:22" ht="14.4" customHeight="1">
      <c r="A102" s="101" t="str">
        <f>IF(K102&gt;0,COUNT($A$8:A101)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02" s="610"/>
      <c r="C102" s="611"/>
      <c r="D102" s="274" t="str">
        <f>_xlfn.XLOOKUP(E102,'All Products'!D:D,'All Products'!C:C,FALSE)</f>
        <v>3-UB-14</v>
      </c>
      <c r="E102" s="153">
        <v>100028244</v>
      </c>
      <c r="F102" s="144" t="str">
        <f>_xlfn.XLOOKUP(E102,'All Products'!D:D,'All Products'!E:E,FALSE)</f>
        <v>1-1/2 X 14 UNIBODY SJ</v>
      </c>
      <c r="G102" s="103">
        <f>_xlfn.XLOOKUP(E102,'All Products'!D:D,'All Products'!F:F,FALSE)</f>
        <v>1</v>
      </c>
      <c r="H102" s="103" t="str">
        <f>_xlfn.XLOOKUP(E102,'All Products'!D:D,'All Products'!G:G,FALSE)</f>
        <v>-</v>
      </c>
      <c r="I102" s="140">
        <f>_xlfn.XLOOKUP(E102,'All Products'!D:D,'All Products'!H:H,FALSE)</f>
        <v>88.92</v>
      </c>
      <c r="J102" s="255">
        <f>ROUNDUP(I102*Order_Quote!$L$27,2)</f>
        <v>88.92</v>
      </c>
      <c r="K102" s="161"/>
      <c r="L102" s="113"/>
      <c r="M102" s="243">
        <f t="shared" si="2"/>
        <v>0</v>
      </c>
      <c r="N102" s="363"/>
      <c r="O102" s="215" t="str">
        <f>_xlfn.XLOOKUP(E102,'All Products'!D:D,'All Products'!I:I,FALSE)</f>
        <v>Within 3 Weeks</v>
      </c>
      <c r="P102" s="215" t="str">
        <f>_xlfn.XLOOKUP(E102,'All Products'!D:D,'All Products'!J:J,FALSE)</f>
        <v>Manufactured</v>
      </c>
      <c r="Q102" s="266">
        <f>_xlfn.XLOOKUP(E102,'All Products'!D:D,'All Products'!K:K,FALSE)</f>
        <v>49081012847</v>
      </c>
      <c r="R102" s="266" t="str">
        <f>_xlfn.XLOOKUP(E102,'All Products'!D:D,'All Products'!L:L,FALSE)</f>
        <v>-</v>
      </c>
      <c r="S102" s="266">
        <f>_xlfn.XLOOKUP(E102,'All Products'!D:D,'All Products'!M:M,FALSE)</f>
        <v>40049081012845</v>
      </c>
      <c r="T102" s="264">
        <f>_xlfn.XLOOKUP(E102,'All Products'!D:D,'All Products'!N:N,FALSE)</f>
        <v>0.87</v>
      </c>
      <c r="U102" s="264">
        <f>_xlfn.XLOOKUP(E102,'All Products'!D:D,'All Products'!P:P,FALSE)</f>
        <v>0.87</v>
      </c>
      <c r="V102" s="265" t="str">
        <f>_xlfn.XLOOKUP(E102,'All Products'!D:D,'All Products'!Q:Q,FALSE)</f>
        <v>-</v>
      </c>
    </row>
    <row r="103" spans="1:22" ht="14.4" customHeight="1">
      <c r="A103" s="101" t="str">
        <f>IF(K103&gt;0,COUNT($A$8:A102)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03" s="610"/>
      <c r="C103" s="611"/>
      <c r="D103" s="274" t="str">
        <f>_xlfn.XLOOKUP(E103,'All Products'!D:D,'All Products'!C:C,FALSE)</f>
        <v>3-UB-16</v>
      </c>
      <c r="E103" s="153">
        <v>100028245</v>
      </c>
      <c r="F103" s="144" t="str">
        <f>_xlfn.XLOOKUP(E103,'All Products'!D:D,'All Products'!E:E,FALSE)</f>
        <v>1-1/2 X 16 UNIBODY SJ</v>
      </c>
      <c r="G103" s="103">
        <f>_xlfn.XLOOKUP(E103,'All Products'!D:D,'All Products'!F:F,FALSE)</f>
        <v>1</v>
      </c>
      <c r="H103" s="103" t="str">
        <f>_xlfn.XLOOKUP(E103,'All Products'!D:D,'All Products'!G:G,FALSE)</f>
        <v>-</v>
      </c>
      <c r="I103" s="140">
        <f>_xlfn.XLOOKUP(E103,'All Products'!D:D,'All Products'!H:H,FALSE)</f>
        <v>88.92</v>
      </c>
      <c r="J103" s="255">
        <f>ROUNDUP(I103*Order_Quote!$L$27,2)</f>
        <v>88.92</v>
      </c>
      <c r="K103" s="161"/>
      <c r="L103" s="113"/>
      <c r="M103" s="243">
        <f t="shared" si="2"/>
        <v>0</v>
      </c>
      <c r="N103" s="363"/>
      <c r="O103" s="215" t="str">
        <f>_xlfn.XLOOKUP(E103,'All Products'!D:D,'All Products'!I:I,FALSE)</f>
        <v>Within 3 Weeks</v>
      </c>
      <c r="P103" s="215" t="str">
        <f>_xlfn.XLOOKUP(E103,'All Products'!D:D,'All Products'!J:J,FALSE)</f>
        <v>Manufactured</v>
      </c>
      <c r="Q103" s="266">
        <f>_xlfn.XLOOKUP(E103,'All Products'!D:D,'All Products'!K:K,FALSE)</f>
        <v>49081012878</v>
      </c>
      <c r="R103" s="266" t="str">
        <f>_xlfn.XLOOKUP(E103,'All Products'!D:D,'All Products'!L:L,FALSE)</f>
        <v>-</v>
      </c>
      <c r="S103" s="266">
        <f>_xlfn.XLOOKUP(E103,'All Products'!D:D,'All Products'!M:M,FALSE)</f>
        <v>40049081012876</v>
      </c>
      <c r="T103" s="264">
        <f>_xlfn.XLOOKUP(E103,'All Products'!D:D,'All Products'!N:N,FALSE)</f>
        <v>0.995</v>
      </c>
      <c r="U103" s="264">
        <f>_xlfn.XLOOKUP(E103,'All Products'!D:D,'All Products'!P:P,FALSE)</f>
        <v>0.995</v>
      </c>
      <c r="V103" s="265" t="str">
        <f>_xlfn.XLOOKUP(E103,'All Products'!D:D,'All Products'!Q:Q,FALSE)</f>
        <v>-</v>
      </c>
    </row>
    <row r="104" spans="1:22" ht="14.4" customHeight="1">
      <c r="A104" s="101" t="str">
        <f>IF(K104&gt;0,COUNT($A$8:A103)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04" s="610"/>
      <c r="C104" s="611"/>
      <c r="D104" s="274" t="str">
        <f>_xlfn.XLOOKUP(E104,'All Products'!D:D,'All Products'!C:C,FALSE)</f>
        <v>3-UB-18</v>
      </c>
      <c r="E104" s="153">
        <v>100028246</v>
      </c>
      <c r="F104" s="144" t="str">
        <f>_xlfn.XLOOKUP(E104,'All Products'!D:D,'All Products'!E:E,FALSE)</f>
        <v>1-1/2X18 UNIBODY SJ</v>
      </c>
      <c r="G104" s="103">
        <f>_xlfn.XLOOKUP(E104,'All Products'!D:D,'All Products'!F:F,FALSE)</f>
        <v>1</v>
      </c>
      <c r="H104" s="103" t="str">
        <f>_xlfn.XLOOKUP(E104,'All Products'!D:D,'All Products'!G:G,FALSE)</f>
        <v>-</v>
      </c>
      <c r="I104" s="140">
        <f>_xlfn.XLOOKUP(E104,'All Products'!D:D,'All Products'!H:H,FALSE)</f>
        <v>88.92</v>
      </c>
      <c r="J104" s="255">
        <f>ROUNDUP(I104*Order_Quote!$L$27,2)</f>
        <v>88.92</v>
      </c>
      <c r="K104" s="161"/>
      <c r="L104" s="113"/>
      <c r="M104" s="243">
        <f t="shared" si="2"/>
        <v>0</v>
      </c>
      <c r="N104" s="363"/>
      <c r="O104" s="215" t="str">
        <f>_xlfn.XLOOKUP(E104,'All Products'!D:D,'All Products'!I:I,FALSE)</f>
        <v>Within 3 Weeks</v>
      </c>
      <c r="P104" s="215" t="str">
        <f>_xlfn.XLOOKUP(E104,'All Products'!D:D,'All Products'!J:J,FALSE)</f>
        <v>Manufactured</v>
      </c>
      <c r="Q104" s="266">
        <f>_xlfn.XLOOKUP(E104,'All Products'!D:D,'All Products'!K:K,FALSE)</f>
        <v>49081012908</v>
      </c>
      <c r="R104" s="266" t="str">
        <f>_xlfn.XLOOKUP(E104,'All Products'!D:D,'All Products'!L:L,FALSE)</f>
        <v>-</v>
      </c>
      <c r="S104" s="266">
        <f>_xlfn.XLOOKUP(E104,'All Products'!D:D,'All Products'!M:M,FALSE)</f>
        <v>40049081012906</v>
      </c>
      <c r="T104" s="264">
        <f>_xlfn.XLOOKUP(E104,'All Products'!D:D,'All Products'!N:N,FALSE)</f>
        <v>1.1000000000000001</v>
      </c>
      <c r="U104" s="264">
        <f>_xlfn.XLOOKUP(E104,'All Products'!D:D,'All Products'!P:P,FALSE)</f>
        <v>1.1000000000000001</v>
      </c>
      <c r="V104" s="265" t="str">
        <f>_xlfn.XLOOKUP(E104,'All Products'!D:D,'All Products'!Q:Q,FALSE)</f>
        <v>-</v>
      </c>
    </row>
    <row r="105" spans="1:22" ht="14.4" customHeight="1">
      <c r="A105" s="101" t="str">
        <f>IF(K105&gt;0,COUNT($A$8:A104)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05" s="610"/>
      <c r="C105" s="611"/>
      <c r="D105" s="274" t="str">
        <f>_xlfn.XLOOKUP(E105,'All Products'!D:D,'All Products'!C:C,FALSE)</f>
        <v>3-UB-6</v>
      </c>
      <c r="E105" s="153">
        <v>100028247</v>
      </c>
      <c r="F105" s="144" t="str">
        <f>_xlfn.XLOOKUP(E105,'All Products'!D:D,'All Products'!E:E,FALSE)</f>
        <v>1-1/2 X 6 UNIBODY SJ</v>
      </c>
      <c r="G105" s="103">
        <f>_xlfn.XLOOKUP(E105,'All Products'!D:D,'All Products'!F:F,FALSE)</f>
        <v>1</v>
      </c>
      <c r="H105" s="103" t="str">
        <f>_xlfn.XLOOKUP(E105,'All Products'!D:D,'All Products'!G:G,FALSE)</f>
        <v>-</v>
      </c>
      <c r="I105" s="140">
        <f>_xlfn.XLOOKUP(E105,'All Products'!D:D,'All Products'!H:H,FALSE)</f>
        <v>68.37</v>
      </c>
      <c r="J105" s="255">
        <f>ROUNDUP(I105*Order_Quote!$L$27,2)</f>
        <v>68.37</v>
      </c>
      <c r="K105" s="161"/>
      <c r="L105" s="113"/>
      <c r="M105" s="243">
        <f t="shared" si="2"/>
        <v>0</v>
      </c>
      <c r="N105" s="363"/>
      <c r="O105" s="215" t="str">
        <f>_xlfn.XLOOKUP(E105,'All Products'!D:D,'All Products'!I:I,FALSE)</f>
        <v>Within 3 Weeks</v>
      </c>
      <c r="P105" s="215" t="str">
        <f>_xlfn.XLOOKUP(E105,'All Products'!D:D,'All Products'!J:J,FALSE)</f>
        <v>Manufactured</v>
      </c>
      <c r="Q105" s="266">
        <f>_xlfn.XLOOKUP(E105,'All Products'!D:D,'All Products'!K:K,FALSE)</f>
        <v>49081012724</v>
      </c>
      <c r="R105" s="266" t="str">
        <f>_xlfn.XLOOKUP(E105,'All Products'!D:D,'All Products'!L:L,FALSE)</f>
        <v>-</v>
      </c>
      <c r="S105" s="266">
        <f>_xlfn.XLOOKUP(E105,'All Products'!D:D,'All Products'!M:M,FALSE)</f>
        <v>40049081012722</v>
      </c>
      <c r="T105" s="264">
        <f>_xlfn.XLOOKUP(E105,'All Products'!D:D,'All Products'!N:N,FALSE)</f>
        <v>0.46500000000000002</v>
      </c>
      <c r="U105" s="264">
        <f>_xlfn.XLOOKUP(E105,'All Products'!D:D,'All Products'!P:P,FALSE)</f>
        <v>0.46500000000000002</v>
      </c>
      <c r="V105" s="265" t="str">
        <f>_xlfn.XLOOKUP(E105,'All Products'!D:D,'All Products'!Q:Q,FALSE)</f>
        <v>-</v>
      </c>
    </row>
    <row r="106" spans="1:22" ht="14.4" customHeight="1" thickBot="1">
      <c r="A106" s="101" t="str">
        <f>IF(K106&gt;0,COUNT($A$8:A105)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06" s="715"/>
      <c r="C106" s="697"/>
      <c r="D106" s="274" t="str">
        <f>_xlfn.XLOOKUP(E106,'All Products'!D:D,'All Products'!C:C,FALSE)</f>
        <v>3-UB-8</v>
      </c>
      <c r="E106" s="153">
        <v>100028248</v>
      </c>
      <c r="F106" s="144" t="str">
        <f>_xlfn.XLOOKUP(E106,'All Products'!D:D,'All Products'!E:E,FALSE)</f>
        <v>1-1/2 X 8 UNIBODY SJ</v>
      </c>
      <c r="G106" s="103">
        <f>_xlfn.XLOOKUP(E106,'All Products'!D:D,'All Products'!F:F,FALSE)</f>
        <v>1</v>
      </c>
      <c r="H106" s="103" t="str">
        <f>_xlfn.XLOOKUP(E106,'All Products'!D:D,'All Products'!G:G,FALSE)</f>
        <v>-</v>
      </c>
      <c r="I106" s="140">
        <f>_xlfn.XLOOKUP(E106,'All Products'!D:D,'All Products'!H:H,FALSE)</f>
        <v>68.37</v>
      </c>
      <c r="J106" s="255">
        <f>ROUNDUP(I106*Order_Quote!$L$27,2)</f>
        <v>68.37</v>
      </c>
      <c r="K106" s="161"/>
      <c r="L106" s="113"/>
      <c r="M106" s="243">
        <f t="shared" si="2"/>
        <v>0</v>
      </c>
      <c r="N106" s="363"/>
      <c r="O106" s="567" t="str">
        <f>_xlfn.XLOOKUP(E106,'All Products'!D:D,'All Products'!I:I,FALSE)</f>
        <v>Within 3 Weeks</v>
      </c>
      <c r="P106" s="567" t="str">
        <f>_xlfn.XLOOKUP(E106,'All Products'!D:D,'All Products'!J:J,FALSE)</f>
        <v>Manufactured</v>
      </c>
      <c r="Q106" s="569">
        <f>_xlfn.XLOOKUP(E106,'All Products'!D:D,'All Products'!K:K,FALSE)</f>
        <v>49081012755</v>
      </c>
      <c r="R106" s="569" t="str">
        <f>_xlfn.XLOOKUP(E106,'All Products'!D:D,'All Products'!L:L,FALSE)</f>
        <v>-</v>
      </c>
      <c r="S106" s="569">
        <f>_xlfn.XLOOKUP(E106,'All Products'!D:D,'All Products'!M:M,FALSE)</f>
        <v>40049081012753</v>
      </c>
      <c r="T106" s="583">
        <f>_xlfn.XLOOKUP(E106,'All Products'!D:D,'All Products'!N:N,FALSE)</f>
        <v>0.56499999999999995</v>
      </c>
      <c r="U106" s="583">
        <f>_xlfn.XLOOKUP(E106,'All Products'!D:D,'All Products'!P:P,FALSE)</f>
        <v>0.56499999999999995</v>
      </c>
      <c r="V106" s="570" t="str">
        <f>_xlfn.XLOOKUP(E106,'All Products'!D:D,'All Products'!Q:Q,FALSE)</f>
        <v>-</v>
      </c>
    </row>
    <row r="107" spans="1:22" ht="16.2" thickBot="1">
      <c r="A107" s="101" t="str">
        <f>IF(K107&gt;0,COUNT($A$8:A106)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07" s="446" t="s">
        <v>3571</v>
      </c>
      <c r="C107" s="150"/>
      <c r="D107" s="151"/>
      <c r="E107" s="459"/>
      <c r="F107" s="151"/>
      <c r="G107" s="468"/>
      <c r="H107" s="151"/>
      <c r="I107" s="472"/>
      <c r="J107" s="468"/>
      <c r="K107" s="566"/>
      <c r="M107" s="545"/>
      <c r="O107" s="357"/>
      <c r="P107" s="145"/>
      <c r="Q107" s="493"/>
      <c r="R107" s="493"/>
      <c r="S107" s="493"/>
      <c r="T107" s="479"/>
      <c r="U107" s="459"/>
      <c r="V107" s="582"/>
    </row>
    <row r="108" spans="1:22" ht="14.4" customHeight="1">
      <c r="A108" s="101" t="str">
        <f>IF(K108&gt;0,COUNT($A$8:A107)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08" s="682"/>
      <c r="C108" s="683"/>
      <c r="D108" s="274" t="str">
        <f>_xlfn.XLOOKUP(E108,'All Products'!D:D,'All Products'!C:C,FALSE)</f>
        <v>1WH</v>
      </c>
      <c r="E108" s="103">
        <v>100028233</v>
      </c>
      <c r="F108" s="144" t="str">
        <f>_xlfn.XLOOKUP(E108,'All Products'!D:D,'All Products'!E:E,FALSE)</f>
        <v>1 WIRE HOLDER SJ</v>
      </c>
      <c r="G108" s="103">
        <f>_xlfn.XLOOKUP(E108,'All Products'!D:D,'All Products'!F:F,FALSE)</f>
        <v>20</v>
      </c>
      <c r="H108" s="103">
        <f>_xlfn.XLOOKUP(E108,'All Products'!D:D,'All Products'!G:G,FALSE)</f>
        <v>2700</v>
      </c>
      <c r="I108" s="140">
        <f>_xlfn.XLOOKUP(E108,'All Products'!D:D,'All Products'!H:H,FALSE)</f>
        <v>3.69</v>
      </c>
      <c r="J108" s="173">
        <f>ROUNDUP(I108*Order_Quote!$L$27,2)</f>
        <v>3.69</v>
      </c>
      <c r="K108" s="75"/>
      <c r="L108" s="113"/>
      <c r="M108" s="171">
        <f>K108/G108</f>
        <v>0</v>
      </c>
      <c r="N108" s="363"/>
      <c r="O108" s="215" t="str">
        <f>_xlfn.XLOOKUP(E108,'All Products'!D:D,'All Products'!I:I,FALSE)</f>
        <v>Within 3 Weeks</v>
      </c>
      <c r="P108" s="215" t="str">
        <f>_xlfn.XLOOKUP(E108,'All Products'!D:D,'All Products'!J:J,FALSE)</f>
        <v>Manufactured</v>
      </c>
      <c r="Q108" s="266">
        <f>_xlfn.XLOOKUP(E108,'All Products'!D:D,'All Products'!K:K,FALSE)</f>
        <v>49081005054</v>
      </c>
      <c r="R108" s="266" t="str">
        <f>_xlfn.XLOOKUP(E108,'All Products'!D:D,'All Products'!L:L,FALSE)</f>
        <v>-</v>
      </c>
      <c r="S108" s="266">
        <f>_xlfn.XLOOKUP(E108,'All Products'!D:D,'All Products'!M:M,FALSE)</f>
        <v>40049081005052</v>
      </c>
      <c r="T108" s="264">
        <f>_xlfn.XLOOKUP(E108,'All Products'!D:D,'All Products'!N:N,FALSE)</f>
        <v>3.4249999999999998</v>
      </c>
      <c r="U108" s="264">
        <f>_xlfn.XLOOKUP(E108,'All Products'!D:D,'All Products'!P:P,FALSE)</f>
        <v>34.25</v>
      </c>
      <c r="V108" s="265">
        <f>_xlfn.XLOOKUP(E108,'All Products'!D:D,'All Products'!Q:Q,FALSE)</f>
        <v>0.31</v>
      </c>
    </row>
    <row r="109" spans="1:22" ht="14.4" customHeight="1">
      <c r="A109" s="101" t="str">
        <f>IF(K109&gt;0,COUNT($A$8:A108)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09" s="610"/>
      <c r="C109" s="611"/>
      <c r="D109" s="274" t="str">
        <f>_xlfn.XLOOKUP(E109,'All Products'!D:D,'All Products'!C:C,FALSE)</f>
        <v>2WH</v>
      </c>
      <c r="E109" s="103">
        <v>100028241</v>
      </c>
      <c r="F109" s="144" t="str">
        <f>_xlfn.XLOOKUP(E109,'All Products'!D:D,'All Products'!E:E,FALSE)</f>
        <v>1-1/4 WIRE HOLDER SJ</v>
      </c>
      <c r="G109" s="103">
        <f>_xlfn.XLOOKUP(E109,'All Products'!D:D,'All Products'!F:F,FALSE)</f>
        <v>20</v>
      </c>
      <c r="H109" s="103">
        <f>_xlfn.XLOOKUP(E109,'All Products'!D:D,'All Products'!G:G,FALSE)</f>
        <v>2700</v>
      </c>
      <c r="I109" s="140">
        <f>_xlfn.XLOOKUP(E109,'All Products'!D:D,'All Products'!H:H,FALSE)</f>
        <v>4.12</v>
      </c>
      <c r="J109" s="173">
        <f>ROUNDUP(I109*Order_Quote!$L$27,2)</f>
        <v>4.12</v>
      </c>
      <c r="K109" s="75"/>
      <c r="L109" s="113"/>
      <c r="M109" s="171">
        <f>K109/G109</f>
        <v>0</v>
      </c>
      <c r="N109" s="363"/>
      <c r="O109" s="215" t="str">
        <f>_xlfn.XLOOKUP(E109,'All Products'!D:D,'All Products'!I:I,FALSE)</f>
        <v>Within 3 Weeks</v>
      </c>
      <c r="P109" s="215" t="str">
        <f>_xlfn.XLOOKUP(E109,'All Products'!D:D,'All Products'!J:J,FALSE)</f>
        <v>Manufactured</v>
      </c>
      <c r="Q109" s="266">
        <f>_xlfn.XLOOKUP(E109,'All Products'!D:D,'All Products'!K:K,FALSE)</f>
        <v>49081005061</v>
      </c>
      <c r="R109" s="266" t="str">
        <f>_xlfn.XLOOKUP(E109,'All Products'!D:D,'All Products'!L:L,FALSE)</f>
        <v>-</v>
      </c>
      <c r="S109" s="266">
        <f>_xlfn.XLOOKUP(E109,'All Products'!D:D,'All Products'!M:M,FALSE)</f>
        <v>40049081005069</v>
      </c>
      <c r="T109" s="264">
        <f>_xlfn.XLOOKUP(E109,'All Products'!D:D,'All Products'!N:N,FALSE)</f>
        <v>4.4249999999999998</v>
      </c>
      <c r="U109" s="264">
        <f>_xlfn.XLOOKUP(E109,'All Products'!D:D,'All Products'!P:P,FALSE)</f>
        <v>44.25</v>
      </c>
      <c r="V109" s="265">
        <f>_xlfn.XLOOKUP(E109,'All Products'!D:D,'All Products'!Q:Q,FALSE)</f>
        <v>0.31</v>
      </c>
    </row>
    <row r="110" spans="1:22" ht="14.4" customHeight="1" thickBot="1">
      <c r="A110" s="101" t="str">
        <f>IF(K110&gt;0,COUNT($A$8:A109)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10" s="715"/>
      <c r="C110" s="697"/>
      <c r="D110" s="274" t="str">
        <f>_xlfn.XLOOKUP(E110,'All Products'!D:D,'All Products'!C:C,FALSE)</f>
        <v>3WH</v>
      </c>
      <c r="E110" s="103">
        <v>100028249</v>
      </c>
      <c r="F110" s="144" t="str">
        <f>_xlfn.XLOOKUP(E110,'All Products'!D:D,'All Products'!E:E,FALSE)</f>
        <v>1-1/2 WIRE HOLDER SJ</v>
      </c>
      <c r="G110" s="103">
        <f>_xlfn.XLOOKUP(E110,'All Products'!D:D,'All Products'!F:F,FALSE)</f>
        <v>20</v>
      </c>
      <c r="H110" s="103" t="str">
        <f>_xlfn.XLOOKUP(E110,'All Products'!D:D,'All Products'!G:G,FALSE)</f>
        <v>-</v>
      </c>
      <c r="I110" s="140">
        <f>_xlfn.XLOOKUP(E110,'All Products'!D:D,'All Products'!H:H,FALSE)</f>
        <v>4.6500000000000004</v>
      </c>
      <c r="J110" s="173">
        <f>ROUNDUP(I110*Order_Quote!$L$27,2)</f>
        <v>4.6500000000000004</v>
      </c>
      <c r="K110" s="75"/>
      <c r="L110" s="113"/>
      <c r="M110" s="171">
        <f>K110/G110</f>
        <v>0</v>
      </c>
      <c r="N110" s="363"/>
      <c r="O110" s="567" t="str">
        <f>_xlfn.XLOOKUP(E110,'All Products'!D:D,'All Products'!I:I,FALSE)</f>
        <v>Within 3 Weeks</v>
      </c>
      <c r="P110" s="567" t="str">
        <f>_xlfn.XLOOKUP(E110,'All Products'!D:D,'All Products'!J:J,FALSE)</f>
        <v>Manufactured</v>
      </c>
      <c r="Q110" s="569">
        <f>_xlfn.XLOOKUP(E110,'All Products'!D:D,'All Products'!K:K,FALSE)</f>
        <v>49081005078</v>
      </c>
      <c r="R110" s="569" t="str">
        <f>_xlfn.XLOOKUP(E110,'All Products'!D:D,'All Products'!L:L,FALSE)</f>
        <v>-</v>
      </c>
      <c r="S110" s="569">
        <f>_xlfn.XLOOKUP(E110,'All Products'!D:D,'All Products'!M:M,FALSE)</f>
        <v>40049081005076</v>
      </c>
      <c r="T110" s="583">
        <f>_xlfn.XLOOKUP(E110,'All Products'!D:D,'All Products'!N:N,FALSE)</f>
        <v>5.0999999999999996</v>
      </c>
      <c r="U110" s="583">
        <f>_xlfn.XLOOKUP(E110,'All Products'!D:D,'All Products'!P:P,FALSE)</f>
        <v>51</v>
      </c>
      <c r="V110" s="570" t="str">
        <f>_xlfn.XLOOKUP(E110,'All Products'!D:D,'All Products'!Q:Q,FALSE)</f>
        <v>-</v>
      </c>
    </row>
    <row r="111" spans="1:22" ht="16.2" thickBot="1">
      <c r="A111" s="101" t="str">
        <f>IF(K111&gt;0,COUNT($A$8:A110)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11" s="446" t="s">
        <v>3578</v>
      </c>
      <c r="C111" s="151"/>
      <c r="D111" s="151"/>
      <c r="E111" s="459"/>
      <c r="F111" s="151"/>
      <c r="G111" s="468"/>
      <c r="H111" s="151"/>
      <c r="I111" s="472"/>
      <c r="J111" s="468"/>
      <c r="K111" s="566"/>
      <c r="M111" s="545"/>
      <c r="O111" s="357"/>
      <c r="P111" s="145"/>
      <c r="Q111" s="493"/>
      <c r="R111" s="493"/>
      <c r="S111" s="493"/>
      <c r="T111" s="479"/>
      <c r="U111" s="459"/>
      <c r="V111" s="582"/>
    </row>
    <row r="112" spans="1:22" ht="14.4" customHeight="1">
      <c r="A112" s="101" t="str">
        <f>IF(K112&gt;0,COUNT($A$8:A111)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12" s="682"/>
      <c r="C112" s="683"/>
      <c r="D112" s="274" t="str">
        <f>_xlfn.XLOOKUP(E112,'All Products'!D:D,'All Products'!C:C,FALSE)</f>
        <v>J80-249</v>
      </c>
      <c r="E112" s="103">
        <v>100028367</v>
      </c>
      <c r="F112" s="144" t="str">
        <f>_xlfn.XLOOKUP(E112,'All Products'!D:D,'All Products'!E:E,FALSE)</f>
        <v>50MM X 1 FS TEE SJ COMPT</v>
      </c>
      <c r="G112" s="103">
        <f>_xlfn.XLOOKUP(E112,'All Products'!D:D,'All Products'!F:F,FALSE)</f>
        <v>1</v>
      </c>
      <c r="H112" s="103" t="str">
        <f>_xlfn.XLOOKUP(E112,'All Products'!D:D,'All Products'!G:G,FALSE)</f>
        <v>-</v>
      </c>
      <c r="I112" s="140">
        <f>_xlfn.XLOOKUP(E112,'All Products'!D:D,'All Products'!H:H,FALSE)</f>
        <v>33.799999999999997</v>
      </c>
      <c r="J112" s="173">
        <f>ROUNDUP(I112*Order_Quote!$L$27,2)</f>
        <v>33.799999999999997</v>
      </c>
      <c r="K112" s="75"/>
      <c r="L112" s="113"/>
      <c r="M112" s="171">
        <f t="shared" ref="M112:M134" si="3">K112/G112</f>
        <v>0</v>
      </c>
      <c r="N112" s="363"/>
      <c r="O112" s="215" t="str">
        <f>_xlfn.XLOOKUP(E112,'All Products'!D:D,'All Products'!I:I,FALSE)</f>
        <v>Within 3 Weeks</v>
      </c>
      <c r="P112" s="215" t="str">
        <f>_xlfn.XLOOKUP(E112,'All Products'!D:D,'All Products'!J:J,FALSE)</f>
        <v>Manufactured</v>
      </c>
      <c r="Q112" s="266">
        <f>_xlfn.XLOOKUP(E112,'All Products'!D:D,'All Products'!K:K,FALSE)</f>
        <v>49081011307</v>
      </c>
      <c r="R112" s="266" t="str">
        <f>_xlfn.XLOOKUP(E112,'All Products'!D:D,'All Products'!L:L,FALSE)</f>
        <v>-</v>
      </c>
      <c r="S112" s="266">
        <f>_xlfn.XLOOKUP(E112,'All Products'!D:D,'All Products'!M:M,FALSE)</f>
        <v>40049081011305</v>
      </c>
      <c r="T112" s="264">
        <f>_xlfn.XLOOKUP(E112,'All Products'!D:D,'All Products'!N:N,FALSE)</f>
        <v>0.44</v>
      </c>
      <c r="U112" s="264">
        <f>_xlfn.XLOOKUP(E112,'All Products'!D:D,'All Products'!P:P,FALSE)</f>
        <v>0.44</v>
      </c>
      <c r="V112" s="265" t="str">
        <f>_xlfn.XLOOKUP(E112,'All Products'!D:D,'All Products'!Q:Q,FALSE)</f>
        <v>-</v>
      </c>
    </row>
    <row r="113" spans="1:22" ht="14.4" customHeight="1">
      <c r="A113" s="101" t="str">
        <f>IF(K113&gt;0,COUNT($A$8:A112)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13" s="610"/>
      <c r="C113" s="611"/>
      <c r="D113" s="274" t="str">
        <f>_xlfn.XLOOKUP(E113,'All Products'!D:D,'All Products'!C:C,FALSE)</f>
        <v>J80-250</v>
      </c>
      <c r="E113" s="153">
        <v>100028368</v>
      </c>
      <c r="F113" s="144" t="str">
        <f>_xlfn.XLOOKUP(E113,'All Products'!D:D,'All Products'!E:E,FALSE)</f>
        <v>50MM X 1-1/4 FS TEE SJ COMPT</v>
      </c>
      <c r="G113" s="103">
        <f>_xlfn.XLOOKUP(E113,'All Products'!D:D,'All Products'!F:F,FALSE)</f>
        <v>1</v>
      </c>
      <c r="H113" s="103" t="str">
        <f>_xlfn.XLOOKUP(E113,'All Products'!D:D,'All Products'!G:G,FALSE)</f>
        <v>-</v>
      </c>
      <c r="I113" s="140">
        <f>_xlfn.XLOOKUP(E113,'All Products'!D:D,'All Products'!H:H,FALSE)</f>
        <v>37.6</v>
      </c>
      <c r="J113" s="255">
        <f>ROUNDUP(I113*Order_Quote!$L$27,2)</f>
        <v>37.6</v>
      </c>
      <c r="K113" s="161"/>
      <c r="L113" s="113"/>
      <c r="M113" s="243">
        <f t="shared" si="3"/>
        <v>0</v>
      </c>
      <c r="N113" s="363"/>
      <c r="O113" s="215" t="str">
        <f>_xlfn.XLOOKUP(E113,'All Products'!D:D,'All Products'!I:I,FALSE)</f>
        <v>Within 3 Weeks</v>
      </c>
      <c r="P113" s="215" t="str">
        <f>_xlfn.XLOOKUP(E113,'All Products'!D:D,'All Products'!J:J,FALSE)</f>
        <v>Manufactured</v>
      </c>
      <c r="Q113" s="266">
        <f>_xlfn.XLOOKUP(E113,'All Products'!D:D,'All Products'!K:K,FALSE)</f>
        <v>49081011314</v>
      </c>
      <c r="R113" s="266" t="str">
        <f>_xlfn.XLOOKUP(E113,'All Products'!D:D,'All Products'!L:L,FALSE)</f>
        <v>-</v>
      </c>
      <c r="S113" s="266">
        <f>_xlfn.XLOOKUP(E113,'All Products'!D:D,'All Products'!M:M,FALSE)</f>
        <v>40049081011312</v>
      </c>
      <c r="T113" s="264">
        <f>_xlfn.XLOOKUP(E113,'All Products'!D:D,'All Products'!N:N,FALSE)</f>
        <v>0.505</v>
      </c>
      <c r="U113" s="264">
        <f>_xlfn.XLOOKUP(E113,'All Products'!D:D,'All Products'!P:P,FALSE)</f>
        <v>0.505</v>
      </c>
      <c r="V113" s="265" t="str">
        <f>_xlfn.XLOOKUP(E113,'All Products'!D:D,'All Products'!Q:Q,FALSE)</f>
        <v>-</v>
      </c>
    </row>
    <row r="114" spans="1:22" ht="14.4" customHeight="1">
      <c r="A114" s="101" t="str">
        <f>IF(K114&gt;0,COUNT($A$8:A113)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14" s="610"/>
      <c r="C114" s="611"/>
      <c r="D114" s="274" t="str">
        <f>_xlfn.XLOOKUP(E114,'All Products'!D:D,'All Products'!C:C,FALSE)</f>
        <v>J80-251</v>
      </c>
      <c r="E114" s="153">
        <v>100028369</v>
      </c>
      <c r="F114" s="144" t="str">
        <f>_xlfn.XLOOKUP(E114,'All Products'!D:D,'All Products'!E:E,FALSE)</f>
        <v>50MM X 1-1/2 FS TEE SJ COMPT</v>
      </c>
      <c r="G114" s="103">
        <f>_xlfn.XLOOKUP(E114,'All Products'!D:D,'All Products'!F:F,FALSE)</f>
        <v>1</v>
      </c>
      <c r="H114" s="103" t="str">
        <f>_xlfn.XLOOKUP(E114,'All Products'!D:D,'All Products'!G:G,FALSE)</f>
        <v>-</v>
      </c>
      <c r="I114" s="140">
        <f>_xlfn.XLOOKUP(E114,'All Products'!D:D,'All Products'!H:H,FALSE)</f>
        <v>46.46</v>
      </c>
      <c r="J114" s="255">
        <f>ROUNDUP(I114*Order_Quote!$L$27,2)</f>
        <v>46.46</v>
      </c>
      <c r="K114" s="161"/>
      <c r="L114" s="113"/>
      <c r="M114" s="243">
        <f t="shared" si="3"/>
        <v>0</v>
      </c>
      <c r="N114" s="363"/>
      <c r="O114" s="215" t="str">
        <f>_xlfn.XLOOKUP(E114,'All Products'!D:D,'All Products'!I:I,FALSE)</f>
        <v>Within 3 Weeks</v>
      </c>
      <c r="P114" s="215" t="str">
        <f>_xlfn.XLOOKUP(E114,'All Products'!D:D,'All Products'!J:J,FALSE)</f>
        <v>Manufactured</v>
      </c>
      <c r="Q114" s="266">
        <f>_xlfn.XLOOKUP(E114,'All Products'!D:D,'All Products'!K:K,FALSE)</f>
        <v>49081011321</v>
      </c>
      <c r="R114" s="266" t="str">
        <f>_xlfn.XLOOKUP(E114,'All Products'!D:D,'All Products'!L:L,FALSE)</f>
        <v>-</v>
      </c>
      <c r="S114" s="266">
        <f>_xlfn.XLOOKUP(E114,'All Products'!D:D,'All Products'!M:M,FALSE)</f>
        <v>40049081011329</v>
      </c>
      <c r="T114" s="264">
        <f>_xlfn.XLOOKUP(E114,'All Products'!D:D,'All Products'!N:N,FALSE)</f>
        <v>0.56499999999999995</v>
      </c>
      <c r="U114" s="264">
        <f>_xlfn.XLOOKUP(E114,'All Products'!D:D,'All Products'!P:P,FALSE)</f>
        <v>0.56499999999999995</v>
      </c>
      <c r="V114" s="265" t="str">
        <f>_xlfn.XLOOKUP(E114,'All Products'!D:D,'All Products'!Q:Q,FALSE)</f>
        <v>-</v>
      </c>
    </row>
    <row r="115" spans="1:22" ht="14.4" customHeight="1">
      <c r="A115" s="101" t="str">
        <f>IF(K115&gt;0,COUNT($A$8:A114)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15" s="610"/>
      <c r="C115" s="611"/>
      <c r="D115" s="274" t="str">
        <f>_xlfn.XLOOKUP(E115,'All Products'!D:D,'All Products'!C:C,FALSE)</f>
        <v>J81-249</v>
      </c>
      <c r="E115" s="153">
        <v>100028370</v>
      </c>
      <c r="F115" s="144" t="str">
        <f>_xlfn.XLOOKUP(E115,'All Products'!D:D,'All Products'!E:E,FALSE)</f>
        <v>50MM SOC X 1 FS ELL SJ COMPT</v>
      </c>
      <c r="G115" s="103">
        <f>_xlfn.XLOOKUP(E115,'All Products'!D:D,'All Products'!F:F,FALSE)</f>
        <v>1</v>
      </c>
      <c r="H115" s="103" t="str">
        <f>_xlfn.XLOOKUP(E115,'All Products'!D:D,'All Products'!G:G,FALSE)</f>
        <v>-</v>
      </c>
      <c r="I115" s="140">
        <f>_xlfn.XLOOKUP(E115,'All Products'!D:D,'All Products'!H:H,FALSE)</f>
        <v>30.76</v>
      </c>
      <c r="J115" s="255">
        <f>ROUNDUP(I115*Order_Quote!$L$27,2)</f>
        <v>30.76</v>
      </c>
      <c r="K115" s="161"/>
      <c r="L115" s="113"/>
      <c r="M115" s="243">
        <f t="shared" si="3"/>
        <v>0</v>
      </c>
      <c r="N115" s="363"/>
      <c r="O115" s="215" t="str">
        <f>_xlfn.XLOOKUP(E115,'All Products'!D:D,'All Products'!I:I,FALSE)</f>
        <v>Within 3 Weeks</v>
      </c>
      <c r="P115" s="215" t="str">
        <f>_xlfn.XLOOKUP(E115,'All Products'!D:D,'All Products'!J:J,FALSE)</f>
        <v>Manufactured</v>
      </c>
      <c r="Q115" s="266">
        <f>_xlfn.XLOOKUP(E115,'All Products'!D:D,'All Products'!K:K,FALSE)</f>
        <v>49081011406</v>
      </c>
      <c r="R115" s="266" t="str">
        <f>_xlfn.XLOOKUP(E115,'All Products'!D:D,'All Products'!L:L,FALSE)</f>
        <v>-</v>
      </c>
      <c r="S115" s="266">
        <f>_xlfn.XLOOKUP(E115,'All Products'!D:D,'All Products'!M:M,FALSE)</f>
        <v>40049081011404</v>
      </c>
      <c r="T115" s="264">
        <f>_xlfn.XLOOKUP(E115,'All Products'!D:D,'All Products'!N:N,FALSE)</f>
        <v>0.48</v>
      </c>
      <c r="U115" s="264">
        <f>_xlfn.XLOOKUP(E115,'All Products'!D:D,'All Products'!P:P,FALSE)</f>
        <v>0.48</v>
      </c>
      <c r="V115" s="265" t="str">
        <f>_xlfn.XLOOKUP(E115,'All Products'!D:D,'All Products'!Q:Q,FALSE)</f>
        <v>-</v>
      </c>
    </row>
    <row r="116" spans="1:22" ht="14.4" customHeight="1">
      <c r="A116" s="101" t="str">
        <f>IF(K116&gt;0,COUNT($A$8:A115)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16" s="610"/>
      <c r="C116" s="611"/>
      <c r="D116" s="274" t="str">
        <f>_xlfn.XLOOKUP(E116,'All Products'!D:D,'All Products'!C:C,FALSE)</f>
        <v>J81-250</v>
      </c>
      <c r="E116" s="153">
        <v>100028371</v>
      </c>
      <c r="F116" s="144" t="str">
        <f>_xlfn.XLOOKUP(E116,'All Products'!D:D,'All Products'!E:E,FALSE)</f>
        <v>50MM SOC X 1-1/4 FS ELL SJ COMP</v>
      </c>
      <c r="G116" s="103">
        <f>_xlfn.XLOOKUP(E116,'All Products'!D:D,'All Products'!F:F,FALSE)</f>
        <v>1</v>
      </c>
      <c r="H116" s="103" t="str">
        <f>_xlfn.XLOOKUP(E116,'All Products'!D:D,'All Products'!G:G,FALSE)</f>
        <v>-</v>
      </c>
      <c r="I116" s="140">
        <f>_xlfn.XLOOKUP(E116,'All Products'!D:D,'All Products'!H:H,FALSE)</f>
        <v>35.619999999999997</v>
      </c>
      <c r="J116" s="255">
        <f>ROUNDUP(I116*Order_Quote!$L$27,2)</f>
        <v>35.619999999999997</v>
      </c>
      <c r="K116" s="161"/>
      <c r="L116" s="113"/>
      <c r="M116" s="243">
        <f t="shared" si="3"/>
        <v>0</v>
      </c>
      <c r="N116" s="363"/>
      <c r="O116" s="215" t="str">
        <f>_xlfn.XLOOKUP(E116,'All Products'!D:D,'All Products'!I:I,FALSE)</f>
        <v>Within 3 Weeks</v>
      </c>
      <c r="P116" s="215" t="str">
        <f>_xlfn.XLOOKUP(E116,'All Products'!D:D,'All Products'!J:J,FALSE)</f>
        <v>Manufactured</v>
      </c>
      <c r="Q116" s="266">
        <f>_xlfn.XLOOKUP(E116,'All Products'!D:D,'All Products'!K:K,FALSE)</f>
        <v>49081011413</v>
      </c>
      <c r="R116" s="266" t="str">
        <f>_xlfn.XLOOKUP(E116,'All Products'!D:D,'All Products'!L:L,FALSE)</f>
        <v>-</v>
      </c>
      <c r="S116" s="266">
        <f>_xlfn.XLOOKUP(E116,'All Products'!D:D,'All Products'!M:M,FALSE)</f>
        <v>40049081011411</v>
      </c>
      <c r="T116" s="264">
        <f>_xlfn.XLOOKUP(E116,'All Products'!D:D,'All Products'!N:N,FALSE)</f>
        <v>0.53500000000000003</v>
      </c>
      <c r="U116" s="264">
        <f>_xlfn.XLOOKUP(E116,'All Products'!D:D,'All Products'!P:P,FALSE)</f>
        <v>0.53500000000000003</v>
      </c>
      <c r="V116" s="265" t="str">
        <f>_xlfn.XLOOKUP(E116,'All Products'!D:D,'All Products'!Q:Q,FALSE)</f>
        <v>-</v>
      </c>
    </row>
    <row r="117" spans="1:22" ht="14.4" customHeight="1">
      <c r="A117" s="101" t="str">
        <f>IF(K117&gt;0,COUNT($A$8:A116)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17" s="610"/>
      <c r="C117" s="611"/>
      <c r="D117" s="274" t="str">
        <f>_xlfn.XLOOKUP(E117,'All Products'!D:D,'All Products'!C:C,FALSE)</f>
        <v>J81-251</v>
      </c>
      <c r="E117" s="153">
        <v>100028372</v>
      </c>
      <c r="F117" s="144" t="str">
        <f>_xlfn.XLOOKUP(E117,'All Products'!D:D,'All Products'!E:E,FALSE)</f>
        <v>50MM SOX X 1-1/2 FS ELL SJ COMP</v>
      </c>
      <c r="G117" s="103">
        <f>_xlfn.XLOOKUP(E117,'All Products'!D:D,'All Products'!F:F,FALSE)</f>
        <v>1</v>
      </c>
      <c r="H117" s="103" t="str">
        <f>_xlfn.XLOOKUP(E117,'All Products'!D:D,'All Products'!G:G,FALSE)</f>
        <v>-</v>
      </c>
      <c r="I117" s="140">
        <f>_xlfn.XLOOKUP(E117,'All Products'!D:D,'All Products'!H:H,FALSE)</f>
        <v>44.45</v>
      </c>
      <c r="J117" s="255">
        <f>ROUNDUP(I117*Order_Quote!$L$27,2)</f>
        <v>44.45</v>
      </c>
      <c r="K117" s="161"/>
      <c r="L117" s="113"/>
      <c r="M117" s="243">
        <f t="shared" si="3"/>
        <v>0</v>
      </c>
      <c r="N117" s="363"/>
      <c r="O117" s="215" t="str">
        <f>_xlfn.XLOOKUP(E117,'All Products'!D:D,'All Products'!I:I,FALSE)</f>
        <v>Within 3 Weeks</v>
      </c>
      <c r="P117" s="215" t="str">
        <f>_xlfn.XLOOKUP(E117,'All Products'!D:D,'All Products'!J:J,FALSE)</f>
        <v>Manufactured</v>
      </c>
      <c r="Q117" s="266">
        <f>_xlfn.XLOOKUP(E117,'All Products'!D:D,'All Products'!K:K,FALSE)</f>
        <v>49081011420</v>
      </c>
      <c r="R117" s="266" t="str">
        <f>_xlfn.XLOOKUP(E117,'All Products'!D:D,'All Products'!L:L,FALSE)</f>
        <v>-</v>
      </c>
      <c r="S117" s="266">
        <f>_xlfn.XLOOKUP(E117,'All Products'!D:D,'All Products'!M:M,FALSE)</f>
        <v>40049081011428</v>
      </c>
      <c r="T117" s="264">
        <f>_xlfn.XLOOKUP(E117,'All Products'!D:D,'All Products'!N:N,FALSE)</f>
        <v>0.61499999999999999</v>
      </c>
      <c r="U117" s="264">
        <f>_xlfn.XLOOKUP(E117,'All Products'!D:D,'All Products'!P:P,FALSE)</f>
        <v>0.61499999999999999</v>
      </c>
      <c r="V117" s="265" t="str">
        <f>_xlfn.XLOOKUP(E117,'All Products'!D:D,'All Products'!Q:Q,FALSE)</f>
        <v>-</v>
      </c>
    </row>
    <row r="118" spans="1:22" ht="14.4" customHeight="1">
      <c r="A118" s="101" t="str">
        <f>IF(K118&gt;0,COUNT($A$8:A117)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18" s="610"/>
      <c r="C118" s="611"/>
      <c r="D118" s="274" t="str">
        <f>_xlfn.XLOOKUP(E118,'All Products'!D:D,'All Products'!C:C,FALSE)</f>
        <v>J88-010</v>
      </c>
      <c r="E118" s="153">
        <v>100028373</v>
      </c>
      <c r="F118" s="144" t="str">
        <f>_xlfn.XLOOKUP(E118,'All Products'!D:D,'All Products'!E:E,FALSE)</f>
        <v>25MM SPG X FS SJ COMPT</v>
      </c>
      <c r="G118" s="103">
        <f>_xlfn.XLOOKUP(E118,'All Products'!D:D,'All Products'!F:F,FALSE)</f>
        <v>1</v>
      </c>
      <c r="H118" s="103" t="str">
        <f>_xlfn.XLOOKUP(E118,'All Products'!D:D,'All Products'!G:G,FALSE)</f>
        <v>-</v>
      </c>
      <c r="I118" s="140">
        <f>_xlfn.XLOOKUP(E118,'All Products'!D:D,'All Products'!H:H,FALSE)</f>
        <v>14.03</v>
      </c>
      <c r="J118" s="255">
        <f>ROUNDUP(I118*Order_Quote!$L$27,2)</f>
        <v>14.03</v>
      </c>
      <c r="K118" s="161"/>
      <c r="L118" s="113"/>
      <c r="M118" s="243">
        <f t="shared" si="3"/>
        <v>0</v>
      </c>
      <c r="N118" s="363"/>
      <c r="O118" s="215" t="str">
        <f>_xlfn.XLOOKUP(E118,'All Products'!D:D,'All Products'!I:I,FALSE)</f>
        <v>Within 3 Weeks</v>
      </c>
      <c r="P118" s="215" t="str">
        <f>_xlfn.XLOOKUP(E118,'All Products'!D:D,'All Products'!J:J,FALSE)</f>
        <v>Manufactured</v>
      </c>
      <c r="Q118" s="266">
        <f>_xlfn.XLOOKUP(E118,'All Products'!D:D,'All Products'!K:K,FALSE)</f>
        <v>49081010553</v>
      </c>
      <c r="R118" s="266" t="str">
        <f>_xlfn.XLOOKUP(E118,'All Products'!D:D,'All Products'!L:L,FALSE)</f>
        <v>-</v>
      </c>
      <c r="S118" s="266">
        <f>_xlfn.XLOOKUP(E118,'All Products'!D:D,'All Products'!M:M,FALSE)</f>
        <v>40049081010551</v>
      </c>
      <c r="T118" s="264">
        <f>_xlfn.XLOOKUP(E118,'All Products'!D:D,'All Products'!N:N,FALSE)</f>
        <v>0.14499999999999999</v>
      </c>
      <c r="U118" s="264">
        <f>_xlfn.XLOOKUP(E118,'All Products'!D:D,'All Products'!P:P,FALSE)</f>
        <v>0.14499999999999999</v>
      </c>
      <c r="V118" s="265" t="str">
        <f>_xlfn.XLOOKUP(E118,'All Products'!D:D,'All Products'!Q:Q,FALSE)</f>
        <v>-</v>
      </c>
    </row>
    <row r="119" spans="1:22" ht="14.4" customHeight="1">
      <c r="A119" s="101" t="str">
        <f>IF(K119&gt;0,COUNT($A$8:A118)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19" s="610"/>
      <c r="C119" s="611"/>
      <c r="D119" s="274" t="str">
        <f>_xlfn.XLOOKUP(E119,'All Products'!D:D,'All Products'!C:C,FALSE)</f>
        <v>J88-012</v>
      </c>
      <c r="E119" s="153">
        <v>100028374</v>
      </c>
      <c r="F119" s="144" t="str">
        <f>_xlfn.XLOOKUP(E119,'All Products'!D:D,'All Products'!E:E,FALSE)</f>
        <v>30MM SPG X FS SJ COMPT</v>
      </c>
      <c r="G119" s="103">
        <f>_xlfn.XLOOKUP(E119,'All Products'!D:D,'All Products'!F:F,FALSE)</f>
        <v>1</v>
      </c>
      <c r="H119" s="103" t="str">
        <f>_xlfn.XLOOKUP(E119,'All Products'!D:D,'All Products'!G:G,FALSE)</f>
        <v>-</v>
      </c>
      <c r="I119" s="140">
        <f>_xlfn.XLOOKUP(E119,'All Products'!D:D,'All Products'!H:H,FALSE)</f>
        <v>17.2</v>
      </c>
      <c r="J119" s="255">
        <f>ROUNDUP(I119*Order_Quote!$L$27,2)</f>
        <v>17.2</v>
      </c>
      <c r="K119" s="161"/>
      <c r="L119" s="113"/>
      <c r="M119" s="243">
        <f t="shared" si="3"/>
        <v>0</v>
      </c>
      <c r="N119" s="363"/>
      <c r="O119" s="215" t="str">
        <f>_xlfn.XLOOKUP(E119,'All Products'!D:D,'All Products'!I:I,FALSE)</f>
        <v>Within 3 Weeks</v>
      </c>
      <c r="P119" s="215" t="str">
        <f>_xlfn.XLOOKUP(E119,'All Products'!D:D,'All Products'!J:J,FALSE)</f>
        <v>Manufactured</v>
      </c>
      <c r="Q119" s="266">
        <f>_xlfn.XLOOKUP(E119,'All Products'!D:D,'All Products'!K:K,FALSE)</f>
        <v>49081010560</v>
      </c>
      <c r="R119" s="266" t="str">
        <f>_xlfn.XLOOKUP(E119,'All Products'!D:D,'All Products'!L:L,FALSE)</f>
        <v>-</v>
      </c>
      <c r="S119" s="266">
        <f>_xlfn.XLOOKUP(E119,'All Products'!D:D,'All Products'!M:M,FALSE)</f>
        <v>40049081010568</v>
      </c>
      <c r="T119" s="264">
        <f>_xlfn.XLOOKUP(E119,'All Products'!D:D,'All Products'!N:N,FALSE)</f>
        <v>0.215</v>
      </c>
      <c r="U119" s="264">
        <f>_xlfn.XLOOKUP(E119,'All Products'!D:D,'All Products'!P:P,FALSE)</f>
        <v>0.215</v>
      </c>
      <c r="V119" s="265" t="str">
        <f>_xlfn.XLOOKUP(E119,'All Products'!D:D,'All Products'!Q:Q,FALSE)</f>
        <v>-</v>
      </c>
    </row>
    <row r="120" spans="1:22" ht="14.4" customHeight="1">
      <c r="A120" s="101" t="str">
        <f>IF(K120&gt;0,COUNT($A$8:A119)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20" s="610"/>
      <c r="C120" s="611"/>
      <c r="D120" s="274" t="str">
        <f>_xlfn.XLOOKUP(E120,'All Products'!D:D,'All Products'!C:C,FALSE)</f>
        <v>J88-015</v>
      </c>
      <c r="E120" s="153">
        <v>100028375</v>
      </c>
      <c r="F120" s="144" t="str">
        <f>_xlfn.XLOOKUP(E120,'All Products'!D:D,'All Products'!E:E,FALSE)</f>
        <v>40MM SPG X FS SJ COMPT</v>
      </c>
      <c r="G120" s="103">
        <f>_xlfn.XLOOKUP(E120,'All Products'!D:D,'All Products'!F:F,FALSE)</f>
        <v>1</v>
      </c>
      <c r="H120" s="103" t="str">
        <f>_xlfn.XLOOKUP(E120,'All Products'!D:D,'All Products'!G:G,FALSE)</f>
        <v>-</v>
      </c>
      <c r="I120" s="140">
        <f>_xlfn.XLOOKUP(E120,'All Products'!D:D,'All Products'!H:H,FALSE)</f>
        <v>22.86</v>
      </c>
      <c r="J120" s="255">
        <f>ROUNDUP(I120*Order_Quote!$L$27,2)</f>
        <v>22.86</v>
      </c>
      <c r="K120" s="161"/>
      <c r="L120" s="113"/>
      <c r="M120" s="243">
        <f t="shared" si="3"/>
        <v>0</v>
      </c>
      <c r="N120" s="363"/>
      <c r="O120" s="215" t="str">
        <f>_xlfn.XLOOKUP(E120,'All Products'!D:D,'All Products'!I:I,FALSE)</f>
        <v>Within 3 Weeks</v>
      </c>
      <c r="P120" s="215" t="str">
        <f>_xlfn.XLOOKUP(E120,'All Products'!D:D,'All Products'!J:J,FALSE)</f>
        <v>Manufactured</v>
      </c>
      <c r="Q120" s="266">
        <f>_xlfn.XLOOKUP(E120,'All Products'!D:D,'All Products'!K:K,FALSE)</f>
        <v>49081010577</v>
      </c>
      <c r="R120" s="266" t="str">
        <f>_xlfn.XLOOKUP(E120,'All Products'!D:D,'All Products'!L:L,FALSE)</f>
        <v>-</v>
      </c>
      <c r="S120" s="266">
        <f>_xlfn.XLOOKUP(E120,'All Products'!D:D,'All Products'!M:M,FALSE)</f>
        <v>40049081010575</v>
      </c>
      <c r="T120" s="264">
        <f>_xlfn.XLOOKUP(E120,'All Products'!D:D,'All Products'!N:N,FALSE)</f>
        <v>0.27</v>
      </c>
      <c r="U120" s="264">
        <f>_xlfn.XLOOKUP(E120,'All Products'!D:D,'All Products'!P:P,FALSE)</f>
        <v>0.27</v>
      </c>
      <c r="V120" s="265" t="str">
        <f>_xlfn.XLOOKUP(E120,'All Products'!D:D,'All Products'!Q:Q,FALSE)</f>
        <v>-</v>
      </c>
    </row>
    <row r="121" spans="1:22" ht="14.4" customHeight="1">
      <c r="A121" s="101" t="str">
        <f>IF(K121&gt;0,COUNT($A$8:A120)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21" s="610"/>
      <c r="C121" s="611"/>
      <c r="D121" s="274" t="str">
        <f>_xlfn.XLOOKUP(E121,'All Products'!D:D,'All Products'!C:C,FALSE)</f>
        <v>J89-010</v>
      </c>
      <c r="E121" s="153">
        <v>100028376</v>
      </c>
      <c r="F121" s="144" t="str">
        <f>_xlfn.XLOOKUP(E121,'All Products'!D:D,'All Products'!E:E,FALSE)</f>
        <v>25MM SOC X FS SJ COMPT</v>
      </c>
      <c r="G121" s="103">
        <f>_xlfn.XLOOKUP(E121,'All Products'!D:D,'All Products'!F:F,FALSE)</f>
        <v>1</v>
      </c>
      <c r="H121" s="103" t="str">
        <f>_xlfn.XLOOKUP(E121,'All Products'!D:D,'All Products'!G:G,FALSE)</f>
        <v>-</v>
      </c>
      <c r="I121" s="140">
        <f>_xlfn.XLOOKUP(E121,'All Products'!D:D,'All Products'!H:H,FALSE)</f>
        <v>14.03</v>
      </c>
      <c r="J121" s="255">
        <f>ROUNDUP(I121*Order_Quote!$L$27,2)</f>
        <v>14.03</v>
      </c>
      <c r="K121" s="161"/>
      <c r="L121" s="113"/>
      <c r="M121" s="243">
        <f t="shared" si="3"/>
        <v>0</v>
      </c>
      <c r="N121" s="363"/>
      <c r="O121" s="215" t="str">
        <f>_xlfn.XLOOKUP(E121,'All Products'!D:D,'All Products'!I:I,FALSE)</f>
        <v>Within 3 Weeks</v>
      </c>
      <c r="P121" s="215" t="str">
        <f>_xlfn.XLOOKUP(E121,'All Products'!D:D,'All Products'!J:J,FALSE)</f>
        <v>Manufactured</v>
      </c>
      <c r="Q121" s="266">
        <f>_xlfn.XLOOKUP(E121,'All Products'!D:D,'All Products'!K:K,FALSE)</f>
        <v>49081010607</v>
      </c>
      <c r="R121" s="266" t="str">
        <f>_xlfn.XLOOKUP(E121,'All Products'!D:D,'All Products'!L:L,FALSE)</f>
        <v>-</v>
      </c>
      <c r="S121" s="266">
        <f>_xlfn.XLOOKUP(E121,'All Products'!D:D,'All Products'!M:M,FALSE)</f>
        <v>40049081010605</v>
      </c>
      <c r="T121" s="264">
        <f>_xlfn.XLOOKUP(E121,'All Products'!D:D,'All Products'!N:N,FALSE)</f>
        <v>0.15</v>
      </c>
      <c r="U121" s="264">
        <f>_xlfn.XLOOKUP(E121,'All Products'!D:D,'All Products'!P:P,FALSE)</f>
        <v>0.15</v>
      </c>
      <c r="V121" s="265" t="str">
        <f>_xlfn.XLOOKUP(E121,'All Products'!D:D,'All Products'!Q:Q,FALSE)</f>
        <v>-</v>
      </c>
    </row>
    <row r="122" spans="1:22" ht="14.4" customHeight="1">
      <c r="A122" s="101" t="str">
        <f>IF(K122&gt;0,COUNT($A$8:A121)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22" s="610"/>
      <c r="C122" s="611"/>
      <c r="D122" s="274" t="str">
        <f>_xlfn.XLOOKUP(E122,'All Products'!D:D,'All Products'!C:C,FALSE)</f>
        <v>J89-012</v>
      </c>
      <c r="E122" s="153">
        <v>100028377</v>
      </c>
      <c r="F122" s="144" t="str">
        <f>_xlfn.XLOOKUP(E122,'All Products'!D:D,'All Products'!E:E,FALSE)</f>
        <v>30MM SOC X FS SJ COMPT</v>
      </c>
      <c r="G122" s="103">
        <f>_xlfn.XLOOKUP(E122,'All Products'!D:D,'All Products'!F:F,FALSE)</f>
        <v>1</v>
      </c>
      <c r="H122" s="103" t="str">
        <f>_xlfn.XLOOKUP(E122,'All Products'!D:D,'All Products'!G:G,FALSE)</f>
        <v>-</v>
      </c>
      <c r="I122" s="140">
        <f>_xlfn.XLOOKUP(E122,'All Products'!D:D,'All Products'!H:H,FALSE)</f>
        <v>17.2</v>
      </c>
      <c r="J122" s="255">
        <f>ROUNDUP(I122*Order_Quote!$L$27,2)</f>
        <v>17.2</v>
      </c>
      <c r="K122" s="161"/>
      <c r="L122" s="113"/>
      <c r="M122" s="243">
        <f t="shared" si="3"/>
        <v>0</v>
      </c>
      <c r="N122" s="363"/>
      <c r="O122" s="215" t="str">
        <f>_xlfn.XLOOKUP(E122,'All Products'!D:D,'All Products'!I:I,FALSE)</f>
        <v>Within 3 Weeks</v>
      </c>
      <c r="P122" s="215" t="str">
        <f>_xlfn.XLOOKUP(E122,'All Products'!D:D,'All Products'!J:J,FALSE)</f>
        <v>Manufactured</v>
      </c>
      <c r="Q122" s="266">
        <f>_xlfn.XLOOKUP(E122,'All Products'!D:D,'All Products'!K:K,FALSE)</f>
        <v>49081010614</v>
      </c>
      <c r="R122" s="266" t="str">
        <f>_xlfn.XLOOKUP(E122,'All Products'!D:D,'All Products'!L:L,FALSE)</f>
        <v>-</v>
      </c>
      <c r="S122" s="266">
        <f>_xlfn.XLOOKUP(E122,'All Products'!D:D,'All Products'!M:M,FALSE)</f>
        <v>40049081010612</v>
      </c>
      <c r="T122" s="264">
        <f>_xlfn.XLOOKUP(E122,'All Products'!D:D,'All Products'!N:N,FALSE)</f>
        <v>0.215</v>
      </c>
      <c r="U122" s="264">
        <f>_xlfn.XLOOKUP(E122,'All Products'!D:D,'All Products'!P:P,FALSE)</f>
        <v>0.215</v>
      </c>
      <c r="V122" s="265" t="str">
        <f>_xlfn.XLOOKUP(E122,'All Products'!D:D,'All Products'!Q:Q,FALSE)</f>
        <v>-</v>
      </c>
    </row>
    <row r="123" spans="1:22" ht="14.4" customHeight="1">
      <c r="A123" s="101" t="str">
        <f>IF(K123&gt;0,COUNT($A$8:A122)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23" s="610"/>
      <c r="C123" s="611"/>
      <c r="D123" s="274" t="str">
        <f>_xlfn.XLOOKUP(E123,'All Products'!D:D,'All Products'!C:C,FALSE)</f>
        <v>J89-015</v>
      </c>
      <c r="E123" s="153">
        <v>100028378</v>
      </c>
      <c r="F123" s="144" t="str">
        <f>_xlfn.XLOOKUP(E123,'All Products'!D:D,'All Products'!E:E,FALSE)</f>
        <v>40MM SOC X FX SJ COMPT</v>
      </c>
      <c r="G123" s="103">
        <f>_xlfn.XLOOKUP(E123,'All Products'!D:D,'All Products'!F:F,FALSE)</f>
        <v>1</v>
      </c>
      <c r="H123" s="103" t="str">
        <f>_xlfn.XLOOKUP(E123,'All Products'!D:D,'All Products'!G:G,FALSE)</f>
        <v>-</v>
      </c>
      <c r="I123" s="140">
        <f>_xlfn.XLOOKUP(E123,'All Products'!D:D,'All Products'!H:H,FALSE)</f>
        <v>22.86</v>
      </c>
      <c r="J123" s="255">
        <f>ROUNDUP(I123*Order_Quote!$L$27,2)</f>
        <v>22.86</v>
      </c>
      <c r="K123" s="161"/>
      <c r="L123" s="113"/>
      <c r="M123" s="243">
        <f t="shared" si="3"/>
        <v>0</v>
      </c>
      <c r="N123" s="363"/>
      <c r="O123" s="215" t="str">
        <f>_xlfn.XLOOKUP(E123,'All Products'!D:D,'All Products'!I:I,FALSE)</f>
        <v>Within 3 Weeks</v>
      </c>
      <c r="P123" s="215" t="str">
        <f>_xlfn.XLOOKUP(E123,'All Products'!D:D,'All Products'!J:J,FALSE)</f>
        <v>Manufactured</v>
      </c>
      <c r="Q123" s="266">
        <f>_xlfn.XLOOKUP(E123,'All Products'!D:D,'All Products'!K:K,FALSE)</f>
        <v>49081010621</v>
      </c>
      <c r="R123" s="266" t="str">
        <f>_xlfn.XLOOKUP(E123,'All Products'!D:D,'All Products'!L:L,FALSE)</f>
        <v>-</v>
      </c>
      <c r="S123" s="266">
        <f>_xlfn.XLOOKUP(E123,'All Products'!D:D,'All Products'!M:M,FALSE)</f>
        <v>40049081010629</v>
      </c>
      <c r="T123" s="264">
        <f>_xlfn.XLOOKUP(E123,'All Products'!D:D,'All Products'!N:N,FALSE)</f>
        <v>0.29499999999999998</v>
      </c>
      <c r="U123" s="264">
        <f>_xlfn.XLOOKUP(E123,'All Products'!D:D,'All Products'!P:P,FALSE)</f>
        <v>0.29499999999999998</v>
      </c>
      <c r="V123" s="265" t="str">
        <f>_xlfn.XLOOKUP(E123,'All Products'!D:D,'All Products'!Q:Q,FALSE)</f>
        <v>-</v>
      </c>
    </row>
    <row r="124" spans="1:22" ht="14.4" customHeight="1">
      <c r="A124" s="101" t="str">
        <f>IF(K124&gt;0,COUNT($A$8:A123)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24" s="610"/>
      <c r="C124" s="611"/>
      <c r="D124" s="274" t="str">
        <f>_xlfn.XLOOKUP(E124,'All Products'!D:D,'All Products'!C:C,FALSE)</f>
        <v>M84-010</v>
      </c>
      <c r="E124" s="153">
        <v>100028379</v>
      </c>
      <c r="F124" s="144" t="str">
        <f>_xlfn.XLOOKUP(E124,'All Products'!D:D,'All Products'!E:E,FALSE)</f>
        <v>32MM SOC X MS SJ COMPT</v>
      </c>
      <c r="G124" s="103">
        <f>_xlfn.XLOOKUP(E124,'All Products'!D:D,'All Products'!F:F,FALSE)</f>
        <v>1</v>
      </c>
      <c r="H124" s="103" t="str">
        <f>_xlfn.XLOOKUP(E124,'All Products'!D:D,'All Products'!G:G,FALSE)</f>
        <v>-</v>
      </c>
      <c r="I124" s="140">
        <f>_xlfn.XLOOKUP(E124,'All Products'!D:D,'All Products'!H:H,FALSE)</f>
        <v>14.82</v>
      </c>
      <c r="J124" s="255">
        <f>ROUNDUP(I124*Order_Quote!$L$27,2)</f>
        <v>14.82</v>
      </c>
      <c r="K124" s="161"/>
      <c r="L124" s="113"/>
      <c r="M124" s="243">
        <f t="shared" si="3"/>
        <v>0</v>
      </c>
      <c r="N124" s="363"/>
      <c r="O124" s="215" t="str">
        <f>_xlfn.XLOOKUP(E124,'All Products'!D:D,'All Products'!I:I,FALSE)</f>
        <v>Within 3 Weeks</v>
      </c>
      <c r="P124" s="215" t="str">
        <f>_xlfn.XLOOKUP(E124,'All Products'!D:D,'All Products'!J:J,FALSE)</f>
        <v>Manufactured</v>
      </c>
      <c r="Q124" s="266">
        <f>_xlfn.XLOOKUP(E124,'All Products'!D:D,'All Products'!K:K,FALSE)</f>
        <v>49081011055</v>
      </c>
      <c r="R124" s="266" t="str">
        <f>_xlfn.XLOOKUP(E124,'All Products'!D:D,'All Products'!L:L,FALSE)</f>
        <v>-</v>
      </c>
      <c r="S124" s="266">
        <f>_xlfn.XLOOKUP(E124,'All Products'!D:D,'All Products'!M:M,FALSE)</f>
        <v>40049081011053</v>
      </c>
      <c r="T124" s="264">
        <f>_xlfn.XLOOKUP(E124,'All Products'!D:D,'All Products'!N:N,FALSE)</f>
        <v>0.115</v>
      </c>
      <c r="U124" s="264">
        <f>_xlfn.XLOOKUP(E124,'All Products'!D:D,'All Products'!P:P,FALSE)</f>
        <v>0.115</v>
      </c>
      <c r="V124" s="265" t="str">
        <f>_xlfn.XLOOKUP(E124,'All Products'!D:D,'All Products'!Q:Q,FALSE)</f>
        <v>-</v>
      </c>
    </row>
    <row r="125" spans="1:22" ht="14.4" customHeight="1">
      <c r="A125" s="101" t="str">
        <f>IF(K125&gt;0,COUNT($A$8:A124)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25" s="610"/>
      <c r="C125" s="611"/>
      <c r="D125" s="274" t="str">
        <f>_xlfn.XLOOKUP(E125,'All Products'!D:D,'All Products'!C:C,FALSE)</f>
        <v>M84-012</v>
      </c>
      <c r="E125" s="153">
        <v>100028380</v>
      </c>
      <c r="F125" s="144" t="str">
        <f>_xlfn.XLOOKUP(E125,'All Products'!D:D,'All Products'!E:E,FALSE)</f>
        <v>40MM SOC X MS SJ COMPT</v>
      </c>
      <c r="G125" s="103">
        <f>_xlfn.XLOOKUP(E125,'All Products'!D:D,'All Products'!F:F,FALSE)</f>
        <v>1</v>
      </c>
      <c r="H125" s="103" t="str">
        <f>_xlfn.XLOOKUP(E125,'All Products'!D:D,'All Products'!G:G,FALSE)</f>
        <v>-</v>
      </c>
      <c r="I125" s="140">
        <f>_xlfn.XLOOKUP(E125,'All Products'!D:D,'All Products'!H:H,FALSE)</f>
        <v>18.18</v>
      </c>
      <c r="J125" s="255">
        <f>ROUNDUP(I125*Order_Quote!$L$27,2)</f>
        <v>18.18</v>
      </c>
      <c r="K125" s="161"/>
      <c r="L125" s="113"/>
      <c r="M125" s="243">
        <f t="shared" si="3"/>
        <v>0</v>
      </c>
      <c r="N125" s="363"/>
      <c r="O125" s="215" t="str">
        <f>_xlfn.XLOOKUP(E125,'All Products'!D:D,'All Products'!I:I,FALSE)</f>
        <v>Within 3 Weeks</v>
      </c>
      <c r="P125" s="215" t="str">
        <f>_xlfn.XLOOKUP(E125,'All Products'!D:D,'All Products'!J:J,FALSE)</f>
        <v>Manufactured</v>
      </c>
      <c r="Q125" s="266">
        <f>_xlfn.XLOOKUP(E125,'All Products'!D:D,'All Products'!K:K,FALSE)</f>
        <v>49081011062</v>
      </c>
      <c r="R125" s="266" t="str">
        <f>_xlfn.XLOOKUP(E125,'All Products'!D:D,'All Products'!L:L,FALSE)</f>
        <v>-</v>
      </c>
      <c r="S125" s="266">
        <f>_xlfn.XLOOKUP(E125,'All Products'!D:D,'All Products'!M:M,FALSE)</f>
        <v>40049081011060</v>
      </c>
      <c r="T125" s="264">
        <f>_xlfn.XLOOKUP(E125,'All Products'!D:D,'All Products'!N:N,FALSE)</f>
        <v>0.15</v>
      </c>
      <c r="U125" s="264">
        <f>_xlfn.XLOOKUP(E125,'All Products'!D:D,'All Products'!P:P,FALSE)</f>
        <v>0.15</v>
      </c>
      <c r="V125" s="265" t="str">
        <f>_xlfn.XLOOKUP(E125,'All Products'!D:D,'All Products'!Q:Q,FALSE)</f>
        <v>-</v>
      </c>
    </row>
    <row r="126" spans="1:22" ht="14.4" customHeight="1">
      <c r="A126" s="101" t="str">
        <f>IF(K126&gt;0,COUNT($A$8:A125)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26" s="610"/>
      <c r="C126" s="611"/>
      <c r="D126" s="274" t="str">
        <f>_xlfn.XLOOKUP(E126,'All Products'!D:D,'All Products'!C:C,FALSE)</f>
        <v>M84-015</v>
      </c>
      <c r="E126" s="153">
        <v>100028381</v>
      </c>
      <c r="F126" s="144" t="str">
        <f>_xlfn.XLOOKUP(E126,'All Products'!D:D,'All Products'!E:E,FALSE)</f>
        <v>50MM SOC X MS SJ COMPT</v>
      </c>
      <c r="G126" s="103">
        <f>_xlfn.XLOOKUP(E126,'All Products'!D:D,'All Products'!F:F,FALSE)</f>
        <v>1</v>
      </c>
      <c r="H126" s="103" t="str">
        <f>_xlfn.XLOOKUP(E126,'All Products'!D:D,'All Products'!G:G,FALSE)</f>
        <v>-</v>
      </c>
      <c r="I126" s="140">
        <f>_xlfn.XLOOKUP(E126,'All Products'!D:D,'All Products'!H:H,FALSE)</f>
        <v>24</v>
      </c>
      <c r="J126" s="255">
        <f>ROUNDUP(I126*Order_Quote!$L$27,2)</f>
        <v>24</v>
      </c>
      <c r="K126" s="161"/>
      <c r="L126" s="113"/>
      <c r="M126" s="243">
        <f t="shared" si="3"/>
        <v>0</v>
      </c>
      <c r="N126" s="363"/>
      <c r="O126" s="215" t="str">
        <f>_xlfn.XLOOKUP(E126,'All Products'!D:D,'All Products'!I:I,FALSE)</f>
        <v>Within 3 Weeks</v>
      </c>
      <c r="P126" s="215" t="str">
        <f>_xlfn.XLOOKUP(E126,'All Products'!D:D,'All Products'!J:J,FALSE)</f>
        <v>Manufactured</v>
      </c>
      <c r="Q126" s="266">
        <f>_xlfn.XLOOKUP(E126,'All Products'!D:D,'All Products'!K:K,FALSE)</f>
        <v>49081011079</v>
      </c>
      <c r="R126" s="266" t="str">
        <f>_xlfn.XLOOKUP(E126,'All Products'!D:D,'All Products'!L:L,FALSE)</f>
        <v>-</v>
      </c>
      <c r="S126" s="266">
        <f>_xlfn.XLOOKUP(E126,'All Products'!D:D,'All Products'!M:M,FALSE)</f>
        <v>40049081011077</v>
      </c>
      <c r="T126" s="264">
        <f>_xlfn.XLOOKUP(E126,'All Products'!D:D,'All Products'!N:N,FALSE)</f>
        <v>0.19</v>
      </c>
      <c r="U126" s="264">
        <f>_xlfn.XLOOKUP(E126,'All Products'!D:D,'All Products'!P:P,FALSE)</f>
        <v>0.19</v>
      </c>
      <c r="V126" s="265" t="str">
        <f>_xlfn.XLOOKUP(E126,'All Products'!D:D,'All Products'!Q:Q,FALSE)</f>
        <v>-</v>
      </c>
    </row>
    <row r="127" spans="1:22" ht="14.4" customHeight="1">
      <c r="A127" s="101" t="str">
        <f>IF(K127&gt;0,COUNT($A$8:A126)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27" s="610"/>
      <c r="C127" s="611"/>
      <c r="D127" s="274" t="str">
        <f>_xlfn.XLOOKUP(E127,'All Products'!D:D,'All Products'!C:C,FALSE)</f>
        <v>M85-010</v>
      </c>
      <c r="E127" s="153">
        <v>100028382</v>
      </c>
      <c r="F127" s="144" t="str">
        <f>_xlfn.XLOOKUP(E127,'All Products'!D:D,'All Products'!E:E,FALSE)</f>
        <v>32MM SPIGOT X MS SJ COMP</v>
      </c>
      <c r="G127" s="103">
        <f>_xlfn.XLOOKUP(E127,'All Products'!D:D,'All Products'!F:F,FALSE)</f>
        <v>1</v>
      </c>
      <c r="H127" s="103" t="str">
        <f>_xlfn.XLOOKUP(E127,'All Products'!D:D,'All Products'!G:G,FALSE)</f>
        <v>-</v>
      </c>
      <c r="I127" s="140">
        <f>_xlfn.XLOOKUP(E127,'All Products'!D:D,'All Products'!H:H,FALSE)</f>
        <v>14.82</v>
      </c>
      <c r="J127" s="255">
        <f>ROUNDUP(I127*Order_Quote!$L$27,2)</f>
        <v>14.82</v>
      </c>
      <c r="K127" s="161"/>
      <c r="L127" s="113"/>
      <c r="M127" s="243">
        <f t="shared" si="3"/>
        <v>0</v>
      </c>
      <c r="N127" s="363"/>
      <c r="O127" s="215" t="str">
        <f>_xlfn.XLOOKUP(E127,'All Products'!D:D,'All Products'!I:I,FALSE)</f>
        <v>Within 3 Weeks</v>
      </c>
      <c r="P127" s="215" t="str">
        <f>_xlfn.XLOOKUP(E127,'All Products'!D:D,'All Products'!J:J,FALSE)</f>
        <v>Manufactured</v>
      </c>
      <c r="Q127" s="266">
        <f>_xlfn.XLOOKUP(E127,'All Products'!D:D,'All Products'!K:K,FALSE)</f>
        <v>49081011000</v>
      </c>
      <c r="R127" s="266" t="str">
        <f>_xlfn.XLOOKUP(E127,'All Products'!D:D,'All Products'!L:L,FALSE)</f>
        <v>-</v>
      </c>
      <c r="S127" s="266">
        <f>_xlfn.XLOOKUP(E127,'All Products'!D:D,'All Products'!M:M,FALSE)</f>
        <v>40049081011008</v>
      </c>
      <c r="T127" s="264">
        <f>_xlfn.XLOOKUP(E127,'All Products'!D:D,'All Products'!N:N,FALSE)</f>
        <v>0.22</v>
      </c>
      <c r="U127" s="264">
        <f>_xlfn.XLOOKUP(E127,'All Products'!D:D,'All Products'!P:P,FALSE)</f>
        <v>0.22</v>
      </c>
      <c r="V127" s="265" t="str">
        <f>_xlfn.XLOOKUP(E127,'All Products'!D:D,'All Products'!Q:Q,FALSE)</f>
        <v>-</v>
      </c>
    </row>
    <row r="128" spans="1:22" ht="14.4" customHeight="1">
      <c r="A128" s="101" t="str">
        <f>IF(K128&gt;0,COUNT($A$8:A127)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28" s="610"/>
      <c r="C128" s="611"/>
      <c r="D128" s="274" t="str">
        <f>_xlfn.XLOOKUP(E128,'All Products'!D:D,'All Products'!C:C,FALSE)</f>
        <v>M85-012</v>
      </c>
      <c r="E128" s="153">
        <v>100028383</v>
      </c>
      <c r="F128" s="144" t="str">
        <f>_xlfn.XLOOKUP(E128,'All Products'!D:D,'All Products'!E:E,FALSE)</f>
        <v>40MM SPIGOT X MS SJ COMP</v>
      </c>
      <c r="G128" s="103">
        <f>_xlfn.XLOOKUP(E128,'All Products'!D:D,'All Products'!F:F,FALSE)</f>
        <v>1</v>
      </c>
      <c r="H128" s="103" t="str">
        <f>_xlfn.XLOOKUP(E128,'All Products'!D:D,'All Products'!G:G,FALSE)</f>
        <v>-</v>
      </c>
      <c r="I128" s="140">
        <f>_xlfn.XLOOKUP(E128,'All Products'!D:D,'All Products'!H:H,FALSE)</f>
        <v>18.18</v>
      </c>
      <c r="J128" s="255">
        <f>ROUNDUP(I128*Order_Quote!$L$27,2)</f>
        <v>18.18</v>
      </c>
      <c r="K128" s="161"/>
      <c r="L128" s="113"/>
      <c r="M128" s="243">
        <f t="shared" si="3"/>
        <v>0</v>
      </c>
      <c r="N128" s="363"/>
      <c r="O128" s="215" t="str">
        <f>_xlfn.XLOOKUP(E128,'All Products'!D:D,'All Products'!I:I,FALSE)</f>
        <v>Within 3 Weeks</v>
      </c>
      <c r="P128" s="215" t="str">
        <f>_xlfn.XLOOKUP(E128,'All Products'!D:D,'All Products'!J:J,FALSE)</f>
        <v>Manufactured</v>
      </c>
      <c r="Q128" s="266">
        <f>_xlfn.XLOOKUP(E128,'All Products'!D:D,'All Products'!K:K,FALSE)</f>
        <v>49081011017</v>
      </c>
      <c r="R128" s="266" t="str">
        <f>_xlfn.XLOOKUP(E128,'All Products'!D:D,'All Products'!L:L,FALSE)</f>
        <v>-</v>
      </c>
      <c r="S128" s="266">
        <f>_xlfn.XLOOKUP(E128,'All Products'!D:D,'All Products'!M:M,FALSE)</f>
        <v>40049081011015</v>
      </c>
      <c r="T128" s="264">
        <f>_xlfn.XLOOKUP(E128,'All Products'!D:D,'All Products'!N:N,FALSE)</f>
        <v>0.33</v>
      </c>
      <c r="U128" s="264">
        <f>_xlfn.XLOOKUP(E128,'All Products'!D:D,'All Products'!P:P,FALSE)</f>
        <v>0.33</v>
      </c>
      <c r="V128" s="265" t="str">
        <f>_xlfn.XLOOKUP(E128,'All Products'!D:D,'All Products'!Q:Q,FALSE)</f>
        <v>-</v>
      </c>
    </row>
    <row r="129" spans="1:22" ht="14.4" customHeight="1">
      <c r="A129" s="101" t="str">
        <f>IF(K129&gt;0,COUNT($A$8:A128)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29" s="610"/>
      <c r="C129" s="611"/>
      <c r="D129" s="274" t="str">
        <f>_xlfn.XLOOKUP(E129,'All Products'!D:D,'All Products'!C:C,FALSE)</f>
        <v>M85-015</v>
      </c>
      <c r="E129" s="153">
        <v>100028384</v>
      </c>
      <c r="F129" s="144" t="str">
        <f>_xlfn.XLOOKUP(E129,'All Products'!D:D,'All Products'!E:E,FALSE)</f>
        <v>50MM SPIGOT X MS SJ COMP</v>
      </c>
      <c r="G129" s="103">
        <f>_xlfn.XLOOKUP(E129,'All Products'!D:D,'All Products'!F:F,FALSE)</f>
        <v>1</v>
      </c>
      <c r="H129" s="103" t="str">
        <f>_xlfn.XLOOKUP(E129,'All Products'!D:D,'All Products'!G:G,FALSE)</f>
        <v>-</v>
      </c>
      <c r="I129" s="140">
        <f>_xlfn.XLOOKUP(E129,'All Products'!D:D,'All Products'!H:H,FALSE)</f>
        <v>24</v>
      </c>
      <c r="J129" s="255">
        <f>ROUNDUP(I129*Order_Quote!$L$27,2)</f>
        <v>24</v>
      </c>
      <c r="K129" s="161"/>
      <c r="L129" s="113"/>
      <c r="M129" s="243">
        <f t="shared" si="3"/>
        <v>0</v>
      </c>
      <c r="N129" s="363"/>
      <c r="O129" s="215" t="str">
        <f>_xlfn.XLOOKUP(E129,'All Products'!D:D,'All Products'!I:I,FALSE)</f>
        <v>Within 3 Weeks</v>
      </c>
      <c r="P129" s="215" t="str">
        <f>_xlfn.XLOOKUP(E129,'All Products'!D:D,'All Products'!J:J,FALSE)</f>
        <v>Manufactured</v>
      </c>
      <c r="Q129" s="266">
        <f>_xlfn.XLOOKUP(E129,'All Products'!D:D,'All Products'!K:K,FALSE)</f>
        <v>49081011024</v>
      </c>
      <c r="R129" s="266" t="str">
        <f>_xlfn.XLOOKUP(E129,'All Products'!D:D,'All Products'!L:L,FALSE)</f>
        <v>-</v>
      </c>
      <c r="S129" s="266">
        <f>_xlfn.XLOOKUP(E129,'All Products'!D:D,'All Products'!M:M,FALSE)</f>
        <v>40049081011022</v>
      </c>
      <c r="T129" s="264">
        <f>_xlfn.XLOOKUP(E129,'All Products'!D:D,'All Products'!N:N,FALSE)</f>
        <v>0.36</v>
      </c>
      <c r="U129" s="264">
        <f>_xlfn.XLOOKUP(E129,'All Products'!D:D,'All Products'!P:P,FALSE)</f>
        <v>0.36</v>
      </c>
      <c r="V129" s="265" t="str">
        <f>_xlfn.XLOOKUP(E129,'All Products'!D:D,'All Products'!Q:Q,FALSE)</f>
        <v>-</v>
      </c>
    </row>
    <row r="130" spans="1:22" ht="14.4" customHeight="1">
      <c r="A130" s="101" t="str">
        <f>IF(K130&gt;0,COUNT($A$8:A129)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30" s="610"/>
      <c r="C130" s="611"/>
      <c r="D130" s="274" t="str">
        <f>_xlfn.XLOOKUP(E130,'All Products'!D:D,'All Products'!C:C,FALSE)</f>
        <v>M88-010</v>
      </c>
      <c r="E130" s="153">
        <v>100028385</v>
      </c>
      <c r="F130" s="144" t="str">
        <f>_xlfn.XLOOKUP(E130,'All Products'!D:D,'All Products'!E:E,FALSE)</f>
        <v>32MM SPG X FS SJ COMPT</v>
      </c>
      <c r="G130" s="103">
        <f>_xlfn.XLOOKUP(E130,'All Products'!D:D,'All Products'!F:F,FALSE)</f>
        <v>1</v>
      </c>
      <c r="H130" s="103" t="str">
        <f>_xlfn.XLOOKUP(E130,'All Products'!D:D,'All Products'!G:G,FALSE)</f>
        <v>-</v>
      </c>
      <c r="I130" s="140">
        <f>_xlfn.XLOOKUP(E130,'All Products'!D:D,'All Products'!H:H,FALSE)</f>
        <v>14.03</v>
      </c>
      <c r="J130" s="255">
        <f>ROUNDUP(I130*Order_Quote!$L$27,2)</f>
        <v>14.03</v>
      </c>
      <c r="K130" s="161"/>
      <c r="L130" s="113"/>
      <c r="M130" s="243">
        <f t="shared" si="3"/>
        <v>0</v>
      </c>
      <c r="N130" s="363"/>
      <c r="O130" s="215" t="str">
        <f>_xlfn.XLOOKUP(E130,'All Products'!D:D,'All Products'!I:I,FALSE)</f>
        <v>Within 3 Weeks</v>
      </c>
      <c r="P130" s="215" t="str">
        <f>_xlfn.XLOOKUP(E130,'All Products'!D:D,'All Products'!J:J,FALSE)</f>
        <v>Manufactured</v>
      </c>
      <c r="Q130" s="266">
        <f>_xlfn.XLOOKUP(E130,'All Products'!D:D,'All Products'!K:K,FALSE)</f>
        <v>49081010454</v>
      </c>
      <c r="R130" s="266" t="str">
        <f>_xlfn.XLOOKUP(E130,'All Products'!D:D,'All Products'!L:L,FALSE)</f>
        <v>-</v>
      </c>
      <c r="S130" s="266">
        <f>_xlfn.XLOOKUP(E130,'All Products'!D:D,'All Products'!M:M,FALSE)</f>
        <v>40049081010452</v>
      </c>
      <c r="T130" s="264">
        <f>_xlfn.XLOOKUP(E130,'All Products'!D:D,'All Products'!N:N,FALSE)</f>
        <v>0.14499999999999999</v>
      </c>
      <c r="U130" s="264">
        <f>_xlfn.XLOOKUP(E130,'All Products'!D:D,'All Products'!P:P,FALSE)</f>
        <v>0.14499999999999999</v>
      </c>
      <c r="V130" s="265" t="str">
        <f>_xlfn.XLOOKUP(E130,'All Products'!D:D,'All Products'!Q:Q,FALSE)</f>
        <v>-</v>
      </c>
    </row>
    <row r="131" spans="1:22" ht="14.4" customHeight="1">
      <c r="A131" s="101" t="str">
        <f>IF(K131&gt;0,COUNT($A$8:A130)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31" s="610"/>
      <c r="C131" s="611"/>
      <c r="D131" s="274" t="str">
        <f>_xlfn.XLOOKUP(E131,'All Products'!D:D,'All Products'!C:C,FALSE)</f>
        <v>M88-012</v>
      </c>
      <c r="E131" s="153">
        <v>100028386</v>
      </c>
      <c r="F131" s="144" t="str">
        <f>_xlfn.XLOOKUP(E131,'All Products'!D:D,'All Products'!E:E,FALSE)</f>
        <v>40MM SPG X FS SJ COMPT</v>
      </c>
      <c r="G131" s="103">
        <f>_xlfn.XLOOKUP(E131,'All Products'!D:D,'All Products'!F:F,FALSE)</f>
        <v>1</v>
      </c>
      <c r="H131" s="103" t="str">
        <f>_xlfn.XLOOKUP(E131,'All Products'!D:D,'All Products'!G:G,FALSE)</f>
        <v>-</v>
      </c>
      <c r="I131" s="140">
        <f>_xlfn.XLOOKUP(E131,'All Products'!D:D,'All Products'!H:H,FALSE)</f>
        <v>17.2</v>
      </c>
      <c r="J131" s="255">
        <f>ROUNDUP(I131*Order_Quote!$L$27,2)</f>
        <v>17.2</v>
      </c>
      <c r="K131" s="161"/>
      <c r="L131" s="113"/>
      <c r="M131" s="243">
        <f t="shared" si="3"/>
        <v>0</v>
      </c>
      <c r="N131" s="363"/>
      <c r="O131" s="215" t="str">
        <f>_xlfn.XLOOKUP(E131,'All Products'!D:D,'All Products'!I:I,FALSE)</f>
        <v>Within 3 Weeks</v>
      </c>
      <c r="P131" s="215" t="str">
        <f>_xlfn.XLOOKUP(E131,'All Products'!D:D,'All Products'!J:J,FALSE)</f>
        <v>Manufactured</v>
      </c>
      <c r="Q131" s="266">
        <f>_xlfn.XLOOKUP(E131,'All Products'!D:D,'All Products'!K:K,FALSE)</f>
        <v>49081010461</v>
      </c>
      <c r="R131" s="266" t="str">
        <f>_xlfn.XLOOKUP(E131,'All Products'!D:D,'All Products'!L:L,FALSE)</f>
        <v>-</v>
      </c>
      <c r="S131" s="266">
        <f>_xlfn.XLOOKUP(E131,'All Products'!D:D,'All Products'!M:M,FALSE)</f>
        <v>40049081010469</v>
      </c>
      <c r="T131" s="264">
        <f>_xlfn.XLOOKUP(E131,'All Products'!D:D,'All Products'!N:N,FALSE)</f>
        <v>0.215</v>
      </c>
      <c r="U131" s="264">
        <f>_xlfn.XLOOKUP(E131,'All Products'!D:D,'All Products'!P:P,FALSE)</f>
        <v>0.215</v>
      </c>
      <c r="V131" s="265" t="str">
        <f>_xlfn.XLOOKUP(E131,'All Products'!D:D,'All Products'!Q:Q,FALSE)</f>
        <v>-</v>
      </c>
    </row>
    <row r="132" spans="1:22" ht="14.4" customHeight="1">
      <c r="A132" s="101" t="str">
        <f>IF(K132&gt;0,COUNT($A$8:A131)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32" s="610"/>
      <c r="C132" s="611"/>
      <c r="D132" s="274" t="str">
        <f>_xlfn.XLOOKUP(E132,'All Products'!D:D,'All Products'!C:C,FALSE)</f>
        <v>M88-015</v>
      </c>
      <c r="E132" s="153">
        <v>100028387</v>
      </c>
      <c r="F132" s="144" t="str">
        <f>_xlfn.XLOOKUP(E132,'All Products'!D:D,'All Products'!E:E,FALSE)</f>
        <v>50MM SPG X FS SJ COMPT</v>
      </c>
      <c r="G132" s="103">
        <f>_xlfn.XLOOKUP(E132,'All Products'!D:D,'All Products'!F:F,FALSE)</f>
        <v>1</v>
      </c>
      <c r="H132" s="103" t="str">
        <f>_xlfn.XLOOKUP(E132,'All Products'!D:D,'All Products'!G:G,FALSE)</f>
        <v>-</v>
      </c>
      <c r="I132" s="140">
        <f>_xlfn.XLOOKUP(E132,'All Products'!D:D,'All Products'!H:H,FALSE)</f>
        <v>22.86</v>
      </c>
      <c r="J132" s="255">
        <f>ROUNDUP(I132*Order_Quote!$L$27,2)</f>
        <v>22.86</v>
      </c>
      <c r="K132" s="161"/>
      <c r="L132" s="113"/>
      <c r="M132" s="243">
        <f t="shared" si="3"/>
        <v>0</v>
      </c>
      <c r="N132" s="363"/>
      <c r="O132" s="215" t="str">
        <f>_xlfn.XLOOKUP(E132,'All Products'!D:D,'All Products'!I:I,FALSE)</f>
        <v>Within 3 Weeks</v>
      </c>
      <c r="P132" s="215" t="str">
        <f>_xlfn.XLOOKUP(E132,'All Products'!D:D,'All Products'!J:J,FALSE)</f>
        <v>Manufactured</v>
      </c>
      <c r="Q132" s="266">
        <f>_xlfn.XLOOKUP(E132,'All Products'!D:D,'All Products'!K:K,FALSE)</f>
        <v>49081010478</v>
      </c>
      <c r="R132" s="266" t="str">
        <f>_xlfn.XLOOKUP(E132,'All Products'!D:D,'All Products'!L:L,FALSE)</f>
        <v>-</v>
      </c>
      <c r="S132" s="266">
        <f>_xlfn.XLOOKUP(E132,'All Products'!D:D,'All Products'!M:M,FALSE)</f>
        <v>40049081010476</v>
      </c>
      <c r="T132" s="264">
        <f>_xlfn.XLOOKUP(E132,'All Products'!D:D,'All Products'!N:N,FALSE)</f>
        <v>0.27</v>
      </c>
      <c r="U132" s="264">
        <f>_xlfn.XLOOKUP(E132,'All Products'!D:D,'All Products'!P:P,FALSE)</f>
        <v>0.27</v>
      </c>
      <c r="V132" s="265" t="str">
        <f>_xlfn.XLOOKUP(E132,'All Products'!D:D,'All Products'!Q:Q,FALSE)</f>
        <v>-</v>
      </c>
    </row>
    <row r="133" spans="1:22" ht="14.4" customHeight="1">
      <c r="A133" s="101" t="str">
        <f>IF(K133&gt;0,COUNT($A$8:A132)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33" s="610"/>
      <c r="C133" s="611"/>
      <c r="D133" s="274" t="str">
        <f>_xlfn.XLOOKUP(E133,'All Products'!D:D,'All Products'!C:C,FALSE)</f>
        <v>M89-010</v>
      </c>
      <c r="E133" s="153">
        <v>100028388</v>
      </c>
      <c r="F133" s="144" t="str">
        <f>_xlfn.XLOOKUP(E133,'All Products'!D:D,'All Products'!E:E,FALSE)</f>
        <v>32MM SOC X FS SJ COMPT</v>
      </c>
      <c r="G133" s="103">
        <f>_xlfn.XLOOKUP(E133,'All Products'!D:D,'All Products'!F:F,FALSE)</f>
        <v>1</v>
      </c>
      <c r="H133" s="103" t="str">
        <f>_xlfn.XLOOKUP(E133,'All Products'!D:D,'All Products'!G:G,FALSE)</f>
        <v>-</v>
      </c>
      <c r="I133" s="140">
        <f>_xlfn.XLOOKUP(E133,'All Products'!D:D,'All Products'!H:H,FALSE)</f>
        <v>14.03</v>
      </c>
      <c r="J133" s="255">
        <f>ROUNDUP(I133*Order_Quote!$L$27,2)</f>
        <v>14.03</v>
      </c>
      <c r="K133" s="161"/>
      <c r="L133" s="113"/>
      <c r="M133" s="243">
        <f t="shared" si="3"/>
        <v>0</v>
      </c>
      <c r="N133" s="363"/>
      <c r="O133" s="215" t="str">
        <f>_xlfn.XLOOKUP(E133,'All Products'!D:D,'All Products'!I:I,FALSE)</f>
        <v>Within 3 Weeks</v>
      </c>
      <c r="P133" s="215" t="str">
        <f>_xlfn.XLOOKUP(E133,'All Products'!D:D,'All Products'!J:J,FALSE)</f>
        <v>Manufactured</v>
      </c>
      <c r="Q133" s="266">
        <f>_xlfn.XLOOKUP(E133,'All Products'!D:D,'All Products'!K:K,FALSE)</f>
        <v>49081010508</v>
      </c>
      <c r="R133" s="266" t="str">
        <f>_xlfn.XLOOKUP(E133,'All Products'!D:D,'All Products'!L:L,FALSE)</f>
        <v>-</v>
      </c>
      <c r="S133" s="266">
        <f>_xlfn.XLOOKUP(E133,'All Products'!D:D,'All Products'!M:M,FALSE)</f>
        <v>40049081010506</v>
      </c>
      <c r="T133" s="264">
        <f>_xlfn.XLOOKUP(E133,'All Products'!D:D,'All Products'!N:N,FALSE)</f>
        <v>0.15</v>
      </c>
      <c r="U133" s="264">
        <f>_xlfn.XLOOKUP(E133,'All Products'!D:D,'All Products'!P:P,FALSE)</f>
        <v>0.15</v>
      </c>
      <c r="V133" s="265" t="str">
        <f>_xlfn.XLOOKUP(E133,'All Products'!D:D,'All Products'!Q:Q,FALSE)</f>
        <v>-</v>
      </c>
    </row>
    <row r="134" spans="1:22" ht="14.4" customHeight="1">
      <c r="A134" s="101" t="str">
        <f>IF(K134&gt;0,COUNT($A$8:A133)
+COUNT('DWV PVC'!$A$9:$A$316)
+COUNT('DWV ABS'!$A$8:$A$116)
+COUNT('PVC SCH40'!$A$8:$A$424)
+COUNT('PVC SCH40 LD'!$A$8:$A$21)
+COUNT('Pool &amp; SPA Sweep Elbows'!$A$8:$A$11)
+COUNT('Pool &amp; SPA Pipe Extender'!$A$8:$A$10)
+COUNT('PVC SCH80'!$A$8:$A$249)
+COUNT('PVC SCH80 Flange'!$A$8:$A$48)
+COUNT('PVC SCH80 LD Flange'!$A$8:$A$16)
+COUNT(CPVC!$A$9:$A$104)
+COUNT(InsertFittings!$A$9:$A$184)
+COUNT(Valves!$A$9:$A$91)
+COUNT(SDR35SW!$A$9:$A$132)
+COUNT(SDR35G!$A$9:$A$150)
+COUNT(SDR26G!$A$9:$A$66)
+COUNT(Cements!$A$8:$A$94)
+COUNT(ValveBox!$A$9:$A$123)
+COUNT('ValveBox Components'!$A$9:$A$141)
+COUNT(Drainage!$A$8:$A$68)
+COUNT(Nipples!$A$9:$A$81)
+COUNT(Manifold!$A$9:$A$32)
+COUNT(FlexibleRepairCouplings!$A$9:$A$11)
+COUNT(DuraFix!$A$9:$A$14)
+COUNT('Compression Fittings'!$A$8:$A$15)
+COUNT('Hose Fittings'!$A$8:$A$29)
+COUNT('Swing Joints'!$A$9:$A$494)+1,"")</f>
        <v/>
      </c>
      <c r="B134" s="612"/>
      <c r="C134" s="613"/>
      <c r="D134" s="274" t="str">
        <f>_xlfn.XLOOKUP(E134,'All Products'!D:D,'All Products'!C:C,FALSE)</f>
        <v>M89-012</v>
      </c>
      <c r="E134" s="153">
        <v>100028389</v>
      </c>
      <c r="F134" s="144" t="str">
        <f>_xlfn.XLOOKUP(E134,'All Products'!D:D,'All Products'!E:E,FALSE)</f>
        <v>40MM SOC X FS SJ COMPT</v>
      </c>
      <c r="G134" s="103">
        <f>_xlfn.XLOOKUP(E134,'All Products'!D:D,'All Products'!F:F,FALSE)</f>
        <v>1</v>
      </c>
      <c r="H134" s="103" t="str">
        <f>_xlfn.XLOOKUP(E134,'All Products'!D:D,'All Products'!G:G,FALSE)</f>
        <v>-</v>
      </c>
      <c r="I134" s="140">
        <f>_xlfn.XLOOKUP(E134,'All Products'!D:D,'All Products'!H:H,FALSE)</f>
        <v>17.2</v>
      </c>
      <c r="J134" s="255">
        <f>ROUNDUP(I134*Order_Quote!$L$27,2)</f>
        <v>17.2</v>
      </c>
      <c r="K134" s="161"/>
      <c r="L134" s="239"/>
      <c r="M134" s="243">
        <f t="shared" si="3"/>
        <v>0</v>
      </c>
      <c r="N134" s="363"/>
      <c r="O134" s="215" t="str">
        <f>_xlfn.XLOOKUP(E134,'All Products'!D:D,'All Products'!I:I,FALSE)</f>
        <v>Within 3 Weeks</v>
      </c>
      <c r="P134" s="215" t="str">
        <f>_xlfn.XLOOKUP(E134,'All Products'!D:D,'All Products'!J:J,FALSE)</f>
        <v>Manufactured</v>
      </c>
      <c r="Q134" s="266">
        <f>_xlfn.XLOOKUP(E134,'All Products'!D:D,'All Products'!K:K,FALSE)</f>
        <v>49081010515</v>
      </c>
      <c r="R134" s="266" t="str">
        <f>_xlfn.XLOOKUP(E134,'All Products'!D:D,'All Products'!L:L,FALSE)</f>
        <v>-</v>
      </c>
      <c r="S134" s="266">
        <f>_xlfn.XLOOKUP(E134,'All Products'!D:D,'All Products'!M:M,FALSE)</f>
        <v>40049081010513</v>
      </c>
      <c r="T134" s="264">
        <f>_xlfn.XLOOKUP(E134,'All Products'!D:D,'All Products'!N:N,FALSE)</f>
        <v>0.215</v>
      </c>
      <c r="U134" s="264">
        <f>_xlfn.XLOOKUP(E134,'All Products'!D:D,'All Products'!P:P,FALSE)</f>
        <v>0.215</v>
      </c>
      <c r="V134" s="265" t="str">
        <f>_xlfn.XLOOKUP(E134,'All Products'!D:D,'All Products'!Q:Q,FALSE)</f>
        <v>-</v>
      </c>
    </row>
    <row r="135" spans="1:22" ht="15" customHeight="1">
      <c r="A135" s="101">
        <f>MAX(A9:A134)+1</f>
        <v>1</v>
      </c>
    </row>
    <row r="136" spans="1:22" s="139" customFormat="1" ht="15" hidden="1" customHeight="1">
      <c r="A136" s="261"/>
      <c r="D136" s="141"/>
      <c r="Q136" s="463"/>
      <c r="R136" s="463"/>
      <c r="S136" s="463"/>
    </row>
    <row r="137" spans="1:22" s="139" customFormat="1" ht="15" hidden="1" customHeight="1">
      <c r="A137" s="261"/>
      <c r="D137" s="141"/>
      <c r="Q137" s="463"/>
      <c r="R137" s="463"/>
      <c r="S137" s="463"/>
    </row>
    <row r="138" spans="1:22" s="139" customFormat="1" ht="15" hidden="1" customHeight="1">
      <c r="A138" s="261"/>
      <c r="D138" s="141"/>
      <c r="Q138" s="463"/>
      <c r="R138" s="463"/>
      <c r="S138" s="463"/>
    </row>
    <row r="139" spans="1:22" s="139" customFormat="1" ht="15" hidden="1" customHeight="1">
      <c r="A139" s="261"/>
      <c r="D139" s="141"/>
      <c r="Q139" s="463"/>
      <c r="R139" s="463"/>
      <c r="S139" s="463"/>
    </row>
    <row r="140" spans="1:22" s="139" customFormat="1" ht="15" hidden="1" customHeight="1">
      <c r="A140" s="261"/>
      <c r="D140" s="141"/>
      <c r="Q140" s="463"/>
      <c r="R140" s="463"/>
      <c r="S140" s="463"/>
    </row>
    <row r="141" spans="1:22" s="139" customFormat="1" ht="15" hidden="1" customHeight="1">
      <c r="A141" s="261"/>
      <c r="D141" s="141"/>
      <c r="Q141" s="463"/>
      <c r="R141" s="463"/>
      <c r="S141" s="463"/>
    </row>
    <row r="142" spans="1:22" s="139" customFormat="1" ht="15" hidden="1" customHeight="1">
      <c r="A142" s="261"/>
      <c r="D142" s="141"/>
      <c r="Q142" s="463"/>
      <c r="R142" s="463"/>
      <c r="S142" s="463"/>
    </row>
    <row r="143" spans="1:22" s="139" customFormat="1" ht="15" hidden="1" customHeight="1">
      <c r="A143" s="261"/>
      <c r="D143" s="141"/>
      <c r="Q143" s="463"/>
      <c r="R143" s="463"/>
      <c r="S143" s="463"/>
    </row>
    <row r="144" spans="1:22" s="139" customFormat="1" ht="15" hidden="1" customHeight="1">
      <c r="A144" s="261"/>
      <c r="D144" s="141"/>
      <c r="Q144" s="463"/>
      <c r="R144" s="463"/>
      <c r="S144" s="463"/>
    </row>
    <row r="145" spans="1:19" s="139" customFormat="1" ht="15" hidden="1" customHeight="1">
      <c r="A145" s="261"/>
      <c r="D145" s="141"/>
      <c r="Q145" s="463"/>
      <c r="R145" s="463"/>
      <c r="S145" s="463"/>
    </row>
    <row r="146" spans="1:19" s="139" customFormat="1" ht="15" hidden="1" customHeight="1">
      <c r="A146" s="261"/>
      <c r="D146" s="141"/>
      <c r="Q146" s="463"/>
      <c r="R146" s="463"/>
      <c r="S146" s="463"/>
    </row>
    <row r="147" spans="1:19" s="139" customFormat="1" ht="15" hidden="1" customHeight="1">
      <c r="A147" s="261"/>
      <c r="D147" s="141"/>
      <c r="Q147" s="463"/>
      <c r="R147" s="463"/>
      <c r="S147" s="463"/>
    </row>
    <row r="148" spans="1:19" s="139" customFormat="1" ht="15" hidden="1" customHeight="1">
      <c r="A148" s="261"/>
      <c r="D148" s="141"/>
      <c r="Q148" s="463"/>
      <c r="R148" s="463"/>
      <c r="S148" s="463"/>
    </row>
    <row r="149" spans="1:19" s="139" customFormat="1" ht="15" hidden="1" customHeight="1">
      <c r="A149" s="261"/>
      <c r="D149" s="141"/>
      <c r="Q149" s="463"/>
      <c r="R149" s="463"/>
      <c r="S149" s="463"/>
    </row>
    <row r="150" spans="1:19" s="139" customFormat="1" ht="15" hidden="1" customHeight="1">
      <c r="A150" s="261"/>
      <c r="D150" s="141"/>
      <c r="Q150" s="463"/>
      <c r="R150" s="463"/>
      <c r="S150" s="463"/>
    </row>
    <row r="151" spans="1:19" s="139" customFormat="1" ht="15" hidden="1" customHeight="1">
      <c r="A151" s="261"/>
      <c r="D151" s="141"/>
      <c r="Q151" s="463"/>
      <c r="R151" s="463"/>
      <c r="S151" s="463"/>
    </row>
    <row r="152" spans="1:19" s="139" customFormat="1" ht="15" hidden="1" customHeight="1">
      <c r="A152" s="261"/>
      <c r="D152" s="141"/>
      <c r="Q152" s="463"/>
      <c r="R152" s="463"/>
      <c r="S152" s="463"/>
    </row>
    <row r="153" spans="1:19" s="139" customFormat="1" ht="15" hidden="1" customHeight="1">
      <c r="A153" s="261"/>
      <c r="D153" s="141"/>
      <c r="Q153" s="463"/>
      <c r="R153" s="463"/>
      <c r="S153" s="463"/>
    </row>
    <row r="154" spans="1:19" s="139" customFormat="1" ht="15" hidden="1" customHeight="1">
      <c r="A154" s="261"/>
      <c r="D154" s="141"/>
      <c r="Q154" s="463"/>
      <c r="R154" s="463"/>
      <c r="S154" s="463"/>
    </row>
    <row r="155" spans="1:19" s="139" customFormat="1" ht="15" hidden="1" customHeight="1">
      <c r="A155" s="261"/>
      <c r="D155" s="141"/>
      <c r="Q155" s="463"/>
      <c r="R155" s="463"/>
      <c r="S155" s="463"/>
    </row>
    <row r="156" spans="1:19" s="139" customFormat="1" ht="15" hidden="1" customHeight="1">
      <c r="A156" s="261"/>
      <c r="D156" s="141"/>
      <c r="Q156" s="463"/>
      <c r="R156" s="463"/>
      <c r="S156" s="463"/>
    </row>
    <row r="157" spans="1:19" s="139" customFormat="1" ht="15" hidden="1" customHeight="1">
      <c r="A157" s="261"/>
      <c r="D157" s="141"/>
      <c r="Q157" s="463"/>
      <c r="R157" s="463"/>
      <c r="S157" s="463"/>
    </row>
    <row r="158" spans="1:19" s="139" customFormat="1" ht="15" hidden="1" customHeight="1">
      <c r="A158" s="261"/>
      <c r="D158" s="141"/>
      <c r="Q158" s="463"/>
      <c r="R158" s="463"/>
      <c r="S158" s="463"/>
    </row>
    <row r="159" spans="1:19" s="139" customFormat="1" ht="15" hidden="1" customHeight="1">
      <c r="A159" s="261"/>
      <c r="D159" s="141"/>
      <c r="Q159" s="463"/>
      <c r="R159" s="463"/>
      <c r="S159" s="463"/>
    </row>
    <row r="160" spans="1:19" s="139" customFormat="1" ht="15" hidden="1" customHeight="1">
      <c r="A160" s="261"/>
      <c r="D160" s="141"/>
      <c r="Q160" s="463"/>
      <c r="R160" s="463"/>
      <c r="S160" s="463"/>
    </row>
    <row r="161" spans="1:19" s="139" customFormat="1" ht="15" hidden="1" customHeight="1">
      <c r="A161" s="261"/>
      <c r="D161" s="141"/>
      <c r="Q161" s="463"/>
      <c r="R161" s="463"/>
      <c r="S161" s="463"/>
    </row>
    <row r="162" spans="1:19" s="139" customFormat="1" ht="15" hidden="1" customHeight="1">
      <c r="A162" s="261"/>
      <c r="D162" s="141"/>
      <c r="Q162" s="463"/>
      <c r="R162" s="463"/>
      <c r="S162" s="463"/>
    </row>
    <row r="163" spans="1:19" s="139" customFormat="1" ht="15" hidden="1" customHeight="1">
      <c r="A163" s="261"/>
      <c r="D163" s="141"/>
      <c r="Q163" s="463"/>
      <c r="R163" s="463"/>
      <c r="S163" s="463"/>
    </row>
    <row r="164" spans="1:19" s="139" customFormat="1" ht="15" hidden="1" customHeight="1">
      <c r="A164" s="261"/>
      <c r="D164" s="141"/>
      <c r="Q164" s="463"/>
      <c r="R164" s="463"/>
      <c r="S164" s="463"/>
    </row>
    <row r="165" spans="1:19" s="139" customFormat="1" ht="15" hidden="1" customHeight="1">
      <c r="A165" s="261"/>
      <c r="D165" s="141"/>
      <c r="Q165" s="463"/>
      <c r="R165" s="463"/>
      <c r="S165" s="463"/>
    </row>
    <row r="166" spans="1:19" s="139" customFormat="1" ht="15" hidden="1" customHeight="1">
      <c r="A166" s="261"/>
      <c r="D166" s="141"/>
      <c r="Q166" s="463"/>
      <c r="R166" s="463"/>
      <c r="S166" s="463"/>
    </row>
    <row r="167" spans="1:19" s="139" customFormat="1" ht="15" hidden="1" customHeight="1">
      <c r="A167" s="261"/>
      <c r="D167" s="141"/>
      <c r="Q167" s="463"/>
      <c r="R167" s="463"/>
      <c r="S167" s="463"/>
    </row>
    <row r="168" spans="1:19" s="139" customFormat="1" ht="15" hidden="1" customHeight="1">
      <c r="A168" s="261"/>
      <c r="D168" s="141"/>
      <c r="Q168" s="463"/>
      <c r="R168" s="463"/>
      <c r="S168" s="463"/>
    </row>
    <row r="169" spans="1:19" s="139" customFormat="1" ht="15" hidden="1" customHeight="1">
      <c r="A169" s="261"/>
      <c r="D169" s="141"/>
      <c r="Q169" s="463"/>
      <c r="R169" s="463"/>
      <c r="S169" s="463"/>
    </row>
    <row r="170" spans="1:19" s="139" customFormat="1" ht="15" hidden="1" customHeight="1">
      <c r="A170" s="261"/>
      <c r="D170" s="141"/>
      <c r="Q170" s="463"/>
      <c r="R170" s="463"/>
      <c r="S170" s="463"/>
    </row>
    <row r="171" spans="1:19" s="139" customFormat="1" ht="15" hidden="1" customHeight="1">
      <c r="A171" s="261"/>
      <c r="D171" s="141"/>
      <c r="Q171" s="463"/>
      <c r="R171" s="463"/>
      <c r="S171" s="463"/>
    </row>
    <row r="172" spans="1:19" s="139" customFormat="1" ht="15" hidden="1" customHeight="1">
      <c r="A172" s="261"/>
      <c r="D172" s="141"/>
      <c r="Q172" s="463"/>
      <c r="R172" s="463"/>
      <c r="S172" s="463"/>
    </row>
    <row r="173" spans="1:19" s="139" customFormat="1" ht="15" hidden="1" customHeight="1">
      <c r="A173" s="261"/>
      <c r="D173" s="141"/>
      <c r="Q173" s="463"/>
      <c r="R173" s="463"/>
      <c r="S173" s="463"/>
    </row>
    <row r="174" spans="1:19" s="139" customFormat="1" ht="15" hidden="1" customHeight="1">
      <c r="A174" s="261"/>
      <c r="D174" s="141"/>
      <c r="Q174" s="463"/>
      <c r="R174" s="463"/>
      <c r="S174" s="463"/>
    </row>
    <row r="175" spans="1:19" s="139" customFormat="1" ht="15" hidden="1" customHeight="1">
      <c r="A175" s="261"/>
      <c r="D175" s="141"/>
      <c r="Q175" s="463"/>
      <c r="R175" s="463"/>
      <c r="S175" s="463"/>
    </row>
    <row r="176" spans="1:19" s="139" customFormat="1" ht="15" hidden="1" customHeight="1">
      <c r="A176" s="261"/>
      <c r="D176" s="141"/>
      <c r="Q176" s="463"/>
      <c r="R176" s="463"/>
      <c r="S176" s="463"/>
    </row>
    <row r="177" spans="1:19" s="139" customFormat="1" ht="15" hidden="1" customHeight="1">
      <c r="A177" s="261"/>
      <c r="D177" s="141"/>
      <c r="Q177" s="463"/>
      <c r="R177" s="463"/>
      <c r="S177" s="463"/>
    </row>
    <row r="178" spans="1:19" s="139" customFormat="1" ht="15" hidden="1" customHeight="1">
      <c r="A178" s="261"/>
      <c r="D178" s="141"/>
      <c r="Q178" s="463"/>
      <c r="R178" s="463"/>
      <c r="S178" s="463"/>
    </row>
    <row r="179" spans="1:19" s="139" customFormat="1" ht="15" hidden="1" customHeight="1">
      <c r="A179" s="261"/>
      <c r="D179" s="141"/>
      <c r="Q179" s="463"/>
      <c r="R179" s="463"/>
      <c r="S179" s="463"/>
    </row>
    <row r="180" spans="1:19" s="139" customFormat="1" ht="15" hidden="1" customHeight="1">
      <c r="A180" s="261"/>
      <c r="D180" s="141"/>
      <c r="Q180" s="463"/>
      <c r="R180" s="463"/>
      <c r="S180" s="463"/>
    </row>
    <row r="181" spans="1:19" s="139" customFormat="1" ht="15" hidden="1" customHeight="1">
      <c r="A181" s="261"/>
      <c r="D181" s="141"/>
      <c r="Q181" s="463"/>
      <c r="R181" s="463"/>
      <c r="S181" s="463"/>
    </row>
    <row r="182" spans="1:19" s="139" customFormat="1" ht="15" hidden="1" customHeight="1">
      <c r="A182" s="261"/>
      <c r="D182" s="141"/>
      <c r="Q182" s="463"/>
      <c r="R182" s="463"/>
      <c r="S182" s="463"/>
    </row>
    <row r="183" spans="1:19" s="139" customFormat="1" ht="15" hidden="1" customHeight="1">
      <c r="A183" s="261"/>
      <c r="D183" s="141"/>
      <c r="Q183" s="463"/>
      <c r="R183" s="463"/>
      <c r="S183" s="463"/>
    </row>
    <row r="184" spans="1:19" s="139" customFormat="1" ht="15" hidden="1" customHeight="1">
      <c r="A184" s="261"/>
      <c r="D184" s="141"/>
      <c r="Q184" s="463"/>
      <c r="R184" s="463"/>
      <c r="S184" s="463"/>
    </row>
    <row r="185" spans="1:19" s="139" customFormat="1" ht="15" hidden="1" customHeight="1">
      <c r="A185" s="261"/>
      <c r="D185" s="141"/>
      <c r="Q185" s="463"/>
      <c r="R185" s="463"/>
      <c r="S185" s="463"/>
    </row>
    <row r="186" spans="1:19" s="139" customFormat="1" ht="15" hidden="1" customHeight="1">
      <c r="A186" s="261"/>
      <c r="D186" s="141"/>
      <c r="Q186" s="463"/>
      <c r="R186" s="463"/>
      <c r="S186" s="463"/>
    </row>
    <row r="187" spans="1:19" s="139" customFormat="1" ht="15" hidden="1" customHeight="1">
      <c r="A187" s="261"/>
      <c r="D187" s="141"/>
      <c r="Q187" s="463"/>
      <c r="R187" s="463"/>
      <c r="S187" s="463"/>
    </row>
    <row r="188" spans="1:19" s="139" customFormat="1" ht="15" hidden="1" customHeight="1">
      <c r="A188" s="261"/>
      <c r="D188" s="141"/>
      <c r="Q188" s="463"/>
      <c r="R188" s="463"/>
      <c r="S188" s="463"/>
    </row>
    <row r="189" spans="1:19" s="139" customFormat="1" ht="15" hidden="1" customHeight="1">
      <c r="A189" s="261"/>
      <c r="D189" s="141"/>
      <c r="Q189" s="463"/>
      <c r="R189" s="463"/>
      <c r="S189" s="463"/>
    </row>
    <row r="190" spans="1:19" s="139" customFormat="1" ht="15" hidden="1" customHeight="1">
      <c r="A190" s="261"/>
      <c r="D190" s="141"/>
      <c r="Q190" s="463"/>
      <c r="R190" s="463"/>
      <c r="S190" s="463"/>
    </row>
    <row r="191" spans="1:19" s="139" customFormat="1" ht="15" hidden="1" customHeight="1">
      <c r="A191" s="261"/>
      <c r="D191" s="141"/>
      <c r="Q191" s="463"/>
      <c r="R191" s="463"/>
      <c r="S191" s="463"/>
    </row>
    <row r="192" spans="1:19" s="139" customFormat="1" ht="15" hidden="1" customHeight="1">
      <c r="A192" s="261"/>
      <c r="D192" s="141"/>
      <c r="Q192" s="463"/>
      <c r="R192" s="463"/>
      <c r="S192" s="463"/>
    </row>
    <row r="193" spans="1:19" s="139" customFormat="1" ht="15" hidden="1" customHeight="1">
      <c r="A193" s="261"/>
      <c r="D193" s="141"/>
      <c r="Q193" s="463"/>
      <c r="R193" s="463"/>
      <c r="S193" s="463"/>
    </row>
    <row r="194" spans="1:19" s="139" customFormat="1" ht="15" hidden="1" customHeight="1">
      <c r="A194" s="261"/>
      <c r="D194" s="141"/>
      <c r="Q194" s="463"/>
      <c r="R194" s="463"/>
      <c r="S194" s="463"/>
    </row>
    <row r="195" spans="1:19" s="139" customFormat="1" ht="15" hidden="1" customHeight="1">
      <c r="A195" s="261"/>
      <c r="D195" s="141"/>
      <c r="Q195" s="463"/>
      <c r="R195" s="463"/>
      <c r="S195" s="463"/>
    </row>
    <row r="196" spans="1:19" s="139" customFormat="1" ht="15" hidden="1" customHeight="1">
      <c r="A196" s="261"/>
      <c r="D196" s="141"/>
      <c r="Q196" s="463"/>
      <c r="R196" s="463"/>
      <c r="S196" s="463"/>
    </row>
    <row r="197" spans="1:19" s="139" customFormat="1" ht="15" hidden="1" customHeight="1">
      <c r="A197" s="261"/>
      <c r="D197" s="141"/>
      <c r="Q197" s="463"/>
      <c r="R197" s="463"/>
      <c r="S197" s="463"/>
    </row>
    <row r="198" spans="1:19" s="139" customFormat="1" ht="15" hidden="1" customHeight="1">
      <c r="A198" s="261"/>
      <c r="D198" s="141"/>
      <c r="Q198" s="463"/>
      <c r="R198" s="463"/>
      <c r="S198" s="463"/>
    </row>
    <row r="199" spans="1:19" s="139" customFormat="1" ht="15" hidden="1" customHeight="1">
      <c r="A199" s="261"/>
      <c r="D199" s="141"/>
      <c r="Q199" s="463"/>
      <c r="R199" s="463"/>
      <c r="S199" s="463"/>
    </row>
    <row r="200" spans="1:19" s="139" customFormat="1" ht="15" hidden="1" customHeight="1">
      <c r="A200" s="261"/>
      <c r="D200" s="141"/>
      <c r="Q200" s="463"/>
      <c r="R200" s="463"/>
      <c r="S200" s="463"/>
    </row>
    <row r="201" spans="1:19" s="139" customFormat="1" ht="15" hidden="1" customHeight="1">
      <c r="A201" s="261"/>
      <c r="D201" s="141"/>
      <c r="Q201" s="463"/>
      <c r="R201" s="463"/>
      <c r="S201" s="463"/>
    </row>
    <row r="202" spans="1:19" s="139" customFormat="1" ht="15" hidden="1" customHeight="1">
      <c r="A202" s="261"/>
      <c r="D202" s="141"/>
      <c r="Q202" s="463"/>
      <c r="R202" s="463"/>
      <c r="S202" s="463"/>
    </row>
    <row r="203" spans="1:19" s="139" customFormat="1" ht="15" hidden="1" customHeight="1">
      <c r="A203" s="261"/>
      <c r="D203" s="141"/>
      <c r="Q203" s="463"/>
      <c r="R203" s="463"/>
      <c r="S203" s="463"/>
    </row>
    <row r="204" spans="1:19" s="139" customFormat="1" ht="15" hidden="1" customHeight="1">
      <c r="A204" s="261"/>
      <c r="D204" s="141"/>
      <c r="Q204" s="463"/>
      <c r="R204" s="463"/>
      <c r="S204" s="463"/>
    </row>
    <row r="205" spans="1:19" s="139" customFormat="1" ht="15" hidden="1" customHeight="1">
      <c r="A205" s="261"/>
      <c r="D205" s="141"/>
      <c r="Q205" s="463"/>
      <c r="R205" s="463"/>
      <c r="S205" s="463"/>
    </row>
    <row r="206" spans="1:19" s="139" customFormat="1" ht="15" hidden="1" customHeight="1">
      <c r="A206" s="261"/>
      <c r="D206" s="141"/>
      <c r="Q206" s="463"/>
      <c r="R206" s="463"/>
      <c r="S206" s="463"/>
    </row>
    <row r="207" spans="1:19" s="139" customFormat="1" ht="15" hidden="1" customHeight="1">
      <c r="A207" s="261"/>
      <c r="D207" s="141"/>
      <c r="Q207" s="463"/>
      <c r="R207" s="463"/>
      <c r="S207" s="463"/>
    </row>
    <row r="208" spans="1:19" s="139" customFormat="1" ht="15" hidden="1" customHeight="1">
      <c r="A208" s="261"/>
      <c r="D208" s="141"/>
      <c r="Q208" s="463"/>
      <c r="R208" s="463"/>
      <c r="S208" s="463"/>
    </row>
    <row r="209" spans="1:19" s="139" customFormat="1" ht="15" hidden="1" customHeight="1">
      <c r="A209" s="261"/>
      <c r="D209" s="141"/>
      <c r="Q209" s="463"/>
      <c r="R209" s="463"/>
      <c r="S209" s="463"/>
    </row>
    <row r="210" spans="1:19" s="139" customFormat="1" ht="15" hidden="1" customHeight="1">
      <c r="A210" s="261"/>
      <c r="D210" s="141"/>
      <c r="Q210" s="463"/>
      <c r="R210" s="463"/>
      <c r="S210" s="463"/>
    </row>
    <row r="211" spans="1:19" s="139" customFormat="1" ht="15" hidden="1" customHeight="1">
      <c r="A211" s="261"/>
      <c r="D211" s="141"/>
      <c r="Q211" s="463"/>
      <c r="R211" s="463"/>
      <c r="S211" s="463"/>
    </row>
    <row r="212" spans="1:19" s="139" customFormat="1" ht="15" hidden="1" customHeight="1">
      <c r="A212" s="261"/>
      <c r="D212" s="141"/>
      <c r="Q212" s="463"/>
      <c r="R212" s="463"/>
      <c r="S212" s="463"/>
    </row>
    <row r="213" spans="1:19" s="139" customFormat="1" ht="15" hidden="1" customHeight="1">
      <c r="A213" s="261"/>
      <c r="D213" s="141"/>
      <c r="Q213" s="463"/>
      <c r="R213" s="463"/>
      <c r="S213" s="463"/>
    </row>
    <row r="214" spans="1:19" s="139" customFormat="1" ht="15" hidden="1" customHeight="1">
      <c r="A214" s="261"/>
      <c r="D214" s="141"/>
      <c r="Q214" s="463"/>
      <c r="R214" s="463"/>
      <c r="S214" s="463"/>
    </row>
    <row r="215" spans="1:19" s="139" customFormat="1" ht="15" hidden="1" customHeight="1">
      <c r="A215" s="261"/>
      <c r="D215" s="141"/>
      <c r="Q215" s="463"/>
      <c r="R215" s="463"/>
      <c r="S215" s="463"/>
    </row>
    <row r="216" spans="1:19" s="139" customFormat="1" ht="15" hidden="1" customHeight="1">
      <c r="A216" s="261"/>
      <c r="D216" s="141"/>
      <c r="Q216" s="463"/>
      <c r="R216" s="463"/>
      <c r="S216" s="463"/>
    </row>
    <row r="217" spans="1:19" s="139" customFormat="1" ht="15" hidden="1" customHeight="1">
      <c r="A217" s="261"/>
      <c r="D217" s="141"/>
      <c r="Q217" s="463"/>
      <c r="R217" s="463"/>
      <c r="S217" s="463"/>
    </row>
    <row r="218" spans="1:19" s="139" customFormat="1" ht="15" hidden="1" customHeight="1">
      <c r="A218" s="261"/>
      <c r="D218" s="141"/>
      <c r="Q218" s="463"/>
      <c r="R218" s="463"/>
      <c r="S218" s="463"/>
    </row>
    <row r="219" spans="1:19" s="139" customFormat="1" ht="15" hidden="1" customHeight="1">
      <c r="A219" s="261"/>
      <c r="D219" s="141"/>
      <c r="Q219" s="463"/>
      <c r="R219" s="463"/>
      <c r="S219" s="463"/>
    </row>
    <row r="220" spans="1:19" s="139" customFormat="1" ht="15" hidden="1" customHeight="1">
      <c r="A220" s="261"/>
      <c r="D220" s="141"/>
      <c r="Q220" s="463"/>
      <c r="R220" s="463"/>
      <c r="S220" s="463"/>
    </row>
    <row r="221" spans="1:19" s="139" customFormat="1" ht="15" hidden="1" customHeight="1">
      <c r="A221" s="261"/>
      <c r="D221" s="141"/>
      <c r="Q221" s="463"/>
      <c r="R221" s="463"/>
      <c r="S221" s="463"/>
    </row>
    <row r="222" spans="1:19" s="139" customFormat="1" ht="15" hidden="1" customHeight="1">
      <c r="A222" s="261"/>
      <c r="D222" s="141"/>
      <c r="Q222" s="463"/>
      <c r="R222" s="463"/>
      <c r="S222" s="463"/>
    </row>
    <row r="223" spans="1:19" s="139" customFormat="1" ht="15" hidden="1" customHeight="1">
      <c r="A223" s="261"/>
      <c r="D223" s="141"/>
      <c r="Q223" s="463"/>
      <c r="R223" s="463"/>
      <c r="S223" s="463"/>
    </row>
    <row r="224" spans="1:19" s="139" customFormat="1" ht="15" hidden="1" customHeight="1">
      <c r="A224" s="261"/>
      <c r="D224" s="141"/>
      <c r="Q224" s="463"/>
      <c r="R224" s="463"/>
      <c r="S224" s="463"/>
    </row>
    <row r="225" spans="1:19" s="139" customFormat="1" ht="15" hidden="1" customHeight="1">
      <c r="A225" s="261"/>
      <c r="D225" s="141"/>
      <c r="Q225" s="463"/>
      <c r="R225" s="463"/>
      <c r="S225" s="463"/>
    </row>
    <row r="226" spans="1:19" s="139" customFormat="1" ht="15" hidden="1" customHeight="1">
      <c r="A226" s="261"/>
      <c r="D226" s="141"/>
      <c r="Q226" s="463"/>
      <c r="R226" s="463"/>
      <c r="S226" s="463"/>
    </row>
    <row r="227" spans="1:19" s="139" customFormat="1" ht="15" hidden="1" customHeight="1">
      <c r="A227" s="261"/>
      <c r="D227" s="141"/>
      <c r="Q227" s="463"/>
      <c r="R227" s="463"/>
      <c r="S227" s="463"/>
    </row>
    <row r="228" spans="1:19" s="139" customFormat="1" ht="15" hidden="1" customHeight="1">
      <c r="A228" s="261"/>
      <c r="D228" s="141"/>
      <c r="Q228" s="463"/>
      <c r="R228" s="463"/>
      <c r="S228" s="463"/>
    </row>
    <row r="229" spans="1:19" s="139" customFormat="1" ht="15" hidden="1" customHeight="1">
      <c r="A229" s="261"/>
      <c r="D229" s="141"/>
      <c r="Q229" s="463"/>
      <c r="R229" s="463"/>
      <c r="S229" s="463"/>
    </row>
    <row r="230" spans="1:19" s="139" customFormat="1" ht="15" hidden="1" customHeight="1">
      <c r="A230" s="261"/>
      <c r="D230" s="141"/>
      <c r="Q230" s="463"/>
      <c r="R230" s="463"/>
      <c r="S230" s="463"/>
    </row>
    <row r="231" spans="1:19" s="139" customFormat="1" ht="15" hidden="1" customHeight="1">
      <c r="A231" s="261"/>
      <c r="D231" s="141"/>
      <c r="Q231" s="463"/>
      <c r="R231" s="463"/>
      <c r="S231" s="463"/>
    </row>
    <row r="232" spans="1:19" s="139" customFormat="1" ht="15" hidden="1" customHeight="1">
      <c r="A232" s="261"/>
      <c r="D232" s="141"/>
      <c r="Q232" s="463"/>
      <c r="R232" s="463"/>
      <c r="S232" s="463"/>
    </row>
    <row r="233" spans="1:19" s="139" customFormat="1" ht="15" hidden="1" customHeight="1">
      <c r="A233" s="261"/>
      <c r="D233" s="141"/>
      <c r="Q233" s="463"/>
      <c r="R233" s="463"/>
      <c r="S233" s="463"/>
    </row>
    <row r="234" spans="1:19" s="139" customFormat="1" ht="15" hidden="1" customHeight="1">
      <c r="A234" s="261"/>
      <c r="D234" s="141"/>
      <c r="Q234" s="463"/>
      <c r="R234" s="463"/>
      <c r="S234" s="463"/>
    </row>
    <row r="235" spans="1:19" s="139" customFormat="1" ht="15" hidden="1" customHeight="1">
      <c r="A235" s="261"/>
      <c r="D235" s="141"/>
      <c r="Q235" s="463"/>
      <c r="R235" s="463"/>
      <c r="S235" s="463"/>
    </row>
    <row r="236" spans="1:19" s="139" customFormat="1" ht="15" hidden="1" customHeight="1">
      <c r="A236" s="261"/>
      <c r="D236" s="141"/>
      <c r="Q236" s="463"/>
      <c r="R236" s="463"/>
      <c r="S236" s="463"/>
    </row>
    <row r="237" spans="1:19" s="139" customFormat="1" ht="15" hidden="1" customHeight="1">
      <c r="A237" s="261"/>
      <c r="D237" s="141"/>
      <c r="Q237" s="463"/>
      <c r="R237" s="463"/>
      <c r="S237" s="463"/>
    </row>
    <row r="238" spans="1:19" s="139" customFormat="1" ht="15" hidden="1" customHeight="1">
      <c r="A238" s="261"/>
      <c r="D238" s="141"/>
      <c r="Q238" s="463"/>
      <c r="R238" s="463"/>
      <c r="S238" s="463"/>
    </row>
    <row r="239" spans="1:19" s="139" customFormat="1" ht="15" hidden="1" customHeight="1">
      <c r="A239" s="261"/>
      <c r="D239" s="141"/>
      <c r="Q239" s="463"/>
      <c r="R239" s="463"/>
      <c r="S239" s="463"/>
    </row>
    <row r="240" spans="1:19" s="139" customFormat="1" ht="15" hidden="1" customHeight="1">
      <c r="A240" s="261"/>
      <c r="D240" s="141"/>
      <c r="Q240" s="463"/>
      <c r="R240" s="463"/>
      <c r="S240" s="463"/>
    </row>
    <row r="241" spans="1:19" s="139" customFormat="1" ht="15" hidden="1" customHeight="1">
      <c r="A241" s="261"/>
      <c r="D241" s="141"/>
      <c r="Q241" s="463"/>
      <c r="R241" s="463"/>
      <c r="S241" s="463"/>
    </row>
    <row r="242" spans="1:19" s="139" customFormat="1" ht="15" hidden="1" customHeight="1">
      <c r="A242" s="261"/>
      <c r="D242" s="141"/>
      <c r="Q242" s="463"/>
      <c r="R242" s="463"/>
      <c r="S242" s="463"/>
    </row>
    <row r="243" spans="1:19" s="139" customFormat="1" ht="15" hidden="1" customHeight="1">
      <c r="A243" s="261"/>
      <c r="D243" s="141"/>
      <c r="Q243" s="463"/>
      <c r="R243" s="463"/>
      <c r="S243" s="463"/>
    </row>
    <row r="244" spans="1:19" s="139" customFormat="1" ht="15" hidden="1" customHeight="1">
      <c r="A244" s="261"/>
      <c r="D244" s="141"/>
      <c r="Q244" s="463"/>
      <c r="R244" s="463"/>
      <c r="S244" s="463"/>
    </row>
    <row r="245" spans="1:19" s="139" customFormat="1" ht="15" hidden="1" customHeight="1">
      <c r="A245" s="261"/>
      <c r="D245" s="141"/>
      <c r="Q245" s="463"/>
      <c r="R245" s="463"/>
      <c r="S245" s="463"/>
    </row>
    <row r="246" spans="1:19" s="139" customFormat="1" ht="15" hidden="1" customHeight="1">
      <c r="A246" s="261"/>
      <c r="D246" s="141"/>
      <c r="Q246" s="463"/>
      <c r="R246" s="463"/>
      <c r="S246" s="463"/>
    </row>
    <row r="247" spans="1:19" s="139" customFormat="1" ht="15" hidden="1" customHeight="1">
      <c r="A247" s="261"/>
      <c r="D247" s="141"/>
      <c r="Q247" s="463"/>
      <c r="R247" s="463"/>
      <c r="S247" s="463"/>
    </row>
    <row r="248" spans="1:19" s="139" customFormat="1" ht="15" hidden="1" customHeight="1">
      <c r="A248" s="261"/>
      <c r="D248" s="141"/>
      <c r="Q248" s="463"/>
      <c r="R248" s="463"/>
      <c r="S248" s="463"/>
    </row>
    <row r="249" spans="1:19" s="139" customFormat="1" ht="15" hidden="1" customHeight="1">
      <c r="A249" s="261"/>
      <c r="D249" s="141"/>
      <c r="Q249" s="463"/>
      <c r="R249" s="463"/>
      <c r="S249" s="463"/>
    </row>
    <row r="250" spans="1:19" s="139" customFormat="1" ht="15" hidden="1" customHeight="1">
      <c r="A250" s="261"/>
      <c r="D250" s="141"/>
      <c r="Q250" s="463"/>
      <c r="R250" s="463"/>
      <c r="S250" s="463"/>
    </row>
    <row r="251" spans="1:19" s="139" customFormat="1" ht="15" hidden="1" customHeight="1">
      <c r="A251" s="261"/>
      <c r="D251" s="141"/>
      <c r="Q251" s="463"/>
      <c r="R251" s="463"/>
      <c r="S251" s="463"/>
    </row>
    <row r="252" spans="1:19" s="139" customFormat="1" ht="15" hidden="1" customHeight="1">
      <c r="A252" s="261"/>
      <c r="D252" s="141"/>
      <c r="Q252" s="463"/>
      <c r="R252" s="463"/>
      <c r="S252" s="463"/>
    </row>
    <row r="253" spans="1:19" s="139" customFormat="1" ht="15" hidden="1" customHeight="1">
      <c r="A253" s="261"/>
      <c r="D253" s="141"/>
      <c r="Q253" s="463"/>
      <c r="R253" s="463"/>
      <c r="S253" s="463"/>
    </row>
    <row r="254" spans="1:19" s="139" customFormat="1" ht="15" hidden="1" customHeight="1">
      <c r="A254" s="261"/>
      <c r="D254" s="141"/>
      <c r="Q254" s="463"/>
      <c r="R254" s="463"/>
      <c r="S254" s="463"/>
    </row>
    <row r="255" spans="1:19" s="139" customFormat="1" ht="15" hidden="1" customHeight="1">
      <c r="A255" s="261"/>
      <c r="D255" s="141"/>
      <c r="Q255" s="463"/>
      <c r="R255" s="463"/>
      <c r="S255" s="463"/>
    </row>
    <row r="256" spans="1:19" s="139" customFormat="1" ht="15" hidden="1" customHeight="1">
      <c r="A256" s="261"/>
      <c r="D256" s="141"/>
      <c r="Q256" s="463"/>
      <c r="R256" s="463"/>
      <c r="S256" s="463"/>
    </row>
    <row r="257" spans="1:19" s="139" customFormat="1" ht="15" hidden="1" customHeight="1">
      <c r="A257" s="261"/>
      <c r="D257" s="141"/>
      <c r="Q257" s="463"/>
      <c r="R257" s="463"/>
      <c r="S257" s="463"/>
    </row>
    <row r="258" spans="1:19" s="139" customFormat="1" ht="15" hidden="1" customHeight="1">
      <c r="A258" s="261"/>
      <c r="D258" s="141"/>
      <c r="Q258" s="463"/>
      <c r="R258" s="463"/>
      <c r="S258" s="463"/>
    </row>
    <row r="259" spans="1:19" s="139" customFormat="1" ht="15" hidden="1" customHeight="1">
      <c r="A259" s="261"/>
      <c r="D259" s="141"/>
      <c r="Q259" s="463"/>
      <c r="R259" s="463"/>
      <c r="S259" s="463"/>
    </row>
    <row r="260" spans="1:19" s="139" customFormat="1" ht="15" hidden="1" customHeight="1">
      <c r="A260" s="261"/>
      <c r="D260" s="141"/>
      <c r="Q260" s="463"/>
      <c r="R260" s="463"/>
      <c r="S260" s="463"/>
    </row>
    <row r="261" spans="1:19" s="139" customFormat="1" ht="15" hidden="1" customHeight="1">
      <c r="A261" s="261"/>
      <c r="D261" s="141"/>
      <c r="Q261" s="463"/>
      <c r="R261" s="463"/>
      <c r="S261" s="463"/>
    </row>
    <row r="262" spans="1:19" s="139" customFormat="1" ht="15" hidden="1" customHeight="1">
      <c r="A262" s="261"/>
      <c r="D262" s="141"/>
      <c r="Q262" s="463"/>
      <c r="R262" s="463"/>
      <c r="S262" s="463"/>
    </row>
    <row r="263" spans="1:19" s="139" customFormat="1" ht="15" hidden="1" customHeight="1">
      <c r="A263" s="261"/>
      <c r="D263" s="141"/>
      <c r="Q263" s="463"/>
      <c r="R263" s="463"/>
      <c r="S263" s="463"/>
    </row>
    <row r="264" spans="1:19" s="139" customFormat="1" ht="15" hidden="1" customHeight="1">
      <c r="A264" s="261"/>
      <c r="D264" s="141"/>
      <c r="Q264" s="463"/>
      <c r="R264" s="463"/>
      <c r="S264" s="463"/>
    </row>
    <row r="265" spans="1:19" s="139" customFormat="1" ht="15" hidden="1" customHeight="1">
      <c r="A265" s="261"/>
      <c r="D265" s="141"/>
      <c r="Q265" s="463"/>
      <c r="R265" s="463"/>
      <c r="S265" s="463"/>
    </row>
    <row r="266" spans="1:19" s="139" customFormat="1" ht="15" hidden="1" customHeight="1">
      <c r="A266" s="261"/>
      <c r="D266" s="141"/>
      <c r="Q266" s="463"/>
      <c r="R266" s="463"/>
      <c r="S266" s="463"/>
    </row>
    <row r="267" spans="1:19" s="139" customFormat="1" ht="15" hidden="1" customHeight="1">
      <c r="A267" s="261"/>
      <c r="D267" s="141"/>
      <c r="Q267" s="463"/>
      <c r="R267" s="463"/>
      <c r="S267" s="463"/>
    </row>
    <row r="268" spans="1:19" s="139" customFormat="1" ht="15" hidden="1" customHeight="1">
      <c r="A268" s="261"/>
      <c r="D268" s="141"/>
      <c r="Q268" s="463"/>
      <c r="R268" s="463"/>
      <c r="S268" s="463"/>
    </row>
    <row r="269" spans="1:19" s="139" customFormat="1" ht="15" hidden="1" customHeight="1">
      <c r="A269" s="261"/>
      <c r="D269" s="141"/>
      <c r="Q269" s="463"/>
      <c r="R269" s="463"/>
      <c r="S269" s="463"/>
    </row>
    <row r="270" spans="1:19" s="139" customFormat="1" ht="15" hidden="1" customHeight="1">
      <c r="A270" s="261"/>
      <c r="D270" s="141"/>
      <c r="Q270" s="463"/>
      <c r="R270" s="463"/>
      <c r="S270" s="463"/>
    </row>
    <row r="271" spans="1:19" s="139" customFormat="1" ht="15" hidden="1" customHeight="1">
      <c r="A271" s="261"/>
      <c r="D271" s="141"/>
      <c r="Q271" s="463"/>
      <c r="R271" s="463"/>
      <c r="S271" s="463"/>
    </row>
    <row r="272" spans="1:19" s="139" customFormat="1" ht="15" hidden="1" customHeight="1">
      <c r="A272" s="261"/>
      <c r="D272" s="141"/>
      <c r="Q272" s="463"/>
      <c r="R272" s="463"/>
      <c r="S272" s="463"/>
    </row>
    <row r="273" spans="1:19" s="139" customFormat="1" ht="15" hidden="1" customHeight="1">
      <c r="A273" s="261"/>
      <c r="D273" s="141"/>
      <c r="Q273" s="463"/>
      <c r="R273" s="463"/>
      <c r="S273" s="463"/>
    </row>
    <row r="274" spans="1:19" s="139" customFormat="1" ht="15" hidden="1" customHeight="1">
      <c r="A274" s="261"/>
      <c r="D274" s="141"/>
      <c r="Q274" s="463"/>
      <c r="R274" s="463"/>
      <c r="S274" s="463"/>
    </row>
    <row r="275" spans="1:19" s="139" customFormat="1" ht="15" hidden="1" customHeight="1">
      <c r="A275" s="261"/>
      <c r="D275" s="141"/>
      <c r="Q275" s="463"/>
      <c r="R275" s="463"/>
      <c r="S275" s="463"/>
    </row>
    <row r="276" spans="1:19" s="139" customFormat="1" ht="15" hidden="1" customHeight="1">
      <c r="A276" s="261"/>
      <c r="D276" s="141"/>
      <c r="Q276" s="463"/>
      <c r="R276" s="463"/>
      <c r="S276" s="463"/>
    </row>
    <row r="277" spans="1:19" s="139" customFormat="1" ht="15" hidden="1" customHeight="1">
      <c r="A277" s="261"/>
      <c r="D277" s="141"/>
      <c r="Q277" s="463"/>
      <c r="R277" s="463"/>
      <c r="S277" s="463"/>
    </row>
    <row r="278" spans="1:19" s="139" customFormat="1" ht="15" hidden="1" customHeight="1">
      <c r="A278" s="261"/>
      <c r="D278" s="141"/>
      <c r="Q278" s="463"/>
      <c r="R278" s="463"/>
      <c r="S278" s="463"/>
    </row>
    <row r="279" spans="1:19" s="139" customFormat="1" ht="15" hidden="1" customHeight="1">
      <c r="A279" s="261"/>
      <c r="D279" s="141"/>
      <c r="Q279" s="463"/>
      <c r="R279" s="463"/>
      <c r="S279" s="463"/>
    </row>
    <row r="280" spans="1:19" s="139" customFormat="1" ht="15" hidden="1" customHeight="1">
      <c r="A280" s="261"/>
      <c r="D280" s="141"/>
      <c r="Q280" s="463"/>
      <c r="R280" s="463"/>
      <c r="S280" s="463"/>
    </row>
    <row r="281" spans="1:19" s="139" customFormat="1" ht="15" hidden="1" customHeight="1">
      <c r="A281" s="261"/>
      <c r="D281" s="141"/>
      <c r="Q281" s="463"/>
      <c r="R281" s="463"/>
      <c r="S281" s="463"/>
    </row>
    <row r="282" spans="1:19" s="139" customFormat="1" ht="15" hidden="1" customHeight="1">
      <c r="A282" s="261"/>
      <c r="D282" s="141"/>
      <c r="Q282" s="463"/>
      <c r="R282" s="463"/>
      <c r="S282" s="463"/>
    </row>
    <row r="283" spans="1:19" s="139" customFormat="1" ht="15" hidden="1" customHeight="1">
      <c r="A283" s="261"/>
      <c r="D283" s="141"/>
      <c r="Q283" s="463"/>
      <c r="R283" s="463"/>
      <c r="S283" s="463"/>
    </row>
    <row r="284" spans="1:19" s="139" customFormat="1" ht="15" hidden="1" customHeight="1">
      <c r="A284" s="261"/>
      <c r="D284" s="141"/>
      <c r="Q284" s="463"/>
      <c r="R284" s="463"/>
      <c r="S284" s="463"/>
    </row>
    <row r="285" spans="1:19" s="139" customFormat="1" ht="15" hidden="1" customHeight="1">
      <c r="A285" s="261"/>
      <c r="D285" s="141"/>
      <c r="Q285" s="463"/>
      <c r="R285" s="463"/>
      <c r="S285" s="463"/>
    </row>
    <row r="286" spans="1:19" s="139" customFormat="1" ht="15" hidden="1" customHeight="1">
      <c r="A286" s="261"/>
      <c r="D286" s="141"/>
      <c r="Q286" s="463"/>
      <c r="R286" s="463"/>
      <c r="S286" s="463"/>
    </row>
    <row r="287" spans="1:19" s="139" customFormat="1" ht="15" hidden="1" customHeight="1">
      <c r="A287" s="261"/>
      <c r="D287" s="141"/>
      <c r="Q287" s="463"/>
      <c r="R287" s="463"/>
      <c r="S287" s="463"/>
    </row>
    <row r="288" spans="1:19" s="139" customFormat="1" ht="15" hidden="1" customHeight="1">
      <c r="A288" s="261"/>
      <c r="D288" s="141"/>
      <c r="Q288" s="463"/>
      <c r="R288" s="463"/>
      <c r="S288" s="463"/>
    </row>
    <row r="289" spans="1:19" s="139" customFormat="1" ht="15" hidden="1" customHeight="1">
      <c r="A289" s="261"/>
      <c r="D289" s="141"/>
      <c r="Q289" s="463"/>
      <c r="R289" s="463"/>
      <c r="S289" s="463"/>
    </row>
    <row r="290" spans="1:19" s="139" customFormat="1" ht="15" hidden="1" customHeight="1">
      <c r="A290" s="261"/>
      <c r="D290" s="141"/>
      <c r="Q290" s="463"/>
      <c r="R290" s="463"/>
      <c r="S290" s="463"/>
    </row>
    <row r="291" spans="1:19" s="139" customFormat="1" ht="15" hidden="1" customHeight="1">
      <c r="A291" s="261"/>
      <c r="D291" s="141"/>
      <c r="Q291" s="463"/>
      <c r="R291" s="463"/>
      <c r="S291" s="463"/>
    </row>
    <row r="292" spans="1:19" s="139" customFormat="1" ht="15" hidden="1" customHeight="1">
      <c r="A292" s="261"/>
      <c r="D292" s="141"/>
      <c r="Q292" s="463"/>
      <c r="R292" s="463"/>
      <c r="S292" s="463"/>
    </row>
    <row r="293" spans="1:19" s="139" customFormat="1" ht="15" hidden="1" customHeight="1">
      <c r="A293" s="261"/>
      <c r="D293" s="141"/>
      <c r="Q293" s="463"/>
      <c r="R293" s="463"/>
      <c r="S293" s="463"/>
    </row>
    <row r="294" spans="1:19" s="139" customFormat="1" ht="15" hidden="1" customHeight="1">
      <c r="A294" s="261"/>
      <c r="D294" s="141"/>
      <c r="Q294" s="463"/>
      <c r="R294" s="463"/>
      <c r="S294" s="463"/>
    </row>
    <row r="295" spans="1:19" s="139" customFormat="1" ht="15" hidden="1" customHeight="1">
      <c r="A295" s="261"/>
      <c r="D295" s="141"/>
      <c r="Q295" s="463"/>
      <c r="R295" s="463"/>
      <c r="S295" s="463"/>
    </row>
    <row r="296" spans="1:19" s="139" customFormat="1" ht="15" hidden="1" customHeight="1">
      <c r="A296" s="261"/>
      <c r="D296" s="141"/>
      <c r="Q296" s="463"/>
      <c r="R296" s="463"/>
      <c r="S296" s="463"/>
    </row>
    <row r="297" spans="1:19" s="139" customFormat="1" ht="15" hidden="1" customHeight="1">
      <c r="A297" s="261"/>
      <c r="D297" s="141"/>
      <c r="Q297" s="463"/>
      <c r="R297" s="463"/>
      <c r="S297" s="463"/>
    </row>
    <row r="298" spans="1:19" s="139" customFormat="1" ht="15" hidden="1" customHeight="1">
      <c r="A298" s="261"/>
      <c r="D298" s="141"/>
      <c r="Q298" s="463"/>
      <c r="R298" s="463"/>
      <c r="S298" s="463"/>
    </row>
    <row r="299" spans="1:19" s="139" customFormat="1" ht="15" hidden="1" customHeight="1">
      <c r="A299" s="261"/>
      <c r="D299" s="141"/>
      <c r="Q299" s="463"/>
      <c r="R299" s="463"/>
      <c r="S299" s="463"/>
    </row>
    <row r="300" spans="1:19" s="139" customFormat="1" ht="15" hidden="1" customHeight="1">
      <c r="A300" s="261"/>
      <c r="D300" s="141"/>
      <c r="Q300" s="463"/>
      <c r="R300" s="463"/>
      <c r="S300" s="463"/>
    </row>
    <row r="301" spans="1:19" s="139" customFormat="1" ht="15" hidden="1" customHeight="1">
      <c r="A301" s="261"/>
      <c r="D301" s="141"/>
      <c r="Q301" s="463"/>
      <c r="R301" s="463"/>
      <c r="S301" s="463"/>
    </row>
    <row r="302" spans="1:19" s="139" customFormat="1" ht="15" hidden="1" customHeight="1">
      <c r="A302" s="261"/>
      <c r="D302" s="141"/>
      <c r="Q302" s="463"/>
      <c r="R302" s="463"/>
      <c r="S302" s="463"/>
    </row>
    <row r="303" spans="1:19" s="139" customFormat="1" ht="15" hidden="1" customHeight="1">
      <c r="A303" s="261"/>
      <c r="D303" s="141"/>
      <c r="Q303" s="463"/>
      <c r="R303" s="463"/>
      <c r="S303" s="463"/>
    </row>
    <row r="304" spans="1:19" s="139" customFormat="1" ht="15" hidden="1" customHeight="1">
      <c r="A304" s="261"/>
      <c r="D304" s="141"/>
      <c r="Q304" s="463"/>
      <c r="R304" s="463"/>
      <c r="S304" s="463"/>
    </row>
    <row r="305" spans="1:19" s="139" customFormat="1" ht="15" hidden="1" customHeight="1">
      <c r="A305" s="261"/>
      <c r="D305" s="141"/>
      <c r="Q305" s="463"/>
      <c r="R305" s="463"/>
      <c r="S305" s="463"/>
    </row>
    <row r="306" spans="1:19" s="139" customFormat="1" ht="15" hidden="1" customHeight="1">
      <c r="A306" s="261"/>
      <c r="D306" s="141"/>
      <c r="Q306" s="463"/>
      <c r="R306" s="463"/>
      <c r="S306" s="463"/>
    </row>
    <row r="307" spans="1:19" s="139" customFormat="1" ht="15" hidden="1" customHeight="1">
      <c r="A307" s="261"/>
      <c r="D307" s="141"/>
      <c r="Q307" s="463"/>
      <c r="R307" s="463"/>
      <c r="S307" s="463"/>
    </row>
    <row r="308" spans="1:19" s="139" customFormat="1" ht="15" hidden="1" customHeight="1">
      <c r="A308" s="261"/>
      <c r="D308" s="141"/>
      <c r="Q308" s="463"/>
      <c r="R308" s="463"/>
      <c r="S308" s="463"/>
    </row>
    <row r="309" spans="1:19" s="139" customFormat="1" ht="15" hidden="1" customHeight="1">
      <c r="A309" s="261"/>
      <c r="D309" s="141"/>
      <c r="Q309" s="463"/>
      <c r="R309" s="463"/>
      <c r="S309" s="463"/>
    </row>
    <row r="310" spans="1:19" s="139" customFormat="1" ht="15" hidden="1" customHeight="1">
      <c r="A310" s="261"/>
      <c r="D310" s="141"/>
      <c r="Q310" s="463"/>
      <c r="R310" s="463"/>
      <c r="S310" s="463"/>
    </row>
    <row r="311" spans="1:19" s="139" customFormat="1" ht="15" hidden="1" customHeight="1">
      <c r="A311" s="261"/>
      <c r="D311" s="141"/>
      <c r="Q311" s="463"/>
      <c r="R311" s="463"/>
      <c r="S311" s="463"/>
    </row>
    <row r="312" spans="1:19" s="139" customFormat="1" ht="15" hidden="1" customHeight="1">
      <c r="A312" s="261"/>
      <c r="D312" s="141"/>
      <c r="Q312" s="463"/>
      <c r="R312" s="463"/>
      <c r="S312" s="463"/>
    </row>
    <row r="313" spans="1:19" s="139" customFormat="1" ht="15" hidden="1" customHeight="1">
      <c r="A313" s="261"/>
      <c r="D313" s="141"/>
      <c r="Q313" s="463"/>
      <c r="R313" s="463"/>
      <c r="S313" s="463"/>
    </row>
    <row r="314" spans="1:19" s="139" customFormat="1" ht="15" hidden="1" customHeight="1">
      <c r="A314" s="261"/>
      <c r="D314" s="141"/>
      <c r="Q314" s="463"/>
      <c r="R314" s="463"/>
      <c r="S314" s="463"/>
    </row>
    <row r="315" spans="1:19" s="139" customFormat="1" ht="15" hidden="1" customHeight="1">
      <c r="A315" s="261"/>
      <c r="D315" s="141"/>
      <c r="Q315" s="463"/>
      <c r="R315" s="463"/>
      <c r="S315" s="463"/>
    </row>
    <row r="316" spans="1:19" s="139" customFormat="1" ht="15" hidden="1" customHeight="1">
      <c r="A316" s="261"/>
      <c r="D316" s="141"/>
      <c r="Q316" s="463"/>
      <c r="R316" s="463"/>
      <c r="S316" s="463"/>
    </row>
    <row r="317" spans="1:19" s="139" customFormat="1" ht="15" hidden="1" customHeight="1">
      <c r="A317" s="261"/>
      <c r="D317" s="141"/>
      <c r="Q317" s="463"/>
      <c r="R317" s="463"/>
      <c r="S317" s="463"/>
    </row>
    <row r="318" spans="1:19" s="139" customFormat="1" ht="15" hidden="1" customHeight="1">
      <c r="A318" s="261"/>
      <c r="D318" s="141"/>
      <c r="Q318" s="463"/>
      <c r="R318" s="463"/>
      <c r="S318" s="463"/>
    </row>
    <row r="319" spans="1:19" s="139" customFormat="1" ht="15" hidden="1" customHeight="1">
      <c r="A319" s="261"/>
      <c r="D319" s="141"/>
      <c r="Q319" s="463"/>
      <c r="R319" s="463"/>
      <c r="S319" s="463"/>
    </row>
    <row r="320" spans="1:19" s="139" customFormat="1" ht="15" hidden="1" customHeight="1">
      <c r="A320" s="261"/>
      <c r="D320" s="141"/>
      <c r="Q320" s="463"/>
      <c r="R320" s="463"/>
      <c r="S320" s="463"/>
    </row>
    <row r="321" spans="1:19" s="139" customFormat="1" ht="15" hidden="1" customHeight="1">
      <c r="A321" s="261"/>
      <c r="D321" s="141"/>
      <c r="Q321" s="463"/>
      <c r="R321" s="463"/>
      <c r="S321" s="463"/>
    </row>
    <row r="322" spans="1:19" s="139" customFormat="1" ht="15" hidden="1" customHeight="1">
      <c r="A322" s="261"/>
      <c r="D322" s="141"/>
      <c r="Q322" s="463"/>
      <c r="R322" s="463"/>
      <c r="S322" s="463"/>
    </row>
    <row r="323" spans="1:19" s="139" customFormat="1" ht="15" hidden="1" customHeight="1">
      <c r="A323" s="261"/>
      <c r="D323" s="141"/>
      <c r="Q323" s="463"/>
      <c r="R323" s="463"/>
      <c r="S323" s="463"/>
    </row>
    <row r="324" spans="1:19" s="139" customFormat="1" ht="15" hidden="1" customHeight="1">
      <c r="A324" s="261"/>
      <c r="D324" s="141"/>
      <c r="Q324" s="463"/>
      <c r="R324" s="463"/>
      <c r="S324" s="463"/>
    </row>
    <row r="325" spans="1:19" s="139" customFormat="1" ht="15" hidden="1" customHeight="1">
      <c r="A325" s="261"/>
      <c r="D325" s="141"/>
      <c r="Q325" s="463"/>
      <c r="R325" s="463"/>
      <c r="S325" s="463"/>
    </row>
    <row r="326" spans="1:19" s="139" customFormat="1" ht="15" hidden="1" customHeight="1">
      <c r="A326" s="261"/>
      <c r="D326" s="141"/>
      <c r="Q326" s="463"/>
      <c r="R326" s="463"/>
      <c r="S326" s="463"/>
    </row>
    <row r="327" spans="1:19" s="139" customFormat="1" ht="15" hidden="1" customHeight="1">
      <c r="A327" s="261"/>
      <c r="D327" s="141"/>
      <c r="Q327" s="463"/>
      <c r="R327" s="463"/>
      <c r="S327" s="463"/>
    </row>
    <row r="328" spans="1:19" s="139" customFormat="1" ht="15" hidden="1" customHeight="1">
      <c r="A328" s="261"/>
      <c r="D328" s="141"/>
      <c r="Q328" s="463"/>
      <c r="R328" s="463"/>
      <c r="S328" s="463"/>
    </row>
    <row r="329" spans="1:19" s="139" customFormat="1" ht="15" hidden="1" customHeight="1">
      <c r="A329" s="261"/>
      <c r="D329" s="141"/>
      <c r="Q329" s="463"/>
      <c r="R329" s="463"/>
      <c r="S329" s="463"/>
    </row>
    <row r="330" spans="1:19" s="139" customFormat="1" ht="15" hidden="1" customHeight="1">
      <c r="A330" s="261"/>
      <c r="D330" s="141"/>
      <c r="Q330" s="463"/>
      <c r="R330" s="463"/>
      <c r="S330" s="463"/>
    </row>
    <row r="331" spans="1:19" s="139" customFormat="1" ht="15" hidden="1" customHeight="1">
      <c r="A331" s="261"/>
      <c r="D331" s="141"/>
      <c r="Q331" s="463"/>
      <c r="R331" s="463"/>
      <c r="S331" s="463"/>
    </row>
    <row r="332" spans="1:19" s="139" customFormat="1" ht="15" hidden="1" customHeight="1">
      <c r="A332" s="261"/>
      <c r="D332" s="141"/>
      <c r="Q332" s="463"/>
      <c r="R332" s="463"/>
      <c r="S332" s="463"/>
    </row>
    <row r="333" spans="1:19" s="139" customFormat="1" ht="15" hidden="1" customHeight="1">
      <c r="A333" s="261"/>
      <c r="D333" s="141"/>
      <c r="Q333" s="463"/>
      <c r="R333" s="463"/>
      <c r="S333" s="463"/>
    </row>
    <row r="334" spans="1:19" s="139" customFormat="1" ht="15" hidden="1" customHeight="1">
      <c r="A334" s="261"/>
      <c r="D334" s="141"/>
      <c r="Q334" s="463"/>
      <c r="R334" s="463"/>
      <c r="S334" s="463"/>
    </row>
    <row r="335" spans="1:19" s="139" customFormat="1" ht="15" hidden="1" customHeight="1">
      <c r="A335" s="261"/>
      <c r="D335" s="141"/>
      <c r="Q335" s="463"/>
      <c r="R335" s="463"/>
      <c r="S335" s="463"/>
    </row>
    <row r="336" spans="1:19" s="139" customFormat="1" ht="15" hidden="1" customHeight="1">
      <c r="A336" s="261"/>
      <c r="D336" s="141"/>
      <c r="Q336" s="463"/>
      <c r="R336" s="463"/>
      <c r="S336" s="463"/>
    </row>
    <row r="337" spans="1:19" s="139" customFormat="1" ht="15" hidden="1" customHeight="1">
      <c r="A337" s="261"/>
      <c r="D337" s="141"/>
      <c r="Q337" s="463"/>
      <c r="R337" s="463"/>
      <c r="S337" s="463"/>
    </row>
    <row r="338" spans="1:19" s="139" customFormat="1" ht="15" hidden="1" customHeight="1">
      <c r="A338" s="261"/>
      <c r="D338" s="141"/>
      <c r="Q338" s="463"/>
      <c r="R338" s="463"/>
      <c r="S338" s="463"/>
    </row>
    <row r="339" spans="1:19" s="139" customFormat="1" ht="15" hidden="1" customHeight="1">
      <c r="A339" s="261"/>
      <c r="D339" s="141"/>
      <c r="Q339" s="463"/>
      <c r="R339" s="463"/>
      <c r="S339" s="463"/>
    </row>
    <row r="340" spans="1:19" s="139" customFormat="1" ht="15" hidden="1" customHeight="1">
      <c r="A340" s="261"/>
      <c r="D340" s="141"/>
      <c r="Q340" s="463"/>
      <c r="R340" s="463"/>
      <c r="S340" s="463"/>
    </row>
    <row r="341" spans="1:19" s="139" customFormat="1" ht="15" hidden="1" customHeight="1">
      <c r="A341" s="261"/>
      <c r="D341" s="141"/>
      <c r="Q341" s="463"/>
      <c r="R341" s="463"/>
      <c r="S341" s="463"/>
    </row>
    <row r="342" spans="1:19" s="139" customFormat="1" ht="15" hidden="1" customHeight="1">
      <c r="A342" s="261"/>
      <c r="D342" s="141"/>
      <c r="Q342" s="463"/>
      <c r="R342" s="463"/>
      <c r="S342" s="463"/>
    </row>
    <row r="343" spans="1:19" s="139" customFormat="1" ht="15" hidden="1" customHeight="1">
      <c r="A343" s="261"/>
      <c r="D343" s="141"/>
      <c r="Q343" s="463"/>
      <c r="R343" s="463"/>
      <c r="S343" s="463"/>
    </row>
    <row r="344" spans="1:19" s="139" customFormat="1" ht="15" hidden="1" customHeight="1">
      <c r="A344" s="261"/>
      <c r="D344" s="141"/>
      <c r="Q344" s="463"/>
      <c r="R344" s="463"/>
      <c r="S344" s="463"/>
    </row>
    <row r="345" spans="1:19" s="139" customFormat="1" ht="15" hidden="1" customHeight="1">
      <c r="A345" s="261"/>
      <c r="D345" s="141"/>
      <c r="Q345" s="463"/>
      <c r="R345" s="463"/>
      <c r="S345" s="463"/>
    </row>
    <row r="346" spans="1:19" s="139" customFormat="1" ht="15" hidden="1" customHeight="1">
      <c r="A346" s="261"/>
      <c r="D346" s="141"/>
      <c r="Q346" s="463"/>
      <c r="R346" s="463"/>
      <c r="S346" s="463"/>
    </row>
    <row r="347" spans="1:19" s="139" customFormat="1" ht="15" hidden="1" customHeight="1">
      <c r="A347" s="261"/>
      <c r="D347" s="141"/>
      <c r="Q347" s="463"/>
      <c r="R347" s="463"/>
      <c r="S347" s="463"/>
    </row>
    <row r="348" spans="1:19" s="139" customFormat="1" ht="15" hidden="1" customHeight="1">
      <c r="A348" s="261"/>
      <c r="D348" s="141"/>
      <c r="Q348" s="463"/>
      <c r="R348" s="463"/>
      <c r="S348" s="463"/>
    </row>
    <row r="349" spans="1:19" s="139" customFormat="1" ht="15" hidden="1" customHeight="1">
      <c r="A349" s="261"/>
      <c r="D349" s="141"/>
      <c r="Q349" s="463"/>
      <c r="R349" s="463"/>
      <c r="S349" s="463"/>
    </row>
    <row r="350" spans="1:19" s="139" customFormat="1" ht="15" hidden="1" customHeight="1">
      <c r="A350" s="261"/>
      <c r="D350" s="141"/>
      <c r="Q350" s="463"/>
      <c r="R350" s="463"/>
      <c r="S350" s="463"/>
    </row>
    <row r="351" spans="1:19" s="139" customFormat="1" ht="15" hidden="1" customHeight="1">
      <c r="A351" s="261"/>
      <c r="D351" s="141"/>
      <c r="Q351" s="463"/>
      <c r="R351" s="463"/>
      <c r="S351" s="463"/>
    </row>
    <row r="352" spans="1:19" s="139" customFormat="1" ht="15" hidden="1" customHeight="1">
      <c r="A352" s="261"/>
      <c r="D352" s="141"/>
      <c r="Q352" s="463"/>
      <c r="R352" s="463"/>
      <c r="S352" s="463"/>
    </row>
    <row r="353" spans="1:19" s="139" customFormat="1" ht="15" hidden="1" customHeight="1">
      <c r="A353" s="261"/>
      <c r="D353" s="141"/>
      <c r="Q353" s="463"/>
      <c r="R353" s="463"/>
      <c r="S353" s="463"/>
    </row>
    <row r="354" spans="1:19" s="139" customFormat="1" ht="15" hidden="1" customHeight="1">
      <c r="A354" s="261"/>
      <c r="D354" s="141"/>
      <c r="Q354" s="463"/>
      <c r="R354" s="463"/>
      <c r="S354" s="463"/>
    </row>
    <row r="355" spans="1:19" s="139" customFormat="1" ht="15" hidden="1" customHeight="1">
      <c r="A355" s="261"/>
      <c r="D355" s="141"/>
      <c r="Q355" s="463"/>
      <c r="R355" s="463"/>
      <c r="S355" s="463"/>
    </row>
    <row r="356" spans="1:19" s="139" customFormat="1" ht="15" hidden="1" customHeight="1">
      <c r="A356" s="261"/>
      <c r="D356" s="141"/>
      <c r="Q356" s="463"/>
      <c r="R356" s="463"/>
      <c r="S356" s="463"/>
    </row>
    <row r="357" spans="1:19" s="139" customFormat="1" ht="15" hidden="1" customHeight="1">
      <c r="A357" s="261"/>
      <c r="D357" s="141"/>
      <c r="Q357" s="463"/>
      <c r="R357" s="463"/>
      <c r="S357" s="463"/>
    </row>
    <row r="358" spans="1:19" s="139" customFormat="1" ht="15" hidden="1" customHeight="1">
      <c r="A358" s="261"/>
      <c r="D358" s="141"/>
      <c r="Q358" s="463"/>
      <c r="R358" s="463"/>
      <c r="S358" s="463"/>
    </row>
    <row r="359" spans="1:19" s="139" customFormat="1" ht="15" hidden="1" customHeight="1">
      <c r="A359" s="261"/>
      <c r="D359" s="141"/>
      <c r="Q359" s="463"/>
      <c r="R359" s="463"/>
      <c r="S359" s="463"/>
    </row>
    <row r="360" spans="1:19" s="139" customFormat="1" ht="15" hidden="1" customHeight="1">
      <c r="A360" s="261"/>
      <c r="D360" s="141"/>
      <c r="Q360" s="463"/>
      <c r="R360" s="463"/>
      <c r="S360" s="463"/>
    </row>
    <row r="361" spans="1:19" s="139" customFormat="1" ht="15" hidden="1" customHeight="1">
      <c r="A361" s="261"/>
      <c r="D361" s="141"/>
      <c r="Q361" s="463"/>
      <c r="R361" s="463"/>
      <c r="S361" s="463"/>
    </row>
    <row r="362" spans="1:19" s="139" customFormat="1" ht="15" hidden="1" customHeight="1">
      <c r="A362" s="261"/>
      <c r="D362" s="141"/>
      <c r="Q362" s="463"/>
      <c r="R362" s="463"/>
      <c r="S362" s="463"/>
    </row>
    <row r="363" spans="1:19" s="139" customFormat="1" ht="15" hidden="1" customHeight="1">
      <c r="A363" s="261"/>
      <c r="D363" s="141"/>
      <c r="Q363" s="463"/>
      <c r="R363" s="463"/>
      <c r="S363" s="463"/>
    </row>
    <row r="364" spans="1:19" s="139" customFormat="1" ht="15" hidden="1" customHeight="1">
      <c r="A364" s="261"/>
      <c r="D364" s="141"/>
      <c r="Q364" s="463"/>
      <c r="R364" s="463"/>
      <c r="S364" s="463"/>
    </row>
    <row r="365" spans="1:19" s="139" customFormat="1" ht="15" hidden="1" customHeight="1">
      <c r="A365" s="261"/>
      <c r="D365" s="141"/>
      <c r="Q365" s="463"/>
      <c r="R365" s="463"/>
      <c r="S365" s="463"/>
    </row>
    <row r="366" spans="1:19" s="139" customFormat="1" ht="15" hidden="1" customHeight="1">
      <c r="A366" s="261"/>
      <c r="D366" s="141"/>
      <c r="Q366" s="463"/>
      <c r="R366" s="463"/>
      <c r="S366" s="463"/>
    </row>
    <row r="367" spans="1:19" s="139" customFormat="1" ht="15" hidden="1" customHeight="1">
      <c r="A367" s="261"/>
      <c r="D367" s="141"/>
      <c r="Q367" s="463"/>
      <c r="R367" s="463"/>
      <c r="S367" s="463"/>
    </row>
    <row r="368" spans="1:19" s="139" customFormat="1" ht="15" hidden="1" customHeight="1">
      <c r="A368" s="261"/>
      <c r="D368" s="141"/>
      <c r="Q368" s="463"/>
      <c r="R368" s="463"/>
      <c r="S368" s="463"/>
    </row>
    <row r="369" spans="1:19" s="139" customFormat="1" ht="15" hidden="1" customHeight="1">
      <c r="A369" s="261"/>
      <c r="D369" s="141"/>
      <c r="Q369" s="463"/>
      <c r="R369" s="463"/>
      <c r="S369" s="463"/>
    </row>
    <row r="370" spans="1:19" s="139" customFormat="1" ht="15" hidden="1" customHeight="1">
      <c r="A370" s="261"/>
      <c r="D370" s="141"/>
      <c r="Q370" s="463"/>
      <c r="R370" s="463"/>
      <c r="S370" s="463"/>
    </row>
    <row r="371" spans="1:19" s="139" customFormat="1" ht="15" hidden="1" customHeight="1">
      <c r="A371" s="261"/>
      <c r="D371" s="141"/>
      <c r="Q371" s="463"/>
      <c r="R371" s="463"/>
      <c r="S371" s="463"/>
    </row>
    <row r="372" spans="1:19" s="139" customFormat="1" ht="15" hidden="1" customHeight="1">
      <c r="A372" s="261"/>
      <c r="D372" s="141"/>
      <c r="Q372" s="463"/>
      <c r="R372" s="463"/>
      <c r="S372" s="463"/>
    </row>
    <row r="373" spans="1:19" s="139" customFormat="1" ht="15" hidden="1" customHeight="1">
      <c r="A373" s="261"/>
      <c r="D373" s="141"/>
      <c r="Q373" s="463"/>
      <c r="R373" s="463"/>
      <c r="S373" s="463"/>
    </row>
    <row r="374" spans="1:19" s="139" customFormat="1" ht="15" hidden="1" customHeight="1">
      <c r="A374" s="261"/>
      <c r="D374" s="141"/>
      <c r="Q374" s="463"/>
      <c r="R374" s="463"/>
      <c r="S374" s="463"/>
    </row>
    <row r="375" spans="1:19" s="139" customFormat="1" ht="15" hidden="1" customHeight="1">
      <c r="A375" s="261"/>
      <c r="D375" s="141"/>
      <c r="Q375" s="463"/>
      <c r="R375" s="463"/>
      <c r="S375" s="463"/>
    </row>
    <row r="376" spans="1:19" s="139" customFormat="1" ht="15" hidden="1" customHeight="1">
      <c r="A376" s="261"/>
      <c r="D376" s="141"/>
      <c r="Q376" s="463"/>
      <c r="R376" s="463"/>
      <c r="S376" s="463"/>
    </row>
    <row r="377" spans="1:19" s="139" customFormat="1" ht="15" hidden="1" customHeight="1">
      <c r="A377" s="261"/>
      <c r="D377" s="141"/>
      <c r="Q377" s="463"/>
      <c r="R377" s="463"/>
      <c r="S377" s="463"/>
    </row>
    <row r="378" spans="1:19" s="139" customFormat="1" ht="15" hidden="1" customHeight="1">
      <c r="A378" s="261"/>
      <c r="D378" s="141"/>
      <c r="Q378" s="463"/>
      <c r="R378" s="463"/>
      <c r="S378" s="463"/>
    </row>
    <row r="379" spans="1:19" s="139" customFormat="1" ht="15" hidden="1" customHeight="1">
      <c r="A379" s="261"/>
      <c r="D379" s="141"/>
      <c r="Q379" s="463"/>
      <c r="R379" s="463"/>
      <c r="S379" s="463"/>
    </row>
    <row r="380" spans="1:19" s="139" customFormat="1" ht="15" hidden="1" customHeight="1">
      <c r="A380" s="261"/>
      <c r="D380" s="141"/>
      <c r="Q380" s="463"/>
      <c r="R380" s="463"/>
      <c r="S380" s="463"/>
    </row>
    <row r="381" spans="1:19" s="139" customFormat="1" ht="15" hidden="1" customHeight="1">
      <c r="A381" s="261"/>
      <c r="D381" s="141"/>
      <c r="Q381" s="463"/>
      <c r="R381" s="463"/>
      <c r="S381" s="463"/>
    </row>
    <row r="382" spans="1:19" s="139" customFormat="1" ht="15" hidden="1" customHeight="1">
      <c r="A382" s="261"/>
      <c r="D382" s="141"/>
      <c r="Q382" s="463"/>
      <c r="R382" s="463"/>
      <c r="S382" s="463"/>
    </row>
    <row r="383" spans="1:19" s="139" customFormat="1" ht="15" hidden="1" customHeight="1">
      <c r="A383" s="261"/>
      <c r="D383" s="141"/>
      <c r="Q383" s="463"/>
      <c r="R383" s="463"/>
      <c r="S383" s="463"/>
    </row>
    <row r="384" spans="1:19" s="139" customFormat="1" ht="15" hidden="1" customHeight="1">
      <c r="A384" s="261"/>
      <c r="D384" s="141"/>
      <c r="Q384" s="463"/>
      <c r="R384" s="463"/>
      <c r="S384" s="463"/>
    </row>
    <row r="385" spans="1:19" s="139" customFormat="1" ht="15" hidden="1" customHeight="1">
      <c r="A385" s="261"/>
      <c r="D385" s="141"/>
      <c r="Q385" s="463"/>
      <c r="R385" s="463"/>
      <c r="S385" s="463"/>
    </row>
    <row r="386" spans="1:19" s="139" customFormat="1" ht="15" hidden="1" customHeight="1">
      <c r="A386" s="261"/>
      <c r="D386" s="141"/>
      <c r="Q386" s="463"/>
      <c r="R386" s="463"/>
      <c r="S386" s="463"/>
    </row>
    <row r="387" spans="1:19" s="139" customFormat="1" ht="15" hidden="1" customHeight="1">
      <c r="A387" s="261"/>
      <c r="D387" s="141"/>
      <c r="Q387" s="463"/>
      <c r="R387" s="463"/>
      <c r="S387" s="463"/>
    </row>
    <row r="388" spans="1:19" s="139" customFormat="1" ht="15" hidden="1" customHeight="1">
      <c r="A388" s="261"/>
      <c r="D388" s="141"/>
      <c r="Q388" s="463"/>
      <c r="R388" s="463"/>
      <c r="S388" s="463"/>
    </row>
    <row r="389" spans="1:19" s="139" customFormat="1" ht="15" hidden="1" customHeight="1">
      <c r="A389" s="261"/>
      <c r="D389" s="141"/>
      <c r="Q389" s="463"/>
      <c r="R389" s="463"/>
      <c r="S389" s="463"/>
    </row>
    <row r="390" spans="1:19" s="139" customFormat="1" ht="15" hidden="1" customHeight="1">
      <c r="A390" s="261"/>
      <c r="D390" s="141"/>
      <c r="Q390" s="463"/>
      <c r="R390" s="463"/>
      <c r="S390" s="463"/>
    </row>
    <row r="391" spans="1:19" s="139" customFormat="1" ht="15" hidden="1" customHeight="1">
      <c r="A391" s="261"/>
      <c r="D391" s="141"/>
      <c r="Q391" s="463"/>
      <c r="R391" s="463"/>
      <c r="S391" s="463"/>
    </row>
    <row r="392" spans="1:19" s="139" customFormat="1" ht="15" hidden="1" customHeight="1">
      <c r="A392" s="261"/>
      <c r="D392" s="141"/>
      <c r="Q392" s="463"/>
      <c r="R392" s="463"/>
      <c r="S392" s="463"/>
    </row>
    <row r="393" spans="1:19" s="139" customFormat="1" ht="15" hidden="1" customHeight="1">
      <c r="A393" s="261"/>
      <c r="D393" s="141"/>
      <c r="Q393" s="463"/>
      <c r="R393" s="463"/>
      <c r="S393" s="463"/>
    </row>
    <row r="394" spans="1:19" s="139" customFormat="1" ht="15" hidden="1" customHeight="1">
      <c r="A394" s="261"/>
      <c r="D394" s="141"/>
      <c r="Q394" s="463"/>
      <c r="R394" s="463"/>
      <c r="S394" s="463"/>
    </row>
    <row r="395" spans="1:19" s="139" customFormat="1" ht="15" hidden="1" customHeight="1">
      <c r="A395" s="261"/>
      <c r="D395" s="141"/>
      <c r="Q395" s="463"/>
      <c r="R395" s="463"/>
      <c r="S395" s="463"/>
    </row>
    <row r="396" spans="1:19" s="139" customFormat="1" ht="15" hidden="1" customHeight="1">
      <c r="A396" s="261"/>
      <c r="D396" s="141"/>
      <c r="Q396" s="463"/>
      <c r="R396" s="463"/>
      <c r="S396" s="463"/>
    </row>
    <row r="397" spans="1:19" s="139" customFormat="1" ht="15" hidden="1" customHeight="1">
      <c r="A397" s="261"/>
      <c r="D397" s="141"/>
      <c r="Q397" s="463"/>
      <c r="R397" s="463"/>
      <c r="S397" s="463"/>
    </row>
    <row r="398" spans="1:19" s="139" customFormat="1" ht="15" hidden="1" customHeight="1">
      <c r="A398" s="261"/>
      <c r="D398" s="141"/>
      <c r="Q398" s="463"/>
      <c r="R398" s="463"/>
      <c r="S398" s="463"/>
    </row>
    <row r="399" spans="1:19" s="139" customFormat="1" ht="15" hidden="1" customHeight="1">
      <c r="A399" s="261"/>
      <c r="D399" s="141"/>
      <c r="Q399" s="463"/>
      <c r="R399" s="463"/>
      <c r="S399" s="463"/>
    </row>
    <row r="400" spans="1:19" s="139" customFormat="1" ht="15" hidden="1" customHeight="1">
      <c r="A400" s="261"/>
      <c r="D400" s="141"/>
      <c r="Q400" s="463"/>
      <c r="R400" s="463"/>
      <c r="S400" s="463"/>
    </row>
    <row r="401" spans="1:19" s="139" customFormat="1" ht="15" hidden="1" customHeight="1">
      <c r="A401" s="261"/>
      <c r="D401" s="141"/>
      <c r="Q401" s="463"/>
      <c r="R401" s="463"/>
      <c r="S401" s="463"/>
    </row>
    <row r="402" spans="1:19" s="139" customFormat="1" ht="15" hidden="1" customHeight="1">
      <c r="A402" s="261"/>
      <c r="D402" s="141"/>
      <c r="Q402" s="463"/>
      <c r="R402" s="463"/>
      <c r="S402" s="463"/>
    </row>
    <row r="403" spans="1:19" s="139" customFormat="1" ht="15" hidden="1" customHeight="1">
      <c r="A403" s="261"/>
      <c r="D403" s="141"/>
      <c r="Q403" s="463"/>
      <c r="R403" s="463"/>
      <c r="S403" s="463"/>
    </row>
    <row r="404" spans="1:19" s="139" customFormat="1" ht="15" hidden="1" customHeight="1">
      <c r="A404" s="261"/>
      <c r="D404" s="141"/>
      <c r="Q404" s="463"/>
      <c r="R404" s="463"/>
      <c r="S404" s="463"/>
    </row>
    <row r="405" spans="1:19" s="139" customFormat="1" ht="15" hidden="1" customHeight="1">
      <c r="A405" s="261"/>
      <c r="D405" s="141"/>
      <c r="Q405" s="463"/>
      <c r="R405" s="463"/>
      <c r="S405" s="463"/>
    </row>
    <row r="406" spans="1:19" s="139" customFormat="1" ht="15" hidden="1" customHeight="1">
      <c r="A406" s="261"/>
      <c r="D406" s="141"/>
      <c r="Q406" s="463"/>
      <c r="R406" s="463"/>
      <c r="S406" s="463"/>
    </row>
    <row r="407" spans="1:19" s="139" customFormat="1" ht="15" hidden="1" customHeight="1">
      <c r="A407" s="261"/>
      <c r="D407" s="141"/>
      <c r="Q407" s="463"/>
      <c r="R407" s="463"/>
      <c r="S407" s="463"/>
    </row>
    <row r="408" spans="1:19" s="139" customFormat="1" ht="15" hidden="1" customHeight="1">
      <c r="A408" s="261"/>
      <c r="D408" s="141"/>
      <c r="Q408" s="463"/>
      <c r="R408" s="463"/>
      <c r="S408" s="463"/>
    </row>
    <row r="409" spans="1:19" s="139" customFormat="1" ht="15" hidden="1" customHeight="1">
      <c r="A409" s="261"/>
      <c r="D409" s="141"/>
      <c r="Q409" s="463"/>
      <c r="R409" s="463"/>
      <c r="S409" s="463"/>
    </row>
    <row r="410" spans="1:19" s="139" customFormat="1" ht="15" hidden="1" customHeight="1">
      <c r="A410" s="261"/>
      <c r="D410" s="141"/>
      <c r="Q410" s="463"/>
      <c r="R410" s="463"/>
      <c r="S410" s="463"/>
    </row>
    <row r="411" spans="1:19" s="139" customFormat="1" ht="15" hidden="1" customHeight="1">
      <c r="A411" s="261"/>
      <c r="D411" s="141"/>
      <c r="Q411" s="463"/>
      <c r="R411" s="463"/>
      <c r="S411" s="463"/>
    </row>
    <row r="412" spans="1:19" s="139" customFormat="1" ht="15" hidden="1" customHeight="1">
      <c r="A412" s="261"/>
      <c r="D412" s="141"/>
      <c r="Q412" s="463"/>
      <c r="R412" s="463"/>
      <c r="S412" s="463"/>
    </row>
    <row r="413" spans="1:19" s="139" customFormat="1" ht="15" hidden="1" customHeight="1">
      <c r="A413" s="261"/>
      <c r="D413" s="141"/>
      <c r="Q413" s="463"/>
      <c r="R413" s="463"/>
      <c r="S413" s="463"/>
    </row>
    <row r="414" spans="1:19" s="139" customFormat="1" ht="15" hidden="1" customHeight="1">
      <c r="A414" s="261"/>
      <c r="D414" s="141"/>
      <c r="Q414" s="463"/>
      <c r="R414" s="463"/>
      <c r="S414" s="463"/>
    </row>
    <row r="415" spans="1:19" s="139" customFormat="1" ht="15" hidden="1" customHeight="1">
      <c r="A415" s="261"/>
      <c r="D415" s="141"/>
      <c r="Q415" s="463"/>
      <c r="R415" s="463"/>
      <c r="S415" s="463"/>
    </row>
    <row r="416" spans="1:19" s="139" customFormat="1" ht="15" hidden="1" customHeight="1">
      <c r="A416" s="261"/>
      <c r="D416" s="141"/>
      <c r="Q416" s="463"/>
      <c r="R416" s="463"/>
      <c r="S416" s="463"/>
    </row>
    <row r="417" spans="1:19" s="139" customFormat="1" ht="15" hidden="1" customHeight="1">
      <c r="A417" s="261"/>
      <c r="D417" s="141"/>
      <c r="Q417" s="463"/>
      <c r="R417" s="463"/>
      <c r="S417" s="463"/>
    </row>
    <row r="418" spans="1:19" s="139" customFormat="1" ht="15" hidden="1" customHeight="1">
      <c r="A418" s="261"/>
      <c r="D418" s="141"/>
      <c r="Q418" s="463"/>
      <c r="R418" s="463"/>
      <c r="S418" s="463"/>
    </row>
    <row r="419" spans="1:19" s="139" customFormat="1" ht="15" hidden="1" customHeight="1">
      <c r="A419" s="261"/>
      <c r="D419" s="141"/>
      <c r="Q419" s="463"/>
      <c r="R419" s="463"/>
      <c r="S419" s="463"/>
    </row>
    <row r="420" spans="1:19" s="139" customFormat="1" ht="15" hidden="1" customHeight="1">
      <c r="A420" s="261"/>
      <c r="D420" s="141"/>
      <c r="Q420" s="463"/>
      <c r="R420" s="463"/>
      <c r="S420" s="463"/>
    </row>
    <row r="421" spans="1:19" s="139" customFormat="1" ht="15" hidden="1" customHeight="1">
      <c r="A421" s="261"/>
      <c r="D421" s="141"/>
      <c r="Q421" s="463"/>
      <c r="R421" s="463"/>
      <c r="S421" s="463"/>
    </row>
    <row r="422" spans="1:19" s="139" customFormat="1" ht="15" hidden="1" customHeight="1">
      <c r="A422" s="261"/>
      <c r="D422" s="141"/>
      <c r="Q422" s="463"/>
      <c r="R422" s="463"/>
      <c r="S422" s="463"/>
    </row>
    <row r="423" spans="1:19" s="139" customFormat="1" ht="15" hidden="1" customHeight="1">
      <c r="A423" s="261"/>
      <c r="D423" s="141"/>
      <c r="Q423" s="463"/>
      <c r="R423" s="463"/>
      <c r="S423" s="463"/>
    </row>
    <row r="424" spans="1:19" s="139" customFormat="1" ht="15" hidden="1" customHeight="1">
      <c r="A424" s="261"/>
      <c r="D424" s="141"/>
      <c r="Q424" s="463"/>
      <c r="R424" s="463"/>
      <c r="S424" s="463"/>
    </row>
    <row r="425" spans="1:19" s="139" customFormat="1" ht="15" hidden="1" customHeight="1">
      <c r="A425" s="261"/>
      <c r="D425" s="141"/>
      <c r="Q425" s="463"/>
      <c r="R425" s="463"/>
      <c r="S425" s="463"/>
    </row>
    <row r="426" spans="1:19" s="139" customFormat="1" ht="15" hidden="1" customHeight="1">
      <c r="A426" s="261"/>
      <c r="D426" s="141"/>
      <c r="Q426" s="463"/>
      <c r="R426" s="463"/>
      <c r="S426" s="463"/>
    </row>
    <row r="427" spans="1:19" s="139" customFormat="1" ht="15" hidden="1" customHeight="1">
      <c r="A427" s="261"/>
      <c r="D427" s="141"/>
      <c r="Q427" s="463"/>
      <c r="R427" s="463"/>
      <c r="S427" s="463"/>
    </row>
    <row r="428" spans="1:19" s="139" customFormat="1" ht="15" hidden="1" customHeight="1">
      <c r="A428" s="261"/>
      <c r="D428" s="141"/>
      <c r="Q428" s="463"/>
      <c r="R428" s="463"/>
      <c r="S428" s="463"/>
    </row>
    <row r="429" spans="1:19" s="139" customFormat="1" ht="15" hidden="1" customHeight="1">
      <c r="A429" s="261"/>
      <c r="D429" s="141"/>
      <c r="Q429" s="463"/>
      <c r="R429" s="463"/>
      <c r="S429" s="463"/>
    </row>
    <row r="430" spans="1:19" s="139" customFormat="1" ht="15" hidden="1" customHeight="1">
      <c r="A430" s="261"/>
      <c r="D430" s="141"/>
      <c r="Q430" s="463"/>
      <c r="R430" s="463"/>
      <c r="S430" s="463"/>
    </row>
    <row r="431" spans="1:19" s="139" customFormat="1" ht="15" hidden="1" customHeight="1">
      <c r="A431" s="261"/>
      <c r="D431" s="141"/>
      <c r="Q431" s="463"/>
      <c r="R431" s="463"/>
      <c r="S431" s="463"/>
    </row>
    <row r="432" spans="1:19" s="139" customFormat="1" ht="15" hidden="1" customHeight="1">
      <c r="A432" s="261"/>
      <c r="D432" s="141"/>
      <c r="Q432" s="463"/>
      <c r="R432" s="463"/>
      <c r="S432" s="463"/>
    </row>
    <row r="433" spans="1:19" s="139" customFormat="1" ht="15" hidden="1" customHeight="1">
      <c r="A433" s="261"/>
      <c r="D433" s="141"/>
      <c r="Q433" s="463"/>
      <c r="R433" s="463"/>
      <c r="S433" s="463"/>
    </row>
    <row r="434" spans="1:19" s="139" customFormat="1" ht="15" hidden="1" customHeight="1">
      <c r="A434" s="261"/>
      <c r="D434" s="141"/>
      <c r="Q434" s="463"/>
      <c r="R434" s="463"/>
      <c r="S434" s="463"/>
    </row>
    <row r="435" spans="1:19" s="139" customFormat="1" ht="15" hidden="1" customHeight="1">
      <c r="A435" s="261"/>
      <c r="D435" s="141"/>
      <c r="Q435" s="463"/>
      <c r="R435" s="463"/>
      <c r="S435" s="463"/>
    </row>
    <row r="436" spans="1:19" s="139" customFormat="1" ht="15" hidden="1" customHeight="1">
      <c r="A436" s="261"/>
      <c r="D436" s="141"/>
      <c r="Q436" s="463"/>
      <c r="R436" s="463"/>
      <c r="S436" s="463"/>
    </row>
    <row r="437" spans="1:19" s="139" customFormat="1" ht="15" hidden="1" customHeight="1">
      <c r="A437" s="261"/>
      <c r="D437" s="141"/>
      <c r="Q437" s="463"/>
      <c r="R437" s="463"/>
      <c r="S437" s="463"/>
    </row>
    <row r="438" spans="1:19" s="139" customFormat="1" ht="15" hidden="1" customHeight="1">
      <c r="A438" s="261"/>
      <c r="D438" s="141"/>
      <c r="Q438" s="463"/>
      <c r="R438" s="463"/>
      <c r="S438" s="463"/>
    </row>
    <row r="439" spans="1:19" s="139" customFormat="1" ht="15" hidden="1" customHeight="1">
      <c r="A439" s="261"/>
      <c r="D439" s="141"/>
      <c r="Q439" s="463"/>
      <c r="R439" s="463"/>
      <c r="S439" s="463"/>
    </row>
    <row r="440" spans="1:19" s="139" customFormat="1" ht="15" hidden="1" customHeight="1">
      <c r="A440" s="261"/>
      <c r="D440" s="141"/>
      <c r="Q440" s="463"/>
      <c r="R440" s="463"/>
      <c r="S440" s="463"/>
    </row>
    <row r="441" spans="1:19" s="139" customFormat="1" ht="15" hidden="1" customHeight="1">
      <c r="A441" s="261"/>
      <c r="D441" s="141"/>
      <c r="Q441" s="463"/>
      <c r="R441" s="463"/>
      <c r="S441" s="463"/>
    </row>
    <row r="442" spans="1:19" s="139" customFormat="1" ht="15" hidden="1" customHeight="1">
      <c r="A442" s="261"/>
      <c r="D442" s="141"/>
      <c r="Q442" s="463"/>
      <c r="R442" s="463"/>
      <c r="S442" s="463"/>
    </row>
    <row r="443" spans="1:19" s="139" customFormat="1" ht="15" hidden="1" customHeight="1">
      <c r="A443" s="261"/>
      <c r="D443" s="141"/>
      <c r="Q443" s="463"/>
      <c r="R443" s="463"/>
      <c r="S443" s="463"/>
    </row>
    <row r="444" spans="1:19" s="139" customFormat="1" ht="15" hidden="1" customHeight="1">
      <c r="A444" s="261"/>
      <c r="D444" s="141"/>
      <c r="Q444" s="463"/>
      <c r="R444" s="463"/>
      <c r="S444" s="463"/>
    </row>
    <row r="445" spans="1:19" s="139" customFormat="1" ht="15" hidden="1" customHeight="1">
      <c r="A445" s="261"/>
      <c r="D445" s="141"/>
      <c r="Q445" s="463"/>
      <c r="R445" s="463"/>
      <c r="S445" s="463"/>
    </row>
    <row r="446" spans="1:19" s="139" customFormat="1" ht="15" hidden="1" customHeight="1">
      <c r="A446" s="261"/>
      <c r="D446" s="141"/>
      <c r="Q446" s="463"/>
      <c r="R446" s="463"/>
      <c r="S446" s="463"/>
    </row>
    <row r="447" spans="1:19" s="139" customFormat="1" ht="15" hidden="1" customHeight="1">
      <c r="A447" s="261"/>
      <c r="D447" s="141"/>
      <c r="Q447" s="463"/>
      <c r="R447" s="463"/>
      <c r="S447" s="463"/>
    </row>
    <row r="448" spans="1:19" s="139" customFormat="1" ht="15" hidden="1" customHeight="1">
      <c r="A448" s="261"/>
      <c r="D448" s="141"/>
      <c r="Q448" s="463"/>
      <c r="R448" s="463"/>
      <c r="S448" s="463"/>
    </row>
    <row r="449" spans="1:19" s="139" customFormat="1" ht="15" hidden="1" customHeight="1">
      <c r="A449" s="261"/>
      <c r="D449" s="141"/>
      <c r="Q449" s="463"/>
      <c r="R449" s="463"/>
      <c r="S449" s="463"/>
    </row>
    <row r="450" spans="1:19" s="139" customFormat="1" ht="15" hidden="1" customHeight="1">
      <c r="A450" s="261"/>
      <c r="D450" s="141"/>
      <c r="Q450" s="463"/>
      <c r="R450" s="463"/>
      <c r="S450" s="463"/>
    </row>
    <row r="451" spans="1:19" s="139" customFormat="1" ht="15" hidden="1" customHeight="1">
      <c r="A451" s="261"/>
      <c r="D451" s="141"/>
      <c r="Q451" s="463"/>
      <c r="R451" s="463"/>
      <c r="S451" s="463"/>
    </row>
    <row r="452" spans="1:19" s="139" customFormat="1" ht="15" hidden="1" customHeight="1">
      <c r="A452" s="261"/>
      <c r="D452" s="141"/>
      <c r="Q452" s="463"/>
      <c r="R452" s="463"/>
      <c r="S452" s="463"/>
    </row>
    <row r="453" spans="1:19" s="139" customFormat="1" ht="15" hidden="1" customHeight="1">
      <c r="A453" s="261"/>
      <c r="D453" s="141"/>
      <c r="Q453" s="463"/>
      <c r="R453" s="463"/>
      <c r="S453" s="463"/>
    </row>
    <row r="454" spans="1:19" s="139" customFormat="1" ht="15" hidden="1" customHeight="1">
      <c r="A454" s="261"/>
      <c r="D454" s="141"/>
      <c r="Q454" s="463"/>
      <c r="R454" s="463"/>
      <c r="S454" s="463"/>
    </row>
    <row r="455" spans="1:19" s="139" customFormat="1" ht="15" hidden="1" customHeight="1">
      <c r="A455" s="261"/>
      <c r="D455" s="141"/>
      <c r="Q455" s="463"/>
      <c r="R455" s="463"/>
      <c r="S455" s="463"/>
    </row>
    <row r="456" spans="1:19" s="139" customFormat="1" ht="15" hidden="1" customHeight="1">
      <c r="A456" s="261"/>
      <c r="D456" s="141"/>
      <c r="Q456" s="463"/>
      <c r="R456" s="463"/>
      <c r="S456" s="463"/>
    </row>
    <row r="457" spans="1:19" s="139" customFormat="1" ht="15" hidden="1" customHeight="1">
      <c r="A457" s="261"/>
      <c r="D457" s="141"/>
      <c r="Q457" s="463"/>
      <c r="R457" s="463"/>
      <c r="S457" s="463"/>
    </row>
    <row r="458" spans="1:19" s="139" customFormat="1" ht="15" hidden="1" customHeight="1">
      <c r="A458" s="261"/>
      <c r="D458" s="141"/>
      <c r="Q458" s="463"/>
      <c r="R458" s="463"/>
      <c r="S458" s="463"/>
    </row>
    <row r="459" spans="1:19" s="139" customFormat="1" ht="15" hidden="1" customHeight="1">
      <c r="A459" s="261"/>
      <c r="D459" s="141"/>
      <c r="Q459" s="463"/>
      <c r="R459" s="463"/>
      <c r="S459" s="463"/>
    </row>
    <row r="460" spans="1:19" s="139" customFormat="1" ht="15" hidden="1" customHeight="1">
      <c r="A460" s="261"/>
      <c r="D460" s="141"/>
      <c r="Q460" s="463"/>
      <c r="R460" s="463"/>
      <c r="S460" s="463"/>
    </row>
    <row r="461" spans="1:19" s="139" customFormat="1" ht="15" hidden="1" customHeight="1">
      <c r="A461" s="261"/>
      <c r="D461" s="141"/>
      <c r="Q461" s="463"/>
      <c r="R461" s="463"/>
      <c r="S461" s="463"/>
    </row>
    <row r="462" spans="1:19" s="139" customFormat="1" ht="15" hidden="1" customHeight="1">
      <c r="A462" s="261"/>
      <c r="D462" s="141"/>
      <c r="Q462" s="463"/>
      <c r="R462" s="463"/>
      <c r="S462" s="463"/>
    </row>
    <row r="463" spans="1:19" s="139" customFormat="1" ht="15" hidden="1" customHeight="1">
      <c r="A463" s="261"/>
      <c r="D463" s="141"/>
      <c r="Q463" s="463"/>
      <c r="R463" s="463"/>
      <c r="S463" s="463"/>
    </row>
    <row r="464" spans="1:19" s="139" customFormat="1" ht="15" hidden="1" customHeight="1">
      <c r="A464" s="261"/>
      <c r="D464" s="141"/>
      <c r="Q464" s="463"/>
      <c r="R464" s="463"/>
      <c r="S464" s="463"/>
    </row>
    <row r="465" spans="1:19" s="139" customFormat="1" ht="15" hidden="1" customHeight="1">
      <c r="A465" s="261"/>
      <c r="D465" s="141"/>
      <c r="Q465" s="463"/>
      <c r="R465" s="463"/>
      <c r="S465" s="463"/>
    </row>
    <row r="466" spans="1:19" s="139" customFormat="1" ht="15" hidden="1" customHeight="1">
      <c r="A466" s="261"/>
      <c r="D466" s="141"/>
      <c r="Q466" s="463"/>
      <c r="R466" s="463"/>
      <c r="S466" s="463"/>
    </row>
    <row r="467" spans="1:19" s="139" customFormat="1" ht="15" hidden="1" customHeight="1">
      <c r="A467" s="261"/>
      <c r="D467" s="141"/>
      <c r="Q467" s="463"/>
      <c r="R467" s="463"/>
      <c r="S467" s="463"/>
    </row>
    <row r="468" spans="1:19" s="139" customFormat="1" ht="15" hidden="1" customHeight="1">
      <c r="A468" s="261"/>
      <c r="D468" s="141"/>
      <c r="Q468" s="463"/>
      <c r="R468" s="463"/>
      <c r="S468" s="463"/>
    </row>
    <row r="469" spans="1:19" s="139" customFormat="1" ht="15" hidden="1" customHeight="1">
      <c r="A469" s="261"/>
      <c r="D469" s="141"/>
      <c r="Q469" s="463"/>
      <c r="R469" s="463"/>
      <c r="S469" s="463"/>
    </row>
    <row r="470" spans="1:19" s="139" customFormat="1" ht="15" hidden="1" customHeight="1">
      <c r="A470" s="261"/>
      <c r="D470" s="141"/>
      <c r="Q470" s="463"/>
      <c r="R470" s="463"/>
      <c r="S470" s="463"/>
    </row>
    <row r="471" spans="1:19" s="139" customFormat="1" ht="15" hidden="1" customHeight="1">
      <c r="A471" s="261"/>
      <c r="D471" s="141"/>
      <c r="Q471" s="463"/>
      <c r="R471" s="463"/>
      <c r="S471" s="463"/>
    </row>
    <row r="472" spans="1:19" s="139" customFormat="1" ht="15" hidden="1" customHeight="1">
      <c r="A472" s="261"/>
      <c r="D472" s="141"/>
      <c r="Q472" s="463"/>
      <c r="R472" s="463"/>
      <c r="S472" s="463"/>
    </row>
    <row r="473" spans="1:19" s="139" customFormat="1" ht="15" hidden="1" customHeight="1">
      <c r="A473" s="261"/>
      <c r="D473" s="141"/>
      <c r="Q473" s="463"/>
      <c r="R473" s="463"/>
      <c r="S473" s="463"/>
    </row>
    <row r="474" spans="1:19" s="139" customFormat="1" ht="15" hidden="1" customHeight="1">
      <c r="A474" s="261"/>
      <c r="D474" s="141"/>
      <c r="Q474" s="463"/>
      <c r="R474" s="463"/>
      <c r="S474" s="463"/>
    </row>
    <row r="475" spans="1:19" s="139" customFormat="1" ht="15" hidden="1" customHeight="1">
      <c r="A475" s="261"/>
      <c r="D475" s="141"/>
      <c r="Q475" s="463"/>
      <c r="R475" s="463"/>
      <c r="S475" s="463"/>
    </row>
    <row r="476" spans="1:19" s="139" customFormat="1" ht="15" hidden="1" customHeight="1">
      <c r="A476" s="261"/>
      <c r="D476" s="141"/>
      <c r="Q476" s="463"/>
      <c r="R476" s="463"/>
      <c r="S476" s="463"/>
    </row>
    <row r="477" spans="1:19" s="139" customFormat="1" ht="15" hidden="1" customHeight="1">
      <c r="A477" s="261"/>
      <c r="D477" s="141"/>
      <c r="Q477" s="463"/>
      <c r="R477" s="463"/>
      <c r="S477" s="463"/>
    </row>
    <row r="478" spans="1:19" s="139" customFormat="1" ht="15" hidden="1" customHeight="1">
      <c r="A478" s="261"/>
      <c r="D478" s="141"/>
      <c r="Q478" s="463"/>
      <c r="R478" s="463"/>
      <c r="S478" s="463"/>
    </row>
    <row r="479" spans="1:19" s="139" customFormat="1" ht="15" hidden="1" customHeight="1">
      <c r="A479" s="261"/>
      <c r="D479" s="141"/>
      <c r="Q479" s="463"/>
      <c r="R479" s="463"/>
      <c r="S479" s="463"/>
    </row>
    <row r="480" spans="1:19" s="139" customFormat="1" ht="15" hidden="1" customHeight="1">
      <c r="A480" s="261"/>
      <c r="D480" s="141"/>
      <c r="Q480" s="463"/>
      <c r="R480" s="463"/>
      <c r="S480" s="463"/>
    </row>
    <row r="481" spans="1:19" s="139" customFormat="1" ht="15" hidden="1" customHeight="1">
      <c r="A481" s="261"/>
      <c r="D481" s="141"/>
      <c r="Q481" s="463"/>
      <c r="R481" s="463"/>
      <c r="S481" s="463"/>
    </row>
    <row r="482" spans="1:19" s="139" customFormat="1" ht="15" hidden="1" customHeight="1">
      <c r="A482" s="261"/>
      <c r="D482" s="141"/>
      <c r="Q482" s="463"/>
      <c r="R482" s="463"/>
      <c r="S482" s="463"/>
    </row>
    <row r="483" spans="1:19" s="139" customFormat="1" ht="15" hidden="1" customHeight="1">
      <c r="A483" s="261"/>
      <c r="D483" s="141"/>
      <c r="Q483" s="463"/>
      <c r="R483" s="463"/>
      <c r="S483" s="463"/>
    </row>
    <row r="484" spans="1:19" s="139" customFormat="1" ht="15" hidden="1" customHeight="1">
      <c r="A484" s="261"/>
      <c r="D484" s="141"/>
      <c r="Q484" s="463"/>
      <c r="R484" s="463"/>
      <c r="S484" s="463"/>
    </row>
    <row r="485" spans="1:19" s="139" customFormat="1" ht="15" hidden="1" customHeight="1">
      <c r="A485" s="261"/>
      <c r="D485" s="141"/>
      <c r="Q485" s="463"/>
      <c r="R485" s="463"/>
      <c r="S485" s="463"/>
    </row>
    <row r="486" spans="1:19" s="139" customFormat="1" ht="15" hidden="1" customHeight="1">
      <c r="A486" s="261"/>
      <c r="D486" s="141"/>
      <c r="Q486" s="463"/>
      <c r="R486" s="463"/>
      <c r="S486" s="463"/>
    </row>
    <row r="487" spans="1:19" s="139" customFormat="1" ht="15" hidden="1" customHeight="1">
      <c r="A487" s="261"/>
      <c r="D487" s="141"/>
      <c r="Q487" s="463"/>
      <c r="R487" s="463"/>
      <c r="S487" s="463"/>
    </row>
    <row r="488" spans="1:19" s="139" customFormat="1" ht="15" hidden="1" customHeight="1">
      <c r="A488" s="261"/>
      <c r="D488" s="141"/>
      <c r="Q488" s="463"/>
      <c r="R488" s="463"/>
      <c r="S488" s="463"/>
    </row>
    <row r="489" spans="1:19" s="139" customFormat="1" ht="15" hidden="1" customHeight="1">
      <c r="A489" s="261"/>
      <c r="D489" s="141"/>
      <c r="Q489" s="463"/>
      <c r="R489" s="463"/>
      <c r="S489" s="463"/>
    </row>
    <row r="490" spans="1:19" s="139" customFormat="1" ht="15" hidden="1" customHeight="1">
      <c r="A490" s="261"/>
      <c r="D490" s="141"/>
      <c r="Q490" s="463"/>
      <c r="R490" s="463"/>
      <c r="S490" s="463"/>
    </row>
    <row r="491" spans="1:19" s="139" customFormat="1" ht="15" hidden="1" customHeight="1">
      <c r="A491" s="261"/>
      <c r="D491" s="141"/>
      <c r="Q491" s="463"/>
      <c r="R491" s="463"/>
      <c r="S491" s="463"/>
    </row>
    <row r="492" spans="1:19" s="139" customFormat="1" ht="15" hidden="1" customHeight="1">
      <c r="A492" s="261"/>
      <c r="D492" s="141"/>
      <c r="Q492" s="463"/>
      <c r="R492" s="463"/>
      <c r="S492" s="463"/>
    </row>
    <row r="493" spans="1:19" s="139" customFormat="1" ht="15" hidden="1" customHeight="1">
      <c r="A493" s="261"/>
      <c r="D493" s="141"/>
      <c r="Q493" s="463"/>
      <c r="R493" s="463"/>
      <c r="S493" s="463"/>
    </row>
    <row r="494" spans="1:19" s="139" customFormat="1" ht="15" hidden="1" customHeight="1">
      <c r="A494" s="261"/>
      <c r="D494" s="141"/>
      <c r="Q494" s="463"/>
      <c r="R494" s="463"/>
      <c r="S494" s="463"/>
    </row>
    <row r="495" spans="1:19" s="139" customFormat="1" ht="15" hidden="1" customHeight="1">
      <c r="A495" s="261"/>
      <c r="D495" s="141"/>
      <c r="Q495" s="463"/>
      <c r="R495" s="463"/>
      <c r="S495" s="463"/>
    </row>
    <row r="496" spans="1:19" s="139" customFormat="1" ht="15" hidden="1" customHeight="1">
      <c r="A496" s="261"/>
      <c r="D496" s="141"/>
      <c r="Q496" s="463"/>
      <c r="R496" s="463"/>
      <c r="S496" s="463"/>
    </row>
    <row r="497" spans="1:19" s="139" customFormat="1" ht="15" hidden="1" customHeight="1">
      <c r="A497" s="261"/>
      <c r="D497" s="141"/>
      <c r="Q497" s="463"/>
      <c r="R497" s="463"/>
      <c r="S497" s="463"/>
    </row>
    <row r="498" spans="1:19" s="139" customFormat="1" ht="15" hidden="1" customHeight="1">
      <c r="A498" s="261"/>
      <c r="D498" s="141"/>
      <c r="Q498" s="463"/>
      <c r="R498" s="463"/>
      <c r="S498" s="463"/>
    </row>
    <row r="499" spans="1:19" s="139" customFormat="1" ht="15" hidden="1" customHeight="1">
      <c r="A499" s="261"/>
      <c r="D499" s="141"/>
      <c r="Q499" s="463"/>
      <c r="R499" s="463"/>
      <c r="S499" s="463"/>
    </row>
    <row r="500" spans="1:19" s="139" customFormat="1" ht="15" hidden="1" customHeight="1">
      <c r="A500" s="261"/>
      <c r="D500" s="141"/>
      <c r="Q500" s="463"/>
      <c r="R500" s="463"/>
      <c r="S500" s="463"/>
    </row>
    <row r="501" spans="1:19" s="139" customFormat="1" ht="15" hidden="1" customHeight="1">
      <c r="A501" s="261"/>
      <c r="D501" s="141"/>
      <c r="Q501" s="463"/>
      <c r="R501" s="463"/>
      <c r="S501" s="463"/>
    </row>
    <row r="502" spans="1:19" s="139" customFormat="1" ht="15" hidden="1" customHeight="1">
      <c r="A502" s="261"/>
      <c r="D502" s="141"/>
      <c r="Q502" s="463"/>
      <c r="R502" s="463"/>
      <c r="S502" s="463"/>
    </row>
    <row r="503" spans="1:19" s="139" customFormat="1" ht="15" hidden="1" customHeight="1">
      <c r="A503" s="261"/>
      <c r="D503" s="141"/>
      <c r="Q503" s="463"/>
      <c r="R503" s="463"/>
      <c r="S503" s="463"/>
    </row>
    <row r="504" spans="1:19" s="139" customFormat="1" ht="15" hidden="1" customHeight="1">
      <c r="A504" s="261"/>
      <c r="D504" s="141"/>
      <c r="Q504" s="463"/>
      <c r="R504" s="463"/>
      <c r="S504" s="463"/>
    </row>
    <row r="505" spans="1:19" s="139" customFormat="1" ht="15" hidden="1" customHeight="1">
      <c r="A505" s="261"/>
      <c r="D505" s="141"/>
      <c r="Q505" s="463"/>
      <c r="R505" s="463"/>
      <c r="S505" s="463"/>
    </row>
    <row r="506" spans="1:19" s="139" customFormat="1" ht="15" hidden="1" customHeight="1">
      <c r="A506" s="261"/>
      <c r="D506" s="141"/>
      <c r="Q506" s="463"/>
      <c r="R506" s="463"/>
      <c r="S506" s="463"/>
    </row>
    <row r="507" spans="1:19" s="139" customFormat="1" ht="15" hidden="1" customHeight="1">
      <c r="A507" s="261"/>
      <c r="D507" s="141"/>
      <c r="Q507" s="463"/>
      <c r="R507" s="463"/>
      <c r="S507" s="463"/>
    </row>
    <row r="508" spans="1:19" s="139" customFormat="1" ht="15" hidden="1" customHeight="1">
      <c r="A508" s="261"/>
      <c r="D508" s="141"/>
      <c r="Q508" s="463"/>
      <c r="R508" s="463"/>
      <c r="S508" s="463"/>
    </row>
    <row r="509" spans="1:19" s="139" customFormat="1" ht="15" hidden="1" customHeight="1">
      <c r="A509" s="261"/>
      <c r="D509" s="141"/>
      <c r="Q509" s="463"/>
      <c r="R509" s="463"/>
      <c r="S509" s="463"/>
    </row>
    <row r="510" spans="1:19" s="139" customFormat="1" ht="15" hidden="1" customHeight="1">
      <c r="A510" s="261"/>
      <c r="D510" s="141"/>
      <c r="Q510" s="463"/>
      <c r="R510" s="463"/>
      <c r="S510" s="463"/>
    </row>
    <row r="511" spans="1:19" s="139" customFormat="1" ht="15" hidden="1" customHeight="1">
      <c r="A511" s="261"/>
      <c r="D511" s="141"/>
      <c r="Q511" s="463"/>
      <c r="R511" s="463"/>
      <c r="S511" s="463"/>
    </row>
    <row r="512" spans="1:19" s="139" customFormat="1" ht="15" hidden="1" customHeight="1">
      <c r="A512" s="261"/>
      <c r="D512" s="141"/>
      <c r="Q512" s="463"/>
      <c r="R512" s="463"/>
      <c r="S512" s="463"/>
    </row>
    <row r="513" spans="1:19" s="139" customFormat="1" ht="15" hidden="1" customHeight="1">
      <c r="A513" s="261"/>
      <c r="D513" s="141"/>
      <c r="Q513" s="463"/>
      <c r="R513" s="463"/>
      <c r="S513" s="463"/>
    </row>
    <row r="514" spans="1:19" s="139" customFormat="1" ht="15" hidden="1" customHeight="1">
      <c r="A514" s="261"/>
      <c r="D514" s="141"/>
      <c r="Q514" s="463"/>
      <c r="R514" s="463"/>
      <c r="S514" s="463"/>
    </row>
    <row r="515" spans="1:19" s="139" customFormat="1" ht="15" hidden="1" customHeight="1">
      <c r="A515" s="261"/>
      <c r="D515" s="141"/>
      <c r="Q515" s="463"/>
      <c r="R515" s="463"/>
      <c r="S515" s="463"/>
    </row>
    <row r="516" spans="1:19" s="139" customFormat="1" ht="15" hidden="1" customHeight="1">
      <c r="A516" s="261"/>
      <c r="D516" s="141"/>
      <c r="Q516" s="463"/>
      <c r="R516" s="463"/>
      <c r="S516" s="463"/>
    </row>
    <row r="517" spans="1:19" s="139" customFormat="1" ht="15" hidden="1" customHeight="1">
      <c r="A517" s="261"/>
      <c r="D517" s="141"/>
      <c r="Q517" s="463"/>
      <c r="R517" s="463"/>
      <c r="S517" s="463"/>
    </row>
    <row r="518" spans="1:19" s="139" customFormat="1" ht="15" hidden="1" customHeight="1">
      <c r="A518" s="261"/>
      <c r="D518" s="141"/>
      <c r="Q518" s="463"/>
      <c r="R518" s="463"/>
      <c r="S518" s="463"/>
    </row>
    <row r="519" spans="1:19" s="139" customFormat="1" ht="15" hidden="1" customHeight="1">
      <c r="A519" s="261"/>
      <c r="D519" s="141"/>
      <c r="Q519" s="463"/>
      <c r="R519" s="463"/>
      <c r="S519" s="463"/>
    </row>
    <row r="520" spans="1:19" s="139" customFormat="1" ht="15" hidden="1" customHeight="1">
      <c r="A520" s="261"/>
      <c r="D520" s="141"/>
      <c r="Q520" s="463"/>
      <c r="R520" s="463"/>
      <c r="S520" s="463"/>
    </row>
    <row r="521" spans="1:19" s="139" customFormat="1" ht="15" hidden="1" customHeight="1">
      <c r="A521" s="261"/>
      <c r="D521" s="141"/>
      <c r="Q521" s="463"/>
      <c r="R521" s="463"/>
      <c r="S521" s="463"/>
    </row>
    <row r="522" spans="1:19" s="139" customFormat="1" ht="15" hidden="1" customHeight="1">
      <c r="A522" s="261"/>
      <c r="D522" s="141"/>
      <c r="Q522" s="463"/>
      <c r="R522" s="463"/>
      <c r="S522" s="463"/>
    </row>
    <row r="523" spans="1:19" s="139" customFormat="1" ht="15" hidden="1" customHeight="1">
      <c r="A523" s="261"/>
      <c r="D523" s="141"/>
      <c r="Q523" s="463"/>
      <c r="R523" s="463"/>
      <c r="S523" s="463"/>
    </row>
    <row r="524" spans="1:19" s="139" customFormat="1" ht="15" hidden="1" customHeight="1">
      <c r="A524" s="261"/>
      <c r="D524" s="141"/>
      <c r="Q524" s="463"/>
      <c r="R524" s="463"/>
      <c r="S524" s="463"/>
    </row>
    <row r="525" spans="1:19" s="139" customFormat="1" ht="15" hidden="1" customHeight="1">
      <c r="A525" s="261"/>
      <c r="D525" s="141"/>
      <c r="Q525" s="463"/>
      <c r="R525" s="463"/>
      <c r="S525" s="463"/>
    </row>
    <row r="526" spans="1:19" s="139" customFormat="1" ht="15" hidden="1" customHeight="1">
      <c r="A526" s="261"/>
      <c r="D526" s="141"/>
      <c r="Q526" s="463"/>
      <c r="R526" s="463"/>
      <c r="S526" s="463"/>
    </row>
    <row r="527" spans="1:19" s="139" customFormat="1" ht="15" hidden="1" customHeight="1">
      <c r="A527" s="261"/>
      <c r="D527" s="141"/>
      <c r="Q527" s="463"/>
      <c r="R527" s="463"/>
      <c r="S527" s="463"/>
    </row>
    <row r="528" spans="1:19" s="139" customFormat="1" ht="15" hidden="1" customHeight="1">
      <c r="A528" s="261"/>
      <c r="D528" s="141"/>
      <c r="Q528" s="463"/>
      <c r="R528" s="463"/>
      <c r="S528" s="463"/>
    </row>
    <row r="529" spans="1:19" s="139" customFormat="1" ht="15" hidden="1" customHeight="1">
      <c r="A529" s="261"/>
      <c r="D529" s="141"/>
      <c r="Q529" s="463"/>
      <c r="R529" s="463"/>
      <c r="S529" s="463"/>
    </row>
    <row r="530" spans="1:19" s="139" customFormat="1" ht="15" hidden="1" customHeight="1">
      <c r="A530" s="261"/>
      <c r="D530" s="141"/>
      <c r="Q530" s="463"/>
      <c r="R530" s="463"/>
      <c r="S530" s="463"/>
    </row>
    <row r="531" spans="1:19" s="139" customFormat="1" ht="15" hidden="1" customHeight="1">
      <c r="A531" s="261"/>
      <c r="D531" s="141"/>
      <c r="Q531" s="463"/>
      <c r="R531" s="463"/>
      <c r="S531" s="463"/>
    </row>
    <row r="532" spans="1:19" s="139" customFormat="1" ht="15" hidden="1" customHeight="1">
      <c r="A532" s="261"/>
      <c r="D532" s="141"/>
      <c r="Q532" s="463"/>
      <c r="R532" s="463"/>
      <c r="S532" s="463"/>
    </row>
    <row r="533" spans="1:19" s="139" customFormat="1" ht="15" hidden="1" customHeight="1">
      <c r="A533" s="261"/>
      <c r="D533" s="141"/>
      <c r="Q533" s="463"/>
      <c r="R533" s="463"/>
      <c r="S533" s="463"/>
    </row>
    <row r="534" spans="1:19" s="139" customFormat="1" ht="15" hidden="1" customHeight="1">
      <c r="A534" s="261"/>
      <c r="D534" s="141"/>
      <c r="Q534" s="463"/>
      <c r="R534" s="463"/>
      <c r="S534" s="463"/>
    </row>
    <row r="535" spans="1:19" s="139" customFormat="1" ht="15" hidden="1" customHeight="1">
      <c r="A535" s="261"/>
      <c r="D535" s="141"/>
      <c r="Q535" s="463"/>
      <c r="R535" s="463"/>
      <c r="S535" s="463"/>
    </row>
    <row r="536" spans="1:19" s="139" customFormat="1" ht="15" hidden="1" customHeight="1">
      <c r="A536" s="261"/>
      <c r="D536" s="141"/>
      <c r="Q536" s="463"/>
      <c r="R536" s="463"/>
      <c r="S536" s="463"/>
    </row>
    <row r="537" spans="1:19" s="139" customFormat="1" ht="15" hidden="1" customHeight="1">
      <c r="A537" s="261"/>
      <c r="D537" s="141"/>
      <c r="Q537" s="463"/>
      <c r="R537" s="463"/>
      <c r="S537" s="463"/>
    </row>
    <row r="538" spans="1:19" s="139" customFormat="1" ht="15" hidden="1" customHeight="1">
      <c r="A538" s="261"/>
      <c r="D538" s="141"/>
      <c r="Q538" s="463"/>
      <c r="R538" s="463"/>
      <c r="S538" s="463"/>
    </row>
    <row r="539" spans="1:19" s="139" customFormat="1" ht="15" hidden="1" customHeight="1">
      <c r="A539" s="261"/>
      <c r="D539" s="141"/>
      <c r="Q539" s="463"/>
      <c r="R539" s="463"/>
      <c r="S539" s="463"/>
    </row>
    <row r="540" spans="1:19" s="139" customFormat="1" ht="15" hidden="1" customHeight="1">
      <c r="A540" s="261"/>
      <c r="D540" s="141"/>
      <c r="Q540" s="463"/>
      <c r="R540" s="463"/>
      <c r="S540" s="463"/>
    </row>
    <row r="541" spans="1:19" s="139" customFormat="1" ht="15" hidden="1" customHeight="1">
      <c r="A541" s="261"/>
      <c r="D541" s="141"/>
      <c r="Q541" s="463"/>
      <c r="R541" s="463"/>
      <c r="S541" s="463"/>
    </row>
    <row r="542" spans="1:19" s="139" customFormat="1" ht="15" hidden="1" customHeight="1">
      <c r="A542" s="261"/>
      <c r="D542" s="141"/>
      <c r="Q542" s="463"/>
      <c r="R542" s="463"/>
      <c r="S542" s="463"/>
    </row>
    <row r="543" spans="1:19" s="139" customFormat="1" ht="15" hidden="1" customHeight="1">
      <c r="A543" s="261"/>
      <c r="D543" s="141"/>
      <c r="Q543" s="463"/>
      <c r="R543" s="463"/>
      <c r="S543" s="463"/>
    </row>
    <row r="544" spans="1:19" s="139" customFormat="1" ht="15" hidden="1" customHeight="1">
      <c r="A544" s="261"/>
      <c r="D544" s="141"/>
      <c r="Q544" s="463"/>
      <c r="R544" s="463"/>
      <c r="S544" s="463"/>
    </row>
    <row r="545" spans="1:19" s="139" customFormat="1" ht="15" hidden="1" customHeight="1">
      <c r="A545" s="261"/>
      <c r="D545" s="141"/>
      <c r="Q545" s="463"/>
      <c r="R545" s="463"/>
      <c r="S545" s="463"/>
    </row>
    <row r="546" spans="1:19" s="139" customFormat="1" ht="15" hidden="1" customHeight="1">
      <c r="A546" s="261"/>
      <c r="D546" s="141"/>
      <c r="Q546" s="463"/>
      <c r="R546" s="463"/>
      <c r="S546" s="463"/>
    </row>
    <row r="547" spans="1:19" s="139" customFormat="1" ht="15" hidden="1" customHeight="1">
      <c r="A547" s="261"/>
      <c r="D547" s="141"/>
      <c r="Q547" s="463"/>
      <c r="R547" s="463"/>
      <c r="S547" s="463"/>
    </row>
    <row r="548" spans="1:19" s="139" customFormat="1" ht="15" hidden="1" customHeight="1">
      <c r="A548" s="261"/>
      <c r="D548" s="141"/>
      <c r="Q548" s="463"/>
      <c r="R548" s="463"/>
      <c r="S548" s="463"/>
    </row>
    <row r="549" spans="1:19" s="139" customFormat="1" ht="15" hidden="1" customHeight="1">
      <c r="A549" s="261"/>
      <c r="D549" s="141"/>
      <c r="Q549" s="463"/>
      <c r="R549" s="463"/>
      <c r="S549" s="463"/>
    </row>
    <row r="550" spans="1:19" s="139" customFormat="1" ht="15" hidden="1" customHeight="1">
      <c r="A550" s="261"/>
      <c r="D550" s="141"/>
      <c r="Q550" s="463"/>
      <c r="R550" s="463"/>
      <c r="S550" s="463"/>
    </row>
    <row r="551" spans="1:19" s="139" customFormat="1" ht="15" hidden="1" customHeight="1">
      <c r="A551" s="261"/>
      <c r="D551" s="141"/>
      <c r="Q551" s="463"/>
      <c r="R551" s="463"/>
      <c r="S551" s="463"/>
    </row>
    <row r="552" spans="1:19" s="139" customFormat="1" ht="15" hidden="1" customHeight="1">
      <c r="A552" s="261"/>
      <c r="D552" s="141"/>
      <c r="Q552" s="463"/>
      <c r="R552" s="463"/>
      <c r="S552" s="463"/>
    </row>
    <row r="553" spans="1:19" s="139" customFormat="1" ht="15" hidden="1" customHeight="1">
      <c r="A553" s="261"/>
      <c r="D553" s="141"/>
      <c r="Q553" s="463"/>
      <c r="R553" s="463"/>
      <c r="S553" s="463"/>
    </row>
    <row r="554" spans="1:19" s="139" customFormat="1" ht="15" hidden="1" customHeight="1">
      <c r="A554" s="261"/>
      <c r="D554" s="141"/>
      <c r="Q554" s="463"/>
      <c r="R554" s="463"/>
      <c r="S554" s="463"/>
    </row>
    <row r="555" spans="1:19" s="139" customFormat="1" ht="15" hidden="1" customHeight="1">
      <c r="A555" s="261"/>
      <c r="D555" s="141"/>
      <c r="Q555" s="463"/>
      <c r="R555" s="463"/>
      <c r="S555" s="463"/>
    </row>
    <row r="556" spans="1:19" s="139" customFormat="1" ht="15" hidden="1" customHeight="1">
      <c r="A556" s="261"/>
      <c r="D556" s="141"/>
      <c r="Q556" s="463"/>
      <c r="R556" s="463"/>
      <c r="S556" s="463"/>
    </row>
    <row r="557" spans="1:19" s="139" customFormat="1" ht="15" hidden="1" customHeight="1">
      <c r="A557" s="261"/>
      <c r="D557" s="141"/>
      <c r="Q557" s="463"/>
      <c r="R557" s="463"/>
      <c r="S557" s="463"/>
    </row>
    <row r="558" spans="1:19" s="139" customFormat="1" ht="15" hidden="1" customHeight="1">
      <c r="A558" s="261"/>
      <c r="D558" s="141"/>
      <c r="Q558" s="463"/>
      <c r="R558" s="463"/>
      <c r="S558" s="463"/>
    </row>
    <row r="559" spans="1:19" s="139" customFormat="1" ht="15" hidden="1" customHeight="1">
      <c r="A559" s="261"/>
      <c r="D559" s="141"/>
      <c r="Q559" s="463"/>
      <c r="R559" s="463"/>
      <c r="S559" s="463"/>
    </row>
    <row r="560" spans="1:19" s="139" customFormat="1" ht="15" hidden="1" customHeight="1">
      <c r="A560" s="261"/>
      <c r="D560" s="141"/>
      <c r="Q560" s="463"/>
      <c r="R560" s="463"/>
      <c r="S560" s="463"/>
    </row>
    <row r="561" spans="1:19" s="139" customFormat="1" ht="15" hidden="1" customHeight="1">
      <c r="A561" s="261"/>
      <c r="D561" s="141"/>
      <c r="Q561" s="463"/>
      <c r="R561" s="463"/>
      <c r="S561" s="463"/>
    </row>
    <row r="562" spans="1:19" s="139" customFormat="1" ht="15" hidden="1" customHeight="1">
      <c r="A562" s="261"/>
      <c r="D562" s="141"/>
      <c r="Q562" s="463"/>
      <c r="R562" s="463"/>
      <c r="S562" s="463"/>
    </row>
    <row r="563" spans="1:19" s="139" customFormat="1" ht="15" hidden="1" customHeight="1">
      <c r="A563" s="261"/>
      <c r="D563" s="141"/>
      <c r="Q563" s="463"/>
      <c r="R563" s="463"/>
      <c r="S563" s="463"/>
    </row>
    <row r="564" spans="1:19" s="139" customFormat="1" ht="15" hidden="1" customHeight="1">
      <c r="A564" s="261"/>
      <c r="D564" s="141"/>
      <c r="Q564" s="463"/>
      <c r="R564" s="463"/>
      <c r="S564" s="463"/>
    </row>
    <row r="565" spans="1:19" s="139" customFormat="1" ht="15" hidden="1" customHeight="1">
      <c r="A565" s="261"/>
      <c r="D565" s="141"/>
      <c r="Q565" s="463"/>
      <c r="R565" s="463"/>
      <c r="S565" s="463"/>
    </row>
    <row r="566" spans="1:19" s="139" customFormat="1" ht="15" hidden="1" customHeight="1">
      <c r="A566" s="261"/>
      <c r="D566" s="141"/>
      <c r="Q566" s="463"/>
      <c r="R566" s="463"/>
      <c r="S566" s="463"/>
    </row>
  </sheetData>
  <sheetProtection algorithmName="SHA-512" hashValue="8NUkcgzoi3jRzluSBu5GFQlI7G+Y/02OuO4A93UFvhRST5Kor/fBuAr6ACk1eNfD2AIdsrw8TkQhoX3Phc+5CQ==" saltValue="0DyUU1+jQP50bAsU4QbTBQ==" spinCount="100000" sheet="1" formatCells="0" formatColumns="0" formatRows="0" insertColumns="0" insertRows="0" insertHyperlinks="0" deleteColumns="0" deleteRows="0" sort="0" autoFilter="0" pivotTables="0"/>
  <mergeCells count="6">
    <mergeCell ref="B112:C134"/>
    <mergeCell ref="Q6:S6"/>
    <mergeCell ref="B9:C18"/>
    <mergeCell ref="B20:C84"/>
    <mergeCell ref="B86:C106"/>
    <mergeCell ref="B108:C110"/>
  </mergeCells>
  <dataValidations count="3">
    <dataValidation type="whole" operator="greaterThanOrEqual" allowBlank="1" showInputMessage="1" showErrorMessage="1" errorTitle="Invalid entry!" error="An invalid quantity has been entered. Please enter only whole numbers. Click Retry to change entry or Cancel to clear entry." sqref="K6 K7:L8 K107:L107 K19:L19 K111:L111 K85:L85" xr:uid="{B774E038-2383-4318-B29F-44FE5F6AFF50}">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4F3CA8A0-E340-47EE-BF87-CA3DB7713213}">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K1 L1:L6 K108:L110 K567:L64234 K112:L135 K9:L106" xr:uid="{C96BF578-0919-421E-AFA7-F6A62A021E20}">
      <formula1>1</formula1>
    </dataValidation>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rowBreaks count="2" manualBreakCount="2">
    <brk id="50" max="8" man="1"/>
    <brk id="106"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8D9CC-FE03-46CA-9A1D-E67456D7DC88}">
  <sheetPr codeName="Sheet13">
    <tabColor theme="0"/>
    <pageSetUpPr fitToPage="1"/>
  </sheetPr>
  <dimension ref="A1:T120"/>
  <sheetViews>
    <sheetView workbookViewId="0"/>
  </sheetViews>
  <sheetFormatPr defaultColWidth="9.109375" defaultRowHeight="0" customHeight="1" zeroHeight="1"/>
  <cols>
    <col min="1" max="1" width="2.33203125" style="5" customWidth="1"/>
    <col min="2" max="3" width="8.6640625" style="2" customWidth="1"/>
    <col min="4" max="5" width="12.6640625" style="4" customWidth="1"/>
    <col min="6" max="6" width="51.109375" style="2" bestFit="1" customWidth="1"/>
    <col min="7" max="8" width="10.6640625" style="4" customWidth="1"/>
    <col min="9" max="10" width="10.6640625" style="10" customWidth="1"/>
    <col min="11" max="11" width="10.6640625" style="2" customWidth="1"/>
    <col min="12" max="12" width="1.44140625" style="2" customWidth="1"/>
    <col min="13" max="13" width="10.6640625" style="4" customWidth="1"/>
    <col min="14" max="14" width="2.33203125" style="11" customWidth="1"/>
    <col min="15" max="15" width="12.6640625" style="2" customWidth="1"/>
    <col min="16" max="16" width="10.6640625" style="2" customWidth="1"/>
    <col min="17" max="17" width="11.6640625" style="2" customWidth="1"/>
    <col min="18" max="18" width="12.6640625" style="2" customWidth="1"/>
    <col min="19" max="19" width="13.6640625" style="2" customWidth="1"/>
    <col min="20" max="20" width="10.6640625" style="2" customWidth="1"/>
    <col min="21" max="16384" width="9.109375" style="2"/>
  </cols>
  <sheetData>
    <row r="1" spans="1:20" ht="18">
      <c r="F1" s="211" t="s">
        <v>58</v>
      </c>
      <c r="G1" s="152"/>
      <c r="H1" s="152"/>
      <c r="O1" s="152"/>
      <c r="P1" s="152"/>
      <c r="T1" s="152"/>
    </row>
    <row r="2" spans="1:20" ht="15.6">
      <c r="D2" s="12"/>
      <c r="E2" s="13"/>
      <c r="J2" s="661" t="s">
        <v>59</v>
      </c>
      <c r="K2" s="661"/>
    </row>
    <row r="3" spans="1:20" ht="14.4">
      <c r="F3" s="323" t="s">
        <v>60</v>
      </c>
      <c r="J3" s="661"/>
      <c r="K3" s="661"/>
    </row>
    <row r="4" spans="1:20" ht="15.75" customHeight="1">
      <c r="D4" s="12"/>
      <c r="E4" s="14" t="s">
        <v>61</v>
      </c>
      <c r="F4" s="324" t="s">
        <v>61</v>
      </c>
    </row>
    <row r="5" spans="1:20" ht="14.4">
      <c r="E5" s="14"/>
      <c r="F5" s="325" t="s">
        <v>62</v>
      </c>
    </row>
    <row r="6" spans="1:20" ht="14.4">
      <c r="O6" s="353" t="s">
        <v>63</v>
      </c>
      <c r="Q6" s="614" t="s">
        <v>64</v>
      </c>
      <c r="R6" s="614"/>
      <c r="S6" s="614"/>
    </row>
    <row r="7" spans="1:20" s="214" customFormat="1" ht="36" customHeight="1" thickBot="1">
      <c r="A7" s="43"/>
      <c r="B7" s="136"/>
      <c r="C7" s="136"/>
      <c r="D7" s="136" t="s">
        <v>48</v>
      </c>
      <c r="E7" s="136" t="s">
        <v>49</v>
      </c>
      <c r="F7" s="136" t="s">
        <v>50</v>
      </c>
      <c r="G7" s="136" t="s">
        <v>65</v>
      </c>
      <c r="H7" s="136" t="s">
        <v>66</v>
      </c>
      <c r="I7" s="157" t="s">
        <v>51</v>
      </c>
      <c r="J7" s="157" t="s">
        <v>55</v>
      </c>
      <c r="K7" s="158" t="s">
        <v>52</v>
      </c>
      <c r="L7" s="159"/>
      <c r="M7" s="143" t="s">
        <v>67</v>
      </c>
      <c r="O7" s="213" t="s">
        <v>68</v>
      </c>
      <c r="P7" s="213" t="s">
        <v>69</v>
      </c>
      <c r="Q7" s="213" t="s">
        <v>70</v>
      </c>
      <c r="R7" s="213" t="s">
        <v>71</v>
      </c>
      <c r="S7" s="213" t="s">
        <v>72</v>
      </c>
      <c r="T7" s="213" t="s">
        <v>73</v>
      </c>
    </row>
    <row r="8" spans="1:20" ht="14.4">
      <c r="A8" s="5" t="str">
        <f>IF(K8&gt;0,COUNT($A$7:A7)+COUNT('DWV PVC'!$A$9:$A$316)+1,"")</f>
        <v/>
      </c>
      <c r="B8" s="655"/>
      <c r="C8" s="656"/>
      <c r="D8" s="103" t="s">
        <v>74</v>
      </c>
      <c r="E8" s="103">
        <v>300005952</v>
      </c>
      <c r="F8" s="102" t="s">
        <v>75</v>
      </c>
      <c r="G8" s="124">
        <v>100</v>
      </c>
      <c r="H8" s="124">
        <v>1900</v>
      </c>
      <c r="I8" s="123" t="e">
        <f>_xlfn.XLOOKUP(E8,'All Products'!D:D,'All Products'!H:H)</f>
        <v>#N/A</v>
      </c>
      <c r="J8" s="128" t="e">
        <f>ROUNDUP(I8*Order_Quote!$L$3,2)</f>
        <v>#N/A</v>
      </c>
      <c r="K8" s="119"/>
      <c r="L8" s="76"/>
      <c r="M8" s="104">
        <f t="shared" ref="M8:M39" si="0">K8/G8</f>
        <v>0</v>
      </c>
      <c r="O8" s="215" t="s">
        <v>76</v>
      </c>
      <c r="P8" s="215" t="s">
        <v>77</v>
      </c>
      <c r="Q8" s="215">
        <v>0</v>
      </c>
      <c r="R8" s="215">
        <v>0</v>
      </c>
      <c r="S8" s="215">
        <v>0</v>
      </c>
      <c r="T8" s="264">
        <v>0.21199999999999999</v>
      </c>
    </row>
    <row r="9" spans="1:20" ht="14.4">
      <c r="A9" s="5" t="str">
        <f>IF(K9&gt;0,COUNT($A$7:A8)+COUNT('DWV PVC'!$A$9:$A$316)+1,"")</f>
        <v/>
      </c>
      <c r="B9" s="657"/>
      <c r="C9" s="658"/>
      <c r="D9" s="103" t="s">
        <v>78</v>
      </c>
      <c r="E9" s="103">
        <v>300005953</v>
      </c>
      <c r="F9" s="102" t="s">
        <v>79</v>
      </c>
      <c r="G9" s="124">
        <v>35</v>
      </c>
      <c r="H9" s="124">
        <v>1050</v>
      </c>
      <c r="I9" s="123" t="e">
        <f>_xlfn.XLOOKUP(E9,'All Products'!D:D,'All Products'!H:H)</f>
        <v>#N/A</v>
      </c>
      <c r="J9" s="128" t="e">
        <f>ROUNDUP(I9*Order_Quote!$L$3,2)</f>
        <v>#N/A</v>
      </c>
      <c r="K9" s="118"/>
      <c r="L9" s="76"/>
      <c r="M9" s="104">
        <f t="shared" si="0"/>
        <v>0</v>
      </c>
      <c r="O9" s="215" t="s">
        <v>76</v>
      </c>
      <c r="P9" s="215" t="s">
        <v>77</v>
      </c>
      <c r="Q9" s="215">
        <v>0</v>
      </c>
      <c r="R9" s="215">
        <v>0</v>
      </c>
      <c r="S9" s="215">
        <v>0</v>
      </c>
      <c r="T9" s="264">
        <v>0.33</v>
      </c>
    </row>
    <row r="10" spans="1:20" ht="14.4">
      <c r="A10" s="5" t="str">
        <f>IF(K10&gt;0,COUNT($A$7:A9)+COUNT('DWV PVC'!$A$9:$A$316)+1,"")</f>
        <v/>
      </c>
      <c r="B10" s="657"/>
      <c r="C10" s="658"/>
      <c r="D10" s="103" t="s">
        <v>80</v>
      </c>
      <c r="E10" s="103">
        <v>300005954</v>
      </c>
      <c r="F10" s="102" t="s">
        <v>81</v>
      </c>
      <c r="G10" s="124">
        <v>30</v>
      </c>
      <c r="H10" s="124">
        <v>360</v>
      </c>
      <c r="I10" s="123" t="e">
        <f>_xlfn.XLOOKUP(E10,'All Products'!D:D,'All Products'!H:H)</f>
        <v>#N/A</v>
      </c>
      <c r="J10" s="128" t="e">
        <f>ROUNDUP(I10*Order_Quote!$L$3,2)</f>
        <v>#N/A</v>
      </c>
      <c r="K10" s="118"/>
      <c r="L10" s="76"/>
      <c r="M10" s="104">
        <f t="shared" si="0"/>
        <v>0</v>
      </c>
      <c r="O10" s="215" t="s">
        <v>76</v>
      </c>
      <c r="P10" s="215" t="s">
        <v>77</v>
      </c>
      <c r="Q10" s="215">
        <v>0</v>
      </c>
      <c r="R10" s="215">
        <v>0</v>
      </c>
      <c r="S10" s="215">
        <v>0</v>
      </c>
      <c r="T10" s="264">
        <v>1.026</v>
      </c>
    </row>
    <row r="11" spans="1:20" ht="14.4">
      <c r="A11" s="5" t="str">
        <f>IF(K11&gt;0,COUNT($A$7:A10)+COUNT('DWV PVC'!$A$9:$A$316)+1,"")</f>
        <v/>
      </c>
      <c r="B11" s="659"/>
      <c r="C11" s="660"/>
      <c r="D11" s="103" t="s">
        <v>82</v>
      </c>
      <c r="E11" s="103">
        <v>300005955</v>
      </c>
      <c r="F11" s="102" t="s">
        <v>83</v>
      </c>
      <c r="G11" s="124">
        <v>12</v>
      </c>
      <c r="H11" s="124">
        <v>360</v>
      </c>
      <c r="I11" s="123" t="e">
        <f>_xlfn.XLOOKUP(E11,'All Products'!D:D,'All Products'!H:H)</f>
        <v>#N/A</v>
      </c>
      <c r="J11" s="128" t="e">
        <f>ROUNDUP(I11*Order_Quote!$L$3,2)</f>
        <v>#N/A</v>
      </c>
      <c r="K11" s="118"/>
      <c r="L11" s="76"/>
      <c r="M11" s="104">
        <f t="shared" si="0"/>
        <v>0</v>
      </c>
      <c r="O11" s="215" t="s">
        <v>76</v>
      </c>
      <c r="P11" s="215" t="s">
        <v>77</v>
      </c>
      <c r="Q11" s="215">
        <v>0</v>
      </c>
      <c r="R11" s="215">
        <v>0</v>
      </c>
      <c r="S11" s="215">
        <v>0</v>
      </c>
      <c r="T11" s="264">
        <v>1.88</v>
      </c>
    </row>
    <row r="12" spans="1:20" ht="14.4">
      <c r="A12" s="5" t="str">
        <f>IF(K12&gt;0,COUNT($A$7:A11)+COUNT('DWV PVC'!$A$9:$A$316)+1,"")</f>
        <v/>
      </c>
      <c r="B12" s="644"/>
      <c r="C12" s="645"/>
      <c r="D12" s="103" t="s">
        <v>84</v>
      </c>
      <c r="E12" s="103">
        <v>300005956</v>
      </c>
      <c r="F12" s="102" t="s">
        <v>85</v>
      </c>
      <c r="G12" s="124">
        <v>25</v>
      </c>
      <c r="H12" s="124">
        <v>1200</v>
      </c>
      <c r="I12" s="123" t="e">
        <f>_xlfn.XLOOKUP(E12,'All Products'!D:D,'All Products'!H:H)</f>
        <v>#N/A</v>
      </c>
      <c r="J12" s="128" t="e">
        <f>ROUNDUP(I12*Order_Quote!$L$3,2)</f>
        <v>#N/A</v>
      </c>
      <c r="K12" s="118"/>
      <c r="L12" s="76"/>
      <c r="M12" s="104">
        <f t="shared" si="0"/>
        <v>0</v>
      </c>
      <c r="O12" s="215" t="s">
        <v>76</v>
      </c>
      <c r="P12" s="215" t="s">
        <v>77</v>
      </c>
      <c r="Q12" s="215">
        <v>0</v>
      </c>
      <c r="R12" s="215">
        <v>0</v>
      </c>
      <c r="S12" s="215">
        <v>0</v>
      </c>
      <c r="T12" s="264">
        <v>0.27900000000000003</v>
      </c>
    </row>
    <row r="13" spans="1:20" ht="14.4">
      <c r="A13" s="5" t="str">
        <f>IF(K13&gt;0,COUNT($A$7:A12)+COUNT('DWV PVC'!$A$9:$A$316)+1,"")</f>
        <v/>
      </c>
      <c r="B13" s="646"/>
      <c r="C13" s="647"/>
      <c r="D13" s="103" t="s">
        <v>86</v>
      </c>
      <c r="E13" s="103">
        <v>300005957</v>
      </c>
      <c r="F13" s="102" t="s">
        <v>87</v>
      </c>
      <c r="G13" s="124">
        <v>25</v>
      </c>
      <c r="H13" s="124">
        <v>1100</v>
      </c>
      <c r="I13" s="123" t="e">
        <f>_xlfn.XLOOKUP(E13,'All Products'!D:D,'All Products'!H:H)</f>
        <v>#N/A</v>
      </c>
      <c r="J13" s="128" t="e">
        <f>ROUNDUP(I13*Order_Quote!$L$3,2)</f>
        <v>#N/A</v>
      </c>
      <c r="K13" s="118"/>
      <c r="L13" s="76"/>
      <c r="M13" s="104">
        <f t="shared" si="0"/>
        <v>0</v>
      </c>
      <c r="O13" s="215" t="s">
        <v>76</v>
      </c>
      <c r="P13" s="215" t="s">
        <v>77</v>
      </c>
      <c r="Q13" s="215">
        <v>0</v>
      </c>
      <c r="R13" s="215">
        <v>0</v>
      </c>
      <c r="S13" s="215">
        <v>0</v>
      </c>
      <c r="T13" s="264">
        <v>0.32800000000000001</v>
      </c>
    </row>
    <row r="14" spans="1:20" ht="14.4">
      <c r="A14" s="5" t="str">
        <f>IF(K14&gt;0,COUNT($A$7:A13)+COUNT('DWV PVC'!$A$9:$A$316)+1,"")</f>
        <v/>
      </c>
      <c r="B14" s="646"/>
      <c r="C14" s="647"/>
      <c r="D14" s="103" t="s">
        <v>88</v>
      </c>
      <c r="E14" s="103">
        <v>300005958</v>
      </c>
      <c r="F14" s="102" t="s">
        <v>89</v>
      </c>
      <c r="G14" s="124">
        <v>50</v>
      </c>
      <c r="H14" s="124">
        <v>1350</v>
      </c>
      <c r="I14" s="123" t="e">
        <f>_xlfn.XLOOKUP(E14,'All Products'!D:D,'All Products'!H:H)</f>
        <v>#N/A</v>
      </c>
      <c r="J14" s="128" t="e">
        <f>ROUNDUP(I14*Order_Quote!$L$3,2)</f>
        <v>#N/A</v>
      </c>
      <c r="K14" s="118"/>
      <c r="L14" s="76"/>
      <c r="M14" s="104">
        <f t="shared" si="0"/>
        <v>0</v>
      </c>
      <c r="O14" s="215" t="s">
        <v>76</v>
      </c>
      <c r="P14" s="215" t="s">
        <v>77</v>
      </c>
      <c r="Q14" s="215">
        <v>0</v>
      </c>
      <c r="R14" s="215">
        <v>0</v>
      </c>
      <c r="S14" s="215">
        <v>0</v>
      </c>
      <c r="T14" s="264">
        <v>0.27800000000000002</v>
      </c>
    </row>
    <row r="15" spans="1:20" ht="14.4">
      <c r="A15" s="5" t="str">
        <f>IF(K15&gt;0,COUNT($A$7:A14)+COUNT('DWV PVC'!$A$9:$A$316)+1,"")</f>
        <v/>
      </c>
      <c r="B15" s="646"/>
      <c r="C15" s="647"/>
      <c r="D15" s="103" t="s">
        <v>90</v>
      </c>
      <c r="E15" s="103">
        <v>300005959</v>
      </c>
      <c r="F15" s="102" t="s">
        <v>91</v>
      </c>
      <c r="G15" s="124">
        <v>25</v>
      </c>
      <c r="H15" s="124">
        <v>800</v>
      </c>
      <c r="I15" s="123" t="str">
        <f>_xlfn.XLOOKUP(E15,'All Products'!D:D,'All Products'!H:H)</f>
        <v>Quote Required</v>
      </c>
      <c r="J15" s="128" t="e">
        <f>ROUNDUP(I15*Order_Quote!$L$3,2)</f>
        <v>#VALUE!</v>
      </c>
      <c r="K15" s="118"/>
      <c r="L15" s="76"/>
      <c r="M15" s="104">
        <f t="shared" si="0"/>
        <v>0</v>
      </c>
      <c r="O15" s="215" t="s">
        <v>76</v>
      </c>
      <c r="P15" s="215" t="s">
        <v>77</v>
      </c>
      <c r="Q15" s="215">
        <v>0</v>
      </c>
      <c r="R15" s="215">
        <v>0</v>
      </c>
      <c r="S15" s="215">
        <v>0</v>
      </c>
      <c r="T15" s="264">
        <v>0.59</v>
      </c>
    </row>
    <row r="16" spans="1:20" ht="14.4">
      <c r="A16" s="5" t="str">
        <f>IF(K16&gt;0,COUNT($A$7:A15)+COUNT('DWV PVC'!$A$9:$A$316)+1,"")</f>
        <v/>
      </c>
      <c r="B16" s="646"/>
      <c r="C16" s="647"/>
      <c r="D16" s="103" t="s">
        <v>92</v>
      </c>
      <c r="E16" s="103">
        <v>300005960</v>
      </c>
      <c r="F16" s="102" t="s">
        <v>93</v>
      </c>
      <c r="G16" s="124">
        <v>10</v>
      </c>
      <c r="H16" s="124">
        <v>360</v>
      </c>
      <c r="I16" s="123" t="e">
        <f>_xlfn.XLOOKUP(E16,'All Products'!D:D,'All Products'!H:H)</f>
        <v>#N/A</v>
      </c>
      <c r="J16" s="128" t="e">
        <f>ROUNDUP(I16*Order_Quote!$L$3,2)</f>
        <v>#N/A</v>
      </c>
      <c r="K16" s="118"/>
      <c r="L16" s="76"/>
      <c r="M16" s="104">
        <f t="shared" si="0"/>
        <v>0</v>
      </c>
      <c r="O16" s="215" t="s">
        <v>76</v>
      </c>
      <c r="P16" s="215" t="s">
        <v>77</v>
      </c>
      <c r="Q16" s="215">
        <v>0</v>
      </c>
      <c r="R16" s="215">
        <v>0</v>
      </c>
      <c r="S16" s="215">
        <v>0</v>
      </c>
      <c r="T16" s="264">
        <v>0.71299999999999997</v>
      </c>
    </row>
    <row r="17" spans="1:20" ht="14.4">
      <c r="A17" s="5" t="str">
        <f>IF(K17&gt;0,COUNT($A$7:A16)+COUNT('DWV PVC'!$A$9:$A$316)+1,"")</f>
        <v/>
      </c>
      <c r="B17" s="652"/>
      <c r="C17" s="653"/>
      <c r="D17" s="103" t="s">
        <v>94</v>
      </c>
      <c r="E17" s="103">
        <v>300005961</v>
      </c>
      <c r="F17" s="102" t="s">
        <v>95</v>
      </c>
      <c r="G17" s="124">
        <v>20</v>
      </c>
      <c r="H17" s="124">
        <v>360</v>
      </c>
      <c r="I17" s="123">
        <f>_xlfn.XLOOKUP(E17,'All Products'!D:D,'All Products'!H:H)</f>
        <v>351.54</v>
      </c>
      <c r="J17" s="128">
        <f>ROUNDUP(I17*Order_Quote!$L$3,2)</f>
        <v>351.54</v>
      </c>
      <c r="K17" s="118"/>
      <c r="L17" s="76"/>
      <c r="M17" s="104">
        <f t="shared" si="0"/>
        <v>0</v>
      </c>
      <c r="O17" s="215" t="s">
        <v>76</v>
      </c>
      <c r="P17" s="215" t="s">
        <v>77</v>
      </c>
      <c r="Q17" s="215">
        <v>0</v>
      </c>
      <c r="R17" s="215">
        <v>0</v>
      </c>
      <c r="S17" s="215">
        <v>0</v>
      </c>
      <c r="T17" s="264">
        <v>1.087</v>
      </c>
    </row>
    <row r="18" spans="1:20" ht="57" customHeight="1">
      <c r="A18" s="5" t="str">
        <f>IF(K18&gt;0,COUNT($A$7:A17)+COUNT('DWV PVC'!$A$9:$A$316)+1,"")</f>
        <v/>
      </c>
      <c r="B18" s="650"/>
      <c r="C18" s="651"/>
      <c r="D18" s="103" t="s">
        <v>96</v>
      </c>
      <c r="E18" s="103">
        <v>300006035</v>
      </c>
      <c r="F18" s="102" t="s">
        <v>97</v>
      </c>
      <c r="G18" s="124">
        <v>50</v>
      </c>
      <c r="H18" s="124">
        <v>2400</v>
      </c>
      <c r="I18" s="123" t="str">
        <f>_xlfn.XLOOKUP(E18,'All Products'!D:D,'All Products'!H:H)</f>
        <v>Quote Required</v>
      </c>
      <c r="J18" s="128" t="e">
        <f>ROUNDUP(I18*Order_Quote!$L$3,2)</f>
        <v>#VALUE!</v>
      </c>
      <c r="K18" s="118"/>
      <c r="L18" s="76"/>
      <c r="M18" s="104">
        <f t="shared" si="0"/>
        <v>0</v>
      </c>
      <c r="O18" s="215" t="s">
        <v>76</v>
      </c>
      <c r="P18" s="215" t="s">
        <v>77</v>
      </c>
      <c r="Q18" s="215">
        <v>0</v>
      </c>
      <c r="R18" s="215">
        <v>0</v>
      </c>
      <c r="S18" s="215">
        <v>0</v>
      </c>
      <c r="T18" s="264">
        <v>0.59899999999999998</v>
      </c>
    </row>
    <row r="19" spans="1:20" ht="14.4">
      <c r="A19" s="5" t="str">
        <f>IF(K19&gt;0,COUNT($A$7:A18)+COUNT('DWV PVC'!$A$9:$A$316)+1,"")</f>
        <v/>
      </c>
      <c r="B19" s="644"/>
      <c r="C19" s="645"/>
      <c r="D19" s="103" t="s">
        <v>98</v>
      </c>
      <c r="E19" s="103">
        <v>300005963</v>
      </c>
      <c r="F19" s="102" t="s">
        <v>99</v>
      </c>
      <c r="G19" s="124">
        <v>50</v>
      </c>
      <c r="H19" s="124">
        <v>1500</v>
      </c>
      <c r="I19" s="123" t="e">
        <f>_xlfn.XLOOKUP(E19,'All Products'!D:D,'All Products'!H:H)</f>
        <v>#N/A</v>
      </c>
      <c r="J19" s="128" t="e">
        <f>ROUNDUP(I19*Order_Quote!$L$3,2)</f>
        <v>#N/A</v>
      </c>
      <c r="K19" s="118"/>
      <c r="L19" s="76"/>
      <c r="M19" s="104">
        <f t="shared" si="0"/>
        <v>0</v>
      </c>
      <c r="O19" s="215" t="s">
        <v>76</v>
      </c>
      <c r="P19" s="215" t="s">
        <v>77</v>
      </c>
      <c r="Q19" s="215">
        <v>0</v>
      </c>
      <c r="R19" s="215">
        <v>0</v>
      </c>
      <c r="S19" s="215">
        <v>0</v>
      </c>
      <c r="T19" s="264">
        <v>0.27800000000000002</v>
      </c>
    </row>
    <row r="20" spans="1:20" ht="14.4">
      <c r="A20" s="5" t="str">
        <f>IF(K20&gt;0,COUNT($A$7:A19)+COUNT('DWV PVC'!$A$9:$A$316)+1,"")</f>
        <v/>
      </c>
      <c r="B20" s="646"/>
      <c r="C20" s="647"/>
      <c r="D20" s="103" t="s">
        <v>100</v>
      </c>
      <c r="E20" s="103">
        <v>100031286</v>
      </c>
      <c r="F20" s="102" t="s">
        <v>101</v>
      </c>
      <c r="G20" s="124">
        <v>25</v>
      </c>
      <c r="H20" s="124">
        <v>300</v>
      </c>
      <c r="I20" s="123" t="e">
        <f>_xlfn.XLOOKUP(E20,'All Products'!D:D,'All Products'!H:H)</f>
        <v>#N/A</v>
      </c>
      <c r="J20" s="128" t="e">
        <f>ROUNDUP(I20*Order_Quote!$L$3,2)</f>
        <v>#N/A</v>
      </c>
      <c r="K20" s="118"/>
      <c r="L20" s="76"/>
      <c r="M20" s="104">
        <f t="shared" si="0"/>
        <v>0</v>
      </c>
      <c r="O20" s="215" t="s">
        <v>76</v>
      </c>
      <c r="P20" s="215" t="s">
        <v>102</v>
      </c>
      <c r="Q20" s="215" t="s">
        <v>103</v>
      </c>
      <c r="R20" s="215">
        <v>0</v>
      </c>
      <c r="S20" s="215" t="s">
        <v>104</v>
      </c>
      <c r="T20" s="264">
        <v>0.40200000000000002</v>
      </c>
    </row>
    <row r="21" spans="1:20" ht="14.4">
      <c r="A21" s="5" t="str">
        <f>IF(K21&gt;0,COUNT($A$7:A20)+COUNT('DWV PVC'!$A$9:$A$316)+1,"")</f>
        <v/>
      </c>
      <c r="B21" s="646"/>
      <c r="C21" s="647"/>
      <c r="D21" s="103" t="s">
        <v>105</v>
      </c>
      <c r="E21" s="103">
        <v>100031287</v>
      </c>
      <c r="F21" s="102" t="s">
        <v>106</v>
      </c>
      <c r="G21" s="124">
        <v>25</v>
      </c>
      <c r="H21" s="124">
        <v>150</v>
      </c>
      <c r="I21" s="123" t="e">
        <f>_xlfn.XLOOKUP(E21,'All Products'!D:D,'All Products'!H:H)</f>
        <v>#N/A</v>
      </c>
      <c r="J21" s="128" t="e">
        <f>ROUNDUP(I21*Order_Quote!$L$3,2)</f>
        <v>#N/A</v>
      </c>
      <c r="K21" s="118"/>
      <c r="L21" s="76"/>
      <c r="M21" s="104">
        <f t="shared" si="0"/>
        <v>0</v>
      </c>
      <c r="O21" s="215" t="s">
        <v>76</v>
      </c>
      <c r="P21" s="215" t="s">
        <v>102</v>
      </c>
      <c r="Q21" s="215" t="s">
        <v>107</v>
      </c>
      <c r="R21" s="215">
        <v>0</v>
      </c>
      <c r="S21" s="215" t="s">
        <v>108</v>
      </c>
      <c r="T21" s="264">
        <v>1.236</v>
      </c>
    </row>
    <row r="22" spans="1:20" ht="14.4">
      <c r="A22" s="5" t="str">
        <f>IF(K22&gt;0,COUNT($A$7:A21)+COUNT('DWV PVC'!$A$9:$A$316)+1,"")</f>
        <v/>
      </c>
      <c r="B22" s="652"/>
      <c r="C22" s="653"/>
      <c r="D22" s="103" t="s">
        <v>109</v>
      </c>
      <c r="E22" s="103">
        <v>300005964</v>
      </c>
      <c r="F22" s="102" t="s">
        <v>110</v>
      </c>
      <c r="G22" s="124">
        <v>5</v>
      </c>
      <c r="H22" s="124">
        <v>120</v>
      </c>
      <c r="I22" s="123" t="e">
        <f>_xlfn.XLOOKUP(E22,'All Products'!D:D,'All Products'!H:H)</f>
        <v>#N/A</v>
      </c>
      <c r="J22" s="128" t="e">
        <f>ROUNDUP(I22*Order_Quote!$L$3,2)</f>
        <v>#N/A</v>
      </c>
      <c r="K22" s="118"/>
      <c r="L22" s="76"/>
      <c r="M22" s="104">
        <f t="shared" si="0"/>
        <v>0</v>
      </c>
      <c r="O22" s="215" t="s">
        <v>76</v>
      </c>
      <c r="P22" s="215" t="s">
        <v>77</v>
      </c>
      <c r="Q22" s="215">
        <v>0</v>
      </c>
      <c r="R22" s="215">
        <v>0</v>
      </c>
      <c r="S22" s="215">
        <v>0</v>
      </c>
      <c r="T22" s="264">
        <v>2.4260000000000002</v>
      </c>
    </row>
    <row r="23" spans="1:20" ht="14.4">
      <c r="A23" s="5" t="str">
        <f>IF(K23&gt;0,COUNT($A$7:A22)+COUNT('DWV PVC'!$A$9:$A$316)+1,"")</f>
        <v/>
      </c>
      <c r="B23" s="644"/>
      <c r="C23" s="645"/>
      <c r="D23" s="103" t="s">
        <v>111</v>
      </c>
      <c r="E23" s="103">
        <v>300005965</v>
      </c>
      <c r="F23" s="102" t="s">
        <v>112</v>
      </c>
      <c r="G23" s="124">
        <v>15</v>
      </c>
      <c r="H23" s="124">
        <v>405</v>
      </c>
      <c r="I23" s="123" t="e">
        <f>_xlfn.XLOOKUP(E23,'All Products'!D:D,'All Products'!H:H)</f>
        <v>#N/A</v>
      </c>
      <c r="J23" s="128" t="e">
        <f>ROUNDUP(I23*Order_Quote!$L$3,2)</f>
        <v>#N/A</v>
      </c>
      <c r="K23" s="118"/>
      <c r="L23" s="76"/>
      <c r="M23" s="104">
        <f t="shared" si="0"/>
        <v>0</v>
      </c>
      <c r="O23" s="215" t="s">
        <v>76</v>
      </c>
      <c r="P23" s="215" t="s">
        <v>77</v>
      </c>
      <c r="Q23" s="215">
        <v>0</v>
      </c>
      <c r="R23" s="215">
        <v>0</v>
      </c>
      <c r="S23" s="215">
        <v>0</v>
      </c>
      <c r="T23" s="264">
        <v>0.81</v>
      </c>
    </row>
    <row r="24" spans="1:20" ht="14.4">
      <c r="A24" s="5" t="str">
        <f>IF(K24&gt;0,COUNT($A$7:A23)+COUNT('DWV PVC'!$A$9:$A$316)+1,"")</f>
        <v/>
      </c>
      <c r="B24" s="646"/>
      <c r="C24" s="647"/>
      <c r="D24" s="103" t="s">
        <v>113</v>
      </c>
      <c r="E24" s="103">
        <v>300005966</v>
      </c>
      <c r="F24" s="102" t="s">
        <v>114</v>
      </c>
      <c r="G24" s="124">
        <v>25</v>
      </c>
      <c r="H24" s="124">
        <v>375</v>
      </c>
      <c r="I24" s="123" t="e">
        <f>_xlfn.XLOOKUP(E24,'All Products'!D:D,'All Products'!H:H)</f>
        <v>#N/A</v>
      </c>
      <c r="J24" s="128" t="e">
        <f>ROUNDUP(I24*Order_Quote!$L$3,2)</f>
        <v>#N/A</v>
      </c>
      <c r="K24" s="118"/>
      <c r="L24" s="76"/>
      <c r="M24" s="104">
        <f t="shared" si="0"/>
        <v>0</v>
      </c>
      <c r="O24" s="215" t="s">
        <v>76</v>
      </c>
      <c r="P24" s="215" t="s">
        <v>77</v>
      </c>
      <c r="Q24" s="215">
        <v>0</v>
      </c>
      <c r="R24" s="215">
        <v>0</v>
      </c>
      <c r="S24" s="215">
        <v>0</v>
      </c>
      <c r="T24" s="264">
        <v>0.879</v>
      </c>
    </row>
    <row r="25" spans="1:20" ht="22.5" customHeight="1">
      <c r="A25" s="5" t="str">
        <f>IF(K25&gt;0,COUNT($A$7:A24)+COUNT('DWV PVC'!$A$9:$A$316)+1,"")</f>
        <v/>
      </c>
      <c r="B25" s="646"/>
      <c r="C25" s="647"/>
      <c r="D25" s="103" t="s">
        <v>115</v>
      </c>
      <c r="E25" s="103">
        <v>300006039</v>
      </c>
      <c r="F25" s="102" t="s">
        <v>116</v>
      </c>
      <c r="G25" s="124">
        <v>10</v>
      </c>
      <c r="H25" s="124">
        <v>240</v>
      </c>
      <c r="I25" s="123" t="e">
        <f>_xlfn.XLOOKUP(E25,'All Products'!D:D,'All Products'!H:H)</f>
        <v>#N/A</v>
      </c>
      <c r="J25" s="128" t="e">
        <f>ROUNDUP(I25*Order_Quote!$L$3,2)</f>
        <v>#N/A</v>
      </c>
      <c r="K25" s="118"/>
      <c r="L25" s="76"/>
      <c r="M25" s="104">
        <f t="shared" si="0"/>
        <v>0</v>
      </c>
      <c r="O25" s="215" t="s">
        <v>76</v>
      </c>
      <c r="P25" s="215" t="s">
        <v>77</v>
      </c>
      <c r="Q25" s="215">
        <v>0</v>
      </c>
      <c r="R25" s="215">
        <v>0</v>
      </c>
      <c r="S25" s="215">
        <v>0</v>
      </c>
      <c r="T25" s="264">
        <v>1.3939999999999999</v>
      </c>
    </row>
    <row r="26" spans="1:20" ht="22.5" customHeight="1">
      <c r="A26" s="5" t="str">
        <f>IF(K26&gt;0,COUNT($A$7:A25)+COUNT('DWV PVC'!$A$9:$A$316)+1,"")</f>
        <v/>
      </c>
      <c r="B26" s="652"/>
      <c r="C26" s="653"/>
      <c r="D26" s="103" t="s">
        <v>117</v>
      </c>
      <c r="E26" s="103">
        <v>100031288</v>
      </c>
      <c r="F26" s="102" t="s">
        <v>118</v>
      </c>
      <c r="G26" s="124">
        <v>10</v>
      </c>
      <c r="H26" s="124">
        <v>180</v>
      </c>
      <c r="I26" s="123" t="e">
        <f>_xlfn.XLOOKUP(E26,'All Products'!D:D,'All Products'!H:H)</f>
        <v>#N/A</v>
      </c>
      <c r="J26" s="128" t="e">
        <f>ROUNDUP(I26*Order_Quote!$L$3,2)</f>
        <v>#N/A</v>
      </c>
      <c r="K26" s="118"/>
      <c r="L26" s="76"/>
      <c r="M26" s="104">
        <f t="shared" si="0"/>
        <v>0</v>
      </c>
      <c r="O26" s="215" t="s">
        <v>76</v>
      </c>
      <c r="P26" s="215" t="s">
        <v>102</v>
      </c>
      <c r="Q26" s="215" t="s">
        <v>119</v>
      </c>
      <c r="R26" s="215">
        <v>0</v>
      </c>
      <c r="S26" s="215" t="s">
        <v>120</v>
      </c>
      <c r="T26" s="264">
        <v>1.744</v>
      </c>
    </row>
    <row r="27" spans="1:20" ht="22.5" customHeight="1">
      <c r="A27" s="5" t="str">
        <f>IF(K27&gt;0,COUNT($A$7:A26)+COUNT('DWV PVC'!$A$9:$A$316)+1,"")</f>
        <v/>
      </c>
      <c r="B27" s="644"/>
      <c r="C27" s="645"/>
      <c r="D27" s="103" t="s">
        <v>121</v>
      </c>
      <c r="E27" s="103">
        <v>300005967</v>
      </c>
      <c r="F27" s="102" t="s">
        <v>122</v>
      </c>
      <c r="G27" s="124">
        <v>30</v>
      </c>
      <c r="H27" s="124">
        <v>960</v>
      </c>
      <c r="I27" s="123" t="str">
        <f>_xlfn.XLOOKUP(E27,'All Products'!D:D,'All Products'!H:H)</f>
        <v>Quote Required</v>
      </c>
      <c r="J27" s="128" t="e">
        <f>ROUNDUP(I27*Order_Quote!$L$3,2)</f>
        <v>#VALUE!</v>
      </c>
      <c r="K27" s="118"/>
      <c r="L27" s="76"/>
      <c r="M27" s="104">
        <f t="shared" si="0"/>
        <v>0</v>
      </c>
      <c r="O27" s="215" t="s">
        <v>76</v>
      </c>
      <c r="P27" s="215" t="s">
        <v>77</v>
      </c>
      <c r="Q27" s="215">
        <v>0</v>
      </c>
      <c r="R27" s="215">
        <v>0</v>
      </c>
      <c r="S27" s="215">
        <v>0</v>
      </c>
      <c r="T27" s="264">
        <v>0.36299999999999999</v>
      </c>
    </row>
    <row r="28" spans="1:20" ht="22.5" customHeight="1">
      <c r="A28" s="5" t="str">
        <f>IF(K28&gt;0,COUNT($A$7:A27)+COUNT('DWV PVC'!$A$9:$A$316)+1,"")</f>
        <v/>
      </c>
      <c r="B28" s="646"/>
      <c r="C28" s="647"/>
      <c r="D28" s="103" t="s">
        <v>123</v>
      </c>
      <c r="E28" s="103">
        <v>300005968</v>
      </c>
      <c r="F28" s="102" t="s">
        <v>124</v>
      </c>
      <c r="G28" s="124">
        <v>20</v>
      </c>
      <c r="H28" s="124">
        <v>640</v>
      </c>
      <c r="I28" s="123" t="str">
        <f>_xlfn.XLOOKUP(E28,'All Products'!D:D,'All Products'!H:H)</f>
        <v>Quote Required</v>
      </c>
      <c r="J28" s="128" t="e">
        <f>ROUNDUP(I28*Order_Quote!$L$3,2)</f>
        <v>#VALUE!</v>
      </c>
      <c r="K28" s="118"/>
      <c r="L28" s="76"/>
      <c r="M28" s="104">
        <f t="shared" si="0"/>
        <v>0</v>
      </c>
      <c r="O28" s="215" t="s">
        <v>76</v>
      </c>
      <c r="P28" s="215" t="s">
        <v>77</v>
      </c>
      <c r="Q28" s="215">
        <v>0</v>
      </c>
      <c r="R28" s="215">
        <v>0</v>
      </c>
      <c r="S28" s="215">
        <v>0</v>
      </c>
      <c r="T28" s="264">
        <v>0.55500000000000005</v>
      </c>
    </row>
    <row r="29" spans="1:20" s="17" customFormat="1" ht="45.75" customHeight="1">
      <c r="A29" s="5" t="str">
        <f>IF(K29&gt;0,COUNT($A$7:A28)+COUNT('DWV PVC'!$A$9:$A$316)+1,"")</f>
        <v/>
      </c>
      <c r="B29" s="652"/>
      <c r="C29" s="653"/>
      <c r="D29" s="103" t="s">
        <v>125</v>
      </c>
      <c r="E29" s="103">
        <v>300005969</v>
      </c>
      <c r="F29" s="102" t="s">
        <v>126</v>
      </c>
      <c r="G29" s="124">
        <v>15</v>
      </c>
      <c r="H29" s="124">
        <v>180</v>
      </c>
      <c r="I29" s="123" t="str">
        <f>_xlfn.XLOOKUP(E29,'All Products'!D:D,'All Products'!H:H)</f>
        <v>Quote Required</v>
      </c>
      <c r="J29" s="128" t="e">
        <f>ROUNDUP(I29*Order_Quote!$L$3,2)</f>
        <v>#VALUE!</v>
      </c>
      <c r="K29" s="118"/>
      <c r="L29" s="76"/>
      <c r="M29" s="104">
        <f t="shared" si="0"/>
        <v>0</v>
      </c>
      <c r="O29" s="215" t="s">
        <v>76</v>
      </c>
      <c r="P29" s="215" t="s">
        <v>77</v>
      </c>
      <c r="Q29" s="215">
        <v>0</v>
      </c>
      <c r="R29" s="215">
        <v>0</v>
      </c>
      <c r="S29" s="215">
        <v>0</v>
      </c>
      <c r="T29" s="264">
        <v>1.631</v>
      </c>
    </row>
    <row r="30" spans="1:20" ht="22.5" customHeight="1">
      <c r="A30" s="5" t="str">
        <f>IF(K30&gt;0,COUNT($A$7:A29)+COUNT('DWV PVC'!$A$9:$A$316)+1,"")</f>
        <v/>
      </c>
      <c r="B30" s="644"/>
      <c r="C30" s="645"/>
      <c r="D30" s="103" t="s">
        <v>127</v>
      </c>
      <c r="E30" s="103">
        <v>300006031</v>
      </c>
      <c r="F30" s="102" t="s">
        <v>128</v>
      </c>
      <c r="G30" s="124">
        <v>40</v>
      </c>
      <c r="H30" s="124">
        <v>1080</v>
      </c>
      <c r="I30" s="123" t="str">
        <f>_xlfn.XLOOKUP(E30,'All Products'!D:D,'All Products'!H:H)</f>
        <v>Quote Required</v>
      </c>
      <c r="J30" s="128" t="e">
        <f>ROUNDUP(I30*Order_Quote!$L$3,2)</f>
        <v>#VALUE!</v>
      </c>
      <c r="K30" s="118"/>
      <c r="L30" s="76"/>
      <c r="M30" s="104">
        <f t="shared" si="0"/>
        <v>0</v>
      </c>
      <c r="O30" s="215" t="s">
        <v>76</v>
      </c>
      <c r="P30" s="215" t="s">
        <v>77</v>
      </c>
      <c r="Q30" s="215">
        <v>0</v>
      </c>
      <c r="R30" s="215">
        <v>0</v>
      </c>
      <c r="S30" s="215">
        <v>0</v>
      </c>
      <c r="T30" s="264">
        <v>0.34</v>
      </c>
    </row>
    <row r="31" spans="1:20" ht="22.5" customHeight="1">
      <c r="A31" s="5" t="str">
        <f>IF(K31&gt;0,COUNT($A$7:A30)+COUNT('DWV PVC'!$A$9:$A$316)+1,"")</f>
        <v/>
      </c>
      <c r="B31" s="646"/>
      <c r="C31" s="647"/>
      <c r="D31" s="103" t="s">
        <v>129</v>
      </c>
      <c r="E31" s="103">
        <v>300006032</v>
      </c>
      <c r="F31" s="102" t="s">
        <v>130</v>
      </c>
      <c r="G31" s="124">
        <v>20</v>
      </c>
      <c r="H31" s="124">
        <v>600</v>
      </c>
      <c r="I31" s="123" t="e">
        <f>_xlfn.XLOOKUP(E31,'All Products'!D:D,'All Products'!H:H)</f>
        <v>#N/A</v>
      </c>
      <c r="J31" s="128" t="e">
        <f>ROUNDUP(I31*Order_Quote!$L$3,2)</f>
        <v>#N/A</v>
      </c>
      <c r="K31" s="118"/>
      <c r="L31" s="76"/>
      <c r="M31" s="104">
        <f t="shared" si="0"/>
        <v>0</v>
      </c>
      <c r="O31" s="215" t="s">
        <v>76</v>
      </c>
      <c r="P31" s="215" t="s">
        <v>77</v>
      </c>
      <c r="Q31" s="215">
        <v>0</v>
      </c>
      <c r="R31" s="215">
        <v>0</v>
      </c>
      <c r="S31" s="215">
        <v>0</v>
      </c>
      <c r="T31" s="264">
        <v>0.51700000000000002</v>
      </c>
    </row>
    <row r="32" spans="1:20" ht="22.5" customHeight="1">
      <c r="A32" s="5" t="str">
        <f>IF(K32&gt;0,COUNT($A$7:A31)+COUNT('DWV PVC'!$A$9:$A$316)+1,"")</f>
        <v/>
      </c>
      <c r="B32" s="646"/>
      <c r="C32" s="647"/>
      <c r="D32" s="103" t="s">
        <v>131</v>
      </c>
      <c r="E32" s="103">
        <v>300006033</v>
      </c>
      <c r="F32" s="102" t="s">
        <v>132</v>
      </c>
      <c r="G32" s="124">
        <v>10</v>
      </c>
      <c r="H32" s="124">
        <v>180</v>
      </c>
      <c r="I32" s="123" t="e">
        <f>_xlfn.XLOOKUP(E32,'All Products'!D:D,'All Products'!H:H)</f>
        <v>#N/A</v>
      </c>
      <c r="J32" s="128" t="e">
        <f>ROUNDUP(I32*Order_Quote!$L$3,2)</f>
        <v>#N/A</v>
      </c>
      <c r="K32" s="118"/>
      <c r="L32" s="76"/>
      <c r="M32" s="104">
        <f t="shared" si="0"/>
        <v>0</v>
      </c>
      <c r="O32" s="215" t="s">
        <v>76</v>
      </c>
      <c r="P32" s="215" t="s">
        <v>77</v>
      </c>
      <c r="Q32" s="215">
        <v>0</v>
      </c>
      <c r="R32" s="215">
        <v>0</v>
      </c>
      <c r="S32" s="215">
        <v>0</v>
      </c>
      <c r="T32" s="264">
        <v>1.7490000000000001</v>
      </c>
    </row>
    <row r="33" spans="1:20" ht="22.5" customHeight="1">
      <c r="A33" s="5" t="str">
        <f>IF(K33&gt;0,COUNT($A$7:A32)+COUNT('DWV PVC'!$A$9:$A$316)+1,"")</f>
        <v/>
      </c>
      <c r="B33" s="646"/>
      <c r="C33" s="647"/>
      <c r="D33" s="103" t="s">
        <v>133</v>
      </c>
      <c r="E33" s="103">
        <v>300006034</v>
      </c>
      <c r="F33" s="102" t="s">
        <v>134</v>
      </c>
      <c r="G33" s="124">
        <v>5</v>
      </c>
      <c r="H33" s="124">
        <v>90</v>
      </c>
      <c r="I33" s="123" t="e">
        <f>_xlfn.XLOOKUP(E33,'All Products'!D:D,'All Products'!H:H)</f>
        <v>#N/A</v>
      </c>
      <c r="J33" s="128" t="e">
        <f>ROUNDUP(I33*Order_Quote!$L$3,2)</f>
        <v>#N/A</v>
      </c>
      <c r="K33" s="118"/>
      <c r="L33" s="76"/>
      <c r="M33" s="104">
        <f t="shared" si="0"/>
        <v>0</v>
      </c>
      <c r="O33" s="215" t="s">
        <v>76</v>
      </c>
      <c r="P33" s="215" t="s">
        <v>77</v>
      </c>
      <c r="Q33" s="215">
        <v>0</v>
      </c>
      <c r="R33" s="215">
        <v>0</v>
      </c>
      <c r="S33" s="215">
        <v>0</v>
      </c>
      <c r="T33" s="264">
        <v>3.173</v>
      </c>
    </row>
    <row r="34" spans="1:20" ht="14.4">
      <c r="A34" s="5" t="str">
        <f>IF(K34&gt;0,COUNT($A$7:A33)+COUNT('DWV PVC'!$A$9:$A$316)+1,"")</f>
        <v/>
      </c>
      <c r="B34" s="652"/>
      <c r="C34" s="653"/>
      <c r="D34" s="103" t="s">
        <v>135</v>
      </c>
      <c r="E34" s="103">
        <v>100031275</v>
      </c>
      <c r="F34" s="102" t="s">
        <v>136</v>
      </c>
      <c r="G34" s="124">
        <v>10</v>
      </c>
      <c r="H34" s="124">
        <v>180</v>
      </c>
      <c r="I34" s="123" t="e">
        <f>_xlfn.XLOOKUP(E34,'All Products'!D:D,'All Products'!H:H)</f>
        <v>#N/A</v>
      </c>
      <c r="J34" s="128" t="e">
        <f>ROUNDUP(I34*Order_Quote!$L$3,2)</f>
        <v>#N/A</v>
      </c>
      <c r="K34" s="118"/>
      <c r="L34" s="76"/>
      <c r="M34" s="104">
        <f t="shared" si="0"/>
        <v>0</v>
      </c>
      <c r="O34" s="215" t="s">
        <v>76</v>
      </c>
      <c r="P34" s="215" t="s">
        <v>102</v>
      </c>
      <c r="Q34" s="215" t="s">
        <v>137</v>
      </c>
      <c r="R34" s="215">
        <v>0</v>
      </c>
      <c r="S34" s="215" t="s">
        <v>137</v>
      </c>
      <c r="T34" s="264">
        <v>0.90800000000000003</v>
      </c>
    </row>
    <row r="35" spans="1:20" ht="58.5" customHeight="1">
      <c r="A35" s="5" t="str">
        <f>IF(K35&gt;0,COUNT($A$7:A34)+COUNT('DWV PVC'!$A$9:$A$316)+1,"")</f>
        <v/>
      </c>
      <c r="B35" s="650"/>
      <c r="C35" s="651"/>
      <c r="D35" s="103" t="s">
        <v>138</v>
      </c>
      <c r="E35" s="103">
        <v>300005962</v>
      </c>
      <c r="F35" s="102" t="s">
        <v>139</v>
      </c>
      <c r="G35" s="124">
        <v>20</v>
      </c>
      <c r="H35" s="124">
        <v>1800</v>
      </c>
      <c r="I35" s="123">
        <f>_xlfn.XLOOKUP(E35,'All Products'!D:D,'All Products'!H:H)</f>
        <v>126.42</v>
      </c>
      <c r="J35" s="128">
        <f>ROUNDUP(I35*Order_Quote!$L$3,2)</f>
        <v>126.42</v>
      </c>
      <c r="K35" s="118"/>
      <c r="L35" s="76"/>
      <c r="M35" s="104">
        <f t="shared" si="0"/>
        <v>0</v>
      </c>
      <c r="O35" s="215" t="s">
        <v>76</v>
      </c>
      <c r="P35" s="215" t="s">
        <v>77</v>
      </c>
      <c r="Q35" s="215">
        <v>0</v>
      </c>
      <c r="R35" s="215">
        <v>0</v>
      </c>
      <c r="S35" s="215">
        <v>0</v>
      </c>
      <c r="T35" s="264">
        <v>0.63500000000000001</v>
      </c>
    </row>
    <row r="36" spans="1:20" ht="14.4">
      <c r="A36" s="5" t="str">
        <f>IF(K36&gt;0,COUNT($A$7:A35)+COUNT('DWV PVC'!$A$9:$A$316)+1,"")</f>
        <v/>
      </c>
      <c r="B36" s="655"/>
      <c r="C36" s="656"/>
      <c r="D36" s="103" t="s">
        <v>140</v>
      </c>
      <c r="E36" s="103">
        <v>100031280</v>
      </c>
      <c r="F36" s="102" t="s">
        <v>141</v>
      </c>
      <c r="G36" s="124">
        <v>10</v>
      </c>
      <c r="H36" s="124">
        <v>120</v>
      </c>
      <c r="I36" s="123" t="e">
        <f>_xlfn.XLOOKUP(E36,'All Products'!D:D,'All Products'!H:H)</f>
        <v>#N/A</v>
      </c>
      <c r="J36" s="128" t="e">
        <f>ROUNDUP(I36*Order_Quote!$L$3,2)</f>
        <v>#N/A</v>
      </c>
      <c r="K36" s="118"/>
      <c r="L36" s="76"/>
      <c r="M36" s="104">
        <f t="shared" si="0"/>
        <v>0</v>
      </c>
      <c r="O36" s="215" t="s">
        <v>76</v>
      </c>
      <c r="P36" s="215" t="s">
        <v>102</v>
      </c>
      <c r="Q36" s="215" t="s">
        <v>142</v>
      </c>
      <c r="R36" s="215">
        <v>0</v>
      </c>
      <c r="S36" s="215" t="s">
        <v>143</v>
      </c>
      <c r="T36" s="264">
        <v>1.3180000000000001</v>
      </c>
    </row>
    <row r="37" spans="1:20" ht="14.4">
      <c r="A37" s="5" t="str">
        <f>IF(K37&gt;0,COUNT($A$7:A36)+COUNT('DWV PVC'!$A$9:$A$316)+1,"")</f>
        <v/>
      </c>
      <c r="B37" s="657"/>
      <c r="C37" s="658"/>
      <c r="D37" s="103" t="s">
        <v>144</v>
      </c>
      <c r="E37" s="103">
        <v>300005970</v>
      </c>
      <c r="F37" s="102" t="s">
        <v>145</v>
      </c>
      <c r="G37" s="124">
        <v>100</v>
      </c>
      <c r="H37" s="124">
        <v>2700</v>
      </c>
      <c r="I37" s="123">
        <f>_xlfn.XLOOKUP(E37,'All Products'!D:D,'All Products'!H:H)</f>
        <v>29.72</v>
      </c>
      <c r="J37" s="128">
        <f>ROUNDUP(I37*Order_Quote!$L$3,2)</f>
        <v>29.72</v>
      </c>
      <c r="K37" s="118"/>
      <c r="L37" s="76"/>
      <c r="M37" s="104">
        <f t="shared" si="0"/>
        <v>0</v>
      </c>
      <c r="O37" s="215" t="s">
        <v>76</v>
      </c>
      <c r="P37" s="215" t="s">
        <v>77</v>
      </c>
      <c r="Q37" s="215">
        <v>0</v>
      </c>
      <c r="R37" s="215">
        <v>0</v>
      </c>
      <c r="S37" s="215">
        <v>0</v>
      </c>
      <c r="T37" s="264">
        <v>0.2</v>
      </c>
    </row>
    <row r="38" spans="1:20" ht="14.4">
      <c r="A38" s="5" t="str">
        <f>IF(K38&gt;0,COUNT($A$7:A37)+COUNT('DWV PVC'!$A$9:$A$316)+1,"")</f>
        <v/>
      </c>
      <c r="B38" s="657"/>
      <c r="C38" s="658"/>
      <c r="D38" s="103" t="s">
        <v>146</v>
      </c>
      <c r="E38" s="103">
        <v>300005971</v>
      </c>
      <c r="F38" s="102" t="s">
        <v>147</v>
      </c>
      <c r="G38" s="124">
        <v>50</v>
      </c>
      <c r="H38" s="124">
        <v>1350</v>
      </c>
      <c r="I38" s="123" t="e">
        <f>_xlfn.XLOOKUP(E38,'All Products'!D:D,'All Products'!H:H)</f>
        <v>#N/A</v>
      </c>
      <c r="J38" s="128" t="e">
        <f>ROUNDUP(I38*Order_Quote!$L$3,2)</f>
        <v>#N/A</v>
      </c>
      <c r="K38" s="118"/>
      <c r="L38" s="76"/>
      <c r="M38" s="104">
        <f t="shared" si="0"/>
        <v>0</v>
      </c>
      <c r="O38" s="215" t="s">
        <v>76</v>
      </c>
      <c r="P38" s="215" t="s">
        <v>77</v>
      </c>
      <c r="Q38" s="215">
        <v>0</v>
      </c>
      <c r="R38" s="215">
        <v>0</v>
      </c>
      <c r="S38" s="215">
        <v>0</v>
      </c>
      <c r="T38" s="264">
        <v>0.23599999999999999</v>
      </c>
    </row>
    <row r="39" spans="1:20" ht="14.4">
      <c r="A39" s="5" t="str">
        <f>IF(K39&gt;0,COUNT($A$7:A38)+COUNT('DWV PVC'!$A$9:$A$316)+1,"")</f>
        <v/>
      </c>
      <c r="B39" s="659"/>
      <c r="C39" s="660"/>
      <c r="D39" s="103" t="s">
        <v>148</v>
      </c>
      <c r="E39" s="103">
        <v>100031279</v>
      </c>
      <c r="F39" s="102" t="s">
        <v>149</v>
      </c>
      <c r="G39" s="124">
        <v>25</v>
      </c>
      <c r="H39" s="124">
        <v>450</v>
      </c>
      <c r="I39" s="123" t="e">
        <f>_xlfn.XLOOKUP(E39,'All Products'!D:D,'All Products'!H:H)</f>
        <v>#N/A</v>
      </c>
      <c r="J39" s="128" t="e">
        <f>ROUNDUP(I39*Order_Quote!$L$3,2)</f>
        <v>#N/A</v>
      </c>
      <c r="K39" s="118"/>
      <c r="L39" s="76"/>
      <c r="M39" s="104">
        <f t="shared" si="0"/>
        <v>0</v>
      </c>
      <c r="O39" s="215" t="s">
        <v>76</v>
      </c>
      <c r="P39" s="215" t="s">
        <v>102</v>
      </c>
      <c r="Q39" s="215" t="s">
        <v>150</v>
      </c>
      <c r="R39" s="215">
        <v>0</v>
      </c>
      <c r="S39" s="215" t="s">
        <v>151</v>
      </c>
      <c r="T39" s="264">
        <v>0.72599999999999998</v>
      </c>
    </row>
    <row r="40" spans="1:20" ht="14.4">
      <c r="A40" s="5" t="str">
        <f>IF(K40&gt;0,COUNT($A$7:A39)+COUNT('DWV PVC'!$A$9:$A$316)+1,"")</f>
        <v/>
      </c>
      <c r="B40" s="644"/>
      <c r="C40" s="645"/>
      <c r="D40" s="103" t="s">
        <v>152</v>
      </c>
      <c r="E40" s="103">
        <v>300006024</v>
      </c>
      <c r="F40" s="102" t="s">
        <v>153</v>
      </c>
      <c r="G40" s="124">
        <v>20</v>
      </c>
      <c r="H40" s="124">
        <v>2400</v>
      </c>
      <c r="I40" s="123" t="e">
        <f>_xlfn.XLOOKUP(E40,'All Products'!D:D,'All Products'!H:H)</f>
        <v>#N/A</v>
      </c>
      <c r="J40" s="128" t="e">
        <f>ROUNDUP(I40*Order_Quote!$L$3,2)</f>
        <v>#N/A</v>
      </c>
      <c r="K40" s="118"/>
      <c r="L40" s="76"/>
      <c r="M40" s="104">
        <f t="shared" ref="M40:M71" si="1">K40/G40</f>
        <v>0</v>
      </c>
      <c r="O40" s="215" t="s">
        <v>76</v>
      </c>
      <c r="P40" s="215" t="s">
        <v>77</v>
      </c>
      <c r="Q40" s="215">
        <v>0</v>
      </c>
      <c r="R40" s="215">
        <v>0</v>
      </c>
      <c r="S40" s="215">
        <v>0</v>
      </c>
      <c r="T40" s="264">
        <v>0.14199999999999999</v>
      </c>
    </row>
    <row r="41" spans="1:20" ht="14.4">
      <c r="A41" s="5" t="str">
        <f>IF(K41&gt;0,COUNT($A$7:A40)+COUNT('DWV PVC'!$A$9:$A$316)+1,"")</f>
        <v/>
      </c>
      <c r="B41" s="646"/>
      <c r="C41" s="647"/>
      <c r="D41" s="103" t="s">
        <v>154</v>
      </c>
      <c r="E41" s="103">
        <v>300006025</v>
      </c>
      <c r="F41" s="102" t="s">
        <v>155</v>
      </c>
      <c r="G41" s="124">
        <v>30</v>
      </c>
      <c r="H41" s="124">
        <v>1800</v>
      </c>
      <c r="I41" s="123" t="e">
        <f>_xlfn.XLOOKUP(E41,'All Products'!D:D,'All Products'!H:H)</f>
        <v>#N/A</v>
      </c>
      <c r="J41" s="128" t="e">
        <f>ROUNDUP(I41*Order_Quote!$L$3,2)</f>
        <v>#N/A</v>
      </c>
      <c r="K41" s="118"/>
      <c r="L41" s="76"/>
      <c r="M41" s="104">
        <f t="shared" si="1"/>
        <v>0</v>
      </c>
      <c r="O41" s="215" t="s">
        <v>76</v>
      </c>
      <c r="P41" s="215" t="s">
        <v>77</v>
      </c>
      <c r="Q41" s="215">
        <v>0</v>
      </c>
      <c r="R41" s="215">
        <v>0</v>
      </c>
      <c r="S41" s="215">
        <v>0</v>
      </c>
      <c r="T41" s="264">
        <v>0.20699999999999999</v>
      </c>
    </row>
    <row r="42" spans="1:20" ht="32.25" customHeight="1">
      <c r="A42" s="5" t="str">
        <f>IF(K42&gt;0,COUNT($A$7:A41)+COUNT('DWV PVC'!$A$9:$A$316)+1,"")</f>
        <v/>
      </c>
      <c r="B42" s="652"/>
      <c r="C42" s="653"/>
      <c r="D42" s="103" t="s">
        <v>156</v>
      </c>
      <c r="E42" s="103">
        <v>300006026</v>
      </c>
      <c r="F42" s="102" t="s">
        <v>157</v>
      </c>
      <c r="G42" s="124">
        <v>30</v>
      </c>
      <c r="H42" s="124">
        <v>1080</v>
      </c>
      <c r="I42" s="123" t="str">
        <f>_xlfn.XLOOKUP(E42,'All Products'!D:D,'All Products'!H:H)</f>
        <v>Quote Required</v>
      </c>
      <c r="J42" s="128" t="e">
        <f>ROUNDUP(I42*Order_Quote!$L$3,2)</f>
        <v>#VALUE!</v>
      </c>
      <c r="K42" s="118"/>
      <c r="L42" s="76"/>
      <c r="M42" s="104">
        <f t="shared" si="1"/>
        <v>0</v>
      </c>
      <c r="O42" s="215" t="s">
        <v>76</v>
      </c>
      <c r="P42" s="215" t="s">
        <v>77</v>
      </c>
      <c r="Q42" s="215">
        <v>0</v>
      </c>
      <c r="R42" s="215">
        <v>0</v>
      </c>
      <c r="S42" s="215">
        <v>0</v>
      </c>
      <c r="T42" s="264">
        <v>0.19</v>
      </c>
    </row>
    <row r="43" spans="1:20" ht="14.4">
      <c r="A43" s="5" t="str">
        <f>IF(K43&gt;0,COUNT($A$7:A42)+COUNT('DWV PVC'!$A$9:$A$316)+1,"")</f>
        <v/>
      </c>
      <c r="B43" s="643"/>
      <c r="C43" s="643"/>
      <c r="D43" s="103" t="s">
        <v>158</v>
      </c>
      <c r="E43" s="103">
        <v>300005972</v>
      </c>
      <c r="F43" s="102" t="s">
        <v>159</v>
      </c>
      <c r="G43" s="124">
        <v>50</v>
      </c>
      <c r="H43" s="124">
        <v>1800</v>
      </c>
      <c r="I43" s="123" t="e">
        <f>_xlfn.XLOOKUP(E43,'All Products'!D:D,'All Products'!H:H)</f>
        <v>#N/A</v>
      </c>
      <c r="J43" s="128" t="e">
        <f>ROUNDUP(I43*Order_Quote!$L$3,2)</f>
        <v>#N/A</v>
      </c>
      <c r="K43" s="118"/>
      <c r="L43" s="76"/>
      <c r="M43" s="104">
        <f t="shared" si="1"/>
        <v>0</v>
      </c>
      <c r="O43" s="215" t="s">
        <v>76</v>
      </c>
      <c r="P43" s="215" t="s">
        <v>77</v>
      </c>
      <c r="Q43" s="215">
        <v>0</v>
      </c>
      <c r="R43" s="215">
        <v>0</v>
      </c>
      <c r="S43" s="215">
        <v>0</v>
      </c>
      <c r="T43" s="264">
        <v>0.21299999999999999</v>
      </c>
    </row>
    <row r="44" spans="1:20" ht="14.4">
      <c r="A44" s="5" t="str">
        <f>IF(K44&gt;0,COUNT($A$7:A43)+COUNT('DWV PVC'!$A$9:$A$316)+1,"")</f>
        <v/>
      </c>
      <c r="B44" s="643"/>
      <c r="C44" s="643"/>
      <c r="D44" s="103" t="s">
        <v>160</v>
      </c>
      <c r="E44" s="103">
        <v>300006027</v>
      </c>
      <c r="F44" s="102" t="s">
        <v>161</v>
      </c>
      <c r="G44" s="124">
        <v>25</v>
      </c>
      <c r="H44" s="124">
        <v>900</v>
      </c>
      <c r="I44" s="123" t="e">
        <f>_xlfn.XLOOKUP(E44,'All Products'!D:D,'All Products'!H:H)</f>
        <v>#N/A</v>
      </c>
      <c r="J44" s="128" t="e">
        <f>ROUNDUP(I44*Order_Quote!$L$3,2)</f>
        <v>#N/A</v>
      </c>
      <c r="K44" s="118"/>
      <c r="L44" s="76"/>
      <c r="M44" s="104">
        <f t="shared" si="1"/>
        <v>0</v>
      </c>
      <c r="O44" s="215" t="s">
        <v>76</v>
      </c>
      <c r="P44" s="215" t="s">
        <v>77</v>
      </c>
      <c r="Q44" s="215">
        <v>0</v>
      </c>
      <c r="R44" s="215">
        <v>0</v>
      </c>
      <c r="S44" s="215">
        <v>0</v>
      </c>
      <c r="T44" s="264">
        <v>0.30499999999999999</v>
      </c>
    </row>
    <row r="45" spans="1:20" ht="14.4">
      <c r="A45" s="5" t="str">
        <f>IF(K45&gt;0,COUNT($A$7:A44)+COUNT('DWV PVC'!$A$9:$A$316)+1,"")</f>
        <v/>
      </c>
      <c r="B45" s="643"/>
      <c r="C45" s="643"/>
      <c r="D45" s="103" t="s">
        <v>162</v>
      </c>
      <c r="E45" s="103">
        <v>300006028</v>
      </c>
      <c r="F45" s="102" t="s">
        <v>163</v>
      </c>
      <c r="G45" s="124">
        <v>10</v>
      </c>
      <c r="H45" s="124">
        <v>270</v>
      </c>
      <c r="I45" s="123" t="e">
        <f>_xlfn.XLOOKUP(E45,'All Products'!D:D,'All Products'!H:H)</f>
        <v>#N/A</v>
      </c>
      <c r="J45" s="128" t="e">
        <f>ROUNDUP(I45*Order_Quote!$L$3,2)</f>
        <v>#N/A</v>
      </c>
      <c r="K45" s="118"/>
      <c r="L45" s="76"/>
      <c r="M45" s="104">
        <f t="shared" si="1"/>
        <v>0</v>
      </c>
      <c r="O45" s="215" t="s">
        <v>76</v>
      </c>
      <c r="P45" s="215" t="s">
        <v>77</v>
      </c>
      <c r="Q45" s="215">
        <v>0</v>
      </c>
      <c r="R45" s="215">
        <v>0</v>
      </c>
      <c r="S45" s="215">
        <v>0</v>
      </c>
      <c r="T45" s="264">
        <v>1.5660000000000001</v>
      </c>
    </row>
    <row r="46" spans="1:20" ht="14.4">
      <c r="A46" s="5" t="str">
        <f>IF(K46&gt;0,COUNT($A$7:A45)+COUNT('DWV PVC'!$A$9:$A$316)+1,"")</f>
        <v/>
      </c>
      <c r="B46" s="643"/>
      <c r="C46" s="643"/>
      <c r="D46" s="103" t="s">
        <v>164</v>
      </c>
      <c r="E46" s="103">
        <v>300006029</v>
      </c>
      <c r="F46" s="102" t="s">
        <v>165</v>
      </c>
      <c r="G46" s="124">
        <v>5</v>
      </c>
      <c r="H46" s="124">
        <v>180</v>
      </c>
      <c r="I46" s="123">
        <f>_xlfn.XLOOKUP(E46,'All Products'!D:D,'All Products'!H:H)</f>
        <v>267.64999999999998</v>
      </c>
      <c r="J46" s="128">
        <f>ROUNDUP(I46*Order_Quote!$L$3,2)</f>
        <v>267.64999999999998</v>
      </c>
      <c r="K46" s="118"/>
      <c r="L46" s="76"/>
      <c r="M46" s="104">
        <f t="shared" si="1"/>
        <v>0</v>
      </c>
      <c r="O46" s="215" t="s">
        <v>76</v>
      </c>
      <c r="P46" s="215" t="s">
        <v>77</v>
      </c>
      <c r="Q46" s="215">
        <v>0</v>
      </c>
      <c r="R46" s="215">
        <v>0</v>
      </c>
      <c r="S46" s="215">
        <v>0</v>
      </c>
      <c r="T46" s="264">
        <v>2.6920000000000002</v>
      </c>
    </row>
    <row r="47" spans="1:20" ht="14.4">
      <c r="A47" s="5" t="str">
        <f>IF(K47&gt;0,COUNT($A$7:A46)+COUNT('DWV PVC'!$A$9:$A$316)+1,"")</f>
        <v/>
      </c>
      <c r="B47" s="643"/>
      <c r="C47" s="643"/>
      <c r="D47" s="103" t="s">
        <v>166</v>
      </c>
      <c r="E47" s="103">
        <v>300005973</v>
      </c>
      <c r="F47" s="102" t="s">
        <v>167</v>
      </c>
      <c r="G47" s="124">
        <v>100</v>
      </c>
      <c r="H47" s="124">
        <v>2700</v>
      </c>
      <c r="I47" s="123" t="e">
        <f>_xlfn.XLOOKUP(E47,'All Products'!D:D,'All Products'!H:H)</f>
        <v>#N/A</v>
      </c>
      <c r="J47" s="128" t="e">
        <f>ROUNDUP(I47*Order_Quote!$L$3,2)</f>
        <v>#N/A</v>
      </c>
      <c r="K47" s="118"/>
      <c r="L47" s="76"/>
      <c r="M47" s="104">
        <f t="shared" si="1"/>
        <v>0</v>
      </c>
      <c r="O47" s="215" t="s">
        <v>76</v>
      </c>
      <c r="P47" s="215" t="s">
        <v>77</v>
      </c>
      <c r="Q47" s="215">
        <v>0</v>
      </c>
      <c r="R47" s="215">
        <v>0</v>
      </c>
      <c r="S47" s="215">
        <v>0</v>
      </c>
      <c r="T47" s="264">
        <v>0.14499999999999999</v>
      </c>
    </row>
    <row r="48" spans="1:20" ht="14.4">
      <c r="A48" s="5" t="str">
        <f>IF(K48&gt;0,COUNT($A$7:A47)+COUNT('DWV PVC'!$A$9:$A$316)+1,"")</f>
        <v/>
      </c>
      <c r="B48" s="643"/>
      <c r="C48" s="643"/>
      <c r="D48" s="103" t="s">
        <v>168</v>
      </c>
      <c r="E48" s="103">
        <v>300006030</v>
      </c>
      <c r="F48" s="102" t="s">
        <v>169</v>
      </c>
      <c r="G48" s="124">
        <v>50</v>
      </c>
      <c r="H48" s="124">
        <v>1350</v>
      </c>
      <c r="I48" s="123" t="e">
        <f>_xlfn.XLOOKUP(E48,'All Products'!D:D,'All Products'!H:H)</f>
        <v>#N/A</v>
      </c>
      <c r="J48" s="128" t="e">
        <f>ROUNDUP(I48*Order_Quote!$L$3,2)</f>
        <v>#N/A</v>
      </c>
      <c r="K48" s="118"/>
      <c r="L48" s="76"/>
      <c r="M48" s="104">
        <f t="shared" si="1"/>
        <v>0</v>
      </c>
      <c r="O48" s="215" t="s">
        <v>76</v>
      </c>
      <c r="P48" s="215" t="s">
        <v>77</v>
      </c>
      <c r="Q48" s="215">
        <v>0</v>
      </c>
      <c r="R48" s="215">
        <v>0</v>
      </c>
      <c r="S48" s="215">
        <v>0</v>
      </c>
      <c r="T48" s="264">
        <v>0.23499999999999999</v>
      </c>
    </row>
    <row r="49" spans="1:20" ht="14.4">
      <c r="A49" s="5" t="str">
        <f>IF(K49&gt;0,COUNT($A$7:A48)+COUNT('DWV PVC'!$A$9:$A$316)+1,"")</f>
        <v/>
      </c>
      <c r="B49" s="643"/>
      <c r="C49" s="643"/>
      <c r="D49" s="103" t="s">
        <v>170</v>
      </c>
      <c r="E49" s="103">
        <v>100031283</v>
      </c>
      <c r="F49" s="102" t="s">
        <v>171</v>
      </c>
      <c r="G49" s="124">
        <v>20</v>
      </c>
      <c r="H49" s="124">
        <v>240</v>
      </c>
      <c r="I49" s="123" t="e">
        <f>_xlfn.XLOOKUP(E49,'All Products'!D:D,'All Products'!H:H)</f>
        <v>#N/A</v>
      </c>
      <c r="J49" s="128" t="e">
        <f>ROUNDUP(I49*Order_Quote!$L$3,2)</f>
        <v>#N/A</v>
      </c>
      <c r="K49" s="118"/>
      <c r="L49" s="76"/>
      <c r="M49" s="104">
        <f t="shared" si="1"/>
        <v>0</v>
      </c>
      <c r="O49" s="215" t="s">
        <v>76</v>
      </c>
      <c r="P49" s="215" t="s">
        <v>102</v>
      </c>
      <c r="Q49" s="215" t="s">
        <v>172</v>
      </c>
      <c r="R49" s="215">
        <v>0</v>
      </c>
      <c r="S49" s="215" t="s">
        <v>173</v>
      </c>
      <c r="T49" s="264">
        <v>0.69599999999999995</v>
      </c>
    </row>
    <row r="50" spans="1:20" ht="14.4">
      <c r="A50" s="5" t="str">
        <f>IF(K50&gt;0,COUNT($A$7:A49)+COUNT('DWV PVC'!$A$9:$A$316)+1,"")</f>
        <v/>
      </c>
      <c r="B50" s="643"/>
      <c r="C50" s="643"/>
      <c r="D50" s="103" t="s">
        <v>174</v>
      </c>
      <c r="E50" s="103">
        <v>300006036</v>
      </c>
      <c r="F50" s="102" t="s">
        <v>175</v>
      </c>
      <c r="G50" s="124">
        <v>50</v>
      </c>
      <c r="H50" s="124">
        <v>1800</v>
      </c>
      <c r="I50" s="123" t="str">
        <f>_xlfn.XLOOKUP(E50,'All Products'!D:D,'All Products'!H:H)</f>
        <v>Quote Required</v>
      </c>
      <c r="J50" s="128" t="e">
        <f>ROUNDUP(I50*Order_Quote!$L$3,2)</f>
        <v>#VALUE!</v>
      </c>
      <c r="K50" s="118"/>
      <c r="L50" s="76"/>
      <c r="M50" s="104">
        <f t="shared" si="1"/>
        <v>0</v>
      </c>
      <c r="O50" s="215" t="s">
        <v>76</v>
      </c>
      <c r="P50" s="215" t="s">
        <v>77</v>
      </c>
      <c r="Q50" s="215">
        <v>0</v>
      </c>
      <c r="R50" s="215">
        <v>0</v>
      </c>
      <c r="S50" s="215">
        <v>0</v>
      </c>
      <c r="T50" s="264">
        <v>0.21299999999999999</v>
      </c>
    </row>
    <row r="51" spans="1:20" ht="33.75" customHeight="1">
      <c r="A51" s="5" t="str">
        <f>IF(K51&gt;0,COUNT($A$7:A50)+COUNT('DWV PVC'!$A$9:$A$316)+1,"")</f>
        <v/>
      </c>
      <c r="B51" s="643"/>
      <c r="C51" s="643"/>
      <c r="D51" s="103" t="s">
        <v>176</v>
      </c>
      <c r="E51" s="103">
        <v>300006037</v>
      </c>
      <c r="F51" s="102" t="s">
        <v>177</v>
      </c>
      <c r="G51" s="124">
        <v>20</v>
      </c>
      <c r="H51" s="124">
        <v>180</v>
      </c>
      <c r="I51" s="123" t="e">
        <f>_xlfn.XLOOKUP(E51,'All Products'!D:D,'All Products'!H:H)</f>
        <v>#N/A</v>
      </c>
      <c r="J51" s="128" t="e">
        <f>ROUNDUP(I51*Order_Quote!$L$3,2)</f>
        <v>#N/A</v>
      </c>
      <c r="K51" s="118"/>
      <c r="L51" s="76"/>
      <c r="M51" s="104">
        <f t="shared" si="1"/>
        <v>0</v>
      </c>
      <c r="O51" s="215" t="s">
        <v>76</v>
      </c>
      <c r="P51" s="215" t="s">
        <v>77</v>
      </c>
      <c r="Q51" s="215">
        <v>0</v>
      </c>
      <c r="R51" s="215">
        <v>0</v>
      </c>
      <c r="S51" s="215">
        <v>0</v>
      </c>
      <c r="T51" s="264">
        <v>1.885</v>
      </c>
    </row>
    <row r="52" spans="1:20" ht="14.4">
      <c r="A52" s="5" t="str">
        <f>IF(K52&gt;0,COUNT($A$7:A51)+COUNT('DWV PVC'!$A$9:$A$316)+1,"")</f>
        <v/>
      </c>
      <c r="B52" s="33"/>
      <c r="C52" s="48"/>
      <c r="D52" s="103" t="s">
        <v>178</v>
      </c>
      <c r="E52" s="103">
        <v>300005893</v>
      </c>
      <c r="F52" s="102" t="s">
        <v>179</v>
      </c>
      <c r="G52" s="124">
        <v>20</v>
      </c>
      <c r="H52" s="124">
        <v>1600</v>
      </c>
      <c r="I52" s="123" t="str">
        <f>_xlfn.XLOOKUP(E52,'All Products'!D:D,'All Products'!H:H)</f>
        <v>Quote Required</v>
      </c>
      <c r="J52" s="128" t="e">
        <f>ROUNDUP(I52*Order_Quote!$L$3,2)</f>
        <v>#VALUE!</v>
      </c>
      <c r="K52" s="118"/>
      <c r="L52" s="76"/>
      <c r="M52" s="104">
        <f t="shared" si="1"/>
        <v>0</v>
      </c>
      <c r="O52" s="215" t="s">
        <v>76</v>
      </c>
      <c r="P52" s="215" t="s">
        <v>77</v>
      </c>
      <c r="Q52" s="215">
        <v>0</v>
      </c>
      <c r="R52" s="215">
        <v>0</v>
      </c>
      <c r="S52" s="215">
        <v>0</v>
      </c>
      <c r="T52" s="264">
        <v>0.23200000000000001</v>
      </c>
    </row>
    <row r="53" spans="1:20" ht="14.4">
      <c r="A53" s="5" t="str">
        <f>IF(K53&gt;0,COUNT($A$7:A52)+COUNT('DWV PVC'!$A$9:$A$316)+1,"")</f>
        <v/>
      </c>
      <c r="B53" s="33"/>
      <c r="C53" s="48"/>
      <c r="D53" s="103" t="s">
        <v>180</v>
      </c>
      <c r="E53" s="103">
        <v>300005894</v>
      </c>
      <c r="F53" s="102" t="s">
        <v>181</v>
      </c>
      <c r="G53" s="124">
        <v>25</v>
      </c>
      <c r="H53" s="124">
        <v>1200</v>
      </c>
      <c r="I53" s="123" t="str">
        <f>_xlfn.XLOOKUP(E53,'All Products'!D:D,'All Products'!H:H)</f>
        <v>Quote Required</v>
      </c>
      <c r="J53" s="128" t="e">
        <f>ROUNDUP(I53*Order_Quote!$L$3,2)</f>
        <v>#VALUE!</v>
      </c>
      <c r="K53" s="118"/>
      <c r="L53" s="76"/>
      <c r="M53" s="104">
        <f t="shared" si="1"/>
        <v>0</v>
      </c>
      <c r="O53" s="215" t="s">
        <v>76</v>
      </c>
      <c r="P53" s="215" t="s">
        <v>77</v>
      </c>
      <c r="Q53" s="215">
        <v>0</v>
      </c>
      <c r="R53" s="215">
        <v>0</v>
      </c>
      <c r="S53" s="215">
        <v>0</v>
      </c>
      <c r="T53" s="264">
        <v>0.35799999999999998</v>
      </c>
    </row>
    <row r="54" spans="1:20" ht="14.4">
      <c r="A54" s="5" t="str">
        <f>IF(K54&gt;0,COUNT($A$7:A53)+COUNT('DWV PVC'!$A$9:$A$316)+1,"")</f>
        <v/>
      </c>
      <c r="B54" s="23"/>
      <c r="C54" s="49"/>
      <c r="D54" s="103" t="s">
        <v>182</v>
      </c>
      <c r="E54" s="103">
        <v>300005895</v>
      </c>
      <c r="F54" s="102" t="s">
        <v>183</v>
      </c>
      <c r="G54" s="124">
        <v>10</v>
      </c>
      <c r="H54" s="124">
        <v>270</v>
      </c>
      <c r="I54" s="123" t="str">
        <f>_xlfn.XLOOKUP(E54,'All Products'!D:D,'All Products'!H:H)</f>
        <v>Quote Required</v>
      </c>
      <c r="J54" s="128" t="e">
        <f>ROUNDUP(I54*Order_Quote!$L$3,2)</f>
        <v>#VALUE!</v>
      </c>
      <c r="K54" s="118"/>
      <c r="L54" s="76"/>
      <c r="M54" s="104">
        <f t="shared" si="1"/>
        <v>0</v>
      </c>
      <c r="O54" s="215" t="s">
        <v>76</v>
      </c>
      <c r="P54" s="215" t="s">
        <v>77</v>
      </c>
      <c r="Q54" s="215">
        <v>0</v>
      </c>
      <c r="R54" s="215">
        <v>0</v>
      </c>
      <c r="S54" s="215">
        <v>0</v>
      </c>
      <c r="T54" s="264">
        <v>1.1080000000000001</v>
      </c>
    </row>
    <row r="55" spans="1:20" ht="30.75" customHeight="1">
      <c r="A55" s="5" t="str">
        <f>IF(K55&gt;0,COUNT($A$7:A54)+COUNT('DWV PVC'!$A$9:$A$316)+1,"")</f>
        <v/>
      </c>
      <c r="B55" s="643"/>
      <c r="C55" s="643"/>
      <c r="D55" s="103" t="s">
        <v>184</v>
      </c>
      <c r="E55" s="103">
        <v>300005974</v>
      </c>
      <c r="F55" s="102" t="s">
        <v>185</v>
      </c>
      <c r="G55" s="124">
        <v>75</v>
      </c>
      <c r="H55" s="124">
        <v>3600</v>
      </c>
      <c r="I55" s="123" t="str">
        <f>_xlfn.XLOOKUP(E55,'All Products'!D:D,'All Products'!H:H)</f>
        <v>Quote Required</v>
      </c>
      <c r="J55" s="128" t="e">
        <f>ROUNDUP(I55*Order_Quote!$L$3,2)</f>
        <v>#VALUE!</v>
      </c>
      <c r="K55" s="118"/>
      <c r="L55" s="76"/>
      <c r="M55" s="104">
        <f t="shared" si="1"/>
        <v>0</v>
      </c>
      <c r="O55" s="215" t="s">
        <v>76</v>
      </c>
      <c r="P55" s="215" t="s">
        <v>77</v>
      </c>
      <c r="Q55" s="215">
        <v>0</v>
      </c>
      <c r="R55" s="215">
        <v>0</v>
      </c>
      <c r="S55" s="215">
        <v>0</v>
      </c>
      <c r="T55" s="264">
        <v>0.128</v>
      </c>
    </row>
    <row r="56" spans="1:20" ht="29.25" customHeight="1">
      <c r="A56" s="5" t="str">
        <f>IF(K56&gt;0,COUNT($A$7:A55)+COUNT('DWV PVC'!$A$9:$A$316)+1,"")</f>
        <v/>
      </c>
      <c r="B56" s="643"/>
      <c r="C56" s="643"/>
      <c r="D56" s="103" t="s">
        <v>186</v>
      </c>
      <c r="E56" s="103">
        <v>300005975</v>
      </c>
      <c r="F56" s="102" t="s">
        <v>187</v>
      </c>
      <c r="G56" s="124">
        <v>20</v>
      </c>
      <c r="H56" s="124">
        <v>640</v>
      </c>
      <c r="I56" s="123" t="str">
        <f>_xlfn.XLOOKUP(E56,'All Products'!D:D,'All Products'!H:H)</f>
        <v>Quote Required</v>
      </c>
      <c r="J56" s="128" t="e">
        <f>ROUNDUP(I56*Order_Quote!$L$3,2)</f>
        <v>#VALUE!</v>
      </c>
      <c r="K56" s="118"/>
      <c r="L56" s="76"/>
      <c r="M56" s="104">
        <f t="shared" si="1"/>
        <v>0</v>
      </c>
      <c r="O56" s="215" t="s">
        <v>76</v>
      </c>
      <c r="P56" s="215" t="s">
        <v>77</v>
      </c>
      <c r="Q56" s="215">
        <v>0</v>
      </c>
      <c r="R56" s="215">
        <v>0</v>
      </c>
      <c r="S56" s="215">
        <v>0</v>
      </c>
      <c r="T56" s="264">
        <v>0.60799999999999998</v>
      </c>
    </row>
    <row r="57" spans="1:20" ht="14.4">
      <c r="A57" s="5" t="str">
        <f>IF(K57&gt;0,COUNT($A$7:A56)+COUNT('DWV PVC'!$A$9:$A$316)+1,"")</f>
        <v/>
      </c>
      <c r="B57" s="643"/>
      <c r="C57" s="643"/>
      <c r="D57" s="103" t="s">
        <v>188</v>
      </c>
      <c r="E57" s="103">
        <v>300006038</v>
      </c>
      <c r="F57" s="102" t="s">
        <v>189</v>
      </c>
      <c r="G57" s="124">
        <v>50</v>
      </c>
      <c r="H57" s="124">
        <v>3600</v>
      </c>
      <c r="I57" s="123" t="str">
        <f>_xlfn.XLOOKUP(E57,'All Products'!D:D,'All Products'!H:H)</f>
        <v>Quote Required</v>
      </c>
      <c r="J57" s="128" t="e">
        <f>ROUNDUP(I57*Order_Quote!$L$3,2)</f>
        <v>#VALUE!</v>
      </c>
      <c r="K57" s="118"/>
      <c r="L57" s="76"/>
      <c r="M57" s="104">
        <f t="shared" si="1"/>
        <v>0</v>
      </c>
      <c r="O57" s="215" t="s">
        <v>76</v>
      </c>
      <c r="P57" s="215" t="s">
        <v>77</v>
      </c>
      <c r="Q57" s="215">
        <v>0</v>
      </c>
      <c r="R57" s="215">
        <v>0</v>
      </c>
      <c r="S57" s="215">
        <v>0</v>
      </c>
      <c r="T57" s="264">
        <v>0.14299999999999999</v>
      </c>
    </row>
    <row r="58" spans="1:20" ht="14.4">
      <c r="A58" s="5" t="str">
        <f>IF(K58&gt;0,COUNT($A$7:A57)+COUNT('DWV PVC'!$A$9:$A$316)+1,"")</f>
        <v/>
      </c>
      <c r="B58" s="643"/>
      <c r="C58" s="643"/>
      <c r="D58" s="103" t="s">
        <v>190</v>
      </c>
      <c r="E58" s="103">
        <v>300005976</v>
      </c>
      <c r="F58" s="102" t="s">
        <v>191</v>
      </c>
      <c r="G58" s="124">
        <v>10</v>
      </c>
      <c r="H58" s="124">
        <v>240</v>
      </c>
      <c r="I58" s="123" t="e">
        <f>_xlfn.XLOOKUP(E58,'All Products'!D:D,'All Products'!H:H)</f>
        <v>#N/A</v>
      </c>
      <c r="J58" s="128" t="e">
        <f>ROUNDUP(I58*Order_Quote!$L$3,2)</f>
        <v>#N/A</v>
      </c>
      <c r="K58" s="118"/>
      <c r="L58" s="76"/>
      <c r="M58" s="104">
        <f t="shared" si="1"/>
        <v>0</v>
      </c>
      <c r="O58" s="215" t="s">
        <v>76</v>
      </c>
      <c r="P58" s="215" t="s">
        <v>77</v>
      </c>
      <c r="Q58" s="215">
        <v>0</v>
      </c>
      <c r="R58" s="215">
        <v>0</v>
      </c>
      <c r="S58" s="215">
        <v>0</v>
      </c>
      <c r="T58" s="264">
        <v>1.2170000000000001</v>
      </c>
    </row>
    <row r="59" spans="1:20" ht="14.4">
      <c r="A59" s="5" t="str">
        <f>IF(K59&gt;0,COUNT($A$7:A58)+COUNT('DWV PVC'!$A$9:$A$316)+1,"")</f>
        <v/>
      </c>
      <c r="B59" s="643"/>
      <c r="C59" s="643"/>
      <c r="D59" s="103" t="s">
        <v>192</v>
      </c>
      <c r="E59" s="103">
        <v>100031276</v>
      </c>
      <c r="F59" s="102" t="s">
        <v>193</v>
      </c>
      <c r="G59" s="124">
        <v>100</v>
      </c>
      <c r="H59" s="124">
        <v>1800</v>
      </c>
      <c r="I59" s="123" t="e">
        <f>_xlfn.XLOOKUP(E59,'All Products'!D:D,'All Products'!H:H)</f>
        <v>#N/A</v>
      </c>
      <c r="J59" s="128" t="e">
        <f>ROUNDUP(I59*Order_Quote!$L$3,2)</f>
        <v>#N/A</v>
      </c>
      <c r="K59" s="118"/>
      <c r="L59" s="76"/>
      <c r="M59" s="104">
        <f t="shared" si="1"/>
        <v>0</v>
      </c>
      <c r="O59" s="215" t="s">
        <v>76</v>
      </c>
      <c r="P59" s="215" t="s">
        <v>102</v>
      </c>
      <c r="Q59" s="215" t="s">
        <v>194</v>
      </c>
      <c r="R59" s="215">
        <v>0</v>
      </c>
      <c r="S59" s="215" t="s">
        <v>195</v>
      </c>
      <c r="T59" s="264">
        <v>0.13600000000000001</v>
      </c>
    </row>
    <row r="60" spans="1:20" ht="14.4">
      <c r="A60" s="5" t="str">
        <f>IF(K60&gt;0,COUNT($A$7:A59)+COUNT('DWV PVC'!$A$9:$A$316)+1,"")</f>
        <v/>
      </c>
      <c r="B60" s="643"/>
      <c r="C60" s="643"/>
      <c r="D60" s="103" t="s">
        <v>196</v>
      </c>
      <c r="E60" s="103">
        <v>100031277</v>
      </c>
      <c r="F60" s="102" t="s">
        <v>197</v>
      </c>
      <c r="G60" s="124">
        <v>50</v>
      </c>
      <c r="H60" s="124">
        <v>900</v>
      </c>
      <c r="I60" s="123" t="e">
        <f>_xlfn.XLOOKUP(E60,'All Products'!D:D,'All Products'!H:H)</f>
        <v>#N/A</v>
      </c>
      <c r="J60" s="128" t="e">
        <f>ROUNDUP(I60*Order_Quote!$L$3,2)</f>
        <v>#N/A</v>
      </c>
      <c r="K60" s="118"/>
      <c r="L60" s="76"/>
      <c r="M60" s="104">
        <f t="shared" si="1"/>
        <v>0</v>
      </c>
      <c r="O60" s="215" t="s">
        <v>76</v>
      </c>
      <c r="P60" s="215" t="s">
        <v>102</v>
      </c>
      <c r="Q60" s="215" t="s">
        <v>198</v>
      </c>
      <c r="R60" s="215">
        <v>0</v>
      </c>
      <c r="S60" s="215" t="s">
        <v>199</v>
      </c>
      <c r="T60" s="264">
        <v>0.20399999999999999</v>
      </c>
    </row>
    <row r="61" spans="1:20" ht="14.4">
      <c r="A61" s="5" t="str">
        <f>IF(K61&gt;0,COUNT($A$7:A60)+COUNT('DWV PVC'!$A$9:$A$316)+1,"")</f>
        <v/>
      </c>
      <c r="B61" s="643"/>
      <c r="C61" s="643"/>
      <c r="D61" s="103" t="s">
        <v>200</v>
      </c>
      <c r="E61" s="103">
        <v>100031278</v>
      </c>
      <c r="F61" s="102" t="s">
        <v>201</v>
      </c>
      <c r="G61" s="124">
        <v>20</v>
      </c>
      <c r="H61" s="124">
        <v>240</v>
      </c>
      <c r="I61" s="123" t="e">
        <f>_xlfn.XLOOKUP(E61,'All Products'!D:D,'All Products'!H:H)</f>
        <v>#N/A</v>
      </c>
      <c r="J61" s="128" t="e">
        <f>ROUNDUP(I61*Order_Quote!$L$3,2)</f>
        <v>#N/A</v>
      </c>
      <c r="K61" s="118"/>
      <c r="L61" s="76"/>
      <c r="M61" s="104">
        <f t="shared" si="1"/>
        <v>0</v>
      </c>
      <c r="O61" s="215" t="s">
        <v>76</v>
      </c>
      <c r="P61" s="215" t="s">
        <v>102</v>
      </c>
      <c r="Q61" s="215" t="s">
        <v>202</v>
      </c>
      <c r="R61" s="215">
        <v>0</v>
      </c>
      <c r="S61" s="215" t="s">
        <v>203</v>
      </c>
      <c r="T61" s="264">
        <v>0.60399999999999998</v>
      </c>
    </row>
    <row r="62" spans="1:20" ht="33" customHeight="1">
      <c r="A62" s="5" t="str">
        <f>IF(K62&gt;0,COUNT($A$7:A61)+COUNT('DWV PVC'!$A$9:$A$316)+1,"")</f>
        <v/>
      </c>
      <c r="B62" s="654"/>
      <c r="C62" s="654"/>
      <c r="D62" s="103" t="s">
        <v>204</v>
      </c>
      <c r="E62" s="103">
        <v>300005977</v>
      </c>
      <c r="F62" s="102" t="s">
        <v>205</v>
      </c>
      <c r="G62" s="124">
        <v>100</v>
      </c>
      <c r="H62" s="124">
        <v>2700</v>
      </c>
      <c r="I62" s="123" t="e">
        <f>_xlfn.XLOOKUP(E62,'All Products'!D:D,'All Products'!H:H)</f>
        <v>#N/A</v>
      </c>
      <c r="J62" s="128" t="e">
        <f>ROUNDUP(I62*Order_Quote!$L$3,2)</f>
        <v>#N/A</v>
      </c>
      <c r="K62" s="118"/>
      <c r="L62" s="76"/>
      <c r="M62" s="104">
        <f t="shared" si="1"/>
        <v>0</v>
      </c>
      <c r="O62" s="215" t="s">
        <v>76</v>
      </c>
      <c r="P62" s="215" t="s">
        <v>77</v>
      </c>
      <c r="Q62" s="215">
        <v>0</v>
      </c>
      <c r="R62" s="215">
        <v>0</v>
      </c>
      <c r="S62" s="215">
        <v>0</v>
      </c>
      <c r="T62" s="264">
        <v>0.113</v>
      </c>
    </row>
    <row r="63" spans="1:20" ht="38.25" customHeight="1">
      <c r="A63" s="5" t="str">
        <f>IF(K63&gt;0,COUNT($A$7:A62)+COUNT('DWV PVC'!$A$9:$A$316)+1,"")</f>
        <v/>
      </c>
      <c r="B63" s="654"/>
      <c r="C63" s="654"/>
      <c r="D63" s="103" t="s">
        <v>206</v>
      </c>
      <c r="E63" s="103">
        <v>300005978</v>
      </c>
      <c r="F63" s="102" t="s">
        <v>207</v>
      </c>
      <c r="G63" s="124">
        <v>10</v>
      </c>
      <c r="H63" s="124">
        <v>240</v>
      </c>
      <c r="I63" s="123" t="e">
        <f>_xlfn.XLOOKUP(E63,'All Products'!D:D,'All Products'!H:H)</f>
        <v>#N/A</v>
      </c>
      <c r="J63" s="128" t="e">
        <f>ROUNDUP(I63*Order_Quote!$L$3,2)</f>
        <v>#N/A</v>
      </c>
      <c r="K63" s="118"/>
      <c r="L63" s="76"/>
      <c r="M63" s="104">
        <f t="shared" si="1"/>
        <v>0</v>
      </c>
      <c r="O63" s="215" t="s">
        <v>76</v>
      </c>
      <c r="P63" s="215" t="s">
        <v>77</v>
      </c>
      <c r="Q63" s="215">
        <v>0</v>
      </c>
      <c r="R63" s="215">
        <v>0</v>
      </c>
      <c r="S63" s="215">
        <v>0</v>
      </c>
      <c r="T63" s="264">
        <v>1.1040000000000001</v>
      </c>
    </row>
    <row r="64" spans="1:20" ht="14.4">
      <c r="A64" s="5" t="str">
        <f>IF(K64&gt;0,COUNT($A$7:A63)+COUNT('DWV PVC'!$A$9:$A$316)+1,"")</f>
        <v/>
      </c>
      <c r="B64" s="654"/>
      <c r="C64" s="654"/>
      <c r="D64" s="103" t="s">
        <v>208</v>
      </c>
      <c r="E64" s="103">
        <v>100031281</v>
      </c>
      <c r="F64" s="102" t="s">
        <v>209</v>
      </c>
      <c r="G64" s="124">
        <v>50</v>
      </c>
      <c r="H64" s="124">
        <v>900</v>
      </c>
      <c r="I64" s="123" t="e">
        <f>_xlfn.XLOOKUP(E64,'All Products'!D:D,'All Products'!H:H)</f>
        <v>#N/A</v>
      </c>
      <c r="J64" s="128" t="e">
        <f>ROUNDUP(I64*Order_Quote!$L$3,2)</f>
        <v>#N/A</v>
      </c>
      <c r="K64" s="118"/>
      <c r="L64" s="76"/>
      <c r="M64" s="104">
        <f t="shared" si="1"/>
        <v>0</v>
      </c>
      <c r="O64" s="215" t="s">
        <v>76</v>
      </c>
      <c r="P64" s="215" t="s">
        <v>102</v>
      </c>
      <c r="Q64" s="215" t="s">
        <v>210</v>
      </c>
      <c r="R64" s="215">
        <v>0</v>
      </c>
      <c r="S64" s="215" t="s">
        <v>211</v>
      </c>
      <c r="T64" s="264">
        <v>0.19400000000000001</v>
      </c>
    </row>
    <row r="65" spans="1:20" ht="14.4">
      <c r="A65" s="5" t="str">
        <f>IF(K65&gt;0,COUNT($A$7:A64)+COUNT('DWV PVC'!$A$9:$A$316)+1,"")</f>
        <v/>
      </c>
      <c r="B65" s="654"/>
      <c r="C65" s="654"/>
      <c r="D65" s="103" t="s">
        <v>212</v>
      </c>
      <c r="E65" s="103">
        <v>100031282</v>
      </c>
      <c r="F65" s="102" t="s">
        <v>213</v>
      </c>
      <c r="G65" s="124">
        <v>20</v>
      </c>
      <c r="H65" s="124">
        <v>240</v>
      </c>
      <c r="I65" s="123" t="e">
        <f>_xlfn.XLOOKUP(E65,'All Products'!D:D,'All Products'!H:H)</f>
        <v>#N/A</v>
      </c>
      <c r="J65" s="128" t="e">
        <f>ROUNDUP(I65*Order_Quote!$L$3,2)</f>
        <v>#N/A</v>
      </c>
      <c r="K65" s="118"/>
      <c r="L65" s="76"/>
      <c r="M65" s="104">
        <f t="shared" si="1"/>
        <v>0</v>
      </c>
      <c r="O65" s="215" t="s">
        <v>76</v>
      </c>
      <c r="P65" s="215" t="s">
        <v>102</v>
      </c>
      <c r="Q65" s="215" t="s">
        <v>214</v>
      </c>
      <c r="R65" s="215">
        <v>0</v>
      </c>
      <c r="S65" s="215" t="s">
        <v>215</v>
      </c>
      <c r="T65" s="264">
        <v>0.59799999999999998</v>
      </c>
    </row>
    <row r="66" spans="1:20" ht="14.4">
      <c r="A66" s="5" t="str">
        <f>IF(K66&gt;0,COUNT($A$7:A65)+COUNT('DWV PVC'!$A$9:$A$316)+1,"")</f>
        <v/>
      </c>
      <c r="B66" s="643"/>
      <c r="C66" s="643"/>
      <c r="D66" s="103" t="s">
        <v>216</v>
      </c>
      <c r="E66" s="103">
        <v>300005979</v>
      </c>
      <c r="F66" s="102" t="s">
        <v>217</v>
      </c>
      <c r="G66" s="124">
        <v>50</v>
      </c>
      <c r="H66" s="124">
        <v>4000</v>
      </c>
      <c r="I66" s="123" t="e">
        <f>_xlfn.XLOOKUP(E66,'All Products'!D:D,'All Products'!H:H)</f>
        <v>#N/A</v>
      </c>
      <c r="J66" s="128" t="e">
        <f>ROUNDUP(I66*Order_Quote!$L$3,2)</f>
        <v>#N/A</v>
      </c>
      <c r="K66" s="118"/>
      <c r="L66" s="76"/>
      <c r="M66" s="104">
        <f t="shared" si="1"/>
        <v>0</v>
      </c>
      <c r="O66" s="215" t="s">
        <v>76</v>
      </c>
      <c r="P66" s="215" t="s">
        <v>77</v>
      </c>
      <c r="Q66" s="215">
        <v>0</v>
      </c>
      <c r="R66" s="215">
        <v>0</v>
      </c>
      <c r="S66" s="215">
        <v>0</v>
      </c>
      <c r="T66" s="264">
        <v>0.105</v>
      </c>
    </row>
    <row r="67" spans="1:20" ht="14.4">
      <c r="A67" s="5" t="str">
        <f>IF(K67&gt;0,COUNT($A$7:A66)+COUNT('DWV PVC'!$A$9:$A$316)+1,"")</f>
        <v/>
      </c>
      <c r="B67" s="643"/>
      <c r="C67" s="643"/>
      <c r="D67" s="103" t="s">
        <v>218</v>
      </c>
      <c r="E67" s="103">
        <v>300005980</v>
      </c>
      <c r="F67" s="102" t="s">
        <v>219</v>
      </c>
      <c r="G67" s="124">
        <v>25</v>
      </c>
      <c r="H67" s="124">
        <v>2025</v>
      </c>
      <c r="I67" s="123" t="e">
        <f>_xlfn.XLOOKUP(E67,'All Products'!D:D,'All Products'!H:H)</f>
        <v>#N/A</v>
      </c>
      <c r="J67" s="128" t="e">
        <f>ROUNDUP(I67*Order_Quote!$L$3,2)</f>
        <v>#N/A</v>
      </c>
      <c r="K67" s="118"/>
      <c r="L67" s="76"/>
      <c r="M67" s="104">
        <f t="shared" si="1"/>
        <v>0</v>
      </c>
      <c r="O67" s="215" t="s">
        <v>76</v>
      </c>
      <c r="P67" s="215" t="s">
        <v>77</v>
      </c>
      <c r="Q67" s="215">
        <v>0</v>
      </c>
      <c r="R67" s="215">
        <v>0</v>
      </c>
      <c r="S67" s="215">
        <v>0</v>
      </c>
      <c r="T67" s="264">
        <v>0.14399999999999999</v>
      </c>
    </row>
    <row r="68" spans="1:20" ht="14.4">
      <c r="A68" s="5" t="str">
        <f>IF(K68&gt;0,COUNT($A$7:A67)+COUNT('DWV PVC'!$A$9:$A$316)+1,"")</f>
        <v/>
      </c>
      <c r="B68" s="643"/>
      <c r="C68" s="643"/>
      <c r="D68" s="103" t="s">
        <v>220</v>
      </c>
      <c r="E68" s="103">
        <v>300005981</v>
      </c>
      <c r="F68" s="102" t="s">
        <v>221</v>
      </c>
      <c r="G68" s="124">
        <v>20</v>
      </c>
      <c r="H68" s="124">
        <v>720</v>
      </c>
      <c r="I68" s="123" t="e">
        <f>_xlfn.XLOOKUP(E68,'All Products'!D:D,'All Products'!H:H)</f>
        <v>#N/A</v>
      </c>
      <c r="J68" s="128" t="e">
        <f>ROUNDUP(I68*Order_Quote!$L$3,2)</f>
        <v>#N/A</v>
      </c>
      <c r="K68" s="118"/>
      <c r="L68" s="76"/>
      <c r="M68" s="104">
        <f t="shared" si="1"/>
        <v>0</v>
      </c>
      <c r="O68" s="215" t="s">
        <v>76</v>
      </c>
      <c r="P68" s="215" t="s">
        <v>77</v>
      </c>
      <c r="Q68" s="215">
        <v>0</v>
      </c>
      <c r="R68" s="215">
        <v>0</v>
      </c>
      <c r="S68" s="215">
        <v>0</v>
      </c>
      <c r="T68" s="264">
        <v>0.501</v>
      </c>
    </row>
    <row r="69" spans="1:20" ht="21.75" customHeight="1">
      <c r="A69" s="5" t="str">
        <f>IF(K69&gt;0,COUNT($A$7:A68)+COUNT('DWV PVC'!$A$9:$A$316)+1,"")</f>
        <v/>
      </c>
      <c r="B69" s="643"/>
      <c r="C69" s="643"/>
      <c r="D69" s="103" t="s">
        <v>222</v>
      </c>
      <c r="E69" s="103">
        <v>300005982</v>
      </c>
      <c r="F69" s="102" t="s">
        <v>223</v>
      </c>
      <c r="G69" s="124">
        <v>15</v>
      </c>
      <c r="H69" s="124">
        <v>360</v>
      </c>
      <c r="I69" s="123" t="e">
        <f>_xlfn.XLOOKUP(E69,'All Products'!D:D,'All Products'!H:H)</f>
        <v>#N/A</v>
      </c>
      <c r="J69" s="128" t="e">
        <f>ROUNDUP(I69*Order_Quote!$L$3,2)</f>
        <v>#N/A</v>
      </c>
      <c r="K69" s="118"/>
      <c r="L69" s="76"/>
      <c r="M69" s="104">
        <f t="shared" si="1"/>
        <v>0</v>
      </c>
      <c r="O69" s="215" t="s">
        <v>76</v>
      </c>
      <c r="P69" s="215" t="s">
        <v>77</v>
      </c>
      <c r="Q69" s="215">
        <v>0</v>
      </c>
      <c r="R69" s="215">
        <v>0</v>
      </c>
      <c r="S69" s="215">
        <v>0</v>
      </c>
      <c r="T69" s="264">
        <v>0.86699999999999999</v>
      </c>
    </row>
    <row r="70" spans="1:20" ht="21.75" customHeight="1">
      <c r="A70" s="5" t="str">
        <f>IF(K70&gt;0,COUNT($A$7:A69)+COUNT('DWV PVC'!$A$9:$A$316)+1,"")</f>
        <v/>
      </c>
      <c r="B70" s="643"/>
      <c r="C70" s="643"/>
      <c r="D70" s="103" t="s">
        <v>224</v>
      </c>
      <c r="E70" s="103">
        <v>100031284</v>
      </c>
      <c r="F70" s="102" t="s">
        <v>225</v>
      </c>
      <c r="G70" s="124">
        <v>50</v>
      </c>
      <c r="H70" s="124">
        <v>4000</v>
      </c>
      <c r="I70" s="123" t="e">
        <f>_xlfn.XLOOKUP(E70,'All Products'!D:D,'All Products'!H:H)</f>
        <v>#N/A</v>
      </c>
      <c r="J70" s="128" t="e">
        <f>ROUNDUP(I70*Order_Quote!$L$3,2)</f>
        <v>#N/A</v>
      </c>
      <c r="K70" s="118"/>
      <c r="L70" s="76"/>
      <c r="M70" s="104">
        <f t="shared" si="1"/>
        <v>0</v>
      </c>
      <c r="O70" s="215" t="s">
        <v>76</v>
      </c>
      <c r="P70" s="215" t="s">
        <v>102</v>
      </c>
      <c r="Q70" s="215" t="s">
        <v>226</v>
      </c>
      <c r="R70" s="215">
        <v>0</v>
      </c>
      <c r="S70" s="215" t="s">
        <v>227</v>
      </c>
      <c r="T70" s="264">
        <v>9.1999999999999998E-2</v>
      </c>
    </row>
    <row r="71" spans="1:20" ht="27" customHeight="1">
      <c r="A71" s="5" t="str">
        <f>IF(K71&gt;0,COUNT($A$7:A70)+COUNT('DWV PVC'!$A$9:$A$316)+1,"")</f>
        <v/>
      </c>
      <c r="B71" s="643"/>
      <c r="C71" s="643"/>
      <c r="D71" s="103" t="s">
        <v>228</v>
      </c>
      <c r="E71" s="103">
        <v>100031285</v>
      </c>
      <c r="F71" s="102" t="s">
        <v>229</v>
      </c>
      <c r="G71" s="124">
        <v>25</v>
      </c>
      <c r="H71" s="124">
        <v>2000</v>
      </c>
      <c r="I71" s="123" t="e">
        <f>_xlfn.XLOOKUP(E71,'All Products'!D:D,'All Products'!H:H)</f>
        <v>#N/A</v>
      </c>
      <c r="J71" s="128" t="e">
        <f>ROUNDUP(I71*Order_Quote!$L$3,2)</f>
        <v>#N/A</v>
      </c>
      <c r="K71" s="118"/>
      <c r="L71" s="76"/>
      <c r="M71" s="104">
        <f t="shared" si="1"/>
        <v>0</v>
      </c>
      <c r="O71" s="215" t="s">
        <v>76</v>
      </c>
      <c r="P71" s="215" t="s">
        <v>102</v>
      </c>
      <c r="Q71" s="215" t="s">
        <v>230</v>
      </c>
      <c r="R71" s="215">
        <v>0</v>
      </c>
      <c r="S71" s="215" t="s">
        <v>231</v>
      </c>
      <c r="T71" s="264">
        <v>0.13600000000000001</v>
      </c>
    </row>
    <row r="72" spans="1:20" ht="14.4">
      <c r="A72" s="5" t="str">
        <f>IF(K72&gt;0,COUNT($A$7:A71)+COUNT('DWV PVC'!$A$9:$A$316)+1,"")</f>
        <v/>
      </c>
      <c r="B72" s="643"/>
      <c r="C72" s="643"/>
      <c r="D72" s="103" t="s">
        <v>232</v>
      </c>
      <c r="E72" s="103">
        <v>300005984</v>
      </c>
      <c r="F72" s="102" t="s">
        <v>233</v>
      </c>
      <c r="G72" s="124">
        <v>100</v>
      </c>
      <c r="H72" s="124">
        <v>8000</v>
      </c>
      <c r="I72" s="123" t="e">
        <f>_xlfn.XLOOKUP(E72,'All Products'!D:D,'All Products'!H:H)</f>
        <v>#N/A</v>
      </c>
      <c r="J72" s="128" t="e">
        <f>ROUNDUP(I72*Order_Quote!$L$3,2)</f>
        <v>#N/A</v>
      </c>
      <c r="K72" s="118"/>
      <c r="L72" s="76"/>
      <c r="M72" s="104">
        <f t="shared" ref="M72:M103" si="2">K72/G72</f>
        <v>0</v>
      </c>
      <c r="O72" s="215" t="s">
        <v>76</v>
      </c>
      <c r="P72" s="215" t="s">
        <v>77</v>
      </c>
      <c r="Q72" s="215">
        <v>0</v>
      </c>
      <c r="R72" s="215">
        <v>0</v>
      </c>
      <c r="S72" s="215">
        <v>0</v>
      </c>
      <c r="T72" s="264">
        <v>7.1999999999999995E-2</v>
      </c>
    </row>
    <row r="73" spans="1:20" ht="14.4">
      <c r="A73" s="5" t="str">
        <f>IF(K73&gt;0,COUNT($A$7:A72)+COUNT('DWV PVC'!$A$9:$A$316)+1,"")</f>
        <v/>
      </c>
      <c r="B73" s="643"/>
      <c r="C73" s="643"/>
      <c r="D73" s="103" t="s">
        <v>234</v>
      </c>
      <c r="E73" s="103">
        <v>300005983</v>
      </c>
      <c r="F73" s="102" t="s">
        <v>235</v>
      </c>
      <c r="G73" s="124">
        <v>125</v>
      </c>
      <c r="H73" s="124">
        <v>9000</v>
      </c>
      <c r="I73" s="123">
        <f>_xlfn.XLOOKUP(E73,'All Products'!D:D,'All Products'!H:H)</f>
        <v>30.03</v>
      </c>
      <c r="J73" s="128">
        <f>ROUNDUP(I73*Order_Quote!$L$3,2)</f>
        <v>30.03</v>
      </c>
      <c r="K73" s="118"/>
      <c r="L73" s="76"/>
      <c r="M73" s="104">
        <f t="shared" si="2"/>
        <v>0</v>
      </c>
      <c r="O73" s="215" t="s">
        <v>76</v>
      </c>
      <c r="P73" s="215" t="s">
        <v>77</v>
      </c>
      <c r="Q73" s="215">
        <v>0</v>
      </c>
      <c r="R73" s="215">
        <v>0</v>
      </c>
      <c r="S73" s="215">
        <v>0</v>
      </c>
      <c r="T73" s="264">
        <v>4.9000000000000002E-2</v>
      </c>
    </row>
    <row r="74" spans="1:20" ht="14.4">
      <c r="A74" s="5" t="str">
        <f>IF(K74&gt;0,COUNT($A$7:A73)+COUNT('DWV PVC'!$A$9:$A$316)+1,"")</f>
        <v/>
      </c>
      <c r="B74" s="643"/>
      <c r="C74" s="643"/>
      <c r="D74" s="103" t="s">
        <v>236</v>
      </c>
      <c r="E74" s="103">
        <v>300005985</v>
      </c>
      <c r="F74" s="102" t="s">
        <v>237</v>
      </c>
      <c r="G74" s="124">
        <v>100</v>
      </c>
      <c r="H74" s="124">
        <v>4200</v>
      </c>
      <c r="I74" s="123" t="e">
        <f>_xlfn.XLOOKUP(E74,'All Products'!D:D,'All Products'!H:H)</f>
        <v>#N/A</v>
      </c>
      <c r="J74" s="128" t="e">
        <f>ROUNDUP(I74*Order_Quote!$L$3,2)</f>
        <v>#N/A</v>
      </c>
      <c r="K74" s="118"/>
      <c r="L74" s="76"/>
      <c r="M74" s="104">
        <f t="shared" si="2"/>
        <v>0</v>
      </c>
      <c r="O74" s="215" t="s">
        <v>76</v>
      </c>
      <c r="P74" s="215" t="s">
        <v>77</v>
      </c>
      <c r="Q74" s="215">
        <v>0</v>
      </c>
      <c r="R74" s="215">
        <v>0</v>
      </c>
      <c r="S74" s="215">
        <v>0</v>
      </c>
      <c r="T74" s="264">
        <v>9.5000000000000001E-2</v>
      </c>
    </row>
    <row r="75" spans="1:20" ht="14.4">
      <c r="A75" s="5" t="str">
        <f>IF(K75&gt;0,COUNT($A$7:A74)+COUNT('DWV PVC'!$A$9:$A$316)+1,"")</f>
        <v/>
      </c>
      <c r="B75" s="643"/>
      <c r="C75" s="643"/>
      <c r="D75" s="103" t="s">
        <v>238</v>
      </c>
      <c r="E75" s="103">
        <v>300005986</v>
      </c>
      <c r="F75" s="102" t="s">
        <v>239</v>
      </c>
      <c r="G75" s="124">
        <v>60</v>
      </c>
      <c r="H75" s="124">
        <v>1080</v>
      </c>
      <c r="I75" s="123" t="e">
        <f>_xlfn.XLOOKUP(E75,'All Products'!D:D,'All Products'!H:H)</f>
        <v>#N/A</v>
      </c>
      <c r="J75" s="128" t="e">
        <f>ROUNDUP(I75*Order_Quote!$L$3,2)</f>
        <v>#N/A</v>
      </c>
      <c r="K75" s="118"/>
      <c r="L75" s="76"/>
      <c r="M75" s="104">
        <f t="shared" si="2"/>
        <v>0</v>
      </c>
      <c r="O75" s="215" t="s">
        <v>76</v>
      </c>
      <c r="P75" s="215" t="s">
        <v>77</v>
      </c>
      <c r="Q75" s="215">
        <v>0</v>
      </c>
      <c r="R75" s="215">
        <v>0</v>
      </c>
      <c r="S75" s="215">
        <v>0</v>
      </c>
      <c r="T75" s="264">
        <v>0.35799999999999998</v>
      </c>
    </row>
    <row r="76" spans="1:20" ht="14.4">
      <c r="A76" s="5" t="str">
        <f>IF(K76&gt;0,COUNT($A$7:A75)+COUNT('DWV PVC'!$A$9:$A$316)+1,"")</f>
        <v/>
      </c>
      <c r="B76" s="643"/>
      <c r="C76" s="643"/>
      <c r="D76" s="103" t="s">
        <v>240</v>
      </c>
      <c r="E76" s="103">
        <v>100031289</v>
      </c>
      <c r="F76" s="102" t="s">
        <v>241</v>
      </c>
      <c r="G76" s="124">
        <v>25</v>
      </c>
      <c r="H76" s="124">
        <v>300</v>
      </c>
      <c r="I76" s="123" t="e">
        <f>_xlfn.XLOOKUP(E76,'All Products'!D:D,'All Products'!H:H)</f>
        <v>#N/A</v>
      </c>
      <c r="J76" s="128" t="e">
        <f>ROUNDUP(I76*Order_Quote!$L$3,2)</f>
        <v>#N/A</v>
      </c>
      <c r="K76" s="118"/>
      <c r="L76" s="76"/>
      <c r="M76" s="104">
        <f t="shared" si="2"/>
        <v>0</v>
      </c>
      <c r="O76" s="215" t="s">
        <v>76</v>
      </c>
      <c r="P76" s="215" t="s">
        <v>102</v>
      </c>
      <c r="Q76" s="215" t="s">
        <v>242</v>
      </c>
      <c r="R76" s="215">
        <v>0</v>
      </c>
      <c r="S76" s="215" t="s">
        <v>243</v>
      </c>
      <c r="T76" s="264">
        <v>0.59</v>
      </c>
    </row>
    <row r="77" spans="1:20" ht="14.4">
      <c r="A77" s="5" t="str">
        <f>IF(K77&gt;0,COUNT($A$7:A76)+COUNT('DWV PVC'!$A$9:$A$316)+1,"")</f>
        <v/>
      </c>
      <c r="B77" s="643"/>
      <c r="C77" s="643"/>
      <c r="D77" s="103" t="s">
        <v>244</v>
      </c>
      <c r="E77" s="103">
        <v>300005987</v>
      </c>
      <c r="F77" s="102" t="s">
        <v>245</v>
      </c>
      <c r="G77" s="124">
        <v>25</v>
      </c>
      <c r="H77" s="124">
        <v>4200</v>
      </c>
      <c r="I77" s="123" t="e">
        <f>_xlfn.XLOOKUP(E77,'All Products'!D:D,'All Products'!H:H)</f>
        <v>#N/A</v>
      </c>
      <c r="J77" s="128" t="e">
        <f>ROUNDUP(I77*Order_Quote!$L$3,2)</f>
        <v>#N/A</v>
      </c>
      <c r="K77" s="118"/>
      <c r="L77" s="76"/>
      <c r="M77" s="104">
        <f t="shared" si="2"/>
        <v>0</v>
      </c>
      <c r="O77" s="215" t="s">
        <v>76</v>
      </c>
      <c r="P77" s="215" t="s">
        <v>77</v>
      </c>
      <c r="Q77" s="215">
        <v>0</v>
      </c>
      <c r="R77" s="215">
        <v>0</v>
      </c>
      <c r="S77" s="215">
        <v>0</v>
      </c>
      <c r="T77" s="264">
        <v>0.51500000000000001</v>
      </c>
    </row>
    <row r="78" spans="1:20" ht="14.4">
      <c r="A78" s="5" t="str">
        <f>IF(K78&gt;0,COUNT($A$7:A77)+COUNT('DWV PVC'!$A$9:$A$316)+1,"")</f>
        <v/>
      </c>
      <c r="B78" s="643"/>
      <c r="C78" s="643"/>
      <c r="D78" s="103" t="s">
        <v>246</v>
      </c>
      <c r="E78" s="103">
        <v>300005988</v>
      </c>
      <c r="F78" s="102" t="s">
        <v>247</v>
      </c>
      <c r="G78" s="124">
        <v>30</v>
      </c>
      <c r="H78" s="124">
        <v>1920</v>
      </c>
      <c r="I78" s="123" t="e">
        <f>_xlfn.XLOOKUP(E78,'All Products'!D:D,'All Products'!H:H)</f>
        <v>#N/A</v>
      </c>
      <c r="J78" s="128" t="e">
        <f>ROUNDUP(I78*Order_Quote!$L$3,2)</f>
        <v>#N/A</v>
      </c>
      <c r="K78" s="118"/>
      <c r="L78" s="76"/>
      <c r="M78" s="104">
        <f t="shared" si="2"/>
        <v>0</v>
      </c>
      <c r="O78" s="215" t="s">
        <v>76</v>
      </c>
      <c r="P78" s="215" t="s">
        <v>77</v>
      </c>
      <c r="Q78" s="215">
        <v>0</v>
      </c>
      <c r="R78" s="215">
        <v>0</v>
      </c>
      <c r="S78" s="215">
        <v>0</v>
      </c>
      <c r="T78" s="264">
        <v>0.30399999999999999</v>
      </c>
    </row>
    <row r="79" spans="1:20" s="17" customFormat="1" ht="27.75" customHeight="1">
      <c r="A79" s="5" t="str">
        <f>IF(K79&gt;0,COUNT($A$7:A78)+COUNT('DWV PVC'!$A$9:$A$316)+1,"")</f>
        <v/>
      </c>
      <c r="B79" s="643"/>
      <c r="C79" s="643"/>
      <c r="D79" s="103" t="s">
        <v>248</v>
      </c>
      <c r="E79" s="103">
        <v>300005989</v>
      </c>
      <c r="F79" s="102" t="s">
        <v>249</v>
      </c>
      <c r="G79" s="124">
        <v>20</v>
      </c>
      <c r="H79" s="124">
        <v>960</v>
      </c>
      <c r="I79" s="123" t="e">
        <f>_xlfn.XLOOKUP(E79,'All Products'!D:D,'All Products'!H:H)</f>
        <v>#N/A</v>
      </c>
      <c r="J79" s="128" t="e">
        <f>ROUNDUP(I79*Order_Quote!$L$3,2)</f>
        <v>#N/A</v>
      </c>
      <c r="K79" s="118"/>
      <c r="L79" s="76"/>
      <c r="M79" s="104">
        <f t="shared" si="2"/>
        <v>0</v>
      </c>
      <c r="O79" s="215" t="s">
        <v>76</v>
      </c>
      <c r="P79" s="215" t="s">
        <v>77</v>
      </c>
      <c r="Q79" s="215">
        <v>0</v>
      </c>
      <c r="R79" s="215">
        <v>0</v>
      </c>
      <c r="S79" s="215">
        <v>0</v>
      </c>
      <c r="T79" s="264">
        <v>0.23599999999999999</v>
      </c>
    </row>
    <row r="80" spans="1:20" s="17" customFormat="1" ht="27.75" customHeight="1">
      <c r="A80" s="5" t="str">
        <f>IF(K80&gt;0,COUNT($A$7:A79)+COUNT('DWV PVC'!$A$9:$A$316)+1,"")</f>
        <v/>
      </c>
      <c r="B80" s="608"/>
      <c r="C80" s="609"/>
      <c r="D80" s="103" t="s">
        <v>250</v>
      </c>
      <c r="E80" s="103">
        <v>300005990</v>
      </c>
      <c r="F80" s="102" t="s">
        <v>251</v>
      </c>
      <c r="G80" s="124">
        <v>50</v>
      </c>
      <c r="H80" s="124">
        <v>9600</v>
      </c>
      <c r="I80" s="123" t="e">
        <f>_xlfn.XLOOKUP(E80,'All Products'!D:D,'All Products'!H:H)</f>
        <v>#N/A</v>
      </c>
      <c r="J80" s="128" t="e">
        <f>ROUNDUP(I80*Order_Quote!$L$3,2)</f>
        <v>#N/A</v>
      </c>
      <c r="K80" s="118"/>
      <c r="L80" s="76"/>
      <c r="M80" s="104">
        <f t="shared" si="2"/>
        <v>0</v>
      </c>
      <c r="O80" s="215" t="s">
        <v>76</v>
      </c>
      <c r="P80" s="215" t="s">
        <v>77</v>
      </c>
      <c r="Q80" s="215">
        <v>0</v>
      </c>
      <c r="R80" s="215">
        <v>0</v>
      </c>
      <c r="S80" s="215">
        <v>0</v>
      </c>
      <c r="T80" s="264">
        <v>0.06</v>
      </c>
    </row>
    <row r="81" spans="1:20" ht="14.4">
      <c r="A81" s="5" t="str">
        <f>IF(K81&gt;0,COUNT($A$7:A80)+COUNT('DWV PVC'!$A$9:$A$316)+1,"")</f>
        <v/>
      </c>
      <c r="B81" s="610"/>
      <c r="C81" s="611"/>
      <c r="D81" s="103" t="s">
        <v>252</v>
      </c>
      <c r="E81" s="103">
        <v>300005991</v>
      </c>
      <c r="F81" s="102" t="s">
        <v>253</v>
      </c>
      <c r="G81" s="124">
        <v>50</v>
      </c>
      <c r="H81" s="124">
        <v>6000</v>
      </c>
      <c r="I81" s="123">
        <f>_xlfn.XLOOKUP(E81,'All Products'!D:D,'All Products'!H:H)</f>
        <v>38.96</v>
      </c>
      <c r="J81" s="128">
        <f>ROUNDUP(I81*Order_Quote!$L$3,2)</f>
        <v>38.96</v>
      </c>
      <c r="K81" s="118"/>
      <c r="L81" s="76"/>
      <c r="M81" s="104">
        <f t="shared" si="2"/>
        <v>0</v>
      </c>
      <c r="O81" s="215" t="s">
        <v>76</v>
      </c>
      <c r="P81" s="215" t="s">
        <v>77</v>
      </c>
      <c r="Q81" s="215">
        <v>0</v>
      </c>
      <c r="R81" s="215">
        <v>0</v>
      </c>
      <c r="S81" s="215">
        <v>0</v>
      </c>
      <c r="T81" s="264">
        <v>8.6999999999999994E-2</v>
      </c>
    </row>
    <row r="82" spans="1:20" ht="14.4">
      <c r="A82" s="5" t="str">
        <f>IF(K82&gt;0,COUNT($A$7:A81)+COUNT('DWV PVC'!$A$9:$A$316)+1,"")</f>
        <v/>
      </c>
      <c r="B82" s="612"/>
      <c r="C82" s="613"/>
      <c r="D82" s="103" t="s">
        <v>254</v>
      </c>
      <c r="E82" s="103">
        <v>300005992</v>
      </c>
      <c r="F82" s="102" t="s">
        <v>255</v>
      </c>
      <c r="G82" s="124">
        <v>30</v>
      </c>
      <c r="H82" s="124">
        <v>2160</v>
      </c>
      <c r="I82" s="123" t="e">
        <f>_xlfn.XLOOKUP(E82,'All Products'!D:D,'All Products'!H:H)</f>
        <v>#N/A</v>
      </c>
      <c r="J82" s="128" t="e">
        <f>ROUNDUP(I82*Order_Quote!$L$3,2)</f>
        <v>#N/A</v>
      </c>
      <c r="K82" s="118"/>
      <c r="L82" s="76"/>
      <c r="M82" s="104">
        <f t="shared" si="2"/>
        <v>0</v>
      </c>
      <c r="O82" s="215" t="s">
        <v>76</v>
      </c>
      <c r="P82" s="215" t="s">
        <v>77</v>
      </c>
      <c r="Q82" s="215">
        <v>0</v>
      </c>
      <c r="R82" s="215">
        <v>0</v>
      </c>
      <c r="S82" s="215">
        <v>0</v>
      </c>
      <c r="T82" s="264">
        <v>0.29799999999999999</v>
      </c>
    </row>
    <row r="83" spans="1:20" ht="60.75" customHeight="1">
      <c r="A83" s="5" t="str">
        <f>IF(K83&gt;0,COUNT($A$7:A82)+COUNT('DWV PVC'!$A$9:$A$316)+1,"")</f>
        <v/>
      </c>
      <c r="B83" s="650"/>
      <c r="C83" s="651"/>
      <c r="D83" s="103" t="s">
        <v>256</v>
      </c>
      <c r="E83" s="103">
        <v>300005993</v>
      </c>
      <c r="F83" s="102" t="s">
        <v>257</v>
      </c>
      <c r="G83" s="124">
        <v>100</v>
      </c>
      <c r="H83" s="124">
        <v>9600</v>
      </c>
      <c r="I83" s="123" t="str">
        <f>_xlfn.XLOOKUP(E83,'All Products'!D:D,'All Products'!H:H)</f>
        <v>Quote Required</v>
      </c>
      <c r="J83" s="128" t="e">
        <f>ROUNDUP(I83*Order_Quote!$L$3,2)</f>
        <v>#VALUE!</v>
      </c>
      <c r="K83" s="118"/>
      <c r="L83" s="76"/>
      <c r="M83" s="104">
        <f t="shared" si="2"/>
        <v>0</v>
      </c>
      <c r="O83" s="215" t="s">
        <v>76</v>
      </c>
      <c r="P83" s="215" t="s">
        <v>77</v>
      </c>
      <c r="Q83" s="215">
        <v>0</v>
      </c>
      <c r="R83" s="215">
        <v>0</v>
      </c>
      <c r="S83" s="215">
        <v>0</v>
      </c>
      <c r="T83" s="264">
        <v>8.4000000000000005E-2</v>
      </c>
    </row>
    <row r="84" spans="1:20" ht="14.4">
      <c r="A84" s="5" t="str">
        <f>IF(K84&gt;0,COUNT($A$7:A83)+COUNT('DWV PVC'!$A$9:$A$316)+1,"")</f>
        <v/>
      </c>
      <c r="B84" s="644"/>
      <c r="C84" s="645"/>
      <c r="D84" s="103" t="s">
        <v>258</v>
      </c>
      <c r="E84" s="103">
        <v>300005994</v>
      </c>
      <c r="F84" s="102" t="s">
        <v>259</v>
      </c>
      <c r="G84" s="124">
        <v>100</v>
      </c>
      <c r="H84" s="124">
        <v>6400</v>
      </c>
      <c r="I84" s="123">
        <f>_xlfn.XLOOKUP(E84,'All Products'!D:D,'All Products'!H:H)</f>
        <v>26.25</v>
      </c>
      <c r="J84" s="128">
        <f>ROUNDUP(I84*Order_Quote!$L$3,2)</f>
        <v>26.25</v>
      </c>
      <c r="K84" s="118"/>
      <c r="L84" s="76"/>
      <c r="M84" s="104">
        <f t="shared" si="2"/>
        <v>0</v>
      </c>
      <c r="O84" s="215" t="s">
        <v>76</v>
      </c>
      <c r="P84" s="215" t="s">
        <v>77</v>
      </c>
      <c r="Q84" s="215">
        <v>0</v>
      </c>
      <c r="R84" s="215">
        <v>0</v>
      </c>
      <c r="S84" s="215">
        <v>0</v>
      </c>
      <c r="T84" s="264">
        <v>7.4999999999999997E-2</v>
      </c>
    </row>
    <row r="85" spans="1:20" ht="14.4">
      <c r="A85" s="5" t="str">
        <f>IF(K85&gt;0,COUNT($A$7:A84)+COUNT('DWV PVC'!$A$9:$A$316)+1,"")</f>
        <v/>
      </c>
      <c r="B85" s="646"/>
      <c r="C85" s="647"/>
      <c r="D85" s="103" t="s">
        <v>260</v>
      </c>
      <c r="E85" s="103">
        <v>300005995</v>
      </c>
      <c r="F85" s="102" t="s">
        <v>261</v>
      </c>
      <c r="G85" s="124">
        <v>100</v>
      </c>
      <c r="H85" s="124">
        <v>4400</v>
      </c>
      <c r="I85" s="123">
        <f>_xlfn.XLOOKUP(E85,'All Products'!D:D,'All Products'!H:H)</f>
        <v>41.37</v>
      </c>
      <c r="J85" s="128">
        <f>ROUNDUP(I85*Order_Quote!$L$3,2)</f>
        <v>41.37</v>
      </c>
      <c r="K85" s="118"/>
      <c r="L85" s="76"/>
      <c r="M85" s="104">
        <f t="shared" si="2"/>
        <v>0</v>
      </c>
      <c r="O85" s="215" t="s">
        <v>76</v>
      </c>
      <c r="P85" s="215" t="s">
        <v>77</v>
      </c>
      <c r="Q85" s="215">
        <v>0</v>
      </c>
      <c r="R85" s="215">
        <v>0</v>
      </c>
      <c r="S85" s="215">
        <v>0</v>
      </c>
      <c r="T85" s="264">
        <v>0.10100000000000001</v>
      </c>
    </row>
    <row r="86" spans="1:20" ht="14.4">
      <c r="A86" s="5" t="str">
        <f>IF(K86&gt;0,COUNT($A$7:A85)+COUNT('DWV PVC'!$A$9:$A$316)+1,"")</f>
        <v/>
      </c>
      <c r="B86" s="646"/>
      <c r="C86" s="647"/>
      <c r="D86" s="103" t="s">
        <v>262</v>
      </c>
      <c r="E86" s="103">
        <v>300005996</v>
      </c>
      <c r="F86" s="102" t="s">
        <v>263</v>
      </c>
      <c r="G86" s="124">
        <v>30</v>
      </c>
      <c r="H86" s="124">
        <v>1080</v>
      </c>
      <c r="I86" s="123" t="e">
        <f>_xlfn.XLOOKUP(E86,'All Products'!D:D,'All Products'!H:H)</f>
        <v>#N/A</v>
      </c>
      <c r="J86" s="128" t="e">
        <f>ROUNDUP(I86*Order_Quote!$L$3,2)</f>
        <v>#N/A</v>
      </c>
      <c r="K86" s="118"/>
      <c r="L86" s="76"/>
      <c r="M86" s="104">
        <f t="shared" si="2"/>
        <v>0</v>
      </c>
      <c r="O86" s="215" t="s">
        <v>76</v>
      </c>
      <c r="P86" s="215" t="s">
        <v>77</v>
      </c>
      <c r="Q86" s="215">
        <v>0</v>
      </c>
      <c r="R86" s="215">
        <v>0</v>
      </c>
      <c r="S86" s="215">
        <v>0</v>
      </c>
      <c r="T86" s="264">
        <v>0.35399999999999998</v>
      </c>
    </row>
    <row r="87" spans="1:20" ht="14.4">
      <c r="A87" s="5" t="str">
        <f>IF(K87&gt;0,COUNT($A$7:A86)+COUNT('DWV PVC'!$A$9:$A$316)+1,"")</f>
        <v/>
      </c>
      <c r="B87" s="652"/>
      <c r="C87" s="653"/>
      <c r="D87" s="103" t="s">
        <v>264</v>
      </c>
      <c r="E87" s="103">
        <v>100031274</v>
      </c>
      <c r="F87" s="102" t="s">
        <v>265</v>
      </c>
      <c r="G87" s="124">
        <v>10</v>
      </c>
      <c r="H87" s="124">
        <v>540</v>
      </c>
      <c r="I87" s="123" t="e">
        <f>_xlfn.XLOOKUP(E87,'All Products'!D:D,'All Products'!H:H)</f>
        <v>#N/A</v>
      </c>
      <c r="J87" s="128" t="e">
        <f>ROUNDUP(I87*Order_Quote!$L$3,2)</f>
        <v>#N/A</v>
      </c>
      <c r="K87" s="118"/>
      <c r="L87" s="76"/>
      <c r="M87" s="104">
        <f t="shared" si="2"/>
        <v>0</v>
      </c>
      <c r="O87" s="215" t="s">
        <v>76</v>
      </c>
      <c r="P87" s="215" t="s">
        <v>102</v>
      </c>
      <c r="Q87" s="215" t="s">
        <v>266</v>
      </c>
      <c r="R87" s="215">
        <v>0</v>
      </c>
      <c r="S87" s="215" t="s">
        <v>267</v>
      </c>
      <c r="T87" s="264">
        <v>0.64</v>
      </c>
    </row>
    <row r="88" spans="1:20" ht="14.4">
      <c r="A88" s="5" t="str">
        <f>IF(K88&gt;0,COUNT($A$7:A87)+COUNT('DWV PVC'!$A$9:$A$316)+1,"")</f>
        <v/>
      </c>
      <c r="B88" s="643"/>
      <c r="C88" s="643"/>
      <c r="D88" s="103" t="s">
        <v>268</v>
      </c>
      <c r="E88" s="103">
        <v>300005997</v>
      </c>
      <c r="F88" s="102" t="s">
        <v>269</v>
      </c>
      <c r="G88" s="124">
        <v>50</v>
      </c>
      <c r="H88" s="124">
        <v>5600</v>
      </c>
      <c r="I88" s="123" t="str">
        <f>_xlfn.XLOOKUP(E88,'All Products'!D:D,'All Products'!H:H)</f>
        <v>Quote Required</v>
      </c>
      <c r="J88" s="128" t="e">
        <f>ROUNDUP(I88*Order_Quote!$L$3,2)</f>
        <v>#VALUE!</v>
      </c>
      <c r="K88" s="118"/>
      <c r="L88" s="76"/>
      <c r="M88" s="104">
        <f t="shared" si="2"/>
        <v>0</v>
      </c>
      <c r="O88" s="215" t="s">
        <v>76</v>
      </c>
      <c r="P88" s="215" t="s">
        <v>77</v>
      </c>
      <c r="Q88" s="215">
        <v>0</v>
      </c>
      <c r="R88" s="215">
        <v>0</v>
      </c>
      <c r="S88" s="215">
        <v>0</v>
      </c>
      <c r="T88" s="264">
        <v>0.11899999999999999</v>
      </c>
    </row>
    <row r="89" spans="1:20" ht="14.4">
      <c r="A89" s="5" t="str">
        <f>IF(K89&gt;0,COUNT($A$7:A88)+COUNT('DWV PVC'!$A$9:$A$316)+1,"")</f>
        <v/>
      </c>
      <c r="B89" s="643"/>
      <c r="C89" s="643"/>
      <c r="D89" s="103" t="s">
        <v>270</v>
      </c>
      <c r="E89" s="103">
        <v>300005998</v>
      </c>
      <c r="F89" s="102" t="s">
        <v>271</v>
      </c>
      <c r="G89" s="124">
        <v>50</v>
      </c>
      <c r="H89" s="124">
        <v>4800</v>
      </c>
      <c r="I89" s="123" t="e">
        <f>_xlfn.XLOOKUP(E89,'All Products'!D:D,'All Products'!H:H)</f>
        <v>#N/A</v>
      </c>
      <c r="J89" s="128" t="e">
        <f>ROUNDUP(I89*Order_Quote!$L$3,2)</f>
        <v>#N/A</v>
      </c>
      <c r="K89" s="118"/>
      <c r="L89" s="76"/>
      <c r="M89" s="104">
        <f t="shared" si="2"/>
        <v>0</v>
      </c>
      <c r="O89" s="215" t="s">
        <v>76</v>
      </c>
      <c r="P89" s="215" t="s">
        <v>77</v>
      </c>
      <c r="Q89" s="215">
        <v>0</v>
      </c>
      <c r="R89" s="215">
        <v>0</v>
      </c>
      <c r="S89" s="215">
        <v>0</v>
      </c>
      <c r="T89" s="264">
        <v>0.16</v>
      </c>
    </row>
    <row r="90" spans="1:20" ht="14.4">
      <c r="A90" s="5" t="str">
        <f>IF(K90&gt;0,COUNT($A$7:A89)+COUNT('DWV PVC'!$A$9:$A$316)+1,"")</f>
        <v/>
      </c>
      <c r="B90" s="643"/>
      <c r="C90" s="643"/>
      <c r="D90" s="103" t="s">
        <v>272</v>
      </c>
      <c r="E90" s="103">
        <v>300005999</v>
      </c>
      <c r="F90" s="102" t="s">
        <v>273</v>
      </c>
      <c r="G90" s="124">
        <v>25</v>
      </c>
      <c r="H90" s="124">
        <v>1200</v>
      </c>
      <c r="I90" s="123">
        <f>_xlfn.XLOOKUP(E90,'All Products'!D:D,'All Products'!H:H)</f>
        <v>112.56</v>
      </c>
      <c r="J90" s="128">
        <f>ROUNDUP(I90*Order_Quote!$L$3,2)</f>
        <v>112.56</v>
      </c>
      <c r="K90" s="118"/>
      <c r="L90" s="76"/>
      <c r="M90" s="104">
        <f t="shared" si="2"/>
        <v>0</v>
      </c>
      <c r="O90" s="215" t="s">
        <v>76</v>
      </c>
      <c r="P90" s="215" t="s">
        <v>77</v>
      </c>
      <c r="Q90" s="215">
        <v>0</v>
      </c>
      <c r="R90" s="215">
        <v>0</v>
      </c>
      <c r="S90" s="215">
        <v>0</v>
      </c>
      <c r="T90" s="264">
        <v>0.50600000000000001</v>
      </c>
    </row>
    <row r="91" spans="1:20" ht="14.4">
      <c r="A91" s="5" t="str">
        <f>IF(K91&gt;0,COUNT($A$7:A90)+COUNT('DWV PVC'!$A$9:$A$316)+1,"")</f>
        <v/>
      </c>
      <c r="B91" s="643"/>
      <c r="C91" s="643"/>
      <c r="D91" s="103" t="s">
        <v>274</v>
      </c>
      <c r="E91" s="103">
        <v>300006000</v>
      </c>
      <c r="F91" s="102" t="s">
        <v>275</v>
      </c>
      <c r="G91" s="124">
        <v>25</v>
      </c>
      <c r="H91" s="124">
        <v>800</v>
      </c>
      <c r="I91" s="123" t="e">
        <f>_xlfn.XLOOKUP(E91,'All Products'!D:D,'All Products'!H:H)</f>
        <v>#N/A</v>
      </c>
      <c r="J91" s="128" t="e">
        <f>ROUNDUP(I91*Order_Quote!$L$3,2)</f>
        <v>#N/A</v>
      </c>
      <c r="K91" s="118"/>
      <c r="L91" s="76"/>
      <c r="M91" s="104">
        <f t="shared" si="2"/>
        <v>0</v>
      </c>
      <c r="O91" s="215" t="s">
        <v>76</v>
      </c>
      <c r="P91" s="215" t="s">
        <v>77</v>
      </c>
      <c r="Q91" s="215">
        <v>0</v>
      </c>
      <c r="R91" s="215">
        <v>0</v>
      </c>
      <c r="S91" s="215">
        <v>0</v>
      </c>
      <c r="T91" s="264">
        <v>0.81499999999999995</v>
      </c>
    </row>
    <row r="92" spans="1:20" ht="24.75" customHeight="1">
      <c r="A92" s="5" t="str">
        <f>IF(K92&gt;0,COUNT($A$7:A91)+COUNT('DWV PVC'!$A$9:$A$316)+1,"")</f>
        <v/>
      </c>
      <c r="B92" s="643"/>
      <c r="C92" s="643"/>
      <c r="D92" s="103" t="s">
        <v>276</v>
      </c>
      <c r="E92" s="103">
        <v>300006001</v>
      </c>
      <c r="F92" s="102" t="s">
        <v>277</v>
      </c>
      <c r="G92" s="124">
        <v>50</v>
      </c>
      <c r="H92" s="124">
        <v>7200</v>
      </c>
      <c r="I92" s="123" t="e">
        <f>_xlfn.XLOOKUP(E92,'All Products'!D:D,'All Products'!H:H)</f>
        <v>#N/A</v>
      </c>
      <c r="J92" s="128" t="e">
        <f>ROUNDUP(I92*Order_Quote!$L$3,2)</f>
        <v>#N/A</v>
      </c>
      <c r="K92" s="118"/>
      <c r="L92" s="76"/>
      <c r="M92" s="104">
        <f t="shared" si="2"/>
        <v>0</v>
      </c>
      <c r="O92" s="215" t="s">
        <v>76</v>
      </c>
      <c r="P92" s="215" t="s">
        <v>77</v>
      </c>
      <c r="Q92" s="215">
        <v>0</v>
      </c>
      <c r="R92" s="215">
        <v>0</v>
      </c>
      <c r="S92" s="215">
        <v>0</v>
      </c>
      <c r="T92" s="264">
        <v>0.222</v>
      </c>
    </row>
    <row r="93" spans="1:20" ht="14.4">
      <c r="A93" s="5" t="str">
        <f>IF(K93&gt;0,COUNT($A$7:A92)+COUNT('DWV PVC'!$A$9:$A$316)+1,"")</f>
        <v/>
      </c>
      <c r="B93" s="643"/>
      <c r="C93" s="643"/>
      <c r="D93" s="103" t="s">
        <v>278</v>
      </c>
      <c r="E93" s="103">
        <v>300006002</v>
      </c>
      <c r="F93" s="102" t="s">
        <v>279</v>
      </c>
      <c r="G93" s="124">
        <v>50</v>
      </c>
      <c r="H93" s="124">
        <v>2700</v>
      </c>
      <c r="I93" s="123" t="e">
        <f>_xlfn.XLOOKUP(E93,'All Products'!D:D,'All Products'!H:H)</f>
        <v>#N/A</v>
      </c>
      <c r="J93" s="128" t="e">
        <f>ROUNDUP(I93*Order_Quote!$L$3,2)</f>
        <v>#N/A</v>
      </c>
      <c r="K93" s="118"/>
      <c r="L93" s="76"/>
      <c r="M93" s="104">
        <f t="shared" si="2"/>
        <v>0</v>
      </c>
      <c r="O93" s="215" t="s">
        <v>76</v>
      </c>
      <c r="P93" s="215" t="s">
        <v>77</v>
      </c>
      <c r="Q93" s="215">
        <v>0</v>
      </c>
      <c r="R93" s="215">
        <v>0</v>
      </c>
      <c r="S93" s="215">
        <v>0</v>
      </c>
      <c r="T93" s="264">
        <v>0.27200000000000002</v>
      </c>
    </row>
    <row r="94" spans="1:20" ht="28.5" customHeight="1">
      <c r="A94" s="5" t="str">
        <f>IF(K94&gt;0,COUNT($A$7:A93)+COUNT('DWV PVC'!$A$9:$A$316)+1,"")</f>
        <v/>
      </c>
      <c r="B94" s="643"/>
      <c r="C94" s="643"/>
      <c r="D94" s="103" t="s">
        <v>280</v>
      </c>
      <c r="E94" s="103">
        <v>300006003</v>
      </c>
      <c r="F94" s="102" t="s">
        <v>281</v>
      </c>
      <c r="G94" s="124">
        <v>30</v>
      </c>
      <c r="H94" s="124">
        <v>1800</v>
      </c>
      <c r="I94" s="123" t="e">
        <f>_xlfn.XLOOKUP(E94,'All Products'!D:D,'All Products'!H:H)</f>
        <v>#N/A</v>
      </c>
      <c r="J94" s="128" t="e">
        <f>ROUNDUP(I94*Order_Quote!$L$3,2)</f>
        <v>#N/A</v>
      </c>
      <c r="K94" s="118"/>
      <c r="L94" s="76"/>
      <c r="M94" s="104">
        <f t="shared" si="2"/>
        <v>0</v>
      </c>
      <c r="O94" s="215" t="s">
        <v>76</v>
      </c>
      <c r="P94" s="215" t="s">
        <v>77</v>
      </c>
      <c r="Q94" s="215">
        <v>0</v>
      </c>
      <c r="R94" s="215">
        <v>0</v>
      </c>
      <c r="S94" s="215">
        <v>0</v>
      </c>
      <c r="T94" s="264">
        <v>1.03</v>
      </c>
    </row>
    <row r="95" spans="1:20" ht="14.4">
      <c r="A95" s="5" t="str">
        <f>IF(K95&gt;0,COUNT($A$7:A94)+COUNT('DWV PVC'!$A$9:$A$316)+1,"")</f>
        <v/>
      </c>
      <c r="B95" s="643"/>
      <c r="C95" s="643"/>
      <c r="D95" s="103" t="s">
        <v>282</v>
      </c>
      <c r="E95" s="103">
        <v>300006005</v>
      </c>
      <c r="F95" s="102" t="s">
        <v>283</v>
      </c>
      <c r="G95" s="124">
        <v>50</v>
      </c>
      <c r="H95" s="124">
        <v>5600</v>
      </c>
      <c r="I95" s="123">
        <f>_xlfn.XLOOKUP(E95,'All Products'!D:D,'All Products'!H:H)</f>
        <v>39.590000000000003</v>
      </c>
      <c r="J95" s="128">
        <f>ROUNDUP(I95*Order_Quote!$L$3,2)</f>
        <v>39.590000000000003</v>
      </c>
      <c r="K95" s="118"/>
      <c r="L95" s="76"/>
      <c r="M95" s="104">
        <f t="shared" si="2"/>
        <v>0</v>
      </c>
      <c r="O95" s="215" t="s">
        <v>76</v>
      </c>
      <c r="P95" s="215" t="s">
        <v>77</v>
      </c>
      <c r="Q95" s="215">
        <v>0</v>
      </c>
      <c r="R95" s="215">
        <v>0</v>
      </c>
      <c r="S95" s="215">
        <v>0</v>
      </c>
      <c r="T95" s="264">
        <v>0.45600000000000002</v>
      </c>
    </row>
    <row r="96" spans="1:20" s="17" customFormat="1" ht="45.75" customHeight="1">
      <c r="A96" s="5" t="str">
        <f>IF(K96&gt;0,COUNT($A$7:A95)+COUNT('DWV PVC'!$A$9:$A$316)+1,"")</f>
        <v/>
      </c>
      <c r="B96" s="643"/>
      <c r="C96" s="643"/>
      <c r="D96" s="103" t="s">
        <v>284</v>
      </c>
      <c r="E96" s="103">
        <v>300006004</v>
      </c>
      <c r="F96" s="102" t="s">
        <v>285</v>
      </c>
      <c r="G96" s="124">
        <v>100</v>
      </c>
      <c r="H96" s="124">
        <v>11200</v>
      </c>
      <c r="I96" s="123" t="str">
        <f>_xlfn.XLOOKUP(E96,'All Products'!D:D,'All Products'!H:H)</f>
        <v>Quote Required</v>
      </c>
      <c r="J96" s="128" t="e">
        <f>ROUNDUP(I96*Order_Quote!$L$3,2)</f>
        <v>#VALUE!</v>
      </c>
      <c r="K96" s="118"/>
      <c r="L96" s="76"/>
      <c r="M96" s="104">
        <f t="shared" si="2"/>
        <v>0</v>
      </c>
      <c r="O96" s="215" t="s">
        <v>76</v>
      </c>
      <c r="P96" s="215" t="s">
        <v>77</v>
      </c>
      <c r="Q96" s="215">
        <v>0</v>
      </c>
      <c r="R96" s="215">
        <v>0</v>
      </c>
      <c r="S96" s="215">
        <v>0</v>
      </c>
      <c r="T96" s="264">
        <v>0.40799999999999997</v>
      </c>
    </row>
    <row r="97" spans="1:20" ht="14.4">
      <c r="A97" s="5" t="str">
        <f>IF(K97&gt;0,COUNT($A$7:A96)+COUNT('DWV PVC'!$A$9:$A$316)+1,"")</f>
        <v/>
      </c>
      <c r="B97" s="643"/>
      <c r="C97" s="643"/>
      <c r="D97" s="103" t="s">
        <v>286</v>
      </c>
      <c r="E97" s="103">
        <v>300005892</v>
      </c>
      <c r="F97" s="102" t="s">
        <v>287</v>
      </c>
      <c r="G97" s="124">
        <v>60</v>
      </c>
      <c r="H97" s="124">
        <v>4320</v>
      </c>
      <c r="I97" s="123" t="str">
        <f>_xlfn.XLOOKUP(E97,'All Products'!D:D,'All Products'!H:H)</f>
        <v>Quote Required</v>
      </c>
      <c r="J97" s="128" t="e">
        <f>ROUNDUP(I97*Order_Quote!$L$3,2)</f>
        <v>#VALUE!</v>
      </c>
      <c r="K97" s="118"/>
      <c r="L97" s="76"/>
      <c r="M97" s="104">
        <f t="shared" si="2"/>
        <v>0</v>
      </c>
      <c r="O97" s="215" t="s">
        <v>76</v>
      </c>
      <c r="P97" s="215" t="s">
        <v>77</v>
      </c>
      <c r="Q97" s="215">
        <v>0</v>
      </c>
      <c r="R97" s="215">
        <v>0</v>
      </c>
      <c r="S97" s="215">
        <v>0</v>
      </c>
      <c r="T97" s="264">
        <v>0.13200000000000001</v>
      </c>
    </row>
    <row r="98" spans="1:20" ht="22.5" customHeight="1">
      <c r="A98" s="5" t="str">
        <f>IF(K98&gt;0,COUNT($A$7:A97)+COUNT('DWV PVC'!$A$9:$A$316)+1,"")</f>
        <v/>
      </c>
      <c r="B98" s="643"/>
      <c r="C98" s="643"/>
      <c r="D98" s="103" t="s">
        <v>288</v>
      </c>
      <c r="E98" s="103">
        <v>300006007</v>
      </c>
      <c r="F98" s="102" t="s">
        <v>289</v>
      </c>
      <c r="G98" s="124">
        <v>100</v>
      </c>
      <c r="H98" s="124">
        <v>5600</v>
      </c>
      <c r="I98" s="123" t="str">
        <f>_xlfn.XLOOKUP(E98,'All Products'!D:D,'All Products'!H:H)</f>
        <v>Quote Required</v>
      </c>
      <c r="J98" s="128" t="e">
        <f>ROUNDUP(I98*Order_Quote!$L$3,2)</f>
        <v>#VALUE!</v>
      </c>
      <c r="K98" s="118"/>
      <c r="L98" s="76"/>
      <c r="M98" s="104">
        <f t="shared" si="2"/>
        <v>0</v>
      </c>
      <c r="O98" s="215" t="s">
        <v>76</v>
      </c>
      <c r="P98" s="215" t="s">
        <v>77</v>
      </c>
      <c r="Q98" s="215">
        <v>0</v>
      </c>
      <c r="R98" s="215">
        <v>0</v>
      </c>
      <c r="S98" s="215">
        <v>0</v>
      </c>
      <c r="T98" s="264">
        <v>8.8999999999999996E-2</v>
      </c>
    </row>
    <row r="99" spans="1:20" ht="41.25" customHeight="1">
      <c r="A99" s="5" t="str">
        <f>IF(K99&gt;0,COUNT($A$7:A98)+COUNT('DWV PVC'!$A$9:$A$316)+1,"")</f>
        <v/>
      </c>
      <c r="B99" s="643"/>
      <c r="C99" s="643"/>
      <c r="D99" s="103" t="s">
        <v>290</v>
      </c>
      <c r="E99" s="103">
        <v>300006006</v>
      </c>
      <c r="F99" s="102" t="s">
        <v>291</v>
      </c>
      <c r="G99" s="124">
        <v>100</v>
      </c>
      <c r="H99" s="124">
        <v>11200</v>
      </c>
      <c r="I99" s="123" t="str">
        <f>_xlfn.XLOOKUP(E99,'All Products'!D:D,'All Products'!H:H)</f>
        <v>Quote Required</v>
      </c>
      <c r="J99" s="128" t="e">
        <f>ROUNDUP(I99*Order_Quote!$L$3,2)</f>
        <v>#VALUE!</v>
      </c>
      <c r="K99" s="118"/>
      <c r="L99" s="76"/>
      <c r="M99" s="104">
        <f t="shared" si="2"/>
        <v>0</v>
      </c>
      <c r="O99" s="215" t="s">
        <v>76</v>
      </c>
      <c r="P99" s="215" t="s">
        <v>77</v>
      </c>
      <c r="Q99" s="215">
        <v>0</v>
      </c>
      <c r="R99" s="215">
        <v>0</v>
      </c>
      <c r="S99" s="215">
        <v>0</v>
      </c>
      <c r="T99" s="264">
        <v>0.40799999999999997</v>
      </c>
    </row>
    <row r="100" spans="1:20" ht="48.75" customHeight="1">
      <c r="A100" s="5" t="str">
        <f>IF(K100&gt;0,COUNT($A$7:A99)+COUNT('DWV PVC'!$A$9:$A$316)+1,"")</f>
        <v/>
      </c>
      <c r="B100" s="643"/>
      <c r="C100" s="643"/>
      <c r="D100" s="103" t="s">
        <v>292</v>
      </c>
      <c r="E100" s="103">
        <v>300006008</v>
      </c>
      <c r="F100" s="102" t="s">
        <v>293</v>
      </c>
      <c r="G100" s="124">
        <v>25</v>
      </c>
      <c r="H100" s="124">
        <v>800</v>
      </c>
      <c r="I100" s="123" t="str">
        <f>_xlfn.XLOOKUP(E100,'All Products'!D:D,'All Products'!H:H)</f>
        <v>Quote Required</v>
      </c>
      <c r="J100" s="128" t="e">
        <f>ROUNDUP(I100*Order_Quote!$L$3,2)</f>
        <v>#VALUE!</v>
      </c>
      <c r="K100" s="118"/>
      <c r="L100" s="76"/>
      <c r="M100" s="104">
        <f t="shared" si="2"/>
        <v>0</v>
      </c>
      <c r="O100" s="215" t="s">
        <v>76</v>
      </c>
      <c r="P100" s="215" t="s">
        <v>77</v>
      </c>
      <c r="Q100" s="215">
        <v>0</v>
      </c>
      <c r="R100" s="215">
        <v>0</v>
      </c>
      <c r="S100" s="215">
        <v>0</v>
      </c>
      <c r="T100" s="264">
        <v>0.57299999999999995</v>
      </c>
    </row>
    <row r="101" spans="1:20" ht="56.25" customHeight="1">
      <c r="A101" s="5" t="str">
        <f>IF(K101&gt;0,COUNT($A$7:A100)+COUNT('DWV PVC'!$A$9:$A$316)+1,"")</f>
        <v/>
      </c>
      <c r="B101" s="23"/>
      <c r="C101" s="49"/>
      <c r="D101" s="103" t="s">
        <v>294</v>
      </c>
      <c r="E101" s="103">
        <v>300006040</v>
      </c>
      <c r="F101" s="102" t="s">
        <v>295</v>
      </c>
      <c r="G101" s="124">
        <v>20</v>
      </c>
      <c r="H101" s="124">
        <v>2700</v>
      </c>
      <c r="I101" s="123" t="str">
        <f>_xlfn.XLOOKUP(E101,'All Products'!D:D,'All Products'!H:H)</f>
        <v>Quote Required</v>
      </c>
      <c r="J101" s="128" t="e">
        <f>ROUNDUP(I101*Order_Quote!$L$3,2)</f>
        <v>#VALUE!</v>
      </c>
      <c r="K101" s="118"/>
      <c r="L101" s="76"/>
      <c r="M101" s="104">
        <f t="shared" si="2"/>
        <v>0</v>
      </c>
      <c r="O101" s="215" t="s">
        <v>76</v>
      </c>
      <c r="P101" s="215" t="s">
        <v>77</v>
      </c>
      <c r="Q101" s="215">
        <v>0</v>
      </c>
      <c r="R101" s="215">
        <v>0</v>
      </c>
      <c r="S101" s="215">
        <v>0</v>
      </c>
      <c r="T101" s="264">
        <v>0.441</v>
      </c>
    </row>
    <row r="102" spans="1:20" ht="60" customHeight="1">
      <c r="A102" s="5" t="str">
        <f>IF(K102&gt;0,COUNT($A$7:A101)+COUNT('DWV PVC'!$A$9:$A$316)+1,"")</f>
        <v/>
      </c>
      <c r="B102" s="643"/>
      <c r="C102" s="643"/>
      <c r="D102" s="103" t="s">
        <v>296</v>
      </c>
      <c r="E102" s="103">
        <v>300006009</v>
      </c>
      <c r="F102" s="102" t="s">
        <v>297</v>
      </c>
      <c r="G102" s="124">
        <v>25</v>
      </c>
      <c r="H102" s="124">
        <v>800</v>
      </c>
      <c r="I102" s="123" t="str">
        <f>_xlfn.XLOOKUP(E102,'All Products'!D:D,'All Products'!H:H)</f>
        <v>Quote Required</v>
      </c>
      <c r="J102" s="128" t="e">
        <f>ROUNDUP(I102*Order_Quote!$L$3,2)</f>
        <v>#VALUE!</v>
      </c>
      <c r="K102" s="118"/>
      <c r="L102" s="76"/>
      <c r="M102" s="104">
        <f t="shared" si="2"/>
        <v>0</v>
      </c>
      <c r="O102" s="215" t="s">
        <v>76</v>
      </c>
      <c r="P102" s="215" t="s">
        <v>77</v>
      </c>
      <c r="Q102" s="215">
        <v>0</v>
      </c>
      <c r="R102" s="215">
        <v>0</v>
      </c>
      <c r="S102" s="215">
        <v>0</v>
      </c>
      <c r="T102" s="264">
        <v>0.54</v>
      </c>
    </row>
    <row r="103" spans="1:20" ht="36" customHeight="1">
      <c r="A103" s="5" t="str">
        <f>IF(K103&gt;0,COUNT($A$7:A102)+COUNT('DWV PVC'!$A$9:$A$316)+1,"")</f>
        <v/>
      </c>
      <c r="B103" s="643"/>
      <c r="C103" s="643"/>
      <c r="D103" s="103" t="s">
        <v>298</v>
      </c>
      <c r="E103" s="103">
        <v>300006010</v>
      </c>
      <c r="F103" s="102" t="s">
        <v>299</v>
      </c>
      <c r="G103" s="124">
        <v>25</v>
      </c>
      <c r="H103" s="124">
        <v>1200</v>
      </c>
      <c r="I103" s="123" t="e">
        <f>_xlfn.XLOOKUP(E103,'All Products'!D:D,'All Products'!H:H)</f>
        <v>#N/A</v>
      </c>
      <c r="J103" s="128" t="e">
        <f>ROUNDUP(I103*Order_Quote!$L$3,2)</f>
        <v>#N/A</v>
      </c>
      <c r="K103" s="118"/>
      <c r="L103" s="76"/>
      <c r="M103" s="104">
        <f t="shared" si="2"/>
        <v>0</v>
      </c>
      <c r="O103" s="215" t="s">
        <v>76</v>
      </c>
      <c r="P103" s="215" t="s">
        <v>77</v>
      </c>
      <c r="Q103" s="215">
        <v>0</v>
      </c>
      <c r="R103" s="215">
        <v>0</v>
      </c>
      <c r="S103" s="215">
        <v>0</v>
      </c>
      <c r="T103" s="264">
        <v>0.377</v>
      </c>
    </row>
    <row r="104" spans="1:20" ht="30" customHeight="1">
      <c r="A104" s="5" t="str">
        <f>IF(K104&gt;0,COUNT($A$7:A103)+COUNT('DWV PVC'!$A$9:$A$316)+1,"")</f>
        <v/>
      </c>
      <c r="B104" s="643"/>
      <c r="C104" s="643"/>
      <c r="D104" s="103" t="s">
        <v>300</v>
      </c>
      <c r="E104" s="103">
        <v>300006011</v>
      </c>
      <c r="F104" s="102" t="s">
        <v>301</v>
      </c>
      <c r="G104" s="124">
        <v>20</v>
      </c>
      <c r="H104" s="124">
        <v>540</v>
      </c>
      <c r="I104" s="123" t="e">
        <f>_xlfn.XLOOKUP(E104,'All Products'!D:D,'All Products'!H:H)</f>
        <v>#N/A</v>
      </c>
      <c r="J104" s="128" t="e">
        <f>ROUNDUP(I104*Order_Quote!$L$3,2)</f>
        <v>#N/A</v>
      </c>
      <c r="K104" s="118"/>
      <c r="L104" s="76"/>
      <c r="M104" s="104">
        <f t="shared" ref="M104:M116" si="3">K104/G104</f>
        <v>0</v>
      </c>
      <c r="O104" s="215" t="s">
        <v>76</v>
      </c>
      <c r="P104" s="215" t="s">
        <v>77</v>
      </c>
      <c r="Q104" s="215">
        <v>0</v>
      </c>
      <c r="R104" s="215">
        <v>0</v>
      </c>
      <c r="S104" s="215">
        <v>0</v>
      </c>
      <c r="T104" s="264">
        <v>0.57299999999999995</v>
      </c>
    </row>
    <row r="105" spans="1:20" ht="26.25" customHeight="1">
      <c r="A105" s="5" t="str">
        <f>IF(K105&gt;0,COUNT($A$7:A104)+COUNT('DWV PVC'!$A$9:$A$316)+1,"")</f>
        <v/>
      </c>
      <c r="B105" s="643"/>
      <c r="C105" s="643"/>
      <c r="D105" s="103" t="s">
        <v>302</v>
      </c>
      <c r="E105" s="103">
        <v>300006012</v>
      </c>
      <c r="F105" s="102" t="s">
        <v>303</v>
      </c>
      <c r="G105" s="124">
        <v>40</v>
      </c>
      <c r="H105" s="124">
        <v>1280</v>
      </c>
      <c r="I105" s="123" t="str">
        <f>_xlfn.XLOOKUP(E105,'All Products'!D:D,'All Products'!H:H)</f>
        <v>Quote Required</v>
      </c>
      <c r="J105" s="128" t="e">
        <f>ROUNDUP(I105*Order_Quote!$L$3,2)</f>
        <v>#VALUE!</v>
      </c>
      <c r="K105" s="118"/>
      <c r="L105" s="76"/>
      <c r="M105" s="104">
        <f t="shared" si="3"/>
        <v>0</v>
      </c>
      <c r="O105" s="215" t="s">
        <v>76</v>
      </c>
      <c r="P105" s="215" t="s">
        <v>77</v>
      </c>
      <c r="Q105" s="215">
        <v>0</v>
      </c>
      <c r="R105" s="215">
        <v>0</v>
      </c>
      <c r="S105" s="215">
        <v>0</v>
      </c>
      <c r="T105" s="264">
        <v>0.42099999999999999</v>
      </c>
    </row>
    <row r="106" spans="1:20" ht="39.75" customHeight="1">
      <c r="A106" s="5" t="str">
        <f>IF(K106&gt;0,COUNT($A$7:A105)+COUNT('DWV PVC'!$A$9:$A$316)+1,"")</f>
        <v/>
      </c>
      <c r="B106" s="643"/>
      <c r="C106" s="643"/>
      <c r="D106" s="103" t="s">
        <v>304</v>
      </c>
      <c r="E106" s="103">
        <v>300006013</v>
      </c>
      <c r="F106" s="102" t="s">
        <v>305</v>
      </c>
      <c r="G106" s="124">
        <v>20</v>
      </c>
      <c r="H106" s="124">
        <v>640</v>
      </c>
      <c r="I106" s="123" t="str">
        <f>_xlfn.XLOOKUP(E106,'All Products'!D:D,'All Products'!H:H)</f>
        <v>Quote Required</v>
      </c>
      <c r="J106" s="128" t="e">
        <f>ROUNDUP(I106*Order_Quote!$L$3,2)</f>
        <v>#VALUE!</v>
      </c>
      <c r="K106" s="118"/>
      <c r="L106" s="76"/>
      <c r="M106" s="104">
        <f t="shared" si="3"/>
        <v>0</v>
      </c>
      <c r="O106" s="215" t="s">
        <v>76</v>
      </c>
      <c r="P106" s="215" t="s">
        <v>77</v>
      </c>
      <c r="Q106" s="215">
        <v>0</v>
      </c>
      <c r="R106" s="215">
        <v>0</v>
      </c>
      <c r="S106" s="215">
        <v>0</v>
      </c>
      <c r="T106" s="264">
        <v>0.61699999999999999</v>
      </c>
    </row>
    <row r="107" spans="1:20" ht="14.4">
      <c r="A107" s="5" t="str">
        <f>IF(K107&gt;0,COUNT($A$7:A106)+COUNT('DWV PVC'!$A$9:$A$316)+1,"")</f>
        <v/>
      </c>
      <c r="B107" s="644"/>
      <c r="C107" s="645"/>
      <c r="D107" s="103" t="s">
        <v>306</v>
      </c>
      <c r="E107" s="103">
        <v>300006014</v>
      </c>
      <c r="F107" s="102" t="s">
        <v>307</v>
      </c>
      <c r="G107" s="124">
        <v>25</v>
      </c>
      <c r="H107" s="124">
        <v>1100</v>
      </c>
      <c r="I107" s="123" t="e">
        <f>_xlfn.XLOOKUP(E107,'All Products'!D:D,'All Products'!H:H)</f>
        <v>#N/A</v>
      </c>
      <c r="J107" s="128" t="e">
        <f>ROUNDUP(I107*Order_Quote!$L$3,2)</f>
        <v>#N/A</v>
      </c>
      <c r="K107" s="118"/>
      <c r="L107" s="76"/>
      <c r="M107" s="104">
        <f t="shared" si="3"/>
        <v>0</v>
      </c>
      <c r="O107" s="215" t="s">
        <v>76</v>
      </c>
      <c r="P107" s="215" t="s">
        <v>77</v>
      </c>
      <c r="Q107" s="215">
        <v>0</v>
      </c>
      <c r="R107" s="215">
        <v>0</v>
      </c>
      <c r="S107" s="215">
        <v>0</v>
      </c>
      <c r="T107" s="264">
        <v>0.55300000000000005</v>
      </c>
    </row>
    <row r="108" spans="1:20" ht="42" customHeight="1">
      <c r="A108" s="5" t="str">
        <f>IF(K108&gt;0,COUNT($A$7:A107)+COUNT('DWV PVC'!$A$9:$A$316)+1,"")</f>
        <v/>
      </c>
      <c r="B108" s="652"/>
      <c r="C108" s="653"/>
      <c r="D108" s="103" t="s">
        <v>308</v>
      </c>
      <c r="E108" s="103">
        <v>300006015</v>
      </c>
      <c r="F108" s="102" t="s">
        <v>309</v>
      </c>
      <c r="G108" s="124">
        <v>20</v>
      </c>
      <c r="H108" s="124">
        <v>640</v>
      </c>
      <c r="I108" s="123" t="str">
        <f>_xlfn.XLOOKUP(E108,'All Products'!D:D,'All Products'!H:H)</f>
        <v>Quote Required</v>
      </c>
      <c r="J108" s="128" t="e">
        <f>ROUNDUP(I108*Order_Quote!$L$3,2)</f>
        <v>#VALUE!</v>
      </c>
      <c r="K108" s="118"/>
      <c r="L108" s="76"/>
      <c r="M108" s="104">
        <f t="shared" si="3"/>
        <v>0</v>
      </c>
      <c r="O108" s="215" t="s">
        <v>76</v>
      </c>
      <c r="P108" s="215" t="s">
        <v>77</v>
      </c>
      <c r="Q108" s="215">
        <v>0</v>
      </c>
      <c r="R108" s="215">
        <v>0</v>
      </c>
      <c r="S108" s="215">
        <v>0</v>
      </c>
      <c r="T108" s="264">
        <v>0.76100000000000001</v>
      </c>
    </row>
    <row r="109" spans="1:20" ht="14.4">
      <c r="A109" s="5" t="str">
        <f>IF(K109&gt;0,COUNT($A$7:A108)+COUNT('DWV PVC'!$A$9:$A$316)+1,"")</f>
        <v/>
      </c>
      <c r="B109" s="644"/>
      <c r="C109" s="645"/>
      <c r="D109" s="103" t="s">
        <v>310</v>
      </c>
      <c r="E109" s="103">
        <v>300006016</v>
      </c>
      <c r="F109" s="102" t="s">
        <v>311</v>
      </c>
      <c r="G109" s="124">
        <v>10</v>
      </c>
      <c r="H109" s="124">
        <v>5390</v>
      </c>
      <c r="I109" s="123" t="e">
        <f>_xlfn.XLOOKUP(E109,'All Products'!D:D,'All Products'!H:H)</f>
        <v>#N/A</v>
      </c>
      <c r="J109" s="128" t="e">
        <f>ROUNDUP(I109*Order_Quote!$L$3,2)</f>
        <v>#N/A</v>
      </c>
      <c r="K109" s="118"/>
      <c r="L109" s="76"/>
      <c r="M109" s="104">
        <f t="shared" si="3"/>
        <v>0</v>
      </c>
      <c r="O109" s="215" t="s">
        <v>76</v>
      </c>
      <c r="P109" s="215" t="s">
        <v>77</v>
      </c>
      <c r="Q109" s="215">
        <v>0</v>
      </c>
      <c r="R109" s="215">
        <v>0</v>
      </c>
      <c r="S109" s="215">
        <v>0</v>
      </c>
      <c r="T109" s="264">
        <v>5.8999999999999997E-2</v>
      </c>
    </row>
    <row r="110" spans="1:20" ht="14.4">
      <c r="A110" s="5" t="str">
        <f>IF(K110&gt;0,COUNT($A$7:A109)+COUNT('DWV PVC'!$A$9:$A$316)+1,"")</f>
        <v/>
      </c>
      <c r="B110" s="646"/>
      <c r="C110" s="647"/>
      <c r="D110" s="103" t="s">
        <v>312</v>
      </c>
      <c r="E110" s="103">
        <v>300006017</v>
      </c>
      <c r="F110" s="102" t="s">
        <v>313</v>
      </c>
      <c r="G110" s="124">
        <v>5</v>
      </c>
      <c r="H110" s="124">
        <v>4200</v>
      </c>
      <c r="I110" s="123" t="e">
        <f>_xlfn.XLOOKUP(E110,'All Products'!D:D,'All Products'!H:H)</f>
        <v>#N/A</v>
      </c>
      <c r="J110" s="128" t="e">
        <f>ROUNDUP(I110*Order_Quote!$L$3,2)</f>
        <v>#N/A</v>
      </c>
      <c r="K110" s="118"/>
      <c r="L110" s="76"/>
      <c r="M110" s="104">
        <f t="shared" si="3"/>
        <v>0</v>
      </c>
      <c r="O110" s="215" t="s">
        <v>76</v>
      </c>
      <c r="P110" s="215" t="s">
        <v>77</v>
      </c>
      <c r="Q110" s="215">
        <v>0</v>
      </c>
      <c r="R110" s="215">
        <v>0</v>
      </c>
      <c r="S110" s="215">
        <v>0</v>
      </c>
      <c r="T110" s="264">
        <v>8.8999999999999996E-2</v>
      </c>
    </row>
    <row r="111" spans="1:20" ht="14.4">
      <c r="A111" s="5" t="str">
        <f>IF(K111&gt;0,COUNT($A$7:A110)+COUNT('DWV PVC'!$A$9:$A$316)+1,"")</f>
        <v/>
      </c>
      <c r="B111" s="646"/>
      <c r="C111" s="647"/>
      <c r="D111" s="103" t="s">
        <v>314</v>
      </c>
      <c r="E111" s="103">
        <v>300006018</v>
      </c>
      <c r="F111" s="102" t="s">
        <v>315</v>
      </c>
      <c r="G111" s="124">
        <v>10</v>
      </c>
      <c r="H111" s="124">
        <v>1800</v>
      </c>
      <c r="I111" s="123" t="e">
        <f>_xlfn.XLOOKUP(E111,'All Products'!D:D,'All Products'!H:H)</f>
        <v>#N/A</v>
      </c>
      <c r="J111" s="128" t="e">
        <f>ROUNDUP(I111*Order_Quote!$L$3,2)</f>
        <v>#N/A</v>
      </c>
      <c r="K111" s="118"/>
      <c r="L111" s="76"/>
      <c r="M111" s="104">
        <f t="shared" si="3"/>
        <v>0</v>
      </c>
      <c r="O111" s="215" t="s">
        <v>76</v>
      </c>
      <c r="P111" s="215" t="s">
        <v>77</v>
      </c>
      <c r="Q111" s="215">
        <v>0</v>
      </c>
      <c r="R111" s="215">
        <v>0</v>
      </c>
      <c r="S111" s="215">
        <v>0</v>
      </c>
      <c r="T111" s="264">
        <v>0.29899999999999999</v>
      </c>
    </row>
    <row r="112" spans="1:20" ht="14.4">
      <c r="A112" s="5" t="str">
        <f>IF(K112&gt;0,COUNT($A$7:A111)+COUNT('DWV PVC'!$A$9:$A$316)+1,"")</f>
        <v/>
      </c>
      <c r="B112" s="646"/>
      <c r="C112" s="647"/>
      <c r="D112" s="103" t="s">
        <v>316</v>
      </c>
      <c r="E112" s="103">
        <v>300006019</v>
      </c>
      <c r="F112" s="102" t="s">
        <v>317</v>
      </c>
      <c r="G112" s="124">
        <v>20</v>
      </c>
      <c r="H112" s="124">
        <v>720</v>
      </c>
      <c r="I112" s="123" t="e">
        <f>_xlfn.XLOOKUP(E112,'All Products'!D:D,'All Products'!H:H)</f>
        <v>#N/A</v>
      </c>
      <c r="J112" s="128" t="e">
        <f>ROUNDUP(I112*Order_Quote!$L$3,2)</f>
        <v>#N/A</v>
      </c>
      <c r="K112" s="118"/>
      <c r="L112" s="76"/>
      <c r="M112" s="104">
        <f t="shared" si="3"/>
        <v>0</v>
      </c>
      <c r="O112" s="215" t="s">
        <v>76</v>
      </c>
      <c r="P112" s="215" t="s">
        <v>77</v>
      </c>
      <c r="Q112" s="215">
        <v>0</v>
      </c>
      <c r="R112" s="215">
        <v>0</v>
      </c>
      <c r="S112" s="215">
        <v>0</v>
      </c>
      <c r="T112" s="264">
        <v>0.51200000000000001</v>
      </c>
    </row>
    <row r="113" spans="1:20" ht="14.4">
      <c r="A113" s="5" t="str">
        <f>IF(K113&gt;0,COUNT($A$7:A112)+COUNT('DWV PVC'!$A$9:$A$316)+1,"")</f>
        <v/>
      </c>
      <c r="B113" s="643"/>
      <c r="C113" s="643"/>
      <c r="D113" s="103" t="s">
        <v>318</v>
      </c>
      <c r="E113" s="103">
        <v>300006020</v>
      </c>
      <c r="F113" s="102" t="s">
        <v>319</v>
      </c>
      <c r="G113" s="124">
        <v>50</v>
      </c>
      <c r="H113" s="124">
        <v>12800</v>
      </c>
      <c r="I113" s="123" t="e">
        <f>_xlfn.XLOOKUP(E113,'All Products'!D:D,'All Products'!H:H)</f>
        <v>#N/A</v>
      </c>
      <c r="J113" s="128" t="e">
        <f>ROUNDUP(I113*Order_Quote!$L$3,2)</f>
        <v>#N/A</v>
      </c>
      <c r="K113" s="118"/>
      <c r="L113" s="76"/>
      <c r="M113" s="104">
        <f t="shared" si="3"/>
        <v>0</v>
      </c>
      <c r="O113" s="215" t="s">
        <v>76</v>
      </c>
      <c r="P113" s="215" t="s">
        <v>77</v>
      </c>
      <c r="Q113" s="215">
        <v>0</v>
      </c>
      <c r="R113" s="215">
        <v>0</v>
      </c>
      <c r="S113" s="215">
        <v>0</v>
      </c>
      <c r="T113" s="264">
        <v>4.5999999999999999E-2</v>
      </c>
    </row>
    <row r="114" spans="1:20" s="17" customFormat="1" ht="37.5" customHeight="1">
      <c r="A114" s="5" t="str">
        <f>IF(K114&gt;0,COUNT($A$7:A113)+COUNT('DWV PVC'!$A$9:$A$316)+1,"")</f>
        <v/>
      </c>
      <c r="B114" s="643"/>
      <c r="C114" s="643"/>
      <c r="D114" s="103" t="s">
        <v>320</v>
      </c>
      <c r="E114" s="103">
        <v>300006021</v>
      </c>
      <c r="F114" s="102" t="s">
        <v>321</v>
      </c>
      <c r="G114" s="124">
        <v>50</v>
      </c>
      <c r="H114" s="124">
        <v>8400</v>
      </c>
      <c r="I114" s="123" t="e">
        <f>_xlfn.XLOOKUP(E114,'All Products'!D:D,'All Products'!H:H)</f>
        <v>#N/A</v>
      </c>
      <c r="J114" s="128" t="e">
        <f>ROUNDUP(I114*Order_Quote!$L$3,2)</f>
        <v>#N/A</v>
      </c>
      <c r="K114" s="118"/>
      <c r="L114" s="76"/>
      <c r="M114" s="104">
        <f t="shared" si="3"/>
        <v>0</v>
      </c>
      <c r="O114" s="215" t="s">
        <v>76</v>
      </c>
      <c r="P114" s="215" t="s">
        <v>77</v>
      </c>
      <c r="Q114" s="215">
        <v>0</v>
      </c>
      <c r="R114" s="215">
        <v>0</v>
      </c>
      <c r="S114" s="215">
        <v>0</v>
      </c>
      <c r="T114" s="264">
        <v>1</v>
      </c>
    </row>
    <row r="115" spans="1:20" ht="14.4">
      <c r="A115" s="5" t="str">
        <f>IF(K115&gt;0,COUNT($A$7:A114)+COUNT('DWV PVC'!$A$9:$A$316)+1,"")</f>
        <v/>
      </c>
      <c r="B115" s="643"/>
      <c r="C115" s="643"/>
      <c r="D115" s="103" t="s">
        <v>322</v>
      </c>
      <c r="E115" s="103">
        <v>300006022</v>
      </c>
      <c r="F115" s="102" t="s">
        <v>323</v>
      </c>
      <c r="G115" s="124">
        <v>25</v>
      </c>
      <c r="H115" s="124">
        <v>2400</v>
      </c>
      <c r="I115" s="123" t="e">
        <f>_xlfn.XLOOKUP(E115,'All Products'!D:D,'All Products'!H:H)</f>
        <v>#N/A</v>
      </c>
      <c r="J115" s="128" t="e">
        <f>ROUNDUP(I115*Order_Quote!$L$3,2)</f>
        <v>#N/A</v>
      </c>
      <c r="K115" s="118"/>
      <c r="L115" s="76"/>
      <c r="M115" s="104">
        <f t="shared" si="3"/>
        <v>0</v>
      </c>
      <c r="O115" s="215" t="s">
        <v>76</v>
      </c>
      <c r="P115" s="215" t="s">
        <v>77</v>
      </c>
      <c r="Q115" s="215">
        <v>0</v>
      </c>
      <c r="R115" s="215">
        <v>0</v>
      </c>
      <c r="S115" s="215">
        <v>0</v>
      </c>
      <c r="T115" s="264">
        <v>0.16800000000000001</v>
      </c>
    </row>
    <row r="116" spans="1:20" ht="14.4">
      <c r="A116" s="5" t="str">
        <f>IF(K116&gt;0,COUNT($A$7:A115)+COUNT('DWV PVC'!$A$9:$A$316)+1,"")</f>
        <v/>
      </c>
      <c r="B116" s="643"/>
      <c r="C116" s="643"/>
      <c r="D116" s="103" t="s">
        <v>324</v>
      </c>
      <c r="E116" s="103">
        <v>300006023</v>
      </c>
      <c r="F116" s="102" t="s">
        <v>325</v>
      </c>
      <c r="G116" s="124">
        <v>30</v>
      </c>
      <c r="H116" s="124">
        <v>1920</v>
      </c>
      <c r="I116" s="123" t="e">
        <f>_xlfn.XLOOKUP(E116,'All Products'!D:D,'All Products'!H:H)</f>
        <v>#N/A</v>
      </c>
      <c r="J116" s="128" t="e">
        <f>ROUNDUP(I116*Order_Quote!$L$3,2)</f>
        <v>#N/A</v>
      </c>
      <c r="K116" s="118"/>
      <c r="L116" s="76"/>
      <c r="M116" s="104">
        <f t="shared" si="3"/>
        <v>0</v>
      </c>
      <c r="O116" s="215" t="s">
        <v>76</v>
      </c>
      <c r="P116" s="215" t="s">
        <v>77</v>
      </c>
      <c r="Q116" s="215">
        <v>0</v>
      </c>
      <c r="R116" s="215">
        <v>0</v>
      </c>
      <c r="S116" s="215">
        <v>0</v>
      </c>
      <c r="T116" s="264">
        <v>0.315</v>
      </c>
    </row>
    <row r="117" spans="1:20" ht="14.4">
      <c r="A117" s="5">
        <f>MAX(A8:A116)+1</f>
        <v>1</v>
      </c>
      <c r="B117" s="649"/>
      <c r="C117" s="649"/>
    </row>
    <row r="118" spans="1:20" ht="14.4">
      <c r="B118" s="648"/>
      <c r="C118" s="648"/>
    </row>
    <row r="119" spans="1:20" ht="14.4">
      <c r="B119" s="648"/>
      <c r="C119" s="648"/>
    </row>
    <row r="120" spans="1:20" ht="14.4">
      <c r="B120" s="648"/>
      <c r="C120" s="648"/>
    </row>
  </sheetData>
  <sheetProtection formatCells="0" formatColumns="0" formatRows="0" insertColumns="0" insertRows="0" insertHyperlinks="0" deleteColumns="0" deleteRows="0" sort="0" autoFilter="0" pivotTables="0"/>
  <mergeCells count="40">
    <mergeCell ref="Q6:S6"/>
    <mergeCell ref="B19:C22"/>
    <mergeCell ref="B23:C26"/>
    <mergeCell ref="J2:K3"/>
    <mergeCell ref="B8:C11"/>
    <mergeCell ref="B12:C17"/>
    <mergeCell ref="B18:C18"/>
    <mergeCell ref="B62:C65"/>
    <mergeCell ref="B66:C69"/>
    <mergeCell ref="B36:C39"/>
    <mergeCell ref="B40:C42"/>
    <mergeCell ref="B43:C46"/>
    <mergeCell ref="B47:C49"/>
    <mergeCell ref="B50:C51"/>
    <mergeCell ref="B27:C29"/>
    <mergeCell ref="B30:C34"/>
    <mergeCell ref="B35:C35"/>
    <mergeCell ref="B55:C57"/>
    <mergeCell ref="B58:C61"/>
    <mergeCell ref="B119:C119"/>
    <mergeCell ref="B120:C120"/>
    <mergeCell ref="B117:C117"/>
    <mergeCell ref="B118:C118"/>
    <mergeCell ref="B70:C71"/>
    <mergeCell ref="B72:C76"/>
    <mergeCell ref="B77:C79"/>
    <mergeCell ref="B80:C82"/>
    <mergeCell ref="B83:C83"/>
    <mergeCell ref="B84:C87"/>
    <mergeCell ref="B88:C91"/>
    <mergeCell ref="B92:C94"/>
    <mergeCell ref="B95:C97"/>
    <mergeCell ref="B107:C108"/>
    <mergeCell ref="B113:C116"/>
    <mergeCell ref="B103:C104"/>
    <mergeCell ref="B98:C99"/>
    <mergeCell ref="B100:C100"/>
    <mergeCell ref="B102:C102"/>
    <mergeCell ref="B105:C106"/>
    <mergeCell ref="B109:C112"/>
  </mergeCells>
  <dataValidations count="3">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 sqref="K8:L116" xr:uid="{D4B30DF7-93DB-4740-84D8-31C050D2EC4D}">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A812FBF2-0DC5-4DCB-A00A-B8E3367E7982}">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1:L7 K6:K7 K1 K117:L65214" xr:uid="{383B490B-D25B-435E-9CAD-4D7B8B770F8B}">
      <formula1>1</formula1>
    </dataValidation>
  </dataValidations>
  <printOptions horizontalCentered="1"/>
  <pageMargins left="0.7" right="0.7" top="0.75" bottom="0.75" header="0.3" footer="0.3"/>
  <pageSetup scale="70" fitToHeight="0" orientation="portrait" horizontalDpi="4294967292" r:id="rId1"/>
  <headerFooter>
    <oddFooter>&amp;L&amp;8V12112014&amp;CCopyright 2015
All rights reserved
For Tigre-ADS USA customer and rep use only_x000D_&amp;1#&amp;"Aptos"&amp;11&amp;K000000 TIGRE:Internal&amp;R&amp;P</oddFooter>
  </headerFooter>
  <rowBreaks count="3" manualBreakCount="3">
    <brk id="35" max="8" man="1"/>
    <brk id="71" max="8" man="1"/>
    <brk id="99" max="8"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5" tint="-0.499984740745262"/>
    <pageSetUpPr fitToPage="1"/>
  </sheetPr>
  <dimension ref="A1:L45"/>
  <sheetViews>
    <sheetView workbookViewId="0">
      <selection activeCell="H29" sqref="H29"/>
    </sheetView>
  </sheetViews>
  <sheetFormatPr defaultColWidth="0" defaultRowHeight="14.4" zeroHeight="1"/>
  <cols>
    <col min="1" max="1" width="3.6640625" style="5" customWidth="1"/>
    <col min="2" max="2" width="4.44140625" style="2" customWidth="1"/>
    <col min="3" max="3" width="13" style="2" customWidth="1"/>
    <col min="4" max="4" width="17.5546875" style="2" bestFit="1" customWidth="1"/>
    <col min="5" max="6" width="13.44140625" style="2" customWidth="1"/>
    <col min="7" max="7" width="29.44140625" style="2" customWidth="1"/>
    <col min="8" max="8" width="15.44140625" style="2" bestFit="1" customWidth="1"/>
    <col min="9" max="9" width="10" style="2" bestFit="1" customWidth="1"/>
    <col min="10" max="10" width="21.6640625" style="2" bestFit="1" customWidth="1"/>
    <col min="11" max="11" width="14.109375" style="2" customWidth="1"/>
    <col min="12" max="12" width="2.5546875" style="2" customWidth="1"/>
    <col min="13" max="16384" width="9.109375" style="2" hidden="1"/>
  </cols>
  <sheetData>
    <row r="1" spans="3:11" ht="16.2" thickBot="1">
      <c r="C1" s="69" t="s">
        <v>0</v>
      </c>
      <c r="D1" s="39"/>
      <c r="E1" s="30"/>
      <c r="F1" s="721" t="s">
        <v>3624</v>
      </c>
      <c r="G1" s="721"/>
      <c r="H1" s="721"/>
      <c r="I1" s="721"/>
      <c r="J1" s="188" t="s">
        <v>3625</v>
      </c>
      <c r="K1" s="189" t="s">
        <v>4</v>
      </c>
    </row>
    <row r="2" spans="3:11">
      <c r="J2" s="186" t="s">
        <v>6</v>
      </c>
      <c r="K2" s="348" t="str">
        <f>IF($D$33="DWV PVC",$I$33,+IF($D$34="DWV PVC",$I$34,+IF($D$35="DWV PVC",$I$35,+IF($D$36="DWV PVC",$I$36,+IF($D$37="DWV PVC",$I$37,+IF($D$38="DWV PVC",$I$38,+IF($D$39="DWV PVC",$I$39,+IF($D$40="DWV PVC",$I$40,+IF($D$41="DWV PVC",$I$41,"-")))))))))</f>
        <v>-</v>
      </c>
    </row>
    <row r="3" spans="3:11">
      <c r="C3" s="69" t="s">
        <v>8</v>
      </c>
      <c r="D3" s="724"/>
      <c r="E3" s="724"/>
      <c r="F3" s="724"/>
      <c r="G3" s="3" t="s">
        <v>9</v>
      </c>
      <c r="H3" s="725"/>
      <c r="I3" s="725"/>
      <c r="J3" s="61" t="s">
        <v>7</v>
      </c>
      <c r="K3" s="349" t="str">
        <f>IF($D$33="DWV ABS",$I$33,+IF($D$34="DWV ABS",$I$34,+IF($D$35="DWV ABS",$I$35,+IF($D$36="DWV ABS",$I$36,+IF($D$37="DWV ABS",$I$37,+IF($D$38="DWV ABS",$I$38,+IF($D$39="DWV ABS",$I$39,+IF($D$40="DWV ABS",$I$40,+IF($D$41="DWV ABS",$I$41,"-")))))))))</f>
        <v>-</v>
      </c>
    </row>
    <row r="4" spans="3:11">
      <c r="C4" s="3" t="s">
        <v>11</v>
      </c>
      <c r="D4" s="719" t="s">
        <v>12</v>
      </c>
      <c r="E4" s="719"/>
      <c r="F4" s="719"/>
      <c r="G4" s="3" t="s">
        <v>3626</v>
      </c>
      <c r="H4" s="720"/>
      <c r="I4" s="720"/>
      <c r="J4" s="61" t="s">
        <v>10</v>
      </c>
      <c r="K4" s="349" t="str">
        <f>IF($D$33="PVC SCH40",$I$33,+IF($D$34="PVC SCH40",$I$34,+IF($D$35="PVC SCH40",$I$35,+IF($D$36="PVC SCH40",$I$36,+IF($D$37="PVC SCH40",$I$37,+IF($D$38="PVC SCH40",$I$38,+IF($D$39="PVC SCH40",$I$39,+IF($D$40="PVC SCH40",$I$40,+IF($D$41="PVC SCH40",$I$41,"-")))))))))</f>
        <v>-</v>
      </c>
    </row>
    <row r="5" spans="3:11">
      <c r="C5" s="69" t="s">
        <v>3627</v>
      </c>
      <c r="D5" s="727"/>
      <c r="E5" s="727"/>
      <c r="F5" s="727"/>
      <c r="G5" s="3" t="s">
        <v>19</v>
      </c>
      <c r="H5" s="355"/>
      <c r="I5" s="355"/>
      <c r="J5" s="61" t="s">
        <v>14</v>
      </c>
      <c r="K5" s="349" t="str">
        <f>IF($D$33="PVC SCH40 LD",$I$33,+IF($D$34="PVC SCH40 LD",$I$34,+IF($D$35="PVC SCH40 LD",$I$35,+IF($D$36="PVC SCH40 LD",$I$36,+IF($D$37="PVC SCH40 LD",$I$37,+IF($D$38="PVC SCH40 LD",$I$38,+IF($D$39="PVC SCH40 LD",$I$39,+IF($D$40="PVC SCH40 LD",$I$40,+IF($D$41="PVC SCH40 LD",$I$41,"-")))))))))</f>
        <v>-</v>
      </c>
    </row>
    <row r="6" spans="3:11">
      <c r="C6" s="68" t="s">
        <v>18</v>
      </c>
      <c r="D6" s="726"/>
      <c r="E6" s="726"/>
      <c r="F6" s="726"/>
      <c r="G6" s="3" t="s">
        <v>22</v>
      </c>
      <c r="H6" s="355"/>
      <c r="I6" s="355"/>
      <c r="J6" s="61" t="s">
        <v>17</v>
      </c>
      <c r="K6" s="349" t="str">
        <f>IF($D$33="Pool &amp; SPA Sweep Elbows",$I$33,+IF($D$34="Pool &amp; SPA Sweep Elbows",$I$34,+IF($D$35="Pool &amp; SPA Sweep Elbows",$I$35,+IF($D$36="Pool &amp; SPA Sweep Elbows",$I$36,+IF($D$37="Pool &amp; SPA Sweep Elbows",$I$37,+IF($D$38="Pool &amp; SPA Sweep Elbows",$I$38,+IF($D$39="Pool &amp; SPA Sweep Elbows",$I$39,+IF($D$40="Pool &amp; SPA Sweep Elbows",$I$40,+IF($D$41="Pool &amp; SPA Sweep Elbows",$I$41,"-")))))))))</f>
        <v>-</v>
      </c>
    </row>
    <row r="7" spans="3:11">
      <c r="C7" s="723" t="s">
        <v>21</v>
      </c>
      <c r="D7" s="723"/>
      <c r="E7" s="31"/>
      <c r="F7" s="31"/>
      <c r="G7" s="32"/>
      <c r="H7" s="9"/>
      <c r="J7" s="61" t="s">
        <v>20</v>
      </c>
      <c r="K7" s="349" t="str">
        <f>IF($D$33="Pool &amp; SPA Pipe Extender",$I$33,+IF($D$34="Pool &amp; SPA Pipe Extender",$I$34,+IF($D$35="Pool &amp; SPA Pipe Extender",$I$35,+IF($D$36="Pool &amp; SPA Pipe Extender",$I$36,+IF($D$37="Pool &amp; SPA Pipe Extender",$I$37,+IF($D$38="Pool &amp; SPA Pipe Extender",$I$38,+IF($D$39="Pool &amp; SPA Pipe Extender",$I$39,+IF($D$40="Pool &amp; SPA Pipe Extender",$I$40,+IF($D$41="Pool &amp; SPA Pipe Extender",$I$41,"-")))))))))</f>
        <v>-</v>
      </c>
    </row>
    <row r="8" spans="3:11">
      <c r="C8" s="723"/>
      <c r="D8" s="723"/>
      <c r="E8" s="718"/>
      <c r="F8" s="718"/>
      <c r="G8" s="32"/>
      <c r="J8" s="61" t="s">
        <v>23</v>
      </c>
      <c r="K8" s="349" t="str">
        <f>IF($D$33="PVC SCH80",$I$33,+IF($D$34="PVC SCH80",$I$34,+IF($D$35="PVC SCH80",$I$35,+IF($D$36="PVC SCH80",$I$36,+IF($D$37="PVC SCH80",$I$37,+IF($D$38="PVC SCH80",$I$38,+IF($D$39="PVC SCH80",$I$39,+IF($D$40="PVC SCH80",$I$40,+IF($D$41="PVC SCH80",$I$41,"-")))))))))</f>
        <v>-</v>
      </c>
    </row>
    <row r="9" spans="3:11">
      <c r="C9" s="8"/>
      <c r="D9" s="8"/>
      <c r="E9" s="4"/>
      <c r="F9" s="4"/>
      <c r="J9" s="61" t="s">
        <v>24</v>
      </c>
      <c r="K9" s="47" t="str">
        <f>IF($D$33="PVC SCH80 Flange",$I$33,+IF($D$34="PVC SCH80 Flange",$I$34,+IF($D$35="PVC SCH80 Flange",$I$35,+IF($D$36="PVC SCH80 Flange",$I$36,+IF($D$37="PVC SCH80 Flange",$I$37,+IF($D$38="PVC SCH80 Flange",$I$38,+IF($D$39="PVC SCH80 Flange",$I$39,+IF($D$40="PVC SCH80 Flange",$I$40,+IF($D$41="PVC SCH80 Flange",$I$41,"-")))))))))</f>
        <v>-</v>
      </c>
    </row>
    <row r="10" spans="3:11">
      <c r="C10" s="69" t="s">
        <v>26</v>
      </c>
      <c r="D10" s="722"/>
      <c r="E10" s="722"/>
      <c r="F10" s="722"/>
      <c r="G10" s="69" t="s">
        <v>27</v>
      </c>
      <c r="H10" s="725"/>
      <c r="I10" s="725"/>
      <c r="J10" s="61" t="s">
        <v>25</v>
      </c>
      <c r="K10" s="349" t="str">
        <f>IF($D$33="PVC SCH80 LD Flange",$I$33,+IF($D$34="PVC SCH80 LD Flange",$I$34,+IF($D$35="PVC SCH80 LD Flange",$I$35,+IF($D$36="PVC SCH80 LD Flange",$I$36,+IF($D$37="PVC SCH80 LD Flange",$I$37,+IF($D$38="PVC SCH80 LD Flange",$I$38,+IF($D$39="PVC SCH80 LD Flange",$I$39,+IF($D$40="PVC SCH80 LD Flange",$I$40,+IF($D$41="PVC SCH80 LD Flange",$I$41,"-")))))))))</f>
        <v>-</v>
      </c>
    </row>
    <row r="11" spans="3:11" ht="14.25" customHeight="1">
      <c r="J11" s="61" t="s">
        <v>28</v>
      </c>
      <c r="K11" s="349" t="str">
        <f>IF($D$33="CPVC",$I$33,+IF($D$34="CPVC",$I$34,+IF($D$35="CPVC",$I$35,+IF($D$36="CPVC",$I$36,+IF($D$37="CPVC",$I$37,+IF($D$38="CPVC",$I$38,+IF($D$39="CPVC",$I$39,+IF($D$40="CPVC",$I$40,+IF($D$41="CPVC",$I$41,"-")))))))))</f>
        <v>-</v>
      </c>
    </row>
    <row r="12" spans="3:11" ht="15" customHeight="1">
      <c r="D12" s="719"/>
      <c r="E12" s="719"/>
      <c r="F12" s="719"/>
      <c r="H12" s="719"/>
      <c r="I12" s="719"/>
      <c r="J12" s="61" t="s">
        <v>29</v>
      </c>
      <c r="K12" s="349" t="str">
        <f>IF($D$33="Insert Fittings",$I$33,+IF($D$34="Insert Fittings",$I$34,+IF($D$35="Insert Fittings",$I$35,+IF($D$36="Insert Fittings",$I$36,+IF($D$37="Insert Fittings",$I$37,+IF($D$38="Insert Fittings",$I$38,+IF($D$39="Insert Fittings",$I$39,+IF($D$40="Insert Fittings",$I$40,+IF($D$41="Insert Fittings",$I$41,"-")))))))))</f>
        <v>-</v>
      </c>
    </row>
    <row r="13" spans="3:11" ht="14.25" customHeight="1">
      <c r="J13" s="61" t="s">
        <v>30</v>
      </c>
      <c r="K13" s="349" t="str">
        <f>IF($D$33="Valves",$I$33,+IF($D$34="Valves",$I$34,+IF($D$35="Valves",$I$35,+IF($D$36="Valves",$I$36,+IF($D$37="Valves",$I$37,+IF($D$38="Valves",$I$38,+IF($D$39="Valves",$I$39,+IF($D$40="Valves",$I$40,+IF($D$41="Valves",$I$41,"-")))))))))</f>
        <v>-</v>
      </c>
    </row>
    <row r="14" spans="3:11">
      <c r="J14" s="61" t="s">
        <v>31</v>
      </c>
      <c r="K14" s="349" t="str">
        <f>IF($D$33="SDR35SW",$I$33,+IF($D$34="SDR35SW",$I$34,+IF($D$35="SDR35SW",$I$35,+IF($D$36="SDR35SW",$I$36,+IF($D$37="SDR35SW",$I$37,+IF($D$38="SDR35SW",$I$38,+IF($D$39="SDR35SW",$I$39,+IF($D$40="SDR35SW",$I$40,+IF($D$41="SDR35SW",$I$41,"-")))))))))</f>
        <v>-</v>
      </c>
    </row>
    <row r="15" spans="3:11">
      <c r="J15" s="61" t="s">
        <v>32</v>
      </c>
      <c r="K15" s="349" t="str">
        <f>IF($D$33="SDR35G",$I$33,+IF($D$34="SDR35G",$I$34,+IF($D$35="SDR35G",$I$35,+IF($D$36="SDR35G",$I$36,+IF($D$37="SDR35G",$I$37,+IF($D$38="SDR35G",$I$38,+IF($D$39="SDR35G",$I$39,+IF($D$40="SDR35G",$I$40,+IF($D$41="SDR35G",$I$41,"-")))))))))</f>
        <v>-</v>
      </c>
    </row>
    <row r="16" spans="3:11">
      <c r="C16" s="4"/>
      <c r="J16" s="61" t="s">
        <v>33</v>
      </c>
      <c r="K16" s="47" t="str">
        <f>IF($D$33="SDR26G",$I$33,+IF($D$34="SDR26G",$I$34,+IF($D$35="SDR26G",$I$35,+IF($D$36="SDR26G",$I$36,+IF($D$37="SDR26G",$I$37,+IF($D$38="SDR26G",$I$38,+IF($D$39="SDR26G",$I$39,+IF($D$40="SDR26G",$I$40,+IF($D$41="SDR26G",$I$41,"-")))))))))</f>
        <v>-</v>
      </c>
    </row>
    <row r="17" spans="1:11">
      <c r="C17" s="4"/>
      <c r="D17" s="174"/>
      <c r="E17" s="174"/>
      <c r="F17" s="174"/>
      <c r="H17" s="174"/>
      <c r="I17" s="174"/>
      <c r="J17" s="61" t="s">
        <v>34</v>
      </c>
      <c r="K17" s="47" t="str">
        <f>IF($D$33="Cements",$I$33,+IF($D$34="Cements",$I$34,+IF($D$35="Cements",$I$35,+IF($D$36="Cements",$I$36,+IF($D$37="Cements",$I$37,+IF($D$38="Cements",$I$38,+IF($D$39="Cements",$I$39,+IF($D$40="Cements",$I$40,+IF($D$41="Cements",$I$41,"-")))))))))</f>
        <v>-</v>
      </c>
    </row>
    <row r="18" spans="1:11">
      <c r="C18" s="4"/>
      <c r="D18" s="174"/>
      <c r="E18" s="174"/>
      <c r="F18" s="174"/>
      <c r="H18" s="174"/>
      <c r="I18" s="174"/>
      <c r="J18" s="61" t="s">
        <v>35</v>
      </c>
      <c r="K18" s="187" t="str">
        <f>IF($D$33="Valve Box",$I$33,+IF($D$34="Valve Box",$I$34,+IF($D$35="Valve Box",$I$35,+IF($D$36="Valve Box",$I$36,+IF($D$37="Valve Box",$I$37,+IF($D$38="Valve Box",$I$38,+IF($D$39="Valve Box",$I$39,+IF($D$40="Valve Box",$I$40,+IF($D$41="Valve Box",$I$41,"-")))))))))</f>
        <v>-</v>
      </c>
    </row>
    <row r="19" spans="1:11">
      <c r="C19" s="4"/>
      <c r="D19" s="174"/>
      <c r="E19" s="174"/>
      <c r="F19" s="174"/>
      <c r="H19" s="174"/>
      <c r="I19" s="174"/>
      <c r="J19" s="61" t="s">
        <v>36</v>
      </c>
      <c r="K19" s="187" t="str">
        <f>IF($D$33="Valve Box Components",$I$33,+IF($D$34="Valve Box Components",$I$34,+IF($D$35="Valve Box Components",$I$35,+IF($D$36="Valve Box Components",$I$36,+IF($D$37="Valve Box Components",$I$37,+IF($D$38="Valve Box Components",$I$38,+IF($D$39="Valve Box Components",$I$39,+IF($D$40="Valve Box Components",$I$40,+IF($D$41="Valve Box Components",$I$41,"-")))))))))</f>
        <v>-</v>
      </c>
    </row>
    <row r="20" spans="1:11">
      <c r="C20" s="4"/>
      <c r="D20" s="174"/>
      <c r="E20" s="174"/>
      <c r="F20" s="174"/>
      <c r="H20" s="174"/>
      <c r="I20" s="174"/>
      <c r="J20" s="61" t="s">
        <v>37</v>
      </c>
      <c r="K20" s="187" t="str">
        <f>IF($D$33="Drainage",$I$33,+IF($D$34="Drainage",$I$34,+IF($D$35="Drainage",$I$35,+IF($D$36="Drainage",$I$36,+IF($D$37="Drainage",$I$37,+IF($D$38="Drainage",$I$38,+IF($D$39="Drainage",$I$39,+IF($D$40="Drainage",$I$40,+IF($D$41="Drainage",$I$41,"-")))))))))</f>
        <v>-</v>
      </c>
    </row>
    <row r="21" spans="1:11">
      <c r="C21" s="4"/>
      <c r="D21" s="174"/>
      <c r="E21" s="174"/>
      <c r="F21" s="174"/>
      <c r="H21" s="174"/>
      <c r="I21" s="174"/>
      <c r="J21" s="61" t="s">
        <v>38</v>
      </c>
      <c r="K21" s="187" t="str">
        <f>IF($D$33="Nipples",$I$33,+IF($D$34="Nipples",$I$34,+IF($D$35="Nipples",$I$35,+IF($D$36="Nipples",$I$36,+IF($D$37="Nipples",$I$37,+IF($D$38="Nipples",$I$38,+IF($D$39="Nipples",$I$39,+IF($D$40="Nipples",$I$40,+IF($D$41="Nipples",$I$41,"-")))))))))</f>
        <v>-</v>
      </c>
    </row>
    <row r="22" spans="1:11">
      <c r="C22" s="4"/>
      <c r="D22" s="174"/>
      <c r="E22" s="174"/>
      <c r="F22" s="174"/>
      <c r="H22" s="174"/>
      <c r="I22" s="174"/>
      <c r="J22" s="61" t="s">
        <v>39</v>
      </c>
      <c r="K22" s="187" t="str">
        <f>IF($D$33="Manifold",$I$33,+IF($D$34="Manifold",$I$34,+IF($D$35="Manifold",$I$35,+IF($D$36="Manifold",$I$36,+IF($D$37="Manifold",$I$37,+IF($D$38="Manifold",$I$38,+IF($D$39="Manifold",$I$39,+IF($D$40="Manifold",$I$40,+IF($D$41="Manifold",$I$41,"-")))))))))</f>
        <v>-</v>
      </c>
    </row>
    <row r="23" spans="1:11">
      <c r="C23" s="4"/>
      <c r="D23" s="174"/>
      <c r="E23" s="174"/>
      <c r="F23" s="174"/>
      <c r="H23" s="174"/>
      <c r="I23" s="174"/>
      <c r="J23" s="61" t="s">
        <v>40</v>
      </c>
      <c r="K23" s="187" t="str">
        <f>IF($D$33="Flexible Repair Couplings",$I$33,+IF($D$34="Flexible Repair Couplings",$I$34,+IF($D$35="Flexible Repair Couplings",$I$35,+IF($D$36="Flexible Repair Couplings",$I$36,+IF($D$37="Flexible Repair Couplings",$I$37,+IF($D$38="Flexible Repair Couplings",$I$38,+IF($D$39="Flexible Repair Couplings",$I$39,+IF($D$40="Flexible Repair Couplings",$I$40,+IF($D$41="Flexible Repair Couplings",$I$41,"-")))))))))</f>
        <v>-</v>
      </c>
    </row>
    <row r="24" spans="1:11">
      <c r="C24" s="4"/>
      <c r="D24" s="174"/>
      <c r="E24" s="174"/>
      <c r="F24" s="174"/>
      <c r="H24" s="174"/>
      <c r="I24" s="174"/>
      <c r="J24" s="61" t="s">
        <v>41</v>
      </c>
      <c r="K24" s="187" t="str">
        <f>IF($D$33="Dura Fix",$I$33,+IF($D$34="Dura Fix",$I$34,+IF($D$35="Dura Fix",$I$35,+IF($D$36="Dura Fix",$I$36,+IF($D$37="Dura Fix",$I$37,+IF($D$38="Dura Fix",$I$38,+IF($D$39="Dura Fix",$I$39,+IF($D$40="Dura Fix",$I$40,+IF($D$41="Dura Fix",$I$41,"-")))))))))</f>
        <v>-</v>
      </c>
    </row>
    <row r="25" spans="1:11">
      <c r="C25" s="4"/>
      <c r="D25" s="174"/>
      <c r="E25" s="174"/>
      <c r="F25" s="174"/>
      <c r="H25" s="174"/>
      <c r="I25" s="174"/>
      <c r="J25" s="61" t="s">
        <v>42</v>
      </c>
      <c r="K25" s="187" t="str">
        <f>IF($D$33="Compression Fittings",$I$33,+IF($D$34="Compression Fittings",$I$34,+IF($D$35="Compression Fittings",$I$35,+IF($D$36="Compression Fittings",$I$36,+IF($D$37="Compression Fittings",$I$37,+IF($D$38="Compression Fittings",$I$38,+IF($D$39="Compression Fittings",$I$39,+IF($D$40="Compression Fittings",$I$40,+IF($D$41="Compression Fittings",$I$41,"-")))))))))</f>
        <v>-</v>
      </c>
    </row>
    <row r="26" spans="1:11">
      <c r="C26" s="4"/>
      <c r="D26" s="174"/>
      <c r="E26" s="174"/>
      <c r="F26" s="174"/>
      <c r="H26" s="174"/>
      <c r="I26" s="174"/>
      <c r="J26" s="61" t="s">
        <v>43</v>
      </c>
      <c r="K26" s="187" t="str">
        <f>IF($D$33="Hose Fittings",$I$33,+IF($D$34="Hose Fittings",$I$34,+IF($D$35="Hose Fittings",$I$35,+IF($D$36="Hose Fittings",$I$36,+IF($D$37="Hose Fittings",$I$37,+IF($D$38="Hose Fittings",$I$38,+IF($D$39="Hose Fittings",$I$39,+IF($D$40="Hose Fittings",$I$40,+IF($D$41="Hose Fittings",$I$41,"-")))))))))</f>
        <v>-</v>
      </c>
    </row>
    <row r="27" spans="1:11">
      <c r="C27" s="4"/>
      <c r="D27" s="174"/>
      <c r="E27" s="174"/>
      <c r="F27" s="174"/>
      <c r="H27" s="174"/>
      <c r="I27" s="174"/>
      <c r="J27" s="364" t="s">
        <v>44</v>
      </c>
      <c r="K27" s="47" t="str">
        <f>IF($D$33="Swing Joints",$I$33,+IF($D$34="Swing Joints",$I$34,+IF($D$35="Swing Joints",$I$35,+IF($D$36="Swing Joints",$I$36,+IF($D$37="Swing Joints",$I$37,+IF($D$38="Swing Joints",$I$38,+IF($D$39="Swing Joints",$I$39,+IF($D$40="Swing Joints",$I$40,+IF($D$41="Swing Joints",$I$41,"-")))))))))</f>
        <v>-</v>
      </c>
    </row>
    <row r="28" spans="1:11" ht="15" thickBot="1">
      <c r="C28" s="4"/>
      <c r="D28" s="174"/>
      <c r="E28" s="174"/>
      <c r="F28" s="174"/>
      <c r="H28" s="174"/>
      <c r="I28" s="174"/>
      <c r="J28" s="185" t="s">
        <v>45</v>
      </c>
      <c r="K28" s="365" t="str">
        <f>IF($D$33="Swing Joints Components",$I$33,+IF($D$34="Swing Joints Components",$I$34,+IF($D$35="Swing Joints Components",$I$35,+IF($D$36="Swing Joints Components",$I$36,+IF($D$37="Swing Joints Components",$I$37,+IF($D$38="Swing Joints Components",$I$38,+IF($D$39="Swing Joints Components",$I$39,+IF($D$40="Swing Joints Components",$I$40,+IF($D$41="Swing Joints Components",$I$41,"-")))))))))</f>
        <v>-</v>
      </c>
    </row>
    <row r="29" spans="1:11"/>
    <row r="30" spans="1:11"/>
    <row r="31" spans="1:11"/>
    <row r="32" spans="1:11" s="56" customFormat="1" ht="29.4" thickBot="1">
      <c r="A32" s="366"/>
      <c r="B32" s="44"/>
      <c r="C32" s="84" t="s">
        <v>3628</v>
      </c>
      <c r="D32" s="84" t="s">
        <v>2</v>
      </c>
      <c r="E32" s="84" t="s">
        <v>3629</v>
      </c>
      <c r="F32" s="84" t="s">
        <v>3630</v>
      </c>
      <c r="G32" s="84" t="s">
        <v>1305</v>
      </c>
      <c r="H32" s="84" t="s">
        <v>51</v>
      </c>
      <c r="I32" s="84" t="s">
        <v>4</v>
      </c>
      <c r="J32" s="42" t="s">
        <v>55</v>
      </c>
      <c r="K32" s="42" t="s">
        <v>56</v>
      </c>
    </row>
    <row r="33" spans="1:11" ht="15" thickTop="1">
      <c r="A33" s="5" t="str">
        <f>IF(C33&gt;0,COUNT($A$13:A13)+COUNT('DWV PVC'!$A$9:$A$316)
+COUNT('DWV ABS'!$A$8:$A$116)
+COUNT('PVC SCH40'!$A$8:$A$424)
+COUNT('PVC SCH40 LD'!$A$8:$A$21)
+COUNT('Pool &amp; SPA Sweep Elbows'!$A$8:$A$11)
+COUNT('Pool &amp; SPA Pipe Extender'!$A$8:$A$10)
+COUNT('PVC SCH80'!$A$8:$A$249)
+COUNT('PVC SCH80 Flange'!$A$8:$A$48)
+COUNT('PVC SCH80 LD Flange'!$A$8:$A$16)
+COUNT(CPVC!$A$9:$A$104)
+COUNT(InsertFittings!$A$8:$A$184)
+COUNT(Valves!$A$9:$A$91)
+COUNT(SDR35SW!$A$9:$A$120)
+COUNT(SDR35G!$A$103:$A$150)
+COUNT(SDR26G!$A$9:$A$63)
+COUNT(Cements!$A$8:$A$94)
+COUNT(ValveBox!$A$9:$A$123)
+COUNT('ValveBox Components'!$A$9:$A$141)
+COUNT(Drainage!$A$8:$A$68)
+COUNT(Nipples!$A$9:$A$81)
+COUNT(Manifold!$A$8:$A$32)
+COUNT(FlexibleRepairCouplings!$A$8:$A$11)
+COUNT(DuraFix!$A$8:$A$14)
+COUNT('Compression Fittings'!$A$8:$A$15)
+COUNT('Hose Fittings'!$A$8:$A$29)
+COUNT(#REF!)
+COUNT('Swing Joints'!$A$9:$A$494)
+COUNT('Swing Joints Components'!$A$9:$A$134)
+1,"")</f>
        <v/>
      </c>
      <c r="B33" s="77">
        <v>1</v>
      </c>
      <c r="C33" s="85"/>
      <c r="D33" s="86"/>
      <c r="E33" s="87"/>
      <c r="F33" s="86"/>
      <c r="G33" s="88"/>
      <c r="H33" s="89"/>
      <c r="I33" s="90"/>
      <c r="J33" s="81">
        <f>ROUND(H33*I33,4)</f>
        <v>0</v>
      </c>
      <c r="K33" s="55">
        <f>C33*J33</f>
        <v>0</v>
      </c>
    </row>
    <row r="34" spans="1:11">
      <c r="A34" s="5" t="str">
        <f>IF(C34&gt;0,COUNT($A$13:A14)+COUNT('DWV PVC'!$A$9:$A$316)
+COUNT('DWV ABS'!$A$8:$A$116)
+COUNT('PVC SCH40'!$A$8:$A$424)
+COUNT('PVC SCH40 LD'!$A$8:$A$21)
+COUNT('Pool &amp; SPA Sweep Elbows'!$A$8:$A$11)
+COUNT('Pool &amp; SPA Pipe Extender'!$A$8:$A$10)
+COUNT('PVC SCH80'!$A$8:$A$249)
+COUNT('PVC SCH80 Flange'!$A$8:$A$48)
+COUNT('PVC SCH80 LD Flange'!$A$8:$A$16)
+COUNT(CPVC!$A$9:$A$104)
+COUNT(InsertFittings!$A$8:$A$184)
+COUNT(Valves!$A$9:$A$91)
+COUNT(SDR35SW!$A$9:$A$120)
+COUNT(SDR35G!$A$103:$A$150)
+COUNT(SDR26G!$A$9:$A$63)
+COUNT(Cements!$A$8:$A$94)
+COUNT(ValveBox!$A$9:$A$123)
+COUNT('ValveBox Components'!$A$9:$A$141)
+COUNT(Drainage!$A$8:$A$68)
+COUNT(Nipples!$A$9:$A$81)
+COUNT(Manifold!$A$8:$A$32)
+COUNT(FlexibleRepairCouplings!$A$8:$A$11)
+COUNT(DuraFix!$A$8:$A$14)
+COUNT('Compression Fittings'!$A$8:$A$15)
+COUNT('Hose Fittings'!$A$8:$A$29)
+COUNT(#REF!)
+COUNT('Swing Joints'!$A$9:$A$494)
+COUNT('Swing Joints Components'!$A$9:$A$134)
+1,"")</f>
        <v/>
      </c>
      <c r="B34" s="78">
        <v>2</v>
      </c>
      <c r="C34" s="91"/>
      <c r="D34" s="62"/>
      <c r="E34" s="63"/>
      <c r="F34" s="62"/>
      <c r="G34" s="64"/>
      <c r="H34" s="65"/>
      <c r="I34" s="92"/>
      <c r="J34" s="82">
        <f t="shared" ref="J34:J41" si="0">ROUND(H34*I34,4)</f>
        <v>0</v>
      </c>
      <c r="K34" s="66">
        <f t="shared" ref="K34:K41" si="1">C34*J34</f>
        <v>0</v>
      </c>
    </row>
    <row r="35" spans="1:11">
      <c r="A35" s="5" t="str">
        <f>IF(C35&gt;0,COUNT($A$13:A15)+COUNT('DWV PVC'!$A$9:$A$316)
+COUNT('DWV ABS'!$A$8:$A$116)
+COUNT('PVC SCH40'!$A$8:$A$424)
+COUNT('PVC SCH40 LD'!$A$8:$A$21)
+COUNT('Pool &amp; SPA Sweep Elbows'!$A$8:$A$11)
+COUNT('Pool &amp; SPA Pipe Extender'!$A$8:$A$10)
+COUNT('PVC SCH80'!$A$8:$A$249)
+COUNT('PVC SCH80 Flange'!$A$8:$A$48)
+COUNT('PVC SCH80 LD Flange'!$A$8:$A$16)
+COUNT(CPVC!$A$9:$A$104)
+COUNT(InsertFittings!$A$8:$A$184)
+COUNT(Valves!$A$9:$A$91)
+COUNT(SDR35SW!$A$9:$A$120)
+COUNT(SDR35G!$A$103:$A$150)
+COUNT(SDR26G!$A$9:$A$63)
+COUNT(Cements!$A$8:$A$94)
+COUNT(ValveBox!$A$9:$A$123)
+COUNT('ValveBox Components'!$A$9:$A$141)
+COUNT(Drainage!$A$8:$A$68)
+COUNT(Nipples!$A$9:$A$81)
+COUNT(Manifold!$A$8:$A$32)
+COUNT(FlexibleRepairCouplings!$A$8:$A$11)
+COUNT(DuraFix!$A$8:$A$14)
+COUNT('Compression Fittings'!$A$8:$A$15)
+COUNT('Hose Fittings'!$A$8:$A$29)
+COUNT(#REF!)
+COUNT('Swing Joints'!$A$9:$A$494)
+COUNT('Swing Joints Components'!$A$9:$A$134)
+1,"")</f>
        <v/>
      </c>
      <c r="B35" s="79">
        <v>3</v>
      </c>
      <c r="C35" s="93"/>
      <c r="D35" s="34"/>
      <c r="E35" s="35"/>
      <c r="F35" s="34"/>
      <c r="G35" s="36"/>
      <c r="H35" s="37"/>
      <c r="I35" s="94"/>
      <c r="J35" s="83">
        <f t="shared" si="0"/>
        <v>0</v>
      </c>
      <c r="K35" s="38">
        <f t="shared" si="1"/>
        <v>0</v>
      </c>
    </row>
    <row r="36" spans="1:11">
      <c r="A36" s="5" t="str">
        <f>IF(C36&gt;0,COUNT($A$13:A16)+COUNT('DWV PVC'!$A$9:$A$316)
+COUNT('DWV ABS'!$A$8:$A$116)
+COUNT('PVC SCH40'!$A$8:$A$424)
+COUNT('PVC SCH40 LD'!$A$8:$A$21)
+COUNT('Pool &amp; SPA Sweep Elbows'!$A$8:$A$11)
+COUNT('Pool &amp; SPA Pipe Extender'!$A$8:$A$10)
+COUNT('PVC SCH80'!$A$8:$A$249)
+COUNT('PVC SCH80 Flange'!$A$8:$A$48)
+COUNT('PVC SCH80 LD Flange'!$A$8:$A$16)
+COUNT(CPVC!$A$9:$A$104)
+COUNT(InsertFittings!$A$8:$A$184)
+COUNT(Valves!$A$9:$A$91)
+COUNT(SDR35SW!$A$9:$A$120)
+COUNT(SDR35G!$A$103:$A$150)
+COUNT(SDR26G!$A$9:$A$63)
+COUNT(Cements!$A$8:$A$94)
+COUNT(ValveBox!$A$9:$A$123)
+COUNT('ValveBox Components'!$A$9:$A$141)
+COUNT(Drainage!$A$8:$A$68)
+COUNT(Nipples!$A$9:$A$81)
+COUNT(Manifold!$A$8:$A$32)
+COUNT(FlexibleRepairCouplings!$A$8:$A$11)
+COUNT(DuraFix!$A$8:$A$14)
+COUNT('Compression Fittings'!$A$8:$A$15)
+COUNT('Hose Fittings'!$A$8:$A$29)
+COUNT(#REF!)
+COUNT('Swing Joints'!$A$9:$A$494)
+COUNT('Swing Joints Components'!$A$9:$A$134)
+1,"")</f>
        <v/>
      </c>
      <c r="B36" s="78">
        <v>4</v>
      </c>
      <c r="C36" s="91"/>
      <c r="D36" s="62"/>
      <c r="E36" s="63"/>
      <c r="F36" s="62"/>
      <c r="G36" s="64"/>
      <c r="H36" s="65"/>
      <c r="I36" s="92"/>
      <c r="J36" s="82">
        <f t="shared" si="0"/>
        <v>0</v>
      </c>
      <c r="K36" s="66">
        <f t="shared" si="1"/>
        <v>0</v>
      </c>
    </row>
    <row r="37" spans="1:11">
      <c r="A37" s="5" t="str">
        <f>IF(C37&gt;0,COUNT($A$13:A16)+COUNT('DWV PVC'!$A$9:$A$316)
+COUNT('DWV ABS'!$A$8:$A$116)
+COUNT('PVC SCH40'!$A$8:$A$424)
+COUNT('PVC SCH40 LD'!$A$8:$A$21)
+COUNT('Pool &amp; SPA Sweep Elbows'!$A$8:$A$11)
+COUNT('Pool &amp; SPA Pipe Extender'!$A$8:$A$10)
+COUNT('PVC SCH80'!$A$8:$A$249)
+COUNT('PVC SCH80 Flange'!$A$8:$A$48)
+COUNT('PVC SCH80 LD Flange'!$A$8:$A$16)
+COUNT(CPVC!$A$9:$A$104)
+COUNT(InsertFittings!$A$8:$A$184)
+COUNT(Valves!$A$9:$A$91)
+COUNT(SDR35SW!$A$9:$A$120)
+COUNT(SDR35G!$A$103:$A$150)
+COUNT(SDR26G!$A$9:$A$63)
+COUNT(Cements!$A$8:$A$94)
+COUNT(ValveBox!$A$9:$A$123)
+COUNT('ValveBox Components'!$A$9:$A$141)
+COUNT(Drainage!$A$8:$A$68)
+COUNT(Nipples!$A$9:$A$81)
+COUNT(Manifold!$A$8:$A$32)
+COUNT(FlexibleRepairCouplings!$A$8:$A$11)
+COUNT(DuraFix!$A$8:$A$14)
+COUNT('Compression Fittings'!$A$8:$A$15)
+COUNT('Hose Fittings'!$A$8:$A$29)
+COUNT(#REF!)
+COUNT('Swing Joints'!$A$9:$A$494)
+COUNT('Swing Joints Components'!$A$9:$A$134)
+1,"")</f>
        <v/>
      </c>
      <c r="B37" s="79">
        <v>5</v>
      </c>
      <c r="C37" s="93"/>
      <c r="D37" s="34"/>
      <c r="E37" s="35"/>
      <c r="F37" s="34"/>
      <c r="G37" s="36"/>
      <c r="H37" s="37"/>
      <c r="I37" s="94"/>
      <c r="J37" s="83">
        <f t="shared" si="0"/>
        <v>0</v>
      </c>
      <c r="K37" s="38">
        <f t="shared" si="1"/>
        <v>0</v>
      </c>
    </row>
    <row r="38" spans="1:11">
      <c r="A38" s="5" t="str">
        <f>IF(C38&gt;0,COUNT($A$13:A17)+COUNT('DWV PVC'!$A$9:$A$316)
+COUNT('DWV ABS'!$A$8:$A$116)
+COUNT('PVC SCH40'!$A$8:$A$424)
+COUNT('PVC SCH40 LD'!$A$8:$A$21)
+COUNT('Pool &amp; SPA Sweep Elbows'!$A$8:$A$11)
+COUNT('Pool &amp; SPA Pipe Extender'!$A$8:$A$10)
+COUNT('PVC SCH80'!$A$8:$A$249)
+COUNT('PVC SCH80 Flange'!$A$8:$A$48)
+COUNT('PVC SCH80 LD Flange'!$A$8:$A$16)
+COUNT(CPVC!$A$9:$A$104)
+COUNT(InsertFittings!$A$8:$A$184)
+COUNT(Valves!$A$9:$A$91)
+COUNT(SDR35SW!$A$9:$A$120)
+COUNT(SDR35G!$A$103:$A$150)
+COUNT(SDR26G!$A$9:$A$63)
+COUNT(Cements!$A$8:$A$94)
+COUNT(ValveBox!$A$9:$A$123)
+COUNT('ValveBox Components'!$A$9:$A$141)
+COUNT(Drainage!$A$8:$A$68)
+COUNT(Nipples!$A$9:$A$81)
+COUNT(Manifold!$A$8:$A$32)
+COUNT(FlexibleRepairCouplings!$A$8:$A$11)
+COUNT(DuraFix!$A$8:$A$14)
+COUNT('Compression Fittings'!$A$8:$A$15)
+COUNT('Hose Fittings'!$A$8:$A$29)
+COUNT(#REF!)
+COUNT('Swing Joints'!$A$9:$A$494)
+COUNT('Swing Joints Components'!$A$9:$A$134)
+1,"")</f>
        <v/>
      </c>
      <c r="B38" s="80">
        <v>6</v>
      </c>
      <c r="C38" s="91"/>
      <c r="D38" s="62"/>
      <c r="E38" s="63"/>
      <c r="F38" s="62"/>
      <c r="G38" s="64"/>
      <c r="H38" s="65"/>
      <c r="I38" s="92"/>
      <c r="J38" s="82">
        <f t="shared" si="0"/>
        <v>0</v>
      </c>
      <c r="K38" s="66">
        <f t="shared" si="1"/>
        <v>0</v>
      </c>
    </row>
    <row r="39" spans="1:11">
      <c r="A39" s="5" t="str">
        <f>IF(C39&gt;0,COUNT($A$13:A18)+COUNT('DWV PVC'!$A$9:$A$316)
+COUNT('DWV ABS'!$A$8:$A$116)
+COUNT('PVC SCH40'!$A$8:$A$424)
+COUNT('PVC SCH40 LD'!$A$8:$A$21)
+COUNT('Pool &amp; SPA Sweep Elbows'!$A$8:$A$11)
+COUNT('Pool &amp; SPA Pipe Extender'!$A$8:$A$10)
+COUNT('PVC SCH80'!$A$8:$A$249)
+COUNT('PVC SCH80 Flange'!$A$8:$A$48)
+COUNT('PVC SCH80 LD Flange'!$A$8:$A$16)
+COUNT(CPVC!$A$9:$A$104)
+COUNT(InsertFittings!$A$8:$A$184)
+COUNT(Valves!$A$9:$A$91)
+COUNT(SDR35SW!$A$9:$A$120)
+COUNT(SDR35G!$A$103:$A$150)
+COUNT(SDR26G!$A$9:$A$63)
+COUNT(Cements!$A$8:$A$94)
+COUNT(ValveBox!$A$9:$A$123)
+COUNT('ValveBox Components'!$A$9:$A$141)
+COUNT(Drainage!$A$8:$A$68)
+COUNT(Nipples!$A$9:$A$81)
+COUNT(Manifold!$A$8:$A$32)
+COUNT(FlexibleRepairCouplings!$A$8:$A$11)
+COUNT(DuraFix!$A$8:$A$14)
+COUNT('Compression Fittings'!$A$8:$A$15)
+COUNT('Hose Fittings'!$A$8:$A$29)
+COUNT(#REF!)
+COUNT('Swing Joints'!$A$9:$A$494)
+COUNT('Swing Joints Components'!$A$9:$A$134)
+1,"")</f>
        <v/>
      </c>
      <c r="B39" s="79">
        <v>7</v>
      </c>
      <c r="C39" s="93"/>
      <c r="D39" s="34"/>
      <c r="E39" s="35"/>
      <c r="F39" s="34"/>
      <c r="G39" s="36"/>
      <c r="H39" s="37"/>
      <c r="I39" s="94"/>
      <c r="J39" s="83">
        <f t="shared" si="0"/>
        <v>0</v>
      </c>
      <c r="K39" s="38">
        <f t="shared" si="1"/>
        <v>0</v>
      </c>
    </row>
    <row r="40" spans="1:11">
      <c r="A40" s="5" t="str">
        <f>IF(C40&gt;0,COUNT($A$13:A20)+COUNT('DWV PVC'!$A$9:$A$316)
+COUNT('DWV ABS'!$A$8:$A$116)
+COUNT('PVC SCH40'!$A$8:$A$424)
+COUNT('PVC SCH40 LD'!$A$8:$A$21)
+COUNT('Pool &amp; SPA Sweep Elbows'!$A$8:$A$11)
+COUNT('Pool &amp; SPA Pipe Extender'!$A$8:$A$10)
+COUNT('PVC SCH80'!$A$8:$A$249)
+COUNT('PVC SCH80 Flange'!$A$8:$A$48)
+COUNT('PVC SCH80 LD Flange'!$A$8:$A$16)
+COUNT(CPVC!$A$9:$A$104)
+COUNT(InsertFittings!$A$8:$A$184)
+COUNT(Valves!$A$9:$A$91)
+COUNT(SDR35SW!$A$9:$A$120)
+COUNT(SDR35G!$A$103:$A$150)
+COUNT(SDR26G!$A$9:$A$63)
+COUNT(Cements!$A$8:$A$94)
+COUNT(ValveBox!$A$9:$A$123)
+COUNT('ValveBox Components'!$A$9:$A$141)
+COUNT(Drainage!$A$8:$A$68)
+COUNT(Nipples!$A$9:$A$81)
+COUNT(Manifold!$A$8:$A$32)
+COUNT(FlexibleRepairCouplings!$A$8:$A$11)
+COUNT(DuraFix!$A$8:$A$14)
+COUNT('Compression Fittings'!$A$8:$A$15)
+COUNT('Hose Fittings'!$A$8:$A$29)
+COUNT(#REF!)
+COUNT('Swing Joints'!$A$9:$A$494)
+COUNT('Swing Joints Components'!$A$9:$A$134)
+1,"")</f>
        <v/>
      </c>
      <c r="B40" s="78">
        <v>8</v>
      </c>
      <c r="C40" s="91"/>
      <c r="D40" s="62"/>
      <c r="E40" s="63"/>
      <c r="F40" s="62"/>
      <c r="G40" s="64"/>
      <c r="H40" s="65"/>
      <c r="I40" s="92"/>
      <c r="J40" s="82">
        <f t="shared" si="0"/>
        <v>0</v>
      </c>
      <c r="K40" s="66">
        <f t="shared" si="1"/>
        <v>0</v>
      </c>
    </row>
    <row r="41" spans="1:11" ht="15" thickBot="1">
      <c r="A41" s="5" t="str">
        <f>IF(C41&gt;0,COUNT($A$13:A21)+COUNT('DWV PVC'!$A$9:$A$316)
+COUNT('DWV ABS'!$A$8:$A$116)
+COUNT('PVC SCH40'!$A$8:$A$424)
+COUNT('PVC SCH40 LD'!$A$8:$A$21)
+COUNT('Pool &amp; SPA Sweep Elbows'!$A$8:$A$11)
+COUNT('Pool &amp; SPA Pipe Extender'!$A$8:$A$10)
+COUNT('PVC SCH80'!$A$8:$A$249)
+COUNT('PVC SCH80 Flange'!$A$8:$A$48)
+COUNT('PVC SCH80 LD Flange'!$A$8:$A$16)
+COUNT(CPVC!$A$9:$A$104)
+COUNT(InsertFittings!$A$8:$A$184)
+COUNT(Valves!$A$9:$A$91)
+COUNT(SDR35SW!$A$9:$A$120)
+COUNT(SDR35G!$A$103:$A$150)
+COUNT(SDR26G!$A$9:$A$63)
+COUNT(Cements!$A$8:$A$94)
+COUNT(ValveBox!$A$9:$A$123)
+COUNT('ValveBox Components'!$A$9:$A$141)
+COUNT(Drainage!$A$8:$A$68)
+COUNT(Nipples!$A$9:$A$81)
+COUNT(Manifold!$A$8:$A$32)
+COUNT(FlexibleRepairCouplings!$A$8:$A$11)
+COUNT(DuraFix!$A$8:$A$14)
+COUNT('Compression Fittings'!$A$8:$A$15)
+COUNT('Hose Fittings'!$A$8:$A$29)
+COUNT(#REF!)
+COUNT('Swing Joints'!$A$9:$A$494)
+COUNT('Swing Joints Components'!$A$9:$A$134)
+1,"")</f>
        <v/>
      </c>
      <c r="B41" s="79">
        <v>9</v>
      </c>
      <c r="C41" s="95"/>
      <c r="D41" s="96"/>
      <c r="E41" s="97"/>
      <c r="F41" s="96"/>
      <c r="G41" s="98"/>
      <c r="H41" s="99"/>
      <c r="I41" s="100"/>
      <c r="J41" s="83">
        <f t="shared" si="0"/>
        <v>0</v>
      </c>
      <c r="K41" s="38">
        <f t="shared" si="1"/>
        <v>0</v>
      </c>
    </row>
    <row r="42" spans="1:11" ht="15" thickBot="1">
      <c r="A42" s="5">
        <f>MAX(A33:A41)+1</f>
        <v>1</v>
      </c>
      <c r="H42" s="716" t="s">
        <v>3631</v>
      </c>
      <c r="I42" s="716"/>
      <c r="J42" s="717"/>
      <c r="K42" s="67">
        <f>SUM(K33:K41)</f>
        <v>0</v>
      </c>
    </row>
    <row r="43" spans="1:11"/>
    <row r="44" spans="1:11"/>
    <row r="45" spans="1:11"/>
  </sheetData>
  <sheetProtection algorithmName="SHA-512" hashValue="lVpIS8c2Ucg1k7U9c8MC1ASKne9R9n+bY6TIEa5l/gvM5bsXWDzUmnYF0f5nBSwHFM2PdKf8lqUuGSmR8SGW4A==" saltValue="jMCzGBF4Ewz2oEfEMVRFBg==" spinCount="100000" sheet="1" objects="1" scenarios="1"/>
  <mergeCells count="14">
    <mergeCell ref="H42:J42"/>
    <mergeCell ref="E8:F8"/>
    <mergeCell ref="D4:F4"/>
    <mergeCell ref="H4:I4"/>
    <mergeCell ref="F1:I1"/>
    <mergeCell ref="D12:F12"/>
    <mergeCell ref="D10:F10"/>
    <mergeCell ref="C7:D8"/>
    <mergeCell ref="D3:F3"/>
    <mergeCell ref="H3:I3"/>
    <mergeCell ref="D6:F6"/>
    <mergeCell ref="D5:F5"/>
    <mergeCell ref="H10:I10"/>
    <mergeCell ref="H12:I12"/>
  </mergeCells>
  <dataValidations xWindow="94" yWindow="601" count="8">
    <dataValidation type="textLength" operator="lessThan" showInputMessage="1" showErrorMessage="1" error="This field cannot be left blank!" prompt="Enter item part number" sqref="E33:E41" xr:uid="{00000000-0002-0000-0E00-000000000000}">
      <formula1>10</formula1>
    </dataValidation>
    <dataValidation type="textLength" operator="lessThan" allowBlank="1" showInputMessage="1" showErrorMessage="1" prompt="Enter Tigre code if known" sqref="F33:F41" xr:uid="{00000000-0002-0000-0E00-000001000000}">
      <formula1>10</formula1>
    </dataValidation>
    <dataValidation type="textLength" operator="lessThan" showInputMessage="1" showErrorMessage="1" error="This field cannot be left blank!" prompt="Enter item description" sqref="G33:G41" xr:uid="{00000000-0002-0000-0E00-000002000000}">
      <formula1>100</formula1>
    </dataValidation>
    <dataValidation allowBlank="1" showInputMessage="1" showErrorMessage="1" promptTitle="Enter current list price" prompt="Subject to verification" sqref="H33:H41" xr:uid="{00000000-0002-0000-0E00-000003000000}"/>
    <dataValidation type="whole" operator="greaterThanOrEqual" showInputMessage="1" showErrorMessage="1" error="A quantity must be entered!" prompt="Quantities must be box quantities" sqref="C33:C41" xr:uid="{00000000-0002-0000-0E00-000004000000}">
      <formula1>1</formula1>
    </dataValidation>
    <dataValidation type="decimal" operator="greaterThan" allowBlank="1" showInputMessage="1" showErrorMessage="1" error="Entry must be a decimal number less than zero" prompt="Enter multiplier as a decimal number" sqref="I33:I41" xr:uid="{00000000-0002-0000-0E00-000005000000}">
      <formula1>0</formula1>
    </dataValidation>
    <dataValidation allowBlank="1" showInputMessage="1" showErrorMessage="1" promptTitle="Enter current date" prompt="Enter current date in mm/dd/yyyy format" sqref="D1" xr:uid="{00000000-0002-0000-0E00-000006000000}"/>
    <dataValidation type="list" showInputMessage="1" showErrorMessage="1" prompt="Select product line of desired item" sqref="D33:D41" xr:uid="{00000000-0002-0000-0E00-000007000000}">
      <formula1>$J$2:$J$28</formula1>
    </dataValidation>
  </dataValidations>
  <printOptions horizontalCentered="1"/>
  <pageMargins left="0.25" right="0.25" top="0.95" bottom="0.75" header="0.3" footer="0.3"/>
  <pageSetup paperSize="9" scale="63" fitToHeight="0" orientation="portrait" horizontalDpi="4294967292" r:id="rId1"/>
  <headerFooter>
    <oddHeader>&amp;L&amp;G&amp;C&amp;"-,Bold"&amp;22&amp;K002060Non-Standard Items Order/Quote Form&amp;R&amp;G</oddHeader>
    <oddFooter>&amp;L&amp;8V06032014&amp;CCopyright 2014
All rights reserved
For Tigre-ADS USA customer and rep use only_x000D_&amp;1#&amp;"Aptos"&amp;11&amp;K000000 TIGRE:Internal&amp;R&amp;P</oddFooter>
  </headerFooter>
  <legacyDrawingHF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2" tint="-0.249977111117893"/>
    <pageSetUpPr fitToPage="1"/>
  </sheetPr>
  <dimension ref="A1:O47"/>
  <sheetViews>
    <sheetView topLeftCell="A26" workbookViewId="0">
      <selection activeCell="O8" sqref="O8"/>
    </sheetView>
  </sheetViews>
  <sheetFormatPr defaultColWidth="0" defaultRowHeight="14.4" zeroHeight="1"/>
  <cols>
    <col min="1" max="15" width="9.109375" style="2" customWidth="1"/>
    <col min="16" max="16384" width="9.109375" style="2"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sheetData>
  <sheetProtection algorithmName="SHA-512" hashValue="+jeDYPBDpa+t6iBmbaYqpmMkhlAr9MIgD0XmrqPkAt9bvZjHFpr5nIw3vLYD/rGPTlDff5jTn/IkAP5l7Vh2LA==" saltValue="seU6tBYb2NsfyFD61bWB/Q==" spinCount="100000" sheet="1" objects="1" scenarios="1"/>
  <printOptions horizontalCentered="1"/>
  <pageMargins left="0.7" right="0.7" top="0.95" bottom="0.75" header="0.3" footer="0.3"/>
  <pageSetup scale="70" fitToHeight="0" orientation="portrait" horizontalDpi="4294967292" r:id="rId1"/>
  <headerFooter>
    <oddHeader>&amp;L&amp;G&amp;R&amp;G</oddHeader>
    <oddFooter>&amp;L&amp;8V06032014&amp;CCopyright 2014
All rights reserved
For Tigre-ADS USA customer and rep use only_x000D_&amp;1#&amp;"Aptos"&amp;11&amp;K000000 TIGRE:Internal&amp;R&amp;P</oddFooter>
  </headerFooter>
  <drawing r:id="rId2"/>
  <legacyDrawing r:id="rId3"/>
  <legacyDrawingHF r:id="rId4"/>
  <oleObjects>
    <mc:AlternateContent xmlns:mc="http://schemas.openxmlformats.org/markup-compatibility/2006">
      <mc:Choice Requires="x14">
        <oleObject progId="Document" shapeId="25602" r:id="rId5">
          <objectPr defaultSize="0" r:id="rId6">
            <anchor moveWithCells="1">
              <from>
                <xdr:col>0</xdr:col>
                <xdr:colOff>251460</xdr:colOff>
                <xdr:row>0</xdr:row>
                <xdr:rowOff>30480</xdr:rowOff>
              </from>
              <to>
                <xdr:col>13</xdr:col>
                <xdr:colOff>480060</xdr:colOff>
                <xdr:row>46</xdr:row>
                <xdr:rowOff>30480</xdr:rowOff>
              </to>
            </anchor>
          </objectPr>
        </oleObject>
      </mc:Choice>
      <mc:Fallback>
        <oleObject progId="Document" shapeId="25602" r:id="rId5"/>
      </mc:Fallback>
    </mc:AlternateContent>
  </oleObjec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D7925-A56E-4C44-A6E1-1300773593FE}">
  <sheetPr codeName="Sheet32">
    <tabColor theme="0"/>
    <pageSetUpPr fitToPage="1"/>
  </sheetPr>
  <dimension ref="A1:AS2761"/>
  <sheetViews>
    <sheetView topLeftCell="A2" workbookViewId="0">
      <selection activeCell="E578" sqref="E578"/>
    </sheetView>
  </sheetViews>
  <sheetFormatPr defaultColWidth="0" defaultRowHeight="0" customHeight="1" zeroHeight="1"/>
  <cols>
    <col min="1" max="1" width="3.33203125" style="147" customWidth="1"/>
    <col min="2" max="2" width="24.33203125" style="20" customWidth="1"/>
    <col min="3" max="4" width="14.6640625" style="20" customWidth="1"/>
    <col min="5" max="5" width="49.33203125" style="184" bestFit="1" customWidth="1"/>
    <col min="6" max="7" width="10.6640625" style="4" customWidth="1"/>
    <col min="8" max="8" width="13.88671875" style="367" bestFit="1" customWidth="1"/>
    <col min="9" max="9" width="12.6640625" style="184" customWidth="1"/>
    <col min="10" max="10" width="10.6640625" style="184" customWidth="1"/>
    <col min="11" max="11" width="11.6640625" style="395" bestFit="1" customWidth="1"/>
    <col min="12" max="12" width="14.88671875" style="184" customWidth="1"/>
    <col min="13" max="13" width="13.109375" style="395" customWidth="1"/>
    <col min="14" max="14" width="10.6640625" style="184" customWidth="1"/>
    <col min="15" max="15" width="9.109375" style="2" customWidth="1"/>
    <col min="16" max="17" width="10.6640625" style="184" customWidth="1"/>
    <col min="18" max="18" width="0" style="11" hidden="1" customWidth="1"/>
    <col min="19" max="45" width="0" style="2" hidden="1" customWidth="1"/>
    <col min="46" max="16384" width="9.109375" style="2" hidden="1"/>
  </cols>
  <sheetData>
    <row r="1" spans="1:18" ht="18" hidden="1">
      <c r="E1" s="211" t="s">
        <v>42</v>
      </c>
      <c r="F1" s="211"/>
      <c r="G1" s="211"/>
      <c r="I1" s="152"/>
      <c r="J1" s="152"/>
      <c r="K1" s="491"/>
      <c r="L1" s="152"/>
      <c r="M1" s="152"/>
      <c r="N1" s="152"/>
      <c r="P1" s="152"/>
      <c r="Q1" s="152"/>
    </row>
    <row r="2" spans="1:18" ht="15.75" customHeight="1">
      <c r="B2" s="200"/>
      <c r="C2" s="200"/>
      <c r="D2" s="218"/>
      <c r="M2" s="184"/>
    </row>
    <row r="3" spans="1:18" ht="14.4">
      <c r="E3" s="323"/>
      <c r="I3" s="2"/>
      <c r="M3" s="184"/>
    </row>
    <row r="4" spans="1:18" ht="14.4">
      <c r="D4" s="147" t="s">
        <v>332</v>
      </c>
      <c r="E4" s="327" t="s">
        <v>3632</v>
      </c>
      <c r="H4" s="368"/>
      <c r="I4" s="2"/>
      <c r="J4" s="2"/>
      <c r="K4" s="9"/>
      <c r="L4" s="2"/>
      <c r="M4" s="2"/>
      <c r="N4" s="2"/>
      <c r="P4" s="2"/>
      <c r="Q4" s="2"/>
    </row>
    <row r="5" spans="1:18" ht="14.4">
      <c r="E5" s="325" t="s">
        <v>5973</v>
      </c>
      <c r="H5" s="368"/>
      <c r="I5" s="2"/>
      <c r="J5" s="2"/>
      <c r="K5" s="9"/>
      <c r="L5" s="2"/>
      <c r="M5" s="2"/>
      <c r="N5" s="2"/>
      <c r="P5" s="2"/>
      <c r="Q5" s="2"/>
    </row>
    <row r="6" spans="1:18" ht="14.4">
      <c r="E6" s="17"/>
      <c r="F6" s="20"/>
      <c r="G6" s="20"/>
      <c r="H6" s="368"/>
      <c r="I6" s="17"/>
      <c r="J6" s="17"/>
      <c r="K6" s="614" t="s">
        <v>64</v>
      </c>
      <c r="L6" s="614"/>
      <c r="M6" s="614"/>
      <c r="N6" s="17"/>
      <c r="P6" s="17"/>
      <c r="Q6" s="17"/>
    </row>
    <row r="7" spans="1:18" s="17" customFormat="1" ht="36" customHeight="1">
      <c r="A7" s="43"/>
      <c r="B7" s="136" t="s">
        <v>2</v>
      </c>
      <c r="C7" s="136" t="s">
        <v>48</v>
      </c>
      <c r="D7" s="136" t="s">
        <v>49</v>
      </c>
      <c r="E7" s="136" t="s">
        <v>50</v>
      </c>
      <c r="F7" s="136" t="s">
        <v>65</v>
      </c>
      <c r="G7" s="136" t="s">
        <v>66</v>
      </c>
      <c r="H7" s="157" t="s">
        <v>51</v>
      </c>
      <c r="I7" s="213" t="s">
        <v>68</v>
      </c>
      <c r="J7" s="213" t="s">
        <v>69</v>
      </c>
      <c r="K7" s="396" t="s">
        <v>70</v>
      </c>
      <c r="L7" s="213" t="s">
        <v>71</v>
      </c>
      <c r="M7" s="213" t="s">
        <v>72</v>
      </c>
      <c r="N7" s="213" t="s">
        <v>73</v>
      </c>
      <c r="O7" s="213" t="s">
        <v>333</v>
      </c>
      <c r="P7" s="213" t="s">
        <v>328</v>
      </c>
      <c r="Q7" s="213" t="s">
        <v>329</v>
      </c>
      <c r="R7" s="216"/>
    </row>
    <row r="8" spans="1:18" ht="15" customHeight="1">
      <c r="A8" s="147">
        <v>1</v>
      </c>
      <c r="B8" s="51" t="s">
        <v>6</v>
      </c>
      <c r="C8" s="51" t="s">
        <v>3633</v>
      </c>
      <c r="D8" s="51">
        <v>300005635</v>
      </c>
      <c r="E8" s="53" t="s">
        <v>3634</v>
      </c>
      <c r="F8" s="124">
        <v>100</v>
      </c>
      <c r="G8" s="124">
        <v>8000</v>
      </c>
      <c r="H8" s="486" t="s">
        <v>5866</v>
      </c>
      <c r="I8" s="215" t="s">
        <v>816</v>
      </c>
      <c r="J8" s="215" t="s">
        <v>77</v>
      </c>
      <c r="K8" s="266">
        <v>810673013821</v>
      </c>
      <c r="L8" s="265" t="s">
        <v>649</v>
      </c>
      <c r="M8" s="265" t="s">
        <v>649</v>
      </c>
      <c r="N8" s="264">
        <v>0.08</v>
      </c>
      <c r="O8" s="265" t="s">
        <v>649</v>
      </c>
      <c r="P8" s="265">
        <v>8</v>
      </c>
      <c r="Q8" s="265" t="s">
        <v>649</v>
      </c>
    </row>
    <row r="9" spans="1:18" ht="15" customHeight="1">
      <c r="A9" s="147">
        <v>2</v>
      </c>
      <c r="B9" s="51" t="s">
        <v>6</v>
      </c>
      <c r="C9" s="51" t="s">
        <v>3635</v>
      </c>
      <c r="D9" s="51">
        <v>100028841</v>
      </c>
      <c r="E9" s="53" t="s">
        <v>3636</v>
      </c>
      <c r="F9" s="124">
        <v>100</v>
      </c>
      <c r="G9" s="124">
        <v>6300</v>
      </c>
      <c r="H9" s="369">
        <v>13.56</v>
      </c>
      <c r="I9" s="215" t="s">
        <v>76</v>
      </c>
      <c r="J9" s="215" t="s">
        <v>102</v>
      </c>
      <c r="K9" s="266">
        <v>810673013838</v>
      </c>
      <c r="L9" s="265" t="s">
        <v>649</v>
      </c>
      <c r="M9" s="266">
        <v>10810673013835</v>
      </c>
      <c r="N9" s="264">
        <v>0.109</v>
      </c>
      <c r="O9" s="265" t="s">
        <v>649</v>
      </c>
      <c r="P9" s="265">
        <v>10.9</v>
      </c>
      <c r="Q9" s="265">
        <v>0.66940792428507967</v>
      </c>
    </row>
    <row r="10" spans="1:18" ht="15" customHeight="1">
      <c r="A10" s="147">
        <v>3</v>
      </c>
      <c r="B10" s="51" t="s">
        <v>6</v>
      </c>
      <c r="C10" s="51" t="s">
        <v>3637</v>
      </c>
      <c r="D10" s="51">
        <v>100028842</v>
      </c>
      <c r="E10" s="53" t="s">
        <v>3638</v>
      </c>
      <c r="F10" s="124">
        <v>100</v>
      </c>
      <c r="G10" s="124">
        <v>4500</v>
      </c>
      <c r="H10" s="369">
        <v>18.600000000000001</v>
      </c>
      <c r="I10" s="215" t="s">
        <v>76</v>
      </c>
      <c r="J10" s="215" t="s">
        <v>102</v>
      </c>
      <c r="K10" s="266">
        <v>810673013845</v>
      </c>
      <c r="L10" s="265" t="s">
        <v>649</v>
      </c>
      <c r="M10" s="266">
        <v>10810673013842</v>
      </c>
      <c r="N10" s="264">
        <v>0.13900000000000001</v>
      </c>
      <c r="O10" s="265" t="s">
        <v>649</v>
      </c>
      <c r="P10" s="265">
        <v>13.900000000000002</v>
      </c>
      <c r="Q10" s="265">
        <v>0.98955954024750914</v>
      </c>
    </row>
    <row r="11" spans="1:18" ht="15" customHeight="1">
      <c r="A11" s="147">
        <v>4</v>
      </c>
      <c r="B11" s="51" t="s">
        <v>6</v>
      </c>
      <c r="C11" s="51" t="s">
        <v>3639</v>
      </c>
      <c r="D11" s="51">
        <v>100028843</v>
      </c>
      <c r="E11" s="53" t="s">
        <v>3640</v>
      </c>
      <c r="F11" s="124">
        <v>60</v>
      </c>
      <c r="G11" s="124">
        <v>1080</v>
      </c>
      <c r="H11" s="369">
        <v>64.819999999999993</v>
      </c>
      <c r="I11" s="215" t="s">
        <v>76</v>
      </c>
      <c r="J11" s="215" t="s">
        <v>102</v>
      </c>
      <c r="K11" s="266">
        <v>810673013869</v>
      </c>
      <c r="L11" s="265" t="s">
        <v>649</v>
      </c>
      <c r="M11" s="266">
        <v>10810673013866</v>
      </c>
      <c r="N11" s="264">
        <v>0.52900000000000003</v>
      </c>
      <c r="O11" s="265" t="s">
        <v>649</v>
      </c>
      <c r="P11" s="265">
        <v>31.740000000000002</v>
      </c>
      <c r="Q11" s="265">
        <v>2.361325291407383</v>
      </c>
    </row>
    <row r="12" spans="1:18" ht="15" customHeight="1">
      <c r="A12" s="147">
        <v>5</v>
      </c>
      <c r="B12" s="51" t="s">
        <v>6</v>
      </c>
      <c r="C12" s="51" t="s">
        <v>3641</v>
      </c>
      <c r="D12" s="51">
        <v>100028844</v>
      </c>
      <c r="E12" s="53" t="s">
        <v>3642</v>
      </c>
      <c r="F12" s="124">
        <v>25</v>
      </c>
      <c r="G12" s="124">
        <v>600</v>
      </c>
      <c r="H12" s="369">
        <v>110.08</v>
      </c>
      <c r="I12" s="215" t="s">
        <v>76</v>
      </c>
      <c r="J12" s="215" t="s">
        <v>102</v>
      </c>
      <c r="K12" s="266">
        <v>810673013852</v>
      </c>
      <c r="L12" s="265" t="s">
        <v>649</v>
      </c>
      <c r="M12" s="266">
        <v>10810673013859</v>
      </c>
      <c r="N12" s="264">
        <v>0.95</v>
      </c>
      <c r="O12" s="265" t="s">
        <v>649</v>
      </c>
      <c r="P12" s="265">
        <v>23.75</v>
      </c>
      <c r="Q12" s="265">
        <v>1.8803145838984718</v>
      </c>
    </row>
    <row r="13" spans="1:18" ht="15" customHeight="1">
      <c r="A13" s="147">
        <v>6</v>
      </c>
      <c r="B13" s="51" t="s">
        <v>6</v>
      </c>
      <c r="C13" s="51" t="s">
        <v>3643</v>
      </c>
      <c r="D13" s="51">
        <v>100028845</v>
      </c>
      <c r="E13" s="53" t="s">
        <v>3644</v>
      </c>
      <c r="F13" s="124">
        <v>15</v>
      </c>
      <c r="G13" s="124">
        <v>180</v>
      </c>
      <c r="H13" s="369">
        <v>360.96</v>
      </c>
      <c r="I13" s="215" t="s">
        <v>76</v>
      </c>
      <c r="J13" s="215" t="s">
        <v>102</v>
      </c>
      <c r="K13" s="266">
        <v>810673015351</v>
      </c>
      <c r="L13" s="265" t="s">
        <v>649</v>
      </c>
      <c r="M13" s="266">
        <v>810673015368</v>
      </c>
      <c r="N13" s="264">
        <v>2.31</v>
      </c>
      <c r="O13" s="265" t="s">
        <v>649</v>
      </c>
      <c r="P13" s="265">
        <v>34.65</v>
      </c>
      <c r="Q13" s="265">
        <v>3.6731726755225957</v>
      </c>
    </row>
    <row r="14" spans="1:18" ht="15" customHeight="1">
      <c r="A14" s="147">
        <v>7</v>
      </c>
      <c r="B14" s="51" t="s">
        <v>6</v>
      </c>
      <c r="C14" s="51" t="s">
        <v>3645</v>
      </c>
      <c r="D14" s="51">
        <v>100028846</v>
      </c>
      <c r="E14" s="53" t="s">
        <v>3646</v>
      </c>
      <c r="F14" s="124">
        <v>100</v>
      </c>
      <c r="G14" s="124">
        <v>6300</v>
      </c>
      <c r="H14" s="369">
        <v>25.67</v>
      </c>
      <c r="I14" s="215" t="s">
        <v>346</v>
      </c>
      <c r="J14" s="215" t="s">
        <v>102</v>
      </c>
      <c r="K14" s="266">
        <v>810673012541</v>
      </c>
      <c r="L14" s="265" t="s">
        <v>649</v>
      </c>
      <c r="M14" s="266">
        <v>10810673012548</v>
      </c>
      <c r="N14" s="264">
        <v>0.127</v>
      </c>
      <c r="O14" s="265" t="s">
        <v>649</v>
      </c>
      <c r="P14" s="265">
        <v>12.7</v>
      </c>
      <c r="Q14" s="265">
        <v>0.66940792428507967</v>
      </c>
    </row>
    <row r="15" spans="1:18" ht="15" customHeight="1">
      <c r="A15" s="147">
        <v>8</v>
      </c>
      <c r="B15" s="51" t="s">
        <v>6</v>
      </c>
      <c r="C15" s="51" t="s">
        <v>3647</v>
      </c>
      <c r="D15" s="51">
        <v>100028847</v>
      </c>
      <c r="E15" s="53" t="s">
        <v>3648</v>
      </c>
      <c r="F15" s="124">
        <v>100</v>
      </c>
      <c r="G15" s="124">
        <v>4500</v>
      </c>
      <c r="H15" s="369">
        <v>43.81</v>
      </c>
      <c r="I15" s="215" t="s">
        <v>346</v>
      </c>
      <c r="J15" s="215" t="s">
        <v>102</v>
      </c>
      <c r="K15" s="266">
        <v>810673013319</v>
      </c>
      <c r="L15" s="265" t="s">
        <v>649</v>
      </c>
      <c r="M15" s="266">
        <v>10810673013316</v>
      </c>
      <c r="N15" s="264">
        <v>0.17199999999999999</v>
      </c>
      <c r="O15" s="265" t="s">
        <v>649</v>
      </c>
      <c r="P15" s="265">
        <v>17.2</v>
      </c>
      <c r="Q15" s="265">
        <v>0.98955954024750914</v>
      </c>
    </row>
    <row r="16" spans="1:18" ht="15" customHeight="1">
      <c r="A16" s="147">
        <v>9</v>
      </c>
      <c r="B16" s="51" t="s">
        <v>6</v>
      </c>
      <c r="C16" s="51" t="s">
        <v>3649</v>
      </c>
      <c r="D16" s="51">
        <v>100028848</v>
      </c>
      <c r="E16" s="53" t="s">
        <v>3650</v>
      </c>
      <c r="F16" s="124">
        <v>30</v>
      </c>
      <c r="G16" s="124">
        <v>1350</v>
      </c>
      <c r="H16" s="369">
        <v>116.9</v>
      </c>
      <c r="I16" s="215" t="s">
        <v>76</v>
      </c>
      <c r="J16" s="215" t="s">
        <v>102</v>
      </c>
      <c r="K16" s="266">
        <v>810673013326</v>
      </c>
      <c r="L16" s="265" t="s">
        <v>649</v>
      </c>
      <c r="M16" s="266">
        <v>10810673013323</v>
      </c>
      <c r="N16" s="264">
        <v>0.54600000000000004</v>
      </c>
      <c r="O16" s="265" t="s">
        <v>649</v>
      </c>
      <c r="P16" s="265">
        <v>16.380000000000003</v>
      </c>
      <c r="Q16" s="265">
        <v>0.98955954024750914</v>
      </c>
    </row>
    <row r="17" spans="1:17" ht="15" customHeight="1">
      <c r="A17" s="147">
        <v>10</v>
      </c>
      <c r="B17" s="51" t="s">
        <v>6</v>
      </c>
      <c r="C17" s="51" t="s">
        <v>3651</v>
      </c>
      <c r="D17" s="51">
        <v>100028849</v>
      </c>
      <c r="E17" s="53" t="s">
        <v>3652</v>
      </c>
      <c r="F17" s="124">
        <v>10</v>
      </c>
      <c r="G17" s="124">
        <v>630</v>
      </c>
      <c r="H17" s="369">
        <v>151.83000000000001</v>
      </c>
      <c r="I17" s="215" t="s">
        <v>76</v>
      </c>
      <c r="J17" s="215" t="s">
        <v>102</v>
      </c>
      <c r="K17" s="266">
        <v>810673013333</v>
      </c>
      <c r="L17" s="265" t="s">
        <v>649</v>
      </c>
      <c r="M17" s="266">
        <v>10810673013330</v>
      </c>
      <c r="N17" s="264">
        <v>0.97699999999999998</v>
      </c>
      <c r="O17" s="265" t="s">
        <v>649</v>
      </c>
      <c r="P17" s="265">
        <v>9.77</v>
      </c>
      <c r="Q17" s="265">
        <v>0.66940792428507967</v>
      </c>
    </row>
    <row r="18" spans="1:17" ht="15" customHeight="1">
      <c r="A18" s="147">
        <v>11</v>
      </c>
      <c r="B18" s="51" t="s">
        <v>6</v>
      </c>
      <c r="C18" s="51" t="s">
        <v>3653</v>
      </c>
      <c r="D18" s="51">
        <v>100028850</v>
      </c>
      <c r="E18" s="53" t="s">
        <v>3654</v>
      </c>
      <c r="F18" s="124">
        <v>10</v>
      </c>
      <c r="G18" s="124">
        <v>240</v>
      </c>
      <c r="H18" s="369">
        <v>487.15</v>
      </c>
      <c r="I18" s="215" t="s">
        <v>76</v>
      </c>
      <c r="J18" s="215" t="s">
        <v>102</v>
      </c>
      <c r="K18" s="266">
        <v>810673014125</v>
      </c>
      <c r="L18" s="265" t="s">
        <v>649</v>
      </c>
      <c r="M18" s="266">
        <v>810673015634</v>
      </c>
      <c r="N18" s="264">
        <v>2.069</v>
      </c>
      <c r="O18" s="265" t="s">
        <v>649</v>
      </c>
      <c r="P18" s="265">
        <v>20.689999999999998</v>
      </c>
      <c r="Q18" s="265">
        <v>1.8803145838984718</v>
      </c>
    </row>
    <row r="19" spans="1:17" ht="15" customHeight="1">
      <c r="A19" s="147">
        <v>12</v>
      </c>
      <c r="B19" s="51" t="s">
        <v>6</v>
      </c>
      <c r="C19" s="51" t="s">
        <v>3655</v>
      </c>
      <c r="D19" s="51">
        <v>100028852</v>
      </c>
      <c r="E19" s="53" t="s">
        <v>3656</v>
      </c>
      <c r="F19" s="124">
        <v>25</v>
      </c>
      <c r="G19" s="124">
        <v>3200</v>
      </c>
      <c r="H19" s="369">
        <v>41.25</v>
      </c>
      <c r="I19" s="215" t="s">
        <v>76</v>
      </c>
      <c r="J19" s="215" t="s">
        <v>102</v>
      </c>
      <c r="K19" s="266">
        <v>810673014798</v>
      </c>
      <c r="L19" s="265" t="s">
        <v>649</v>
      </c>
      <c r="M19" s="266">
        <v>10810673014795</v>
      </c>
      <c r="N19" s="264">
        <v>0.17199999999999999</v>
      </c>
      <c r="O19" s="265" t="s">
        <v>649</v>
      </c>
      <c r="P19" s="265">
        <v>4.3</v>
      </c>
      <c r="Q19" s="265">
        <v>0.32375720697715193</v>
      </c>
    </row>
    <row r="20" spans="1:17" ht="15" customHeight="1">
      <c r="A20" s="147">
        <v>13</v>
      </c>
      <c r="B20" s="51" t="s">
        <v>6</v>
      </c>
      <c r="C20" s="51" t="s">
        <v>3657</v>
      </c>
      <c r="D20" s="51">
        <v>100028853</v>
      </c>
      <c r="E20" s="53" t="s">
        <v>3658</v>
      </c>
      <c r="F20" s="124">
        <v>25</v>
      </c>
      <c r="G20" s="124">
        <v>1575</v>
      </c>
      <c r="H20" s="369">
        <v>120.83</v>
      </c>
      <c r="I20" s="215" t="s">
        <v>346</v>
      </c>
      <c r="J20" s="215" t="s">
        <v>102</v>
      </c>
      <c r="K20" s="266">
        <v>810673014811</v>
      </c>
      <c r="L20" s="265" t="s">
        <v>649</v>
      </c>
      <c r="M20" s="266">
        <v>10810673014818</v>
      </c>
      <c r="N20" s="264">
        <v>0.45100000000000001</v>
      </c>
      <c r="O20" s="265" t="s">
        <v>649</v>
      </c>
      <c r="P20" s="265">
        <v>11.275</v>
      </c>
      <c r="Q20" s="265">
        <v>0.66940792428507967</v>
      </c>
    </row>
    <row r="21" spans="1:17" ht="15" customHeight="1">
      <c r="A21" s="147">
        <v>14</v>
      </c>
      <c r="B21" s="51" t="s">
        <v>6</v>
      </c>
      <c r="C21" s="51" t="s">
        <v>3659</v>
      </c>
      <c r="D21" s="51">
        <v>100028854</v>
      </c>
      <c r="E21" s="53" t="s">
        <v>3660</v>
      </c>
      <c r="F21" s="124">
        <v>20</v>
      </c>
      <c r="G21" s="124">
        <v>1600</v>
      </c>
      <c r="H21" s="369">
        <v>94.08</v>
      </c>
      <c r="I21" s="215" t="s">
        <v>76</v>
      </c>
      <c r="J21" s="215" t="s">
        <v>102</v>
      </c>
      <c r="K21" s="266">
        <v>810673014835</v>
      </c>
      <c r="L21" s="265" t="s">
        <v>649</v>
      </c>
      <c r="M21" s="266">
        <v>10810673014832</v>
      </c>
      <c r="N21" s="264">
        <v>0.433</v>
      </c>
      <c r="O21" s="265" t="s">
        <v>649</v>
      </c>
      <c r="P21" s="265">
        <v>8.66</v>
      </c>
      <c r="Q21" s="265">
        <v>0.4856358104657279</v>
      </c>
    </row>
    <row r="22" spans="1:17" ht="15" customHeight="1">
      <c r="A22" s="147">
        <v>15</v>
      </c>
      <c r="B22" s="51" t="s">
        <v>6</v>
      </c>
      <c r="C22" s="51" t="s">
        <v>3661</v>
      </c>
      <c r="D22" s="51">
        <v>100028855</v>
      </c>
      <c r="E22" s="53" t="s">
        <v>3662</v>
      </c>
      <c r="F22" s="124">
        <v>10</v>
      </c>
      <c r="G22" s="124">
        <v>630</v>
      </c>
      <c r="H22" s="369">
        <v>184.41</v>
      </c>
      <c r="I22" s="215" t="s">
        <v>76</v>
      </c>
      <c r="J22" s="215" t="s">
        <v>102</v>
      </c>
      <c r="K22" s="266">
        <v>810673014859</v>
      </c>
      <c r="L22" s="265" t="s">
        <v>649</v>
      </c>
      <c r="M22" s="266">
        <v>10810673014856</v>
      </c>
      <c r="N22" s="264">
        <v>0.82299999999999995</v>
      </c>
      <c r="O22" s="265" t="s">
        <v>649</v>
      </c>
      <c r="P22" s="265">
        <v>8.23</v>
      </c>
      <c r="Q22" s="265">
        <v>0.66940792428507967</v>
      </c>
    </row>
    <row r="23" spans="1:17" ht="15" customHeight="1">
      <c r="A23" s="147">
        <v>16</v>
      </c>
      <c r="B23" s="51" t="s">
        <v>6</v>
      </c>
      <c r="C23" s="51" t="s">
        <v>3663</v>
      </c>
      <c r="D23" s="51">
        <v>100028856</v>
      </c>
      <c r="E23" s="53" t="s">
        <v>3664</v>
      </c>
      <c r="F23" s="124">
        <v>10</v>
      </c>
      <c r="G23" s="124">
        <v>630</v>
      </c>
      <c r="H23" s="369">
        <v>197.1</v>
      </c>
      <c r="I23" s="215" t="s">
        <v>76</v>
      </c>
      <c r="J23" s="215" t="s">
        <v>102</v>
      </c>
      <c r="K23" s="266">
        <v>810673014873</v>
      </c>
      <c r="L23" s="265" t="s">
        <v>649</v>
      </c>
      <c r="M23" s="266">
        <v>810673014880</v>
      </c>
      <c r="N23" s="264">
        <v>0.93</v>
      </c>
      <c r="O23" s="265" t="s">
        <v>649</v>
      </c>
      <c r="P23" s="265">
        <v>9.3000000000000007</v>
      </c>
      <c r="Q23" s="265">
        <v>0.66940792428507967</v>
      </c>
    </row>
    <row r="24" spans="1:17" ht="15" customHeight="1">
      <c r="A24" s="147">
        <v>17</v>
      </c>
      <c r="B24" s="51" t="s">
        <v>6</v>
      </c>
      <c r="C24" s="51" t="s">
        <v>3665</v>
      </c>
      <c r="D24" s="51">
        <v>100028851</v>
      </c>
      <c r="E24" s="53" t="s">
        <v>3666</v>
      </c>
      <c r="F24" s="124">
        <v>4</v>
      </c>
      <c r="G24" s="124">
        <v>144</v>
      </c>
      <c r="H24" s="369">
        <v>766.68</v>
      </c>
      <c r="I24" s="215" t="s">
        <v>76</v>
      </c>
      <c r="J24" s="215" t="s">
        <v>102</v>
      </c>
      <c r="K24" s="266">
        <v>812361013175</v>
      </c>
      <c r="L24" s="265" t="s">
        <v>649</v>
      </c>
      <c r="M24" s="266">
        <v>812361019030</v>
      </c>
      <c r="N24" s="264">
        <v>2.657</v>
      </c>
      <c r="O24" s="265" t="s">
        <v>649</v>
      </c>
      <c r="P24" s="265">
        <v>10.628</v>
      </c>
      <c r="Q24" s="265">
        <v>1.8803145838984718</v>
      </c>
    </row>
    <row r="25" spans="1:17" ht="15" customHeight="1">
      <c r="A25" s="147">
        <v>18</v>
      </c>
      <c r="B25" s="51" t="s">
        <v>6</v>
      </c>
      <c r="C25" s="51" t="s">
        <v>3667</v>
      </c>
      <c r="D25" s="51">
        <v>300005637</v>
      </c>
      <c r="E25" s="53" t="s">
        <v>3668</v>
      </c>
      <c r="F25" s="124">
        <v>100</v>
      </c>
      <c r="G25" s="124">
        <v>8000</v>
      </c>
      <c r="H25" s="486" t="s">
        <v>5866</v>
      </c>
      <c r="I25" s="215" t="s">
        <v>816</v>
      </c>
      <c r="J25" s="215" t="s">
        <v>77</v>
      </c>
      <c r="K25" s="266">
        <v>810673015238</v>
      </c>
      <c r="L25" s="265" t="s">
        <v>649</v>
      </c>
      <c r="M25" s="265" t="s">
        <v>649</v>
      </c>
      <c r="N25" s="264">
        <v>0.08</v>
      </c>
      <c r="O25" s="265" t="s">
        <v>649</v>
      </c>
      <c r="P25" s="265">
        <v>8</v>
      </c>
      <c r="Q25" s="265" t="s">
        <v>649</v>
      </c>
    </row>
    <row r="26" spans="1:17" ht="15" customHeight="1">
      <c r="A26" s="147">
        <v>19</v>
      </c>
      <c r="B26" s="51" t="s">
        <v>6</v>
      </c>
      <c r="C26" s="51" t="s">
        <v>3669</v>
      </c>
      <c r="D26" s="51">
        <v>100028861</v>
      </c>
      <c r="E26" s="53" t="s">
        <v>3670</v>
      </c>
      <c r="F26" s="124">
        <v>50</v>
      </c>
      <c r="G26" s="124">
        <v>7200</v>
      </c>
      <c r="H26" s="369">
        <v>50.02</v>
      </c>
      <c r="I26" s="215" t="s">
        <v>346</v>
      </c>
      <c r="J26" s="215" t="s">
        <v>102</v>
      </c>
      <c r="K26" s="266">
        <v>810673015214</v>
      </c>
      <c r="L26" s="265" t="s">
        <v>649</v>
      </c>
      <c r="M26" s="266">
        <v>810673015221</v>
      </c>
      <c r="N26" s="264">
        <v>8.5999999999999993E-2</v>
      </c>
      <c r="O26" s="265" t="s">
        <v>649</v>
      </c>
      <c r="P26" s="265">
        <v>4.3</v>
      </c>
      <c r="Q26" s="265">
        <v>0.26544609711836381</v>
      </c>
    </row>
    <row r="27" spans="1:17" ht="15" customHeight="1">
      <c r="A27" s="147">
        <v>20</v>
      </c>
      <c r="B27" s="51" t="s">
        <v>6</v>
      </c>
      <c r="C27" s="51" t="s">
        <v>3671</v>
      </c>
      <c r="D27" s="51">
        <v>100028857</v>
      </c>
      <c r="E27" s="53" t="s">
        <v>3672</v>
      </c>
      <c r="F27" s="124">
        <v>75</v>
      </c>
      <c r="G27" s="124">
        <v>6000</v>
      </c>
      <c r="H27" s="369">
        <v>57.74</v>
      </c>
      <c r="I27" s="215" t="s">
        <v>76</v>
      </c>
      <c r="J27" s="215" t="s">
        <v>102</v>
      </c>
      <c r="K27" s="266">
        <v>812361011188</v>
      </c>
      <c r="L27" s="265" t="s">
        <v>649</v>
      </c>
      <c r="M27" s="266">
        <v>10812361011185</v>
      </c>
      <c r="N27" s="264">
        <v>0.111</v>
      </c>
      <c r="O27" s="265" t="s">
        <v>649</v>
      </c>
      <c r="P27" s="265">
        <v>8.3249999999999993</v>
      </c>
      <c r="Q27" s="265">
        <v>0.4856358104657279</v>
      </c>
    </row>
    <row r="28" spans="1:17" ht="15" customHeight="1">
      <c r="A28" s="147">
        <v>21</v>
      </c>
      <c r="B28" s="51" t="s">
        <v>6</v>
      </c>
      <c r="C28" s="51" t="s">
        <v>3673</v>
      </c>
      <c r="D28" s="51">
        <v>100028858</v>
      </c>
      <c r="E28" s="53" t="s">
        <v>3674</v>
      </c>
      <c r="F28" s="124">
        <v>50</v>
      </c>
      <c r="G28" s="124">
        <v>4000</v>
      </c>
      <c r="H28" s="369">
        <v>53.17</v>
      </c>
      <c r="I28" s="215" t="s">
        <v>76</v>
      </c>
      <c r="J28" s="215" t="s">
        <v>102</v>
      </c>
      <c r="K28" s="266">
        <v>812361011201</v>
      </c>
      <c r="L28" s="265" t="s">
        <v>649</v>
      </c>
      <c r="M28" s="266">
        <v>812361011218</v>
      </c>
      <c r="N28" s="264">
        <v>0.114</v>
      </c>
      <c r="O28" s="265" t="s">
        <v>649</v>
      </c>
      <c r="P28" s="265">
        <v>5.7</v>
      </c>
      <c r="Q28" s="265">
        <v>0.4856358104657279</v>
      </c>
    </row>
    <row r="29" spans="1:17" ht="15" customHeight="1">
      <c r="A29" s="147">
        <v>22</v>
      </c>
      <c r="B29" s="51" t="s">
        <v>6</v>
      </c>
      <c r="C29" s="51" t="s">
        <v>3675</v>
      </c>
      <c r="D29" s="51">
        <v>300005636</v>
      </c>
      <c r="E29" s="53" t="s">
        <v>3676</v>
      </c>
      <c r="F29" s="124">
        <v>50</v>
      </c>
      <c r="G29" s="124">
        <v>3600</v>
      </c>
      <c r="H29" s="486" t="s">
        <v>5866</v>
      </c>
      <c r="I29" s="215" t="s">
        <v>816</v>
      </c>
      <c r="J29" s="215" t="s">
        <v>77</v>
      </c>
      <c r="K29" s="266">
        <v>812361017623</v>
      </c>
      <c r="L29" s="265" t="s">
        <v>649</v>
      </c>
      <c r="M29" s="265" t="s">
        <v>649</v>
      </c>
      <c r="N29" s="264">
        <v>0.13</v>
      </c>
      <c r="O29" s="265" t="s">
        <v>649</v>
      </c>
      <c r="P29" s="265">
        <v>6.5</v>
      </c>
      <c r="Q29" s="265" t="s">
        <v>649</v>
      </c>
    </row>
    <row r="30" spans="1:17" ht="15" customHeight="1">
      <c r="A30" s="147">
        <v>23</v>
      </c>
      <c r="B30" s="51" t="s">
        <v>6</v>
      </c>
      <c r="C30" s="51" t="s">
        <v>3677</v>
      </c>
      <c r="D30" s="51">
        <v>300005638</v>
      </c>
      <c r="E30" s="53" t="s">
        <v>3678</v>
      </c>
      <c r="F30" s="124">
        <v>75</v>
      </c>
      <c r="G30" s="124">
        <v>7200</v>
      </c>
      <c r="H30" s="486" t="s">
        <v>5866</v>
      </c>
      <c r="I30" s="215" t="s">
        <v>816</v>
      </c>
      <c r="J30" s="215" t="s">
        <v>77</v>
      </c>
      <c r="K30" s="266">
        <v>810673015191</v>
      </c>
      <c r="L30" s="265" t="s">
        <v>649</v>
      </c>
      <c r="M30" s="266">
        <v>10810673015198</v>
      </c>
      <c r="N30" s="264">
        <v>0.08</v>
      </c>
      <c r="O30" s="265" t="s">
        <v>649</v>
      </c>
      <c r="P30" s="265">
        <v>6</v>
      </c>
      <c r="Q30" s="265" t="s">
        <v>649</v>
      </c>
    </row>
    <row r="31" spans="1:17" ht="15" customHeight="1">
      <c r="A31" s="147">
        <v>24</v>
      </c>
      <c r="B31" s="51" t="s">
        <v>6</v>
      </c>
      <c r="C31" s="51" t="s">
        <v>3679</v>
      </c>
      <c r="D31" s="51">
        <v>100028862</v>
      </c>
      <c r="E31" s="53" t="s">
        <v>3680</v>
      </c>
      <c r="F31" s="124">
        <v>50</v>
      </c>
      <c r="G31" s="124">
        <v>4000</v>
      </c>
      <c r="H31" s="369">
        <v>50.84</v>
      </c>
      <c r="I31" s="215" t="s">
        <v>76</v>
      </c>
      <c r="J31" s="215" t="s">
        <v>102</v>
      </c>
      <c r="K31" s="266">
        <v>812361011140</v>
      </c>
      <c r="L31" s="265" t="s">
        <v>649</v>
      </c>
      <c r="M31" s="266">
        <v>10812361011147</v>
      </c>
      <c r="N31" s="264">
        <v>0.121</v>
      </c>
      <c r="O31" s="265" t="s">
        <v>649</v>
      </c>
      <c r="P31" s="265">
        <v>6.05</v>
      </c>
      <c r="Q31" s="265">
        <v>0.4856358104657279</v>
      </c>
    </row>
    <row r="32" spans="1:17" ht="15" customHeight="1">
      <c r="A32" s="147">
        <v>25</v>
      </c>
      <c r="B32" s="51" t="s">
        <v>6</v>
      </c>
      <c r="C32" s="51" t="s">
        <v>3681</v>
      </c>
      <c r="D32" s="51">
        <v>100028863</v>
      </c>
      <c r="E32" s="53" t="s">
        <v>3682</v>
      </c>
      <c r="F32" s="124">
        <v>50</v>
      </c>
      <c r="G32" s="124">
        <v>4000</v>
      </c>
      <c r="H32" s="369">
        <v>50.59</v>
      </c>
      <c r="I32" s="215" t="s">
        <v>76</v>
      </c>
      <c r="J32" s="215" t="s">
        <v>102</v>
      </c>
      <c r="K32" s="266">
        <v>812361011164</v>
      </c>
      <c r="L32" s="265" t="s">
        <v>649</v>
      </c>
      <c r="M32" s="266">
        <v>812361011171</v>
      </c>
      <c r="N32" s="264">
        <v>0.11899999999999999</v>
      </c>
      <c r="O32" s="265" t="s">
        <v>649</v>
      </c>
      <c r="P32" s="265">
        <v>5.9499999999999993</v>
      </c>
      <c r="Q32" s="265">
        <v>0.4856358104657279</v>
      </c>
    </row>
    <row r="33" spans="1:17" ht="15" customHeight="1">
      <c r="A33" s="147">
        <v>26</v>
      </c>
      <c r="B33" s="51" t="s">
        <v>6</v>
      </c>
      <c r="C33" s="51" t="s">
        <v>3683</v>
      </c>
      <c r="D33" s="51">
        <v>100028871</v>
      </c>
      <c r="E33" s="53" t="s">
        <v>3684</v>
      </c>
      <c r="F33" s="124">
        <v>50</v>
      </c>
      <c r="G33" s="124">
        <v>7200</v>
      </c>
      <c r="H33" s="369">
        <v>32.729999999999997</v>
      </c>
      <c r="I33" s="215" t="s">
        <v>76</v>
      </c>
      <c r="J33" s="215" t="s">
        <v>102</v>
      </c>
      <c r="K33" s="266">
        <v>810673013371</v>
      </c>
      <c r="L33" s="265" t="s">
        <v>649</v>
      </c>
      <c r="M33" s="266">
        <v>810673010929</v>
      </c>
      <c r="N33" s="264">
        <v>9.0999999999999998E-2</v>
      </c>
      <c r="O33" s="265" t="s">
        <v>649</v>
      </c>
      <c r="P33" s="265">
        <v>4.55</v>
      </c>
      <c r="Q33" s="265">
        <v>0.26544609711836381</v>
      </c>
    </row>
    <row r="34" spans="1:17" ht="15" customHeight="1">
      <c r="A34" s="147">
        <v>27</v>
      </c>
      <c r="B34" s="51" t="s">
        <v>6</v>
      </c>
      <c r="C34" s="51" t="s">
        <v>3685</v>
      </c>
      <c r="D34" s="51">
        <v>100028872</v>
      </c>
      <c r="E34" s="53" t="s">
        <v>3686</v>
      </c>
      <c r="F34" s="124">
        <v>50</v>
      </c>
      <c r="G34" s="124">
        <v>4000</v>
      </c>
      <c r="H34" s="369">
        <v>43.81</v>
      </c>
      <c r="I34" s="215" t="s">
        <v>76</v>
      </c>
      <c r="J34" s="215" t="s">
        <v>102</v>
      </c>
      <c r="K34" s="266">
        <v>810673013388</v>
      </c>
      <c r="L34" s="265" t="s">
        <v>649</v>
      </c>
      <c r="M34" s="266">
        <v>810673010936</v>
      </c>
      <c r="N34" s="264">
        <v>0.128</v>
      </c>
      <c r="O34" s="265" t="s">
        <v>649</v>
      </c>
      <c r="P34" s="265">
        <v>6.4</v>
      </c>
      <c r="Q34" s="265">
        <v>0.4856358104657279</v>
      </c>
    </row>
    <row r="35" spans="1:17" ht="15" customHeight="1">
      <c r="A35" s="147">
        <v>28</v>
      </c>
      <c r="B35" s="51" t="s">
        <v>6</v>
      </c>
      <c r="C35" s="51" t="s">
        <v>3687</v>
      </c>
      <c r="D35" s="51">
        <v>100028873</v>
      </c>
      <c r="E35" s="53" t="s">
        <v>3688</v>
      </c>
      <c r="F35" s="124">
        <v>25</v>
      </c>
      <c r="G35" s="124">
        <v>1575</v>
      </c>
      <c r="H35" s="369">
        <v>117.65</v>
      </c>
      <c r="I35" s="215" t="s">
        <v>346</v>
      </c>
      <c r="J35" s="215" t="s">
        <v>102</v>
      </c>
      <c r="K35" s="266">
        <v>810673013395</v>
      </c>
      <c r="L35" s="265" t="s">
        <v>649</v>
      </c>
      <c r="M35" s="266">
        <v>810673010943</v>
      </c>
      <c r="N35" s="264">
        <v>0.38900000000000001</v>
      </c>
      <c r="O35" s="265" t="s">
        <v>649</v>
      </c>
      <c r="P35" s="265">
        <v>9.7249999999999996</v>
      </c>
      <c r="Q35" s="265">
        <v>0.66940792428507967</v>
      </c>
    </row>
    <row r="36" spans="1:17" ht="15" customHeight="1">
      <c r="A36" s="147">
        <v>29</v>
      </c>
      <c r="B36" s="51" t="s">
        <v>6</v>
      </c>
      <c r="C36" s="51" t="s">
        <v>3689</v>
      </c>
      <c r="D36" s="51">
        <v>100028874</v>
      </c>
      <c r="E36" s="53" t="s">
        <v>3690</v>
      </c>
      <c r="F36" s="124">
        <v>10</v>
      </c>
      <c r="G36" s="124">
        <v>800</v>
      </c>
      <c r="H36" s="369">
        <v>193.34</v>
      </c>
      <c r="I36" s="215" t="s">
        <v>76</v>
      </c>
      <c r="J36" s="215" t="s">
        <v>102</v>
      </c>
      <c r="K36" s="266">
        <v>810673013401</v>
      </c>
      <c r="L36" s="265" t="s">
        <v>649</v>
      </c>
      <c r="M36" s="266">
        <v>810673010950</v>
      </c>
      <c r="N36" s="264">
        <v>0.66</v>
      </c>
      <c r="O36" s="265" t="s">
        <v>649</v>
      </c>
      <c r="P36" s="265">
        <v>6.6000000000000005</v>
      </c>
      <c r="Q36" s="265">
        <v>0.4856358104657279</v>
      </c>
    </row>
    <row r="37" spans="1:17" ht="15" customHeight="1">
      <c r="A37" s="147">
        <v>30</v>
      </c>
      <c r="B37" s="51" t="s">
        <v>6</v>
      </c>
      <c r="C37" s="51" t="s">
        <v>3691</v>
      </c>
      <c r="D37" s="51">
        <v>300005640</v>
      </c>
      <c r="E37" s="53" t="s">
        <v>3692</v>
      </c>
      <c r="F37" s="124">
        <v>10</v>
      </c>
      <c r="G37" s="124">
        <v>180</v>
      </c>
      <c r="H37" s="486" t="s">
        <v>5866</v>
      </c>
      <c r="I37" s="215" t="s">
        <v>816</v>
      </c>
      <c r="J37" s="215" t="s">
        <v>77</v>
      </c>
      <c r="K37" s="266">
        <v>810673014149</v>
      </c>
      <c r="L37" s="265" t="s">
        <v>649</v>
      </c>
      <c r="M37" s="265" t="s">
        <v>649</v>
      </c>
      <c r="N37" s="264">
        <v>1.609</v>
      </c>
      <c r="O37" s="265" t="s">
        <v>649</v>
      </c>
      <c r="P37" s="265">
        <v>16.09</v>
      </c>
      <c r="Q37" s="265" t="s">
        <v>649</v>
      </c>
    </row>
    <row r="38" spans="1:17" ht="15" customHeight="1">
      <c r="A38" s="147">
        <v>31</v>
      </c>
      <c r="B38" s="51" t="s">
        <v>6</v>
      </c>
      <c r="C38" s="51" t="s">
        <v>3693</v>
      </c>
      <c r="D38" s="51">
        <v>100028866</v>
      </c>
      <c r="E38" s="53" t="s">
        <v>3694</v>
      </c>
      <c r="F38" s="124">
        <v>50</v>
      </c>
      <c r="G38" s="124">
        <v>6400</v>
      </c>
      <c r="H38" s="369">
        <v>57.01</v>
      </c>
      <c r="I38" s="215" t="s">
        <v>346</v>
      </c>
      <c r="J38" s="215" t="s">
        <v>102</v>
      </c>
      <c r="K38" s="266">
        <v>810673013340</v>
      </c>
      <c r="L38" s="265" t="s">
        <v>649</v>
      </c>
      <c r="M38" s="266">
        <v>10810673013347</v>
      </c>
      <c r="N38" s="264">
        <v>0.159</v>
      </c>
      <c r="O38" s="265" t="s">
        <v>649</v>
      </c>
      <c r="P38" s="265">
        <v>7.95</v>
      </c>
      <c r="Q38" s="265">
        <v>0.32375720697715193</v>
      </c>
    </row>
    <row r="39" spans="1:17" ht="15" customHeight="1">
      <c r="A39" s="147">
        <v>32</v>
      </c>
      <c r="B39" s="51" t="s">
        <v>6</v>
      </c>
      <c r="C39" s="51" t="s">
        <v>3695</v>
      </c>
      <c r="D39" s="51">
        <v>100028867</v>
      </c>
      <c r="E39" s="53" t="s">
        <v>3696</v>
      </c>
      <c r="F39" s="124">
        <v>50</v>
      </c>
      <c r="G39" s="124">
        <v>3150</v>
      </c>
      <c r="H39" s="369">
        <v>71.14</v>
      </c>
      <c r="I39" s="215" t="s">
        <v>346</v>
      </c>
      <c r="J39" s="215" t="s">
        <v>102</v>
      </c>
      <c r="K39" s="266">
        <v>810673013357</v>
      </c>
      <c r="L39" s="265" t="s">
        <v>649</v>
      </c>
      <c r="M39" s="266">
        <v>10810673013354</v>
      </c>
      <c r="N39" s="264">
        <v>0.23599999999999999</v>
      </c>
      <c r="O39" s="265" t="s">
        <v>649</v>
      </c>
      <c r="P39" s="265">
        <v>11.799999999999999</v>
      </c>
      <c r="Q39" s="265">
        <v>0.66940792428507967</v>
      </c>
    </row>
    <row r="40" spans="1:17" ht="15" customHeight="1">
      <c r="A40" s="147">
        <v>33</v>
      </c>
      <c r="B40" s="51" t="s">
        <v>6</v>
      </c>
      <c r="C40" s="51" t="s">
        <v>3697</v>
      </c>
      <c r="D40" s="51">
        <v>100028868</v>
      </c>
      <c r="E40" s="53" t="s">
        <v>3698</v>
      </c>
      <c r="F40" s="124">
        <v>25</v>
      </c>
      <c r="G40" s="124">
        <v>1125</v>
      </c>
      <c r="H40" s="369">
        <v>166.25</v>
      </c>
      <c r="I40" s="215" t="s">
        <v>76</v>
      </c>
      <c r="J40" s="215" t="s">
        <v>102</v>
      </c>
      <c r="K40" s="266">
        <v>810673013784</v>
      </c>
      <c r="L40" s="265" t="s">
        <v>649</v>
      </c>
      <c r="M40" s="266">
        <v>10810673013781</v>
      </c>
      <c r="N40" s="264">
        <v>0.628</v>
      </c>
      <c r="O40" s="265" t="s">
        <v>649</v>
      </c>
      <c r="P40" s="265">
        <v>15.7</v>
      </c>
      <c r="Q40" s="265">
        <v>0.98955954024750914</v>
      </c>
    </row>
    <row r="41" spans="1:17" ht="15" customHeight="1">
      <c r="A41" s="147">
        <v>34</v>
      </c>
      <c r="B41" s="51" t="s">
        <v>6</v>
      </c>
      <c r="C41" s="51" t="s">
        <v>3699</v>
      </c>
      <c r="D41" s="51">
        <v>100028869</v>
      </c>
      <c r="E41" s="53" t="s">
        <v>3700</v>
      </c>
      <c r="F41" s="124">
        <v>10</v>
      </c>
      <c r="G41" s="124">
        <v>630</v>
      </c>
      <c r="H41" s="369">
        <v>265.38</v>
      </c>
      <c r="I41" s="215" t="s">
        <v>76</v>
      </c>
      <c r="J41" s="215" t="s">
        <v>102</v>
      </c>
      <c r="K41" s="266">
        <v>810673013364</v>
      </c>
      <c r="L41" s="265" t="s">
        <v>649</v>
      </c>
      <c r="M41" s="266">
        <v>10810673013361</v>
      </c>
      <c r="N41" s="264">
        <v>1.139</v>
      </c>
      <c r="O41" s="265" t="s">
        <v>649</v>
      </c>
      <c r="P41" s="265">
        <v>11.39</v>
      </c>
      <c r="Q41" s="265">
        <v>0.98955954024750914</v>
      </c>
    </row>
    <row r="42" spans="1:17" ht="15" customHeight="1">
      <c r="A42" s="147">
        <v>35</v>
      </c>
      <c r="B42" s="51" t="s">
        <v>6</v>
      </c>
      <c r="C42" s="51" t="s">
        <v>3701</v>
      </c>
      <c r="D42" s="51">
        <v>300005639</v>
      </c>
      <c r="E42" s="53" t="s">
        <v>3702</v>
      </c>
      <c r="F42" s="124">
        <v>10</v>
      </c>
      <c r="G42" s="124">
        <v>180</v>
      </c>
      <c r="H42" s="486" t="s">
        <v>5866</v>
      </c>
      <c r="I42" s="215" t="s">
        <v>816</v>
      </c>
      <c r="J42" s="215" t="s">
        <v>77</v>
      </c>
      <c r="K42" s="266">
        <v>810673014132</v>
      </c>
      <c r="L42" s="265" t="s">
        <v>649</v>
      </c>
      <c r="M42" s="265" t="s">
        <v>649</v>
      </c>
      <c r="N42" s="264">
        <v>2.6230000000000002</v>
      </c>
      <c r="O42" s="265" t="s">
        <v>649</v>
      </c>
      <c r="P42" s="265">
        <v>26.230000000000004</v>
      </c>
      <c r="Q42" s="265" t="s">
        <v>649</v>
      </c>
    </row>
    <row r="43" spans="1:17" ht="15" customHeight="1">
      <c r="A43" s="147">
        <v>36</v>
      </c>
      <c r="B43" s="51" t="s">
        <v>6</v>
      </c>
      <c r="C43" s="51" t="s">
        <v>3703</v>
      </c>
      <c r="D43" s="51">
        <v>100028876</v>
      </c>
      <c r="E43" s="53" t="s">
        <v>3704</v>
      </c>
      <c r="F43" s="124">
        <v>100</v>
      </c>
      <c r="G43" s="124">
        <v>14400</v>
      </c>
      <c r="H43" s="369">
        <v>24.26</v>
      </c>
      <c r="I43" s="215" t="s">
        <v>346</v>
      </c>
      <c r="J43" s="215" t="s">
        <v>102</v>
      </c>
      <c r="K43" s="266">
        <v>810673013876</v>
      </c>
      <c r="L43" s="265" t="s">
        <v>649</v>
      </c>
      <c r="M43" s="266">
        <v>10810673013873</v>
      </c>
      <c r="N43" s="264">
        <v>7.0000000000000007E-2</v>
      </c>
      <c r="O43" s="265" t="s">
        <v>649</v>
      </c>
      <c r="P43" s="265">
        <v>7.0000000000000009</v>
      </c>
      <c r="Q43" s="265">
        <v>0.26544609711836381</v>
      </c>
    </row>
    <row r="44" spans="1:17" ht="15" customHeight="1">
      <c r="A44" s="147">
        <v>37</v>
      </c>
      <c r="B44" s="51" t="s">
        <v>6</v>
      </c>
      <c r="C44" s="51" t="s">
        <v>3705</v>
      </c>
      <c r="D44" s="51">
        <v>100028877</v>
      </c>
      <c r="E44" s="53" t="s">
        <v>3706</v>
      </c>
      <c r="F44" s="124">
        <v>50</v>
      </c>
      <c r="G44" s="124">
        <v>9000</v>
      </c>
      <c r="H44" s="369">
        <v>27.32</v>
      </c>
      <c r="I44" s="215" t="s">
        <v>76</v>
      </c>
      <c r="J44" s="215" t="s">
        <v>102</v>
      </c>
      <c r="K44" s="266">
        <v>810673013883</v>
      </c>
      <c r="L44" s="265" t="s">
        <v>649</v>
      </c>
      <c r="M44" s="266">
        <v>10810673013880</v>
      </c>
      <c r="N44" s="264">
        <v>0.105</v>
      </c>
      <c r="O44" s="265" t="s">
        <v>649</v>
      </c>
      <c r="P44" s="265">
        <v>5.25</v>
      </c>
      <c r="Q44" s="265">
        <v>0.21565729329437433</v>
      </c>
    </row>
    <row r="45" spans="1:17" ht="15" customHeight="1">
      <c r="A45" s="147">
        <v>38</v>
      </c>
      <c r="B45" s="51" t="s">
        <v>6</v>
      </c>
      <c r="C45" s="51" t="s">
        <v>3707</v>
      </c>
      <c r="D45" s="51">
        <v>100028878</v>
      </c>
      <c r="E45" s="53" t="s">
        <v>3708</v>
      </c>
      <c r="F45" s="124">
        <v>25</v>
      </c>
      <c r="G45" s="124">
        <v>3600</v>
      </c>
      <c r="H45" s="369">
        <v>48.61</v>
      </c>
      <c r="I45" s="215" t="s">
        <v>76</v>
      </c>
      <c r="J45" s="215" t="s">
        <v>102</v>
      </c>
      <c r="K45" s="266">
        <v>810673013890</v>
      </c>
      <c r="L45" s="265" t="s">
        <v>649</v>
      </c>
      <c r="M45" s="266">
        <v>10810673013897</v>
      </c>
      <c r="N45" s="264">
        <v>0.26100000000000001</v>
      </c>
      <c r="O45" s="265" t="s">
        <v>649</v>
      </c>
      <c r="P45" s="265">
        <v>6.5250000000000004</v>
      </c>
      <c r="Q45" s="265">
        <v>0.26544609711836381</v>
      </c>
    </row>
    <row r="46" spans="1:17" ht="15" customHeight="1">
      <c r="A46" s="147">
        <v>39</v>
      </c>
      <c r="B46" s="51" t="s">
        <v>6</v>
      </c>
      <c r="C46" s="51" t="s">
        <v>3709</v>
      </c>
      <c r="D46" s="51">
        <v>100028879</v>
      </c>
      <c r="E46" s="53" t="s">
        <v>3710</v>
      </c>
      <c r="F46" s="124">
        <v>30</v>
      </c>
      <c r="G46" s="124">
        <v>1890</v>
      </c>
      <c r="H46" s="369">
        <v>72.05</v>
      </c>
      <c r="I46" s="215" t="s">
        <v>76</v>
      </c>
      <c r="J46" s="215" t="s">
        <v>102</v>
      </c>
      <c r="K46" s="266">
        <v>810673013906</v>
      </c>
      <c r="L46" s="265" t="s">
        <v>649</v>
      </c>
      <c r="M46" s="266">
        <v>10810673013903</v>
      </c>
      <c r="N46" s="264">
        <v>0.47099999999999997</v>
      </c>
      <c r="O46" s="265" t="s">
        <v>649</v>
      </c>
      <c r="P46" s="265">
        <v>14.129999999999999</v>
      </c>
      <c r="Q46" s="265">
        <v>0.66940792428507967</v>
      </c>
    </row>
    <row r="47" spans="1:17" ht="15" customHeight="1">
      <c r="A47" s="147">
        <v>40</v>
      </c>
      <c r="B47" s="51" t="s">
        <v>6</v>
      </c>
      <c r="C47" s="51" t="s">
        <v>3711</v>
      </c>
      <c r="D47" s="51">
        <v>100028880</v>
      </c>
      <c r="E47" s="53" t="s">
        <v>3712</v>
      </c>
      <c r="F47" s="124">
        <v>10</v>
      </c>
      <c r="G47" s="124">
        <v>800</v>
      </c>
      <c r="H47" s="369">
        <v>228.76</v>
      </c>
      <c r="I47" s="215" t="s">
        <v>76</v>
      </c>
      <c r="J47" s="215" t="s">
        <v>102</v>
      </c>
      <c r="K47" s="266">
        <v>810673014156</v>
      </c>
      <c r="L47" s="265" t="s">
        <v>649</v>
      </c>
      <c r="M47" s="266">
        <v>810673016051</v>
      </c>
      <c r="N47" s="264">
        <v>0.86799999999999999</v>
      </c>
      <c r="O47" s="265" t="s">
        <v>649</v>
      </c>
      <c r="P47" s="265">
        <v>8.68</v>
      </c>
      <c r="Q47" s="265">
        <v>0.4856358104657279</v>
      </c>
    </row>
    <row r="48" spans="1:17" ht="15" customHeight="1">
      <c r="A48" s="147">
        <v>41</v>
      </c>
      <c r="B48" s="51" t="s">
        <v>6</v>
      </c>
      <c r="C48" s="51" t="s">
        <v>3713</v>
      </c>
      <c r="D48" s="51">
        <v>100028881</v>
      </c>
      <c r="E48" s="53" t="s">
        <v>3714</v>
      </c>
      <c r="F48" s="124">
        <v>50</v>
      </c>
      <c r="G48" s="124">
        <v>7200</v>
      </c>
      <c r="H48" s="369">
        <v>23.52</v>
      </c>
      <c r="I48" s="215" t="s">
        <v>76</v>
      </c>
      <c r="J48" s="215" t="s">
        <v>102</v>
      </c>
      <c r="K48" s="266">
        <v>810673014545</v>
      </c>
      <c r="L48" s="265" t="s">
        <v>649</v>
      </c>
      <c r="M48" s="266">
        <v>10810673014542</v>
      </c>
      <c r="N48" s="264">
        <v>0.123</v>
      </c>
      <c r="O48" s="265" t="s">
        <v>649</v>
      </c>
      <c r="P48" s="265">
        <v>6.15</v>
      </c>
      <c r="Q48" s="265">
        <v>0.26544609711836381</v>
      </c>
    </row>
    <row r="49" spans="1:17" ht="15" customHeight="1">
      <c r="A49" s="147">
        <v>42</v>
      </c>
      <c r="B49" s="51" t="s">
        <v>6</v>
      </c>
      <c r="C49" s="51" t="s">
        <v>3715</v>
      </c>
      <c r="D49" s="51">
        <v>100028882</v>
      </c>
      <c r="E49" s="53" t="s">
        <v>3716</v>
      </c>
      <c r="F49" s="124">
        <v>30</v>
      </c>
      <c r="G49" s="124">
        <v>1890</v>
      </c>
      <c r="H49" s="369">
        <v>113.18</v>
      </c>
      <c r="I49" s="215" t="s">
        <v>346</v>
      </c>
      <c r="J49" s="215" t="s">
        <v>102</v>
      </c>
      <c r="K49" s="266">
        <v>810673014569</v>
      </c>
      <c r="L49" s="265" t="s">
        <v>649</v>
      </c>
      <c r="M49" s="266">
        <v>10810673014566</v>
      </c>
      <c r="N49" s="264">
        <v>0.40400000000000003</v>
      </c>
      <c r="O49" s="265" t="s">
        <v>649</v>
      </c>
      <c r="P49" s="265">
        <v>12.120000000000001</v>
      </c>
      <c r="Q49" s="265">
        <v>0.66940792428507967</v>
      </c>
    </row>
    <row r="50" spans="1:17" ht="15" customHeight="1">
      <c r="A50" s="147">
        <v>43</v>
      </c>
      <c r="B50" s="51" t="s">
        <v>6</v>
      </c>
      <c r="C50" s="51" t="s">
        <v>3717</v>
      </c>
      <c r="D50" s="51">
        <v>100028883</v>
      </c>
      <c r="E50" s="53" t="s">
        <v>3718</v>
      </c>
      <c r="F50" s="124">
        <v>30</v>
      </c>
      <c r="G50" s="124">
        <v>1890</v>
      </c>
      <c r="H50" s="369">
        <v>59.61</v>
      </c>
      <c r="I50" s="215" t="s">
        <v>76</v>
      </c>
      <c r="J50" s="215" t="s">
        <v>102</v>
      </c>
      <c r="K50" s="266">
        <v>810673014583</v>
      </c>
      <c r="L50" s="265" t="s">
        <v>649</v>
      </c>
      <c r="M50" s="266">
        <v>10810673014580</v>
      </c>
      <c r="N50" s="264">
        <v>0.40100000000000002</v>
      </c>
      <c r="O50" s="265" t="s">
        <v>649</v>
      </c>
      <c r="P50" s="265">
        <v>12.030000000000001</v>
      </c>
      <c r="Q50" s="265">
        <v>0.66940792428507967</v>
      </c>
    </row>
    <row r="51" spans="1:17" ht="15" customHeight="1">
      <c r="A51" s="147">
        <v>44</v>
      </c>
      <c r="B51" s="51" t="s">
        <v>6</v>
      </c>
      <c r="C51" s="51" t="s">
        <v>3719</v>
      </c>
      <c r="D51" s="51">
        <v>100028884</v>
      </c>
      <c r="E51" s="53" t="s">
        <v>3720</v>
      </c>
      <c r="F51" s="124">
        <v>30</v>
      </c>
      <c r="G51" s="124">
        <v>1350</v>
      </c>
      <c r="H51" s="369">
        <v>196.81</v>
      </c>
      <c r="I51" s="215" t="s">
        <v>76</v>
      </c>
      <c r="J51" s="215" t="s">
        <v>102</v>
      </c>
      <c r="K51" s="266">
        <v>810673014606</v>
      </c>
      <c r="L51" s="265" t="s">
        <v>649</v>
      </c>
      <c r="M51" s="266">
        <v>10810673014603</v>
      </c>
      <c r="N51" s="264">
        <v>0.61099999999999999</v>
      </c>
      <c r="O51" s="265" t="s">
        <v>649</v>
      </c>
      <c r="P51" s="265">
        <v>18.329999999999998</v>
      </c>
      <c r="Q51" s="265">
        <v>0.98955954024750914</v>
      </c>
    </row>
    <row r="52" spans="1:17" ht="15" customHeight="1">
      <c r="A52" s="147">
        <v>45</v>
      </c>
      <c r="B52" s="51" t="s">
        <v>6</v>
      </c>
      <c r="C52" s="51" t="s">
        <v>3721</v>
      </c>
      <c r="D52" s="51">
        <v>100028885</v>
      </c>
      <c r="E52" s="53" t="s">
        <v>3722</v>
      </c>
      <c r="F52" s="124">
        <v>30</v>
      </c>
      <c r="G52" s="124">
        <v>1350</v>
      </c>
      <c r="H52" s="369">
        <v>101.64</v>
      </c>
      <c r="I52" s="215" t="s">
        <v>76</v>
      </c>
      <c r="J52" s="215" t="s">
        <v>102</v>
      </c>
      <c r="K52" s="266">
        <v>810673014620</v>
      </c>
      <c r="L52" s="265" t="s">
        <v>649</v>
      </c>
      <c r="M52" s="266">
        <v>10810673014627</v>
      </c>
      <c r="N52" s="264">
        <v>0.53100000000000003</v>
      </c>
      <c r="O52" s="265" t="s">
        <v>649</v>
      </c>
      <c r="P52" s="265">
        <v>15.930000000000001</v>
      </c>
      <c r="Q52" s="265">
        <v>0.98955954024750914</v>
      </c>
    </row>
    <row r="53" spans="1:17" ht="15" customHeight="1">
      <c r="A53" s="147">
        <v>46</v>
      </c>
      <c r="B53" s="51" t="s">
        <v>6</v>
      </c>
      <c r="C53" s="51" t="s">
        <v>3723</v>
      </c>
      <c r="D53" s="51">
        <v>100028886</v>
      </c>
      <c r="E53" s="53" t="s">
        <v>3724</v>
      </c>
      <c r="F53" s="124">
        <v>10</v>
      </c>
      <c r="G53" s="124">
        <v>320</v>
      </c>
      <c r="H53" s="369">
        <v>505.43</v>
      </c>
      <c r="I53" s="215" t="s">
        <v>76</v>
      </c>
      <c r="J53" s="215" t="s">
        <v>102</v>
      </c>
      <c r="K53" s="266">
        <v>810673011995</v>
      </c>
      <c r="L53" s="265" t="s">
        <v>649</v>
      </c>
      <c r="M53" s="266">
        <v>810673015658</v>
      </c>
      <c r="N53" s="264">
        <v>2.137</v>
      </c>
      <c r="O53" s="265" t="s">
        <v>649</v>
      </c>
      <c r="P53" s="265">
        <v>21.37</v>
      </c>
      <c r="Q53" s="265">
        <v>1.3788503419060438</v>
      </c>
    </row>
    <row r="54" spans="1:17" ht="15" customHeight="1">
      <c r="A54" s="147">
        <v>47</v>
      </c>
      <c r="B54" s="51" t="s">
        <v>6</v>
      </c>
      <c r="C54" s="51" t="s">
        <v>3725</v>
      </c>
      <c r="D54" s="51">
        <v>100028887</v>
      </c>
      <c r="E54" s="53" t="s">
        <v>3726</v>
      </c>
      <c r="F54" s="124">
        <v>50</v>
      </c>
      <c r="G54" s="124">
        <v>6400</v>
      </c>
      <c r="H54" s="369">
        <v>25.83</v>
      </c>
      <c r="I54" s="215" t="s">
        <v>346</v>
      </c>
      <c r="J54" s="215" t="s">
        <v>102</v>
      </c>
      <c r="K54" s="266">
        <v>810673013432</v>
      </c>
      <c r="L54" s="265" t="s">
        <v>649</v>
      </c>
      <c r="M54" s="266">
        <v>10810673013439</v>
      </c>
      <c r="N54" s="264">
        <v>0.10100000000000001</v>
      </c>
      <c r="O54" s="265" t="s">
        <v>649</v>
      </c>
      <c r="P54" s="265">
        <v>5.0500000000000007</v>
      </c>
      <c r="Q54" s="265">
        <v>0.32375720697715193</v>
      </c>
    </row>
    <row r="55" spans="1:17" ht="15" customHeight="1">
      <c r="A55" s="147">
        <v>48</v>
      </c>
      <c r="B55" s="51" t="s">
        <v>6</v>
      </c>
      <c r="C55" s="51" t="s">
        <v>3727</v>
      </c>
      <c r="D55" s="51">
        <v>300005641</v>
      </c>
      <c r="E55" s="53" t="s">
        <v>3728</v>
      </c>
      <c r="F55" s="124">
        <v>25</v>
      </c>
      <c r="G55" s="124">
        <v>7500</v>
      </c>
      <c r="H55" s="486" t="s">
        <v>5866</v>
      </c>
      <c r="I55" s="215" t="s">
        <v>346</v>
      </c>
      <c r="J55" s="215" t="s">
        <v>77</v>
      </c>
      <c r="K55" s="266">
        <v>810673013425</v>
      </c>
      <c r="L55" s="265" t="s">
        <v>649</v>
      </c>
      <c r="M55" s="266">
        <v>10810673013422</v>
      </c>
      <c r="N55" s="264">
        <v>7.0000000000000007E-2</v>
      </c>
      <c r="O55" s="265" t="s">
        <v>649</v>
      </c>
      <c r="P55" s="265">
        <v>1.7500000000000002</v>
      </c>
      <c r="Q55" s="265" t="s">
        <v>649</v>
      </c>
    </row>
    <row r="56" spans="1:17" ht="15" customHeight="1">
      <c r="A56" s="147">
        <v>49</v>
      </c>
      <c r="B56" s="51" t="s">
        <v>6</v>
      </c>
      <c r="C56" s="51" t="s">
        <v>3729</v>
      </c>
      <c r="D56" s="51">
        <v>100028889</v>
      </c>
      <c r="E56" s="53" t="s">
        <v>3730</v>
      </c>
      <c r="F56" s="124">
        <v>50</v>
      </c>
      <c r="G56" s="124">
        <v>7200</v>
      </c>
      <c r="H56" s="369">
        <v>34.68</v>
      </c>
      <c r="I56" s="215" t="s">
        <v>346</v>
      </c>
      <c r="J56" s="215" t="s">
        <v>102</v>
      </c>
      <c r="K56" s="266">
        <v>810673013449</v>
      </c>
      <c r="L56" s="265" t="s">
        <v>649</v>
      </c>
      <c r="M56" s="266">
        <v>10810673013446</v>
      </c>
      <c r="N56" s="264">
        <v>0.122</v>
      </c>
      <c r="O56" s="265" t="s">
        <v>649</v>
      </c>
      <c r="P56" s="265">
        <v>6.1</v>
      </c>
      <c r="Q56" s="265">
        <v>0.26544609711836381</v>
      </c>
    </row>
    <row r="57" spans="1:17" ht="15" customHeight="1">
      <c r="A57" s="147">
        <v>50</v>
      </c>
      <c r="B57" s="51" t="s">
        <v>6</v>
      </c>
      <c r="C57" s="51" t="s">
        <v>3731</v>
      </c>
      <c r="D57" s="51">
        <v>100028890</v>
      </c>
      <c r="E57" s="53" t="s">
        <v>3732</v>
      </c>
      <c r="F57" s="124">
        <v>25</v>
      </c>
      <c r="G57" s="124">
        <v>1125</v>
      </c>
      <c r="H57" s="369">
        <v>96.86</v>
      </c>
      <c r="I57" s="215" t="s">
        <v>346</v>
      </c>
      <c r="J57" s="215" t="s">
        <v>102</v>
      </c>
      <c r="K57" s="266">
        <v>810673013456</v>
      </c>
      <c r="L57" s="265" t="s">
        <v>649</v>
      </c>
      <c r="M57" s="266">
        <v>10810673013453</v>
      </c>
      <c r="N57" s="264">
        <v>0.46</v>
      </c>
      <c r="O57" s="265" t="s">
        <v>649</v>
      </c>
      <c r="P57" s="265">
        <v>11.5</v>
      </c>
      <c r="Q57" s="265">
        <v>0.98955954024750914</v>
      </c>
    </row>
    <row r="58" spans="1:17" ht="15" customHeight="1">
      <c r="A58" s="147">
        <v>51</v>
      </c>
      <c r="B58" s="51" t="s">
        <v>6</v>
      </c>
      <c r="C58" s="51" t="s">
        <v>3733</v>
      </c>
      <c r="D58" s="51">
        <v>100028891</v>
      </c>
      <c r="E58" s="53" t="s">
        <v>3734</v>
      </c>
      <c r="F58" s="124">
        <v>25</v>
      </c>
      <c r="G58" s="124">
        <v>800</v>
      </c>
      <c r="H58" s="369">
        <v>219.29</v>
      </c>
      <c r="I58" s="215" t="s">
        <v>346</v>
      </c>
      <c r="J58" s="215" t="s">
        <v>102</v>
      </c>
      <c r="K58" s="266">
        <v>810673013463</v>
      </c>
      <c r="L58" s="265" t="s">
        <v>649</v>
      </c>
      <c r="M58" s="266">
        <v>810673011018</v>
      </c>
      <c r="N58" s="264">
        <v>0.82699999999999996</v>
      </c>
      <c r="O58" s="265" t="s">
        <v>649</v>
      </c>
      <c r="P58" s="265">
        <v>20.674999999999997</v>
      </c>
      <c r="Q58" s="265">
        <v>1.3788503419060438</v>
      </c>
    </row>
    <row r="59" spans="1:17" ht="15" customHeight="1">
      <c r="A59" s="147">
        <v>52</v>
      </c>
      <c r="B59" s="51" t="s">
        <v>6</v>
      </c>
      <c r="C59" s="51" t="s">
        <v>3735</v>
      </c>
      <c r="D59" s="51">
        <v>300005642</v>
      </c>
      <c r="E59" s="53" t="s">
        <v>3736</v>
      </c>
      <c r="F59" s="124">
        <v>7</v>
      </c>
      <c r="G59" s="124">
        <v>245</v>
      </c>
      <c r="H59" s="486" t="s">
        <v>5866</v>
      </c>
      <c r="I59" s="215" t="s">
        <v>816</v>
      </c>
      <c r="J59" s="215" t="s">
        <v>77</v>
      </c>
      <c r="K59" s="266">
        <v>812361017173</v>
      </c>
      <c r="L59" s="265" t="s">
        <v>649</v>
      </c>
      <c r="M59" s="265" t="s">
        <v>649</v>
      </c>
      <c r="N59" s="264">
        <v>0.28000000000000003</v>
      </c>
      <c r="O59" s="265" t="s">
        <v>649</v>
      </c>
      <c r="P59" s="265">
        <v>1.9600000000000002</v>
      </c>
      <c r="Q59" s="265" t="s">
        <v>649</v>
      </c>
    </row>
    <row r="60" spans="1:17" ht="15" customHeight="1">
      <c r="A60" s="147">
        <v>53</v>
      </c>
      <c r="B60" s="51" t="s">
        <v>6</v>
      </c>
      <c r="C60" s="51" t="s">
        <v>3737</v>
      </c>
      <c r="D60" s="51">
        <v>300006069</v>
      </c>
      <c r="E60" s="53" t="s">
        <v>3738</v>
      </c>
      <c r="F60" s="124">
        <v>25</v>
      </c>
      <c r="G60" s="124">
        <v>5250</v>
      </c>
      <c r="H60" s="486" t="s">
        <v>5866</v>
      </c>
      <c r="I60" s="215" t="s">
        <v>816</v>
      </c>
      <c r="J60" s="215" t="s">
        <v>77</v>
      </c>
      <c r="K60" s="266">
        <v>812361017272</v>
      </c>
      <c r="L60" s="265" t="s">
        <v>649</v>
      </c>
      <c r="M60" s="265" t="s">
        <v>649</v>
      </c>
      <c r="N60" s="264">
        <v>0.16</v>
      </c>
      <c r="O60" s="265" t="s">
        <v>649</v>
      </c>
      <c r="P60" s="265">
        <v>4</v>
      </c>
      <c r="Q60" s="265" t="s">
        <v>649</v>
      </c>
    </row>
    <row r="61" spans="1:17" ht="15" customHeight="1">
      <c r="A61" s="147">
        <v>54</v>
      </c>
      <c r="B61" s="51" t="s">
        <v>6</v>
      </c>
      <c r="C61" s="51" t="s">
        <v>3739</v>
      </c>
      <c r="D61" s="51">
        <v>300006070</v>
      </c>
      <c r="E61" s="53" t="s">
        <v>3740</v>
      </c>
      <c r="F61" s="124">
        <v>25</v>
      </c>
      <c r="G61" s="124" t="s">
        <v>649</v>
      </c>
      <c r="H61" s="486" t="s">
        <v>5866</v>
      </c>
      <c r="I61" s="215" t="s">
        <v>816</v>
      </c>
      <c r="J61" s="215" t="s">
        <v>77</v>
      </c>
      <c r="K61" s="266">
        <v>816842021437</v>
      </c>
      <c r="L61" s="265" t="s">
        <v>649</v>
      </c>
      <c r="M61" s="265" t="s">
        <v>649</v>
      </c>
      <c r="N61" s="264">
        <v>0.3</v>
      </c>
      <c r="O61" s="265" t="s">
        <v>649</v>
      </c>
      <c r="P61" s="265">
        <v>7.5</v>
      </c>
      <c r="Q61" s="265" t="s">
        <v>649</v>
      </c>
    </row>
    <row r="62" spans="1:17" ht="15" customHeight="1">
      <c r="A62" s="147">
        <v>55</v>
      </c>
      <c r="B62" s="51" t="s">
        <v>6</v>
      </c>
      <c r="C62" s="51" t="s">
        <v>3741</v>
      </c>
      <c r="D62" s="51">
        <v>100028896</v>
      </c>
      <c r="E62" s="53" t="s">
        <v>3742</v>
      </c>
      <c r="F62" s="124">
        <v>50</v>
      </c>
      <c r="G62" s="124">
        <v>9000</v>
      </c>
      <c r="H62" s="369">
        <v>54.65</v>
      </c>
      <c r="I62" s="215" t="s">
        <v>346</v>
      </c>
      <c r="J62" s="215" t="s">
        <v>102</v>
      </c>
      <c r="K62" s="266">
        <v>810673013470</v>
      </c>
      <c r="L62" s="265" t="s">
        <v>649</v>
      </c>
      <c r="M62" s="266">
        <v>10810673013477</v>
      </c>
      <c r="N62" s="264">
        <v>8.1000000000000003E-2</v>
      </c>
      <c r="O62" s="265" t="s">
        <v>649</v>
      </c>
      <c r="P62" s="265">
        <v>4.05</v>
      </c>
      <c r="Q62" s="265">
        <v>0.26544609711836381</v>
      </c>
    </row>
    <row r="63" spans="1:17" ht="15" customHeight="1">
      <c r="A63" s="147">
        <v>56</v>
      </c>
      <c r="B63" s="51" t="s">
        <v>6</v>
      </c>
      <c r="C63" s="51" t="s">
        <v>3743</v>
      </c>
      <c r="D63" s="51">
        <v>100028897</v>
      </c>
      <c r="E63" s="53" t="s">
        <v>3744</v>
      </c>
      <c r="F63" s="124">
        <v>50</v>
      </c>
      <c r="G63" s="124">
        <v>4000</v>
      </c>
      <c r="H63" s="369">
        <v>91.23</v>
      </c>
      <c r="I63" s="215" t="s">
        <v>346</v>
      </c>
      <c r="J63" s="215" t="s">
        <v>102</v>
      </c>
      <c r="K63" s="266">
        <v>810673013487</v>
      </c>
      <c r="L63" s="265" t="s">
        <v>649</v>
      </c>
      <c r="M63" s="266">
        <v>10810673013484</v>
      </c>
      <c r="N63" s="264">
        <v>0.11600000000000001</v>
      </c>
      <c r="O63" s="265" t="s">
        <v>649</v>
      </c>
      <c r="P63" s="265">
        <v>5.8000000000000007</v>
      </c>
      <c r="Q63" s="265">
        <v>0.4856358104657279</v>
      </c>
    </row>
    <row r="64" spans="1:17" ht="15" customHeight="1">
      <c r="A64" s="147">
        <v>57</v>
      </c>
      <c r="B64" s="51" t="s">
        <v>6</v>
      </c>
      <c r="C64" s="51" t="s">
        <v>3745</v>
      </c>
      <c r="D64" s="51">
        <v>100028898</v>
      </c>
      <c r="E64" s="53" t="s">
        <v>3746</v>
      </c>
      <c r="F64" s="124">
        <v>10</v>
      </c>
      <c r="G64" s="124">
        <v>1800</v>
      </c>
      <c r="H64" s="369">
        <v>152.53</v>
      </c>
      <c r="I64" s="215" t="s">
        <v>76</v>
      </c>
      <c r="J64" s="215" t="s">
        <v>102</v>
      </c>
      <c r="K64" s="266">
        <v>810673013494</v>
      </c>
      <c r="L64" s="265" t="s">
        <v>649</v>
      </c>
      <c r="M64" s="266">
        <v>810673011063</v>
      </c>
      <c r="N64" s="264">
        <v>0.39800000000000002</v>
      </c>
      <c r="O64" s="265" t="s">
        <v>649</v>
      </c>
      <c r="P64" s="265">
        <v>3.9800000000000004</v>
      </c>
      <c r="Q64" s="265">
        <v>0.21565729329437433</v>
      </c>
    </row>
    <row r="65" spans="1:17" ht="15" customHeight="1">
      <c r="A65" s="147">
        <v>58</v>
      </c>
      <c r="B65" s="51" t="s">
        <v>6</v>
      </c>
      <c r="C65" s="51" t="s">
        <v>3747</v>
      </c>
      <c r="D65" s="51">
        <v>100028899</v>
      </c>
      <c r="E65" s="53" t="s">
        <v>3748</v>
      </c>
      <c r="F65" s="124">
        <v>5</v>
      </c>
      <c r="G65" s="124">
        <v>900</v>
      </c>
      <c r="H65" s="369">
        <v>217.76</v>
      </c>
      <c r="I65" s="215" t="s">
        <v>76</v>
      </c>
      <c r="J65" s="215" t="s">
        <v>102</v>
      </c>
      <c r="K65" s="266">
        <v>810673013500</v>
      </c>
      <c r="L65" s="265" t="s">
        <v>649</v>
      </c>
      <c r="M65" s="266">
        <v>810673011070</v>
      </c>
      <c r="N65" s="264">
        <v>0.71299999999999997</v>
      </c>
      <c r="O65" s="265" t="s">
        <v>649</v>
      </c>
      <c r="P65" s="265">
        <v>3.5649999999999999</v>
      </c>
      <c r="Q65" s="265">
        <v>0.21565729329437433</v>
      </c>
    </row>
    <row r="66" spans="1:17" ht="15" customHeight="1">
      <c r="A66" s="147">
        <v>59</v>
      </c>
      <c r="B66" s="51" t="s">
        <v>6</v>
      </c>
      <c r="C66" s="51" t="s">
        <v>3749</v>
      </c>
      <c r="D66" s="51">
        <v>100028900</v>
      </c>
      <c r="E66" s="53" t="s">
        <v>3750</v>
      </c>
      <c r="F66" s="124">
        <v>8</v>
      </c>
      <c r="G66" s="124">
        <v>360</v>
      </c>
      <c r="H66" s="369">
        <v>549.91</v>
      </c>
      <c r="I66" s="215" t="s">
        <v>346</v>
      </c>
      <c r="J66" s="215" t="s">
        <v>102</v>
      </c>
      <c r="K66" s="266">
        <v>810673014163</v>
      </c>
      <c r="L66" s="265" t="s">
        <v>649</v>
      </c>
      <c r="M66" s="266">
        <v>810673012343</v>
      </c>
      <c r="N66" s="264">
        <v>1.786</v>
      </c>
      <c r="O66" s="265" t="s">
        <v>649</v>
      </c>
      <c r="P66" s="265">
        <v>14.288</v>
      </c>
      <c r="Q66" s="265">
        <v>0.98955954024750914</v>
      </c>
    </row>
    <row r="67" spans="1:17" ht="15" customHeight="1">
      <c r="A67" s="147">
        <v>60</v>
      </c>
      <c r="B67" s="51" t="s">
        <v>6</v>
      </c>
      <c r="C67" s="51" t="s">
        <v>3751</v>
      </c>
      <c r="D67" s="51">
        <v>300005644</v>
      </c>
      <c r="E67" s="53" t="s">
        <v>3752</v>
      </c>
      <c r="F67" s="124">
        <v>20</v>
      </c>
      <c r="G67" s="124">
        <v>600</v>
      </c>
      <c r="H67" s="486" t="s">
        <v>5866</v>
      </c>
      <c r="I67" s="215" t="s">
        <v>346</v>
      </c>
      <c r="J67" s="215" t="s">
        <v>77</v>
      </c>
      <c r="K67" s="266">
        <v>812361012536</v>
      </c>
      <c r="L67" s="265" t="s">
        <v>649</v>
      </c>
      <c r="M67" s="266">
        <v>10812361012533</v>
      </c>
      <c r="N67" s="264">
        <v>0.65900000000000003</v>
      </c>
      <c r="O67" s="265" t="s">
        <v>649</v>
      </c>
      <c r="P67" s="265">
        <v>13.18</v>
      </c>
      <c r="Q67" s="265" t="s">
        <v>649</v>
      </c>
    </row>
    <row r="68" spans="1:17" ht="15" customHeight="1">
      <c r="A68" s="147">
        <v>61</v>
      </c>
      <c r="B68" s="51" t="s">
        <v>6</v>
      </c>
      <c r="C68" s="51" t="s">
        <v>3753</v>
      </c>
      <c r="D68" s="51">
        <v>300005645</v>
      </c>
      <c r="E68" s="53" t="s">
        <v>3754</v>
      </c>
      <c r="F68" s="124">
        <v>10</v>
      </c>
      <c r="G68" s="124">
        <v>700</v>
      </c>
      <c r="H68" s="486" t="s">
        <v>5866</v>
      </c>
      <c r="I68" s="215" t="s">
        <v>816</v>
      </c>
      <c r="J68" s="215" t="s">
        <v>77</v>
      </c>
      <c r="K68" s="266">
        <v>812361012550</v>
      </c>
      <c r="L68" s="265" t="s">
        <v>649</v>
      </c>
      <c r="M68" s="266">
        <v>10812361012557</v>
      </c>
      <c r="N68" s="264">
        <v>0.77</v>
      </c>
      <c r="O68" s="265" t="s">
        <v>649</v>
      </c>
      <c r="P68" s="265">
        <v>7.7</v>
      </c>
      <c r="Q68" s="265" t="s">
        <v>649</v>
      </c>
    </row>
    <row r="69" spans="1:17" ht="15" customHeight="1">
      <c r="A69" s="147">
        <v>62</v>
      </c>
      <c r="B69" s="51" t="s">
        <v>6</v>
      </c>
      <c r="C69" s="51" t="s">
        <v>3755</v>
      </c>
      <c r="D69" s="51">
        <v>300005646</v>
      </c>
      <c r="E69" s="53" t="s">
        <v>3756</v>
      </c>
      <c r="F69" s="124">
        <v>25</v>
      </c>
      <c r="G69" s="124">
        <v>4200</v>
      </c>
      <c r="H69" s="486" t="s">
        <v>5866</v>
      </c>
      <c r="I69" s="215" t="s">
        <v>816</v>
      </c>
      <c r="J69" s="215" t="s">
        <v>77</v>
      </c>
      <c r="K69" s="266">
        <v>812361017180</v>
      </c>
      <c r="L69" s="265" t="s">
        <v>649</v>
      </c>
      <c r="M69" s="265" t="s">
        <v>649</v>
      </c>
      <c r="N69" s="264">
        <v>0.12</v>
      </c>
      <c r="O69" s="265" t="s">
        <v>649</v>
      </c>
      <c r="P69" s="265">
        <v>3</v>
      </c>
      <c r="Q69" s="265" t="s">
        <v>649</v>
      </c>
    </row>
    <row r="70" spans="1:17" ht="15" customHeight="1">
      <c r="A70" s="147">
        <v>63</v>
      </c>
      <c r="B70" s="51" t="s">
        <v>6</v>
      </c>
      <c r="C70" s="51" t="s">
        <v>3757</v>
      </c>
      <c r="D70" s="51">
        <v>100028904</v>
      </c>
      <c r="E70" s="53" t="s">
        <v>3758</v>
      </c>
      <c r="F70" s="124">
        <v>25</v>
      </c>
      <c r="G70" s="124">
        <v>3200</v>
      </c>
      <c r="H70" s="369">
        <v>71.39</v>
      </c>
      <c r="I70" s="215" t="s">
        <v>346</v>
      </c>
      <c r="J70" s="215" t="s">
        <v>102</v>
      </c>
      <c r="K70" s="266">
        <v>810673015481</v>
      </c>
      <c r="L70" s="265" t="s">
        <v>649</v>
      </c>
      <c r="M70" s="266">
        <v>810673015498</v>
      </c>
      <c r="N70" s="264">
        <v>0.182</v>
      </c>
      <c r="O70" s="265" t="s">
        <v>649</v>
      </c>
      <c r="P70" s="265">
        <v>4.55</v>
      </c>
      <c r="Q70" s="265">
        <v>0.32375720697715193</v>
      </c>
    </row>
    <row r="71" spans="1:17" ht="15" customHeight="1">
      <c r="A71" s="147">
        <v>64</v>
      </c>
      <c r="B71" s="51" t="s">
        <v>6</v>
      </c>
      <c r="C71" s="51" t="s">
        <v>3759</v>
      </c>
      <c r="D71" s="51">
        <v>100028905</v>
      </c>
      <c r="E71" s="53" t="s">
        <v>3760</v>
      </c>
      <c r="F71" s="124">
        <v>20</v>
      </c>
      <c r="G71" s="124">
        <v>1600</v>
      </c>
      <c r="H71" s="369">
        <v>112.29</v>
      </c>
      <c r="I71" s="215" t="s">
        <v>346</v>
      </c>
      <c r="J71" s="215" t="s">
        <v>102</v>
      </c>
      <c r="K71" s="266">
        <v>810673015504</v>
      </c>
      <c r="L71" s="265" t="s">
        <v>649</v>
      </c>
      <c r="M71" s="266">
        <v>810673015511</v>
      </c>
      <c r="N71" s="264">
        <v>0.46100000000000002</v>
      </c>
      <c r="O71" s="265" t="s">
        <v>649</v>
      </c>
      <c r="P71" s="265">
        <v>9.2200000000000006</v>
      </c>
      <c r="Q71" s="265">
        <v>0.4856358104657279</v>
      </c>
    </row>
    <row r="72" spans="1:17" ht="15" customHeight="1">
      <c r="A72" s="147">
        <v>65</v>
      </c>
      <c r="B72" s="51" t="s">
        <v>6</v>
      </c>
      <c r="C72" s="51" t="s">
        <v>3761</v>
      </c>
      <c r="D72" s="51">
        <v>100028906</v>
      </c>
      <c r="E72" s="53" t="s">
        <v>3762</v>
      </c>
      <c r="F72" s="124">
        <v>15</v>
      </c>
      <c r="G72" s="124">
        <v>945</v>
      </c>
      <c r="H72" s="369">
        <v>133.02000000000001</v>
      </c>
      <c r="I72" s="215" t="s">
        <v>346</v>
      </c>
      <c r="J72" s="215" t="s">
        <v>102</v>
      </c>
      <c r="K72" s="266">
        <v>810673015528</v>
      </c>
      <c r="L72" s="265" t="s">
        <v>649</v>
      </c>
      <c r="M72" s="266">
        <v>810673015535</v>
      </c>
      <c r="N72" s="264">
        <v>0.78900000000000003</v>
      </c>
      <c r="O72" s="265" t="s">
        <v>649</v>
      </c>
      <c r="P72" s="265">
        <v>11.835000000000001</v>
      </c>
      <c r="Q72" s="265">
        <v>0.66940792428507967</v>
      </c>
    </row>
    <row r="73" spans="1:17" ht="15" customHeight="1">
      <c r="A73" s="147">
        <v>66</v>
      </c>
      <c r="B73" s="51" t="s">
        <v>6</v>
      </c>
      <c r="C73" s="51" t="s">
        <v>3763</v>
      </c>
      <c r="D73" s="51">
        <v>300005647</v>
      </c>
      <c r="E73" s="53" t="s">
        <v>3764</v>
      </c>
      <c r="F73" s="124">
        <v>20</v>
      </c>
      <c r="G73" s="124">
        <v>1440</v>
      </c>
      <c r="H73" s="486" t="s">
        <v>5866</v>
      </c>
      <c r="I73" s="215" t="s">
        <v>346</v>
      </c>
      <c r="J73" s="215" t="s">
        <v>77</v>
      </c>
      <c r="K73" s="266">
        <v>812361011904</v>
      </c>
      <c r="L73" s="265" t="s">
        <v>649</v>
      </c>
      <c r="M73" s="265" t="s">
        <v>649</v>
      </c>
      <c r="N73" s="264">
        <v>0.31</v>
      </c>
      <c r="O73" s="265" t="s">
        <v>649</v>
      </c>
      <c r="P73" s="265">
        <v>6.2</v>
      </c>
      <c r="Q73" s="265" t="s">
        <v>649</v>
      </c>
    </row>
    <row r="74" spans="1:17" ht="15" customHeight="1">
      <c r="A74" s="147">
        <v>67</v>
      </c>
      <c r="B74" s="51" t="s">
        <v>6</v>
      </c>
      <c r="C74" s="51" t="s">
        <v>3765</v>
      </c>
      <c r="D74" s="51">
        <v>300005648</v>
      </c>
      <c r="E74" s="53" t="s">
        <v>3766</v>
      </c>
      <c r="F74" s="124">
        <v>20</v>
      </c>
      <c r="G74" s="124">
        <v>750</v>
      </c>
      <c r="H74" s="486" t="s">
        <v>5866</v>
      </c>
      <c r="I74" s="215" t="s">
        <v>346</v>
      </c>
      <c r="J74" s="215" t="s">
        <v>77</v>
      </c>
      <c r="K74" s="266">
        <v>812361011911</v>
      </c>
      <c r="L74" s="265" t="s">
        <v>649</v>
      </c>
      <c r="M74" s="265" t="s">
        <v>649</v>
      </c>
      <c r="N74" s="264">
        <v>0.72</v>
      </c>
      <c r="O74" s="265" t="s">
        <v>649</v>
      </c>
      <c r="P74" s="265">
        <v>14.399999999999999</v>
      </c>
      <c r="Q74" s="265" t="s">
        <v>649</v>
      </c>
    </row>
    <row r="75" spans="1:17" ht="15" customHeight="1">
      <c r="A75" s="147">
        <v>68</v>
      </c>
      <c r="B75" s="51" t="s">
        <v>6</v>
      </c>
      <c r="C75" s="51" t="s">
        <v>3767</v>
      </c>
      <c r="D75" s="51">
        <v>100028909</v>
      </c>
      <c r="E75" s="53" t="s">
        <v>3768</v>
      </c>
      <c r="F75" s="124">
        <v>20</v>
      </c>
      <c r="G75" s="124">
        <v>480</v>
      </c>
      <c r="H75" s="369">
        <v>385.92</v>
      </c>
      <c r="I75" s="215" t="s">
        <v>76</v>
      </c>
      <c r="J75" s="215" t="s">
        <v>102</v>
      </c>
      <c r="K75" s="266">
        <v>810673015399</v>
      </c>
      <c r="L75" s="265" t="s">
        <v>649</v>
      </c>
      <c r="M75" s="266">
        <v>810673015405</v>
      </c>
      <c r="N75" s="264">
        <v>1.2849999999999999</v>
      </c>
      <c r="O75" s="265" t="s">
        <v>649</v>
      </c>
      <c r="P75" s="265">
        <v>25.7</v>
      </c>
      <c r="Q75" s="265">
        <v>1.8803145838984718</v>
      </c>
    </row>
    <row r="76" spans="1:17" ht="15" customHeight="1">
      <c r="A76" s="147">
        <v>69</v>
      </c>
      <c r="B76" s="51" t="s">
        <v>6</v>
      </c>
      <c r="C76" s="51" t="s">
        <v>3769</v>
      </c>
      <c r="D76" s="51">
        <v>300005649</v>
      </c>
      <c r="E76" s="53" t="s">
        <v>3770</v>
      </c>
      <c r="F76" s="124">
        <v>10</v>
      </c>
      <c r="G76" s="124">
        <v>350</v>
      </c>
      <c r="H76" s="486" t="s">
        <v>5866</v>
      </c>
      <c r="I76" s="215" t="s">
        <v>816</v>
      </c>
      <c r="J76" s="215" t="s">
        <v>77</v>
      </c>
      <c r="K76" s="266">
        <v>812361017166</v>
      </c>
      <c r="L76" s="265" t="s">
        <v>649</v>
      </c>
      <c r="M76" s="265" t="s">
        <v>649</v>
      </c>
      <c r="N76" s="264">
        <v>0.96</v>
      </c>
      <c r="O76" s="265" t="s">
        <v>649</v>
      </c>
      <c r="P76" s="265">
        <v>9.6</v>
      </c>
      <c r="Q76" s="265" t="s">
        <v>649</v>
      </c>
    </row>
    <row r="77" spans="1:17" ht="15" customHeight="1">
      <c r="A77" s="147">
        <v>70</v>
      </c>
      <c r="B77" s="51" t="s">
        <v>6</v>
      </c>
      <c r="C77" s="51" t="s">
        <v>3771</v>
      </c>
      <c r="D77" s="51">
        <v>300005650</v>
      </c>
      <c r="E77" s="53" t="s">
        <v>3772</v>
      </c>
      <c r="F77" s="124">
        <v>4</v>
      </c>
      <c r="G77" s="124" t="s">
        <v>649</v>
      </c>
      <c r="H77" s="486" t="s">
        <v>5866</v>
      </c>
      <c r="I77" s="215" t="s">
        <v>346</v>
      </c>
      <c r="J77" s="215" t="s">
        <v>77</v>
      </c>
      <c r="K77" s="266">
        <v>812361017425</v>
      </c>
      <c r="L77" s="265" t="s">
        <v>649</v>
      </c>
      <c r="M77" s="265" t="s">
        <v>649</v>
      </c>
      <c r="N77" s="264">
        <v>1</v>
      </c>
      <c r="O77" s="265" t="s">
        <v>649</v>
      </c>
      <c r="P77" s="265">
        <v>4</v>
      </c>
      <c r="Q77" s="265" t="s">
        <v>649</v>
      </c>
    </row>
    <row r="78" spans="1:17" ht="15" customHeight="1">
      <c r="A78" s="147">
        <v>71</v>
      </c>
      <c r="B78" s="51" t="s">
        <v>6</v>
      </c>
      <c r="C78" s="51" t="s">
        <v>3773</v>
      </c>
      <c r="D78" s="51">
        <v>300005651</v>
      </c>
      <c r="E78" s="53" t="s">
        <v>3774</v>
      </c>
      <c r="F78" s="124">
        <v>6</v>
      </c>
      <c r="G78" s="124" t="s">
        <v>649</v>
      </c>
      <c r="H78" s="486" t="s">
        <v>5866</v>
      </c>
      <c r="I78" s="215" t="s">
        <v>346</v>
      </c>
      <c r="J78" s="215" t="s">
        <v>77</v>
      </c>
      <c r="K78" s="266">
        <v>812361017746</v>
      </c>
      <c r="L78" s="265" t="s">
        <v>649</v>
      </c>
      <c r="M78" s="265" t="s">
        <v>649</v>
      </c>
      <c r="N78" s="264">
        <v>2</v>
      </c>
      <c r="O78" s="265" t="s">
        <v>649</v>
      </c>
      <c r="P78" s="265">
        <v>12</v>
      </c>
      <c r="Q78" s="265" t="s">
        <v>649</v>
      </c>
    </row>
    <row r="79" spans="1:17" ht="15" customHeight="1">
      <c r="A79" s="147">
        <v>72</v>
      </c>
      <c r="B79" s="51" t="s">
        <v>6</v>
      </c>
      <c r="C79" s="51" t="s">
        <v>3775</v>
      </c>
      <c r="D79" s="51">
        <v>100028913</v>
      </c>
      <c r="E79" s="53" t="s">
        <v>3776</v>
      </c>
      <c r="F79" s="124">
        <v>25</v>
      </c>
      <c r="G79" s="124">
        <v>4500</v>
      </c>
      <c r="H79" s="369">
        <v>74.489999999999995</v>
      </c>
      <c r="I79" s="215" t="s">
        <v>346</v>
      </c>
      <c r="J79" s="215" t="s">
        <v>102</v>
      </c>
      <c r="K79" s="266">
        <v>812361013182</v>
      </c>
      <c r="L79" s="265" t="s">
        <v>649</v>
      </c>
      <c r="M79" s="266">
        <v>812361013199</v>
      </c>
      <c r="N79" s="264">
        <v>0.11899999999999999</v>
      </c>
      <c r="O79" s="265" t="s">
        <v>649</v>
      </c>
      <c r="P79" s="265">
        <v>2.9749999999999996</v>
      </c>
      <c r="Q79" s="265">
        <v>0.21565729329437433</v>
      </c>
    </row>
    <row r="80" spans="1:17" ht="15" customHeight="1">
      <c r="A80" s="147">
        <v>73</v>
      </c>
      <c r="B80" s="51" t="s">
        <v>6</v>
      </c>
      <c r="C80" s="51" t="s">
        <v>3777</v>
      </c>
      <c r="D80" s="51">
        <v>100028914</v>
      </c>
      <c r="E80" s="53" t="s">
        <v>3778</v>
      </c>
      <c r="F80" s="124">
        <v>25</v>
      </c>
      <c r="G80" s="124">
        <v>3200</v>
      </c>
      <c r="H80" s="369">
        <v>51.96</v>
      </c>
      <c r="I80" s="215" t="s">
        <v>76</v>
      </c>
      <c r="J80" s="215" t="s">
        <v>102</v>
      </c>
      <c r="K80" s="266">
        <v>812361013205</v>
      </c>
      <c r="L80" s="265" t="s">
        <v>649</v>
      </c>
      <c r="M80" s="266">
        <v>812361013212</v>
      </c>
      <c r="N80" s="264">
        <v>0.16300000000000001</v>
      </c>
      <c r="O80" s="265" t="s">
        <v>649</v>
      </c>
      <c r="P80" s="265">
        <v>4.0750000000000002</v>
      </c>
      <c r="Q80" s="265">
        <v>0.32375720697715193</v>
      </c>
    </row>
    <row r="81" spans="1:17" ht="15" customHeight="1">
      <c r="A81" s="147">
        <v>74</v>
      </c>
      <c r="B81" s="51" t="s">
        <v>6</v>
      </c>
      <c r="C81" s="51" t="s">
        <v>3779</v>
      </c>
      <c r="D81" s="51">
        <v>100028915</v>
      </c>
      <c r="E81" s="53" t="s">
        <v>3780</v>
      </c>
      <c r="F81" s="124">
        <v>12</v>
      </c>
      <c r="G81" s="124">
        <v>960</v>
      </c>
      <c r="H81" s="369">
        <v>131.44999999999999</v>
      </c>
      <c r="I81" s="215" t="s">
        <v>76</v>
      </c>
      <c r="J81" s="215" t="s">
        <v>102</v>
      </c>
      <c r="K81" s="266">
        <v>812361011072</v>
      </c>
      <c r="L81" s="265" t="s">
        <v>649</v>
      </c>
      <c r="M81" s="266">
        <v>812361019375</v>
      </c>
      <c r="N81" s="264">
        <v>0.51600000000000001</v>
      </c>
      <c r="O81" s="265" t="s">
        <v>649</v>
      </c>
      <c r="P81" s="265">
        <v>6.1920000000000002</v>
      </c>
      <c r="Q81" s="265">
        <v>0.4856358104657279</v>
      </c>
    </row>
    <row r="82" spans="1:17" ht="15" customHeight="1">
      <c r="A82" s="147">
        <v>75</v>
      </c>
      <c r="B82" s="51" t="s">
        <v>6</v>
      </c>
      <c r="C82" s="51" t="s">
        <v>3781</v>
      </c>
      <c r="D82" s="51">
        <v>100028916</v>
      </c>
      <c r="E82" s="53" t="s">
        <v>3782</v>
      </c>
      <c r="F82" s="124">
        <v>5</v>
      </c>
      <c r="G82" s="124">
        <v>640</v>
      </c>
      <c r="H82" s="369">
        <v>252.9</v>
      </c>
      <c r="I82" s="215" t="s">
        <v>76</v>
      </c>
      <c r="J82" s="215" t="s">
        <v>102</v>
      </c>
      <c r="K82" s="266">
        <v>810673011865</v>
      </c>
      <c r="L82" s="265" t="s">
        <v>649</v>
      </c>
      <c r="M82" s="266">
        <v>810673015672</v>
      </c>
      <c r="N82" s="264">
        <v>0.84799999999999998</v>
      </c>
      <c r="O82" s="265" t="s">
        <v>649</v>
      </c>
      <c r="P82" s="265">
        <v>4.24</v>
      </c>
      <c r="Q82" s="265">
        <v>0.32375720697715193</v>
      </c>
    </row>
    <row r="83" spans="1:17" ht="15" customHeight="1">
      <c r="A83" s="147">
        <v>76</v>
      </c>
      <c r="B83" s="51" t="s">
        <v>6</v>
      </c>
      <c r="C83" s="51" t="s">
        <v>3783</v>
      </c>
      <c r="D83" s="51">
        <v>100028917</v>
      </c>
      <c r="E83" s="53" t="s">
        <v>3784</v>
      </c>
      <c r="F83" s="124">
        <v>6</v>
      </c>
      <c r="G83" s="124">
        <v>144</v>
      </c>
      <c r="H83" s="369">
        <v>1328.55</v>
      </c>
      <c r="I83" s="215" t="s">
        <v>76</v>
      </c>
      <c r="J83" s="215" t="s">
        <v>102</v>
      </c>
      <c r="K83" s="266">
        <v>812361013229</v>
      </c>
      <c r="L83" s="265" t="s">
        <v>649</v>
      </c>
      <c r="M83" s="266">
        <v>812361019368</v>
      </c>
      <c r="N83" s="264">
        <v>2.4769999999999999</v>
      </c>
      <c r="O83" s="265" t="s">
        <v>649</v>
      </c>
      <c r="P83" s="265">
        <v>14.861999999999998</v>
      </c>
      <c r="Q83" s="265">
        <v>1.8803145838984718</v>
      </c>
    </row>
    <row r="84" spans="1:17" ht="15" customHeight="1">
      <c r="A84" s="147">
        <v>77</v>
      </c>
      <c r="B84" s="51" t="s">
        <v>6</v>
      </c>
      <c r="C84" s="51" t="s">
        <v>3785</v>
      </c>
      <c r="D84" s="51">
        <v>300005652</v>
      </c>
      <c r="E84" s="53" t="s">
        <v>3786</v>
      </c>
      <c r="F84" s="124">
        <v>100</v>
      </c>
      <c r="G84" s="124">
        <v>44800</v>
      </c>
      <c r="H84" s="486" t="s">
        <v>5866</v>
      </c>
      <c r="I84" s="215" t="s">
        <v>816</v>
      </c>
      <c r="J84" s="215" t="s">
        <v>77</v>
      </c>
      <c r="K84" s="266">
        <v>810673015559</v>
      </c>
      <c r="L84" s="265" t="s">
        <v>649</v>
      </c>
      <c r="M84" s="265" t="s">
        <v>649</v>
      </c>
      <c r="N84" s="264">
        <v>1.2E-2</v>
      </c>
      <c r="O84" s="265" t="s">
        <v>649</v>
      </c>
      <c r="P84" s="265">
        <v>1.2</v>
      </c>
      <c r="Q84" s="265" t="s">
        <v>649</v>
      </c>
    </row>
    <row r="85" spans="1:17" ht="15" customHeight="1">
      <c r="A85" s="147">
        <v>78</v>
      </c>
      <c r="B85" s="51" t="s">
        <v>6</v>
      </c>
      <c r="C85" s="51" t="s">
        <v>3787</v>
      </c>
      <c r="D85" s="51">
        <v>300005653</v>
      </c>
      <c r="E85" s="53" t="s">
        <v>3788</v>
      </c>
      <c r="F85" s="124">
        <v>100</v>
      </c>
      <c r="G85" s="124" t="s">
        <v>649</v>
      </c>
      <c r="H85" s="486" t="s">
        <v>5866</v>
      </c>
      <c r="I85" s="215" t="s">
        <v>346</v>
      </c>
      <c r="J85" s="215" t="s">
        <v>77</v>
      </c>
      <c r="K85" s="266">
        <v>812361017197</v>
      </c>
      <c r="L85" s="265" t="s">
        <v>649</v>
      </c>
      <c r="M85" s="265" t="s">
        <v>649</v>
      </c>
      <c r="N85" s="264">
        <v>0.02</v>
      </c>
      <c r="O85" s="265" t="s">
        <v>649</v>
      </c>
      <c r="P85" s="265">
        <v>2</v>
      </c>
      <c r="Q85" s="265" t="s">
        <v>649</v>
      </c>
    </row>
    <row r="86" spans="1:17" ht="15" customHeight="1">
      <c r="A86" s="147">
        <v>79</v>
      </c>
      <c r="B86" s="51" t="s">
        <v>6</v>
      </c>
      <c r="C86" s="51" t="s">
        <v>3789</v>
      </c>
      <c r="D86" s="51">
        <v>300005654</v>
      </c>
      <c r="E86" s="53" t="s">
        <v>3790</v>
      </c>
      <c r="F86" s="124">
        <v>50</v>
      </c>
      <c r="G86" s="124">
        <v>8400</v>
      </c>
      <c r="H86" s="486" t="s">
        <v>5866</v>
      </c>
      <c r="I86" s="215" t="s">
        <v>346</v>
      </c>
      <c r="J86" s="215" t="s">
        <v>77</v>
      </c>
      <c r="K86" s="266">
        <v>812361017210</v>
      </c>
      <c r="L86" s="265" t="s">
        <v>649</v>
      </c>
      <c r="M86" s="265" t="s">
        <v>649</v>
      </c>
      <c r="N86" s="264">
        <v>0.04</v>
      </c>
      <c r="O86" s="265" t="s">
        <v>649</v>
      </c>
      <c r="P86" s="265">
        <v>2</v>
      </c>
      <c r="Q86" s="265" t="s">
        <v>649</v>
      </c>
    </row>
    <row r="87" spans="1:17" ht="15" customHeight="1">
      <c r="A87" s="147">
        <v>80</v>
      </c>
      <c r="B87" s="51" t="s">
        <v>6</v>
      </c>
      <c r="C87" s="51" t="s">
        <v>3791</v>
      </c>
      <c r="D87" s="51">
        <v>300005656</v>
      </c>
      <c r="E87" s="53" t="s">
        <v>3792</v>
      </c>
      <c r="F87" s="124">
        <v>50</v>
      </c>
      <c r="G87" s="124">
        <v>4500</v>
      </c>
      <c r="H87" s="486" t="s">
        <v>5866</v>
      </c>
      <c r="I87" s="215" t="s">
        <v>816</v>
      </c>
      <c r="J87" s="215" t="s">
        <v>77</v>
      </c>
      <c r="K87" s="266">
        <v>810673013005</v>
      </c>
      <c r="L87" s="265" t="s">
        <v>649</v>
      </c>
      <c r="M87" s="265" t="s">
        <v>649</v>
      </c>
      <c r="N87" s="264">
        <v>0.17</v>
      </c>
      <c r="O87" s="265" t="s">
        <v>649</v>
      </c>
      <c r="P87" s="265">
        <v>8.5</v>
      </c>
      <c r="Q87" s="265" t="s">
        <v>649</v>
      </c>
    </row>
    <row r="88" spans="1:17" ht="15" customHeight="1">
      <c r="A88" s="147">
        <v>81</v>
      </c>
      <c r="B88" s="51" t="s">
        <v>6</v>
      </c>
      <c r="C88" s="51" t="s">
        <v>3793</v>
      </c>
      <c r="D88" s="51">
        <v>100028924</v>
      </c>
      <c r="E88" s="53" t="s">
        <v>3794</v>
      </c>
      <c r="F88" s="124">
        <v>100</v>
      </c>
      <c r="G88" s="124">
        <v>3200</v>
      </c>
      <c r="H88" s="369">
        <v>28.85</v>
      </c>
      <c r="I88" s="215" t="s">
        <v>76</v>
      </c>
      <c r="J88" s="215" t="s">
        <v>102</v>
      </c>
      <c r="K88" s="266">
        <v>810673013012</v>
      </c>
      <c r="L88" s="265" t="s">
        <v>649</v>
      </c>
      <c r="M88" s="266">
        <v>10810673013019</v>
      </c>
      <c r="N88" s="264">
        <v>0.23300000000000001</v>
      </c>
      <c r="O88" s="265" t="s">
        <v>649</v>
      </c>
      <c r="P88" s="265">
        <v>23.3</v>
      </c>
      <c r="Q88" s="265">
        <v>1.3788503419060438</v>
      </c>
    </row>
    <row r="89" spans="1:17" ht="15" customHeight="1">
      <c r="A89" s="147">
        <v>82</v>
      </c>
      <c r="B89" s="51" t="s">
        <v>6</v>
      </c>
      <c r="C89" s="51" t="s">
        <v>3795</v>
      </c>
      <c r="D89" s="51">
        <v>100028925</v>
      </c>
      <c r="E89" s="53" t="s">
        <v>3796</v>
      </c>
      <c r="F89" s="124">
        <v>50</v>
      </c>
      <c r="G89" s="124">
        <v>1600</v>
      </c>
      <c r="H89" s="369">
        <v>45.43</v>
      </c>
      <c r="I89" s="215" t="s">
        <v>76</v>
      </c>
      <c r="J89" s="215" t="s">
        <v>102</v>
      </c>
      <c r="K89" s="266">
        <v>810673013029</v>
      </c>
      <c r="L89" s="265" t="s">
        <v>649</v>
      </c>
      <c r="M89" s="266">
        <v>10810673013026</v>
      </c>
      <c r="N89" s="264">
        <v>0.36699999999999999</v>
      </c>
      <c r="O89" s="265" t="s">
        <v>649</v>
      </c>
      <c r="P89" s="265">
        <v>18.350000000000001</v>
      </c>
      <c r="Q89" s="265">
        <v>1.3788503419060438</v>
      </c>
    </row>
    <row r="90" spans="1:17" ht="15" customHeight="1">
      <c r="A90" s="147">
        <v>83</v>
      </c>
      <c r="B90" s="51" t="s">
        <v>6</v>
      </c>
      <c r="C90" s="51" t="s">
        <v>3797</v>
      </c>
      <c r="D90" s="51">
        <v>100028926</v>
      </c>
      <c r="E90" s="53" t="s">
        <v>3798</v>
      </c>
      <c r="F90" s="124">
        <v>25</v>
      </c>
      <c r="G90" s="124">
        <v>450</v>
      </c>
      <c r="H90" s="369">
        <v>133.56</v>
      </c>
      <c r="I90" s="215" t="s">
        <v>76</v>
      </c>
      <c r="J90" s="215" t="s">
        <v>102</v>
      </c>
      <c r="K90" s="266">
        <v>810673013036</v>
      </c>
      <c r="L90" s="265" t="s">
        <v>649</v>
      </c>
      <c r="M90" s="266">
        <v>10810673013033</v>
      </c>
      <c r="N90" s="264">
        <v>1.1459999999999999</v>
      </c>
      <c r="O90" s="265" t="s">
        <v>649</v>
      </c>
      <c r="P90" s="265">
        <v>28.65</v>
      </c>
      <c r="Q90" s="265">
        <v>2.361325291407383</v>
      </c>
    </row>
    <row r="91" spans="1:17" ht="15" customHeight="1">
      <c r="A91" s="147">
        <v>84</v>
      </c>
      <c r="B91" s="51" t="s">
        <v>6</v>
      </c>
      <c r="C91" s="51" t="s">
        <v>3799</v>
      </c>
      <c r="D91" s="51">
        <v>100028927</v>
      </c>
      <c r="E91" s="53" t="s">
        <v>3800</v>
      </c>
      <c r="F91" s="124">
        <v>10</v>
      </c>
      <c r="G91" s="124">
        <v>180</v>
      </c>
      <c r="H91" s="369">
        <v>263.77</v>
      </c>
      <c r="I91" s="215" t="s">
        <v>76</v>
      </c>
      <c r="J91" s="215" t="s">
        <v>102</v>
      </c>
      <c r="K91" s="266">
        <v>810673013043</v>
      </c>
      <c r="L91" s="265" t="s">
        <v>649</v>
      </c>
      <c r="M91" s="266">
        <v>10810673013040</v>
      </c>
      <c r="N91" s="264">
        <v>2.1269999999999998</v>
      </c>
      <c r="O91" s="265" t="s">
        <v>649</v>
      </c>
      <c r="P91" s="265">
        <v>21.269999999999996</v>
      </c>
      <c r="Q91" s="265">
        <v>2.361325291407383</v>
      </c>
    </row>
    <row r="92" spans="1:17" ht="15" customHeight="1">
      <c r="A92" s="147">
        <v>85</v>
      </c>
      <c r="B92" s="51" t="s">
        <v>6</v>
      </c>
      <c r="C92" s="51" t="s">
        <v>3801</v>
      </c>
      <c r="D92" s="51">
        <v>100028928</v>
      </c>
      <c r="E92" s="53" t="s">
        <v>3802</v>
      </c>
      <c r="F92" s="124">
        <v>5</v>
      </c>
      <c r="G92" s="124">
        <v>60</v>
      </c>
      <c r="H92" s="369">
        <v>925.67</v>
      </c>
      <c r="I92" s="215" t="s">
        <v>76</v>
      </c>
      <c r="J92" s="215" t="s">
        <v>102</v>
      </c>
      <c r="K92" s="266">
        <v>810673015252</v>
      </c>
      <c r="L92" s="265" t="s">
        <v>649</v>
      </c>
      <c r="M92" s="266">
        <v>810673015313</v>
      </c>
      <c r="N92" s="264">
        <v>4.6950000000000003</v>
      </c>
      <c r="O92" s="265" t="s">
        <v>649</v>
      </c>
      <c r="P92" s="265">
        <v>23.475000000000001</v>
      </c>
      <c r="Q92" s="265">
        <v>2.7986077527791204</v>
      </c>
    </row>
    <row r="93" spans="1:17" ht="15" customHeight="1">
      <c r="A93" s="147">
        <v>86</v>
      </c>
      <c r="B93" s="51" t="s">
        <v>6</v>
      </c>
      <c r="C93" s="51" t="s">
        <v>3803</v>
      </c>
      <c r="D93" s="51">
        <v>300005655</v>
      </c>
      <c r="E93" s="53" t="s">
        <v>3804</v>
      </c>
      <c r="F93" s="124">
        <v>10</v>
      </c>
      <c r="G93" s="124">
        <v>360</v>
      </c>
      <c r="H93" s="486" t="s">
        <v>5866</v>
      </c>
      <c r="I93" s="215" t="s">
        <v>816</v>
      </c>
      <c r="J93" s="215" t="s">
        <v>77</v>
      </c>
      <c r="K93" s="266">
        <v>812361017357</v>
      </c>
      <c r="L93" s="265" t="s">
        <v>649</v>
      </c>
      <c r="M93" s="265" t="s">
        <v>649</v>
      </c>
      <c r="N93" s="264">
        <v>0.11</v>
      </c>
      <c r="O93" s="265" t="s">
        <v>649</v>
      </c>
      <c r="P93" s="265">
        <v>1.1000000000000001</v>
      </c>
      <c r="Q93" s="265" t="s">
        <v>649</v>
      </c>
    </row>
    <row r="94" spans="1:17" ht="15" customHeight="1">
      <c r="A94" s="147">
        <v>87</v>
      </c>
      <c r="B94" s="51" t="s">
        <v>6</v>
      </c>
      <c r="C94" s="51" t="s">
        <v>3805</v>
      </c>
      <c r="D94" s="51">
        <v>100028929</v>
      </c>
      <c r="E94" s="53" t="s">
        <v>3806</v>
      </c>
      <c r="F94" s="124">
        <v>100</v>
      </c>
      <c r="G94" s="124">
        <v>3200</v>
      </c>
      <c r="H94" s="369">
        <v>37.369999999999997</v>
      </c>
      <c r="I94" s="215" t="s">
        <v>76</v>
      </c>
      <c r="J94" s="215" t="s">
        <v>102</v>
      </c>
      <c r="K94" s="266">
        <v>810673014033</v>
      </c>
      <c r="L94" s="265" t="s">
        <v>649</v>
      </c>
      <c r="M94" s="266">
        <v>10810673014030</v>
      </c>
      <c r="N94" s="264">
        <v>0.20799999999999999</v>
      </c>
      <c r="O94" s="265" t="s">
        <v>649</v>
      </c>
      <c r="P94" s="265">
        <v>20.8</v>
      </c>
      <c r="Q94" s="265">
        <v>1.3788503419060438</v>
      </c>
    </row>
    <row r="95" spans="1:17" ht="15" customHeight="1">
      <c r="A95" s="147">
        <v>88</v>
      </c>
      <c r="B95" s="51" t="s">
        <v>6</v>
      </c>
      <c r="C95" s="51" t="s">
        <v>3807</v>
      </c>
      <c r="D95" s="51">
        <v>100028930</v>
      </c>
      <c r="E95" s="53" t="s">
        <v>3808</v>
      </c>
      <c r="F95" s="124">
        <v>50</v>
      </c>
      <c r="G95" s="124">
        <v>1600</v>
      </c>
      <c r="H95" s="369">
        <v>57.33</v>
      </c>
      <c r="I95" s="215" t="s">
        <v>76</v>
      </c>
      <c r="J95" s="215" t="s">
        <v>102</v>
      </c>
      <c r="K95" s="266">
        <v>810673014040</v>
      </c>
      <c r="L95" s="265" t="s">
        <v>649</v>
      </c>
      <c r="M95" s="266">
        <v>10810673014047</v>
      </c>
      <c r="N95" s="264">
        <v>0.34399999999999997</v>
      </c>
      <c r="O95" s="265" t="s">
        <v>649</v>
      </c>
      <c r="P95" s="265">
        <v>17.2</v>
      </c>
      <c r="Q95" s="265">
        <v>1.3788503419060438</v>
      </c>
    </row>
    <row r="96" spans="1:17" ht="15" customHeight="1">
      <c r="A96" s="147">
        <v>89</v>
      </c>
      <c r="B96" s="51" t="s">
        <v>6</v>
      </c>
      <c r="C96" s="51" t="s">
        <v>3809</v>
      </c>
      <c r="D96" s="51">
        <v>100028931</v>
      </c>
      <c r="E96" s="53" t="s">
        <v>3810</v>
      </c>
      <c r="F96" s="124">
        <v>20</v>
      </c>
      <c r="G96" s="124">
        <v>480</v>
      </c>
      <c r="H96" s="369">
        <v>159.69</v>
      </c>
      <c r="I96" s="215" t="s">
        <v>76</v>
      </c>
      <c r="J96" s="215" t="s">
        <v>102</v>
      </c>
      <c r="K96" s="266">
        <v>810673014057</v>
      </c>
      <c r="L96" s="265" t="s">
        <v>649</v>
      </c>
      <c r="M96" s="266">
        <v>10810673014054</v>
      </c>
      <c r="N96" s="264">
        <v>1.0880000000000001</v>
      </c>
      <c r="O96" s="265" t="s">
        <v>649</v>
      </c>
      <c r="P96" s="265">
        <v>21.76</v>
      </c>
      <c r="Q96" s="265">
        <v>1.8803145838984718</v>
      </c>
    </row>
    <row r="97" spans="1:17" ht="15" customHeight="1">
      <c r="A97" s="147">
        <v>90</v>
      </c>
      <c r="B97" s="51" t="s">
        <v>6</v>
      </c>
      <c r="C97" s="51" t="s">
        <v>3811</v>
      </c>
      <c r="D97" s="51">
        <v>100028932</v>
      </c>
      <c r="E97" s="53" t="s">
        <v>3812</v>
      </c>
      <c r="F97" s="124">
        <v>10</v>
      </c>
      <c r="G97" s="124">
        <v>240</v>
      </c>
      <c r="H97" s="369">
        <v>266.95</v>
      </c>
      <c r="I97" s="215" t="s">
        <v>76</v>
      </c>
      <c r="J97" s="215" t="s">
        <v>102</v>
      </c>
      <c r="K97" s="266">
        <v>810673014064</v>
      </c>
      <c r="L97" s="265" t="s">
        <v>649</v>
      </c>
      <c r="M97" s="266">
        <v>10810673014061</v>
      </c>
      <c r="N97" s="264">
        <v>2.0289999999999999</v>
      </c>
      <c r="O97" s="265" t="s">
        <v>649</v>
      </c>
      <c r="P97" s="265">
        <v>20.29</v>
      </c>
      <c r="Q97" s="265">
        <v>1.8803145838984718</v>
      </c>
    </row>
    <row r="98" spans="1:17" ht="15" customHeight="1">
      <c r="A98" s="147">
        <v>91</v>
      </c>
      <c r="B98" s="51" t="s">
        <v>6</v>
      </c>
      <c r="C98" s="51" t="s">
        <v>3813</v>
      </c>
      <c r="D98" s="51">
        <v>100028933</v>
      </c>
      <c r="E98" s="53" t="s">
        <v>3814</v>
      </c>
      <c r="F98" s="124">
        <v>5</v>
      </c>
      <c r="G98" s="124">
        <v>60</v>
      </c>
      <c r="H98" s="369">
        <v>1193.94</v>
      </c>
      <c r="I98" s="215" t="s">
        <v>76</v>
      </c>
      <c r="J98" s="215" t="s">
        <v>102</v>
      </c>
      <c r="K98" s="266">
        <v>810673015320</v>
      </c>
      <c r="L98" s="265" t="s">
        <v>649</v>
      </c>
      <c r="M98" s="266">
        <v>810673015344</v>
      </c>
      <c r="N98" s="264">
        <v>4.7229999999999999</v>
      </c>
      <c r="O98" s="265" t="s">
        <v>649</v>
      </c>
      <c r="P98" s="265">
        <v>23.614999999999998</v>
      </c>
      <c r="Q98" s="265">
        <v>2.7986077527791204</v>
      </c>
    </row>
    <row r="99" spans="1:17" ht="15" customHeight="1">
      <c r="A99" s="147">
        <v>92</v>
      </c>
      <c r="B99" s="51" t="s">
        <v>6</v>
      </c>
      <c r="C99" s="51" t="s">
        <v>3815</v>
      </c>
      <c r="D99" s="51">
        <v>100028934</v>
      </c>
      <c r="E99" s="53" t="s">
        <v>3816</v>
      </c>
      <c r="F99" s="124">
        <v>25</v>
      </c>
      <c r="G99" s="124">
        <v>450</v>
      </c>
      <c r="H99" s="369">
        <v>230.5</v>
      </c>
      <c r="I99" s="215" t="s">
        <v>76</v>
      </c>
      <c r="J99" s="215" t="s">
        <v>102</v>
      </c>
      <c r="K99" s="266">
        <v>810673015276</v>
      </c>
      <c r="L99" s="265" t="s">
        <v>649</v>
      </c>
      <c r="M99" s="266">
        <v>810673016099</v>
      </c>
      <c r="N99" s="264">
        <v>1.1759999999999999</v>
      </c>
      <c r="O99" s="265" t="s">
        <v>649</v>
      </c>
      <c r="P99" s="265">
        <v>29.4</v>
      </c>
      <c r="Q99" s="265">
        <v>2.361325291407383</v>
      </c>
    </row>
    <row r="100" spans="1:17" ht="15" customHeight="1">
      <c r="A100" s="147">
        <v>93</v>
      </c>
      <c r="B100" s="51" t="s">
        <v>6</v>
      </c>
      <c r="C100" s="51" t="s">
        <v>3817</v>
      </c>
      <c r="D100" s="51">
        <v>300005657</v>
      </c>
      <c r="E100" s="53" t="s">
        <v>3818</v>
      </c>
      <c r="F100" s="124">
        <v>15</v>
      </c>
      <c r="G100" s="124">
        <v>180</v>
      </c>
      <c r="H100" s="486" t="s">
        <v>5866</v>
      </c>
      <c r="I100" s="215" t="s">
        <v>816</v>
      </c>
      <c r="J100" s="215" t="s">
        <v>77</v>
      </c>
      <c r="K100" s="266">
        <v>812361017340</v>
      </c>
      <c r="L100" s="265" t="s">
        <v>649</v>
      </c>
      <c r="M100" s="265" t="s">
        <v>649</v>
      </c>
      <c r="N100" s="264">
        <v>1.84</v>
      </c>
      <c r="O100" s="265" t="s">
        <v>649</v>
      </c>
      <c r="P100" s="265">
        <v>27.6</v>
      </c>
      <c r="Q100" s="265" t="s">
        <v>649</v>
      </c>
    </row>
    <row r="101" spans="1:17" ht="15" customHeight="1">
      <c r="A101" s="147">
        <v>94</v>
      </c>
      <c r="B101" s="51" t="s">
        <v>6</v>
      </c>
      <c r="C101" s="51" t="s">
        <v>3819</v>
      </c>
      <c r="D101" s="51">
        <v>100028936</v>
      </c>
      <c r="E101" s="53" t="s">
        <v>3820</v>
      </c>
      <c r="F101" s="124">
        <v>50</v>
      </c>
      <c r="G101" s="124">
        <v>2250</v>
      </c>
      <c r="H101" s="369">
        <v>66.97</v>
      </c>
      <c r="I101" s="215" t="s">
        <v>346</v>
      </c>
      <c r="J101" s="215" t="s">
        <v>102</v>
      </c>
      <c r="K101" s="266">
        <v>810673013050</v>
      </c>
      <c r="L101" s="265" t="s">
        <v>649</v>
      </c>
      <c r="M101" s="266">
        <v>10810673013057</v>
      </c>
      <c r="N101" s="264">
        <v>0.3</v>
      </c>
      <c r="O101" s="265" t="s">
        <v>649</v>
      </c>
      <c r="P101" s="265">
        <v>15</v>
      </c>
      <c r="Q101" s="265">
        <v>0.98955954024750914</v>
      </c>
    </row>
    <row r="102" spans="1:17" ht="15" customHeight="1">
      <c r="A102" s="147">
        <v>95</v>
      </c>
      <c r="B102" s="51" t="s">
        <v>6</v>
      </c>
      <c r="C102" s="51" t="s">
        <v>3821</v>
      </c>
      <c r="D102" s="51">
        <v>100028937</v>
      </c>
      <c r="E102" s="53" t="s">
        <v>3822</v>
      </c>
      <c r="F102" s="124">
        <v>25</v>
      </c>
      <c r="G102" s="124">
        <v>800</v>
      </c>
      <c r="H102" s="369">
        <v>74.569999999999993</v>
      </c>
      <c r="I102" s="215" t="s">
        <v>76</v>
      </c>
      <c r="J102" s="215" t="s">
        <v>102</v>
      </c>
      <c r="K102" s="266">
        <v>810673013067</v>
      </c>
      <c r="L102" s="265" t="s">
        <v>649</v>
      </c>
      <c r="M102" s="266">
        <v>10810673013064</v>
      </c>
      <c r="N102" s="264">
        <v>0.51</v>
      </c>
      <c r="O102" s="265" t="s">
        <v>649</v>
      </c>
      <c r="P102" s="265">
        <v>12.75</v>
      </c>
      <c r="Q102" s="265">
        <v>1.3788503419060438</v>
      </c>
    </row>
    <row r="103" spans="1:17" ht="15" customHeight="1">
      <c r="A103" s="147">
        <v>96</v>
      </c>
      <c r="B103" s="51" t="s">
        <v>6</v>
      </c>
      <c r="C103" s="51" t="s">
        <v>3823</v>
      </c>
      <c r="D103" s="51">
        <v>100028938</v>
      </c>
      <c r="E103" s="53" t="s">
        <v>3824</v>
      </c>
      <c r="F103" s="124">
        <v>10</v>
      </c>
      <c r="G103" s="124">
        <v>320</v>
      </c>
      <c r="H103" s="369">
        <v>171.71</v>
      </c>
      <c r="I103" s="215" t="s">
        <v>76</v>
      </c>
      <c r="J103" s="215" t="s">
        <v>102</v>
      </c>
      <c r="K103" s="266">
        <v>810673013968</v>
      </c>
      <c r="L103" s="265" t="s">
        <v>649</v>
      </c>
      <c r="M103" s="266">
        <v>10810673013965</v>
      </c>
      <c r="N103" s="264">
        <v>1.476</v>
      </c>
      <c r="O103" s="265" t="s">
        <v>649</v>
      </c>
      <c r="P103" s="265">
        <v>14.76</v>
      </c>
      <c r="Q103" s="265">
        <v>1.3788503419060438</v>
      </c>
    </row>
    <row r="104" spans="1:17" ht="15" customHeight="1">
      <c r="A104" s="147">
        <v>97</v>
      </c>
      <c r="B104" s="51" t="s">
        <v>6</v>
      </c>
      <c r="C104" s="51" t="s">
        <v>3825</v>
      </c>
      <c r="D104" s="51">
        <v>100028939</v>
      </c>
      <c r="E104" s="53" t="s">
        <v>3826</v>
      </c>
      <c r="F104" s="124">
        <v>5</v>
      </c>
      <c r="G104" s="124">
        <v>160</v>
      </c>
      <c r="H104" s="369">
        <v>324.70999999999998</v>
      </c>
      <c r="I104" s="215" t="s">
        <v>76</v>
      </c>
      <c r="J104" s="215" t="s">
        <v>102</v>
      </c>
      <c r="K104" s="266">
        <v>810673013975</v>
      </c>
      <c r="L104" s="265" t="s">
        <v>649</v>
      </c>
      <c r="M104" s="266">
        <v>10810673013972</v>
      </c>
      <c r="N104" s="264">
        <v>2.6579999999999999</v>
      </c>
      <c r="O104" s="265" t="s">
        <v>649</v>
      </c>
      <c r="P104" s="265">
        <v>13.29</v>
      </c>
      <c r="Q104" s="265">
        <v>1.3788503419060438</v>
      </c>
    </row>
    <row r="105" spans="1:17" ht="15" customHeight="1">
      <c r="A105" s="147">
        <v>98</v>
      </c>
      <c r="B105" s="51" t="s">
        <v>6</v>
      </c>
      <c r="C105" s="51" t="s">
        <v>3827</v>
      </c>
      <c r="D105" s="51">
        <v>100028940</v>
      </c>
      <c r="E105" s="53" t="s">
        <v>3828</v>
      </c>
      <c r="F105" s="124">
        <v>3</v>
      </c>
      <c r="G105" s="124">
        <v>36</v>
      </c>
      <c r="H105" s="369">
        <v>1294.74</v>
      </c>
      <c r="I105" s="215" t="s">
        <v>76</v>
      </c>
      <c r="J105" s="215" t="s">
        <v>102</v>
      </c>
      <c r="K105" s="266">
        <v>812361017258</v>
      </c>
      <c r="L105" s="265" t="s">
        <v>649</v>
      </c>
      <c r="M105" s="266">
        <v>810116840168</v>
      </c>
      <c r="N105" s="264">
        <v>7.2</v>
      </c>
      <c r="O105" s="265" t="s">
        <v>649</v>
      </c>
      <c r="P105" s="265">
        <v>21.6</v>
      </c>
      <c r="Q105" s="265">
        <v>3.6731726755225957</v>
      </c>
    </row>
    <row r="106" spans="1:17" ht="15" customHeight="1">
      <c r="A106" s="147">
        <v>99</v>
      </c>
      <c r="B106" s="51" t="s">
        <v>6</v>
      </c>
      <c r="C106" s="51" t="s">
        <v>3829</v>
      </c>
      <c r="D106" s="51">
        <v>300005658</v>
      </c>
      <c r="E106" s="53" t="s">
        <v>3830</v>
      </c>
      <c r="F106" s="124">
        <v>10</v>
      </c>
      <c r="G106" s="124">
        <v>2250</v>
      </c>
      <c r="H106" s="486" t="s">
        <v>5866</v>
      </c>
      <c r="I106" s="215" t="s">
        <v>816</v>
      </c>
      <c r="J106" s="215" t="s">
        <v>77</v>
      </c>
      <c r="K106" s="266">
        <v>810673014071</v>
      </c>
      <c r="L106" s="265" t="s">
        <v>649</v>
      </c>
      <c r="M106" s="265" t="s">
        <v>649</v>
      </c>
      <c r="N106" s="264">
        <v>0.27</v>
      </c>
      <c r="O106" s="265" t="s">
        <v>649</v>
      </c>
      <c r="P106" s="265">
        <v>2.7</v>
      </c>
      <c r="Q106" s="265" t="s">
        <v>649</v>
      </c>
    </row>
    <row r="107" spans="1:17" ht="15" customHeight="1">
      <c r="A107" s="147">
        <v>100</v>
      </c>
      <c r="B107" s="51" t="s">
        <v>6</v>
      </c>
      <c r="C107" s="51" t="s">
        <v>3831</v>
      </c>
      <c r="D107" s="51">
        <v>100028942</v>
      </c>
      <c r="E107" s="53" t="s">
        <v>3832</v>
      </c>
      <c r="F107" s="124">
        <v>25</v>
      </c>
      <c r="G107" s="124">
        <v>1125</v>
      </c>
      <c r="H107" s="369">
        <v>122.9</v>
      </c>
      <c r="I107" s="215" t="s">
        <v>76</v>
      </c>
      <c r="J107" s="215" t="s">
        <v>102</v>
      </c>
      <c r="K107" s="266">
        <v>810673014088</v>
      </c>
      <c r="L107" s="265" t="s">
        <v>649</v>
      </c>
      <c r="M107" s="266">
        <v>810673012145</v>
      </c>
      <c r="N107" s="264">
        <v>0.44</v>
      </c>
      <c r="O107" s="265" t="s">
        <v>649</v>
      </c>
      <c r="P107" s="265">
        <v>11</v>
      </c>
      <c r="Q107" s="265">
        <v>0.98955954024750914</v>
      </c>
    </row>
    <row r="108" spans="1:17" ht="15" customHeight="1">
      <c r="A108" s="147">
        <v>101</v>
      </c>
      <c r="B108" s="51" t="s">
        <v>6</v>
      </c>
      <c r="C108" s="51" t="s">
        <v>3833</v>
      </c>
      <c r="D108" s="51">
        <v>100028943</v>
      </c>
      <c r="E108" s="53" t="s">
        <v>3834</v>
      </c>
      <c r="F108" s="124">
        <v>20</v>
      </c>
      <c r="G108" s="124">
        <v>360</v>
      </c>
      <c r="H108" s="369">
        <v>305.94</v>
      </c>
      <c r="I108" s="215" t="s">
        <v>76</v>
      </c>
      <c r="J108" s="215" t="s">
        <v>102</v>
      </c>
      <c r="K108" s="266">
        <v>810673014095</v>
      </c>
      <c r="L108" s="265" t="s">
        <v>649</v>
      </c>
      <c r="M108" s="266">
        <v>810673012152</v>
      </c>
      <c r="N108" s="264">
        <v>1.2549999999999999</v>
      </c>
      <c r="O108" s="265" t="s">
        <v>649</v>
      </c>
      <c r="P108" s="265">
        <v>25.099999999999998</v>
      </c>
      <c r="Q108" s="265">
        <v>2.361325291407383</v>
      </c>
    </row>
    <row r="109" spans="1:17" ht="15" customHeight="1">
      <c r="A109" s="147">
        <v>102</v>
      </c>
      <c r="B109" s="51" t="s">
        <v>6</v>
      </c>
      <c r="C109" s="51" t="s">
        <v>3835</v>
      </c>
      <c r="D109" s="51">
        <v>100028944</v>
      </c>
      <c r="E109" s="53" t="s">
        <v>3836</v>
      </c>
      <c r="F109" s="124">
        <v>5</v>
      </c>
      <c r="G109" s="124">
        <v>160</v>
      </c>
      <c r="H109" s="369">
        <v>471.25</v>
      </c>
      <c r="I109" s="215" t="s">
        <v>346</v>
      </c>
      <c r="J109" s="215" t="s">
        <v>102</v>
      </c>
      <c r="K109" s="266">
        <v>810673014101</v>
      </c>
      <c r="L109" s="265" t="s">
        <v>649</v>
      </c>
      <c r="M109" s="266">
        <v>810673012169</v>
      </c>
      <c r="N109" s="264">
        <v>2.52</v>
      </c>
      <c r="O109" s="265" t="s">
        <v>649</v>
      </c>
      <c r="P109" s="265">
        <v>12.6</v>
      </c>
      <c r="Q109" s="265">
        <v>1.3788503419060438</v>
      </c>
    </row>
    <row r="110" spans="1:17" ht="15" customHeight="1">
      <c r="A110" s="147">
        <v>103</v>
      </c>
      <c r="B110" s="51" t="s">
        <v>6</v>
      </c>
      <c r="C110" s="51" t="s">
        <v>3837</v>
      </c>
      <c r="D110" s="51">
        <v>100028947</v>
      </c>
      <c r="E110" s="53" t="s">
        <v>3838</v>
      </c>
      <c r="F110" s="124">
        <v>40</v>
      </c>
      <c r="G110" s="124">
        <v>2520</v>
      </c>
      <c r="H110" s="369">
        <v>67.260000000000005</v>
      </c>
      <c r="I110" s="215" t="s">
        <v>76</v>
      </c>
      <c r="J110" s="215" t="s">
        <v>102</v>
      </c>
      <c r="K110" s="266">
        <v>812361012390</v>
      </c>
      <c r="L110" s="265" t="s">
        <v>649</v>
      </c>
      <c r="M110" s="266">
        <v>812361012406</v>
      </c>
      <c r="N110" s="264">
        <v>0.21199999999999999</v>
      </c>
      <c r="O110" s="265" t="s">
        <v>649</v>
      </c>
      <c r="P110" s="265">
        <v>8.48</v>
      </c>
      <c r="Q110" s="265">
        <v>0.66940792428507967</v>
      </c>
    </row>
    <row r="111" spans="1:17" ht="15" customHeight="1">
      <c r="A111" s="147">
        <v>104</v>
      </c>
      <c r="B111" s="51" t="s">
        <v>6</v>
      </c>
      <c r="C111" s="51" t="s">
        <v>3839</v>
      </c>
      <c r="D111" s="51">
        <v>100028948</v>
      </c>
      <c r="E111" s="53" t="s">
        <v>3840</v>
      </c>
      <c r="F111" s="124">
        <v>25</v>
      </c>
      <c r="G111" s="124">
        <v>1575</v>
      </c>
      <c r="H111" s="369">
        <v>78.209999999999994</v>
      </c>
      <c r="I111" s="215" t="s">
        <v>346</v>
      </c>
      <c r="J111" s="215" t="s">
        <v>102</v>
      </c>
      <c r="K111" s="266">
        <v>812361012413</v>
      </c>
      <c r="L111" s="265" t="s">
        <v>649</v>
      </c>
      <c r="M111" s="266">
        <v>812361012420</v>
      </c>
      <c r="N111" s="264">
        <v>0.309</v>
      </c>
      <c r="O111" s="265" t="s">
        <v>649</v>
      </c>
      <c r="P111" s="265">
        <v>7.7249999999999996</v>
      </c>
      <c r="Q111" s="265">
        <v>0.66940792428507967</v>
      </c>
    </row>
    <row r="112" spans="1:17" ht="15" customHeight="1">
      <c r="A112" s="147">
        <v>105</v>
      </c>
      <c r="B112" s="51" t="s">
        <v>6</v>
      </c>
      <c r="C112" s="51" t="s">
        <v>3841</v>
      </c>
      <c r="D112" s="51">
        <v>100028949</v>
      </c>
      <c r="E112" s="53" t="s">
        <v>3842</v>
      </c>
      <c r="F112" s="124">
        <v>20</v>
      </c>
      <c r="G112" s="124">
        <v>640</v>
      </c>
      <c r="H112" s="369">
        <v>288.89999999999998</v>
      </c>
      <c r="I112" s="215" t="s">
        <v>76</v>
      </c>
      <c r="J112" s="215" t="s">
        <v>102</v>
      </c>
      <c r="K112" s="266">
        <v>812361012437</v>
      </c>
      <c r="L112" s="265" t="s">
        <v>649</v>
      </c>
      <c r="M112" s="266">
        <v>812361012444</v>
      </c>
      <c r="N112" s="264">
        <v>0.93500000000000005</v>
      </c>
      <c r="O112" s="265" t="s">
        <v>649</v>
      </c>
      <c r="P112" s="265">
        <v>18.700000000000003</v>
      </c>
      <c r="Q112" s="265">
        <v>1.3788503419060438</v>
      </c>
    </row>
    <row r="113" spans="1:17" ht="15" customHeight="1">
      <c r="A113" s="147">
        <v>106</v>
      </c>
      <c r="B113" s="51" t="s">
        <v>6</v>
      </c>
      <c r="C113" s="51" t="s">
        <v>3843</v>
      </c>
      <c r="D113" s="51">
        <v>100028950</v>
      </c>
      <c r="E113" s="53" t="s">
        <v>3844</v>
      </c>
      <c r="F113" s="124">
        <v>10</v>
      </c>
      <c r="G113" s="124">
        <v>320</v>
      </c>
      <c r="H113" s="369">
        <v>385.06</v>
      </c>
      <c r="I113" s="215" t="s">
        <v>76</v>
      </c>
      <c r="J113" s="215" t="s">
        <v>102</v>
      </c>
      <c r="K113" s="266">
        <v>812361012451</v>
      </c>
      <c r="L113" s="265" t="s">
        <v>649</v>
      </c>
      <c r="M113" s="266">
        <v>812361012468</v>
      </c>
      <c r="N113" s="264">
        <v>1.66</v>
      </c>
      <c r="O113" s="265" t="s">
        <v>649</v>
      </c>
      <c r="P113" s="265">
        <v>16.599999999999998</v>
      </c>
      <c r="Q113" s="265">
        <v>1.3788503419060438</v>
      </c>
    </row>
    <row r="114" spans="1:17" ht="15" customHeight="1">
      <c r="A114" s="147">
        <v>107</v>
      </c>
      <c r="B114" s="51" t="s">
        <v>6</v>
      </c>
      <c r="C114" s="51" t="s">
        <v>3845</v>
      </c>
      <c r="D114" s="51">
        <v>300005659</v>
      </c>
      <c r="E114" s="53" t="s">
        <v>3846</v>
      </c>
      <c r="F114" s="124">
        <v>40</v>
      </c>
      <c r="G114" s="124">
        <v>3200</v>
      </c>
      <c r="H114" s="486" t="s">
        <v>5866</v>
      </c>
      <c r="I114" s="215" t="s">
        <v>816</v>
      </c>
      <c r="J114" s="215" t="s">
        <v>77</v>
      </c>
      <c r="K114" s="266">
        <v>812361012574</v>
      </c>
      <c r="L114" s="265" t="s">
        <v>649</v>
      </c>
      <c r="M114" s="265" t="s">
        <v>649</v>
      </c>
      <c r="N114" s="264">
        <v>0.16800000000000001</v>
      </c>
      <c r="O114" s="265" t="s">
        <v>649</v>
      </c>
      <c r="P114" s="265">
        <v>6.7200000000000006</v>
      </c>
      <c r="Q114" s="265" t="s">
        <v>649</v>
      </c>
    </row>
    <row r="115" spans="1:17" ht="15" customHeight="1">
      <c r="A115" s="147">
        <v>108</v>
      </c>
      <c r="B115" s="51" t="s">
        <v>6</v>
      </c>
      <c r="C115" s="51" t="s">
        <v>3847</v>
      </c>
      <c r="D115" s="51">
        <v>100028952</v>
      </c>
      <c r="E115" s="53" t="s">
        <v>3848</v>
      </c>
      <c r="F115" s="124">
        <v>25</v>
      </c>
      <c r="G115" s="124">
        <v>1575</v>
      </c>
      <c r="H115" s="369">
        <v>157.16</v>
      </c>
      <c r="I115" s="215" t="s">
        <v>346</v>
      </c>
      <c r="J115" s="215" t="s">
        <v>102</v>
      </c>
      <c r="K115" s="266">
        <v>812361012598</v>
      </c>
      <c r="L115" s="265" t="s">
        <v>649</v>
      </c>
      <c r="M115" s="266">
        <v>812361012604</v>
      </c>
      <c r="N115" s="264">
        <v>0.318</v>
      </c>
      <c r="O115" s="265" t="s">
        <v>649</v>
      </c>
      <c r="P115" s="265">
        <v>7.95</v>
      </c>
      <c r="Q115" s="265">
        <v>0.66940792428507967</v>
      </c>
    </row>
    <row r="116" spans="1:17" ht="15" customHeight="1">
      <c r="A116" s="147">
        <v>109</v>
      </c>
      <c r="B116" s="51" t="s">
        <v>6</v>
      </c>
      <c r="C116" s="51" t="s">
        <v>3849</v>
      </c>
      <c r="D116" s="51">
        <v>100028953</v>
      </c>
      <c r="E116" s="53" t="s">
        <v>3850</v>
      </c>
      <c r="F116" s="124">
        <v>20</v>
      </c>
      <c r="G116" s="124">
        <v>480</v>
      </c>
      <c r="H116" s="369">
        <v>338.96</v>
      </c>
      <c r="I116" s="215" t="s">
        <v>76</v>
      </c>
      <c r="J116" s="215" t="s">
        <v>102</v>
      </c>
      <c r="K116" s="266">
        <v>812361012611</v>
      </c>
      <c r="L116" s="265" t="s">
        <v>649</v>
      </c>
      <c r="M116" s="266">
        <v>812361012628</v>
      </c>
      <c r="N116" s="264">
        <v>0.88800000000000001</v>
      </c>
      <c r="O116" s="265" t="s">
        <v>649</v>
      </c>
      <c r="P116" s="265">
        <v>17.760000000000002</v>
      </c>
      <c r="Q116" s="265">
        <v>1.8803145838984718</v>
      </c>
    </row>
    <row r="117" spans="1:17" ht="15" customHeight="1">
      <c r="A117" s="147">
        <v>110</v>
      </c>
      <c r="B117" s="51" t="s">
        <v>6</v>
      </c>
      <c r="C117" s="51" t="s">
        <v>3851</v>
      </c>
      <c r="D117" s="51">
        <v>300005660</v>
      </c>
      <c r="E117" s="53" t="s">
        <v>3852</v>
      </c>
      <c r="F117" s="124">
        <v>10</v>
      </c>
      <c r="G117" s="124">
        <v>320</v>
      </c>
      <c r="H117" s="486" t="s">
        <v>5866</v>
      </c>
      <c r="I117" s="215" t="s">
        <v>816</v>
      </c>
      <c r="J117" s="215" t="s">
        <v>77</v>
      </c>
      <c r="K117" s="266">
        <v>812361012635</v>
      </c>
      <c r="L117" s="265" t="s">
        <v>649</v>
      </c>
      <c r="M117" s="265" t="s">
        <v>649</v>
      </c>
      <c r="N117" s="264">
        <v>1.431</v>
      </c>
      <c r="O117" s="265" t="s">
        <v>649</v>
      </c>
      <c r="P117" s="265">
        <v>14.31</v>
      </c>
      <c r="Q117" s="265" t="s">
        <v>649</v>
      </c>
    </row>
    <row r="118" spans="1:17" ht="15" customHeight="1">
      <c r="A118" s="147">
        <v>111</v>
      </c>
      <c r="B118" s="51" t="s">
        <v>6</v>
      </c>
      <c r="C118" s="51" t="s">
        <v>3853</v>
      </c>
      <c r="D118" s="51">
        <v>100028955</v>
      </c>
      <c r="E118" s="53" t="s">
        <v>3854</v>
      </c>
      <c r="F118" s="124">
        <v>100</v>
      </c>
      <c r="G118" s="124">
        <v>3200</v>
      </c>
      <c r="H118" s="369">
        <v>28.23</v>
      </c>
      <c r="I118" s="215" t="s">
        <v>76</v>
      </c>
      <c r="J118" s="215" t="s">
        <v>102</v>
      </c>
      <c r="K118" s="266">
        <v>810673012961</v>
      </c>
      <c r="L118" s="265" t="s">
        <v>649</v>
      </c>
      <c r="M118" s="266">
        <v>10810673012968</v>
      </c>
      <c r="N118" s="264">
        <v>0.20100000000000001</v>
      </c>
      <c r="O118" s="265" t="s">
        <v>649</v>
      </c>
      <c r="P118" s="265">
        <v>20.100000000000001</v>
      </c>
      <c r="Q118" s="265">
        <v>1.3788503419060438</v>
      </c>
    </row>
    <row r="119" spans="1:17" ht="15" customHeight="1">
      <c r="A119" s="147">
        <v>112</v>
      </c>
      <c r="B119" s="51" t="s">
        <v>6</v>
      </c>
      <c r="C119" s="51" t="s">
        <v>3855</v>
      </c>
      <c r="D119" s="51">
        <v>100028956</v>
      </c>
      <c r="E119" s="53" t="s">
        <v>3856</v>
      </c>
      <c r="F119" s="124">
        <v>50</v>
      </c>
      <c r="G119" s="124">
        <v>1600</v>
      </c>
      <c r="H119" s="369">
        <v>42.12</v>
      </c>
      <c r="I119" s="215" t="s">
        <v>76</v>
      </c>
      <c r="J119" s="215" t="s">
        <v>102</v>
      </c>
      <c r="K119" s="266">
        <v>810673012978</v>
      </c>
      <c r="L119" s="265" t="s">
        <v>649</v>
      </c>
      <c r="M119" s="266">
        <v>10810673012975</v>
      </c>
      <c r="N119" s="264">
        <v>0.35599999999999998</v>
      </c>
      <c r="O119" s="265" t="s">
        <v>649</v>
      </c>
      <c r="P119" s="265">
        <v>17.8</v>
      </c>
      <c r="Q119" s="265">
        <v>1.3788503419060438</v>
      </c>
    </row>
    <row r="120" spans="1:17" ht="15" customHeight="1">
      <c r="A120" s="147">
        <v>113</v>
      </c>
      <c r="B120" s="51" t="s">
        <v>6</v>
      </c>
      <c r="C120" s="51" t="s">
        <v>3857</v>
      </c>
      <c r="D120" s="51">
        <v>100028957</v>
      </c>
      <c r="E120" s="53" t="s">
        <v>3858</v>
      </c>
      <c r="F120" s="124">
        <v>20</v>
      </c>
      <c r="G120" s="124">
        <v>480</v>
      </c>
      <c r="H120" s="369">
        <v>119.59</v>
      </c>
      <c r="I120" s="215" t="s">
        <v>76</v>
      </c>
      <c r="J120" s="215" t="s">
        <v>102</v>
      </c>
      <c r="K120" s="266">
        <v>810673012985</v>
      </c>
      <c r="L120" s="265" t="s">
        <v>649</v>
      </c>
      <c r="M120" s="266">
        <v>10810673012982</v>
      </c>
      <c r="N120" s="264">
        <v>1.0109999999999999</v>
      </c>
      <c r="O120" s="265" t="s">
        <v>649</v>
      </c>
      <c r="P120" s="265">
        <v>20.22</v>
      </c>
      <c r="Q120" s="265">
        <v>1.8803145838984718</v>
      </c>
    </row>
    <row r="121" spans="1:17" ht="15" customHeight="1">
      <c r="A121" s="147">
        <v>114</v>
      </c>
      <c r="B121" s="51" t="s">
        <v>6</v>
      </c>
      <c r="C121" s="51" t="s">
        <v>3859</v>
      </c>
      <c r="D121" s="51">
        <v>100028958</v>
      </c>
      <c r="E121" s="53" t="s">
        <v>3860</v>
      </c>
      <c r="F121" s="124">
        <v>10</v>
      </c>
      <c r="G121" s="124">
        <v>240</v>
      </c>
      <c r="H121" s="369">
        <v>219.08</v>
      </c>
      <c r="I121" s="215" t="s">
        <v>76</v>
      </c>
      <c r="J121" s="215" t="s">
        <v>102</v>
      </c>
      <c r="K121" s="266">
        <v>810673012992</v>
      </c>
      <c r="L121" s="265" t="s">
        <v>649</v>
      </c>
      <c r="M121" s="266">
        <v>10810673012999</v>
      </c>
      <c r="N121" s="264">
        <v>1.8540000000000001</v>
      </c>
      <c r="O121" s="265" t="s">
        <v>649</v>
      </c>
      <c r="P121" s="265">
        <v>18.54</v>
      </c>
      <c r="Q121" s="265">
        <v>1.8803145838984718</v>
      </c>
    </row>
    <row r="122" spans="1:17" ht="15" customHeight="1">
      <c r="A122" s="147">
        <v>115</v>
      </c>
      <c r="B122" s="51" t="s">
        <v>6</v>
      </c>
      <c r="C122" s="51" t="s">
        <v>3861</v>
      </c>
      <c r="D122" s="51">
        <v>100028959</v>
      </c>
      <c r="E122" s="53" t="s">
        <v>3862</v>
      </c>
      <c r="F122" s="124">
        <v>3</v>
      </c>
      <c r="G122" s="124">
        <v>72</v>
      </c>
      <c r="H122" s="369">
        <v>811.2</v>
      </c>
      <c r="I122" s="215" t="s">
        <v>76</v>
      </c>
      <c r="J122" s="215" t="s">
        <v>102</v>
      </c>
      <c r="K122" s="266">
        <v>810673015429</v>
      </c>
      <c r="L122" s="265" t="s">
        <v>649</v>
      </c>
      <c r="M122" s="266">
        <v>810673015436</v>
      </c>
      <c r="N122" s="264">
        <v>3.9820000000000002</v>
      </c>
      <c r="O122" s="265" t="s">
        <v>649</v>
      </c>
      <c r="P122" s="265">
        <v>11.946000000000002</v>
      </c>
      <c r="Q122" s="265">
        <v>1.8803145838984718</v>
      </c>
    </row>
    <row r="123" spans="1:17" ht="15" customHeight="1">
      <c r="A123" s="147">
        <v>116</v>
      </c>
      <c r="B123" s="51" t="s">
        <v>6</v>
      </c>
      <c r="C123" s="51" t="s">
        <v>3863</v>
      </c>
      <c r="D123" s="51">
        <v>100028960</v>
      </c>
      <c r="E123" s="53" t="s">
        <v>3864</v>
      </c>
      <c r="F123" s="124">
        <v>100</v>
      </c>
      <c r="G123" s="124">
        <v>3200</v>
      </c>
      <c r="H123" s="369">
        <v>27.07</v>
      </c>
      <c r="I123" s="215" t="s">
        <v>76</v>
      </c>
      <c r="J123" s="215" t="s">
        <v>102</v>
      </c>
      <c r="K123" s="266">
        <v>810673013982</v>
      </c>
      <c r="L123" s="265" t="s">
        <v>649</v>
      </c>
      <c r="M123" s="266">
        <v>10810673013989</v>
      </c>
      <c r="N123" s="264">
        <v>0.192</v>
      </c>
      <c r="O123" s="265" t="s">
        <v>649</v>
      </c>
      <c r="P123" s="265">
        <v>19.2</v>
      </c>
      <c r="Q123" s="265">
        <v>1.3788503419060438</v>
      </c>
    </row>
    <row r="124" spans="1:17" ht="15" customHeight="1">
      <c r="A124" s="147">
        <v>117</v>
      </c>
      <c r="B124" s="51" t="s">
        <v>6</v>
      </c>
      <c r="C124" s="51" t="s">
        <v>3865</v>
      </c>
      <c r="D124" s="51">
        <v>100028961</v>
      </c>
      <c r="E124" s="53" t="s">
        <v>3866</v>
      </c>
      <c r="F124" s="124">
        <v>50</v>
      </c>
      <c r="G124" s="124">
        <v>1600</v>
      </c>
      <c r="H124" s="369">
        <v>42.94</v>
      </c>
      <c r="I124" s="215" t="s">
        <v>76</v>
      </c>
      <c r="J124" s="215" t="s">
        <v>102</v>
      </c>
      <c r="K124" s="266">
        <v>810673013999</v>
      </c>
      <c r="L124" s="265" t="s">
        <v>649</v>
      </c>
      <c r="M124" s="266">
        <v>10810673013996</v>
      </c>
      <c r="N124" s="264">
        <v>0.31</v>
      </c>
      <c r="O124" s="265" t="s">
        <v>649</v>
      </c>
      <c r="P124" s="265">
        <v>15.5</v>
      </c>
      <c r="Q124" s="265">
        <v>1.3788503419060438</v>
      </c>
    </row>
    <row r="125" spans="1:17" ht="15" customHeight="1">
      <c r="A125" s="147">
        <v>118</v>
      </c>
      <c r="B125" s="51" t="s">
        <v>6</v>
      </c>
      <c r="C125" s="51" t="s">
        <v>3867</v>
      </c>
      <c r="D125" s="51">
        <v>100028962</v>
      </c>
      <c r="E125" s="53" t="s">
        <v>3868</v>
      </c>
      <c r="F125" s="124">
        <v>20</v>
      </c>
      <c r="G125" s="124">
        <v>480</v>
      </c>
      <c r="H125" s="369">
        <v>113.39</v>
      </c>
      <c r="I125" s="215" t="s">
        <v>76</v>
      </c>
      <c r="J125" s="215" t="s">
        <v>102</v>
      </c>
      <c r="K125" s="266">
        <v>810673014002</v>
      </c>
      <c r="L125" s="265" t="s">
        <v>649</v>
      </c>
      <c r="M125" s="266">
        <v>10810673014009</v>
      </c>
      <c r="N125" s="264">
        <v>0.93200000000000005</v>
      </c>
      <c r="O125" s="265" t="s">
        <v>649</v>
      </c>
      <c r="P125" s="265">
        <v>18.64</v>
      </c>
      <c r="Q125" s="265">
        <v>1.8803145838984718</v>
      </c>
    </row>
    <row r="126" spans="1:17" ht="15" customHeight="1">
      <c r="A126" s="147">
        <v>119</v>
      </c>
      <c r="B126" s="51" t="s">
        <v>6</v>
      </c>
      <c r="C126" s="51" t="s">
        <v>3869</v>
      </c>
      <c r="D126" s="51">
        <v>100028963</v>
      </c>
      <c r="E126" s="53" t="s">
        <v>3870</v>
      </c>
      <c r="F126" s="124">
        <v>10</v>
      </c>
      <c r="G126" s="124">
        <v>240</v>
      </c>
      <c r="H126" s="369">
        <v>194.41</v>
      </c>
      <c r="I126" s="215" t="s">
        <v>76</v>
      </c>
      <c r="J126" s="215" t="s">
        <v>102</v>
      </c>
      <c r="K126" s="266">
        <v>810673014019</v>
      </c>
      <c r="L126" s="265" t="s">
        <v>649</v>
      </c>
      <c r="M126" s="266">
        <v>10810673014016</v>
      </c>
      <c r="N126" s="264">
        <v>1.6879999999999999</v>
      </c>
      <c r="O126" s="265" t="s">
        <v>649</v>
      </c>
      <c r="P126" s="265">
        <v>16.88</v>
      </c>
      <c r="Q126" s="265">
        <v>1.8803145838984718</v>
      </c>
    </row>
    <row r="127" spans="1:17" ht="15" customHeight="1">
      <c r="A127" s="147">
        <v>120</v>
      </c>
      <c r="B127" s="51" t="s">
        <v>6</v>
      </c>
      <c r="C127" s="51" t="s">
        <v>3871</v>
      </c>
      <c r="D127" s="51">
        <v>100028964</v>
      </c>
      <c r="E127" s="53" t="s">
        <v>3872</v>
      </c>
      <c r="F127" s="124">
        <v>3</v>
      </c>
      <c r="G127" s="124">
        <v>96</v>
      </c>
      <c r="H127" s="369">
        <v>960.8</v>
      </c>
      <c r="I127" s="215" t="s">
        <v>76</v>
      </c>
      <c r="J127" s="215" t="s">
        <v>102</v>
      </c>
      <c r="K127" s="266">
        <v>810673011438</v>
      </c>
      <c r="L127" s="265" t="s">
        <v>649</v>
      </c>
      <c r="M127" s="266">
        <v>810673015412</v>
      </c>
      <c r="N127" s="264">
        <v>3.8239999999999998</v>
      </c>
      <c r="O127" s="265" t="s">
        <v>649</v>
      </c>
      <c r="P127" s="265">
        <v>11.472</v>
      </c>
      <c r="Q127" s="265">
        <v>1.3788503419060438</v>
      </c>
    </row>
    <row r="128" spans="1:17" ht="15" customHeight="1">
      <c r="A128" s="147">
        <v>121</v>
      </c>
      <c r="B128" s="51" t="s">
        <v>6</v>
      </c>
      <c r="C128" s="51" t="s">
        <v>3873</v>
      </c>
      <c r="D128" s="51">
        <v>100028965</v>
      </c>
      <c r="E128" s="53" t="s">
        <v>3874</v>
      </c>
      <c r="F128" s="124">
        <v>50</v>
      </c>
      <c r="G128" s="124">
        <v>4000</v>
      </c>
      <c r="H128" s="369">
        <v>40.18</v>
      </c>
      <c r="I128" s="215" t="s">
        <v>76</v>
      </c>
      <c r="J128" s="215" t="s">
        <v>102</v>
      </c>
      <c r="K128" s="266">
        <v>810673014408</v>
      </c>
      <c r="L128" s="265" t="s">
        <v>649</v>
      </c>
      <c r="M128" s="266">
        <v>10810673014405</v>
      </c>
      <c r="N128" s="264">
        <v>0.16</v>
      </c>
      <c r="O128" s="265" t="s">
        <v>649</v>
      </c>
      <c r="P128" s="265">
        <v>8</v>
      </c>
      <c r="Q128" s="265">
        <v>0.4856358104657279</v>
      </c>
    </row>
    <row r="129" spans="1:17" ht="15" customHeight="1">
      <c r="A129" s="147">
        <v>122</v>
      </c>
      <c r="B129" s="51" t="s">
        <v>6</v>
      </c>
      <c r="C129" s="51" t="s">
        <v>3875</v>
      </c>
      <c r="D129" s="51">
        <v>100028966</v>
      </c>
      <c r="E129" s="53" t="s">
        <v>3876</v>
      </c>
      <c r="F129" s="124">
        <v>25</v>
      </c>
      <c r="G129" s="124">
        <v>2000</v>
      </c>
      <c r="H129" s="369">
        <v>47.53</v>
      </c>
      <c r="I129" s="215" t="s">
        <v>76</v>
      </c>
      <c r="J129" s="215" t="s">
        <v>102</v>
      </c>
      <c r="K129" s="266">
        <v>810673014422</v>
      </c>
      <c r="L129" s="265" t="s">
        <v>649</v>
      </c>
      <c r="M129" s="266">
        <v>10810673014429</v>
      </c>
      <c r="N129" s="264">
        <v>0.217</v>
      </c>
      <c r="O129" s="265" t="s">
        <v>649</v>
      </c>
      <c r="P129" s="265">
        <v>5.4249999999999998</v>
      </c>
      <c r="Q129" s="265">
        <v>0.4856358104657279</v>
      </c>
    </row>
    <row r="130" spans="1:17" ht="15" customHeight="1">
      <c r="A130" s="147">
        <v>123</v>
      </c>
      <c r="B130" s="51" t="s">
        <v>6</v>
      </c>
      <c r="C130" s="51" t="s">
        <v>3877</v>
      </c>
      <c r="D130" s="51">
        <v>100028967</v>
      </c>
      <c r="E130" s="53" t="s">
        <v>3878</v>
      </c>
      <c r="F130" s="124">
        <v>20</v>
      </c>
      <c r="G130" s="124">
        <v>640</v>
      </c>
      <c r="H130" s="369">
        <v>117.31</v>
      </c>
      <c r="I130" s="215" t="s">
        <v>76</v>
      </c>
      <c r="J130" s="215" t="s">
        <v>102</v>
      </c>
      <c r="K130" s="266">
        <v>810673014446</v>
      </c>
      <c r="L130" s="265" t="s">
        <v>649</v>
      </c>
      <c r="M130" s="266">
        <v>10810673014443</v>
      </c>
      <c r="N130" s="264">
        <v>0.77600000000000002</v>
      </c>
      <c r="O130" s="265" t="s">
        <v>649</v>
      </c>
      <c r="P130" s="265">
        <v>15.52</v>
      </c>
      <c r="Q130" s="265">
        <v>1.3788503419060438</v>
      </c>
    </row>
    <row r="131" spans="1:17" ht="15" customHeight="1">
      <c r="A131" s="147">
        <v>124</v>
      </c>
      <c r="B131" s="51" t="s">
        <v>6</v>
      </c>
      <c r="C131" s="51" t="s">
        <v>3879</v>
      </c>
      <c r="D131" s="51">
        <v>100028968</v>
      </c>
      <c r="E131" s="53" t="s">
        <v>3880</v>
      </c>
      <c r="F131" s="124">
        <v>15</v>
      </c>
      <c r="G131" s="124">
        <v>480</v>
      </c>
      <c r="H131" s="369">
        <v>185.44</v>
      </c>
      <c r="I131" s="215" t="s">
        <v>76</v>
      </c>
      <c r="J131" s="215" t="s">
        <v>102</v>
      </c>
      <c r="K131" s="266">
        <v>810673012114</v>
      </c>
      <c r="L131" s="265" t="s">
        <v>649</v>
      </c>
      <c r="M131" s="266">
        <v>10810673012111</v>
      </c>
      <c r="N131" s="264">
        <v>1.3080000000000001</v>
      </c>
      <c r="O131" s="265" t="s">
        <v>649</v>
      </c>
      <c r="P131" s="265">
        <v>19.62</v>
      </c>
      <c r="Q131" s="265">
        <v>1.3788503419060438</v>
      </c>
    </row>
    <row r="132" spans="1:17" ht="15" customHeight="1">
      <c r="A132" s="147">
        <v>125</v>
      </c>
      <c r="B132" s="51" t="s">
        <v>6</v>
      </c>
      <c r="C132" s="51" t="s">
        <v>3881</v>
      </c>
      <c r="D132" s="51">
        <v>100028969</v>
      </c>
      <c r="E132" s="53" t="s">
        <v>3882</v>
      </c>
      <c r="F132" s="124">
        <v>3</v>
      </c>
      <c r="G132" s="124">
        <v>96</v>
      </c>
      <c r="H132" s="369">
        <v>1070.93</v>
      </c>
      <c r="I132" s="215" t="s">
        <v>76</v>
      </c>
      <c r="J132" s="215" t="s">
        <v>102</v>
      </c>
      <c r="K132" s="266">
        <v>812361012659</v>
      </c>
      <c r="L132" s="265" t="s">
        <v>649</v>
      </c>
      <c r="M132" s="266">
        <v>812361012666</v>
      </c>
      <c r="N132" s="264">
        <v>3.7759999999999998</v>
      </c>
      <c r="O132" s="265" t="s">
        <v>649</v>
      </c>
      <c r="P132" s="265">
        <v>11.327999999999999</v>
      </c>
      <c r="Q132" s="265">
        <v>1.3788503419060438</v>
      </c>
    </row>
    <row r="133" spans="1:17" ht="15" customHeight="1">
      <c r="A133" s="147">
        <v>126</v>
      </c>
      <c r="B133" s="51" t="s">
        <v>6</v>
      </c>
      <c r="C133" s="51" t="s">
        <v>3883</v>
      </c>
      <c r="D133" s="51">
        <v>100028970</v>
      </c>
      <c r="E133" s="53" t="s">
        <v>3884</v>
      </c>
      <c r="F133" s="124">
        <v>50</v>
      </c>
      <c r="G133" s="124">
        <v>4000</v>
      </c>
      <c r="H133" s="369">
        <v>108.72</v>
      </c>
      <c r="I133" s="215" t="s">
        <v>76</v>
      </c>
      <c r="J133" s="215" t="s">
        <v>102</v>
      </c>
      <c r="K133" s="266">
        <v>810673014477</v>
      </c>
      <c r="L133" s="265" t="s">
        <v>649</v>
      </c>
      <c r="M133" s="266">
        <v>812361011935</v>
      </c>
      <c r="N133" s="264">
        <v>0.14299999999999999</v>
      </c>
      <c r="O133" s="265" t="s">
        <v>649</v>
      </c>
      <c r="P133" s="265">
        <v>7.1499999999999995</v>
      </c>
      <c r="Q133" s="265">
        <v>0.4856358104657279</v>
      </c>
    </row>
    <row r="134" spans="1:17" ht="15" customHeight="1">
      <c r="A134" s="147">
        <v>127</v>
      </c>
      <c r="B134" s="51" t="s">
        <v>6</v>
      </c>
      <c r="C134" s="51" t="s">
        <v>3885</v>
      </c>
      <c r="D134" s="51">
        <v>100028971</v>
      </c>
      <c r="E134" s="53" t="s">
        <v>3886</v>
      </c>
      <c r="F134" s="124">
        <v>25</v>
      </c>
      <c r="G134" s="124">
        <v>2000</v>
      </c>
      <c r="H134" s="369">
        <v>116.32</v>
      </c>
      <c r="I134" s="215" t="s">
        <v>76</v>
      </c>
      <c r="J134" s="215" t="s">
        <v>102</v>
      </c>
      <c r="K134" s="266">
        <v>810673014491</v>
      </c>
      <c r="L134" s="265" t="s">
        <v>649</v>
      </c>
      <c r="M134" s="266">
        <v>810673014507</v>
      </c>
      <c r="N134" s="264">
        <v>0.21199999999999999</v>
      </c>
      <c r="O134" s="265" t="s">
        <v>649</v>
      </c>
      <c r="P134" s="265">
        <v>5.3</v>
      </c>
      <c r="Q134" s="265">
        <v>0.4856358104657279</v>
      </c>
    </row>
    <row r="135" spans="1:17" ht="15" customHeight="1">
      <c r="A135" s="147">
        <v>128</v>
      </c>
      <c r="B135" s="51" t="s">
        <v>6</v>
      </c>
      <c r="C135" s="51" t="s">
        <v>3887</v>
      </c>
      <c r="D135" s="51">
        <v>100028972</v>
      </c>
      <c r="E135" s="53" t="s">
        <v>3888</v>
      </c>
      <c r="F135" s="124">
        <v>20</v>
      </c>
      <c r="G135" s="124">
        <v>640</v>
      </c>
      <c r="H135" s="369">
        <v>181.72</v>
      </c>
      <c r="I135" s="215" t="s">
        <v>76</v>
      </c>
      <c r="J135" s="215" t="s">
        <v>102</v>
      </c>
      <c r="K135" s="266">
        <v>810673014514</v>
      </c>
      <c r="L135" s="265" t="s">
        <v>649</v>
      </c>
      <c r="M135" s="266">
        <v>810673014521</v>
      </c>
      <c r="N135" s="264">
        <v>0.73199999999999998</v>
      </c>
      <c r="O135" s="265" t="s">
        <v>649</v>
      </c>
      <c r="P135" s="265">
        <v>14.64</v>
      </c>
      <c r="Q135" s="265">
        <v>1.3788503419060438</v>
      </c>
    </row>
    <row r="136" spans="1:17" ht="15" customHeight="1">
      <c r="A136" s="147">
        <v>129</v>
      </c>
      <c r="B136" s="51" t="s">
        <v>6</v>
      </c>
      <c r="C136" s="51" t="s">
        <v>3889</v>
      </c>
      <c r="D136" s="51">
        <v>100028973</v>
      </c>
      <c r="E136" s="53" t="s">
        <v>3890</v>
      </c>
      <c r="F136" s="124">
        <v>10</v>
      </c>
      <c r="G136" s="124">
        <v>320</v>
      </c>
      <c r="H136" s="369">
        <v>263.64</v>
      </c>
      <c r="I136" s="215" t="s">
        <v>76</v>
      </c>
      <c r="J136" s="215" t="s">
        <v>102</v>
      </c>
      <c r="K136" s="266">
        <v>810673012121</v>
      </c>
      <c r="L136" s="265" t="s">
        <v>649</v>
      </c>
      <c r="M136" s="266">
        <v>810673014538</v>
      </c>
      <c r="N136" s="264">
        <v>1.2889999999999999</v>
      </c>
      <c r="O136" s="265" t="s">
        <v>649</v>
      </c>
      <c r="P136" s="265">
        <v>12.889999999999999</v>
      </c>
      <c r="Q136" s="265">
        <v>1.3788503419060438</v>
      </c>
    </row>
    <row r="137" spans="1:17" ht="15" customHeight="1">
      <c r="A137" s="147">
        <v>130</v>
      </c>
      <c r="B137" s="51" t="s">
        <v>6</v>
      </c>
      <c r="C137" s="51" t="s">
        <v>3891</v>
      </c>
      <c r="D137" s="51">
        <v>100028974</v>
      </c>
      <c r="E137" s="53" t="s">
        <v>3892</v>
      </c>
      <c r="F137" s="124">
        <v>5</v>
      </c>
      <c r="G137" s="124">
        <v>120</v>
      </c>
      <c r="H137" s="369">
        <v>1037.56</v>
      </c>
      <c r="I137" s="215" t="s">
        <v>346</v>
      </c>
      <c r="J137" s="215" t="s">
        <v>102</v>
      </c>
      <c r="K137" s="266">
        <v>812361012673</v>
      </c>
      <c r="L137" s="265" t="s">
        <v>649</v>
      </c>
      <c r="M137" s="266">
        <v>812361019351</v>
      </c>
      <c r="N137" s="264">
        <v>3.3759999999999999</v>
      </c>
      <c r="O137" s="265" t="s">
        <v>649</v>
      </c>
      <c r="P137" s="265">
        <v>16.88</v>
      </c>
      <c r="Q137" s="265">
        <v>1.8803145838984718</v>
      </c>
    </row>
    <row r="138" spans="1:17" ht="15" customHeight="1">
      <c r="A138" s="147">
        <v>131</v>
      </c>
      <c r="B138" s="51" t="s">
        <v>6</v>
      </c>
      <c r="C138" s="51" t="s">
        <v>3893</v>
      </c>
      <c r="D138" s="51">
        <v>300005661</v>
      </c>
      <c r="E138" s="53" t="s">
        <v>3894</v>
      </c>
      <c r="F138" s="124">
        <v>6</v>
      </c>
      <c r="G138" s="124">
        <v>108</v>
      </c>
      <c r="H138" s="486" t="s">
        <v>5866</v>
      </c>
      <c r="I138" s="215" t="s">
        <v>816</v>
      </c>
      <c r="J138" s="215" t="s">
        <v>77</v>
      </c>
      <c r="K138" s="266">
        <v>812361018057</v>
      </c>
      <c r="L138" s="265" t="s">
        <v>649</v>
      </c>
      <c r="M138" s="265" t="s">
        <v>649</v>
      </c>
      <c r="N138" s="264">
        <v>2.5299999999999998</v>
      </c>
      <c r="O138" s="265" t="s">
        <v>649</v>
      </c>
      <c r="P138" s="265">
        <v>15.18</v>
      </c>
      <c r="Q138" s="265" t="s">
        <v>649</v>
      </c>
    </row>
    <row r="139" spans="1:17" ht="15" customHeight="1">
      <c r="A139" s="147">
        <v>132</v>
      </c>
      <c r="B139" s="51" t="s">
        <v>6</v>
      </c>
      <c r="C139" s="51" t="s">
        <v>3895</v>
      </c>
      <c r="D139" s="51">
        <v>300005662</v>
      </c>
      <c r="E139" s="53" t="s">
        <v>3896</v>
      </c>
      <c r="F139" s="124">
        <v>50</v>
      </c>
      <c r="G139" s="124">
        <v>1440</v>
      </c>
      <c r="H139" s="486" t="s">
        <v>5866</v>
      </c>
      <c r="I139" s="215" t="s">
        <v>816</v>
      </c>
      <c r="J139" s="215" t="s">
        <v>77</v>
      </c>
      <c r="K139" s="266">
        <v>812361012970</v>
      </c>
      <c r="L139" s="265" t="s">
        <v>649</v>
      </c>
      <c r="M139" s="265" t="s">
        <v>649</v>
      </c>
      <c r="N139" s="264">
        <v>0.34300000000000003</v>
      </c>
      <c r="O139" s="265" t="s">
        <v>649</v>
      </c>
      <c r="P139" s="265">
        <v>17.150000000000002</v>
      </c>
      <c r="Q139" s="265" t="s">
        <v>649</v>
      </c>
    </row>
    <row r="140" spans="1:17" ht="15" customHeight="1">
      <c r="A140" s="147">
        <v>133</v>
      </c>
      <c r="B140" s="51" t="s">
        <v>6</v>
      </c>
      <c r="C140" s="51" t="s">
        <v>3897</v>
      </c>
      <c r="D140" s="51">
        <v>100028977</v>
      </c>
      <c r="E140" s="53" t="s">
        <v>3898</v>
      </c>
      <c r="F140" s="124">
        <v>25</v>
      </c>
      <c r="G140" s="124">
        <v>875</v>
      </c>
      <c r="H140" s="369">
        <v>158.54</v>
      </c>
      <c r="I140" s="215" t="s">
        <v>76</v>
      </c>
      <c r="J140" s="215" t="s">
        <v>102</v>
      </c>
      <c r="K140" s="266">
        <v>812361012994</v>
      </c>
      <c r="L140" s="265" t="s">
        <v>649</v>
      </c>
      <c r="M140" s="266">
        <v>812361013007</v>
      </c>
      <c r="N140" s="264">
        <v>0.56399999999999995</v>
      </c>
      <c r="O140" s="265" t="s">
        <v>649</v>
      </c>
      <c r="P140" s="265">
        <v>14.099999999999998</v>
      </c>
      <c r="Q140" s="265">
        <v>1.3788503419060438</v>
      </c>
    </row>
    <row r="141" spans="1:17" ht="15" customHeight="1">
      <c r="A141" s="147">
        <v>134</v>
      </c>
      <c r="B141" s="51" t="s">
        <v>6</v>
      </c>
      <c r="C141" s="51" t="s">
        <v>3899</v>
      </c>
      <c r="D141" s="51">
        <v>300005663</v>
      </c>
      <c r="E141" s="53" t="s">
        <v>3900</v>
      </c>
      <c r="F141" s="124">
        <v>20</v>
      </c>
      <c r="G141" s="124">
        <v>1200</v>
      </c>
      <c r="H141" s="486" t="s">
        <v>5866</v>
      </c>
      <c r="I141" s="215" t="s">
        <v>816</v>
      </c>
      <c r="J141" s="215" t="s">
        <v>77</v>
      </c>
      <c r="K141" s="266">
        <v>812361013014</v>
      </c>
      <c r="L141" s="265" t="s">
        <v>649</v>
      </c>
      <c r="M141" s="265" t="s">
        <v>649</v>
      </c>
      <c r="N141" s="264">
        <v>0.379</v>
      </c>
      <c r="O141" s="265" t="s">
        <v>649</v>
      </c>
      <c r="P141" s="265">
        <v>7.58</v>
      </c>
      <c r="Q141" s="265" t="s">
        <v>649</v>
      </c>
    </row>
    <row r="142" spans="1:17" ht="15" customHeight="1">
      <c r="A142" s="147">
        <v>135</v>
      </c>
      <c r="B142" s="51" t="s">
        <v>6</v>
      </c>
      <c r="C142" s="51" t="s">
        <v>3901</v>
      </c>
      <c r="D142" s="51">
        <v>100028979</v>
      </c>
      <c r="E142" s="53" t="s">
        <v>3902</v>
      </c>
      <c r="F142" s="124">
        <v>10</v>
      </c>
      <c r="G142" s="124">
        <v>270</v>
      </c>
      <c r="H142" s="369">
        <v>439</v>
      </c>
      <c r="I142" s="215" t="s">
        <v>346</v>
      </c>
      <c r="J142" s="215" t="s">
        <v>102</v>
      </c>
      <c r="K142" s="266">
        <v>812361013038</v>
      </c>
      <c r="L142" s="265" t="s">
        <v>649</v>
      </c>
      <c r="M142" s="266">
        <v>812361013045</v>
      </c>
      <c r="N142" s="264">
        <v>1.6919999999999999</v>
      </c>
      <c r="O142" s="265" t="s">
        <v>649</v>
      </c>
      <c r="P142" s="265">
        <v>16.919999999999998</v>
      </c>
      <c r="Q142" s="265">
        <v>1.8803145838984718</v>
      </c>
    </row>
    <row r="143" spans="1:17" ht="15" customHeight="1">
      <c r="A143" s="147">
        <v>136</v>
      </c>
      <c r="B143" s="51" t="s">
        <v>6</v>
      </c>
      <c r="C143" s="51" t="s">
        <v>3903</v>
      </c>
      <c r="D143" s="51">
        <v>300005664</v>
      </c>
      <c r="E143" s="53" t="s">
        <v>3904</v>
      </c>
      <c r="F143" s="124">
        <v>1</v>
      </c>
      <c r="G143" s="124" t="s">
        <v>649</v>
      </c>
      <c r="H143" s="486" t="s">
        <v>5866</v>
      </c>
      <c r="I143" s="215" t="s">
        <v>816</v>
      </c>
      <c r="J143" s="215" t="s">
        <v>77</v>
      </c>
      <c r="K143" s="266">
        <v>812361017296</v>
      </c>
      <c r="L143" s="265" t="s">
        <v>649</v>
      </c>
      <c r="M143" s="265" t="s">
        <v>649</v>
      </c>
      <c r="N143" s="264">
        <v>2.95</v>
      </c>
      <c r="O143" s="265" t="s">
        <v>649</v>
      </c>
      <c r="P143" s="265">
        <v>2.95</v>
      </c>
      <c r="Q143" s="265" t="s">
        <v>649</v>
      </c>
    </row>
    <row r="144" spans="1:17" ht="15" customHeight="1">
      <c r="A144" s="147">
        <v>137</v>
      </c>
      <c r="B144" s="51" t="s">
        <v>6</v>
      </c>
      <c r="C144" s="51" t="s">
        <v>3905</v>
      </c>
      <c r="D144" s="51">
        <v>100028981</v>
      </c>
      <c r="E144" s="53" t="s">
        <v>3906</v>
      </c>
      <c r="F144" s="124">
        <v>10</v>
      </c>
      <c r="G144" s="124">
        <v>240</v>
      </c>
      <c r="H144" s="369">
        <v>214.79</v>
      </c>
      <c r="I144" s="215" t="s">
        <v>76</v>
      </c>
      <c r="J144" s="215" t="s">
        <v>102</v>
      </c>
      <c r="K144" s="266">
        <v>812361012512</v>
      </c>
      <c r="L144" s="265" t="s">
        <v>649</v>
      </c>
      <c r="M144" s="266">
        <v>812361012529</v>
      </c>
      <c r="N144" s="264">
        <v>1.77</v>
      </c>
      <c r="O144" s="265" t="s">
        <v>649</v>
      </c>
      <c r="P144" s="265">
        <v>17.7</v>
      </c>
      <c r="Q144" s="265">
        <v>1.8803145838984718</v>
      </c>
    </row>
    <row r="145" spans="1:17" ht="15" customHeight="1">
      <c r="A145" s="147">
        <v>138</v>
      </c>
      <c r="B145" s="51" t="s">
        <v>6</v>
      </c>
      <c r="C145" s="51" t="s">
        <v>3907</v>
      </c>
      <c r="D145" s="51">
        <v>100028982</v>
      </c>
      <c r="E145" s="53" t="s">
        <v>3908</v>
      </c>
      <c r="F145" s="124">
        <v>10</v>
      </c>
      <c r="G145" s="124">
        <v>240</v>
      </c>
      <c r="H145" s="369">
        <v>454.27</v>
      </c>
      <c r="I145" s="215" t="s">
        <v>346</v>
      </c>
      <c r="J145" s="215" t="s">
        <v>102</v>
      </c>
      <c r="K145" s="266">
        <v>812361013052</v>
      </c>
      <c r="L145" s="265" t="s">
        <v>649</v>
      </c>
      <c r="M145" s="266">
        <v>812361013069</v>
      </c>
      <c r="N145" s="264">
        <v>1.7869999999999999</v>
      </c>
      <c r="O145" s="265" t="s">
        <v>649</v>
      </c>
      <c r="P145" s="265">
        <v>17.869999999999997</v>
      </c>
      <c r="Q145" s="265">
        <v>1.8803145838984718</v>
      </c>
    </row>
    <row r="146" spans="1:17" ht="15" customHeight="1">
      <c r="A146" s="147">
        <v>139</v>
      </c>
      <c r="B146" s="51" t="s">
        <v>6</v>
      </c>
      <c r="C146" s="51" t="s">
        <v>3909</v>
      </c>
      <c r="D146" s="51">
        <v>300005665</v>
      </c>
      <c r="E146" s="53" t="s">
        <v>3910</v>
      </c>
      <c r="F146" s="124">
        <v>20</v>
      </c>
      <c r="G146" s="124">
        <v>2880</v>
      </c>
      <c r="H146" s="486" t="s">
        <v>5866</v>
      </c>
      <c r="I146" s="215" t="s">
        <v>816</v>
      </c>
      <c r="J146" s="215" t="s">
        <v>77</v>
      </c>
      <c r="K146" s="266">
        <v>810673013692</v>
      </c>
      <c r="L146" s="265" t="s">
        <v>649</v>
      </c>
      <c r="M146" s="266">
        <v>10810673013699</v>
      </c>
      <c r="N146" s="264">
        <v>0.18</v>
      </c>
      <c r="O146" s="265" t="s">
        <v>649</v>
      </c>
      <c r="P146" s="265">
        <v>3.5999999999999996</v>
      </c>
      <c r="Q146" s="265" t="s">
        <v>649</v>
      </c>
    </row>
    <row r="147" spans="1:17" ht="15" customHeight="1">
      <c r="A147" s="147">
        <v>140</v>
      </c>
      <c r="B147" s="51" t="s">
        <v>6</v>
      </c>
      <c r="C147" s="51" t="s">
        <v>3911</v>
      </c>
      <c r="D147" s="51">
        <v>100028984</v>
      </c>
      <c r="E147" s="53" t="s">
        <v>3912</v>
      </c>
      <c r="F147" s="124">
        <v>30</v>
      </c>
      <c r="G147" s="124">
        <v>1890</v>
      </c>
      <c r="H147" s="369">
        <v>77.09</v>
      </c>
      <c r="I147" s="215" t="s">
        <v>346</v>
      </c>
      <c r="J147" s="215" t="s">
        <v>102</v>
      </c>
      <c r="K147" s="266">
        <v>810673013708</v>
      </c>
      <c r="L147" s="265" t="s">
        <v>649</v>
      </c>
      <c r="M147" s="266">
        <v>10810673013705</v>
      </c>
      <c r="N147" s="264">
        <v>0.32</v>
      </c>
      <c r="O147" s="265" t="s">
        <v>649</v>
      </c>
      <c r="P147" s="265">
        <v>9.6</v>
      </c>
      <c r="Q147" s="265">
        <v>0.66940792428507967</v>
      </c>
    </row>
    <row r="148" spans="1:17" ht="15" customHeight="1">
      <c r="A148" s="147">
        <v>141</v>
      </c>
      <c r="B148" s="51" t="s">
        <v>6</v>
      </c>
      <c r="C148" s="51" t="s">
        <v>3913</v>
      </c>
      <c r="D148" s="51">
        <v>100028985</v>
      </c>
      <c r="E148" s="53" t="s">
        <v>3914</v>
      </c>
      <c r="F148" s="124">
        <v>25</v>
      </c>
      <c r="G148" s="124">
        <v>450</v>
      </c>
      <c r="H148" s="369">
        <v>199.82</v>
      </c>
      <c r="I148" s="215" t="s">
        <v>76</v>
      </c>
      <c r="J148" s="215" t="s">
        <v>102</v>
      </c>
      <c r="K148" s="266">
        <v>810673013715</v>
      </c>
      <c r="L148" s="265" t="s">
        <v>649</v>
      </c>
      <c r="M148" s="266">
        <v>810673011339</v>
      </c>
      <c r="N148" s="264">
        <v>0.99399999999999999</v>
      </c>
      <c r="O148" s="265" t="s">
        <v>649</v>
      </c>
      <c r="P148" s="265">
        <v>24.85</v>
      </c>
      <c r="Q148" s="265">
        <v>2.361325291407383</v>
      </c>
    </row>
    <row r="149" spans="1:17" ht="15" customHeight="1">
      <c r="A149" s="147">
        <v>142</v>
      </c>
      <c r="B149" s="51" t="s">
        <v>6</v>
      </c>
      <c r="C149" s="51" t="s">
        <v>3915</v>
      </c>
      <c r="D149" s="51">
        <v>300005666</v>
      </c>
      <c r="E149" s="53" t="s">
        <v>3916</v>
      </c>
      <c r="F149" s="124">
        <v>5</v>
      </c>
      <c r="G149" s="124" t="s">
        <v>649</v>
      </c>
      <c r="H149" s="486" t="s">
        <v>5866</v>
      </c>
      <c r="I149" s="215" t="s">
        <v>346</v>
      </c>
      <c r="J149" s="215" t="s">
        <v>77</v>
      </c>
      <c r="K149" s="266">
        <v>812361017364</v>
      </c>
      <c r="L149" s="265" t="s">
        <v>649</v>
      </c>
      <c r="M149" s="265" t="s">
        <v>649</v>
      </c>
      <c r="N149" s="264">
        <v>1.6</v>
      </c>
      <c r="O149" s="265" t="s">
        <v>649</v>
      </c>
      <c r="P149" s="265">
        <v>8</v>
      </c>
      <c r="Q149" s="265" t="s">
        <v>649</v>
      </c>
    </row>
    <row r="150" spans="1:17" ht="15" customHeight="1">
      <c r="A150" s="147">
        <v>143</v>
      </c>
      <c r="B150" s="51" t="s">
        <v>6</v>
      </c>
      <c r="C150" s="51" t="s">
        <v>3917</v>
      </c>
      <c r="D150" s="51">
        <v>100028987</v>
      </c>
      <c r="E150" s="53" t="s">
        <v>3918</v>
      </c>
      <c r="F150" s="124">
        <v>25</v>
      </c>
      <c r="G150" s="124">
        <v>2250</v>
      </c>
      <c r="H150" s="369">
        <v>64.989999999999995</v>
      </c>
      <c r="I150" s="215" t="s">
        <v>346</v>
      </c>
      <c r="J150" s="215" t="s">
        <v>102</v>
      </c>
      <c r="K150" s="266">
        <v>810673013722</v>
      </c>
      <c r="L150" s="265" t="s">
        <v>649</v>
      </c>
      <c r="M150" s="266">
        <v>10810673013729</v>
      </c>
      <c r="N150" s="264">
        <v>0.20200000000000001</v>
      </c>
      <c r="O150" s="265" t="s">
        <v>649</v>
      </c>
      <c r="P150" s="265">
        <v>5.0500000000000007</v>
      </c>
      <c r="Q150" s="265">
        <v>0.32375720697715193</v>
      </c>
    </row>
    <row r="151" spans="1:17" ht="15" customHeight="1">
      <c r="A151" s="147">
        <v>144</v>
      </c>
      <c r="B151" s="51" t="s">
        <v>6</v>
      </c>
      <c r="C151" s="51" t="s">
        <v>3919</v>
      </c>
      <c r="D151" s="51">
        <v>100028988</v>
      </c>
      <c r="E151" s="53" t="s">
        <v>3920</v>
      </c>
      <c r="F151" s="124">
        <v>20</v>
      </c>
      <c r="G151" s="124">
        <v>1600</v>
      </c>
      <c r="H151" s="369">
        <v>89.25</v>
      </c>
      <c r="I151" s="215" t="s">
        <v>346</v>
      </c>
      <c r="J151" s="215" t="s">
        <v>102</v>
      </c>
      <c r="K151" s="266">
        <v>810673013739</v>
      </c>
      <c r="L151" s="265" t="s">
        <v>649</v>
      </c>
      <c r="M151" s="266">
        <v>10810673013736</v>
      </c>
      <c r="N151" s="264">
        <v>0.30199999999999999</v>
      </c>
      <c r="O151" s="265" t="s">
        <v>649</v>
      </c>
      <c r="P151" s="265">
        <v>6.04</v>
      </c>
      <c r="Q151" s="265">
        <v>0.4856358104657279</v>
      </c>
    </row>
    <row r="152" spans="1:17" ht="15" customHeight="1">
      <c r="A152" s="147">
        <v>145</v>
      </c>
      <c r="B152" s="51" t="s">
        <v>6</v>
      </c>
      <c r="C152" s="51" t="s">
        <v>3921</v>
      </c>
      <c r="D152" s="51">
        <v>100028989</v>
      </c>
      <c r="E152" s="53" t="s">
        <v>3922</v>
      </c>
      <c r="F152" s="124">
        <v>5</v>
      </c>
      <c r="G152" s="124">
        <v>400</v>
      </c>
      <c r="H152" s="369">
        <v>239.22</v>
      </c>
      <c r="I152" s="215" t="s">
        <v>346</v>
      </c>
      <c r="J152" s="215" t="s">
        <v>102</v>
      </c>
      <c r="K152" s="266">
        <v>810673013746</v>
      </c>
      <c r="L152" s="265" t="s">
        <v>649</v>
      </c>
      <c r="M152" s="266">
        <v>810673011513</v>
      </c>
      <c r="N152" s="264">
        <v>1.0009999999999999</v>
      </c>
      <c r="O152" s="265" t="s">
        <v>649</v>
      </c>
      <c r="P152" s="265">
        <v>5.004999999999999</v>
      </c>
      <c r="Q152" s="265">
        <v>0.4856358104657279</v>
      </c>
    </row>
    <row r="153" spans="1:17" ht="15" customHeight="1">
      <c r="A153" s="147">
        <v>146</v>
      </c>
      <c r="B153" s="51" t="s">
        <v>6</v>
      </c>
      <c r="C153" s="51" t="s">
        <v>3923</v>
      </c>
      <c r="D153" s="51">
        <v>300005667</v>
      </c>
      <c r="E153" s="53" t="s">
        <v>3924</v>
      </c>
      <c r="F153" s="124">
        <v>50</v>
      </c>
      <c r="G153" s="124">
        <v>2000</v>
      </c>
      <c r="H153" s="486" t="s">
        <v>5866</v>
      </c>
      <c r="I153" s="215" t="s">
        <v>816</v>
      </c>
      <c r="J153" s="215" t="s">
        <v>77</v>
      </c>
      <c r="K153" s="266">
        <v>810673013913</v>
      </c>
      <c r="L153" s="265" t="s">
        <v>649</v>
      </c>
      <c r="M153" s="265" t="s">
        <v>649</v>
      </c>
      <c r="N153" s="264">
        <v>0.24</v>
      </c>
      <c r="O153" s="265" t="s">
        <v>649</v>
      </c>
      <c r="P153" s="265">
        <v>12</v>
      </c>
      <c r="Q153" s="265" t="s">
        <v>649</v>
      </c>
    </row>
    <row r="154" spans="1:17" ht="15" customHeight="1">
      <c r="A154" s="147">
        <v>147</v>
      </c>
      <c r="B154" s="51" t="s">
        <v>6</v>
      </c>
      <c r="C154" s="51" t="s">
        <v>3925</v>
      </c>
      <c r="D154" s="51">
        <v>100028992</v>
      </c>
      <c r="E154" s="53" t="s">
        <v>3926</v>
      </c>
      <c r="F154" s="124">
        <v>100</v>
      </c>
      <c r="G154" s="124">
        <v>1800</v>
      </c>
      <c r="H154" s="369">
        <v>50.31</v>
      </c>
      <c r="I154" s="215" t="s">
        <v>76</v>
      </c>
      <c r="J154" s="215" t="s">
        <v>102</v>
      </c>
      <c r="K154" s="266">
        <v>810673013920</v>
      </c>
      <c r="L154" s="265" t="s">
        <v>649</v>
      </c>
      <c r="M154" s="266">
        <v>10810673013927</v>
      </c>
      <c r="N154" s="264">
        <v>0.30499999999999999</v>
      </c>
      <c r="O154" s="265" t="s">
        <v>649</v>
      </c>
      <c r="P154" s="265">
        <v>30.5</v>
      </c>
      <c r="Q154" s="265">
        <v>2.361325291407383</v>
      </c>
    </row>
    <row r="155" spans="1:17" ht="15" customHeight="1">
      <c r="A155" s="147">
        <v>148</v>
      </c>
      <c r="B155" s="51" t="s">
        <v>6</v>
      </c>
      <c r="C155" s="51" t="s">
        <v>3927</v>
      </c>
      <c r="D155" s="51">
        <v>100028993</v>
      </c>
      <c r="E155" s="53" t="s">
        <v>3928</v>
      </c>
      <c r="F155" s="124">
        <v>35</v>
      </c>
      <c r="G155" s="124">
        <v>840</v>
      </c>
      <c r="H155" s="369">
        <v>74.069999999999993</v>
      </c>
      <c r="I155" s="215" t="s">
        <v>76</v>
      </c>
      <c r="J155" s="215" t="s">
        <v>102</v>
      </c>
      <c r="K155" s="266">
        <v>810673013937</v>
      </c>
      <c r="L155" s="265" t="s">
        <v>649</v>
      </c>
      <c r="M155" s="266">
        <v>10810673013934</v>
      </c>
      <c r="N155" s="264">
        <v>0.51700000000000002</v>
      </c>
      <c r="O155" s="265" t="s">
        <v>649</v>
      </c>
      <c r="P155" s="265">
        <v>18.094999999999999</v>
      </c>
      <c r="Q155" s="265">
        <v>1.8803145838984718</v>
      </c>
    </row>
    <row r="156" spans="1:17" ht="15" customHeight="1">
      <c r="A156" s="147">
        <v>149</v>
      </c>
      <c r="B156" s="51" t="s">
        <v>6</v>
      </c>
      <c r="C156" s="51" t="s">
        <v>3929</v>
      </c>
      <c r="D156" s="51">
        <v>100028994</v>
      </c>
      <c r="E156" s="53" t="s">
        <v>3930</v>
      </c>
      <c r="F156" s="124">
        <v>30</v>
      </c>
      <c r="G156" s="124">
        <v>360</v>
      </c>
      <c r="H156" s="369">
        <v>195.07</v>
      </c>
      <c r="I156" s="215" t="s">
        <v>76</v>
      </c>
      <c r="J156" s="215" t="s">
        <v>102</v>
      </c>
      <c r="K156" s="266">
        <v>810673013944</v>
      </c>
      <c r="L156" s="265" t="s">
        <v>649</v>
      </c>
      <c r="M156" s="266">
        <v>10810673013941</v>
      </c>
      <c r="N156" s="264">
        <v>1.4930000000000001</v>
      </c>
      <c r="O156" s="265" t="s">
        <v>649</v>
      </c>
      <c r="P156" s="265">
        <v>44.790000000000006</v>
      </c>
      <c r="Q156" s="265">
        <v>3.6731726755225957</v>
      </c>
    </row>
    <row r="157" spans="1:17" ht="15" customHeight="1">
      <c r="A157" s="147">
        <v>150</v>
      </c>
      <c r="B157" s="51" t="s">
        <v>6</v>
      </c>
      <c r="C157" s="51" t="s">
        <v>3931</v>
      </c>
      <c r="D157" s="51">
        <v>100028995</v>
      </c>
      <c r="E157" s="53" t="s">
        <v>3932</v>
      </c>
      <c r="F157" s="124">
        <v>5</v>
      </c>
      <c r="G157" s="124">
        <v>160</v>
      </c>
      <c r="H157" s="369">
        <v>356.21</v>
      </c>
      <c r="I157" s="215" t="s">
        <v>76</v>
      </c>
      <c r="J157" s="215" t="s">
        <v>102</v>
      </c>
      <c r="K157" s="266">
        <v>810673013951</v>
      </c>
      <c r="L157" s="265" t="s">
        <v>649</v>
      </c>
      <c r="M157" s="266">
        <v>10810673013958</v>
      </c>
      <c r="N157" s="264">
        <v>2.9740000000000002</v>
      </c>
      <c r="O157" s="265" t="s">
        <v>649</v>
      </c>
      <c r="P157" s="265">
        <v>14.870000000000001</v>
      </c>
      <c r="Q157" s="265">
        <v>1.3788503419060438</v>
      </c>
    </row>
    <row r="158" spans="1:17" ht="15" customHeight="1">
      <c r="A158" s="147">
        <v>151</v>
      </c>
      <c r="B158" s="51" t="s">
        <v>6</v>
      </c>
      <c r="C158" s="51" t="s">
        <v>3933</v>
      </c>
      <c r="D158" s="51">
        <v>100028996</v>
      </c>
      <c r="E158" s="53" t="s">
        <v>3934</v>
      </c>
      <c r="F158" s="124">
        <v>4</v>
      </c>
      <c r="G158" s="124">
        <v>48</v>
      </c>
      <c r="H158" s="369">
        <v>1430.47</v>
      </c>
      <c r="I158" s="215" t="s">
        <v>76</v>
      </c>
      <c r="J158" s="215" t="s">
        <v>102</v>
      </c>
      <c r="K158" s="266">
        <v>810673014118</v>
      </c>
      <c r="L158" s="265" t="s">
        <v>649</v>
      </c>
      <c r="M158" s="266">
        <v>812361015575</v>
      </c>
      <c r="N158" s="264">
        <v>6.8339999999999996</v>
      </c>
      <c r="O158" s="265" t="s">
        <v>649</v>
      </c>
      <c r="P158" s="265">
        <v>27.335999999999999</v>
      </c>
      <c r="Q158" s="265">
        <v>3.6731726755225957</v>
      </c>
    </row>
    <row r="159" spans="1:17" ht="15" customHeight="1">
      <c r="A159" s="147">
        <v>152</v>
      </c>
      <c r="B159" s="51" t="s">
        <v>6</v>
      </c>
      <c r="C159" s="51" t="s">
        <v>3935</v>
      </c>
      <c r="D159" s="51">
        <v>100028997</v>
      </c>
      <c r="E159" s="53" t="s">
        <v>3936</v>
      </c>
      <c r="F159" s="124">
        <v>25</v>
      </c>
      <c r="G159" s="124">
        <v>1125</v>
      </c>
      <c r="H159" s="369">
        <v>65.19</v>
      </c>
      <c r="I159" s="215" t="s">
        <v>76</v>
      </c>
      <c r="J159" s="215" t="s">
        <v>102</v>
      </c>
      <c r="K159" s="266">
        <v>810673014897</v>
      </c>
      <c r="L159" s="265" t="s">
        <v>649</v>
      </c>
      <c r="M159" s="266">
        <v>810673014910</v>
      </c>
      <c r="N159" s="264">
        <v>0.42699999999999999</v>
      </c>
      <c r="O159" s="265" t="s">
        <v>649</v>
      </c>
      <c r="P159" s="265">
        <v>10.674999999999999</v>
      </c>
      <c r="Q159" s="265">
        <v>0.98955954024750914</v>
      </c>
    </row>
    <row r="160" spans="1:17" ht="15" customHeight="1">
      <c r="A160" s="147">
        <v>153</v>
      </c>
      <c r="B160" s="51" t="s">
        <v>6</v>
      </c>
      <c r="C160" s="51" t="s">
        <v>3937</v>
      </c>
      <c r="D160" s="51">
        <v>100028998</v>
      </c>
      <c r="E160" s="53" t="s">
        <v>3938</v>
      </c>
      <c r="F160" s="124">
        <v>25</v>
      </c>
      <c r="G160" s="124">
        <v>800</v>
      </c>
      <c r="H160" s="369">
        <v>78.66</v>
      </c>
      <c r="I160" s="215" t="s">
        <v>76</v>
      </c>
      <c r="J160" s="215" t="s">
        <v>102</v>
      </c>
      <c r="K160" s="266">
        <v>810673014927</v>
      </c>
      <c r="L160" s="265" t="s">
        <v>649</v>
      </c>
      <c r="M160" s="266">
        <v>810673014934</v>
      </c>
      <c r="N160" s="264">
        <v>0.53</v>
      </c>
      <c r="O160" s="265" t="s">
        <v>649</v>
      </c>
      <c r="P160" s="265">
        <v>13.25</v>
      </c>
      <c r="Q160" s="265">
        <v>1.3788503419060438</v>
      </c>
    </row>
    <row r="161" spans="1:17" ht="15" customHeight="1">
      <c r="A161" s="147">
        <v>154</v>
      </c>
      <c r="B161" s="51" t="s">
        <v>6</v>
      </c>
      <c r="C161" s="51" t="s">
        <v>3939</v>
      </c>
      <c r="D161" s="51">
        <v>100028999</v>
      </c>
      <c r="E161" s="53" t="s">
        <v>3940</v>
      </c>
      <c r="F161" s="124">
        <v>50</v>
      </c>
      <c r="G161" s="124">
        <v>1200</v>
      </c>
      <c r="H161" s="369">
        <v>65.44</v>
      </c>
      <c r="I161" s="215" t="s">
        <v>76</v>
      </c>
      <c r="J161" s="215" t="s">
        <v>102</v>
      </c>
      <c r="K161" s="266">
        <v>810673014941</v>
      </c>
      <c r="L161" s="265" t="s">
        <v>649</v>
      </c>
      <c r="M161" s="266">
        <v>10810673014948</v>
      </c>
      <c r="N161" s="264">
        <v>0.42599999999999999</v>
      </c>
      <c r="O161" s="265" t="s">
        <v>649</v>
      </c>
      <c r="P161" s="265">
        <v>21.3</v>
      </c>
      <c r="Q161" s="265">
        <v>1.8803145838984718</v>
      </c>
    </row>
    <row r="162" spans="1:17" ht="15" customHeight="1">
      <c r="A162" s="147">
        <v>155</v>
      </c>
      <c r="B162" s="51" t="s">
        <v>6</v>
      </c>
      <c r="C162" s="51" t="s">
        <v>3941</v>
      </c>
      <c r="D162" s="51">
        <v>100029000</v>
      </c>
      <c r="E162" s="53" t="s">
        <v>3942</v>
      </c>
      <c r="F162" s="124">
        <v>20</v>
      </c>
      <c r="G162" s="124">
        <v>640</v>
      </c>
      <c r="H162" s="369">
        <v>141.69999999999999</v>
      </c>
      <c r="I162" s="215" t="s">
        <v>76</v>
      </c>
      <c r="J162" s="215" t="s">
        <v>102</v>
      </c>
      <c r="K162" s="266">
        <v>810673014965</v>
      </c>
      <c r="L162" s="265" t="s">
        <v>649</v>
      </c>
      <c r="M162" s="266">
        <v>10810673014962</v>
      </c>
      <c r="N162" s="264">
        <v>0.93899999999999995</v>
      </c>
      <c r="O162" s="265" t="s">
        <v>649</v>
      </c>
      <c r="P162" s="265">
        <v>18.779999999999998</v>
      </c>
      <c r="Q162" s="265">
        <v>1.3788503419060438</v>
      </c>
    </row>
    <row r="163" spans="1:17" ht="15" customHeight="1">
      <c r="A163" s="147">
        <v>156</v>
      </c>
      <c r="B163" s="51" t="s">
        <v>6</v>
      </c>
      <c r="C163" s="51" t="s">
        <v>3943</v>
      </c>
      <c r="D163" s="51">
        <v>100029001</v>
      </c>
      <c r="E163" s="53" t="s">
        <v>3944</v>
      </c>
      <c r="F163" s="124">
        <v>10</v>
      </c>
      <c r="G163" s="124">
        <v>320</v>
      </c>
      <c r="H163" s="369">
        <v>146.69999999999999</v>
      </c>
      <c r="I163" s="215" t="s">
        <v>76</v>
      </c>
      <c r="J163" s="215" t="s">
        <v>102</v>
      </c>
      <c r="K163" s="266">
        <v>810673014989</v>
      </c>
      <c r="L163" s="265" t="s">
        <v>649</v>
      </c>
      <c r="M163" s="266">
        <v>10810673014986</v>
      </c>
      <c r="N163" s="264">
        <v>1.1180000000000001</v>
      </c>
      <c r="O163" s="265" t="s">
        <v>649</v>
      </c>
      <c r="P163" s="265">
        <v>11.180000000000001</v>
      </c>
      <c r="Q163" s="265">
        <v>1.3788503419060438</v>
      </c>
    </row>
    <row r="164" spans="1:17" ht="15" customHeight="1">
      <c r="A164" s="147">
        <v>157</v>
      </c>
      <c r="B164" s="51" t="s">
        <v>6</v>
      </c>
      <c r="C164" s="51" t="s">
        <v>3945</v>
      </c>
      <c r="D164" s="51">
        <v>100029002</v>
      </c>
      <c r="E164" s="53" t="s">
        <v>3946</v>
      </c>
      <c r="F164" s="124">
        <v>10</v>
      </c>
      <c r="G164" s="124">
        <v>320</v>
      </c>
      <c r="H164" s="369">
        <v>306.51</v>
      </c>
      <c r="I164" s="215" t="s">
        <v>76</v>
      </c>
      <c r="J164" s="215" t="s">
        <v>102</v>
      </c>
      <c r="K164" s="266">
        <v>810673015009</v>
      </c>
      <c r="L164" s="265" t="s">
        <v>649</v>
      </c>
      <c r="M164" s="266">
        <v>10810673015006</v>
      </c>
      <c r="N164" s="264">
        <v>1.671</v>
      </c>
      <c r="O164" s="265" t="s">
        <v>649</v>
      </c>
      <c r="P164" s="265">
        <v>16.71</v>
      </c>
      <c r="Q164" s="265">
        <v>1.3788503419060438</v>
      </c>
    </row>
    <row r="165" spans="1:17" ht="15" customHeight="1">
      <c r="A165" s="147">
        <v>158</v>
      </c>
      <c r="B165" s="51" t="s">
        <v>6</v>
      </c>
      <c r="C165" s="51" t="s">
        <v>3947</v>
      </c>
      <c r="D165" s="51">
        <v>100029003</v>
      </c>
      <c r="E165" s="53" t="s">
        <v>3948</v>
      </c>
      <c r="F165" s="124">
        <v>10</v>
      </c>
      <c r="G165" s="124">
        <v>180</v>
      </c>
      <c r="H165" s="369">
        <v>416.6</v>
      </c>
      <c r="I165" s="215" t="s">
        <v>76</v>
      </c>
      <c r="J165" s="215" t="s">
        <v>102</v>
      </c>
      <c r="K165" s="266">
        <v>810673015023</v>
      </c>
      <c r="L165" s="265" t="s">
        <v>649</v>
      </c>
      <c r="M165" s="266">
        <v>10810673015020</v>
      </c>
      <c r="N165" s="264">
        <v>2.1989999999999998</v>
      </c>
      <c r="O165" s="265" t="s">
        <v>649</v>
      </c>
      <c r="P165" s="265">
        <v>21.99</v>
      </c>
      <c r="Q165" s="265">
        <v>2.361325291407383</v>
      </c>
    </row>
    <row r="166" spans="1:17" ht="15" customHeight="1">
      <c r="A166" s="147">
        <v>159</v>
      </c>
      <c r="B166" s="51" t="s">
        <v>6</v>
      </c>
      <c r="C166" s="51" t="s">
        <v>3949</v>
      </c>
      <c r="D166" s="51">
        <v>100029004</v>
      </c>
      <c r="E166" s="53" t="s">
        <v>3950</v>
      </c>
      <c r="F166" s="124">
        <v>6</v>
      </c>
      <c r="G166" s="124">
        <v>72</v>
      </c>
      <c r="H166" s="369">
        <v>1383.4</v>
      </c>
      <c r="I166" s="215" t="s">
        <v>76</v>
      </c>
      <c r="J166" s="215" t="s">
        <v>102</v>
      </c>
      <c r="K166" s="266">
        <v>812361013380</v>
      </c>
      <c r="L166" s="265" t="s">
        <v>649</v>
      </c>
      <c r="M166" s="266">
        <v>812361013397</v>
      </c>
      <c r="N166" s="264">
        <v>4.883</v>
      </c>
      <c r="O166" s="265" t="s">
        <v>649</v>
      </c>
      <c r="P166" s="265">
        <v>29.298000000000002</v>
      </c>
      <c r="Q166" s="265">
        <v>3.6731726755225957</v>
      </c>
    </row>
    <row r="167" spans="1:17" ht="15" customHeight="1">
      <c r="A167" s="147">
        <v>160</v>
      </c>
      <c r="B167" s="51" t="s">
        <v>6</v>
      </c>
      <c r="C167" s="51" t="s">
        <v>3951</v>
      </c>
      <c r="D167" s="51">
        <v>100029005</v>
      </c>
      <c r="E167" s="53" t="s">
        <v>3952</v>
      </c>
      <c r="F167" s="124">
        <v>20</v>
      </c>
      <c r="G167" s="124">
        <v>1600</v>
      </c>
      <c r="H167" s="369">
        <v>150.91999999999999</v>
      </c>
      <c r="I167" s="215" t="s">
        <v>346</v>
      </c>
      <c r="J167" s="215" t="s">
        <v>102</v>
      </c>
      <c r="K167" s="266">
        <v>810673014170</v>
      </c>
      <c r="L167" s="265" t="s">
        <v>649</v>
      </c>
      <c r="M167" s="266">
        <v>810673014187</v>
      </c>
      <c r="N167" s="264">
        <v>0.32100000000000001</v>
      </c>
      <c r="O167" s="265" t="s">
        <v>649</v>
      </c>
      <c r="P167" s="265">
        <v>6.42</v>
      </c>
      <c r="Q167" s="265">
        <v>0.4856358104657279</v>
      </c>
    </row>
    <row r="168" spans="1:17" ht="15" customHeight="1">
      <c r="A168" s="147">
        <v>161</v>
      </c>
      <c r="B168" s="51" t="s">
        <v>6</v>
      </c>
      <c r="C168" s="51" t="s">
        <v>3953</v>
      </c>
      <c r="D168" s="51">
        <v>100029006</v>
      </c>
      <c r="E168" s="53" t="s">
        <v>3954</v>
      </c>
      <c r="F168" s="124">
        <v>25</v>
      </c>
      <c r="G168" s="124">
        <v>800</v>
      </c>
      <c r="H168" s="369">
        <v>146.38</v>
      </c>
      <c r="I168" s="215" t="s">
        <v>76</v>
      </c>
      <c r="J168" s="215" t="s">
        <v>102</v>
      </c>
      <c r="K168" s="266">
        <v>810673014194</v>
      </c>
      <c r="L168" s="265" t="s">
        <v>649</v>
      </c>
      <c r="M168" s="266">
        <v>810673014200</v>
      </c>
      <c r="N168" s="264">
        <v>0.52200000000000002</v>
      </c>
      <c r="O168" s="265" t="s">
        <v>649</v>
      </c>
      <c r="P168" s="265">
        <v>13.05</v>
      </c>
      <c r="Q168" s="265">
        <v>1.3788503419060438</v>
      </c>
    </row>
    <row r="169" spans="1:17" ht="15" customHeight="1">
      <c r="A169" s="147">
        <v>162</v>
      </c>
      <c r="B169" s="51" t="s">
        <v>6</v>
      </c>
      <c r="C169" s="51" t="s">
        <v>3955</v>
      </c>
      <c r="D169" s="51">
        <v>100029007</v>
      </c>
      <c r="E169" s="53" t="s">
        <v>3956</v>
      </c>
      <c r="F169" s="124">
        <v>30</v>
      </c>
      <c r="G169" s="124">
        <v>360</v>
      </c>
      <c r="H169" s="369">
        <v>244.02</v>
      </c>
      <c r="I169" s="215" t="s">
        <v>76</v>
      </c>
      <c r="J169" s="215" t="s">
        <v>102</v>
      </c>
      <c r="K169" s="266">
        <v>810673014217</v>
      </c>
      <c r="L169" s="265" t="s">
        <v>649</v>
      </c>
      <c r="M169" s="266">
        <v>810673014224</v>
      </c>
      <c r="N169" s="264">
        <v>1.4670000000000001</v>
      </c>
      <c r="O169" s="265" t="s">
        <v>649</v>
      </c>
      <c r="P169" s="265">
        <v>44.010000000000005</v>
      </c>
      <c r="Q169" s="265">
        <v>3.6731726755225957</v>
      </c>
    </row>
    <row r="170" spans="1:17" ht="15" customHeight="1">
      <c r="A170" s="147">
        <v>163</v>
      </c>
      <c r="B170" s="51" t="s">
        <v>6</v>
      </c>
      <c r="C170" s="51" t="s">
        <v>3957</v>
      </c>
      <c r="D170" s="51">
        <v>100029008</v>
      </c>
      <c r="E170" s="53" t="s">
        <v>3958</v>
      </c>
      <c r="F170" s="124">
        <v>10</v>
      </c>
      <c r="G170" s="124">
        <v>180</v>
      </c>
      <c r="H170" s="369">
        <v>616.21</v>
      </c>
      <c r="I170" s="215" t="s">
        <v>76</v>
      </c>
      <c r="J170" s="215" t="s">
        <v>102</v>
      </c>
      <c r="K170" s="266">
        <v>810673012237</v>
      </c>
      <c r="L170" s="265" t="s">
        <v>649</v>
      </c>
      <c r="M170" s="266">
        <v>812361015209</v>
      </c>
      <c r="N170" s="264">
        <v>2.7050000000000001</v>
      </c>
      <c r="O170" s="265" t="s">
        <v>649</v>
      </c>
      <c r="P170" s="265">
        <v>27.05</v>
      </c>
      <c r="Q170" s="265">
        <v>2.361325291407383</v>
      </c>
    </row>
    <row r="171" spans="1:17" ht="15" customHeight="1">
      <c r="A171" s="147">
        <v>164</v>
      </c>
      <c r="B171" s="51" t="s">
        <v>6</v>
      </c>
      <c r="C171" s="51" t="s">
        <v>3959</v>
      </c>
      <c r="D171" s="51">
        <v>100029010</v>
      </c>
      <c r="E171" s="53" t="s">
        <v>3960</v>
      </c>
      <c r="F171" s="124">
        <v>50</v>
      </c>
      <c r="G171" s="124">
        <v>1200</v>
      </c>
      <c r="H171" s="369">
        <v>139.79</v>
      </c>
      <c r="I171" s="215" t="s">
        <v>76</v>
      </c>
      <c r="J171" s="215" t="s">
        <v>102</v>
      </c>
      <c r="K171" s="266">
        <v>812361017975</v>
      </c>
      <c r="L171" s="265" t="s">
        <v>649</v>
      </c>
      <c r="M171" s="266">
        <v>812361017968</v>
      </c>
      <c r="N171" s="264">
        <v>0.42899999999999999</v>
      </c>
      <c r="O171" s="265" t="s">
        <v>649</v>
      </c>
      <c r="P171" s="265">
        <v>21.45</v>
      </c>
      <c r="Q171" s="265">
        <v>1.8803145838984718</v>
      </c>
    </row>
    <row r="172" spans="1:17" ht="15" customHeight="1">
      <c r="A172" s="147">
        <v>165</v>
      </c>
      <c r="B172" s="51" t="s">
        <v>6</v>
      </c>
      <c r="C172" s="51" t="s">
        <v>3961</v>
      </c>
      <c r="D172" s="51">
        <v>300005668</v>
      </c>
      <c r="E172" s="53" t="s">
        <v>3962</v>
      </c>
      <c r="F172" s="124">
        <v>10</v>
      </c>
      <c r="G172" s="124">
        <v>450</v>
      </c>
      <c r="H172" s="486" t="s">
        <v>5866</v>
      </c>
      <c r="I172" s="215" t="s">
        <v>816</v>
      </c>
      <c r="J172" s="215" t="s">
        <v>77</v>
      </c>
      <c r="K172" s="266">
        <v>812361017944</v>
      </c>
      <c r="L172" s="265" t="s">
        <v>649</v>
      </c>
      <c r="M172" s="265" t="s">
        <v>649</v>
      </c>
      <c r="N172" s="264">
        <v>0.78600000000000003</v>
      </c>
      <c r="O172" s="265" t="s">
        <v>649</v>
      </c>
      <c r="P172" s="265">
        <v>7.86</v>
      </c>
      <c r="Q172" s="265" t="s">
        <v>649</v>
      </c>
    </row>
    <row r="173" spans="1:17" ht="15" customHeight="1">
      <c r="A173" s="147">
        <v>166</v>
      </c>
      <c r="B173" s="51" t="s">
        <v>6</v>
      </c>
      <c r="C173" s="51" t="s">
        <v>3963</v>
      </c>
      <c r="D173" s="51">
        <v>300005669</v>
      </c>
      <c r="E173" s="53" t="s">
        <v>3964</v>
      </c>
      <c r="F173" s="124">
        <v>20</v>
      </c>
      <c r="G173" s="124">
        <v>350</v>
      </c>
      <c r="H173" s="486" t="s">
        <v>5866</v>
      </c>
      <c r="I173" s="215" t="s">
        <v>816</v>
      </c>
      <c r="J173" s="215" t="s">
        <v>77</v>
      </c>
      <c r="K173" s="266">
        <v>812361018125</v>
      </c>
      <c r="L173" s="265" t="s">
        <v>649</v>
      </c>
      <c r="M173" s="265" t="s">
        <v>649</v>
      </c>
      <c r="N173" s="264">
        <v>0.85</v>
      </c>
      <c r="O173" s="265" t="s">
        <v>649</v>
      </c>
      <c r="P173" s="265">
        <v>17</v>
      </c>
      <c r="Q173" s="265" t="s">
        <v>649</v>
      </c>
    </row>
    <row r="174" spans="1:17" ht="15" customHeight="1">
      <c r="A174" s="147">
        <v>167</v>
      </c>
      <c r="B174" s="51" t="s">
        <v>6</v>
      </c>
      <c r="C174" s="51" t="s">
        <v>3965</v>
      </c>
      <c r="D174" s="51">
        <v>300005670</v>
      </c>
      <c r="E174" s="53" t="s">
        <v>3966</v>
      </c>
      <c r="F174" s="124">
        <v>10</v>
      </c>
      <c r="G174" s="124">
        <v>180</v>
      </c>
      <c r="H174" s="486" t="s">
        <v>5866</v>
      </c>
      <c r="I174" s="215" t="s">
        <v>816</v>
      </c>
      <c r="J174" s="215" t="s">
        <v>77</v>
      </c>
      <c r="K174" s="266">
        <v>812361013502</v>
      </c>
      <c r="L174" s="265" t="s">
        <v>649</v>
      </c>
      <c r="M174" s="265" t="s">
        <v>649</v>
      </c>
      <c r="N174" s="264">
        <v>1.629</v>
      </c>
      <c r="O174" s="265" t="s">
        <v>649</v>
      </c>
      <c r="P174" s="265">
        <v>16.29</v>
      </c>
      <c r="Q174" s="265" t="s">
        <v>649</v>
      </c>
    </row>
    <row r="175" spans="1:17" ht="15" customHeight="1">
      <c r="A175" s="147">
        <v>168</v>
      </c>
      <c r="B175" s="51" t="s">
        <v>6</v>
      </c>
      <c r="C175" s="51" t="s">
        <v>3967</v>
      </c>
      <c r="D175" s="51">
        <v>300005671</v>
      </c>
      <c r="E175" s="53" t="s">
        <v>3968</v>
      </c>
      <c r="F175" s="124">
        <v>10</v>
      </c>
      <c r="G175" s="124">
        <v>180</v>
      </c>
      <c r="H175" s="486" t="s">
        <v>5866</v>
      </c>
      <c r="I175" s="215" t="s">
        <v>816</v>
      </c>
      <c r="J175" s="215" t="s">
        <v>77</v>
      </c>
      <c r="K175" s="266">
        <v>812361013526</v>
      </c>
      <c r="L175" s="265" t="s">
        <v>649</v>
      </c>
      <c r="M175" s="265" t="s">
        <v>649</v>
      </c>
      <c r="N175" s="264">
        <v>1.756</v>
      </c>
      <c r="O175" s="265" t="s">
        <v>649</v>
      </c>
      <c r="P175" s="265">
        <v>17.559999999999999</v>
      </c>
      <c r="Q175" s="265" t="s">
        <v>649</v>
      </c>
    </row>
    <row r="176" spans="1:17" ht="15" customHeight="1">
      <c r="A176" s="147">
        <v>169</v>
      </c>
      <c r="B176" s="51" t="s">
        <v>6</v>
      </c>
      <c r="C176" s="51" t="s">
        <v>3969</v>
      </c>
      <c r="D176" s="51">
        <v>300005672</v>
      </c>
      <c r="E176" s="53" t="s">
        <v>3970</v>
      </c>
      <c r="F176" s="124">
        <v>5</v>
      </c>
      <c r="G176" s="124">
        <v>120</v>
      </c>
      <c r="H176" s="486" t="s">
        <v>5866</v>
      </c>
      <c r="I176" s="215" t="s">
        <v>346</v>
      </c>
      <c r="J176" s="215" t="s">
        <v>77</v>
      </c>
      <c r="K176" s="266">
        <v>812361013540</v>
      </c>
      <c r="L176" s="265" t="s">
        <v>649</v>
      </c>
      <c r="M176" s="265" t="s">
        <v>649</v>
      </c>
      <c r="N176" s="264">
        <v>2.78</v>
      </c>
      <c r="O176" s="265" t="s">
        <v>649</v>
      </c>
      <c r="P176" s="265">
        <v>13.899999999999999</v>
      </c>
      <c r="Q176" s="265" t="s">
        <v>649</v>
      </c>
    </row>
    <row r="177" spans="1:17" ht="15" customHeight="1">
      <c r="A177" s="147">
        <v>170</v>
      </c>
      <c r="B177" s="51" t="s">
        <v>6</v>
      </c>
      <c r="C177" s="51" t="s">
        <v>3971</v>
      </c>
      <c r="D177" s="51">
        <v>300005673</v>
      </c>
      <c r="E177" s="53" t="s">
        <v>3972</v>
      </c>
      <c r="F177" s="124">
        <v>10</v>
      </c>
      <c r="G177" s="124">
        <v>180</v>
      </c>
      <c r="H177" s="486" t="s">
        <v>5866</v>
      </c>
      <c r="I177" s="215" t="s">
        <v>816</v>
      </c>
      <c r="J177" s="215" t="s">
        <v>77</v>
      </c>
      <c r="K177" s="266">
        <v>812361013564</v>
      </c>
      <c r="L177" s="265" t="s">
        <v>649</v>
      </c>
      <c r="M177" s="265" t="s">
        <v>649</v>
      </c>
      <c r="N177" s="264">
        <v>1.647</v>
      </c>
      <c r="O177" s="265" t="s">
        <v>649</v>
      </c>
      <c r="P177" s="265">
        <v>16.47</v>
      </c>
      <c r="Q177" s="265" t="s">
        <v>649</v>
      </c>
    </row>
    <row r="178" spans="1:17" ht="15" customHeight="1">
      <c r="A178" s="147">
        <v>171</v>
      </c>
      <c r="B178" s="51" t="s">
        <v>6</v>
      </c>
      <c r="C178" s="51" t="s">
        <v>3973</v>
      </c>
      <c r="D178" s="51">
        <v>300005674</v>
      </c>
      <c r="E178" s="53" t="s">
        <v>3974</v>
      </c>
      <c r="F178" s="124">
        <v>10</v>
      </c>
      <c r="G178" s="124">
        <v>180</v>
      </c>
      <c r="H178" s="486" t="s">
        <v>5866</v>
      </c>
      <c r="I178" s="215" t="s">
        <v>816</v>
      </c>
      <c r="J178" s="215" t="s">
        <v>77</v>
      </c>
      <c r="K178" s="266">
        <v>812361013588</v>
      </c>
      <c r="L178" s="265" t="s">
        <v>649</v>
      </c>
      <c r="M178" s="265" t="s">
        <v>649</v>
      </c>
      <c r="N178" s="264">
        <v>1.7729999999999999</v>
      </c>
      <c r="O178" s="265" t="s">
        <v>649</v>
      </c>
      <c r="P178" s="265">
        <v>17.73</v>
      </c>
      <c r="Q178" s="265" t="s">
        <v>649</v>
      </c>
    </row>
    <row r="179" spans="1:17" ht="15" customHeight="1">
      <c r="A179" s="147">
        <v>172</v>
      </c>
      <c r="B179" s="51" t="s">
        <v>6</v>
      </c>
      <c r="C179" s="51" t="s">
        <v>3975</v>
      </c>
      <c r="D179" s="51">
        <v>300005675</v>
      </c>
      <c r="E179" s="53" t="s">
        <v>3976</v>
      </c>
      <c r="F179" s="124">
        <v>5</v>
      </c>
      <c r="G179" s="124">
        <v>80</v>
      </c>
      <c r="H179" s="486" t="s">
        <v>5866</v>
      </c>
      <c r="I179" s="215" t="s">
        <v>346</v>
      </c>
      <c r="J179" s="215" t="s">
        <v>77</v>
      </c>
      <c r="K179" s="266">
        <v>812361013601</v>
      </c>
      <c r="L179" s="265" t="s">
        <v>649</v>
      </c>
      <c r="M179" s="265" t="s">
        <v>649</v>
      </c>
      <c r="N179" s="264">
        <v>2.78</v>
      </c>
      <c r="O179" s="265" t="s">
        <v>649</v>
      </c>
      <c r="P179" s="265">
        <v>13.899999999999999</v>
      </c>
      <c r="Q179" s="265" t="s">
        <v>649</v>
      </c>
    </row>
    <row r="180" spans="1:17" ht="15" customHeight="1">
      <c r="A180" s="147">
        <v>173</v>
      </c>
      <c r="B180" s="51" t="s">
        <v>6</v>
      </c>
      <c r="C180" s="51" t="s">
        <v>3977</v>
      </c>
      <c r="D180" s="51">
        <v>300005676</v>
      </c>
      <c r="E180" s="53" t="s">
        <v>3978</v>
      </c>
      <c r="F180" s="124">
        <v>5</v>
      </c>
      <c r="G180" s="124">
        <v>150</v>
      </c>
      <c r="H180" s="486" t="s">
        <v>5866</v>
      </c>
      <c r="I180" s="215" t="s">
        <v>816</v>
      </c>
      <c r="J180" s="215" t="s">
        <v>77</v>
      </c>
      <c r="K180" s="266">
        <v>812361013625</v>
      </c>
      <c r="L180" s="265" t="s">
        <v>649</v>
      </c>
      <c r="M180" s="265" t="s">
        <v>649</v>
      </c>
      <c r="N180" s="264">
        <v>1.9910000000000001</v>
      </c>
      <c r="O180" s="265" t="s">
        <v>649</v>
      </c>
      <c r="P180" s="265">
        <v>9.9550000000000001</v>
      </c>
      <c r="Q180" s="265" t="s">
        <v>649</v>
      </c>
    </row>
    <row r="181" spans="1:17" ht="15" customHeight="1">
      <c r="A181" s="147">
        <v>174</v>
      </c>
      <c r="B181" s="51" t="s">
        <v>6</v>
      </c>
      <c r="C181" s="51" t="s">
        <v>3979</v>
      </c>
      <c r="D181" s="51">
        <v>300005677</v>
      </c>
      <c r="E181" s="53" t="s">
        <v>3980</v>
      </c>
      <c r="F181" s="124">
        <v>5</v>
      </c>
      <c r="G181" s="124">
        <v>90</v>
      </c>
      <c r="H181" s="486" t="s">
        <v>5866</v>
      </c>
      <c r="I181" s="215" t="s">
        <v>816</v>
      </c>
      <c r="J181" s="215" t="s">
        <v>77</v>
      </c>
      <c r="K181" s="266">
        <v>812361013649</v>
      </c>
      <c r="L181" s="265" t="s">
        <v>649</v>
      </c>
      <c r="M181" s="265" t="s">
        <v>649</v>
      </c>
      <c r="N181" s="264">
        <v>2.9</v>
      </c>
      <c r="O181" s="265" t="s">
        <v>649</v>
      </c>
      <c r="P181" s="265">
        <v>14.5</v>
      </c>
      <c r="Q181" s="265" t="s">
        <v>649</v>
      </c>
    </row>
    <row r="182" spans="1:17" ht="15" customHeight="1">
      <c r="A182" s="147">
        <v>175</v>
      </c>
      <c r="B182" s="51" t="s">
        <v>6</v>
      </c>
      <c r="C182" s="51" t="s">
        <v>3981</v>
      </c>
      <c r="D182" s="51">
        <v>100029023</v>
      </c>
      <c r="E182" s="53" t="s">
        <v>3982</v>
      </c>
      <c r="F182" s="124">
        <v>25</v>
      </c>
      <c r="G182" s="124">
        <v>1125</v>
      </c>
      <c r="H182" s="369">
        <v>110.95</v>
      </c>
      <c r="I182" s="215" t="s">
        <v>346</v>
      </c>
      <c r="J182" s="215" t="s">
        <v>102</v>
      </c>
      <c r="K182" s="266">
        <v>812361013441</v>
      </c>
      <c r="L182" s="265" t="s">
        <v>649</v>
      </c>
      <c r="M182" s="266">
        <v>10812361013448</v>
      </c>
      <c r="N182" s="264">
        <v>0.41799999999999998</v>
      </c>
      <c r="O182" s="265" t="s">
        <v>649</v>
      </c>
      <c r="P182" s="265">
        <v>10.45</v>
      </c>
      <c r="Q182" s="265">
        <v>0.98955954024750914</v>
      </c>
    </row>
    <row r="183" spans="1:17" ht="15" customHeight="1">
      <c r="A183" s="147">
        <v>176</v>
      </c>
      <c r="B183" s="51" t="s">
        <v>6</v>
      </c>
      <c r="C183" s="51" t="s">
        <v>3983</v>
      </c>
      <c r="D183" s="51">
        <v>100029024</v>
      </c>
      <c r="E183" s="53" t="s">
        <v>3984</v>
      </c>
      <c r="F183" s="124">
        <v>20</v>
      </c>
      <c r="G183" s="124">
        <v>640</v>
      </c>
      <c r="H183" s="369">
        <v>153.18</v>
      </c>
      <c r="I183" s="215" t="s">
        <v>346</v>
      </c>
      <c r="J183" s="215" t="s">
        <v>102</v>
      </c>
      <c r="K183" s="266">
        <v>810673015597</v>
      </c>
      <c r="L183" s="265" t="s">
        <v>649</v>
      </c>
      <c r="M183" s="266">
        <v>10810673015594</v>
      </c>
      <c r="N183" s="264">
        <v>0.65600000000000003</v>
      </c>
      <c r="O183" s="265" t="s">
        <v>649</v>
      </c>
      <c r="P183" s="265">
        <v>13.120000000000001</v>
      </c>
      <c r="Q183" s="265">
        <v>1.3788503419060438</v>
      </c>
    </row>
    <row r="184" spans="1:17" ht="15" customHeight="1">
      <c r="A184" s="147">
        <v>177</v>
      </c>
      <c r="B184" s="51" t="s">
        <v>6</v>
      </c>
      <c r="C184" s="51" t="s">
        <v>3985</v>
      </c>
      <c r="D184" s="51">
        <v>100026960</v>
      </c>
      <c r="E184" s="53" t="s">
        <v>3986</v>
      </c>
      <c r="F184" s="124">
        <v>10</v>
      </c>
      <c r="G184" s="124">
        <v>180</v>
      </c>
      <c r="H184" s="369">
        <v>428.35</v>
      </c>
      <c r="I184" s="215" t="s">
        <v>346</v>
      </c>
      <c r="J184" s="215" t="s">
        <v>102</v>
      </c>
      <c r="K184" s="266">
        <v>812361010792</v>
      </c>
      <c r="L184" s="265" t="s">
        <v>649</v>
      </c>
      <c r="M184" s="266">
        <v>10812361010799</v>
      </c>
      <c r="N184" s="264">
        <v>1.925</v>
      </c>
      <c r="O184" s="265" t="s">
        <v>649</v>
      </c>
      <c r="P184" s="265">
        <v>19.25</v>
      </c>
      <c r="Q184" s="265">
        <v>2.361325291407383</v>
      </c>
    </row>
    <row r="185" spans="1:17" ht="15" customHeight="1">
      <c r="A185" s="147">
        <v>178</v>
      </c>
      <c r="B185" s="51" t="s">
        <v>6</v>
      </c>
      <c r="C185" s="51" t="s">
        <v>3987</v>
      </c>
      <c r="D185" s="51">
        <v>100029026</v>
      </c>
      <c r="E185" s="53" t="s">
        <v>3988</v>
      </c>
      <c r="F185" s="124">
        <v>6</v>
      </c>
      <c r="G185" s="124">
        <v>108</v>
      </c>
      <c r="H185" s="369">
        <v>688.94</v>
      </c>
      <c r="I185" s="215" t="s">
        <v>76</v>
      </c>
      <c r="J185" s="215" t="s">
        <v>102</v>
      </c>
      <c r="K185" s="266">
        <v>812361013663</v>
      </c>
      <c r="L185" s="265" t="s">
        <v>649</v>
      </c>
      <c r="M185" s="266">
        <v>812361019313</v>
      </c>
      <c r="N185" s="264">
        <v>3.4870000000000001</v>
      </c>
      <c r="O185" s="265" t="s">
        <v>649</v>
      </c>
      <c r="P185" s="265">
        <v>20.922000000000001</v>
      </c>
      <c r="Q185" s="265">
        <v>2.361325291407383</v>
      </c>
    </row>
    <row r="186" spans="1:17" ht="15" customHeight="1">
      <c r="A186" s="147">
        <v>179</v>
      </c>
      <c r="B186" s="51" t="s">
        <v>6</v>
      </c>
      <c r="C186" s="51" t="s">
        <v>3989</v>
      </c>
      <c r="D186" s="51">
        <v>100029027</v>
      </c>
      <c r="E186" s="53" t="s">
        <v>3990</v>
      </c>
      <c r="F186" s="124">
        <v>25</v>
      </c>
      <c r="G186" s="124">
        <v>800</v>
      </c>
      <c r="H186" s="369">
        <v>117.65</v>
      </c>
      <c r="I186" s="215" t="s">
        <v>76</v>
      </c>
      <c r="J186" s="215" t="s">
        <v>102</v>
      </c>
      <c r="K186" s="266">
        <v>812361013403</v>
      </c>
      <c r="L186" s="265" t="s">
        <v>649</v>
      </c>
      <c r="M186" s="266">
        <v>812361019078</v>
      </c>
      <c r="N186" s="264">
        <v>0.56399999999999995</v>
      </c>
      <c r="O186" s="265" t="s">
        <v>649</v>
      </c>
      <c r="P186" s="265">
        <v>14.099999999999998</v>
      </c>
      <c r="Q186" s="265">
        <v>1.3788503419060438</v>
      </c>
    </row>
    <row r="187" spans="1:17" ht="15" customHeight="1">
      <c r="A187" s="147">
        <v>180</v>
      </c>
      <c r="B187" s="51" t="s">
        <v>6</v>
      </c>
      <c r="C187" s="51" t="s">
        <v>3991</v>
      </c>
      <c r="D187" s="51">
        <v>100029028</v>
      </c>
      <c r="E187" s="53" t="s">
        <v>3992</v>
      </c>
      <c r="F187" s="124">
        <v>20</v>
      </c>
      <c r="G187" s="124">
        <v>360</v>
      </c>
      <c r="H187" s="369">
        <v>278.93</v>
      </c>
      <c r="I187" s="215" t="s">
        <v>346</v>
      </c>
      <c r="J187" s="215" t="s">
        <v>102</v>
      </c>
      <c r="K187" s="266">
        <v>810673015610</v>
      </c>
      <c r="L187" s="265" t="s">
        <v>649</v>
      </c>
      <c r="M187" s="266">
        <v>10810673015617</v>
      </c>
      <c r="N187" s="264">
        <v>1.091</v>
      </c>
      <c r="O187" s="265" t="s">
        <v>649</v>
      </c>
      <c r="P187" s="265">
        <v>21.82</v>
      </c>
      <c r="Q187" s="265">
        <v>2.361325291407383</v>
      </c>
    </row>
    <row r="188" spans="1:17" ht="15" customHeight="1">
      <c r="A188" s="147">
        <v>181</v>
      </c>
      <c r="B188" s="51" t="s">
        <v>6</v>
      </c>
      <c r="C188" s="51" t="s">
        <v>3993</v>
      </c>
      <c r="D188" s="51">
        <v>100029029</v>
      </c>
      <c r="E188" s="53" t="s">
        <v>3994</v>
      </c>
      <c r="F188" s="124">
        <v>10</v>
      </c>
      <c r="G188" s="124">
        <v>450</v>
      </c>
      <c r="H188" s="369">
        <v>296.64</v>
      </c>
      <c r="I188" s="215" t="s">
        <v>346</v>
      </c>
      <c r="J188" s="215" t="s">
        <v>102</v>
      </c>
      <c r="K188" s="266">
        <v>812361010815</v>
      </c>
      <c r="L188" s="265" t="s">
        <v>649</v>
      </c>
      <c r="M188" s="266">
        <v>10812361010812</v>
      </c>
      <c r="N188" s="264">
        <v>1.1519999999999999</v>
      </c>
      <c r="O188" s="265" t="s">
        <v>649</v>
      </c>
      <c r="P188" s="265">
        <v>11.52</v>
      </c>
      <c r="Q188" s="265">
        <v>0.98955954024750914</v>
      </c>
    </row>
    <row r="189" spans="1:17" ht="15" customHeight="1">
      <c r="A189" s="147">
        <v>182</v>
      </c>
      <c r="B189" s="51" t="s">
        <v>6</v>
      </c>
      <c r="C189" s="51" t="s">
        <v>3995</v>
      </c>
      <c r="D189" s="51">
        <v>100029030</v>
      </c>
      <c r="E189" s="53" t="s">
        <v>3996</v>
      </c>
      <c r="F189" s="124">
        <v>7</v>
      </c>
      <c r="G189" s="124">
        <v>224</v>
      </c>
      <c r="H189" s="369">
        <v>557.39</v>
      </c>
      <c r="I189" s="215" t="s">
        <v>346</v>
      </c>
      <c r="J189" s="215" t="s">
        <v>102</v>
      </c>
      <c r="K189" s="266">
        <v>812361013427</v>
      </c>
      <c r="L189" s="265" t="s">
        <v>649</v>
      </c>
      <c r="M189" s="266">
        <v>812361019238</v>
      </c>
      <c r="N189" s="264">
        <v>1.861</v>
      </c>
      <c r="O189" s="265" t="s">
        <v>649</v>
      </c>
      <c r="P189" s="265">
        <v>13.026999999999999</v>
      </c>
      <c r="Q189" s="265">
        <v>1.3788503419060438</v>
      </c>
    </row>
    <row r="190" spans="1:17" ht="15" customHeight="1">
      <c r="A190" s="147">
        <v>183</v>
      </c>
      <c r="B190" s="51" t="s">
        <v>6</v>
      </c>
      <c r="C190" s="51" t="s">
        <v>3997</v>
      </c>
      <c r="D190" s="51">
        <v>100029031</v>
      </c>
      <c r="E190" s="53" t="s">
        <v>3998</v>
      </c>
      <c r="F190" s="124">
        <v>8</v>
      </c>
      <c r="G190" s="124">
        <v>144</v>
      </c>
      <c r="H190" s="369">
        <v>591.24</v>
      </c>
      <c r="I190" s="215" t="s">
        <v>346</v>
      </c>
      <c r="J190" s="215" t="s">
        <v>102</v>
      </c>
      <c r="K190" s="266">
        <v>812361011881</v>
      </c>
      <c r="L190" s="265" t="s">
        <v>649</v>
      </c>
      <c r="M190" s="266">
        <v>812361019221</v>
      </c>
      <c r="N190" s="264">
        <v>2.472</v>
      </c>
      <c r="O190" s="265" t="s">
        <v>649</v>
      </c>
      <c r="P190" s="265">
        <v>19.776</v>
      </c>
      <c r="Q190" s="265">
        <v>2.361325291407383</v>
      </c>
    </row>
    <row r="191" spans="1:17" ht="15" customHeight="1">
      <c r="A191" s="147">
        <v>184</v>
      </c>
      <c r="B191" s="51" t="s">
        <v>6</v>
      </c>
      <c r="C191" s="51" t="s">
        <v>3999</v>
      </c>
      <c r="D191" s="51">
        <v>300005833</v>
      </c>
      <c r="E191" s="53" t="s">
        <v>4000</v>
      </c>
      <c r="F191" s="124">
        <v>10</v>
      </c>
      <c r="G191" s="124">
        <v>72</v>
      </c>
      <c r="H191" s="486" t="s">
        <v>5866</v>
      </c>
      <c r="I191" s="215" t="s">
        <v>816</v>
      </c>
      <c r="J191" s="215" t="s">
        <v>77</v>
      </c>
      <c r="K191" s="266">
        <v>812361013076</v>
      </c>
      <c r="L191" s="265" t="s">
        <v>649</v>
      </c>
      <c r="M191" s="265" t="s">
        <v>649</v>
      </c>
      <c r="N191" s="264">
        <v>3.25</v>
      </c>
      <c r="O191" s="265" t="s">
        <v>649</v>
      </c>
      <c r="P191" s="265">
        <v>32.5</v>
      </c>
      <c r="Q191" s="265" t="s">
        <v>649</v>
      </c>
    </row>
    <row r="192" spans="1:17" ht="15" customHeight="1">
      <c r="A192" s="147">
        <v>185</v>
      </c>
      <c r="B192" s="51" t="s">
        <v>6</v>
      </c>
      <c r="C192" s="51" t="s">
        <v>4001</v>
      </c>
      <c r="D192" s="51">
        <v>300005678</v>
      </c>
      <c r="E192" s="53" t="s">
        <v>4002</v>
      </c>
      <c r="F192" s="124">
        <v>5</v>
      </c>
      <c r="G192" s="124">
        <v>72</v>
      </c>
      <c r="H192" s="486" t="s">
        <v>5866</v>
      </c>
      <c r="I192" s="215" t="s">
        <v>346</v>
      </c>
      <c r="J192" s="215" t="s">
        <v>77</v>
      </c>
      <c r="K192" s="266">
        <v>812361012956</v>
      </c>
      <c r="L192" s="265" t="s">
        <v>649</v>
      </c>
      <c r="M192" s="265" t="s">
        <v>649</v>
      </c>
      <c r="N192" s="264">
        <v>3.5339999999999998</v>
      </c>
      <c r="O192" s="265" t="s">
        <v>649</v>
      </c>
      <c r="P192" s="265">
        <v>17.669999999999998</v>
      </c>
      <c r="Q192" s="265" t="s">
        <v>649</v>
      </c>
    </row>
    <row r="193" spans="1:17" ht="15" customHeight="1">
      <c r="A193" s="147">
        <v>186</v>
      </c>
      <c r="B193" s="51" t="s">
        <v>6</v>
      </c>
      <c r="C193" s="51" t="s">
        <v>4003</v>
      </c>
      <c r="D193" s="51">
        <v>300005679</v>
      </c>
      <c r="E193" s="53" t="s">
        <v>4004</v>
      </c>
      <c r="F193" s="124">
        <v>25</v>
      </c>
      <c r="G193" s="124">
        <v>900</v>
      </c>
      <c r="H193" s="486" t="s">
        <v>5866</v>
      </c>
      <c r="I193" s="215" t="s">
        <v>816</v>
      </c>
      <c r="J193" s="215" t="s">
        <v>77</v>
      </c>
      <c r="K193" s="266">
        <v>812361017371</v>
      </c>
      <c r="L193" s="265" t="s">
        <v>649</v>
      </c>
      <c r="M193" s="265" t="s">
        <v>649</v>
      </c>
      <c r="N193" s="264">
        <v>0.37</v>
      </c>
      <c r="O193" s="265" t="s">
        <v>649</v>
      </c>
      <c r="P193" s="265">
        <v>9.25</v>
      </c>
      <c r="Q193" s="265" t="s">
        <v>649</v>
      </c>
    </row>
    <row r="194" spans="1:17" ht="15" customHeight="1">
      <c r="A194" s="147">
        <v>187</v>
      </c>
      <c r="B194" s="51" t="s">
        <v>6</v>
      </c>
      <c r="C194" s="51" t="s">
        <v>4005</v>
      </c>
      <c r="D194" s="51">
        <v>300005680</v>
      </c>
      <c r="E194" s="53" t="s">
        <v>4006</v>
      </c>
      <c r="F194" s="124">
        <v>5</v>
      </c>
      <c r="G194" s="124">
        <v>175</v>
      </c>
      <c r="H194" s="486" t="s">
        <v>5866</v>
      </c>
      <c r="I194" s="215" t="s">
        <v>816</v>
      </c>
      <c r="J194" s="215" t="s">
        <v>77</v>
      </c>
      <c r="K194" s="266">
        <v>812361017418</v>
      </c>
      <c r="L194" s="265" t="s">
        <v>649</v>
      </c>
      <c r="M194" s="265" t="s">
        <v>649</v>
      </c>
      <c r="N194" s="264">
        <v>2.2200000000000002</v>
      </c>
      <c r="O194" s="265" t="s">
        <v>649</v>
      </c>
      <c r="P194" s="265">
        <v>11.100000000000001</v>
      </c>
      <c r="Q194" s="265" t="s">
        <v>649</v>
      </c>
    </row>
    <row r="195" spans="1:17" ht="15" customHeight="1">
      <c r="A195" s="147">
        <v>188</v>
      </c>
      <c r="B195" s="51" t="s">
        <v>6</v>
      </c>
      <c r="C195" s="51" t="s">
        <v>4007</v>
      </c>
      <c r="D195" s="51">
        <v>300005681</v>
      </c>
      <c r="E195" s="53" t="s">
        <v>4008</v>
      </c>
      <c r="F195" s="124">
        <v>4</v>
      </c>
      <c r="G195" s="124">
        <v>32</v>
      </c>
      <c r="H195" s="486" t="s">
        <v>5866</v>
      </c>
      <c r="I195" s="215" t="s">
        <v>816</v>
      </c>
      <c r="J195" s="215" t="s">
        <v>77</v>
      </c>
      <c r="K195" s="266">
        <v>816842021215</v>
      </c>
      <c r="L195" s="265" t="s">
        <v>649</v>
      </c>
      <c r="M195" s="265" t="s">
        <v>649</v>
      </c>
      <c r="N195" s="264">
        <v>6.33</v>
      </c>
      <c r="O195" s="265" t="s">
        <v>649</v>
      </c>
      <c r="P195" s="265">
        <v>25.32</v>
      </c>
      <c r="Q195" s="265" t="s">
        <v>649</v>
      </c>
    </row>
    <row r="196" spans="1:17" ht="15" customHeight="1">
      <c r="A196" s="147">
        <v>189</v>
      </c>
      <c r="B196" s="51" t="s">
        <v>6</v>
      </c>
      <c r="C196" s="51" t="s">
        <v>4009</v>
      </c>
      <c r="D196" s="51">
        <v>100029044</v>
      </c>
      <c r="E196" s="53" t="s">
        <v>4010</v>
      </c>
      <c r="F196" s="124">
        <v>20</v>
      </c>
      <c r="G196" s="124">
        <v>2560</v>
      </c>
      <c r="H196" s="369">
        <v>112.38</v>
      </c>
      <c r="I196" s="215" t="s">
        <v>76</v>
      </c>
      <c r="J196" s="215" t="s">
        <v>102</v>
      </c>
      <c r="K196" s="266">
        <v>810673015726</v>
      </c>
      <c r="L196" s="265" t="s">
        <v>649</v>
      </c>
      <c r="M196" s="266">
        <v>810673015733</v>
      </c>
      <c r="N196" s="264">
        <v>0.27700000000000002</v>
      </c>
      <c r="O196" s="265" t="s">
        <v>649</v>
      </c>
      <c r="P196" s="265">
        <v>5.5400000000000009</v>
      </c>
      <c r="Q196" s="265">
        <v>0.32375720697715193</v>
      </c>
    </row>
    <row r="197" spans="1:17" ht="15" customHeight="1">
      <c r="A197" s="147">
        <v>190</v>
      </c>
      <c r="B197" s="51" t="s">
        <v>6</v>
      </c>
      <c r="C197" s="51" t="s">
        <v>4011</v>
      </c>
      <c r="D197" s="51">
        <v>100029045</v>
      </c>
      <c r="E197" s="53" t="s">
        <v>4012</v>
      </c>
      <c r="F197" s="124">
        <v>20</v>
      </c>
      <c r="G197" s="124">
        <v>1260</v>
      </c>
      <c r="H197" s="369">
        <v>121.12</v>
      </c>
      <c r="I197" s="215" t="s">
        <v>76</v>
      </c>
      <c r="J197" s="215" t="s">
        <v>102</v>
      </c>
      <c r="K197" s="266">
        <v>810673015740</v>
      </c>
      <c r="L197" s="265" t="s">
        <v>649</v>
      </c>
      <c r="M197" s="266">
        <v>810673015757</v>
      </c>
      <c r="N197" s="264">
        <v>0.41</v>
      </c>
      <c r="O197" s="265" t="s">
        <v>649</v>
      </c>
      <c r="P197" s="265">
        <v>8.1999999999999993</v>
      </c>
      <c r="Q197" s="265">
        <v>0.66940792428507967</v>
      </c>
    </row>
    <row r="198" spans="1:17" ht="15" customHeight="1">
      <c r="A198" s="147">
        <v>191</v>
      </c>
      <c r="B198" s="51" t="s">
        <v>6</v>
      </c>
      <c r="C198" s="51" t="s">
        <v>4013</v>
      </c>
      <c r="D198" s="51">
        <v>100029046</v>
      </c>
      <c r="E198" s="53" t="s">
        <v>4014</v>
      </c>
      <c r="F198" s="124">
        <v>10</v>
      </c>
      <c r="G198" s="124">
        <v>450</v>
      </c>
      <c r="H198" s="369">
        <v>234.96</v>
      </c>
      <c r="I198" s="215" t="s">
        <v>76</v>
      </c>
      <c r="J198" s="215" t="s">
        <v>102</v>
      </c>
      <c r="K198" s="266">
        <v>810673015764</v>
      </c>
      <c r="L198" s="265" t="s">
        <v>649</v>
      </c>
      <c r="M198" s="266">
        <v>810673015771</v>
      </c>
      <c r="N198" s="264">
        <v>1.1659999999999999</v>
      </c>
      <c r="O198" s="265" t="s">
        <v>649</v>
      </c>
      <c r="P198" s="265">
        <v>11.66</v>
      </c>
      <c r="Q198" s="265">
        <v>0.98955954024750914</v>
      </c>
    </row>
    <row r="199" spans="1:17" ht="15" customHeight="1">
      <c r="A199" s="147">
        <v>192</v>
      </c>
      <c r="B199" s="51" t="s">
        <v>6</v>
      </c>
      <c r="C199" s="51" t="s">
        <v>4015</v>
      </c>
      <c r="D199" s="51">
        <v>100029047</v>
      </c>
      <c r="E199" s="53" t="s">
        <v>4016</v>
      </c>
      <c r="F199" s="124">
        <v>10</v>
      </c>
      <c r="G199" s="124">
        <v>240</v>
      </c>
      <c r="H199" s="369">
        <v>417.88</v>
      </c>
      <c r="I199" s="215" t="s">
        <v>346</v>
      </c>
      <c r="J199" s="215" t="s">
        <v>102</v>
      </c>
      <c r="K199" s="266">
        <v>810673011407</v>
      </c>
      <c r="L199" s="265" t="s">
        <v>649</v>
      </c>
      <c r="M199" s="266">
        <v>810673015788</v>
      </c>
      <c r="N199" s="264">
        <v>2.1030000000000002</v>
      </c>
      <c r="O199" s="265" t="s">
        <v>649</v>
      </c>
      <c r="P199" s="265">
        <v>21.03</v>
      </c>
      <c r="Q199" s="265">
        <v>1.8803145838984718</v>
      </c>
    </row>
    <row r="200" spans="1:17" ht="15" customHeight="1">
      <c r="A200" s="147">
        <v>193</v>
      </c>
      <c r="B200" s="51" t="s">
        <v>6</v>
      </c>
      <c r="C200" s="51" t="s">
        <v>4017</v>
      </c>
      <c r="D200" s="51">
        <v>100029039</v>
      </c>
      <c r="E200" s="53" t="s">
        <v>4018</v>
      </c>
      <c r="F200" s="124">
        <v>5</v>
      </c>
      <c r="G200" s="124">
        <v>70</v>
      </c>
      <c r="H200" s="369">
        <v>2341.2600000000002</v>
      </c>
      <c r="I200" s="215" t="s">
        <v>76</v>
      </c>
      <c r="J200" s="215" t="s">
        <v>102</v>
      </c>
      <c r="K200" s="266">
        <v>812361018118</v>
      </c>
      <c r="L200" s="265" t="s">
        <v>649</v>
      </c>
      <c r="M200" s="266">
        <v>816842027927</v>
      </c>
      <c r="N200" s="264">
        <v>6.5350000000000001</v>
      </c>
      <c r="O200" s="265" t="s">
        <v>649</v>
      </c>
      <c r="P200" s="265">
        <v>32.674999999999997</v>
      </c>
      <c r="Q200" s="265">
        <v>3.6731726755225957</v>
      </c>
    </row>
    <row r="201" spans="1:17" ht="15" customHeight="1">
      <c r="A201" s="147">
        <v>194</v>
      </c>
      <c r="B201" s="51" t="s">
        <v>6</v>
      </c>
      <c r="C201" s="51" t="s">
        <v>4019</v>
      </c>
      <c r="D201" s="51">
        <v>100029040</v>
      </c>
      <c r="E201" s="53" t="s">
        <v>4020</v>
      </c>
      <c r="F201" s="124">
        <v>10</v>
      </c>
      <c r="G201" s="124">
        <v>1800</v>
      </c>
      <c r="H201" s="369">
        <v>127.98</v>
      </c>
      <c r="I201" s="215" t="s">
        <v>346</v>
      </c>
      <c r="J201" s="215" t="s">
        <v>102</v>
      </c>
      <c r="K201" s="266">
        <v>810673014644</v>
      </c>
      <c r="L201" s="265" t="s">
        <v>649</v>
      </c>
      <c r="M201" s="266">
        <v>810673014651</v>
      </c>
      <c r="N201" s="264">
        <v>0.35699999999999998</v>
      </c>
      <c r="O201" s="265" t="s">
        <v>649</v>
      </c>
      <c r="P201" s="265">
        <v>3.57</v>
      </c>
      <c r="Q201" s="265">
        <v>0.21565729329437433</v>
      </c>
    </row>
    <row r="202" spans="1:17" ht="15" customHeight="1">
      <c r="A202" s="147">
        <v>195</v>
      </c>
      <c r="B202" s="51" t="s">
        <v>6</v>
      </c>
      <c r="C202" s="51" t="s">
        <v>4021</v>
      </c>
      <c r="D202" s="51">
        <v>100029041</v>
      </c>
      <c r="E202" s="53" t="s">
        <v>4022</v>
      </c>
      <c r="F202" s="124">
        <v>10</v>
      </c>
      <c r="G202" s="124">
        <v>800</v>
      </c>
      <c r="H202" s="369">
        <v>148.44</v>
      </c>
      <c r="I202" s="215" t="s">
        <v>76</v>
      </c>
      <c r="J202" s="215" t="s">
        <v>102</v>
      </c>
      <c r="K202" s="266">
        <v>810673014668</v>
      </c>
      <c r="L202" s="265" t="s">
        <v>649</v>
      </c>
      <c r="M202" s="266">
        <v>810673014675</v>
      </c>
      <c r="N202" s="264">
        <v>0.51300000000000001</v>
      </c>
      <c r="O202" s="265" t="s">
        <v>649</v>
      </c>
      <c r="P202" s="265">
        <v>5.13</v>
      </c>
      <c r="Q202" s="265">
        <v>0.4856358104657279</v>
      </c>
    </row>
    <row r="203" spans="1:17" ht="15" customHeight="1">
      <c r="A203" s="147">
        <v>196</v>
      </c>
      <c r="B203" s="51" t="s">
        <v>6</v>
      </c>
      <c r="C203" s="51" t="s">
        <v>4023</v>
      </c>
      <c r="D203" s="51">
        <v>100029042</v>
      </c>
      <c r="E203" s="53" t="s">
        <v>4024</v>
      </c>
      <c r="F203" s="124">
        <v>10</v>
      </c>
      <c r="G203" s="124">
        <v>450</v>
      </c>
      <c r="H203" s="369">
        <v>283.58</v>
      </c>
      <c r="I203" s="215" t="s">
        <v>76</v>
      </c>
      <c r="J203" s="215" t="s">
        <v>102</v>
      </c>
      <c r="K203" s="266">
        <v>810673014682</v>
      </c>
      <c r="L203" s="265" t="s">
        <v>649</v>
      </c>
      <c r="M203" s="266">
        <v>810673014699</v>
      </c>
      <c r="N203" s="264">
        <v>1.4079999999999999</v>
      </c>
      <c r="O203" s="265" t="s">
        <v>649</v>
      </c>
      <c r="P203" s="265">
        <v>14.079999999999998</v>
      </c>
      <c r="Q203" s="265">
        <v>0.98955954024750914</v>
      </c>
    </row>
    <row r="204" spans="1:17" ht="15" customHeight="1">
      <c r="A204" s="147">
        <v>197</v>
      </c>
      <c r="B204" s="51" t="s">
        <v>6</v>
      </c>
      <c r="C204" s="51" t="s">
        <v>4025</v>
      </c>
      <c r="D204" s="51">
        <v>100029043</v>
      </c>
      <c r="E204" s="53" t="s">
        <v>4026</v>
      </c>
      <c r="F204" s="124">
        <v>5</v>
      </c>
      <c r="G204" s="124">
        <v>225</v>
      </c>
      <c r="H204" s="369">
        <v>489.93</v>
      </c>
      <c r="I204" s="215" t="s">
        <v>76</v>
      </c>
      <c r="J204" s="215" t="s">
        <v>102</v>
      </c>
      <c r="K204" s="266">
        <v>810673011414</v>
      </c>
      <c r="L204" s="265" t="s">
        <v>649</v>
      </c>
      <c r="M204" s="266">
        <v>810673014705</v>
      </c>
      <c r="N204" s="264">
        <v>2.5550000000000002</v>
      </c>
      <c r="O204" s="265" t="s">
        <v>649</v>
      </c>
      <c r="P204" s="265">
        <v>12.775</v>
      </c>
      <c r="Q204" s="265">
        <v>0.98955954024750914</v>
      </c>
    </row>
    <row r="205" spans="1:17" ht="15" customHeight="1">
      <c r="A205" s="147">
        <v>198</v>
      </c>
      <c r="B205" s="51" t="s">
        <v>6</v>
      </c>
      <c r="C205" s="51" t="s">
        <v>4027</v>
      </c>
      <c r="D205" s="51">
        <v>100029048</v>
      </c>
      <c r="E205" s="53" t="s">
        <v>4028</v>
      </c>
      <c r="F205" s="124">
        <v>10</v>
      </c>
      <c r="G205" s="124">
        <v>300</v>
      </c>
      <c r="H205" s="369">
        <v>396.67</v>
      </c>
      <c r="I205" s="215" t="s">
        <v>76</v>
      </c>
      <c r="J205" s="215" t="s">
        <v>102</v>
      </c>
      <c r="K205" s="266">
        <v>816842023189</v>
      </c>
      <c r="L205" s="265" t="s">
        <v>649</v>
      </c>
      <c r="M205" s="266">
        <v>816842023172</v>
      </c>
      <c r="N205" s="264">
        <v>1.3260000000000001</v>
      </c>
      <c r="O205" s="265" t="s">
        <v>649</v>
      </c>
      <c r="P205" s="265">
        <v>13.260000000000002</v>
      </c>
      <c r="Q205" s="265">
        <v>0.98955954024750914</v>
      </c>
    </row>
    <row r="206" spans="1:17" ht="15" customHeight="1">
      <c r="A206" s="147">
        <v>199</v>
      </c>
      <c r="B206" s="51" t="s">
        <v>6</v>
      </c>
      <c r="C206" s="51" t="s">
        <v>4029</v>
      </c>
      <c r="D206" s="51">
        <v>100029049</v>
      </c>
      <c r="E206" s="53" t="s">
        <v>4030</v>
      </c>
      <c r="F206" s="124">
        <v>10</v>
      </c>
      <c r="G206" s="124">
        <v>180</v>
      </c>
      <c r="H206" s="369">
        <v>570.02</v>
      </c>
      <c r="I206" s="215" t="s">
        <v>346</v>
      </c>
      <c r="J206" s="215" t="s">
        <v>102</v>
      </c>
      <c r="K206" s="266">
        <v>816842023134</v>
      </c>
      <c r="L206" s="265" t="s">
        <v>649</v>
      </c>
      <c r="M206" s="266">
        <v>816842023141</v>
      </c>
      <c r="N206" s="264">
        <v>2.391</v>
      </c>
      <c r="O206" s="265" t="s">
        <v>649</v>
      </c>
      <c r="P206" s="265">
        <v>23.91</v>
      </c>
      <c r="Q206" s="265">
        <v>1.8803145838984718</v>
      </c>
    </row>
    <row r="207" spans="1:17" ht="15" customHeight="1">
      <c r="A207" s="147">
        <v>200</v>
      </c>
      <c r="B207" s="51" t="s">
        <v>6</v>
      </c>
      <c r="C207" s="51" t="s">
        <v>4031</v>
      </c>
      <c r="D207" s="51">
        <v>100029050</v>
      </c>
      <c r="E207" s="53" t="s">
        <v>4032</v>
      </c>
      <c r="F207" s="124">
        <v>12</v>
      </c>
      <c r="G207" s="124">
        <v>216</v>
      </c>
      <c r="H207" s="369">
        <v>448.92</v>
      </c>
      <c r="I207" s="215" t="s">
        <v>76</v>
      </c>
      <c r="J207" s="215" t="s">
        <v>102</v>
      </c>
      <c r="K207" s="266">
        <v>812361013465</v>
      </c>
      <c r="L207" s="265" t="s">
        <v>649</v>
      </c>
      <c r="M207" s="266">
        <v>812361019009</v>
      </c>
      <c r="N207" s="264">
        <v>2.1019999999999999</v>
      </c>
      <c r="O207" s="265" t="s">
        <v>649</v>
      </c>
      <c r="P207" s="265">
        <v>25.223999999999997</v>
      </c>
      <c r="Q207" s="265">
        <v>2.361325291407383</v>
      </c>
    </row>
    <row r="208" spans="1:17" ht="15" customHeight="1">
      <c r="A208" s="147">
        <v>201</v>
      </c>
      <c r="B208" s="51" t="s">
        <v>6</v>
      </c>
      <c r="C208" s="51" t="s">
        <v>4033</v>
      </c>
      <c r="D208" s="51">
        <v>100029051</v>
      </c>
      <c r="E208" s="53" t="s">
        <v>4034</v>
      </c>
      <c r="F208" s="124">
        <v>5</v>
      </c>
      <c r="G208" s="124">
        <v>120</v>
      </c>
      <c r="H208" s="369">
        <v>581.12</v>
      </c>
      <c r="I208" s="215" t="s">
        <v>76</v>
      </c>
      <c r="J208" s="215" t="s">
        <v>102</v>
      </c>
      <c r="K208" s="266">
        <v>812361013489</v>
      </c>
      <c r="L208" s="265" t="s">
        <v>649</v>
      </c>
      <c r="M208" s="266">
        <v>812361013496</v>
      </c>
      <c r="N208" s="264">
        <v>3.9220000000000002</v>
      </c>
      <c r="O208" s="265" t="s">
        <v>649</v>
      </c>
      <c r="P208" s="265">
        <v>19.61</v>
      </c>
      <c r="Q208" s="265">
        <v>1.8803145838984718</v>
      </c>
    </row>
    <row r="209" spans="1:17" ht="15" customHeight="1">
      <c r="A209" s="147">
        <v>202</v>
      </c>
      <c r="B209" s="51" t="s">
        <v>6</v>
      </c>
      <c r="C209" s="51" t="s">
        <v>4035</v>
      </c>
      <c r="D209" s="51">
        <v>300005682</v>
      </c>
      <c r="E209" s="53" t="s">
        <v>4036</v>
      </c>
      <c r="F209" s="124">
        <v>3</v>
      </c>
      <c r="G209" s="124" t="s">
        <v>649</v>
      </c>
      <c r="H209" s="486" t="s">
        <v>5866</v>
      </c>
      <c r="I209" s="215" t="s">
        <v>816</v>
      </c>
      <c r="J209" s="215" t="s">
        <v>77</v>
      </c>
      <c r="K209" s="266">
        <v>812361017531</v>
      </c>
      <c r="L209" s="265" t="s">
        <v>649</v>
      </c>
      <c r="M209" s="265" t="s">
        <v>649</v>
      </c>
      <c r="N209" s="264">
        <v>7.54</v>
      </c>
      <c r="O209" s="265" t="s">
        <v>649</v>
      </c>
      <c r="P209" s="265">
        <v>22.62</v>
      </c>
      <c r="Q209" s="265" t="s">
        <v>649</v>
      </c>
    </row>
    <row r="210" spans="1:17" ht="15" customHeight="1">
      <c r="A210" s="147">
        <v>203</v>
      </c>
      <c r="B210" s="51" t="s">
        <v>6</v>
      </c>
      <c r="C210" s="51" t="s">
        <v>4037</v>
      </c>
      <c r="D210" s="51">
        <v>300005683</v>
      </c>
      <c r="E210" s="53" t="s">
        <v>4038</v>
      </c>
      <c r="F210" s="124">
        <v>10</v>
      </c>
      <c r="G210" s="124" t="s">
        <v>649</v>
      </c>
      <c r="H210" s="486" t="s">
        <v>5866</v>
      </c>
      <c r="I210" s="215" t="s">
        <v>816</v>
      </c>
      <c r="J210" s="215" t="s">
        <v>77</v>
      </c>
      <c r="K210" s="266">
        <v>812361010778</v>
      </c>
      <c r="L210" s="265" t="s">
        <v>649</v>
      </c>
      <c r="M210" s="265" t="s">
        <v>649</v>
      </c>
      <c r="N210" s="264">
        <v>2.48</v>
      </c>
      <c r="O210" s="265" t="s">
        <v>649</v>
      </c>
      <c r="P210" s="265">
        <v>24.8</v>
      </c>
      <c r="Q210" s="265" t="s">
        <v>649</v>
      </c>
    </row>
    <row r="211" spans="1:17" ht="15" customHeight="1">
      <c r="A211" s="147">
        <v>204</v>
      </c>
      <c r="B211" s="51" t="s">
        <v>6</v>
      </c>
      <c r="C211" s="51" t="s">
        <v>4039</v>
      </c>
      <c r="D211" s="51">
        <v>300005684</v>
      </c>
      <c r="E211" s="53" t="s">
        <v>4040</v>
      </c>
      <c r="F211" s="124">
        <v>20</v>
      </c>
      <c r="G211" s="124" t="s">
        <v>649</v>
      </c>
      <c r="H211" s="486" t="s">
        <v>5866</v>
      </c>
      <c r="I211" s="215" t="s">
        <v>816</v>
      </c>
      <c r="J211" s="215" t="s">
        <v>77</v>
      </c>
      <c r="K211" s="266">
        <v>812361010785</v>
      </c>
      <c r="L211" s="265" t="s">
        <v>649</v>
      </c>
      <c r="M211" s="265" t="s">
        <v>649</v>
      </c>
      <c r="N211" s="264">
        <v>0.55100000000000005</v>
      </c>
      <c r="O211" s="265" t="s">
        <v>649</v>
      </c>
      <c r="P211" s="265">
        <v>11.020000000000001</v>
      </c>
      <c r="Q211" s="265" t="s">
        <v>649</v>
      </c>
    </row>
    <row r="212" spans="1:17" ht="15" customHeight="1">
      <c r="A212" s="147">
        <v>205</v>
      </c>
      <c r="B212" s="51" t="s">
        <v>6</v>
      </c>
      <c r="C212" s="51" t="s">
        <v>4041</v>
      </c>
      <c r="D212" s="51">
        <v>300005685</v>
      </c>
      <c r="E212" s="53" t="s">
        <v>4042</v>
      </c>
      <c r="F212" s="124">
        <v>25</v>
      </c>
      <c r="G212" s="124">
        <v>360</v>
      </c>
      <c r="H212" s="486" t="s">
        <v>5866</v>
      </c>
      <c r="I212" s="215" t="s">
        <v>346</v>
      </c>
      <c r="J212" s="215" t="s">
        <v>77</v>
      </c>
      <c r="K212" s="266">
        <v>812361017913</v>
      </c>
      <c r="L212" s="265" t="s">
        <v>649</v>
      </c>
      <c r="M212" s="265" t="s">
        <v>649</v>
      </c>
      <c r="N212" s="264">
        <v>0.74</v>
      </c>
      <c r="O212" s="265" t="s">
        <v>649</v>
      </c>
      <c r="P212" s="265">
        <v>18.5</v>
      </c>
      <c r="Q212" s="265" t="s">
        <v>649</v>
      </c>
    </row>
    <row r="213" spans="1:17" ht="15" customHeight="1">
      <c r="A213" s="147">
        <v>206</v>
      </c>
      <c r="B213" s="51" t="s">
        <v>6</v>
      </c>
      <c r="C213" s="51" t="s">
        <v>4043</v>
      </c>
      <c r="D213" s="51">
        <v>100029056</v>
      </c>
      <c r="E213" s="53" t="s">
        <v>4044</v>
      </c>
      <c r="F213" s="124">
        <v>50</v>
      </c>
      <c r="G213" s="124">
        <v>900</v>
      </c>
      <c r="H213" s="369">
        <v>122.03</v>
      </c>
      <c r="I213" s="215" t="s">
        <v>76</v>
      </c>
      <c r="J213" s="215" t="s">
        <v>102</v>
      </c>
      <c r="K213" s="266">
        <v>812361012710</v>
      </c>
      <c r="L213" s="265" t="s">
        <v>649</v>
      </c>
      <c r="M213" s="266">
        <v>10812361012717</v>
      </c>
      <c r="N213" s="264">
        <v>0.51100000000000001</v>
      </c>
      <c r="O213" s="265" t="s">
        <v>649</v>
      </c>
      <c r="P213" s="265">
        <v>25.55</v>
      </c>
      <c r="Q213" s="265">
        <v>2.361325291407383</v>
      </c>
    </row>
    <row r="214" spans="1:17" ht="15" customHeight="1">
      <c r="A214" s="147">
        <v>207</v>
      </c>
      <c r="B214" s="51" t="s">
        <v>6</v>
      </c>
      <c r="C214" s="51" t="s">
        <v>4045</v>
      </c>
      <c r="D214" s="51">
        <v>100029057</v>
      </c>
      <c r="E214" s="53" t="s">
        <v>4046</v>
      </c>
      <c r="F214" s="124">
        <v>20</v>
      </c>
      <c r="G214" s="124">
        <v>640</v>
      </c>
      <c r="H214" s="369">
        <v>152.41</v>
      </c>
      <c r="I214" s="215" t="s">
        <v>76</v>
      </c>
      <c r="J214" s="215" t="s">
        <v>102</v>
      </c>
      <c r="K214" s="266">
        <v>812361012734</v>
      </c>
      <c r="L214" s="265" t="s">
        <v>649</v>
      </c>
      <c r="M214" s="266">
        <v>10812361012731</v>
      </c>
      <c r="N214" s="264">
        <v>0.79800000000000004</v>
      </c>
      <c r="O214" s="265" t="s">
        <v>649</v>
      </c>
      <c r="P214" s="265">
        <v>15.96</v>
      </c>
      <c r="Q214" s="265">
        <v>1.3788503419060438</v>
      </c>
    </row>
    <row r="215" spans="1:17" ht="15" customHeight="1">
      <c r="A215" s="147">
        <v>208</v>
      </c>
      <c r="B215" s="51" t="s">
        <v>6</v>
      </c>
      <c r="C215" s="51" t="s">
        <v>4047</v>
      </c>
      <c r="D215" s="51">
        <v>100029058</v>
      </c>
      <c r="E215" s="53" t="s">
        <v>4048</v>
      </c>
      <c r="F215" s="124">
        <v>10</v>
      </c>
      <c r="G215" s="124">
        <v>180</v>
      </c>
      <c r="H215" s="369">
        <v>335.58</v>
      </c>
      <c r="I215" s="215" t="s">
        <v>76</v>
      </c>
      <c r="J215" s="215" t="s">
        <v>102</v>
      </c>
      <c r="K215" s="266">
        <v>812361012758</v>
      </c>
      <c r="L215" s="265" t="s">
        <v>649</v>
      </c>
      <c r="M215" s="266">
        <v>812361012765</v>
      </c>
      <c r="N215" s="264">
        <v>2.4990000000000001</v>
      </c>
      <c r="O215" s="265" t="s">
        <v>649</v>
      </c>
      <c r="P215" s="265">
        <v>24.990000000000002</v>
      </c>
      <c r="Q215" s="265">
        <v>2.361325291407383</v>
      </c>
    </row>
    <row r="216" spans="1:17" ht="15" customHeight="1">
      <c r="A216" s="147">
        <v>209</v>
      </c>
      <c r="B216" s="51" t="s">
        <v>6</v>
      </c>
      <c r="C216" s="51" t="s">
        <v>4049</v>
      </c>
      <c r="D216" s="51">
        <v>100029059</v>
      </c>
      <c r="E216" s="53" t="s">
        <v>4050</v>
      </c>
      <c r="F216" s="124">
        <v>8</v>
      </c>
      <c r="G216" s="124">
        <v>96</v>
      </c>
      <c r="H216" s="369">
        <v>660.94</v>
      </c>
      <c r="I216" s="215" t="s">
        <v>76</v>
      </c>
      <c r="J216" s="215" t="s">
        <v>102</v>
      </c>
      <c r="K216" s="266">
        <v>812361012772</v>
      </c>
      <c r="L216" s="265" t="s">
        <v>649</v>
      </c>
      <c r="M216" s="266">
        <v>812361019016</v>
      </c>
      <c r="N216" s="264">
        <v>4.5990000000000002</v>
      </c>
      <c r="O216" s="265" t="s">
        <v>649</v>
      </c>
      <c r="P216" s="265">
        <v>36.792000000000002</v>
      </c>
      <c r="Q216" s="265">
        <v>3.6731726755225957</v>
      </c>
    </row>
    <row r="217" spans="1:17" ht="15" customHeight="1">
      <c r="A217" s="147">
        <v>210</v>
      </c>
      <c r="B217" s="51" t="s">
        <v>6</v>
      </c>
      <c r="C217" s="51" t="s">
        <v>4051</v>
      </c>
      <c r="D217" s="51">
        <v>100029060</v>
      </c>
      <c r="E217" s="53" t="s">
        <v>4052</v>
      </c>
      <c r="F217" s="124">
        <v>20</v>
      </c>
      <c r="G217" s="124">
        <v>900</v>
      </c>
      <c r="H217" s="369">
        <v>201.56</v>
      </c>
      <c r="I217" s="215" t="s">
        <v>76</v>
      </c>
      <c r="J217" s="215" t="s">
        <v>102</v>
      </c>
      <c r="K217" s="266">
        <v>812361012819</v>
      </c>
      <c r="L217" s="265" t="s">
        <v>649</v>
      </c>
      <c r="M217" s="266">
        <v>812361012826</v>
      </c>
      <c r="N217" s="264">
        <v>0.59599999999999997</v>
      </c>
      <c r="O217" s="265" t="s">
        <v>649</v>
      </c>
      <c r="P217" s="265">
        <v>11.92</v>
      </c>
      <c r="Q217" s="265">
        <v>0.98955954024750914</v>
      </c>
    </row>
    <row r="218" spans="1:17" ht="15" customHeight="1">
      <c r="A218" s="147">
        <v>211</v>
      </c>
      <c r="B218" s="51" t="s">
        <v>6</v>
      </c>
      <c r="C218" s="51" t="s">
        <v>4053</v>
      </c>
      <c r="D218" s="51">
        <v>100029061</v>
      </c>
      <c r="E218" s="53" t="s">
        <v>4054</v>
      </c>
      <c r="F218" s="124">
        <v>15</v>
      </c>
      <c r="G218" s="124">
        <v>450</v>
      </c>
      <c r="H218" s="369">
        <v>331.5</v>
      </c>
      <c r="I218" s="215" t="s">
        <v>76</v>
      </c>
      <c r="J218" s="215" t="s">
        <v>102</v>
      </c>
      <c r="K218" s="266">
        <v>812361012833</v>
      </c>
      <c r="L218" s="265" t="s">
        <v>649</v>
      </c>
      <c r="M218" s="266">
        <v>812361012840</v>
      </c>
      <c r="N218" s="264">
        <v>1.1459999999999999</v>
      </c>
      <c r="O218" s="265" t="s">
        <v>649</v>
      </c>
      <c r="P218" s="265">
        <v>17.189999999999998</v>
      </c>
      <c r="Q218" s="265">
        <v>2.361325291407383</v>
      </c>
    </row>
    <row r="219" spans="1:17" ht="15" customHeight="1">
      <c r="A219" s="147">
        <v>212</v>
      </c>
      <c r="B219" s="51" t="s">
        <v>6</v>
      </c>
      <c r="C219" s="51" t="s">
        <v>4055</v>
      </c>
      <c r="D219" s="51">
        <v>100029062</v>
      </c>
      <c r="E219" s="53" t="s">
        <v>4056</v>
      </c>
      <c r="F219" s="124">
        <v>10</v>
      </c>
      <c r="G219" s="124">
        <v>320</v>
      </c>
      <c r="H219" s="369">
        <v>229.26</v>
      </c>
      <c r="I219" s="215" t="s">
        <v>76</v>
      </c>
      <c r="J219" s="215" t="s">
        <v>102</v>
      </c>
      <c r="K219" s="266">
        <v>812361012857</v>
      </c>
      <c r="L219" s="265" t="s">
        <v>649</v>
      </c>
      <c r="M219" s="266">
        <v>812361012864</v>
      </c>
      <c r="N219" s="264">
        <v>1.4610000000000001</v>
      </c>
      <c r="O219" s="265" t="s">
        <v>649</v>
      </c>
      <c r="P219" s="265">
        <v>14.610000000000001</v>
      </c>
      <c r="Q219" s="265">
        <v>1.3788503419060438</v>
      </c>
    </row>
    <row r="220" spans="1:17" ht="15" customHeight="1">
      <c r="A220" s="147">
        <v>213</v>
      </c>
      <c r="B220" s="51" t="s">
        <v>6</v>
      </c>
      <c r="C220" s="51" t="s">
        <v>4057</v>
      </c>
      <c r="D220" s="51">
        <v>100029063</v>
      </c>
      <c r="E220" s="53" t="s">
        <v>4058</v>
      </c>
      <c r="F220" s="124">
        <v>5</v>
      </c>
      <c r="G220" s="124">
        <v>225</v>
      </c>
      <c r="H220" s="369">
        <v>345.25</v>
      </c>
      <c r="I220" s="215" t="s">
        <v>76</v>
      </c>
      <c r="J220" s="215" t="s">
        <v>102</v>
      </c>
      <c r="K220" s="266">
        <v>812361012871</v>
      </c>
      <c r="L220" s="265" t="s">
        <v>649</v>
      </c>
      <c r="M220" s="266">
        <v>812361012888</v>
      </c>
      <c r="N220" s="264">
        <v>2.1139999999999999</v>
      </c>
      <c r="O220" s="265" t="s">
        <v>649</v>
      </c>
      <c r="P220" s="265">
        <v>10.57</v>
      </c>
      <c r="Q220" s="265">
        <v>0.98955954024750914</v>
      </c>
    </row>
    <row r="221" spans="1:17" ht="15" customHeight="1">
      <c r="A221" s="147">
        <v>214</v>
      </c>
      <c r="B221" s="51" t="s">
        <v>6</v>
      </c>
      <c r="C221" s="51" t="s">
        <v>4059</v>
      </c>
      <c r="D221" s="51">
        <v>100029064</v>
      </c>
      <c r="E221" s="53" t="s">
        <v>4060</v>
      </c>
      <c r="F221" s="124">
        <v>6</v>
      </c>
      <c r="G221" s="124">
        <v>144</v>
      </c>
      <c r="H221" s="369">
        <v>445.4</v>
      </c>
      <c r="I221" s="215" t="s">
        <v>76</v>
      </c>
      <c r="J221" s="215" t="s">
        <v>102</v>
      </c>
      <c r="K221" s="266">
        <v>812361012895</v>
      </c>
      <c r="L221" s="265" t="s">
        <v>649</v>
      </c>
      <c r="M221" s="266">
        <v>812361019214</v>
      </c>
      <c r="N221" s="264">
        <v>3.3769999999999998</v>
      </c>
      <c r="O221" s="265" t="s">
        <v>649</v>
      </c>
      <c r="P221" s="265">
        <v>20.262</v>
      </c>
      <c r="Q221" s="265">
        <v>1.8803145838984718</v>
      </c>
    </row>
    <row r="222" spans="1:17" ht="15" customHeight="1">
      <c r="A222" s="147">
        <v>215</v>
      </c>
      <c r="B222" s="51" t="s">
        <v>6</v>
      </c>
      <c r="C222" s="51" t="s">
        <v>4061</v>
      </c>
      <c r="D222" s="51">
        <v>100029070</v>
      </c>
      <c r="E222" s="53" t="s">
        <v>4062</v>
      </c>
      <c r="F222" s="124">
        <v>4</v>
      </c>
      <c r="G222" s="124">
        <v>48</v>
      </c>
      <c r="H222" s="369">
        <v>2689.35</v>
      </c>
      <c r="I222" s="215" t="s">
        <v>346</v>
      </c>
      <c r="J222" s="215" t="s">
        <v>102</v>
      </c>
      <c r="K222" s="266">
        <v>810673015856</v>
      </c>
      <c r="L222" s="265" t="s">
        <v>649</v>
      </c>
      <c r="M222" s="266">
        <v>812361015582</v>
      </c>
      <c r="N222" s="264">
        <v>6.9989999999999997</v>
      </c>
      <c r="O222" s="265" t="s">
        <v>649</v>
      </c>
      <c r="P222" s="265">
        <v>27.995999999999999</v>
      </c>
      <c r="Q222" s="265">
        <v>3.6731726755225957</v>
      </c>
    </row>
    <row r="223" spans="1:17" ht="15" customHeight="1">
      <c r="A223" s="147">
        <v>216</v>
      </c>
      <c r="B223" s="51" t="s">
        <v>6</v>
      </c>
      <c r="C223" s="51" t="s">
        <v>4063</v>
      </c>
      <c r="D223" s="51">
        <v>300005686</v>
      </c>
      <c r="E223" s="53" t="s">
        <v>4064</v>
      </c>
      <c r="F223" s="124">
        <v>10</v>
      </c>
      <c r="G223" s="124">
        <v>450</v>
      </c>
      <c r="H223" s="486" t="s">
        <v>5866</v>
      </c>
      <c r="I223" s="215" t="s">
        <v>816</v>
      </c>
      <c r="J223" s="215" t="s">
        <v>77</v>
      </c>
      <c r="K223" s="266">
        <v>810673015870</v>
      </c>
      <c r="L223" s="265" t="s">
        <v>649</v>
      </c>
      <c r="M223" s="265" t="s">
        <v>649</v>
      </c>
      <c r="N223" s="264">
        <v>0.65200000000000002</v>
      </c>
      <c r="O223" s="265" t="s">
        <v>649</v>
      </c>
      <c r="P223" s="265">
        <v>6.5200000000000005</v>
      </c>
      <c r="Q223" s="265" t="s">
        <v>649</v>
      </c>
    </row>
    <row r="224" spans="1:17" ht="15" customHeight="1">
      <c r="A224" s="147">
        <v>217</v>
      </c>
      <c r="B224" s="51" t="s">
        <v>6</v>
      </c>
      <c r="C224" s="51" t="s">
        <v>4065</v>
      </c>
      <c r="D224" s="51">
        <v>300005687</v>
      </c>
      <c r="E224" s="53" t="s">
        <v>4066</v>
      </c>
      <c r="F224" s="124">
        <v>10</v>
      </c>
      <c r="G224" s="124">
        <v>300</v>
      </c>
      <c r="H224" s="486" t="s">
        <v>5866</v>
      </c>
      <c r="I224" s="215" t="s">
        <v>816</v>
      </c>
      <c r="J224" s="215" t="s">
        <v>77</v>
      </c>
      <c r="K224" s="266">
        <v>812361017555</v>
      </c>
      <c r="L224" s="265" t="s">
        <v>649</v>
      </c>
      <c r="M224" s="265" t="s">
        <v>649</v>
      </c>
      <c r="N224" s="264">
        <v>1.2450000000000001</v>
      </c>
      <c r="O224" s="265" t="s">
        <v>649</v>
      </c>
      <c r="P224" s="265">
        <v>12.450000000000001</v>
      </c>
      <c r="Q224" s="265" t="s">
        <v>649</v>
      </c>
    </row>
    <row r="225" spans="1:17" ht="15" customHeight="1">
      <c r="A225" s="147">
        <v>218</v>
      </c>
      <c r="B225" s="51" t="s">
        <v>6</v>
      </c>
      <c r="C225" s="51" t="s">
        <v>4067</v>
      </c>
      <c r="D225" s="51">
        <v>300005688</v>
      </c>
      <c r="E225" s="53" t="s">
        <v>4068</v>
      </c>
      <c r="F225" s="124">
        <v>10</v>
      </c>
      <c r="G225" s="124">
        <v>80</v>
      </c>
      <c r="H225" s="486" t="s">
        <v>5866</v>
      </c>
      <c r="I225" s="215" t="s">
        <v>816</v>
      </c>
      <c r="J225" s="215" t="s">
        <v>77</v>
      </c>
      <c r="K225" s="266">
        <v>812361017586</v>
      </c>
      <c r="L225" s="265" t="s">
        <v>649</v>
      </c>
      <c r="M225" s="265" t="s">
        <v>649</v>
      </c>
      <c r="N225" s="264">
        <v>3.7229999999999999</v>
      </c>
      <c r="O225" s="265" t="s">
        <v>649</v>
      </c>
      <c r="P225" s="265">
        <v>37.229999999999997</v>
      </c>
      <c r="Q225" s="265" t="s">
        <v>649</v>
      </c>
    </row>
    <row r="226" spans="1:17" ht="15" customHeight="1">
      <c r="A226" s="147">
        <v>219</v>
      </c>
      <c r="B226" s="51" t="s">
        <v>6</v>
      </c>
      <c r="C226" s="51" t="s">
        <v>4069</v>
      </c>
      <c r="D226" s="51">
        <v>300005689</v>
      </c>
      <c r="E226" s="53" t="s">
        <v>4070</v>
      </c>
      <c r="F226" s="124">
        <v>5</v>
      </c>
      <c r="G226" s="124">
        <v>35</v>
      </c>
      <c r="H226" s="486" t="s">
        <v>5866</v>
      </c>
      <c r="I226" s="215" t="s">
        <v>816</v>
      </c>
      <c r="J226" s="215" t="s">
        <v>77</v>
      </c>
      <c r="K226" s="266">
        <v>812361018101</v>
      </c>
      <c r="L226" s="265" t="s">
        <v>649</v>
      </c>
      <c r="M226" s="265" t="s">
        <v>649</v>
      </c>
      <c r="N226" s="264">
        <v>6.53</v>
      </c>
      <c r="O226" s="265" t="s">
        <v>649</v>
      </c>
      <c r="P226" s="265">
        <v>32.65</v>
      </c>
      <c r="Q226" s="265" t="s">
        <v>649</v>
      </c>
    </row>
    <row r="227" spans="1:17" ht="15" customHeight="1">
      <c r="A227" s="147">
        <v>220</v>
      </c>
      <c r="B227" s="51" t="s">
        <v>6</v>
      </c>
      <c r="C227" s="51" t="s">
        <v>4071</v>
      </c>
      <c r="D227" s="51">
        <v>100029077</v>
      </c>
      <c r="E227" s="53" t="s">
        <v>4072</v>
      </c>
      <c r="F227" s="124">
        <v>50</v>
      </c>
      <c r="G227" s="124">
        <v>1200</v>
      </c>
      <c r="H227" s="369">
        <v>91.68</v>
      </c>
      <c r="I227" s="215" t="s">
        <v>346</v>
      </c>
      <c r="J227" s="215" t="s">
        <v>102</v>
      </c>
      <c r="K227" s="266">
        <v>810673013777</v>
      </c>
      <c r="L227" s="265" t="s">
        <v>649</v>
      </c>
      <c r="M227" s="266">
        <v>10810673013774</v>
      </c>
      <c r="N227" s="264">
        <v>0.41899999999999998</v>
      </c>
      <c r="O227" s="265" t="s">
        <v>649</v>
      </c>
      <c r="P227" s="265">
        <v>20.95</v>
      </c>
      <c r="Q227" s="265">
        <v>1.8803145838984718</v>
      </c>
    </row>
    <row r="228" spans="1:17" ht="15" customHeight="1">
      <c r="A228" s="147">
        <v>221</v>
      </c>
      <c r="B228" s="51" t="s">
        <v>6</v>
      </c>
      <c r="C228" s="51" t="s">
        <v>4073</v>
      </c>
      <c r="D228" s="51">
        <v>100029078</v>
      </c>
      <c r="E228" s="53" t="s">
        <v>4074</v>
      </c>
      <c r="F228" s="124">
        <v>25</v>
      </c>
      <c r="G228" s="124">
        <v>600</v>
      </c>
      <c r="H228" s="369">
        <v>90.24</v>
      </c>
      <c r="I228" s="215" t="s">
        <v>76</v>
      </c>
      <c r="J228" s="215" t="s">
        <v>102</v>
      </c>
      <c r="K228" s="266">
        <v>810673013791</v>
      </c>
      <c r="L228" s="265" t="s">
        <v>649</v>
      </c>
      <c r="M228" s="266">
        <v>10810673013798</v>
      </c>
      <c r="N228" s="264">
        <v>0.65700000000000003</v>
      </c>
      <c r="O228" s="265" t="s">
        <v>649</v>
      </c>
      <c r="P228" s="265">
        <v>16.425000000000001</v>
      </c>
      <c r="Q228" s="265">
        <v>1.8803145838984718</v>
      </c>
    </row>
    <row r="229" spans="1:17" ht="15" customHeight="1">
      <c r="A229" s="147">
        <v>222</v>
      </c>
      <c r="B229" s="51" t="s">
        <v>6</v>
      </c>
      <c r="C229" s="51" t="s">
        <v>4075</v>
      </c>
      <c r="D229" s="51">
        <v>100029079</v>
      </c>
      <c r="E229" s="53" t="s">
        <v>4076</v>
      </c>
      <c r="F229" s="124">
        <v>25</v>
      </c>
      <c r="G229" s="124">
        <v>300</v>
      </c>
      <c r="H229" s="369">
        <v>243.68</v>
      </c>
      <c r="I229" s="215" t="s">
        <v>76</v>
      </c>
      <c r="J229" s="215" t="s">
        <v>102</v>
      </c>
      <c r="K229" s="266">
        <v>810673013807</v>
      </c>
      <c r="L229" s="265" t="s">
        <v>649</v>
      </c>
      <c r="M229" s="266">
        <v>10810673013804</v>
      </c>
      <c r="N229" s="264">
        <v>1.917</v>
      </c>
      <c r="O229" s="265" t="s">
        <v>649</v>
      </c>
      <c r="P229" s="265">
        <v>47.925000000000004</v>
      </c>
      <c r="Q229" s="265">
        <v>3.6731726755225957</v>
      </c>
    </row>
    <row r="230" spans="1:17" ht="15" customHeight="1">
      <c r="A230" s="147">
        <v>223</v>
      </c>
      <c r="B230" s="51" t="s">
        <v>6</v>
      </c>
      <c r="C230" s="51" t="s">
        <v>4077</v>
      </c>
      <c r="D230" s="51">
        <v>100029080</v>
      </c>
      <c r="E230" s="53" t="s">
        <v>4078</v>
      </c>
      <c r="F230" s="124">
        <v>5</v>
      </c>
      <c r="G230" s="124">
        <v>120</v>
      </c>
      <c r="H230" s="369">
        <v>443.18</v>
      </c>
      <c r="I230" s="215" t="s">
        <v>76</v>
      </c>
      <c r="J230" s="215" t="s">
        <v>102</v>
      </c>
      <c r="K230" s="266">
        <v>810673013814</v>
      </c>
      <c r="L230" s="265" t="s">
        <v>649</v>
      </c>
      <c r="M230" s="266">
        <v>10810673013811</v>
      </c>
      <c r="N230" s="264">
        <v>3.6349999999999998</v>
      </c>
      <c r="O230" s="265" t="s">
        <v>649</v>
      </c>
      <c r="P230" s="265">
        <v>18.174999999999997</v>
      </c>
      <c r="Q230" s="265">
        <v>1.8803145838984718</v>
      </c>
    </row>
    <row r="231" spans="1:17" ht="15" customHeight="1">
      <c r="A231" s="147">
        <v>224</v>
      </c>
      <c r="B231" s="51" t="s">
        <v>6</v>
      </c>
      <c r="C231" s="51" t="s">
        <v>4079</v>
      </c>
      <c r="D231" s="51">
        <v>100029081</v>
      </c>
      <c r="E231" s="53" t="s">
        <v>4080</v>
      </c>
      <c r="F231" s="124">
        <v>4</v>
      </c>
      <c r="G231" s="124">
        <v>48</v>
      </c>
      <c r="H231" s="369">
        <v>1279.27</v>
      </c>
      <c r="I231" s="215" t="s">
        <v>76</v>
      </c>
      <c r="J231" s="215" t="s">
        <v>102</v>
      </c>
      <c r="K231" s="266">
        <v>810673011674</v>
      </c>
      <c r="L231" s="265" t="s">
        <v>649</v>
      </c>
      <c r="M231" s="266">
        <v>810673015542</v>
      </c>
      <c r="N231" s="264">
        <v>7.734</v>
      </c>
      <c r="O231" s="265" t="s">
        <v>649</v>
      </c>
      <c r="P231" s="265">
        <v>30.936</v>
      </c>
      <c r="Q231" s="265">
        <v>3.6731726755225957</v>
      </c>
    </row>
    <row r="232" spans="1:17" ht="15" customHeight="1">
      <c r="A232" s="147">
        <v>225</v>
      </c>
      <c r="B232" s="51" t="s">
        <v>6</v>
      </c>
      <c r="C232" s="51" t="s">
        <v>4081</v>
      </c>
      <c r="D232" s="51">
        <v>100029082</v>
      </c>
      <c r="E232" s="53" t="s">
        <v>4082</v>
      </c>
      <c r="F232" s="124">
        <v>25</v>
      </c>
      <c r="G232" s="124">
        <v>800</v>
      </c>
      <c r="H232" s="369">
        <v>126.24</v>
      </c>
      <c r="I232" s="215" t="s">
        <v>346</v>
      </c>
      <c r="J232" s="215" t="s">
        <v>102</v>
      </c>
      <c r="K232" s="266">
        <v>810673015047</v>
      </c>
      <c r="L232" s="265" t="s">
        <v>649</v>
      </c>
      <c r="M232" s="266">
        <v>810673015054</v>
      </c>
      <c r="N232" s="264">
        <v>0.49099999999999999</v>
      </c>
      <c r="O232" s="265" t="s">
        <v>649</v>
      </c>
      <c r="P232" s="265">
        <v>12.275</v>
      </c>
      <c r="Q232" s="265">
        <v>1.3788503419060438</v>
      </c>
    </row>
    <row r="233" spans="1:17" ht="15" customHeight="1">
      <c r="A233" s="147">
        <v>226</v>
      </c>
      <c r="B233" s="51" t="s">
        <v>6</v>
      </c>
      <c r="C233" s="51" t="s">
        <v>4083</v>
      </c>
      <c r="D233" s="51">
        <v>300005690</v>
      </c>
      <c r="E233" s="53" t="s">
        <v>4084</v>
      </c>
      <c r="F233" s="124">
        <v>10</v>
      </c>
      <c r="G233" s="124">
        <v>480</v>
      </c>
      <c r="H233" s="486" t="s">
        <v>5866</v>
      </c>
      <c r="I233" s="215" t="s">
        <v>816</v>
      </c>
      <c r="J233" s="215" t="s">
        <v>77</v>
      </c>
      <c r="K233" s="266">
        <v>812361012697</v>
      </c>
      <c r="L233" s="265" t="s">
        <v>649</v>
      </c>
      <c r="M233" s="266">
        <v>0</v>
      </c>
      <c r="N233" s="264">
        <v>0.60899999999999999</v>
      </c>
      <c r="O233" s="265" t="s">
        <v>649</v>
      </c>
      <c r="P233" s="265">
        <v>6.09</v>
      </c>
      <c r="Q233" s="265" t="s">
        <v>649</v>
      </c>
    </row>
    <row r="234" spans="1:17" ht="15" customHeight="1">
      <c r="A234" s="147">
        <v>227</v>
      </c>
      <c r="B234" s="51" t="s">
        <v>6</v>
      </c>
      <c r="C234" s="51" t="s">
        <v>4085</v>
      </c>
      <c r="D234" s="51">
        <v>100029084</v>
      </c>
      <c r="E234" s="53" t="s">
        <v>4086</v>
      </c>
      <c r="F234" s="124">
        <v>25</v>
      </c>
      <c r="G234" s="124">
        <v>800</v>
      </c>
      <c r="H234" s="369">
        <v>110.41</v>
      </c>
      <c r="I234" s="215" t="s">
        <v>76</v>
      </c>
      <c r="J234" s="215" t="s">
        <v>102</v>
      </c>
      <c r="K234" s="266">
        <v>810673015061</v>
      </c>
      <c r="L234" s="265" t="s">
        <v>649</v>
      </c>
      <c r="M234" s="266">
        <v>10810673015068</v>
      </c>
      <c r="N234" s="264">
        <v>0.54600000000000004</v>
      </c>
      <c r="O234" s="265" t="s">
        <v>649</v>
      </c>
      <c r="P234" s="265">
        <v>13.65</v>
      </c>
      <c r="Q234" s="265">
        <v>1.3788503419060438</v>
      </c>
    </row>
    <row r="235" spans="1:17" ht="15" customHeight="1">
      <c r="A235" s="147">
        <v>228</v>
      </c>
      <c r="B235" s="51" t="s">
        <v>6</v>
      </c>
      <c r="C235" s="51" t="s">
        <v>4087</v>
      </c>
      <c r="D235" s="51">
        <v>100029085</v>
      </c>
      <c r="E235" s="53" t="s">
        <v>4088</v>
      </c>
      <c r="F235" s="124">
        <v>15</v>
      </c>
      <c r="G235" s="124">
        <v>270</v>
      </c>
      <c r="H235" s="369">
        <v>163.33000000000001</v>
      </c>
      <c r="I235" s="215" t="s">
        <v>76</v>
      </c>
      <c r="J235" s="215" t="s">
        <v>102</v>
      </c>
      <c r="K235" s="266">
        <v>810673015085</v>
      </c>
      <c r="L235" s="265" t="s">
        <v>649</v>
      </c>
      <c r="M235" s="266">
        <v>10810673015082</v>
      </c>
      <c r="N235" s="264">
        <v>1.228</v>
      </c>
      <c r="O235" s="265" t="s">
        <v>649</v>
      </c>
      <c r="P235" s="265">
        <v>18.419999999999998</v>
      </c>
      <c r="Q235" s="265">
        <v>2.361325291407383</v>
      </c>
    </row>
    <row r="236" spans="1:17" ht="15" customHeight="1">
      <c r="A236" s="147">
        <v>229</v>
      </c>
      <c r="B236" s="51" t="s">
        <v>6</v>
      </c>
      <c r="C236" s="51" t="s">
        <v>4089</v>
      </c>
      <c r="D236" s="51">
        <v>100029086</v>
      </c>
      <c r="E236" s="53" t="s">
        <v>4090</v>
      </c>
      <c r="F236" s="124">
        <v>25</v>
      </c>
      <c r="G236" s="124">
        <v>300</v>
      </c>
      <c r="H236" s="369">
        <v>180.27</v>
      </c>
      <c r="I236" s="215" t="s">
        <v>76</v>
      </c>
      <c r="J236" s="215" t="s">
        <v>102</v>
      </c>
      <c r="K236" s="266">
        <v>810673015108</v>
      </c>
      <c r="L236" s="265" t="s">
        <v>649</v>
      </c>
      <c r="M236" s="266">
        <v>810673015115</v>
      </c>
      <c r="N236" s="264">
        <v>1.3420000000000001</v>
      </c>
      <c r="O236" s="265" t="s">
        <v>649</v>
      </c>
      <c r="P236" s="265">
        <v>33.550000000000004</v>
      </c>
      <c r="Q236" s="265">
        <v>2.7986077527791204</v>
      </c>
    </row>
    <row r="237" spans="1:17" ht="15" customHeight="1">
      <c r="A237" s="147">
        <v>230</v>
      </c>
      <c r="B237" s="51" t="s">
        <v>6</v>
      </c>
      <c r="C237" s="51" t="s">
        <v>4091</v>
      </c>
      <c r="D237" s="51">
        <v>300005691</v>
      </c>
      <c r="E237" s="53" t="s">
        <v>4092</v>
      </c>
      <c r="F237" s="124">
        <v>10</v>
      </c>
      <c r="G237" s="124">
        <v>180</v>
      </c>
      <c r="H237" s="486" t="s">
        <v>5866</v>
      </c>
      <c r="I237" s="215" t="s">
        <v>816</v>
      </c>
      <c r="J237" s="215" t="s">
        <v>77</v>
      </c>
      <c r="K237" s="266">
        <v>812361018064</v>
      </c>
      <c r="L237" s="265" t="s">
        <v>649</v>
      </c>
      <c r="M237" s="265" t="s">
        <v>649</v>
      </c>
      <c r="N237" s="264">
        <v>1.45</v>
      </c>
      <c r="O237" s="265" t="s">
        <v>649</v>
      </c>
      <c r="P237" s="265">
        <v>14.5</v>
      </c>
      <c r="Q237" s="265" t="s">
        <v>649</v>
      </c>
    </row>
    <row r="238" spans="1:17" ht="15" customHeight="1">
      <c r="A238" s="147">
        <v>231</v>
      </c>
      <c r="B238" s="51" t="s">
        <v>6</v>
      </c>
      <c r="C238" s="51" t="s">
        <v>4093</v>
      </c>
      <c r="D238" s="51">
        <v>100029088</v>
      </c>
      <c r="E238" s="53" t="s">
        <v>4094</v>
      </c>
      <c r="F238" s="124">
        <v>10</v>
      </c>
      <c r="G238" s="124">
        <v>180</v>
      </c>
      <c r="H238" s="369">
        <v>265.22000000000003</v>
      </c>
      <c r="I238" s="215" t="s">
        <v>76</v>
      </c>
      <c r="J238" s="215" t="s">
        <v>102</v>
      </c>
      <c r="K238" s="266">
        <v>810673015122</v>
      </c>
      <c r="L238" s="265" t="s">
        <v>649</v>
      </c>
      <c r="M238" s="266">
        <v>810673015139</v>
      </c>
      <c r="N238" s="264">
        <v>2.0129999999999999</v>
      </c>
      <c r="O238" s="265" t="s">
        <v>649</v>
      </c>
      <c r="P238" s="265">
        <v>20.13</v>
      </c>
      <c r="Q238" s="265">
        <v>2.361325291407383</v>
      </c>
    </row>
    <row r="239" spans="1:17" ht="15" customHeight="1">
      <c r="A239" s="147">
        <v>232</v>
      </c>
      <c r="B239" s="51" t="s">
        <v>6</v>
      </c>
      <c r="C239" s="51" t="s">
        <v>4095</v>
      </c>
      <c r="D239" s="51">
        <v>100029089</v>
      </c>
      <c r="E239" s="53" t="s">
        <v>4096</v>
      </c>
      <c r="F239" s="124">
        <v>10</v>
      </c>
      <c r="G239" s="124">
        <v>180</v>
      </c>
      <c r="H239" s="369">
        <v>359.75</v>
      </c>
      <c r="I239" s="215" t="s">
        <v>76</v>
      </c>
      <c r="J239" s="215" t="s">
        <v>102</v>
      </c>
      <c r="K239" s="266">
        <v>810673015146</v>
      </c>
      <c r="L239" s="265" t="s">
        <v>649</v>
      </c>
      <c r="M239" s="266">
        <v>10810673015143</v>
      </c>
      <c r="N239" s="264">
        <v>2.7389999999999999</v>
      </c>
      <c r="O239" s="265" t="s">
        <v>649</v>
      </c>
      <c r="P239" s="265">
        <v>27.39</v>
      </c>
      <c r="Q239" s="265">
        <v>2.361325291407383</v>
      </c>
    </row>
    <row r="240" spans="1:17" ht="15" customHeight="1">
      <c r="A240" s="147">
        <v>233</v>
      </c>
      <c r="B240" s="51" t="s">
        <v>6</v>
      </c>
      <c r="C240" s="51" t="s">
        <v>4097</v>
      </c>
      <c r="D240" s="51">
        <v>100029090</v>
      </c>
      <c r="E240" s="53" t="s">
        <v>4098</v>
      </c>
      <c r="F240" s="124">
        <v>5</v>
      </c>
      <c r="G240" s="124">
        <v>60</v>
      </c>
      <c r="H240" s="369">
        <v>1270.43</v>
      </c>
      <c r="I240" s="215" t="s">
        <v>76</v>
      </c>
      <c r="J240" s="215" t="s">
        <v>102</v>
      </c>
      <c r="K240" s="266">
        <v>812361018071</v>
      </c>
      <c r="L240" s="265" t="s">
        <v>649</v>
      </c>
      <c r="M240" s="266">
        <v>810116840175</v>
      </c>
      <c r="N240" s="264">
        <v>5.2489999999999997</v>
      </c>
      <c r="O240" s="265" t="s">
        <v>649</v>
      </c>
      <c r="P240" s="265">
        <v>26.244999999999997</v>
      </c>
      <c r="Q240" s="265">
        <v>3.6731726755225957</v>
      </c>
    </row>
    <row r="241" spans="1:17" ht="15" customHeight="1">
      <c r="A241" s="147">
        <v>234</v>
      </c>
      <c r="B241" s="51" t="s">
        <v>6</v>
      </c>
      <c r="C241" s="51" t="s">
        <v>4099</v>
      </c>
      <c r="D241" s="51">
        <v>100029091</v>
      </c>
      <c r="E241" s="53" t="s">
        <v>4100</v>
      </c>
      <c r="F241" s="124">
        <v>5</v>
      </c>
      <c r="G241" s="124">
        <v>60</v>
      </c>
      <c r="H241" s="369">
        <v>1032.8900000000001</v>
      </c>
      <c r="I241" s="215" t="s">
        <v>76</v>
      </c>
      <c r="J241" s="215" t="s">
        <v>102</v>
      </c>
      <c r="K241" s="266">
        <v>810673011681</v>
      </c>
      <c r="L241" s="265" t="s">
        <v>649</v>
      </c>
      <c r="M241" s="266">
        <v>810673015160</v>
      </c>
      <c r="N241" s="264">
        <v>5.3769999999999998</v>
      </c>
      <c r="O241" s="265" t="s">
        <v>649</v>
      </c>
      <c r="P241" s="265">
        <v>26.884999999999998</v>
      </c>
      <c r="Q241" s="265">
        <v>3.6731726755225957</v>
      </c>
    </row>
    <row r="242" spans="1:17" ht="15" customHeight="1">
      <c r="A242" s="147">
        <v>235</v>
      </c>
      <c r="B242" s="51" t="s">
        <v>6</v>
      </c>
      <c r="C242" s="51" t="s">
        <v>4101</v>
      </c>
      <c r="D242" s="51">
        <v>300005692</v>
      </c>
      <c r="E242" s="53" t="s">
        <v>4102</v>
      </c>
      <c r="F242" s="124">
        <v>50</v>
      </c>
      <c r="G242" s="124">
        <v>1600</v>
      </c>
      <c r="H242" s="486" t="s">
        <v>5866</v>
      </c>
      <c r="I242" s="215" t="s">
        <v>346</v>
      </c>
      <c r="J242" s="215" t="s">
        <v>77</v>
      </c>
      <c r="K242" s="266">
        <v>810673011568</v>
      </c>
      <c r="L242" s="265" t="s">
        <v>649</v>
      </c>
      <c r="M242" s="265" t="s">
        <v>649</v>
      </c>
      <c r="N242" s="264">
        <v>0.37</v>
      </c>
      <c r="O242" s="265" t="s">
        <v>649</v>
      </c>
      <c r="P242" s="265">
        <v>18.5</v>
      </c>
      <c r="Q242" s="265" t="s">
        <v>649</v>
      </c>
    </row>
    <row r="243" spans="1:17" ht="15" customHeight="1">
      <c r="A243" s="147">
        <v>236</v>
      </c>
      <c r="B243" s="51" t="s">
        <v>6</v>
      </c>
      <c r="C243" s="51" t="s">
        <v>4103</v>
      </c>
      <c r="D243" s="51">
        <v>300005693</v>
      </c>
      <c r="E243" s="53" t="s">
        <v>4104</v>
      </c>
      <c r="F243" s="124">
        <v>30</v>
      </c>
      <c r="G243" s="124">
        <v>720</v>
      </c>
      <c r="H243" s="486" t="s">
        <v>5866</v>
      </c>
      <c r="I243" s="215" t="s">
        <v>816</v>
      </c>
      <c r="J243" s="215" t="s">
        <v>77</v>
      </c>
      <c r="K243" s="266">
        <v>810673011575</v>
      </c>
      <c r="L243" s="265" t="s">
        <v>649</v>
      </c>
      <c r="M243" s="265" t="s">
        <v>649</v>
      </c>
      <c r="N243" s="264">
        <v>0.56000000000000005</v>
      </c>
      <c r="O243" s="265" t="s">
        <v>649</v>
      </c>
      <c r="P243" s="265">
        <v>16.8</v>
      </c>
      <c r="Q243" s="265" t="s">
        <v>649</v>
      </c>
    </row>
    <row r="244" spans="1:17" ht="15" customHeight="1">
      <c r="A244" s="147">
        <v>237</v>
      </c>
      <c r="B244" s="51" t="s">
        <v>6</v>
      </c>
      <c r="C244" s="51" t="s">
        <v>4105</v>
      </c>
      <c r="D244" s="51">
        <v>300005694</v>
      </c>
      <c r="E244" s="53" t="s">
        <v>4106</v>
      </c>
      <c r="F244" s="124">
        <v>10</v>
      </c>
      <c r="G244" s="124">
        <v>320</v>
      </c>
      <c r="H244" s="486" t="s">
        <v>5866</v>
      </c>
      <c r="I244" s="215" t="s">
        <v>816</v>
      </c>
      <c r="J244" s="215" t="s">
        <v>77</v>
      </c>
      <c r="K244" s="266">
        <v>810673011582</v>
      </c>
      <c r="L244" s="265" t="s">
        <v>649</v>
      </c>
      <c r="M244" s="265" t="s">
        <v>649</v>
      </c>
      <c r="N244" s="264">
        <v>1.66</v>
      </c>
      <c r="O244" s="265" t="s">
        <v>649</v>
      </c>
      <c r="P244" s="265">
        <v>16.599999999999998</v>
      </c>
      <c r="Q244" s="265" t="s">
        <v>649</v>
      </c>
    </row>
    <row r="245" spans="1:17" ht="15" customHeight="1">
      <c r="A245" s="147">
        <v>238</v>
      </c>
      <c r="B245" s="51" t="s">
        <v>6</v>
      </c>
      <c r="C245" s="51" t="s">
        <v>4107</v>
      </c>
      <c r="D245" s="51">
        <v>100029095</v>
      </c>
      <c r="E245" s="53" t="s">
        <v>4108</v>
      </c>
      <c r="F245" s="124">
        <v>10</v>
      </c>
      <c r="G245" s="124">
        <v>120</v>
      </c>
      <c r="H245" s="369">
        <v>742.65</v>
      </c>
      <c r="I245" s="215" t="s">
        <v>76</v>
      </c>
      <c r="J245" s="215" t="s">
        <v>102</v>
      </c>
      <c r="K245" s="266">
        <v>810673013753</v>
      </c>
      <c r="L245" s="265" t="s">
        <v>649</v>
      </c>
      <c r="M245" s="266">
        <v>810673011599</v>
      </c>
      <c r="N245" s="264">
        <v>3.3959999999999999</v>
      </c>
      <c r="O245" s="265" t="s">
        <v>649</v>
      </c>
      <c r="P245" s="265">
        <v>33.96</v>
      </c>
      <c r="Q245" s="265">
        <v>3.6731726755225957</v>
      </c>
    </row>
    <row r="246" spans="1:17" ht="15" customHeight="1">
      <c r="A246" s="147">
        <v>239</v>
      </c>
      <c r="B246" s="51" t="s">
        <v>6</v>
      </c>
      <c r="C246" s="51" t="s">
        <v>4109</v>
      </c>
      <c r="D246" s="51">
        <v>300005695</v>
      </c>
      <c r="E246" s="53" t="s">
        <v>4110</v>
      </c>
      <c r="F246" s="124">
        <v>20</v>
      </c>
      <c r="G246" s="124">
        <v>480</v>
      </c>
      <c r="H246" s="486" t="s">
        <v>5866</v>
      </c>
      <c r="I246" s="215" t="s">
        <v>816</v>
      </c>
      <c r="J246" s="215" t="s">
        <v>77</v>
      </c>
      <c r="K246" s="266">
        <v>812361017920</v>
      </c>
      <c r="L246" s="265" t="s">
        <v>649</v>
      </c>
      <c r="M246" s="265" t="s">
        <v>649</v>
      </c>
      <c r="N246" s="264">
        <v>1.0509999999999999</v>
      </c>
      <c r="O246" s="265" t="s">
        <v>649</v>
      </c>
      <c r="P246" s="265">
        <v>21.02</v>
      </c>
      <c r="Q246" s="265" t="s">
        <v>649</v>
      </c>
    </row>
    <row r="247" spans="1:17" ht="15" customHeight="1">
      <c r="A247" s="147">
        <v>240</v>
      </c>
      <c r="B247" s="51" t="s">
        <v>6</v>
      </c>
      <c r="C247" s="51" t="s">
        <v>4111</v>
      </c>
      <c r="D247" s="51">
        <v>300005696</v>
      </c>
      <c r="E247" s="53" t="s">
        <v>4112</v>
      </c>
      <c r="F247" s="124">
        <v>10</v>
      </c>
      <c r="G247" s="124">
        <v>240</v>
      </c>
      <c r="H247" s="486" t="s">
        <v>5866</v>
      </c>
      <c r="I247" s="215" t="s">
        <v>346</v>
      </c>
      <c r="J247" s="215" t="s">
        <v>77</v>
      </c>
      <c r="K247" s="266">
        <v>810673015917</v>
      </c>
      <c r="L247" s="265" t="s">
        <v>649</v>
      </c>
      <c r="M247" s="265" t="s">
        <v>649</v>
      </c>
      <c r="N247" s="264">
        <v>1.7809999999999999</v>
      </c>
      <c r="O247" s="265" t="s">
        <v>649</v>
      </c>
      <c r="P247" s="265">
        <v>17.809999999999999</v>
      </c>
      <c r="Q247" s="265" t="s">
        <v>649</v>
      </c>
    </row>
    <row r="248" spans="1:17" ht="15" customHeight="1">
      <c r="A248" s="147">
        <v>241</v>
      </c>
      <c r="B248" s="51" t="s">
        <v>6</v>
      </c>
      <c r="C248" s="51" t="s">
        <v>4113</v>
      </c>
      <c r="D248" s="51">
        <v>300005697</v>
      </c>
      <c r="E248" s="53" t="s">
        <v>4114</v>
      </c>
      <c r="F248" s="124">
        <v>10</v>
      </c>
      <c r="G248" s="124">
        <v>80</v>
      </c>
      <c r="H248" s="486" t="s">
        <v>5866</v>
      </c>
      <c r="I248" s="215" t="s">
        <v>816</v>
      </c>
      <c r="J248" s="215" t="s">
        <v>77</v>
      </c>
      <c r="K248" s="266">
        <v>810673015931</v>
      </c>
      <c r="L248" s="265" t="s">
        <v>649</v>
      </c>
      <c r="M248" s="265" t="s">
        <v>649</v>
      </c>
      <c r="N248" s="264">
        <v>2.4630000000000001</v>
      </c>
      <c r="O248" s="265" t="s">
        <v>649</v>
      </c>
      <c r="P248" s="265">
        <v>24.630000000000003</v>
      </c>
      <c r="Q248" s="265" t="s">
        <v>649</v>
      </c>
    </row>
    <row r="249" spans="1:17" ht="15" customHeight="1">
      <c r="A249" s="147">
        <v>242</v>
      </c>
      <c r="B249" s="51" t="s">
        <v>6</v>
      </c>
      <c r="C249" s="51" t="s">
        <v>4115</v>
      </c>
      <c r="D249" s="51">
        <v>100029099</v>
      </c>
      <c r="E249" s="53" t="s">
        <v>4116</v>
      </c>
      <c r="F249" s="124">
        <v>25</v>
      </c>
      <c r="G249" s="124">
        <v>1280</v>
      </c>
      <c r="H249" s="369">
        <v>210.98</v>
      </c>
      <c r="I249" s="215" t="s">
        <v>346</v>
      </c>
      <c r="J249" s="215" t="s">
        <v>102</v>
      </c>
      <c r="K249" s="266">
        <v>810673015443</v>
      </c>
      <c r="L249" s="265" t="s">
        <v>649</v>
      </c>
      <c r="M249" s="266">
        <v>10810673015440</v>
      </c>
      <c r="N249" s="264">
        <v>0.56000000000000005</v>
      </c>
      <c r="O249" s="265" t="s">
        <v>649</v>
      </c>
      <c r="P249" s="265">
        <v>14.000000000000002</v>
      </c>
      <c r="Q249" s="265">
        <v>1.3788503419060438</v>
      </c>
    </row>
    <row r="250" spans="1:17" ht="15" customHeight="1">
      <c r="A250" s="147">
        <v>243</v>
      </c>
      <c r="B250" s="51" t="s">
        <v>6</v>
      </c>
      <c r="C250" s="51" t="s">
        <v>4117</v>
      </c>
      <c r="D250" s="51">
        <v>300005698</v>
      </c>
      <c r="E250" s="53" t="s">
        <v>4118</v>
      </c>
      <c r="F250" s="124">
        <v>20</v>
      </c>
      <c r="G250" s="124">
        <v>600</v>
      </c>
      <c r="H250" s="486" t="s">
        <v>5866</v>
      </c>
      <c r="I250" s="215" t="s">
        <v>816</v>
      </c>
      <c r="J250" s="215" t="s">
        <v>77</v>
      </c>
      <c r="K250" s="266">
        <v>812361013243</v>
      </c>
      <c r="L250" s="265" t="s">
        <v>649</v>
      </c>
      <c r="M250" s="266">
        <v>10812361013240</v>
      </c>
      <c r="N250" s="264">
        <v>0.81100000000000005</v>
      </c>
      <c r="O250" s="265" t="s">
        <v>649</v>
      </c>
      <c r="P250" s="265">
        <v>16.220000000000002</v>
      </c>
      <c r="Q250" s="265" t="s">
        <v>649</v>
      </c>
    </row>
    <row r="251" spans="1:17" ht="15" customHeight="1">
      <c r="A251" s="147">
        <v>244</v>
      </c>
      <c r="B251" s="51" t="s">
        <v>6</v>
      </c>
      <c r="C251" s="51" t="s">
        <v>4119</v>
      </c>
      <c r="D251" s="51">
        <v>100029101</v>
      </c>
      <c r="E251" s="53" t="s">
        <v>4120</v>
      </c>
      <c r="F251" s="124">
        <v>10</v>
      </c>
      <c r="G251" s="124">
        <v>120</v>
      </c>
      <c r="H251" s="369">
        <v>489.62</v>
      </c>
      <c r="I251" s="215" t="s">
        <v>76</v>
      </c>
      <c r="J251" s="215" t="s">
        <v>102</v>
      </c>
      <c r="K251" s="266">
        <v>812361013267</v>
      </c>
      <c r="L251" s="265" t="s">
        <v>649</v>
      </c>
      <c r="M251" s="266">
        <v>810116840052</v>
      </c>
      <c r="N251" s="264">
        <v>2.4409999999999998</v>
      </c>
      <c r="O251" s="265" t="s">
        <v>649</v>
      </c>
      <c r="P251" s="265">
        <v>24.409999999999997</v>
      </c>
      <c r="Q251" s="265">
        <v>3.6731726755225957</v>
      </c>
    </row>
    <row r="252" spans="1:17" ht="15" customHeight="1">
      <c r="A252" s="147">
        <v>245</v>
      </c>
      <c r="B252" s="51" t="s">
        <v>6</v>
      </c>
      <c r="C252" s="51" t="s">
        <v>4121</v>
      </c>
      <c r="D252" s="51">
        <v>100029102</v>
      </c>
      <c r="E252" s="53" t="s">
        <v>4122</v>
      </c>
      <c r="F252" s="124">
        <v>5</v>
      </c>
      <c r="G252" s="124">
        <v>70</v>
      </c>
      <c r="H252" s="369">
        <v>1055.22</v>
      </c>
      <c r="I252" s="215" t="s">
        <v>76</v>
      </c>
      <c r="J252" s="215" t="s">
        <v>102</v>
      </c>
      <c r="K252" s="266">
        <v>812361013090</v>
      </c>
      <c r="L252" s="265" t="s">
        <v>649</v>
      </c>
      <c r="M252" s="266">
        <v>10812361013097</v>
      </c>
      <c r="N252" s="264">
        <v>4.4690000000000003</v>
      </c>
      <c r="O252" s="265" t="s">
        <v>649</v>
      </c>
      <c r="P252" s="265">
        <v>22.345000000000002</v>
      </c>
      <c r="Q252" s="265">
        <v>3.6731726755225957</v>
      </c>
    </row>
    <row r="253" spans="1:17" ht="15" customHeight="1">
      <c r="A253" s="147">
        <v>246</v>
      </c>
      <c r="B253" s="51" t="s">
        <v>6</v>
      </c>
      <c r="C253" s="51" t="s">
        <v>4123</v>
      </c>
      <c r="D253" s="51">
        <v>300005699</v>
      </c>
      <c r="E253" s="53" t="s">
        <v>4124</v>
      </c>
      <c r="F253" s="124">
        <v>2</v>
      </c>
      <c r="G253" s="124">
        <v>16</v>
      </c>
      <c r="H253" s="486" t="s">
        <v>5866</v>
      </c>
      <c r="I253" s="215" t="s">
        <v>816</v>
      </c>
      <c r="J253" s="215" t="s">
        <v>77</v>
      </c>
      <c r="K253" s="266">
        <v>810673015955</v>
      </c>
      <c r="L253" s="265" t="s">
        <v>649</v>
      </c>
      <c r="M253" s="265" t="s">
        <v>649</v>
      </c>
      <c r="N253" s="264">
        <v>9.9019999999999992</v>
      </c>
      <c r="O253" s="265" t="s">
        <v>649</v>
      </c>
      <c r="P253" s="265">
        <v>19.803999999999998</v>
      </c>
      <c r="Q253" s="265" t="s">
        <v>649</v>
      </c>
    </row>
    <row r="254" spans="1:17" ht="15" customHeight="1">
      <c r="A254" s="147">
        <v>247</v>
      </c>
      <c r="B254" s="51" t="s">
        <v>6</v>
      </c>
      <c r="C254" s="51" t="s">
        <v>4125</v>
      </c>
      <c r="D254" s="51">
        <v>300005700</v>
      </c>
      <c r="E254" s="53" t="s">
        <v>4126</v>
      </c>
      <c r="F254" s="124">
        <v>3</v>
      </c>
      <c r="G254" s="124">
        <v>35</v>
      </c>
      <c r="H254" s="486" t="s">
        <v>5866</v>
      </c>
      <c r="I254" s="215" t="s">
        <v>346</v>
      </c>
      <c r="J254" s="215" t="s">
        <v>77</v>
      </c>
      <c r="K254" s="266">
        <v>812361018088</v>
      </c>
      <c r="L254" s="265" t="s">
        <v>649</v>
      </c>
      <c r="M254" s="265" t="s">
        <v>649</v>
      </c>
      <c r="N254" s="264">
        <v>5.16</v>
      </c>
      <c r="O254" s="265" t="s">
        <v>649</v>
      </c>
      <c r="P254" s="265">
        <v>15.48</v>
      </c>
      <c r="Q254" s="265" t="s">
        <v>649</v>
      </c>
    </row>
    <row r="255" spans="1:17" ht="15" customHeight="1">
      <c r="A255" s="147">
        <v>248</v>
      </c>
      <c r="B255" s="51" t="s">
        <v>6</v>
      </c>
      <c r="C255" s="51" t="s">
        <v>4127</v>
      </c>
      <c r="D255" s="51">
        <v>100029105</v>
      </c>
      <c r="E255" s="53" t="s">
        <v>4128</v>
      </c>
      <c r="F255" s="124">
        <v>10</v>
      </c>
      <c r="G255" s="124">
        <v>630</v>
      </c>
      <c r="H255" s="369">
        <v>227.94</v>
      </c>
      <c r="I255" s="215" t="s">
        <v>346</v>
      </c>
      <c r="J255" s="215" t="s">
        <v>102</v>
      </c>
      <c r="K255" s="266">
        <v>810673015467</v>
      </c>
      <c r="L255" s="265" t="s">
        <v>649</v>
      </c>
      <c r="M255" s="266">
        <v>810673015474</v>
      </c>
      <c r="N255" s="264">
        <v>0.72899999999999998</v>
      </c>
      <c r="O255" s="265" t="s">
        <v>649</v>
      </c>
      <c r="P255" s="265">
        <v>7.29</v>
      </c>
      <c r="Q255" s="265">
        <v>0.66940792428507967</v>
      </c>
    </row>
    <row r="256" spans="1:17" ht="15" customHeight="1">
      <c r="A256" s="147">
        <v>249</v>
      </c>
      <c r="B256" s="51" t="s">
        <v>6</v>
      </c>
      <c r="C256" s="51" t="s">
        <v>4129</v>
      </c>
      <c r="D256" s="51">
        <v>300005701</v>
      </c>
      <c r="E256" s="53" t="s">
        <v>4130</v>
      </c>
      <c r="F256" s="124">
        <v>10</v>
      </c>
      <c r="G256" s="124">
        <v>300</v>
      </c>
      <c r="H256" s="486" t="s">
        <v>5866</v>
      </c>
      <c r="I256" s="215" t="s">
        <v>816</v>
      </c>
      <c r="J256" s="215" t="s">
        <v>77</v>
      </c>
      <c r="K256" s="266">
        <v>812361013113</v>
      </c>
      <c r="L256" s="265" t="s">
        <v>649</v>
      </c>
      <c r="M256" s="265" t="s">
        <v>649</v>
      </c>
      <c r="N256" s="264">
        <v>1.19</v>
      </c>
      <c r="O256" s="265" t="s">
        <v>649</v>
      </c>
      <c r="P256" s="265">
        <v>11.899999999999999</v>
      </c>
      <c r="Q256" s="265" t="s">
        <v>649</v>
      </c>
    </row>
    <row r="257" spans="1:17" ht="15" customHeight="1">
      <c r="A257" s="147">
        <v>250</v>
      </c>
      <c r="B257" s="51" t="s">
        <v>6</v>
      </c>
      <c r="C257" s="51" t="s">
        <v>4131</v>
      </c>
      <c r="D257" s="51">
        <v>100029107</v>
      </c>
      <c r="E257" s="53" t="s">
        <v>4132</v>
      </c>
      <c r="F257" s="124">
        <v>10</v>
      </c>
      <c r="G257" s="124">
        <v>210</v>
      </c>
      <c r="H257" s="369">
        <v>364.92</v>
      </c>
      <c r="I257" s="215" t="s">
        <v>76</v>
      </c>
      <c r="J257" s="215" t="s">
        <v>102</v>
      </c>
      <c r="K257" s="266">
        <v>812361013137</v>
      </c>
      <c r="L257" s="265" t="s">
        <v>649</v>
      </c>
      <c r="M257" s="266">
        <v>812361013144</v>
      </c>
      <c r="N257" s="264">
        <v>1.5289999999999999</v>
      </c>
      <c r="O257" s="265" t="s">
        <v>649</v>
      </c>
      <c r="P257" s="265">
        <v>15.29</v>
      </c>
      <c r="Q257" s="265">
        <v>1.8803145838984718</v>
      </c>
    </row>
    <row r="258" spans="1:17" ht="15" customHeight="1">
      <c r="A258" s="147">
        <v>251</v>
      </c>
      <c r="B258" s="51" t="s">
        <v>6</v>
      </c>
      <c r="C258" s="51" t="s">
        <v>4133</v>
      </c>
      <c r="D258" s="51">
        <v>300005702</v>
      </c>
      <c r="E258" s="53" t="s">
        <v>4134</v>
      </c>
      <c r="F258" s="124">
        <v>5</v>
      </c>
      <c r="G258" s="124">
        <v>150</v>
      </c>
      <c r="H258" s="486" t="s">
        <v>5866</v>
      </c>
      <c r="I258" s="215" t="s">
        <v>816</v>
      </c>
      <c r="J258" s="215" t="s">
        <v>77</v>
      </c>
      <c r="K258" s="266">
        <v>812361013151</v>
      </c>
      <c r="L258" s="265" t="s">
        <v>649</v>
      </c>
      <c r="M258" s="265" t="s">
        <v>649</v>
      </c>
      <c r="N258" s="264">
        <v>1.71</v>
      </c>
      <c r="O258" s="265" t="s">
        <v>649</v>
      </c>
      <c r="P258" s="265">
        <v>8.5500000000000007</v>
      </c>
      <c r="Q258" s="265" t="s">
        <v>649</v>
      </c>
    </row>
    <row r="259" spans="1:17" ht="15" customHeight="1">
      <c r="A259" s="147">
        <v>252</v>
      </c>
      <c r="B259" s="51" t="s">
        <v>6</v>
      </c>
      <c r="C259" s="51" t="s">
        <v>4135</v>
      </c>
      <c r="D259" s="51">
        <v>100029109</v>
      </c>
      <c r="E259" s="53" t="s">
        <v>4136</v>
      </c>
      <c r="F259" s="124">
        <v>5</v>
      </c>
      <c r="G259" s="124">
        <v>90</v>
      </c>
      <c r="H259" s="369">
        <v>786.55</v>
      </c>
      <c r="I259" s="215" t="s">
        <v>76</v>
      </c>
      <c r="J259" s="215" t="s">
        <v>102</v>
      </c>
      <c r="K259" s="266">
        <v>812361013168</v>
      </c>
      <c r="L259" s="265" t="s">
        <v>649</v>
      </c>
      <c r="M259" s="266">
        <v>812361019108</v>
      </c>
      <c r="N259" s="264">
        <v>3.2930000000000001</v>
      </c>
      <c r="O259" s="265" t="s">
        <v>649</v>
      </c>
      <c r="P259" s="265">
        <v>16.465</v>
      </c>
      <c r="Q259" s="265">
        <v>2.7986077527791204</v>
      </c>
    </row>
    <row r="260" spans="1:17" ht="15" customHeight="1">
      <c r="A260" s="147">
        <v>253</v>
      </c>
      <c r="B260" s="51" t="s">
        <v>6</v>
      </c>
      <c r="C260" s="51" t="s">
        <v>4137</v>
      </c>
      <c r="D260" s="51">
        <v>100029110</v>
      </c>
      <c r="E260" s="53" t="s">
        <v>4138</v>
      </c>
      <c r="F260" s="124">
        <v>20</v>
      </c>
      <c r="G260" s="124">
        <v>1260</v>
      </c>
      <c r="H260" s="369">
        <v>91.52</v>
      </c>
      <c r="I260" s="215" t="s">
        <v>76</v>
      </c>
      <c r="J260" s="215" t="s">
        <v>102</v>
      </c>
      <c r="K260" s="266">
        <v>812361010013</v>
      </c>
      <c r="L260" s="265" t="s">
        <v>649</v>
      </c>
      <c r="M260" s="266">
        <v>812361010020</v>
      </c>
      <c r="N260" s="264">
        <v>0.378</v>
      </c>
      <c r="O260" s="265" t="s">
        <v>649</v>
      </c>
      <c r="P260" s="265">
        <v>7.5600000000000005</v>
      </c>
      <c r="Q260" s="265">
        <v>0.66940792428507967</v>
      </c>
    </row>
    <row r="261" spans="1:17" ht="15" customHeight="1">
      <c r="A261" s="147">
        <v>254</v>
      </c>
      <c r="B261" s="51" t="s">
        <v>6</v>
      </c>
      <c r="C261" s="51" t="s">
        <v>4139</v>
      </c>
      <c r="D261" s="51">
        <v>100029111</v>
      </c>
      <c r="E261" s="53" t="s">
        <v>4140</v>
      </c>
      <c r="F261" s="124">
        <v>35</v>
      </c>
      <c r="G261" s="124">
        <v>840</v>
      </c>
      <c r="H261" s="369">
        <v>174.03</v>
      </c>
      <c r="I261" s="215" t="s">
        <v>76</v>
      </c>
      <c r="J261" s="215" t="s">
        <v>102</v>
      </c>
      <c r="K261" s="266">
        <v>812361010037</v>
      </c>
      <c r="L261" s="265" t="s">
        <v>649</v>
      </c>
      <c r="M261" s="266">
        <v>812361010044</v>
      </c>
      <c r="N261" s="264">
        <v>0.66500000000000004</v>
      </c>
      <c r="O261" s="265" t="s">
        <v>649</v>
      </c>
      <c r="P261" s="265">
        <v>23.275000000000002</v>
      </c>
      <c r="Q261" s="265">
        <v>1.8803145838984718</v>
      </c>
    </row>
    <row r="262" spans="1:17" ht="15" customHeight="1">
      <c r="A262" s="147">
        <v>255</v>
      </c>
      <c r="B262" s="51" t="s">
        <v>6</v>
      </c>
      <c r="C262" s="51" t="s">
        <v>4141</v>
      </c>
      <c r="D262" s="51">
        <v>100029112</v>
      </c>
      <c r="E262" s="53" t="s">
        <v>4142</v>
      </c>
      <c r="F262" s="124">
        <v>10</v>
      </c>
      <c r="G262" s="124">
        <v>240</v>
      </c>
      <c r="H262" s="369">
        <v>573.46</v>
      </c>
      <c r="I262" s="215" t="s">
        <v>346</v>
      </c>
      <c r="J262" s="215" t="s">
        <v>102</v>
      </c>
      <c r="K262" s="266">
        <v>812361010051</v>
      </c>
      <c r="L262" s="265" t="s">
        <v>649</v>
      </c>
      <c r="M262" s="266">
        <v>812361010068</v>
      </c>
      <c r="N262" s="264">
        <v>1.9530000000000001</v>
      </c>
      <c r="O262" s="265" t="s">
        <v>649</v>
      </c>
      <c r="P262" s="265">
        <v>19.53</v>
      </c>
      <c r="Q262" s="265">
        <v>1.8803145838984718</v>
      </c>
    </row>
    <row r="263" spans="1:17" ht="15" customHeight="1">
      <c r="A263" s="147">
        <v>256</v>
      </c>
      <c r="B263" s="51" t="s">
        <v>6</v>
      </c>
      <c r="C263" s="51" t="s">
        <v>4143</v>
      </c>
      <c r="D263" s="51">
        <v>100029113</v>
      </c>
      <c r="E263" s="53" t="s">
        <v>4144</v>
      </c>
      <c r="F263" s="124">
        <v>5</v>
      </c>
      <c r="G263" s="124">
        <v>120</v>
      </c>
      <c r="H263" s="369">
        <v>886.35</v>
      </c>
      <c r="I263" s="215" t="s">
        <v>346</v>
      </c>
      <c r="J263" s="215" t="s">
        <v>102</v>
      </c>
      <c r="K263" s="266">
        <v>812361010075</v>
      </c>
      <c r="L263" s="265" t="s">
        <v>649</v>
      </c>
      <c r="M263" s="266">
        <v>812361010082</v>
      </c>
      <c r="N263" s="264">
        <v>3.4220000000000002</v>
      </c>
      <c r="O263" s="265" t="s">
        <v>649</v>
      </c>
      <c r="P263" s="265">
        <v>17.11</v>
      </c>
      <c r="Q263" s="265">
        <v>1.8803145838984718</v>
      </c>
    </row>
    <row r="264" spans="1:17" ht="15" customHeight="1">
      <c r="A264" s="147">
        <v>257</v>
      </c>
      <c r="B264" s="51" t="s">
        <v>6</v>
      </c>
      <c r="C264" s="51" t="s">
        <v>4145</v>
      </c>
      <c r="D264" s="51">
        <v>100029114</v>
      </c>
      <c r="E264" s="53" t="s">
        <v>4146</v>
      </c>
      <c r="F264" s="124">
        <v>25</v>
      </c>
      <c r="G264" s="124">
        <v>1125</v>
      </c>
      <c r="H264" s="369">
        <v>107.07</v>
      </c>
      <c r="I264" s="215" t="s">
        <v>76</v>
      </c>
      <c r="J264" s="215" t="s">
        <v>102</v>
      </c>
      <c r="K264" s="266">
        <v>810673014712</v>
      </c>
      <c r="L264" s="265" t="s">
        <v>649</v>
      </c>
      <c r="M264" s="266">
        <v>10810673014719</v>
      </c>
      <c r="N264" s="264">
        <v>0.54200000000000004</v>
      </c>
      <c r="O264" s="265" t="s">
        <v>649</v>
      </c>
      <c r="P264" s="265">
        <v>13.55</v>
      </c>
      <c r="Q264" s="265">
        <v>0.98955954024750914</v>
      </c>
    </row>
    <row r="265" spans="1:17" ht="15" customHeight="1">
      <c r="A265" s="147">
        <v>258</v>
      </c>
      <c r="B265" s="51" t="s">
        <v>6</v>
      </c>
      <c r="C265" s="51" t="s">
        <v>4147</v>
      </c>
      <c r="D265" s="51">
        <v>100029115</v>
      </c>
      <c r="E265" s="53" t="s">
        <v>4148</v>
      </c>
      <c r="F265" s="124">
        <v>20</v>
      </c>
      <c r="G265" s="124">
        <v>640</v>
      </c>
      <c r="H265" s="369">
        <v>130.25</v>
      </c>
      <c r="I265" s="215" t="s">
        <v>76</v>
      </c>
      <c r="J265" s="215" t="s">
        <v>102</v>
      </c>
      <c r="K265" s="266">
        <v>810673014736</v>
      </c>
      <c r="L265" s="265" t="s">
        <v>649</v>
      </c>
      <c r="M265" s="266">
        <v>10810673014733</v>
      </c>
      <c r="N265" s="264">
        <v>0.98299999999999998</v>
      </c>
      <c r="O265" s="265" t="s">
        <v>649</v>
      </c>
      <c r="P265" s="265">
        <v>19.66</v>
      </c>
      <c r="Q265" s="265">
        <v>1.3788503419060438</v>
      </c>
    </row>
    <row r="266" spans="1:17" ht="15" customHeight="1">
      <c r="A266" s="147">
        <v>259</v>
      </c>
      <c r="B266" s="51" t="s">
        <v>6</v>
      </c>
      <c r="C266" s="51" t="s">
        <v>4149</v>
      </c>
      <c r="D266" s="51">
        <v>100029116</v>
      </c>
      <c r="E266" s="53" t="s">
        <v>4150</v>
      </c>
      <c r="F266" s="124">
        <v>10</v>
      </c>
      <c r="G266" s="124">
        <v>180</v>
      </c>
      <c r="H266" s="369">
        <v>440.33</v>
      </c>
      <c r="I266" s="215" t="s">
        <v>76</v>
      </c>
      <c r="J266" s="215" t="s">
        <v>102</v>
      </c>
      <c r="K266" s="266">
        <v>810673014750</v>
      </c>
      <c r="L266" s="265" t="s">
        <v>649</v>
      </c>
      <c r="M266" s="266">
        <v>810673014767</v>
      </c>
      <c r="N266" s="264">
        <v>2.782</v>
      </c>
      <c r="O266" s="265" t="s">
        <v>649</v>
      </c>
      <c r="P266" s="265">
        <v>27.82</v>
      </c>
      <c r="Q266" s="265">
        <v>2.361325291407383</v>
      </c>
    </row>
    <row r="267" spans="1:17" ht="15" customHeight="1">
      <c r="A267" s="147">
        <v>260</v>
      </c>
      <c r="B267" s="51" t="s">
        <v>6</v>
      </c>
      <c r="C267" s="51" t="s">
        <v>4151</v>
      </c>
      <c r="D267" s="51">
        <v>100029117</v>
      </c>
      <c r="E267" s="53" t="s">
        <v>4152</v>
      </c>
      <c r="F267" s="124">
        <v>4</v>
      </c>
      <c r="G267" s="124">
        <v>96</v>
      </c>
      <c r="H267" s="369">
        <v>1060.47</v>
      </c>
      <c r="I267" s="215" t="s">
        <v>76</v>
      </c>
      <c r="J267" s="215" t="s">
        <v>102</v>
      </c>
      <c r="K267" s="266">
        <v>810673014774</v>
      </c>
      <c r="L267" s="265" t="s">
        <v>649</v>
      </c>
      <c r="M267" s="266">
        <v>810673014781</v>
      </c>
      <c r="N267" s="264">
        <v>5.0449999999999999</v>
      </c>
      <c r="O267" s="265" t="s">
        <v>649</v>
      </c>
      <c r="P267" s="265">
        <v>20.18</v>
      </c>
      <c r="Q267" s="265">
        <v>1.8803145838984718</v>
      </c>
    </row>
    <row r="268" spans="1:17" ht="15" customHeight="1">
      <c r="A268" s="147">
        <v>261</v>
      </c>
      <c r="B268" s="51" t="s">
        <v>6</v>
      </c>
      <c r="C268" s="51" t="s">
        <v>4153</v>
      </c>
      <c r="D268" s="51">
        <v>100029118</v>
      </c>
      <c r="E268" s="53" t="s">
        <v>4154</v>
      </c>
      <c r="F268" s="124">
        <v>50</v>
      </c>
      <c r="G268" s="124">
        <v>900</v>
      </c>
      <c r="H268" s="369">
        <v>167.29</v>
      </c>
      <c r="I268" s="215" t="s">
        <v>346</v>
      </c>
      <c r="J268" s="215" t="s">
        <v>102</v>
      </c>
      <c r="K268" s="266">
        <v>812361013342</v>
      </c>
      <c r="L268" s="265" t="s">
        <v>649</v>
      </c>
      <c r="M268" s="266">
        <v>10812361013349</v>
      </c>
      <c r="N268" s="264">
        <v>0.63</v>
      </c>
      <c r="O268" s="265" t="s">
        <v>649</v>
      </c>
      <c r="P268" s="265">
        <v>31.5</v>
      </c>
      <c r="Q268" s="265">
        <v>2.361325291407383</v>
      </c>
    </row>
    <row r="269" spans="1:17" ht="15" customHeight="1">
      <c r="A269" s="147">
        <v>262</v>
      </c>
      <c r="B269" s="51" t="s">
        <v>6</v>
      </c>
      <c r="C269" s="51" t="s">
        <v>4155</v>
      </c>
      <c r="D269" s="51">
        <v>100029119</v>
      </c>
      <c r="E269" s="53" t="s">
        <v>4156</v>
      </c>
      <c r="F269" s="124">
        <v>25</v>
      </c>
      <c r="G269" s="124">
        <v>800</v>
      </c>
      <c r="H269" s="369">
        <v>127.52</v>
      </c>
      <c r="I269" s="215" t="s">
        <v>76</v>
      </c>
      <c r="J269" s="215" t="s">
        <v>102</v>
      </c>
      <c r="K269" s="266">
        <v>812361013304</v>
      </c>
      <c r="L269" s="265" t="s">
        <v>649</v>
      </c>
      <c r="M269" s="266">
        <v>10812361013301</v>
      </c>
      <c r="N269" s="264">
        <v>0.63900000000000001</v>
      </c>
      <c r="O269" s="265" t="s">
        <v>649</v>
      </c>
      <c r="P269" s="265">
        <v>15.975</v>
      </c>
      <c r="Q269" s="265">
        <v>1.3788503419060438</v>
      </c>
    </row>
    <row r="270" spans="1:17" ht="15" customHeight="1">
      <c r="A270" s="147">
        <v>263</v>
      </c>
      <c r="B270" s="51" t="s">
        <v>6</v>
      </c>
      <c r="C270" s="51" t="s">
        <v>4157</v>
      </c>
      <c r="D270" s="51">
        <v>100029120</v>
      </c>
      <c r="E270" s="53" t="s">
        <v>4158</v>
      </c>
      <c r="F270" s="124">
        <v>20</v>
      </c>
      <c r="G270" s="124">
        <v>360</v>
      </c>
      <c r="H270" s="369">
        <v>293.86</v>
      </c>
      <c r="I270" s="215" t="s">
        <v>346</v>
      </c>
      <c r="J270" s="215" t="s">
        <v>102</v>
      </c>
      <c r="K270" s="266">
        <v>812361013328</v>
      </c>
      <c r="L270" s="265" t="s">
        <v>649</v>
      </c>
      <c r="M270" s="266">
        <v>10812361013325</v>
      </c>
      <c r="N270" s="264">
        <v>1.014</v>
      </c>
      <c r="O270" s="265" t="s">
        <v>649</v>
      </c>
      <c r="P270" s="265">
        <v>20.28</v>
      </c>
      <c r="Q270" s="265">
        <v>2.361325291407383</v>
      </c>
    </row>
    <row r="271" spans="1:17" ht="15" customHeight="1">
      <c r="A271" s="147">
        <v>264</v>
      </c>
      <c r="B271" s="51" t="s">
        <v>6</v>
      </c>
      <c r="C271" s="51" t="s">
        <v>4159</v>
      </c>
      <c r="D271" s="51">
        <v>300005703</v>
      </c>
      <c r="E271" s="53" t="s">
        <v>4160</v>
      </c>
      <c r="F271" s="124">
        <v>25</v>
      </c>
      <c r="G271" s="124">
        <v>750</v>
      </c>
      <c r="H271" s="486" t="s">
        <v>5866</v>
      </c>
      <c r="I271" s="215" t="s">
        <v>816</v>
      </c>
      <c r="J271" s="215" t="s">
        <v>77</v>
      </c>
      <c r="K271" s="266">
        <v>812361017289</v>
      </c>
      <c r="L271" s="265" t="s">
        <v>649</v>
      </c>
      <c r="M271" s="265" t="s">
        <v>649</v>
      </c>
      <c r="N271" s="264">
        <v>0.61</v>
      </c>
      <c r="O271" s="265" t="s">
        <v>649</v>
      </c>
      <c r="P271" s="265">
        <v>15.25</v>
      </c>
      <c r="Q271" s="265" t="s">
        <v>649</v>
      </c>
    </row>
    <row r="272" spans="1:17" ht="15" customHeight="1">
      <c r="A272" s="147">
        <v>265</v>
      </c>
      <c r="B272" s="51" t="s">
        <v>6</v>
      </c>
      <c r="C272" s="51" t="s">
        <v>4161</v>
      </c>
      <c r="D272" s="51">
        <v>100029124</v>
      </c>
      <c r="E272" s="53" t="s">
        <v>4162</v>
      </c>
      <c r="F272" s="124">
        <v>25</v>
      </c>
      <c r="G272" s="124">
        <v>600</v>
      </c>
      <c r="H272" s="369">
        <v>120.71</v>
      </c>
      <c r="I272" s="215" t="s">
        <v>346</v>
      </c>
      <c r="J272" s="215" t="s">
        <v>102</v>
      </c>
      <c r="K272" s="266">
        <v>810673015993</v>
      </c>
      <c r="L272" s="265" t="s">
        <v>649</v>
      </c>
      <c r="M272" s="266">
        <v>810673016006</v>
      </c>
      <c r="N272" s="264">
        <v>0.79700000000000004</v>
      </c>
      <c r="O272" s="265" t="s">
        <v>649</v>
      </c>
      <c r="P272" s="265">
        <v>19.925000000000001</v>
      </c>
      <c r="Q272" s="265">
        <v>1.8803145838984718</v>
      </c>
    </row>
    <row r="273" spans="1:17" ht="15" customHeight="1">
      <c r="A273" s="147">
        <v>266</v>
      </c>
      <c r="B273" s="51" t="s">
        <v>6</v>
      </c>
      <c r="C273" s="51" t="s">
        <v>4163</v>
      </c>
      <c r="D273" s="51">
        <v>300005706</v>
      </c>
      <c r="E273" s="53" t="s">
        <v>4164</v>
      </c>
      <c r="F273" s="124">
        <v>25</v>
      </c>
      <c r="G273" s="124" t="s">
        <v>649</v>
      </c>
      <c r="H273" s="486" t="s">
        <v>5866</v>
      </c>
      <c r="I273" s="215" t="s">
        <v>816</v>
      </c>
      <c r="J273" s="215" t="s">
        <v>77</v>
      </c>
      <c r="K273" s="266">
        <v>812361012475</v>
      </c>
      <c r="L273" s="265" t="s">
        <v>649</v>
      </c>
      <c r="M273" s="265" t="s">
        <v>649</v>
      </c>
      <c r="N273" s="264">
        <v>0.85799999999999998</v>
      </c>
      <c r="O273" s="265" t="s">
        <v>649</v>
      </c>
      <c r="P273" s="265">
        <v>21.45</v>
      </c>
      <c r="Q273" s="265" t="s">
        <v>649</v>
      </c>
    </row>
    <row r="274" spans="1:17" ht="15" customHeight="1">
      <c r="A274" s="147">
        <v>267</v>
      </c>
      <c r="B274" s="51" t="s">
        <v>6</v>
      </c>
      <c r="C274" s="51" t="s">
        <v>4165</v>
      </c>
      <c r="D274" s="51">
        <v>300005704</v>
      </c>
      <c r="E274" s="53" t="s">
        <v>4166</v>
      </c>
      <c r="F274" s="124">
        <v>25</v>
      </c>
      <c r="G274" s="124" t="s">
        <v>649</v>
      </c>
      <c r="H274" s="486" t="s">
        <v>5866</v>
      </c>
      <c r="I274" s="215" t="s">
        <v>346</v>
      </c>
      <c r="J274" s="215" t="s">
        <v>77</v>
      </c>
      <c r="K274" s="266">
        <v>812361012499</v>
      </c>
      <c r="L274" s="265" t="s">
        <v>649</v>
      </c>
      <c r="M274" s="266">
        <v>10812361012496</v>
      </c>
      <c r="N274" s="264">
        <v>0.92600000000000005</v>
      </c>
      <c r="O274" s="265" t="s">
        <v>649</v>
      </c>
      <c r="P274" s="265">
        <v>23.150000000000002</v>
      </c>
      <c r="Q274" s="265" t="s">
        <v>649</v>
      </c>
    </row>
    <row r="275" spans="1:17" ht="15" customHeight="1">
      <c r="A275" s="147">
        <v>268</v>
      </c>
      <c r="B275" s="51" t="s">
        <v>6</v>
      </c>
      <c r="C275" s="51" t="s">
        <v>4167</v>
      </c>
      <c r="D275" s="51">
        <v>300005705</v>
      </c>
      <c r="E275" s="53" t="s">
        <v>4168</v>
      </c>
      <c r="F275" s="124">
        <v>25</v>
      </c>
      <c r="G275" s="124" t="s">
        <v>649</v>
      </c>
      <c r="H275" s="486" t="s">
        <v>5866</v>
      </c>
      <c r="I275" s="215" t="s">
        <v>346</v>
      </c>
      <c r="J275" s="215" t="s">
        <v>77</v>
      </c>
      <c r="K275" s="266">
        <v>810673015375</v>
      </c>
      <c r="L275" s="265" t="s">
        <v>649</v>
      </c>
      <c r="M275" s="266">
        <v>10810673015372</v>
      </c>
      <c r="N275" s="264">
        <v>0.82599999999999996</v>
      </c>
      <c r="O275" s="265" t="s">
        <v>649</v>
      </c>
      <c r="P275" s="265">
        <v>20.65</v>
      </c>
      <c r="Q275" s="265" t="s">
        <v>649</v>
      </c>
    </row>
    <row r="276" spans="1:17" ht="15" customHeight="1">
      <c r="A276" s="147">
        <v>269</v>
      </c>
      <c r="B276" s="51" t="s">
        <v>6</v>
      </c>
      <c r="C276" s="51" t="s">
        <v>4169</v>
      </c>
      <c r="D276" s="51">
        <v>300005834</v>
      </c>
      <c r="E276" s="53" t="s">
        <v>4170</v>
      </c>
      <c r="F276" s="124">
        <v>25</v>
      </c>
      <c r="G276" s="124">
        <v>800</v>
      </c>
      <c r="H276" s="486" t="s">
        <v>5866</v>
      </c>
      <c r="I276" s="215" t="s">
        <v>816</v>
      </c>
      <c r="J276" s="215" t="s">
        <v>77</v>
      </c>
      <c r="K276" s="266">
        <v>810673015979</v>
      </c>
      <c r="L276" s="265" t="s">
        <v>649</v>
      </c>
      <c r="M276" s="265" t="s">
        <v>649</v>
      </c>
      <c r="N276" s="264">
        <v>0.64200000000000002</v>
      </c>
      <c r="O276" s="265" t="s">
        <v>649</v>
      </c>
      <c r="P276" s="265">
        <v>16.05</v>
      </c>
      <c r="Q276" s="265" t="s">
        <v>649</v>
      </c>
    </row>
    <row r="277" spans="1:17" ht="15" customHeight="1">
      <c r="A277" s="147">
        <v>270</v>
      </c>
      <c r="B277" s="51" t="s">
        <v>6</v>
      </c>
      <c r="C277" s="51" t="s">
        <v>4171</v>
      </c>
      <c r="D277" s="51">
        <v>300005707</v>
      </c>
      <c r="E277" s="53" t="s">
        <v>4172</v>
      </c>
      <c r="F277" s="124">
        <v>25</v>
      </c>
      <c r="G277" s="124" t="s">
        <v>649</v>
      </c>
      <c r="H277" s="486" t="s">
        <v>5866</v>
      </c>
      <c r="I277" s="215" t="s">
        <v>816</v>
      </c>
      <c r="J277" s="215" t="s">
        <v>77</v>
      </c>
      <c r="K277" s="266">
        <v>810673011445</v>
      </c>
      <c r="L277" s="265" t="s">
        <v>649</v>
      </c>
      <c r="M277" s="266">
        <v>10810673011442</v>
      </c>
      <c r="N277" s="264">
        <v>0.9</v>
      </c>
      <c r="O277" s="265" t="s">
        <v>649</v>
      </c>
      <c r="P277" s="265">
        <v>22.5</v>
      </c>
      <c r="Q277" s="265" t="s">
        <v>649</v>
      </c>
    </row>
    <row r="278" spans="1:17" ht="15" customHeight="1">
      <c r="A278" s="147">
        <v>271</v>
      </c>
      <c r="B278" s="51" t="s">
        <v>6</v>
      </c>
      <c r="C278" s="51" t="s">
        <v>4173</v>
      </c>
      <c r="D278" s="51">
        <v>300005708</v>
      </c>
      <c r="E278" s="53" t="s">
        <v>4174</v>
      </c>
      <c r="F278" s="124">
        <v>25</v>
      </c>
      <c r="G278" s="124" t="s">
        <v>649</v>
      </c>
      <c r="H278" s="486" t="s">
        <v>5866</v>
      </c>
      <c r="I278" s="215" t="s">
        <v>346</v>
      </c>
      <c r="J278" s="215" t="s">
        <v>77</v>
      </c>
      <c r="K278" s="266">
        <v>812361017319</v>
      </c>
      <c r="L278" s="265" t="s">
        <v>649</v>
      </c>
      <c r="M278" s="265" t="s">
        <v>649</v>
      </c>
      <c r="N278" s="264">
        <v>0.84</v>
      </c>
      <c r="O278" s="265" t="s">
        <v>649</v>
      </c>
      <c r="P278" s="265">
        <v>21</v>
      </c>
      <c r="Q278" s="265" t="s">
        <v>649</v>
      </c>
    </row>
    <row r="279" spans="1:17" ht="15" customHeight="1">
      <c r="A279" s="147">
        <v>272</v>
      </c>
      <c r="B279" s="51" t="s">
        <v>6</v>
      </c>
      <c r="C279" s="51" t="s">
        <v>4175</v>
      </c>
      <c r="D279" s="51">
        <v>300005709</v>
      </c>
      <c r="E279" s="53" t="s">
        <v>4176</v>
      </c>
      <c r="F279" s="124">
        <v>25</v>
      </c>
      <c r="G279" s="124">
        <v>600</v>
      </c>
      <c r="H279" s="486" t="s">
        <v>5866</v>
      </c>
      <c r="I279" s="215" t="s">
        <v>816</v>
      </c>
      <c r="J279" s="215" t="s">
        <v>77</v>
      </c>
      <c r="K279" s="266">
        <v>812361017302</v>
      </c>
      <c r="L279" s="265" t="s">
        <v>649</v>
      </c>
      <c r="M279" s="265" t="s">
        <v>649</v>
      </c>
      <c r="N279" s="264">
        <v>0.85</v>
      </c>
      <c r="O279" s="265" t="s">
        <v>649</v>
      </c>
      <c r="P279" s="265">
        <v>21.25</v>
      </c>
      <c r="Q279" s="265" t="s">
        <v>649</v>
      </c>
    </row>
    <row r="280" spans="1:17" ht="15" customHeight="1">
      <c r="A280" s="147">
        <v>273</v>
      </c>
      <c r="B280" s="51" t="s">
        <v>6</v>
      </c>
      <c r="C280" s="51" t="s">
        <v>4177</v>
      </c>
      <c r="D280" s="51">
        <v>300005710</v>
      </c>
      <c r="E280" s="53" t="s">
        <v>4178</v>
      </c>
      <c r="F280" s="124">
        <v>6</v>
      </c>
      <c r="G280" s="124" t="s">
        <v>649</v>
      </c>
      <c r="H280" s="486" t="s">
        <v>5866</v>
      </c>
      <c r="I280" s="215" t="s">
        <v>346</v>
      </c>
      <c r="J280" s="215" t="s">
        <v>77</v>
      </c>
      <c r="K280" s="266">
        <v>812361017326</v>
      </c>
      <c r="L280" s="265" t="s">
        <v>649</v>
      </c>
      <c r="M280" s="265" t="s">
        <v>649</v>
      </c>
      <c r="N280" s="264">
        <v>0.89</v>
      </c>
      <c r="O280" s="265" t="s">
        <v>649</v>
      </c>
      <c r="P280" s="265">
        <v>5.34</v>
      </c>
      <c r="Q280" s="265" t="s">
        <v>649</v>
      </c>
    </row>
    <row r="281" spans="1:17" ht="15" customHeight="1">
      <c r="A281" s="147">
        <v>274</v>
      </c>
      <c r="B281" s="51" t="s">
        <v>6</v>
      </c>
      <c r="C281" s="51" t="s">
        <v>4179</v>
      </c>
      <c r="D281" s="51">
        <v>300005711</v>
      </c>
      <c r="E281" s="53" t="s">
        <v>4180</v>
      </c>
      <c r="F281" s="124">
        <v>25</v>
      </c>
      <c r="G281" s="124">
        <v>750</v>
      </c>
      <c r="H281" s="486" t="s">
        <v>5866</v>
      </c>
      <c r="I281" s="215" t="s">
        <v>346</v>
      </c>
      <c r="J281" s="215" t="s">
        <v>77</v>
      </c>
      <c r="K281" s="266">
        <v>812361017234</v>
      </c>
      <c r="L281" s="265" t="s">
        <v>649</v>
      </c>
      <c r="M281" s="265" t="s">
        <v>649</v>
      </c>
      <c r="N281" s="264">
        <v>0.65</v>
      </c>
      <c r="O281" s="265" t="s">
        <v>649</v>
      </c>
      <c r="P281" s="265">
        <v>16.25</v>
      </c>
      <c r="Q281" s="265" t="s">
        <v>649</v>
      </c>
    </row>
    <row r="282" spans="1:17" ht="15" customHeight="1">
      <c r="A282" s="147">
        <v>275</v>
      </c>
      <c r="B282" s="51" t="s">
        <v>6</v>
      </c>
      <c r="C282" s="51" t="s">
        <v>4181</v>
      </c>
      <c r="D282" s="51">
        <v>300005712</v>
      </c>
      <c r="E282" s="53" t="s">
        <v>4182</v>
      </c>
      <c r="F282" s="124">
        <v>25</v>
      </c>
      <c r="G282" s="124">
        <v>750</v>
      </c>
      <c r="H282" s="486" t="s">
        <v>5866</v>
      </c>
      <c r="I282" s="215" t="s">
        <v>816</v>
      </c>
      <c r="J282" s="215" t="s">
        <v>77</v>
      </c>
      <c r="K282" s="266">
        <v>812361017227</v>
      </c>
      <c r="L282" s="265" t="s">
        <v>649</v>
      </c>
      <c r="M282" s="265" t="s">
        <v>649</v>
      </c>
      <c r="N282" s="264">
        <v>0.73</v>
      </c>
      <c r="O282" s="265" t="s">
        <v>649</v>
      </c>
      <c r="P282" s="265">
        <v>18.25</v>
      </c>
      <c r="Q282" s="265" t="s">
        <v>649</v>
      </c>
    </row>
    <row r="283" spans="1:17" ht="15" customHeight="1">
      <c r="A283" s="147">
        <v>276</v>
      </c>
      <c r="B283" s="51" t="s">
        <v>6</v>
      </c>
      <c r="C283" s="51" t="s">
        <v>4183</v>
      </c>
      <c r="D283" s="51">
        <v>300005713</v>
      </c>
      <c r="E283" s="53" t="s">
        <v>4184</v>
      </c>
      <c r="F283" s="124">
        <v>20</v>
      </c>
      <c r="G283" s="124" t="s">
        <v>649</v>
      </c>
      <c r="H283" s="486" t="s">
        <v>5866</v>
      </c>
      <c r="I283" s="215" t="s">
        <v>816</v>
      </c>
      <c r="J283" s="215" t="s">
        <v>77</v>
      </c>
      <c r="K283" s="266">
        <v>810673012459</v>
      </c>
      <c r="L283" s="265" t="s">
        <v>649</v>
      </c>
      <c r="M283" s="265" t="s">
        <v>649</v>
      </c>
      <c r="N283" s="264">
        <v>1.17</v>
      </c>
      <c r="O283" s="265" t="s">
        <v>649</v>
      </c>
      <c r="P283" s="265">
        <v>23.4</v>
      </c>
      <c r="Q283" s="265" t="s">
        <v>649</v>
      </c>
    </row>
    <row r="284" spans="1:17" ht="15" customHeight="1">
      <c r="A284" s="147">
        <v>277</v>
      </c>
      <c r="B284" s="51" t="s">
        <v>6</v>
      </c>
      <c r="C284" s="51" t="s">
        <v>4185</v>
      </c>
      <c r="D284" s="51">
        <v>300005714</v>
      </c>
      <c r="E284" s="53" t="s">
        <v>4186</v>
      </c>
      <c r="F284" s="124">
        <v>20</v>
      </c>
      <c r="G284" s="124" t="s">
        <v>649</v>
      </c>
      <c r="H284" s="486" t="s">
        <v>5866</v>
      </c>
      <c r="I284" s="215" t="s">
        <v>816</v>
      </c>
      <c r="J284" s="215" t="s">
        <v>77</v>
      </c>
      <c r="K284" s="266">
        <v>812361017241</v>
      </c>
      <c r="L284" s="265" t="s">
        <v>649</v>
      </c>
      <c r="M284" s="265" t="s">
        <v>649</v>
      </c>
      <c r="N284" s="264">
        <v>1.1100000000000001</v>
      </c>
      <c r="O284" s="265" t="s">
        <v>649</v>
      </c>
      <c r="P284" s="265">
        <v>22.200000000000003</v>
      </c>
      <c r="Q284" s="265" t="s">
        <v>649</v>
      </c>
    </row>
    <row r="285" spans="1:17" ht="15" customHeight="1">
      <c r="A285" s="147">
        <v>285</v>
      </c>
      <c r="B285" s="51" t="s">
        <v>7</v>
      </c>
      <c r="C285" s="51" t="s">
        <v>90</v>
      </c>
      <c r="D285" s="51">
        <v>300005959</v>
      </c>
      <c r="E285" s="53" t="s">
        <v>91</v>
      </c>
      <c r="F285" s="124">
        <v>25</v>
      </c>
      <c r="G285" s="124">
        <v>800</v>
      </c>
      <c r="H285" s="486" t="s">
        <v>5866</v>
      </c>
      <c r="I285" s="215" t="s">
        <v>76</v>
      </c>
      <c r="J285" s="215" t="s">
        <v>77</v>
      </c>
      <c r="K285" s="265" t="s">
        <v>649</v>
      </c>
      <c r="L285" s="265" t="s">
        <v>649</v>
      </c>
      <c r="M285" s="265" t="s">
        <v>649</v>
      </c>
      <c r="N285" s="264">
        <v>0.59</v>
      </c>
      <c r="O285" s="265" t="s">
        <v>649</v>
      </c>
      <c r="P285" s="265" t="s">
        <v>649</v>
      </c>
      <c r="Q285" s="265" t="s">
        <v>649</v>
      </c>
    </row>
    <row r="286" spans="1:17" ht="15" customHeight="1">
      <c r="A286" s="147">
        <v>287</v>
      </c>
      <c r="B286" s="51" t="s">
        <v>7</v>
      </c>
      <c r="C286" s="51" t="s">
        <v>94</v>
      </c>
      <c r="D286" s="51">
        <v>300005961</v>
      </c>
      <c r="E286" s="53" t="s">
        <v>95</v>
      </c>
      <c r="F286" s="124">
        <v>20</v>
      </c>
      <c r="G286" s="124">
        <v>360</v>
      </c>
      <c r="H286" s="369">
        <v>351.54</v>
      </c>
      <c r="I286" s="215" t="s">
        <v>76</v>
      </c>
      <c r="J286" s="215" t="s">
        <v>77</v>
      </c>
      <c r="K286" s="265" t="s">
        <v>649</v>
      </c>
      <c r="L286" s="265" t="s">
        <v>649</v>
      </c>
      <c r="M286" s="265" t="s">
        <v>649</v>
      </c>
      <c r="N286" s="264">
        <v>1.087</v>
      </c>
      <c r="O286" s="265" t="s">
        <v>649</v>
      </c>
      <c r="P286" s="265" t="s">
        <v>649</v>
      </c>
      <c r="Q286" s="265" t="s">
        <v>649</v>
      </c>
    </row>
    <row r="287" spans="1:17" ht="15" customHeight="1">
      <c r="A287" s="147">
        <v>288</v>
      </c>
      <c r="B287" s="51" t="s">
        <v>7</v>
      </c>
      <c r="C287" s="51" t="s">
        <v>96</v>
      </c>
      <c r="D287" s="51">
        <v>300006035</v>
      </c>
      <c r="E287" s="53" t="s">
        <v>97</v>
      </c>
      <c r="F287" s="124">
        <v>50</v>
      </c>
      <c r="G287" s="124">
        <v>2400</v>
      </c>
      <c r="H287" s="486" t="s">
        <v>5866</v>
      </c>
      <c r="I287" s="215" t="s">
        <v>76</v>
      </c>
      <c r="J287" s="215" t="s">
        <v>77</v>
      </c>
      <c r="K287" s="265" t="s">
        <v>649</v>
      </c>
      <c r="L287" s="265" t="s">
        <v>649</v>
      </c>
      <c r="M287" s="265" t="s">
        <v>649</v>
      </c>
      <c r="N287" s="264">
        <v>0.59899999999999998</v>
      </c>
      <c r="O287" s="265" t="s">
        <v>649</v>
      </c>
      <c r="P287" s="265" t="s">
        <v>649</v>
      </c>
      <c r="Q287" s="265" t="s">
        <v>649</v>
      </c>
    </row>
    <row r="288" spans="1:17" ht="15" customHeight="1">
      <c r="A288" s="147">
        <v>297</v>
      </c>
      <c r="B288" s="51" t="s">
        <v>7</v>
      </c>
      <c r="C288" s="51" t="s">
        <v>121</v>
      </c>
      <c r="D288" s="51">
        <v>300005967</v>
      </c>
      <c r="E288" s="53" t="s">
        <v>122</v>
      </c>
      <c r="F288" s="124">
        <v>30</v>
      </c>
      <c r="G288" s="124">
        <v>960</v>
      </c>
      <c r="H288" s="486" t="s">
        <v>5866</v>
      </c>
      <c r="I288" s="215" t="s">
        <v>76</v>
      </c>
      <c r="J288" s="215" t="s">
        <v>77</v>
      </c>
      <c r="K288" s="265" t="s">
        <v>649</v>
      </c>
      <c r="L288" s="265" t="s">
        <v>649</v>
      </c>
      <c r="M288" s="265" t="s">
        <v>649</v>
      </c>
      <c r="N288" s="264">
        <v>0.36299999999999999</v>
      </c>
      <c r="O288" s="265" t="s">
        <v>649</v>
      </c>
      <c r="P288" s="265" t="s">
        <v>649</v>
      </c>
      <c r="Q288" s="265" t="s">
        <v>649</v>
      </c>
    </row>
    <row r="289" spans="1:17" ht="15" customHeight="1">
      <c r="A289" s="147">
        <v>298</v>
      </c>
      <c r="B289" s="51" t="s">
        <v>7</v>
      </c>
      <c r="C289" s="51" t="s">
        <v>123</v>
      </c>
      <c r="D289" s="51">
        <v>300005968</v>
      </c>
      <c r="E289" s="53" t="s">
        <v>124</v>
      </c>
      <c r="F289" s="124">
        <v>20</v>
      </c>
      <c r="G289" s="124">
        <v>640</v>
      </c>
      <c r="H289" s="486" t="s">
        <v>5866</v>
      </c>
      <c r="I289" s="215" t="s">
        <v>76</v>
      </c>
      <c r="J289" s="215" t="s">
        <v>77</v>
      </c>
      <c r="K289" s="265" t="s">
        <v>649</v>
      </c>
      <c r="L289" s="265" t="s">
        <v>649</v>
      </c>
      <c r="M289" s="265" t="s">
        <v>649</v>
      </c>
      <c r="N289" s="264">
        <v>0.55500000000000005</v>
      </c>
      <c r="O289" s="265" t="s">
        <v>649</v>
      </c>
      <c r="P289" s="265" t="s">
        <v>649</v>
      </c>
      <c r="Q289" s="265" t="s">
        <v>649</v>
      </c>
    </row>
    <row r="290" spans="1:17" ht="15" customHeight="1">
      <c r="A290" s="147">
        <v>299</v>
      </c>
      <c r="B290" s="51" t="s">
        <v>7</v>
      </c>
      <c r="C290" s="51" t="s">
        <v>125</v>
      </c>
      <c r="D290" s="51">
        <v>300005969</v>
      </c>
      <c r="E290" s="53" t="s">
        <v>126</v>
      </c>
      <c r="F290" s="124">
        <v>15</v>
      </c>
      <c r="G290" s="124">
        <v>180</v>
      </c>
      <c r="H290" s="486" t="s">
        <v>5866</v>
      </c>
      <c r="I290" s="215" t="s">
        <v>76</v>
      </c>
      <c r="J290" s="215" t="s">
        <v>77</v>
      </c>
      <c r="K290" s="265" t="s">
        <v>649</v>
      </c>
      <c r="L290" s="265" t="s">
        <v>649</v>
      </c>
      <c r="M290" s="265" t="s">
        <v>649</v>
      </c>
      <c r="N290" s="264">
        <v>1.631</v>
      </c>
      <c r="O290" s="265" t="s">
        <v>649</v>
      </c>
      <c r="P290" s="265" t="s">
        <v>649</v>
      </c>
      <c r="Q290" s="265" t="s">
        <v>649</v>
      </c>
    </row>
    <row r="291" spans="1:17" ht="15" customHeight="1">
      <c r="A291" s="147">
        <v>300</v>
      </c>
      <c r="B291" s="51" t="s">
        <v>7</v>
      </c>
      <c r="C291" s="51" t="s">
        <v>127</v>
      </c>
      <c r="D291" s="51">
        <v>300006031</v>
      </c>
      <c r="E291" s="53" t="s">
        <v>128</v>
      </c>
      <c r="F291" s="124">
        <v>40</v>
      </c>
      <c r="G291" s="124">
        <v>1080</v>
      </c>
      <c r="H291" s="486" t="s">
        <v>5866</v>
      </c>
      <c r="I291" s="215" t="s">
        <v>76</v>
      </c>
      <c r="J291" s="215" t="s">
        <v>77</v>
      </c>
      <c r="K291" s="265" t="s">
        <v>649</v>
      </c>
      <c r="L291" s="265" t="s">
        <v>649</v>
      </c>
      <c r="M291" s="265" t="s">
        <v>649</v>
      </c>
      <c r="N291" s="264">
        <v>0.34</v>
      </c>
      <c r="O291" s="265" t="s">
        <v>649</v>
      </c>
      <c r="P291" s="265" t="s">
        <v>649</v>
      </c>
      <c r="Q291" s="265" t="s">
        <v>649</v>
      </c>
    </row>
    <row r="292" spans="1:17" ht="15" customHeight="1">
      <c r="A292" s="147">
        <v>305</v>
      </c>
      <c r="B292" s="51" t="s">
        <v>7</v>
      </c>
      <c r="C292" s="51" t="s">
        <v>138</v>
      </c>
      <c r="D292" s="51">
        <v>300005962</v>
      </c>
      <c r="E292" s="53" t="s">
        <v>139</v>
      </c>
      <c r="F292" s="124">
        <v>20</v>
      </c>
      <c r="G292" s="124">
        <v>1800</v>
      </c>
      <c r="H292" s="369">
        <v>126.42</v>
      </c>
      <c r="I292" s="215" t="s">
        <v>76</v>
      </c>
      <c r="J292" s="215" t="s">
        <v>77</v>
      </c>
      <c r="K292" s="265" t="s">
        <v>649</v>
      </c>
      <c r="L292" s="265" t="s">
        <v>649</v>
      </c>
      <c r="M292" s="265" t="s">
        <v>649</v>
      </c>
      <c r="N292" s="264">
        <v>0.63500000000000001</v>
      </c>
      <c r="O292" s="265" t="s">
        <v>649</v>
      </c>
      <c r="P292" s="265" t="s">
        <v>649</v>
      </c>
      <c r="Q292" s="265" t="s">
        <v>649</v>
      </c>
    </row>
    <row r="293" spans="1:17" ht="15" customHeight="1">
      <c r="A293" s="147">
        <v>307</v>
      </c>
      <c r="B293" s="51" t="s">
        <v>7</v>
      </c>
      <c r="C293" s="51" t="s">
        <v>144</v>
      </c>
      <c r="D293" s="51">
        <v>300005970</v>
      </c>
      <c r="E293" s="53" t="s">
        <v>145</v>
      </c>
      <c r="F293" s="124">
        <v>100</v>
      </c>
      <c r="G293" s="124">
        <v>2700</v>
      </c>
      <c r="H293" s="369">
        <v>29.72</v>
      </c>
      <c r="I293" s="215" t="s">
        <v>76</v>
      </c>
      <c r="J293" s="215" t="s">
        <v>77</v>
      </c>
      <c r="K293" s="265" t="s">
        <v>649</v>
      </c>
      <c r="L293" s="265" t="s">
        <v>649</v>
      </c>
      <c r="M293" s="265" t="s">
        <v>649</v>
      </c>
      <c r="N293" s="264">
        <v>0.2</v>
      </c>
      <c r="O293" s="265" t="s">
        <v>649</v>
      </c>
      <c r="P293" s="265" t="s">
        <v>649</v>
      </c>
      <c r="Q293" s="265" t="s">
        <v>649</v>
      </c>
    </row>
    <row r="294" spans="1:17" ht="15" customHeight="1">
      <c r="A294" s="147">
        <v>312</v>
      </c>
      <c r="B294" s="51" t="s">
        <v>7</v>
      </c>
      <c r="C294" s="51" t="s">
        <v>156</v>
      </c>
      <c r="D294" s="51">
        <v>300006026</v>
      </c>
      <c r="E294" s="53" t="s">
        <v>157</v>
      </c>
      <c r="F294" s="124">
        <v>30</v>
      </c>
      <c r="G294" s="124">
        <v>1080</v>
      </c>
      <c r="H294" s="486" t="s">
        <v>5866</v>
      </c>
      <c r="I294" s="215" t="s">
        <v>76</v>
      </c>
      <c r="J294" s="215" t="s">
        <v>77</v>
      </c>
      <c r="K294" s="265" t="s">
        <v>649</v>
      </c>
      <c r="L294" s="265" t="s">
        <v>649</v>
      </c>
      <c r="M294" s="265" t="s">
        <v>649</v>
      </c>
      <c r="N294" s="264">
        <v>0.19</v>
      </c>
      <c r="O294" s="265" t="s">
        <v>649</v>
      </c>
      <c r="P294" s="265" t="s">
        <v>649</v>
      </c>
      <c r="Q294" s="265" t="s">
        <v>649</v>
      </c>
    </row>
    <row r="295" spans="1:17" ht="15" customHeight="1">
      <c r="A295" s="147">
        <v>316</v>
      </c>
      <c r="B295" s="51" t="s">
        <v>7</v>
      </c>
      <c r="C295" s="51" t="s">
        <v>164</v>
      </c>
      <c r="D295" s="51">
        <v>300006029</v>
      </c>
      <c r="E295" s="53" t="s">
        <v>165</v>
      </c>
      <c r="F295" s="124">
        <v>5</v>
      </c>
      <c r="G295" s="124">
        <v>180</v>
      </c>
      <c r="H295" s="369">
        <v>267.64999999999998</v>
      </c>
      <c r="I295" s="215" t="s">
        <v>76</v>
      </c>
      <c r="J295" s="215" t="s">
        <v>77</v>
      </c>
      <c r="K295" s="265" t="s">
        <v>649</v>
      </c>
      <c r="L295" s="265" t="s">
        <v>649</v>
      </c>
      <c r="M295" s="265" t="s">
        <v>649</v>
      </c>
      <c r="N295" s="264">
        <v>2.6920000000000002</v>
      </c>
      <c r="O295" s="265" t="s">
        <v>649</v>
      </c>
      <c r="P295" s="265" t="s">
        <v>649</v>
      </c>
      <c r="Q295" s="265" t="s">
        <v>649</v>
      </c>
    </row>
    <row r="296" spans="1:17" ht="15" customHeight="1">
      <c r="A296" s="147">
        <v>320</v>
      </c>
      <c r="B296" s="51" t="s">
        <v>7</v>
      </c>
      <c r="C296" s="51" t="s">
        <v>174</v>
      </c>
      <c r="D296" s="51">
        <v>300006036</v>
      </c>
      <c r="E296" s="53" t="s">
        <v>175</v>
      </c>
      <c r="F296" s="124">
        <v>50</v>
      </c>
      <c r="G296" s="124">
        <v>1800</v>
      </c>
      <c r="H296" s="486" t="s">
        <v>5866</v>
      </c>
      <c r="I296" s="215" t="s">
        <v>76</v>
      </c>
      <c r="J296" s="215" t="s">
        <v>77</v>
      </c>
      <c r="K296" s="265" t="s">
        <v>649</v>
      </c>
      <c r="L296" s="265" t="s">
        <v>649</v>
      </c>
      <c r="M296" s="265" t="s">
        <v>649</v>
      </c>
      <c r="N296" s="264">
        <v>0.21299999999999999</v>
      </c>
      <c r="O296" s="265" t="s">
        <v>649</v>
      </c>
      <c r="P296" s="265" t="s">
        <v>649</v>
      </c>
      <c r="Q296" s="265" t="s">
        <v>649</v>
      </c>
    </row>
    <row r="297" spans="1:17" ht="15" customHeight="1">
      <c r="A297" s="147">
        <v>322</v>
      </c>
      <c r="B297" s="51" t="s">
        <v>7</v>
      </c>
      <c r="C297" s="51" t="s">
        <v>178</v>
      </c>
      <c r="D297" s="51">
        <v>300005893</v>
      </c>
      <c r="E297" s="53" t="s">
        <v>179</v>
      </c>
      <c r="F297" s="124">
        <v>20</v>
      </c>
      <c r="G297" s="124">
        <v>1600</v>
      </c>
      <c r="H297" s="486" t="s">
        <v>5866</v>
      </c>
      <c r="I297" s="215" t="s">
        <v>76</v>
      </c>
      <c r="J297" s="215" t="s">
        <v>77</v>
      </c>
      <c r="K297" s="265" t="s">
        <v>649</v>
      </c>
      <c r="L297" s="265" t="s">
        <v>649</v>
      </c>
      <c r="M297" s="265" t="s">
        <v>649</v>
      </c>
      <c r="N297" s="264">
        <v>0.23200000000000001</v>
      </c>
      <c r="O297" s="265" t="s">
        <v>649</v>
      </c>
      <c r="P297" s="265" t="s">
        <v>649</v>
      </c>
      <c r="Q297" s="265" t="s">
        <v>649</v>
      </c>
    </row>
    <row r="298" spans="1:17" ht="15" customHeight="1">
      <c r="A298" s="147">
        <v>323</v>
      </c>
      <c r="B298" s="51" t="s">
        <v>7</v>
      </c>
      <c r="C298" s="51" t="s">
        <v>180</v>
      </c>
      <c r="D298" s="51">
        <v>300005894</v>
      </c>
      <c r="E298" s="53" t="s">
        <v>181</v>
      </c>
      <c r="F298" s="124">
        <v>25</v>
      </c>
      <c r="G298" s="124">
        <v>1200</v>
      </c>
      <c r="H298" s="486" t="s">
        <v>5866</v>
      </c>
      <c r="I298" s="215" t="s">
        <v>76</v>
      </c>
      <c r="J298" s="215" t="s">
        <v>77</v>
      </c>
      <c r="K298" s="265" t="s">
        <v>649</v>
      </c>
      <c r="L298" s="265" t="s">
        <v>649</v>
      </c>
      <c r="M298" s="265" t="s">
        <v>649</v>
      </c>
      <c r="N298" s="264">
        <v>0.35799999999999998</v>
      </c>
      <c r="O298" s="265" t="s">
        <v>649</v>
      </c>
      <c r="P298" s="265" t="s">
        <v>649</v>
      </c>
      <c r="Q298" s="265" t="s">
        <v>649</v>
      </c>
    </row>
    <row r="299" spans="1:17" ht="15" customHeight="1">
      <c r="A299" s="147">
        <v>324</v>
      </c>
      <c r="B299" s="51" t="s">
        <v>7</v>
      </c>
      <c r="C299" s="51" t="s">
        <v>182</v>
      </c>
      <c r="D299" s="51">
        <v>300005895</v>
      </c>
      <c r="E299" s="53" t="s">
        <v>183</v>
      </c>
      <c r="F299" s="124">
        <v>10</v>
      </c>
      <c r="G299" s="124">
        <v>270</v>
      </c>
      <c r="H299" s="486" t="s">
        <v>5866</v>
      </c>
      <c r="I299" s="215" t="s">
        <v>76</v>
      </c>
      <c r="J299" s="215" t="s">
        <v>77</v>
      </c>
      <c r="K299" s="265" t="s">
        <v>649</v>
      </c>
      <c r="L299" s="265" t="s">
        <v>649</v>
      </c>
      <c r="M299" s="265" t="s">
        <v>649</v>
      </c>
      <c r="N299" s="264">
        <v>1.1080000000000001</v>
      </c>
      <c r="O299" s="265" t="s">
        <v>649</v>
      </c>
      <c r="P299" s="265" t="s">
        <v>649</v>
      </c>
      <c r="Q299" s="265" t="s">
        <v>649</v>
      </c>
    </row>
    <row r="300" spans="1:17" ht="15" customHeight="1">
      <c r="A300" s="147">
        <v>325</v>
      </c>
      <c r="B300" s="51" t="s">
        <v>7</v>
      </c>
      <c r="C300" s="51" t="s">
        <v>184</v>
      </c>
      <c r="D300" s="51">
        <v>300005974</v>
      </c>
      <c r="E300" s="53" t="s">
        <v>185</v>
      </c>
      <c r="F300" s="124">
        <v>75</v>
      </c>
      <c r="G300" s="124">
        <v>3600</v>
      </c>
      <c r="H300" s="486" t="s">
        <v>5866</v>
      </c>
      <c r="I300" s="215" t="s">
        <v>76</v>
      </c>
      <c r="J300" s="215" t="s">
        <v>77</v>
      </c>
      <c r="K300" s="265" t="s">
        <v>649</v>
      </c>
      <c r="L300" s="265" t="s">
        <v>649</v>
      </c>
      <c r="M300" s="265" t="s">
        <v>649</v>
      </c>
      <c r="N300" s="264">
        <v>0.128</v>
      </c>
      <c r="O300" s="265" t="s">
        <v>649</v>
      </c>
      <c r="P300" s="265" t="s">
        <v>649</v>
      </c>
      <c r="Q300" s="265" t="s">
        <v>649</v>
      </c>
    </row>
    <row r="301" spans="1:17" ht="15" customHeight="1">
      <c r="A301" s="147">
        <v>326</v>
      </c>
      <c r="B301" s="51" t="s">
        <v>7</v>
      </c>
      <c r="C301" s="51" t="s">
        <v>186</v>
      </c>
      <c r="D301" s="51">
        <v>300005975</v>
      </c>
      <c r="E301" s="53" t="s">
        <v>187</v>
      </c>
      <c r="F301" s="124">
        <v>20</v>
      </c>
      <c r="G301" s="124">
        <v>640</v>
      </c>
      <c r="H301" s="486" t="s">
        <v>5866</v>
      </c>
      <c r="I301" s="215" t="s">
        <v>76</v>
      </c>
      <c r="J301" s="215" t="s">
        <v>77</v>
      </c>
      <c r="K301" s="265" t="s">
        <v>649</v>
      </c>
      <c r="L301" s="265" t="s">
        <v>649</v>
      </c>
      <c r="M301" s="265" t="s">
        <v>649</v>
      </c>
      <c r="N301" s="264">
        <v>0.60799999999999998</v>
      </c>
      <c r="O301" s="265" t="s">
        <v>649</v>
      </c>
      <c r="P301" s="265" t="s">
        <v>649</v>
      </c>
      <c r="Q301" s="265" t="s">
        <v>649</v>
      </c>
    </row>
    <row r="302" spans="1:17" ht="15" customHeight="1">
      <c r="A302" s="147">
        <v>327</v>
      </c>
      <c r="B302" s="51" t="s">
        <v>7</v>
      </c>
      <c r="C302" s="51" t="s">
        <v>188</v>
      </c>
      <c r="D302" s="51">
        <v>300006038</v>
      </c>
      <c r="E302" s="53" t="s">
        <v>189</v>
      </c>
      <c r="F302" s="124">
        <v>50</v>
      </c>
      <c r="G302" s="124">
        <v>3600</v>
      </c>
      <c r="H302" s="486" t="s">
        <v>5866</v>
      </c>
      <c r="I302" s="215" t="s">
        <v>76</v>
      </c>
      <c r="J302" s="215" t="s">
        <v>77</v>
      </c>
      <c r="K302" s="265" t="s">
        <v>649</v>
      </c>
      <c r="L302" s="265" t="s">
        <v>649</v>
      </c>
      <c r="M302" s="265" t="s">
        <v>649</v>
      </c>
      <c r="N302" s="264">
        <v>0.14299999999999999</v>
      </c>
      <c r="O302" s="265" t="s">
        <v>649</v>
      </c>
      <c r="P302" s="265" t="s">
        <v>649</v>
      </c>
      <c r="Q302" s="265" t="s">
        <v>649</v>
      </c>
    </row>
    <row r="303" spans="1:17" ht="15" customHeight="1">
      <c r="A303" s="147">
        <v>343</v>
      </c>
      <c r="B303" s="51" t="s">
        <v>7</v>
      </c>
      <c r="C303" s="51" t="s">
        <v>234</v>
      </c>
      <c r="D303" s="51">
        <v>300005983</v>
      </c>
      <c r="E303" s="53" t="s">
        <v>235</v>
      </c>
      <c r="F303" s="124">
        <v>125</v>
      </c>
      <c r="G303" s="124">
        <v>9000</v>
      </c>
      <c r="H303" s="369">
        <v>30.03</v>
      </c>
      <c r="I303" s="215" t="s">
        <v>76</v>
      </c>
      <c r="J303" s="215" t="s">
        <v>77</v>
      </c>
      <c r="K303" s="265" t="s">
        <v>649</v>
      </c>
      <c r="L303" s="265" t="s">
        <v>649</v>
      </c>
      <c r="M303" s="265" t="s">
        <v>649</v>
      </c>
      <c r="N303" s="264">
        <v>4.9000000000000002E-2</v>
      </c>
      <c r="O303" s="265" t="s">
        <v>649</v>
      </c>
      <c r="P303" s="265" t="s">
        <v>649</v>
      </c>
      <c r="Q303" s="265" t="s">
        <v>649</v>
      </c>
    </row>
    <row r="304" spans="1:17" ht="15" customHeight="1">
      <c r="A304" s="147">
        <v>351</v>
      </c>
      <c r="B304" s="51" t="s">
        <v>7</v>
      </c>
      <c r="C304" s="51" t="s">
        <v>252</v>
      </c>
      <c r="D304" s="51">
        <v>300005991</v>
      </c>
      <c r="E304" s="53" t="s">
        <v>253</v>
      </c>
      <c r="F304" s="124">
        <v>50</v>
      </c>
      <c r="G304" s="124">
        <v>6000</v>
      </c>
      <c r="H304" s="369">
        <v>38.96</v>
      </c>
      <c r="I304" s="215" t="s">
        <v>76</v>
      </c>
      <c r="J304" s="215" t="s">
        <v>77</v>
      </c>
      <c r="K304" s="265" t="s">
        <v>649</v>
      </c>
      <c r="L304" s="265" t="s">
        <v>649</v>
      </c>
      <c r="M304" s="265" t="s">
        <v>649</v>
      </c>
      <c r="N304" s="264">
        <v>8.6999999999999994E-2</v>
      </c>
      <c r="O304" s="265" t="s">
        <v>649</v>
      </c>
      <c r="P304" s="265" t="s">
        <v>649</v>
      </c>
      <c r="Q304" s="265" t="s">
        <v>649</v>
      </c>
    </row>
    <row r="305" spans="1:17" ht="15" customHeight="1">
      <c r="A305" s="147">
        <v>353</v>
      </c>
      <c r="B305" s="51" t="s">
        <v>7</v>
      </c>
      <c r="C305" s="51" t="s">
        <v>256</v>
      </c>
      <c r="D305" s="51">
        <v>300005993</v>
      </c>
      <c r="E305" s="53" t="s">
        <v>257</v>
      </c>
      <c r="F305" s="124">
        <v>100</v>
      </c>
      <c r="G305" s="124">
        <v>9600</v>
      </c>
      <c r="H305" s="486" t="s">
        <v>5866</v>
      </c>
      <c r="I305" s="215" t="s">
        <v>76</v>
      </c>
      <c r="J305" s="215" t="s">
        <v>77</v>
      </c>
      <c r="K305" s="265" t="s">
        <v>649</v>
      </c>
      <c r="L305" s="265" t="s">
        <v>649</v>
      </c>
      <c r="M305" s="265" t="s">
        <v>649</v>
      </c>
      <c r="N305" s="264">
        <v>8.4000000000000005E-2</v>
      </c>
      <c r="O305" s="265" t="s">
        <v>649</v>
      </c>
      <c r="P305" s="265" t="s">
        <v>649</v>
      </c>
      <c r="Q305" s="265" t="s">
        <v>649</v>
      </c>
    </row>
    <row r="306" spans="1:17" ht="15" customHeight="1">
      <c r="A306" s="147">
        <v>354</v>
      </c>
      <c r="B306" s="51" t="s">
        <v>7</v>
      </c>
      <c r="C306" s="51" t="s">
        <v>258</v>
      </c>
      <c r="D306" s="51">
        <v>300005994</v>
      </c>
      <c r="E306" s="53" t="s">
        <v>259</v>
      </c>
      <c r="F306" s="124">
        <v>100</v>
      </c>
      <c r="G306" s="124">
        <v>6400</v>
      </c>
      <c r="H306" s="369">
        <v>26.25</v>
      </c>
      <c r="I306" s="215" t="s">
        <v>76</v>
      </c>
      <c r="J306" s="215" t="s">
        <v>77</v>
      </c>
      <c r="K306" s="265" t="s">
        <v>649</v>
      </c>
      <c r="L306" s="265" t="s">
        <v>649</v>
      </c>
      <c r="M306" s="265" t="s">
        <v>649</v>
      </c>
      <c r="N306" s="264">
        <v>7.4999999999999997E-2</v>
      </c>
      <c r="O306" s="265" t="s">
        <v>649</v>
      </c>
      <c r="P306" s="265" t="s">
        <v>649</v>
      </c>
      <c r="Q306" s="265" t="s">
        <v>649</v>
      </c>
    </row>
    <row r="307" spans="1:17" ht="15" customHeight="1">
      <c r="A307" s="147">
        <v>355</v>
      </c>
      <c r="B307" s="51" t="s">
        <v>7</v>
      </c>
      <c r="C307" s="51" t="s">
        <v>260</v>
      </c>
      <c r="D307" s="51">
        <v>300005995</v>
      </c>
      <c r="E307" s="53" t="s">
        <v>261</v>
      </c>
      <c r="F307" s="124">
        <v>100</v>
      </c>
      <c r="G307" s="124">
        <v>4400</v>
      </c>
      <c r="H307" s="369">
        <v>41.37</v>
      </c>
      <c r="I307" s="215" t="s">
        <v>76</v>
      </c>
      <c r="J307" s="215" t="s">
        <v>77</v>
      </c>
      <c r="K307" s="265" t="s">
        <v>649</v>
      </c>
      <c r="L307" s="265" t="s">
        <v>649</v>
      </c>
      <c r="M307" s="265" t="s">
        <v>649</v>
      </c>
      <c r="N307" s="264">
        <v>0.10100000000000001</v>
      </c>
      <c r="O307" s="265" t="s">
        <v>649</v>
      </c>
      <c r="P307" s="265" t="s">
        <v>649</v>
      </c>
      <c r="Q307" s="265" t="s">
        <v>649</v>
      </c>
    </row>
    <row r="308" spans="1:17" ht="15" customHeight="1">
      <c r="A308" s="147">
        <v>358</v>
      </c>
      <c r="B308" s="51" t="s">
        <v>7</v>
      </c>
      <c r="C308" s="51" t="s">
        <v>268</v>
      </c>
      <c r="D308" s="51">
        <v>300005997</v>
      </c>
      <c r="E308" s="53" t="s">
        <v>269</v>
      </c>
      <c r="F308" s="124">
        <v>50</v>
      </c>
      <c r="G308" s="124">
        <v>5600</v>
      </c>
      <c r="H308" s="486" t="s">
        <v>5866</v>
      </c>
      <c r="I308" s="215" t="s">
        <v>76</v>
      </c>
      <c r="J308" s="215" t="s">
        <v>77</v>
      </c>
      <c r="K308" s="265" t="s">
        <v>649</v>
      </c>
      <c r="L308" s="265" t="s">
        <v>649</v>
      </c>
      <c r="M308" s="265" t="s">
        <v>649</v>
      </c>
      <c r="N308" s="264">
        <v>0.11899999999999999</v>
      </c>
      <c r="O308" s="265" t="s">
        <v>649</v>
      </c>
      <c r="P308" s="265" t="s">
        <v>649</v>
      </c>
      <c r="Q308" s="265" t="s">
        <v>649</v>
      </c>
    </row>
    <row r="309" spans="1:17" ht="15" customHeight="1">
      <c r="A309" s="147">
        <v>360</v>
      </c>
      <c r="B309" s="51" t="s">
        <v>7</v>
      </c>
      <c r="C309" s="51" t="s">
        <v>272</v>
      </c>
      <c r="D309" s="51">
        <v>300005999</v>
      </c>
      <c r="E309" s="53" t="s">
        <v>273</v>
      </c>
      <c r="F309" s="124">
        <v>25</v>
      </c>
      <c r="G309" s="124">
        <v>1200</v>
      </c>
      <c r="H309" s="369">
        <v>112.56</v>
      </c>
      <c r="I309" s="215" t="s">
        <v>76</v>
      </c>
      <c r="J309" s="215" t="s">
        <v>77</v>
      </c>
      <c r="K309" s="265" t="s">
        <v>649</v>
      </c>
      <c r="L309" s="265" t="s">
        <v>649</v>
      </c>
      <c r="M309" s="265" t="s">
        <v>649</v>
      </c>
      <c r="N309" s="264">
        <v>0.50600000000000001</v>
      </c>
      <c r="O309" s="265" t="s">
        <v>649</v>
      </c>
      <c r="P309" s="265" t="s">
        <v>649</v>
      </c>
      <c r="Q309" s="265" t="s">
        <v>649</v>
      </c>
    </row>
    <row r="310" spans="1:17" ht="15" customHeight="1">
      <c r="A310" s="147">
        <v>365</v>
      </c>
      <c r="B310" s="51" t="s">
        <v>7</v>
      </c>
      <c r="C310" s="51" t="s">
        <v>282</v>
      </c>
      <c r="D310" s="51">
        <v>300006005</v>
      </c>
      <c r="E310" s="53" t="s">
        <v>283</v>
      </c>
      <c r="F310" s="124">
        <v>50</v>
      </c>
      <c r="G310" s="124">
        <v>5600</v>
      </c>
      <c r="H310" s="369">
        <v>39.590000000000003</v>
      </c>
      <c r="I310" s="215" t="s">
        <v>76</v>
      </c>
      <c r="J310" s="215" t="s">
        <v>77</v>
      </c>
      <c r="K310" s="265" t="s">
        <v>649</v>
      </c>
      <c r="L310" s="265" t="s">
        <v>649</v>
      </c>
      <c r="M310" s="265" t="s">
        <v>649</v>
      </c>
      <c r="N310" s="264">
        <v>0.45600000000000002</v>
      </c>
      <c r="O310" s="265" t="s">
        <v>649</v>
      </c>
      <c r="P310" s="265" t="s">
        <v>649</v>
      </c>
      <c r="Q310" s="265" t="s">
        <v>649</v>
      </c>
    </row>
    <row r="311" spans="1:17" ht="15" customHeight="1">
      <c r="A311" s="147">
        <v>366</v>
      </c>
      <c r="B311" s="51" t="s">
        <v>7</v>
      </c>
      <c r="C311" s="51" t="s">
        <v>284</v>
      </c>
      <c r="D311" s="51">
        <v>300006004</v>
      </c>
      <c r="E311" s="53" t="s">
        <v>285</v>
      </c>
      <c r="F311" s="124">
        <v>100</v>
      </c>
      <c r="G311" s="124">
        <v>11200</v>
      </c>
      <c r="H311" s="486" t="s">
        <v>5866</v>
      </c>
      <c r="I311" s="215" t="s">
        <v>76</v>
      </c>
      <c r="J311" s="215" t="s">
        <v>77</v>
      </c>
      <c r="K311" s="265" t="s">
        <v>649</v>
      </c>
      <c r="L311" s="265" t="s">
        <v>649</v>
      </c>
      <c r="M311" s="265" t="s">
        <v>649</v>
      </c>
      <c r="N311" s="264">
        <v>0.40799999999999997</v>
      </c>
      <c r="O311" s="265" t="s">
        <v>649</v>
      </c>
      <c r="P311" s="265" t="s">
        <v>649</v>
      </c>
      <c r="Q311" s="265" t="s">
        <v>649</v>
      </c>
    </row>
    <row r="312" spans="1:17" ht="15" customHeight="1">
      <c r="A312" s="147">
        <v>367</v>
      </c>
      <c r="B312" s="51" t="s">
        <v>7</v>
      </c>
      <c r="C312" s="51" t="s">
        <v>286</v>
      </c>
      <c r="D312" s="51">
        <v>300005892</v>
      </c>
      <c r="E312" s="53" t="s">
        <v>287</v>
      </c>
      <c r="F312" s="124">
        <v>60</v>
      </c>
      <c r="G312" s="124">
        <v>4320</v>
      </c>
      <c r="H312" s="486" t="s">
        <v>5866</v>
      </c>
      <c r="I312" s="215" t="s">
        <v>76</v>
      </c>
      <c r="J312" s="215" t="s">
        <v>77</v>
      </c>
      <c r="K312" s="265" t="s">
        <v>649</v>
      </c>
      <c r="L312" s="265" t="s">
        <v>649</v>
      </c>
      <c r="M312" s="265" t="s">
        <v>649</v>
      </c>
      <c r="N312" s="264">
        <v>0.13200000000000001</v>
      </c>
      <c r="O312" s="265" t="s">
        <v>649</v>
      </c>
      <c r="P312" s="265" t="s">
        <v>649</v>
      </c>
      <c r="Q312" s="265" t="s">
        <v>649</v>
      </c>
    </row>
    <row r="313" spans="1:17" ht="15" customHeight="1">
      <c r="A313" s="147">
        <v>368</v>
      </c>
      <c r="B313" s="51" t="s">
        <v>7</v>
      </c>
      <c r="C313" s="51" t="s">
        <v>288</v>
      </c>
      <c r="D313" s="51">
        <v>300006007</v>
      </c>
      <c r="E313" s="53" t="s">
        <v>289</v>
      </c>
      <c r="F313" s="124">
        <v>100</v>
      </c>
      <c r="G313" s="124">
        <v>5600</v>
      </c>
      <c r="H313" s="486" t="s">
        <v>5866</v>
      </c>
      <c r="I313" s="215" t="s">
        <v>76</v>
      </c>
      <c r="J313" s="215" t="s">
        <v>77</v>
      </c>
      <c r="K313" s="265" t="s">
        <v>649</v>
      </c>
      <c r="L313" s="265" t="s">
        <v>649</v>
      </c>
      <c r="M313" s="265" t="s">
        <v>649</v>
      </c>
      <c r="N313" s="264">
        <v>8.8999999999999996E-2</v>
      </c>
      <c r="O313" s="265" t="s">
        <v>649</v>
      </c>
      <c r="P313" s="265" t="s">
        <v>649</v>
      </c>
      <c r="Q313" s="265" t="s">
        <v>649</v>
      </c>
    </row>
    <row r="314" spans="1:17" ht="15" customHeight="1">
      <c r="A314" s="147">
        <v>369</v>
      </c>
      <c r="B314" s="51" t="s">
        <v>7</v>
      </c>
      <c r="C314" s="51" t="s">
        <v>290</v>
      </c>
      <c r="D314" s="51">
        <v>300006006</v>
      </c>
      <c r="E314" s="53" t="s">
        <v>291</v>
      </c>
      <c r="F314" s="124">
        <v>100</v>
      </c>
      <c r="G314" s="124">
        <v>11200</v>
      </c>
      <c r="H314" s="486" t="s">
        <v>5866</v>
      </c>
      <c r="I314" s="215" t="s">
        <v>76</v>
      </c>
      <c r="J314" s="215" t="s">
        <v>77</v>
      </c>
      <c r="K314" s="265" t="s">
        <v>649</v>
      </c>
      <c r="L314" s="265" t="s">
        <v>649</v>
      </c>
      <c r="M314" s="265" t="s">
        <v>649</v>
      </c>
      <c r="N314" s="264">
        <v>0.40799999999999997</v>
      </c>
      <c r="O314" s="265" t="s">
        <v>649</v>
      </c>
      <c r="P314" s="265" t="s">
        <v>649</v>
      </c>
      <c r="Q314" s="265" t="s">
        <v>649</v>
      </c>
    </row>
    <row r="315" spans="1:17" ht="15" customHeight="1">
      <c r="A315" s="147">
        <v>370</v>
      </c>
      <c r="B315" s="51" t="s">
        <v>7</v>
      </c>
      <c r="C315" s="51" t="s">
        <v>292</v>
      </c>
      <c r="D315" s="51">
        <v>300006008</v>
      </c>
      <c r="E315" s="53" t="s">
        <v>293</v>
      </c>
      <c r="F315" s="124">
        <v>25</v>
      </c>
      <c r="G315" s="124">
        <v>800</v>
      </c>
      <c r="H315" s="486" t="s">
        <v>5866</v>
      </c>
      <c r="I315" s="215" t="s">
        <v>76</v>
      </c>
      <c r="J315" s="215" t="s">
        <v>77</v>
      </c>
      <c r="K315" s="265" t="s">
        <v>649</v>
      </c>
      <c r="L315" s="265" t="s">
        <v>649</v>
      </c>
      <c r="M315" s="265" t="s">
        <v>649</v>
      </c>
      <c r="N315" s="264">
        <v>0.57299999999999995</v>
      </c>
      <c r="O315" s="265" t="s">
        <v>649</v>
      </c>
      <c r="P315" s="265" t="s">
        <v>649</v>
      </c>
      <c r="Q315" s="265" t="s">
        <v>649</v>
      </c>
    </row>
    <row r="316" spans="1:17" ht="15" customHeight="1">
      <c r="A316" s="147">
        <v>371</v>
      </c>
      <c r="B316" s="51" t="s">
        <v>7</v>
      </c>
      <c r="C316" s="51" t="s">
        <v>294</v>
      </c>
      <c r="D316" s="51">
        <v>300006040</v>
      </c>
      <c r="E316" s="53" t="s">
        <v>295</v>
      </c>
      <c r="F316" s="124">
        <v>20</v>
      </c>
      <c r="G316" s="124">
        <v>2700</v>
      </c>
      <c r="H316" s="486" t="s">
        <v>5866</v>
      </c>
      <c r="I316" s="215" t="s">
        <v>76</v>
      </c>
      <c r="J316" s="215" t="s">
        <v>77</v>
      </c>
      <c r="K316" s="265" t="s">
        <v>649</v>
      </c>
      <c r="L316" s="265" t="s">
        <v>649</v>
      </c>
      <c r="M316" s="265" t="s">
        <v>649</v>
      </c>
      <c r="N316" s="264">
        <v>0.441</v>
      </c>
      <c r="O316" s="265" t="s">
        <v>649</v>
      </c>
      <c r="P316" s="265" t="s">
        <v>649</v>
      </c>
      <c r="Q316" s="265" t="s">
        <v>649</v>
      </c>
    </row>
    <row r="317" spans="1:17" ht="15" customHeight="1">
      <c r="A317" s="147">
        <v>372</v>
      </c>
      <c r="B317" s="51" t="s">
        <v>7</v>
      </c>
      <c r="C317" s="51" t="s">
        <v>296</v>
      </c>
      <c r="D317" s="51">
        <v>300006009</v>
      </c>
      <c r="E317" s="53" t="s">
        <v>297</v>
      </c>
      <c r="F317" s="124">
        <v>25</v>
      </c>
      <c r="G317" s="124">
        <v>800</v>
      </c>
      <c r="H317" s="486" t="s">
        <v>5866</v>
      </c>
      <c r="I317" s="215" t="s">
        <v>76</v>
      </c>
      <c r="J317" s="215" t="s">
        <v>77</v>
      </c>
      <c r="K317" s="265" t="s">
        <v>649</v>
      </c>
      <c r="L317" s="265" t="s">
        <v>649</v>
      </c>
      <c r="M317" s="265" t="s">
        <v>649</v>
      </c>
      <c r="N317" s="264">
        <v>0.54</v>
      </c>
      <c r="O317" s="265" t="s">
        <v>649</v>
      </c>
      <c r="P317" s="265" t="s">
        <v>649</v>
      </c>
      <c r="Q317" s="265" t="s">
        <v>649</v>
      </c>
    </row>
    <row r="318" spans="1:17" ht="15" customHeight="1">
      <c r="A318" s="147">
        <v>375</v>
      </c>
      <c r="B318" s="51" t="s">
        <v>7</v>
      </c>
      <c r="C318" s="51" t="s">
        <v>302</v>
      </c>
      <c r="D318" s="51">
        <v>300006012</v>
      </c>
      <c r="E318" s="53" t="s">
        <v>303</v>
      </c>
      <c r="F318" s="124">
        <v>40</v>
      </c>
      <c r="G318" s="124">
        <v>1280</v>
      </c>
      <c r="H318" s="486" t="s">
        <v>5866</v>
      </c>
      <c r="I318" s="215" t="s">
        <v>76</v>
      </c>
      <c r="J318" s="215" t="s">
        <v>77</v>
      </c>
      <c r="K318" s="265" t="s">
        <v>649</v>
      </c>
      <c r="L318" s="265" t="s">
        <v>649</v>
      </c>
      <c r="M318" s="265" t="s">
        <v>649</v>
      </c>
      <c r="N318" s="264">
        <v>0.42099999999999999</v>
      </c>
      <c r="O318" s="265" t="s">
        <v>649</v>
      </c>
      <c r="P318" s="265" t="s">
        <v>649</v>
      </c>
      <c r="Q318" s="265" t="s">
        <v>649</v>
      </c>
    </row>
    <row r="319" spans="1:17" ht="15" customHeight="1">
      <c r="A319" s="147">
        <v>376</v>
      </c>
      <c r="B319" s="51" t="s">
        <v>7</v>
      </c>
      <c r="C319" s="51" t="s">
        <v>304</v>
      </c>
      <c r="D319" s="51">
        <v>300006013</v>
      </c>
      <c r="E319" s="53" t="s">
        <v>305</v>
      </c>
      <c r="F319" s="124">
        <v>20</v>
      </c>
      <c r="G319" s="124">
        <v>640</v>
      </c>
      <c r="H319" s="486" t="s">
        <v>5866</v>
      </c>
      <c r="I319" s="215" t="s">
        <v>76</v>
      </c>
      <c r="J319" s="215" t="s">
        <v>77</v>
      </c>
      <c r="K319" s="265" t="s">
        <v>649</v>
      </c>
      <c r="L319" s="265" t="s">
        <v>649</v>
      </c>
      <c r="M319" s="265" t="s">
        <v>649</v>
      </c>
      <c r="N319" s="264">
        <v>0.61699999999999999</v>
      </c>
      <c r="O319" s="265" t="s">
        <v>649</v>
      </c>
      <c r="P319" s="265" t="s">
        <v>649</v>
      </c>
      <c r="Q319" s="265" t="s">
        <v>649</v>
      </c>
    </row>
    <row r="320" spans="1:17" ht="15" customHeight="1">
      <c r="A320" s="147">
        <v>378</v>
      </c>
      <c r="B320" s="51" t="s">
        <v>7</v>
      </c>
      <c r="C320" s="51" t="s">
        <v>308</v>
      </c>
      <c r="D320" s="51">
        <v>300006015</v>
      </c>
      <c r="E320" s="53" t="s">
        <v>309</v>
      </c>
      <c r="F320" s="124">
        <v>20</v>
      </c>
      <c r="G320" s="124">
        <v>640</v>
      </c>
      <c r="H320" s="486" t="s">
        <v>5866</v>
      </c>
      <c r="I320" s="215" t="s">
        <v>76</v>
      </c>
      <c r="J320" s="215" t="s">
        <v>77</v>
      </c>
      <c r="K320" s="265" t="s">
        <v>649</v>
      </c>
      <c r="L320" s="265" t="s">
        <v>649</v>
      </c>
      <c r="M320" s="265" t="s">
        <v>649</v>
      </c>
      <c r="N320" s="264">
        <v>0.76100000000000001</v>
      </c>
      <c r="O320" s="265" t="s">
        <v>649</v>
      </c>
      <c r="P320" s="265" t="s">
        <v>649</v>
      </c>
      <c r="Q320" s="265" t="s">
        <v>649</v>
      </c>
    </row>
    <row r="321" spans="1:17" ht="15" customHeight="1">
      <c r="A321" s="147">
        <v>387</v>
      </c>
      <c r="B321" s="51" t="s">
        <v>10</v>
      </c>
      <c r="C321" s="51" t="s">
        <v>4187</v>
      </c>
      <c r="D321" s="51">
        <v>100022286</v>
      </c>
      <c r="E321" s="53" t="s">
        <v>4188</v>
      </c>
      <c r="F321" s="124">
        <v>150</v>
      </c>
      <c r="G321" s="124">
        <v>13500</v>
      </c>
      <c r="H321" s="369">
        <v>1.96</v>
      </c>
      <c r="I321" s="215" t="s">
        <v>76</v>
      </c>
      <c r="J321" s="215" t="s">
        <v>102</v>
      </c>
      <c r="K321" s="266">
        <v>49081145224</v>
      </c>
      <c r="L321" s="215">
        <v>49081645229</v>
      </c>
      <c r="M321" s="266">
        <v>40049081145222</v>
      </c>
      <c r="N321" s="264">
        <v>7.1999999999999995E-2</v>
      </c>
      <c r="O321" s="265">
        <v>10</v>
      </c>
      <c r="P321" s="265">
        <v>12.28</v>
      </c>
      <c r="Q321" s="265">
        <v>0.8</v>
      </c>
    </row>
    <row r="322" spans="1:17" ht="15" customHeight="1">
      <c r="A322" s="147">
        <v>388</v>
      </c>
      <c r="B322" s="51" t="s">
        <v>10</v>
      </c>
      <c r="C322" s="51" t="s">
        <v>4189</v>
      </c>
      <c r="D322" s="51">
        <v>100022288</v>
      </c>
      <c r="E322" s="53" t="s">
        <v>4190</v>
      </c>
      <c r="F322" s="124">
        <v>100</v>
      </c>
      <c r="G322" s="124">
        <v>9000</v>
      </c>
      <c r="H322" s="369">
        <v>2.29</v>
      </c>
      <c r="I322" s="215" t="s">
        <v>76</v>
      </c>
      <c r="J322" s="215" t="s">
        <v>102</v>
      </c>
      <c r="K322" s="266">
        <v>49081145286</v>
      </c>
      <c r="L322" s="215">
        <v>49081645281</v>
      </c>
      <c r="M322" s="266">
        <v>40049081145284</v>
      </c>
      <c r="N322" s="264">
        <v>0.113</v>
      </c>
      <c r="O322" s="265">
        <v>10</v>
      </c>
      <c r="P322" s="265">
        <v>11.68</v>
      </c>
      <c r="Q322" s="265">
        <v>0.8</v>
      </c>
    </row>
    <row r="323" spans="1:17" ht="15" customHeight="1">
      <c r="A323" s="147">
        <v>389</v>
      </c>
      <c r="B323" s="51" t="s">
        <v>10</v>
      </c>
      <c r="C323" s="51" t="s">
        <v>4191</v>
      </c>
      <c r="D323" s="51">
        <v>100022291</v>
      </c>
      <c r="E323" s="53" t="s">
        <v>4192</v>
      </c>
      <c r="F323" s="124">
        <v>50</v>
      </c>
      <c r="G323" s="124">
        <v>4500</v>
      </c>
      <c r="H323" s="369">
        <v>4.25</v>
      </c>
      <c r="I323" s="215" t="s">
        <v>76</v>
      </c>
      <c r="J323" s="215" t="s">
        <v>102</v>
      </c>
      <c r="K323" s="266">
        <v>49081145385</v>
      </c>
      <c r="L323" s="215">
        <v>49081645380</v>
      </c>
      <c r="M323" s="266">
        <v>40049081145383</v>
      </c>
      <c r="N323" s="264">
        <v>0.13600000000000001</v>
      </c>
      <c r="O323" s="265">
        <v>10</v>
      </c>
      <c r="P323" s="265">
        <v>7.37</v>
      </c>
      <c r="Q323" s="265">
        <v>0.8</v>
      </c>
    </row>
    <row r="324" spans="1:17" ht="15" customHeight="1">
      <c r="B324" s="51" t="s">
        <v>10</v>
      </c>
      <c r="C324" s="51" t="s">
        <v>5867</v>
      </c>
      <c r="D324" s="51">
        <v>100022293</v>
      </c>
      <c r="E324" s="53" t="s">
        <v>5916</v>
      </c>
      <c r="F324" s="604">
        <v>40</v>
      </c>
      <c r="G324" s="604">
        <v>1800</v>
      </c>
      <c r="H324" s="604">
        <v>6.31</v>
      </c>
      <c r="I324" s="215" t="s">
        <v>76</v>
      </c>
      <c r="J324" s="215" t="s">
        <v>102</v>
      </c>
      <c r="K324" s="266">
        <v>49081145606</v>
      </c>
      <c r="L324" s="266" t="s">
        <v>649</v>
      </c>
      <c r="M324" s="266">
        <v>40049081145604</v>
      </c>
      <c r="N324" s="266">
        <v>0.29299999999999998</v>
      </c>
      <c r="O324" s="266" t="s">
        <v>649</v>
      </c>
      <c r="P324" s="266">
        <v>12.72</v>
      </c>
      <c r="Q324" s="266">
        <v>0.99</v>
      </c>
    </row>
    <row r="325" spans="1:17" ht="15" customHeight="1">
      <c r="A325" s="147">
        <v>390</v>
      </c>
      <c r="B325" s="51" t="s">
        <v>10</v>
      </c>
      <c r="C325" s="51" t="s">
        <v>4193</v>
      </c>
      <c r="D325" s="51">
        <v>100022295</v>
      </c>
      <c r="E325" s="53" t="s">
        <v>4194</v>
      </c>
      <c r="F325" s="124">
        <v>25</v>
      </c>
      <c r="G325" s="124">
        <v>2250</v>
      </c>
      <c r="H325" s="369">
        <v>8.06</v>
      </c>
      <c r="I325" s="215" t="s">
        <v>76</v>
      </c>
      <c r="J325" s="215" t="s">
        <v>102</v>
      </c>
      <c r="K325" s="266">
        <v>49081145866</v>
      </c>
      <c r="L325" s="265" t="s">
        <v>649</v>
      </c>
      <c r="M325" s="266">
        <v>40049081145864</v>
      </c>
      <c r="N325" s="264">
        <v>0.374</v>
      </c>
      <c r="O325" s="265">
        <v>1</v>
      </c>
      <c r="P325" s="265">
        <v>9.83</v>
      </c>
      <c r="Q325" s="265">
        <v>0.8</v>
      </c>
    </row>
    <row r="326" spans="1:17" ht="15" customHeight="1">
      <c r="A326" s="147">
        <v>391</v>
      </c>
      <c r="B326" s="51" t="s">
        <v>10</v>
      </c>
      <c r="C326" s="51" t="s">
        <v>4195</v>
      </c>
      <c r="D326" s="51">
        <v>100022297</v>
      </c>
      <c r="E326" s="53" t="s">
        <v>4196</v>
      </c>
      <c r="F326" s="124">
        <v>15</v>
      </c>
      <c r="G326" s="124">
        <v>1350</v>
      </c>
      <c r="H326" s="369">
        <v>11.75</v>
      </c>
      <c r="I326" s="215" t="s">
        <v>76</v>
      </c>
      <c r="J326" s="215" t="s">
        <v>102</v>
      </c>
      <c r="K326" s="266">
        <v>49081146245</v>
      </c>
      <c r="L326" s="265" t="s">
        <v>649</v>
      </c>
      <c r="M326" s="266">
        <v>40049081146243</v>
      </c>
      <c r="N326" s="264">
        <v>0.60699999999999998</v>
      </c>
      <c r="O326" s="265" t="s">
        <v>649</v>
      </c>
      <c r="P326" s="265">
        <v>8.84</v>
      </c>
      <c r="Q326" s="265">
        <v>0.8</v>
      </c>
    </row>
    <row r="327" spans="1:17" ht="15" customHeight="1">
      <c r="A327" s="147">
        <v>392</v>
      </c>
      <c r="B327" s="51" t="s">
        <v>10</v>
      </c>
      <c r="C327" s="51" t="s">
        <v>4197</v>
      </c>
      <c r="D327" s="51">
        <v>100022299</v>
      </c>
      <c r="E327" s="53" t="s">
        <v>4198</v>
      </c>
      <c r="F327" s="124">
        <v>8</v>
      </c>
      <c r="G327" s="124">
        <v>720</v>
      </c>
      <c r="H327" s="369">
        <v>38.71</v>
      </c>
      <c r="I327" s="215" t="s">
        <v>76</v>
      </c>
      <c r="J327" s="215" t="s">
        <v>102</v>
      </c>
      <c r="K327" s="266">
        <v>49081146566</v>
      </c>
      <c r="L327" s="265" t="s">
        <v>649</v>
      </c>
      <c r="M327" s="266">
        <v>40049081146564</v>
      </c>
      <c r="N327" s="264">
        <v>0.99399999999999999</v>
      </c>
      <c r="O327" s="265" t="s">
        <v>649</v>
      </c>
      <c r="P327" s="265">
        <v>8.85</v>
      </c>
      <c r="Q327" s="265">
        <v>0.8</v>
      </c>
    </row>
    <row r="328" spans="1:17" ht="15" customHeight="1">
      <c r="A328" s="147">
        <v>393</v>
      </c>
      <c r="B328" s="51" t="s">
        <v>10</v>
      </c>
      <c r="C328" s="51" t="s">
        <v>4199</v>
      </c>
      <c r="D328" s="51">
        <v>100022301</v>
      </c>
      <c r="E328" s="53" t="s">
        <v>4200</v>
      </c>
      <c r="F328" s="124">
        <v>5</v>
      </c>
      <c r="G328" s="124">
        <v>600</v>
      </c>
      <c r="H328" s="369">
        <v>50.86</v>
      </c>
      <c r="I328" s="215" t="s">
        <v>76</v>
      </c>
      <c r="J328" s="215" t="s">
        <v>102</v>
      </c>
      <c r="K328" s="266">
        <v>49081146702</v>
      </c>
      <c r="L328" s="265" t="s">
        <v>649</v>
      </c>
      <c r="M328" s="266">
        <v>40049081146700</v>
      </c>
      <c r="N328" s="264">
        <v>1.417</v>
      </c>
      <c r="O328" s="265" t="s">
        <v>649</v>
      </c>
      <c r="P328" s="265">
        <v>7.71</v>
      </c>
      <c r="Q328" s="265">
        <v>0.65</v>
      </c>
    </row>
    <row r="329" spans="1:17" ht="15" customHeight="1">
      <c r="A329" s="147">
        <v>394</v>
      </c>
      <c r="B329" s="51" t="s">
        <v>10</v>
      </c>
      <c r="C329" s="51" t="s">
        <v>4201</v>
      </c>
      <c r="D329" s="51">
        <v>100022303</v>
      </c>
      <c r="E329" s="53" t="s">
        <v>4202</v>
      </c>
      <c r="F329" s="124">
        <v>3</v>
      </c>
      <c r="G329" s="124">
        <v>270</v>
      </c>
      <c r="H329" s="369">
        <v>92.07</v>
      </c>
      <c r="I329" s="215" t="s">
        <v>76</v>
      </c>
      <c r="J329" s="215" t="s">
        <v>102</v>
      </c>
      <c r="K329" s="266">
        <v>49081146863</v>
      </c>
      <c r="L329" s="265" t="s">
        <v>649</v>
      </c>
      <c r="M329" s="266">
        <v>40049081146861</v>
      </c>
      <c r="N329" s="264">
        <v>2.298</v>
      </c>
      <c r="O329" s="265" t="s">
        <v>649</v>
      </c>
      <c r="P329" s="265">
        <v>8.15</v>
      </c>
      <c r="Q329" s="265">
        <v>0.8</v>
      </c>
    </row>
    <row r="330" spans="1:17" ht="15" customHeight="1">
      <c r="A330" s="147">
        <v>395</v>
      </c>
      <c r="B330" s="51" t="s">
        <v>10</v>
      </c>
      <c r="C330" s="51" t="s">
        <v>4203</v>
      </c>
      <c r="D330" s="51">
        <v>100022305</v>
      </c>
      <c r="E330" s="53" t="s">
        <v>4204</v>
      </c>
      <c r="F330" s="124">
        <v>1</v>
      </c>
      <c r="G330" s="124">
        <v>90</v>
      </c>
      <c r="H330" s="369">
        <v>222.32</v>
      </c>
      <c r="I330" s="215" t="s">
        <v>346</v>
      </c>
      <c r="J330" s="215" t="s">
        <v>102</v>
      </c>
      <c r="K330" s="266">
        <v>49081147044</v>
      </c>
      <c r="L330" s="265" t="s">
        <v>649</v>
      </c>
      <c r="M330" s="266">
        <v>40049081147042</v>
      </c>
      <c r="N330" s="264">
        <v>5.8310000000000004</v>
      </c>
      <c r="O330" s="265" t="s">
        <v>649</v>
      </c>
      <c r="P330" s="265">
        <v>5.83</v>
      </c>
      <c r="Q330" s="265">
        <v>0.8</v>
      </c>
    </row>
    <row r="331" spans="1:17" ht="15" customHeight="1">
      <c r="A331" s="147">
        <v>396</v>
      </c>
      <c r="B331" s="51" t="s">
        <v>10</v>
      </c>
      <c r="C331" s="51" t="s">
        <v>4205</v>
      </c>
      <c r="D331" s="51">
        <v>100022307</v>
      </c>
      <c r="E331" s="53" t="s">
        <v>4206</v>
      </c>
      <c r="F331" s="124">
        <v>1</v>
      </c>
      <c r="G331" s="124">
        <v>75</v>
      </c>
      <c r="H331" s="369">
        <v>309.88</v>
      </c>
      <c r="I331" s="215" t="s">
        <v>76</v>
      </c>
      <c r="J331" s="215" t="s">
        <v>102</v>
      </c>
      <c r="K331" s="266">
        <v>49081147129</v>
      </c>
      <c r="L331" s="265" t="s">
        <v>649</v>
      </c>
      <c r="M331" s="266">
        <v>40049081147127</v>
      </c>
      <c r="N331" s="264">
        <v>6.9569999999999999</v>
      </c>
      <c r="O331" s="265" t="s">
        <v>649</v>
      </c>
      <c r="P331" s="265">
        <v>7.76</v>
      </c>
      <c r="Q331" s="265">
        <v>0.95</v>
      </c>
    </row>
    <row r="332" spans="1:17" ht="15" customHeight="1">
      <c r="A332" s="147">
        <v>397</v>
      </c>
      <c r="B332" s="51" t="s">
        <v>10</v>
      </c>
      <c r="C332" s="51" t="s">
        <v>4207</v>
      </c>
      <c r="D332" s="51">
        <v>100022311</v>
      </c>
      <c r="E332" s="53" t="s">
        <v>4208</v>
      </c>
      <c r="F332" s="124">
        <v>2</v>
      </c>
      <c r="G332" s="124">
        <v>36</v>
      </c>
      <c r="H332" s="369">
        <v>718.58</v>
      </c>
      <c r="I332" s="215" t="s">
        <v>76</v>
      </c>
      <c r="J332" s="215" t="s">
        <v>102</v>
      </c>
      <c r="K332" s="266">
        <v>49081147204</v>
      </c>
      <c r="L332" s="265" t="s">
        <v>649</v>
      </c>
      <c r="M332" s="266">
        <v>40049081147202</v>
      </c>
      <c r="N332" s="264">
        <v>13.36</v>
      </c>
      <c r="O332" s="265" t="s">
        <v>649</v>
      </c>
      <c r="P332" s="265">
        <v>31.6</v>
      </c>
      <c r="Q332" s="265">
        <v>4.38</v>
      </c>
    </row>
    <row r="333" spans="1:17" ht="15" customHeight="1">
      <c r="A333" s="147">
        <v>398</v>
      </c>
      <c r="B333" s="51" t="s">
        <v>10</v>
      </c>
      <c r="C333" s="51" t="s">
        <v>4209</v>
      </c>
      <c r="D333" s="51">
        <v>100022315</v>
      </c>
      <c r="E333" s="53" t="s">
        <v>4210</v>
      </c>
      <c r="F333" s="124">
        <v>100</v>
      </c>
      <c r="G333" s="124">
        <v>12000</v>
      </c>
      <c r="H333" s="369">
        <v>2.65</v>
      </c>
      <c r="I333" s="215" t="s">
        <v>76</v>
      </c>
      <c r="J333" s="215" t="s">
        <v>102</v>
      </c>
      <c r="K333" s="266">
        <v>49081145323</v>
      </c>
      <c r="L333" s="215">
        <v>49081645328</v>
      </c>
      <c r="M333" s="266">
        <v>40049081145321</v>
      </c>
      <c r="N333" s="264">
        <v>8.1000000000000003E-2</v>
      </c>
      <c r="O333" s="265">
        <v>10</v>
      </c>
      <c r="P333" s="265">
        <v>9.23</v>
      </c>
      <c r="Q333" s="265">
        <v>0.65</v>
      </c>
    </row>
    <row r="334" spans="1:17" ht="15" customHeight="1">
      <c r="A334" s="147">
        <v>399</v>
      </c>
      <c r="B334" s="51" t="s">
        <v>10</v>
      </c>
      <c r="C334" s="51" t="s">
        <v>4211</v>
      </c>
      <c r="D334" s="51">
        <v>100022316</v>
      </c>
      <c r="E334" s="53" t="s">
        <v>4212</v>
      </c>
      <c r="F334" s="124">
        <v>50</v>
      </c>
      <c r="G334" s="124">
        <v>6000</v>
      </c>
      <c r="H334" s="369">
        <v>7.54</v>
      </c>
      <c r="I334" s="215" t="s">
        <v>346</v>
      </c>
      <c r="J334" s="215" t="s">
        <v>102</v>
      </c>
      <c r="K334" s="266">
        <v>49081145309</v>
      </c>
      <c r="L334" s="215">
        <v>49081645304</v>
      </c>
      <c r="M334" s="266">
        <v>40049081145307</v>
      </c>
      <c r="N334" s="264">
        <v>0.153</v>
      </c>
      <c r="O334" s="265">
        <v>10</v>
      </c>
      <c r="P334" s="265">
        <v>8.1999999999999993</v>
      </c>
      <c r="Q334" s="265">
        <v>0.65</v>
      </c>
    </row>
    <row r="335" spans="1:17" ht="15" customHeight="1">
      <c r="A335" s="147">
        <v>400</v>
      </c>
      <c r="B335" s="51" t="s">
        <v>10</v>
      </c>
      <c r="C335" s="51" t="s">
        <v>4213</v>
      </c>
      <c r="D335" s="51">
        <v>100022323</v>
      </c>
      <c r="E335" s="53" t="s">
        <v>5919</v>
      </c>
      <c r="F335" s="124">
        <v>50</v>
      </c>
      <c r="G335" s="124">
        <v>7500</v>
      </c>
      <c r="H335" s="369">
        <v>4.49</v>
      </c>
      <c r="I335" s="215" t="s">
        <v>76</v>
      </c>
      <c r="J335" s="215" t="s">
        <v>102</v>
      </c>
      <c r="K335" s="266">
        <v>49081145460</v>
      </c>
      <c r="L335" s="215">
        <v>49081645465</v>
      </c>
      <c r="M335" s="266">
        <v>40049081145468</v>
      </c>
      <c r="N335" s="264">
        <v>0.13</v>
      </c>
      <c r="O335" s="265">
        <v>10</v>
      </c>
      <c r="P335" s="265">
        <v>7</v>
      </c>
      <c r="Q335" s="265">
        <v>0.5</v>
      </c>
    </row>
    <row r="336" spans="1:17" ht="15" customHeight="1">
      <c r="A336" s="147">
        <v>401</v>
      </c>
      <c r="B336" s="51" t="s">
        <v>10</v>
      </c>
      <c r="C336" s="51" t="s">
        <v>4214</v>
      </c>
      <c r="D336" s="51">
        <v>100022325</v>
      </c>
      <c r="E336" s="53" t="s">
        <v>5918</v>
      </c>
      <c r="F336" s="124">
        <v>50</v>
      </c>
      <c r="G336" s="124">
        <v>6000</v>
      </c>
      <c r="H336" s="369">
        <v>4.92</v>
      </c>
      <c r="I336" s="215" t="s">
        <v>76</v>
      </c>
      <c r="J336" s="215" t="s">
        <v>102</v>
      </c>
      <c r="K336" s="266">
        <v>49081145446</v>
      </c>
      <c r="L336" s="215">
        <v>49081645441</v>
      </c>
      <c r="M336" s="266">
        <v>40049081145444</v>
      </c>
      <c r="N336" s="264">
        <v>0.157</v>
      </c>
      <c r="O336" s="265">
        <v>10</v>
      </c>
      <c r="P336" s="265">
        <v>9.23</v>
      </c>
      <c r="Q336" s="265">
        <v>0.65</v>
      </c>
    </row>
    <row r="337" spans="1:17" ht="15" customHeight="1">
      <c r="B337" s="51" t="s">
        <v>10</v>
      </c>
      <c r="C337" s="51" t="s">
        <v>5868</v>
      </c>
      <c r="D337" s="51">
        <v>100022224</v>
      </c>
      <c r="E337" s="53" t="s">
        <v>5917</v>
      </c>
      <c r="F337" s="124">
        <v>50</v>
      </c>
      <c r="G337" s="124">
        <v>3750</v>
      </c>
      <c r="H337" s="369">
        <v>9.7799999999999994</v>
      </c>
      <c r="I337" s="215" t="s">
        <v>346</v>
      </c>
      <c r="J337" s="215" t="s">
        <v>102</v>
      </c>
      <c r="K337" s="266">
        <v>49081145781</v>
      </c>
      <c r="L337" s="215">
        <v>49081645786</v>
      </c>
      <c r="M337" s="266">
        <v>40049081145789</v>
      </c>
      <c r="N337" s="264">
        <v>0.22600000000000001</v>
      </c>
      <c r="O337" s="265">
        <v>10</v>
      </c>
      <c r="P337" s="265">
        <v>11.3</v>
      </c>
      <c r="Q337" s="265">
        <v>0.57999999999999996</v>
      </c>
    </row>
    <row r="338" spans="1:17" ht="15" customHeight="1">
      <c r="B338" s="51" t="s">
        <v>10</v>
      </c>
      <c r="C338" s="51" t="s">
        <v>5869</v>
      </c>
      <c r="D338" s="51">
        <v>100022329</v>
      </c>
      <c r="E338" s="53" t="s">
        <v>5920</v>
      </c>
      <c r="F338" s="124">
        <v>50</v>
      </c>
      <c r="G338" s="124">
        <v>3000</v>
      </c>
      <c r="H338" s="369">
        <v>10.23</v>
      </c>
      <c r="I338" s="215" t="s">
        <v>346</v>
      </c>
      <c r="J338" s="215" t="s">
        <v>102</v>
      </c>
      <c r="K338" s="266">
        <v>49081145767</v>
      </c>
      <c r="L338" s="215">
        <v>49081645762</v>
      </c>
      <c r="M338" s="266">
        <v>40049081145765</v>
      </c>
      <c r="N338" s="264">
        <v>0.19400000000000001</v>
      </c>
      <c r="O338" s="265">
        <v>10</v>
      </c>
      <c r="P338" s="265">
        <v>10.6</v>
      </c>
      <c r="Q338" s="265">
        <v>0.72</v>
      </c>
    </row>
    <row r="339" spans="1:17" ht="15" customHeight="1">
      <c r="B339" s="51" t="s">
        <v>10</v>
      </c>
      <c r="C339" s="51" t="s">
        <v>5870</v>
      </c>
      <c r="D339" s="51">
        <v>100022330</v>
      </c>
      <c r="E339" s="53" t="s">
        <v>5921</v>
      </c>
      <c r="F339" s="124">
        <v>50</v>
      </c>
      <c r="G339" s="124">
        <v>3000</v>
      </c>
      <c r="H339" s="369">
        <v>9.7799999999999994</v>
      </c>
      <c r="I339" s="215" t="s">
        <v>346</v>
      </c>
      <c r="J339" s="215" t="s">
        <v>102</v>
      </c>
      <c r="K339" s="266">
        <v>49081145743</v>
      </c>
      <c r="L339" s="215">
        <v>49081645748</v>
      </c>
      <c r="M339" s="266">
        <v>40049081145741</v>
      </c>
      <c r="N339" s="264">
        <v>0.246</v>
      </c>
      <c r="O339" s="265">
        <v>10</v>
      </c>
      <c r="P339" s="265">
        <v>12.3</v>
      </c>
      <c r="Q339" s="265">
        <v>0.72</v>
      </c>
    </row>
    <row r="340" spans="1:17" ht="15" customHeight="1">
      <c r="A340" s="147">
        <v>402</v>
      </c>
      <c r="B340" s="51" t="s">
        <v>10</v>
      </c>
      <c r="C340" s="51" t="s">
        <v>4215</v>
      </c>
      <c r="D340" s="51">
        <v>100022332</v>
      </c>
      <c r="E340" s="53" t="s">
        <v>4216</v>
      </c>
      <c r="F340" s="124">
        <v>50</v>
      </c>
      <c r="G340" s="124">
        <v>4500</v>
      </c>
      <c r="H340" s="369">
        <v>7.28</v>
      </c>
      <c r="I340" s="215" t="s">
        <v>76</v>
      </c>
      <c r="J340" s="215" t="s">
        <v>102</v>
      </c>
      <c r="K340" s="266">
        <v>49081145705</v>
      </c>
      <c r="L340" s="215">
        <v>49081645700</v>
      </c>
      <c r="M340" s="266">
        <v>40049081145703</v>
      </c>
      <c r="N340" s="264">
        <v>0.20200000000000001</v>
      </c>
      <c r="O340" s="265">
        <v>10</v>
      </c>
      <c r="P340" s="265">
        <v>12.85</v>
      </c>
      <c r="Q340" s="265">
        <v>0.8</v>
      </c>
    </row>
    <row r="341" spans="1:17" ht="15" customHeight="1">
      <c r="A341" s="147">
        <v>403</v>
      </c>
      <c r="B341" s="51" t="s">
        <v>10</v>
      </c>
      <c r="C341" s="51" t="s">
        <v>4217</v>
      </c>
      <c r="D341" s="51">
        <v>100022334</v>
      </c>
      <c r="E341" s="53" t="s">
        <v>4218</v>
      </c>
      <c r="F341" s="124">
        <v>50</v>
      </c>
      <c r="G341" s="124">
        <v>4500</v>
      </c>
      <c r="H341" s="369">
        <v>7.28</v>
      </c>
      <c r="I341" s="215" t="s">
        <v>76</v>
      </c>
      <c r="J341" s="215" t="s">
        <v>102</v>
      </c>
      <c r="K341" s="266">
        <v>49081145682</v>
      </c>
      <c r="L341" s="215">
        <v>49081645687</v>
      </c>
      <c r="M341" s="266">
        <v>40049081145680</v>
      </c>
      <c r="N341" s="264">
        <v>0.22600000000000001</v>
      </c>
      <c r="O341" s="265">
        <v>10</v>
      </c>
      <c r="P341" s="265">
        <v>11.85</v>
      </c>
      <c r="Q341" s="265">
        <v>0.8</v>
      </c>
    </row>
    <row r="342" spans="1:17" ht="15" customHeight="1">
      <c r="B342" s="51" t="s">
        <v>10</v>
      </c>
      <c r="C342" s="51" t="s">
        <v>5871</v>
      </c>
      <c r="D342" s="51">
        <v>100022336</v>
      </c>
      <c r="E342" s="53" t="s">
        <v>5922</v>
      </c>
      <c r="F342" s="124">
        <v>25</v>
      </c>
      <c r="G342" s="124">
        <v>1875</v>
      </c>
      <c r="H342" s="369">
        <v>6.93</v>
      </c>
      <c r="I342" s="215" t="s">
        <v>76</v>
      </c>
      <c r="J342" s="215" t="s">
        <v>102</v>
      </c>
      <c r="K342" s="266">
        <v>49081145668</v>
      </c>
      <c r="L342" s="215">
        <v>49081645663</v>
      </c>
      <c r="M342" s="266">
        <v>40049081145666</v>
      </c>
      <c r="N342" s="264">
        <v>0.26500000000000001</v>
      </c>
      <c r="O342" s="265">
        <v>5</v>
      </c>
      <c r="P342" s="265">
        <v>7.3</v>
      </c>
      <c r="Q342" s="265">
        <v>0.57999999999999996</v>
      </c>
    </row>
    <row r="343" spans="1:17" ht="15" customHeight="1">
      <c r="B343" s="51" t="s">
        <v>10</v>
      </c>
      <c r="C343" s="51" t="s">
        <v>5872</v>
      </c>
      <c r="D343" s="51">
        <v>100022337</v>
      </c>
      <c r="E343" s="53" t="s">
        <v>5923</v>
      </c>
      <c r="F343" s="124">
        <v>25</v>
      </c>
      <c r="G343" s="124">
        <v>1875</v>
      </c>
      <c r="H343" s="369">
        <v>12.68</v>
      </c>
      <c r="I343" s="215" t="s">
        <v>346</v>
      </c>
      <c r="J343" s="215" t="s">
        <v>102</v>
      </c>
      <c r="K343" s="266">
        <v>49081145644</v>
      </c>
      <c r="L343" s="215" t="s">
        <v>649</v>
      </c>
      <c r="M343" s="266">
        <v>40049081145642</v>
      </c>
      <c r="N343" s="264">
        <v>0.33800000000000002</v>
      </c>
      <c r="O343" s="265" t="s">
        <v>649</v>
      </c>
      <c r="P343" s="265">
        <v>8.4499999999999993</v>
      </c>
      <c r="Q343" s="265">
        <v>0.57999999999999996</v>
      </c>
    </row>
    <row r="344" spans="1:17" ht="15" customHeight="1">
      <c r="B344" s="51" t="s">
        <v>10</v>
      </c>
      <c r="C344" s="51" t="s">
        <v>5873</v>
      </c>
      <c r="D344" s="51">
        <v>100022340</v>
      </c>
      <c r="E344" s="53" t="s">
        <v>5924</v>
      </c>
      <c r="F344" s="124">
        <v>25</v>
      </c>
      <c r="G344" s="124">
        <v>1875</v>
      </c>
      <c r="H344" s="369">
        <v>12.2</v>
      </c>
      <c r="I344" s="215" t="s">
        <v>346</v>
      </c>
      <c r="J344" s="215" t="s">
        <v>102</v>
      </c>
      <c r="K344" s="266">
        <v>49081146047</v>
      </c>
      <c r="L344" s="215" t="s">
        <v>649</v>
      </c>
      <c r="M344" s="266">
        <v>40049081146045</v>
      </c>
      <c r="N344" s="264">
        <v>0.3</v>
      </c>
      <c r="O344" s="265" t="s">
        <v>649</v>
      </c>
      <c r="P344" s="265">
        <v>7.5</v>
      </c>
      <c r="Q344" s="265">
        <v>0.57999999999999996</v>
      </c>
    </row>
    <row r="345" spans="1:17" ht="15" customHeight="1">
      <c r="A345" s="147">
        <v>404</v>
      </c>
      <c r="B345" s="51" t="s">
        <v>10</v>
      </c>
      <c r="C345" s="51" t="s">
        <v>4219</v>
      </c>
      <c r="D345" s="51">
        <v>100022342</v>
      </c>
      <c r="E345" s="53" t="s">
        <v>4220</v>
      </c>
      <c r="F345" s="124">
        <v>25</v>
      </c>
      <c r="G345" s="124">
        <v>3000</v>
      </c>
      <c r="H345" s="369">
        <v>12.8</v>
      </c>
      <c r="I345" s="215" t="s">
        <v>76</v>
      </c>
      <c r="J345" s="215" t="s">
        <v>102</v>
      </c>
      <c r="K345" s="266">
        <v>49081145989</v>
      </c>
      <c r="L345" s="265" t="s">
        <v>649</v>
      </c>
      <c r="M345" s="266">
        <v>40049081145987</v>
      </c>
      <c r="N345" s="264">
        <v>0.27800000000000002</v>
      </c>
      <c r="O345" s="265" t="s">
        <v>649</v>
      </c>
      <c r="P345" s="265">
        <v>7.45</v>
      </c>
      <c r="Q345" s="265">
        <v>0.65</v>
      </c>
    </row>
    <row r="346" spans="1:17" ht="15" customHeight="1">
      <c r="A346" s="147">
        <v>405</v>
      </c>
      <c r="B346" s="51" t="s">
        <v>10</v>
      </c>
      <c r="C346" s="51" t="s">
        <v>4221</v>
      </c>
      <c r="D346" s="51">
        <v>100022344</v>
      </c>
      <c r="E346" s="53" t="s">
        <v>4222</v>
      </c>
      <c r="F346" s="124">
        <v>25</v>
      </c>
      <c r="G346" s="124">
        <v>3000</v>
      </c>
      <c r="H346" s="369">
        <v>12.8</v>
      </c>
      <c r="I346" s="215" t="s">
        <v>76</v>
      </c>
      <c r="J346" s="215" t="s">
        <v>102</v>
      </c>
      <c r="K346" s="266">
        <v>49081145965</v>
      </c>
      <c r="L346" s="265" t="s">
        <v>649</v>
      </c>
      <c r="M346" s="266">
        <v>40049081145963</v>
      </c>
      <c r="N346" s="264">
        <v>0.27</v>
      </c>
      <c r="O346" s="265" t="s">
        <v>649</v>
      </c>
      <c r="P346" s="265">
        <v>7.21</v>
      </c>
      <c r="Q346" s="265">
        <v>0.65</v>
      </c>
    </row>
    <row r="347" spans="1:17" ht="15" customHeight="1">
      <c r="A347" s="147">
        <v>406</v>
      </c>
      <c r="B347" s="51" t="s">
        <v>10</v>
      </c>
      <c r="C347" s="51" t="s">
        <v>4223</v>
      </c>
      <c r="D347" s="51">
        <v>100022346</v>
      </c>
      <c r="E347" s="53" t="s">
        <v>4224</v>
      </c>
      <c r="F347" s="124">
        <v>25</v>
      </c>
      <c r="G347" s="124">
        <v>3000</v>
      </c>
      <c r="H347" s="369">
        <v>12.8</v>
      </c>
      <c r="I347" s="215" t="s">
        <v>76</v>
      </c>
      <c r="J347" s="215" t="s">
        <v>102</v>
      </c>
      <c r="K347" s="266">
        <v>49081145941</v>
      </c>
      <c r="L347" s="265" t="s">
        <v>649</v>
      </c>
      <c r="M347" s="266">
        <v>40049081145949</v>
      </c>
      <c r="N347" s="264">
        <v>0.318</v>
      </c>
      <c r="O347" s="265" t="s">
        <v>649</v>
      </c>
      <c r="P347" s="265">
        <v>8.35</v>
      </c>
      <c r="Q347" s="265">
        <v>0.65</v>
      </c>
    </row>
    <row r="348" spans="1:17" ht="15" customHeight="1">
      <c r="B348" s="51" t="s">
        <v>10</v>
      </c>
      <c r="C348" s="51" t="s">
        <v>5874</v>
      </c>
      <c r="D348" s="51">
        <v>100022348</v>
      </c>
      <c r="E348" s="53" t="s">
        <v>5925</v>
      </c>
      <c r="F348" s="124">
        <v>25</v>
      </c>
      <c r="G348" s="124">
        <v>1500</v>
      </c>
      <c r="H348" s="369">
        <v>12.2</v>
      </c>
      <c r="I348" s="215" t="s">
        <v>346</v>
      </c>
      <c r="J348" s="215" t="s">
        <v>102</v>
      </c>
      <c r="K348" s="266">
        <v>49081145927</v>
      </c>
      <c r="L348" s="265" t="s">
        <v>649</v>
      </c>
      <c r="M348" s="266">
        <v>40049081145925</v>
      </c>
      <c r="N348" s="264">
        <v>0.36299999999999999</v>
      </c>
      <c r="O348" s="265" t="s">
        <v>649</v>
      </c>
      <c r="P348" s="265">
        <v>9.35</v>
      </c>
      <c r="Q348" s="265">
        <v>0.72</v>
      </c>
    </row>
    <row r="349" spans="1:17" ht="15" customHeight="1">
      <c r="A349" s="147">
        <v>407</v>
      </c>
      <c r="B349" s="51" t="s">
        <v>10</v>
      </c>
      <c r="C349" s="51" t="s">
        <v>4225</v>
      </c>
      <c r="D349" s="51">
        <v>100022349</v>
      </c>
      <c r="E349" s="53" t="s">
        <v>4226</v>
      </c>
      <c r="F349" s="124">
        <v>20</v>
      </c>
      <c r="G349" s="124">
        <v>1800</v>
      </c>
      <c r="H349" s="369">
        <v>18.27</v>
      </c>
      <c r="I349" s="215" t="s">
        <v>76</v>
      </c>
      <c r="J349" s="215" t="s">
        <v>102</v>
      </c>
      <c r="K349" s="266">
        <v>49081145903</v>
      </c>
      <c r="L349" s="265" t="s">
        <v>649</v>
      </c>
      <c r="M349" s="266">
        <v>40049081145901</v>
      </c>
      <c r="N349" s="264">
        <v>0.40699999999999997</v>
      </c>
      <c r="O349" s="265" t="s">
        <v>649</v>
      </c>
      <c r="P349" s="265">
        <v>8.7200000000000006</v>
      </c>
      <c r="Q349" s="265">
        <v>0.8</v>
      </c>
    </row>
    <row r="350" spans="1:17" ht="15" customHeight="1">
      <c r="A350" s="147">
        <v>408</v>
      </c>
      <c r="B350" s="51" t="s">
        <v>10</v>
      </c>
      <c r="C350" s="51" t="s">
        <v>4227</v>
      </c>
      <c r="D350" s="51">
        <v>100022352</v>
      </c>
      <c r="E350" s="53" t="s">
        <v>4228</v>
      </c>
      <c r="F350" s="124">
        <v>20</v>
      </c>
      <c r="G350" s="124">
        <v>1800</v>
      </c>
      <c r="H350" s="369">
        <v>12.56</v>
      </c>
      <c r="I350" s="215" t="s">
        <v>76</v>
      </c>
      <c r="J350" s="215" t="s">
        <v>102</v>
      </c>
      <c r="K350" s="266">
        <v>49081146344</v>
      </c>
      <c r="L350" s="265" t="s">
        <v>649</v>
      </c>
      <c r="M350" s="266">
        <v>40049081146342</v>
      </c>
      <c r="N350" s="264">
        <v>0.33</v>
      </c>
      <c r="O350" s="265" t="s">
        <v>649</v>
      </c>
      <c r="P350" s="265">
        <v>7.18</v>
      </c>
      <c r="Q350" s="265">
        <v>0.8</v>
      </c>
    </row>
    <row r="351" spans="1:17" ht="15" customHeight="1">
      <c r="A351" s="147">
        <v>409</v>
      </c>
      <c r="B351" s="51" t="s">
        <v>10</v>
      </c>
      <c r="C351" s="51" t="s">
        <v>4229</v>
      </c>
      <c r="D351" s="51">
        <v>100022354</v>
      </c>
      <c r="E351" s="53" t="s">
        <v>4230</v>
      </c>
      <c r="F351" s="124">
        <v>20</v>
      </c>
      <c r="G351" s="124">
        <v>1800</v>
      </c>
      <c r="H351" s="369">
        <v>12.56</v>
      </c>
      <c r="I351" s="215" t="s">
        <v>76</v>
      </c>
      <c r="J351" s="215" t="s">
        <v>102</v>
      </c>
      <c r="K351" s="266">
        <v>49081146320</v>
      </c>
      <c r="L351" s="265" t="s">
        <v>649</v>
      </c>
      <c r="M351" s="266">
        <v>40049081146328</v>
      </c>
      <c r="N351" s="264">
        <v>0.36399999999999999</v>
      </c>
      <c r="O351" s="265" t="s">
        <v>649</v>
      </c>
      <c r="P351" s="265">
        <v>8.07</v>
      </c>
      <c r="Q351" s="265">
        <v>0.8</v>
      </c>
    </row>
    <row r="352" spans="1:17" ht="15" customHeight="1">
      <c r="A352" s="147">
        <v>410</v>
      </c>
      <c r="B352" s="51" t="s">
        <v>10</v>
      </c>
      <c r="C352" s="51" t="s">
        <v>4231</v>
      </c>
      <c r="D352" s="51">
        <v>100027383</v>
      </c>
      <c r="E352" s="53" t="s">
        <v>4232</v>
      </c>
      <c r="F352" s="124">
        <v>15</v>
      </c>
      <c r="G352" s="124">
        <v>1350</v>
      </c>
      <c r="H352" s="369">
        <v>12.56</v>
      </c>
      <c r="I352" s="215" t="s">
        <v>76</v>
      </c>
      <c r="J352" s="215" t="s">
        <v>102</v>
      </c>
      <c r="K352" s="266">
        <v>49081146306</v>
      </c>
      <c r="L352" s="265" t="s">
        <v>649</v>
      </c>
      <c r="M352" s="266">
        <v>40049081146304</v>
      </c>
      <c r="N352" s="264">
        <v>0.42199999999999999</v>
      </c>
      <c r="O352" s="265" t="s">
        <v>649</v>
      </c>
      <c r="P352" s="265">
        <v>6.9</v>
      </c>
      <c r="Q352" s="265">
        <v>0.8</v>
      </c>
    </row>
    <row r="353" spans="1:17" ht="15" customHeight="1">
      <c r="A353" s="147">
        <v>411</v>
      </c>
      <c r="B353" s="51" t="s">
        <v>10</v>
      </c>
      <c r="C353" s="51" t="s">
        <v>4233</v>
      </c>
      <c r="D353" s="51">
        <v>100022356</v>
      </c>
      <c r="E353" s="53" t="s">
        <v>4234</v>
      </c>
      <c r="F353" s="124">
        <v>10</v>
      </c>
      <c r="G353" s="124">
        <v>1200</v>
      </c>
      <c r="H353" s="369">
        <v>12.56</v>
      </c>
      <c r="I353" s="215" t="s">
        <v>76</v>
      </c>
      <c r="J353" s="215" t="s">
        <v>102</v>
      </c>
      <c r="K353" s="266">
        <v>49081146269</v>
      </c>
      <c r="L353" s="265" t="s">
        <v>649</v>
      </c>
      <c r="M353" s="266">
        <v>40049081146267</v>
      </c>
      <c r="N353" s="264">
        <v>0.49</v>
      </c>
      <c r="O353" s="265" t="s">
        <v>649</v>
      </c>
      <c r="P353" s="265">
        <v>5.61</v>
      </c>
      <c r="Q353" s="265">
        <v>0.65</v>
      </c>
    </row>
    <row r="354" spans="1:17" ht="15" customHeight="1">
      <c r="A354" s="147">
        <v>412</v>
      </c>
      <c r="B354" s="51" t="s">
        <v>10</v>
      </c>
      <c r="C354" s="51" t="s">
        <v>4235</v>
      </c>
      <c r="D354" s="51">
        <v>100022361</v>
      </c>
      <c r="E354" s="53" t="s">
        <v>4236</v>
      </c>
      <c r="F354" s="124">
        <v>10</v>
      </c>
      <c r="G354" s="124">
        <v>900</v>
      </c>
      <c r="H354" s="369">
        <v>38.619999999999997</v>
      </c>
      <c r="I354" s="215" t="s">
        <v>76</v>
      </c>
      <c r="J354" s="215" t="s">
        <v>102</v>
      </c>
      <c r="K354" s="266">
        <v>49081146641</v>
      </c>
      <c r="L354" s="265" t="s">
        <v>649</v>
      </c>
      <c r="M354" s="266">
        <v>40049081146649</v>
      </c>
      <c r="N354" s="264">
        <v>0.73</v>
      </c>
      <c r="O354" s="265" t="s">
        <v>649</v>
      </c>
      <c r="P354" s="265">
        <v>8.7799999999999994</v>
      </c>
      <c r="Q354" s="265">
        <v>0.8</v>
      </c>
    </row>
    <row r="355" spans="1:17" ht="15" customHeight="1">
      <c r="A355" s="147">
        <v>413</v>
      </c>
      <c r="B355" s="51" t="s">
        <v>10</v>
      </c>
      <c r="C355" s="51" t="s">
        <v>4237</v>
      </c>
      <c r="D355" s="51">
        <v>100022370</v>
      </c>
      <c r="E355" s="53" t="s">
        <v>4238</v>
      </c>
      <c r="F355" s="124">
        <v>5</v>
      </c>
      <c r="G355" s="124">
        <v>750</v>
      </c>
      <c r="H355" s="369">
        <v>55.36</v>
      </c>
      <c r="I355" s="215" t="s">
        <v>76</v>
      </c>
      <c r="J355" s="215" t="s">
        <v>102</v>
      </c>
      <c r="K355" s="266">
        <v>49081146825</v>
      </c>
      <c r="L355" s="265" t="s">
        <v>649</v>
      </c>
      <c r="M355" s="266">
        <v>40049081146823</v>
      </c>
      <c r="N355" s="264">
        <v>0.77600000000000002</v>
      </c>
      <c r="O355" s="265" t="s">
        <v>649</v>
      </c>
      <c r="P355" s="265">
        <v>5.28</v>
      </c>
      <c r="Q355" s="265">
        <v>0.5</v>
      </c>
    </row>
    <row r="356" spans="1:17" ht="15" customHeight="1">
      <c r="A356" s="147">
        <v>414</v>
      </c>
      <c r="B356" s="51" t="s">
        <v>10</v>
      </c>
      <c r="C356" s="51" t="s">
        <v>4239</v>
      </c>
      <c r="D356" s="51">
        <v>100022372</v>
      </c>
      <c r="E356" s="53" t="s">
        <v>4240</v>
      </c>
      <c r="F356" s="124">
        <v>5</v>
      </c>
      <c r="G356" s="124">
        <v>750</v>
      </c>
      <c r="H356" s="369">
        <v>55.36</v>
      </c>
      <c r="I356" s="215" t="s">
        <v>76</v>
      </c>
      <c r="J356" s="215" t="s">
        <v>102</v>
      </c>
      <c r="K356" s="266">
        <v>49081146801</v>
      </c>
      <c r="L356" s="265" t="s">
        <v>649</v>
      </c>
      <c r="M356" s="266">
        <v>40049081146809</v>
      </c>
      <c r="N356" s="264">
        <v>0.90600000000000003</v>
      </c>
      <c r="O356" s="265" t="s">
        <v>649</v>
      </c>
      <c r="P356" s="265">
        <v>5.05</v>
      </c>
      <c r="Q356" s="265">
        <v>0.5</v>
      </c>
    </row>
    <row r="357" spans="1:17" ht="15" customHeight="1">
      <c r="A357" s="147">
        <v>415</v>
      </c>
      <c r="B357" s="51" t="s">
        <v>10</v>
      </c>
      <c r="C357" s="51" t="s">
        <v>4241</v>
      </c>
      <c r="D357" s="51">
        <v>100022373</v>
      </c>
      <c r="E357" s="53" t="s">
        <v>4242</v>
      </c>
      <c r="F357" s="124">
        <v>5</v>
      </c>
      <c r="G357" s="124">
        <v>450</v>
      </c>
      <c r="H357" s="369">
        <v>55.36</v>
      </c>
      <c r="I357" s="215" t="s">
        <v>346</v>
      </c>
      <c r="J357" s="215" t="s">
        <v>102</v>
      </c>
      <c r="K357" s="266">
        <v>49081146788</v>
      </c>
      <c r="L357" s="265" t="s">
        <v>649</v>
      </c>
      <c r="M357" s="266">
        <v>40049081146786</v>
      </c>
      <c r="N357" s="264">
        <v>0.91500000000000004</v>
      </c>
      <c r="O357" s="265" t="s">
        <v>649</v>
      </c>
      <c r="P357" s="265" t="s">
        <v>649</v>
      </c>
      <c r="Q357" s="265" t="s">
        <v>649</v>
      </c>
    </row>
    <row r="358" spans="1:17" ht="15" customHeight="1">
      <c r="A358" s="147">
        <v>416</v>
      </c>
      <c r="B358" s="51" t="s">
        <v>10</v>
      </c>
      <c r="C358" s="51" t="s">
        <v>4243</v>
      </c>
      <c r="D358" s="51">
        <v>100022375</v>
      </c>
      <c r="E358" s="53" t="s">
        <v>4244</v>
      </c>
      <c r="F358" s="124">
        <v>5</v>
      </c>
      <c r="G358" s="124">
        <v>750</v>
      </c>
      <c r="H358" s="369">
        <v>55.36</v>
      </c>
      <c r="I358" s="215" t="s">
        <v>76</v>
      </c>
      <c r="J358" s="215" t="s">
        <v>102</v>
      </c>
      <c r="K358" s="266">
        <v>49081146764</v>
      </c>
      <c r="L358" s="265" t="s">
        <v>649</v>
      </c>
      <c r="M358" s="266">
        <v>40049081146762</v>
      </c>
      <c r="N358" s="264">
        <v>0.995</v>
      </c>
      <c r="O358" s="265" t="s">
        <v>649</v>
      </c>
      <c r="P358" s="265">
        <v>5.37</v>
      </c>
      <c r="Q358" s="265">
        <v>0.5</v>
      </c>
    </row>
    <row r="359" spans="1:17" ht="15" customHeight="1">
      <c r="A359" s="147">
        <v>417</v>
      </c>
      <c r="B359" s="51" t="s">
        <v>10</v>
      </c>
      <c r="C359" s="51" t="s">
        <v>4245</v>
      </c>
      <c r="D359" s="51">
        <v>100022377</v>
      </c>
      <c r="E359" s="53" t="s">
        <v>4246</v>
      </c>
      <c r="F359" s="124">
        <v>5</v>
      </c>
      <c r="G359" s="124">
        <v>600</v>
      </c>
      <c r="H359" s="369">
        <v>55.3</v>
      </c>
      <c r="I359" s="215" t="s">
        <v>76</v>
      </c>
      <c r="J359" s="215" t="s">
        <v>102</v>
      </c>
      <c r="K359" s="266">
        <v>49081146740</v>
      </c>
      <c r="L359" s="265" t="s">
        <v>649</v>
      </c>
      <c r="M359" s="266">
        <v>40049081146748</v>
      </c>
      <c r="N359" s="264">
        <v>1.0980000000000001</v>
      </c>
      <c r="O359" s="265" t="s">
        <v>649</v>
      </c>
      <c r="P359" s="265">
        <v>6.18</v>
      </c>
      <c r="Q359" s="265">
        <v>0.65</v>
      </c>
    </row>
    <row r="360" spans="1:17" ht="15" customHeight="1">
      <c r="A360" s="147">
        <v>418</v>
      </c>
      <c r="B360" s="51" t="s">
        <v>10</v>
      </c>
      <c r="C360" s="51" t="s">
        <v>4247</v>
      </c>
      <c r="D360" s="51">
        <v>100022380</v>
      </c>
      <c r="E360" s="53" t="s">
        <v>4248</v>
      </c>
      <c r="F360" s="124">
        <v>5</v>
      </c>
      <c r="G360" s="124">
        <v>450</v>
      </c>
      <c r="H360" s="369">
        <v>92.07</v>
      </c>
      <c r="I360" s="215" t="s">
        <v>76</v>
      </c>
      <c r="J360" s="215" t="s">
        <v>102</v>
      </c>
      <c r="K360" s="266">
        <v>49081147006</v>
      </c>
      <c r="L360" s="265" t="s">
        <v>649</v>
      </c>
      <c r="M360" s="266">
        <v>40049081147004</v>
      </c>
      <c r="N360" s="264">
        <v>1.93</v>
      </c>
      <c r="O360" s="265" t="s">
        <v>649</v>
      </c>
      <c r="P360" s="265">
        <v>10.45</v>
      </c>
      <c r="Q360" s="265">
        <v>0.8</v>
      </c>
    </row>
    <row r="361" spans="1:17" ht="15" customHeight="1">
      <c r="A361" s="147">
        <v>419</v>
      </c>
      <c r="B361" s="51" t="s">
        <v>10</v>
      </c>
      <c r="C361" s="51" t="s">
        <v>4249</v>
      </c>
      <c r="D361" s="51">
        <v>100022382</v>
      </c>
      <c r="E361" s="53" t="s">
        <v>4250</v>
      </c>
      <c r="F361" s="124">
        <v>4</v>
      </c>
      <c r="G361" s="124">
        <v>360</v>
      </c>
      <c r="H361" s="369">
        <v>92.07</v>
      </c>
      <c r="I361" s="215" t="s">
        <v>76</v>
      </c>
      <c r="J361" s="215" t="s">
        <v>102</v>
      </c>
      <c r="K361" s="266">
        <v>49081146986</v>
      </c>
      <c r="L361" s="265" t="s">
        <v>649</v>
      </c>
      <c r="M361" s="266">
        <v>40049081146984</v>
      </c>
      <c r="N361" s="264">
        <v>1.8959999999999999</v>
      </c>
      <c r="O361" s="265" t="s">
        <v>649</v>
      </c>
      <c r="P361" s="265">
        <v>8.41</v>
      </c>
      <c r="Q361" s="265">
        <v>0.8</v>
      </c>
    </row>
    <row r="362" spans="1:17" ht="15" customHeight="1">
      <c r="A362" s="147">
        <v>420</v>
      </c>
      <c r="B362" s="51" t="s">
        <v>10</v>
      </c>
      <c r="C362" s="51" t="s">
        <v>4251</v>
      </c>
      <c r="D362" s="51">
        <v>100022384</v>
      </c>
      <c r="E362" s="53" t="s">
        <v>4252</v>
      </c>
      <c r="F362" s="124">
        <v>5</v>
      </c>
      <c r="G362" s="124" t="s">
        <v>649</v>
      </c>
      <c r="H362" s="369">
        <v>92.07</v>
      </c>
      <c r="I362" s="215" t="s">
        <v>346</v>
      </c>
      <c r="J362" s="215" t="s">
        <v>102</v>
      </c>
      <c r="K362" s="266">
        <v>49081146955</v>
      </c>
      <c r="L362" s="265" t="s">
        <v>649</v>
      </c>
      <c r="M362" s="266">
        <v>40049081146953</v>
      </c>
      <c r="N362" s="264">
        <v>1.4</v>
      </c>
      <c r="O362" s="265" t="s">
        <v>649</v>
      </c>
      <c r="P362" s="265" t="s">
        <v>649</v>
      </c>
      <c r="Q362" s="265">
        <v>0.72</v>
      </c>
    </row>
    <row r="363" spans="1:17" ht="15" customHeight="1">
      <c r="A363" s="147">
        <v>421</v>
      </c>
      <c r="B363" s="51" t="s">
        <v>10</v>
      </c>
      <c r="C363" s="51" t="s">
        <v>4253</v>
      </c>
      <c r="D363" s="51">
        <v>100022386</v>
      </c>
      <c r="E363" s="53" t="s">
        <v>4254</v>
      </c>
      <c r="F363" s="124">
        <v>3</v>
      </c>
      <c r="G363" s="124">
        <v>360</v>
      </c>
      <c r="H363" s="369">
        <v>92.07</v>
      </c>
      <c r="I363" s="215" t="s">
        <v>76</v>
      </c>
      <c r="J363" s="215" t="s">
        <v>102</v>
      </c>
      <c r="K363" s="266">
        <v>49081146924</v>
      </c>
      <c r="L363" s="265" t="s">
        <v>649</v>
      </c>
      <c r="M363" s="266">
        <v>40049081146922</v>
      </c>
      <c r="N363" s="264">
        <v>2.3580000000000001</v>
      </c>
      <c r="O363" s="265" t="s">
        <v>649</v>
      </c>
      <c r="P363" s="265">
        <v>7.92</v>
      </c>
      <c r="Q363" s="265">
        <v>0.65</v>
      </c>
    </row>
    <row r="364" spans="1:17" ht="15" customHeight="1">
      <c r="A364" s="147">
        <v>422</v>
      </c>
      <c r="B364" s="51" t="s">
        <v>10</v>
      </c>
      <c r="C364" s="51" t="s">
        <v>4255</v>
      </c>
      <c r="D364" s="51">
        <v>100022388</v>
      </c>
      <c r="E364" s="53" t="s">
        <v>4256</v>
      </c>
      <c r="F364" s="124">
        <v>3</v>
      </c>
      <c r="G364" s="124">
        <v>270</v>
      </c>
      <c r="H364" s="369">
        <v>92.07</v>
      </c>
      <c r="I364" s="215" t="s">
        <v>76</v>
      </c>
      <c r="J364" s="215" t="s">
        <v>102</v>
      </c>
      <c r="K364" s="266">
        <v>49081146900</v>
      </c>
      <c r="L364" s="265" t="s">
        <v>649</v>
      </c>
      <c r="M364" s="266">
        <v>40049081146908</v>
      </c>
      <c r="N364" s="264">
        <v>2.88</v>
      </c>
      <c r="O364" s="265" t="s">
        <v>649</v>
      </c>
      <c r="P364" s="265">
        <v>9.44</v>
      </c>
      <c r="Q364" s="265">
        <v>0.8</v>
      </c>
    </row>
    <row r="365" spans="1:17" ht="15" customHeight="1">
      <c r="A365" s="147">
        <v>423</v>
      </c>
      <c r="B365" s="51" t="s">
        <v>10</v>
      </c>
      <c r="C365" s="51" t="s">
        <v>4257</v>
      </c>
      <c r="D365" s="51">
        <v>100022389</v>
      </c>
      <c r="E365" s="53" t="s">
        <v>4258</v>
      </c>
      <c r="F365" s="124">
        <v>2</v>
      </c>
      <c r="G365" s="124">
        <v>180</v>
      </c>
      <c r="H365" s="369">
        <v>215.85</v>
      </c>
      <c r="I365" s="215" t="s">
        <v>76</v>
      </c>
      <c r="J365" s="215" t="s">
        <v>102</v>
      </c>
      <c r="K365" s="266">
        <v>49081147105</v>
      </c>
      <c r="L365" s="265" t="s">
        <v>649</v>
      </c>
      <c r="M365" s="266">
        <v>40049081147103</v>
      </c>
      <c r="N365" s="264">
        <v>2.706</v>
      </c>
      <c r="O365" s="265" t="s">
        <v>649</v>
      </c>
      <c r="P365" s="265">
        <v>6.13</v>
      </c>
      <c r="Q365" s="265">
        <v>0.8</v>
      </c>
    </row>
    <row r="366" spans="1:17" ht="15" customHeight="1">
      <c r="A366" s="147">
        <v>424</v>
      </c>
      <c r="B366" s="51" t="s">
        <v>10</v>
      </c>
      <c r="C366" s="51" t="s">
        <v>4259</v>
      </c>
      <c r="D366" s="51">
        <v>100022392</v>
      </c>
      <c r="E366" s="53" t="s">
        <v>4260</v>
      </c>
      <c r="F366" s="124">
        <v>2</v>
      </c>
      <c r="G366" s="124">
        <v>150</v>
      </c>
      <c r="H366" s="369">
        <v>215.85</v>
      </c>
      <c r="I366" s="215" t="s">
        <v>346</v>
      </c>
      <c r="J366" s="215" t="s">
        <v>102</v>
      </c>
      <c r="K366" s="266">
        <v>49081147068</v>
      </c>
      <c r="L366" s="265" t="s">
        <v>649</v>
      </c>
      <c r="M366" s="266">
        <v>40049081147066</v>
      </c>
      <c r="N366" s="264">
        <v>3.5950000000000002</v>
      </c>
      <c r="O366" s="265" t="s">
        <v>649</v>
      </c>
      <c r="P366" s="265">
        <v>8.15</v>
      </c>
      <c r="Q366" s="265">
        <v>0.95</v>
      </c>
    </row>
    <row r="367" spans="1:17" ht="15" customHeight="1">
      <c r="A367" s="147">
        <v>425</v>
      </c>
      <c r="B367" s="51" t="s">
        <v>10</v>
      </c>
      <c r="C367" s="51" t="s">
        <v>4261</v>
      </c>
      <c r="D367" s="51">
        <v>100022394</v>
      </c>
      <c r="E367" s="53" t="s">
        <v>4262</v>
      </c>
      <c r="F367" s="124">
        <v>2</v>
      </c>
      <c r="G367" s="124">
        <v>180</v>
      </c>
      <c r="H367" s="369">
        <v>309.88</v>
      </c>
      <c r="I367" s="215" t="s">
        <v>76</v>
      </c>
      <c r="J367" s="215" t="s">
        <v>102</v>
      </c>
      <c r="K367" s="266">
        <v>49081147181</v>
      </c>
      <c r="L367" s="265" t="s">
        <v>649</v>
      </c>
      <c r="M367" s="266">
        <v>40049081147189</v>
      </c>
      <c r="N367" s="264">
        <v>3.3769999999999998</v>
      </c>
      <c r="O367" s="265" t="s">
        <v>649</v>
      </c>
      <c r="P367" s="265">
        <v>7.27</v>
      </c>
      <c r="Q367" s="265">
        <v>0.8</v>
      </c>
    </row>
    <row r="368" spans="1:17" ht="15" customHeight="1">
      <c r="A368" s="147">
        <v>426</v>
      </c>
      <c r="B368" s="51" t="s">
        <v>10</v>
      </c>
      <c r="C368" s="51" t="s">
        <v>4263</v>
      </c>
      <c r="D368" s="51">
        <v>100022396</v>
      </c>
      <c r="E368" s="53" t="s">
        <v>4264</v>
      </c>
      <c r="F368" s="124">
        <v>2</v>
      </c>
      <c r="G368" s="124">
        <v>120</v>
      </c>
      <c r="H368" s="369">
        <v>309.88</v>
      </c>
      <c r="I368" s="215" t="s">
        <v>76</v>
      </c>
      <c r="J368" s="215" t="s">
        <v>102</v>
      </c>
      <c r="K368" s="266">
        <v>49081147167</v>
      </c>
      <c r="L368" s="265" t="s">
        <v>649</v>
      </c>
      <c r="M368" s="266">
        <v>40049081147165</v>
      </c>
      <c r="N368" s="264">
        <v>4.0999999999999996</v>
      </c>
      <c r="O368" s="265" t="s">
        <v>649</v>
      </c>
      <c r="P368" s="265">
        <v>9.08</v>
      </c>
      <c r="Q368" s="265">
        <v>1.41</v>
      </c>
    </row>
    <row r="369" spans="1:17" ht="15" customHeight="1">
      <c r="A369" s="147">
        <v>427</v>
      </c>
      <c r="B369" s="51" t="s">
        <v>10</v>
      </c>
      <c r="C369" s="51" t="s">
        <v>4265</v>
      </c>
      <c r="D369" s="51">
        <v>100022398</v>
      </c>
      <c r="E369" s="53" t="s">
        <v>4266</v>
      </c>
      <c r="F369" s="124">
        <v>2</v>
      </c>
      <c r="G369" s="124">
        <v>120</v>
      </c>
      <c r="H369" s="369">
        <v>309.88</v>
      </c>
      <c r="I369" s="215" t="s">
        <v>76</v>
      </c>
      <c r="J369" s="215" t="s">
        <v>102</v>
      </c>
      <c r="K369" s="266">
        <v>49081147143</v>
      </c>
      <c r="L369" s="265" t="s">
        <v>649</v>
      </c>
      <c r="M369" s="266">
        <v>40049081147141</v>
      </c>
      <c r="N369" s="264">
        <v>4.5579999999999998</v>
      </c>
      <c r="O369" s="265" t="s">
        <v>649</v>
      </c>
      <c r="P369" s="265">
        <v>10.01</v>
      </c>
      <c r="Q369" s="265">
        <v>1.41</v>
      </c>
    </row>
    <row r="370" spans="1:17" ht="15" customHeight="1">
      <c r="A370" s="147">
        <v>428</v>
      </c>
      <c r="B370" s="51" t="s">
        <v>10</v>
      </c>
      <c r="C370" s="51" t="s">
        <v>4267</v>
      </c>
      <c r="D370" s="51">
        <v>100022400</v>
      </c>
      <c r="E370" s="53" t="s">
        <v>4268</v>
      </c>
      <c r="F370" s="124">
        <v>2</v>
      </c>
      <c r="G370" s="124">
        <v>48</v>
      </c>
      <c r="H370" s="369">
        <v>750.4</v>
      </c>
      <c r="I370" s="215" t="s">
        <v>76</v>
      </c>
      <c r="J370" s="215" t="s">
        <v>102</v>
      </c>
      <c r="K370" s="266">
        <v>49081147273</v>
      </c>
      <c r="L370" s="265" t="s">
        <v>649</v>
      </c>
      <c r="M370" s="266">
        <v>40049081147271</v>
      </c>
      <c r="N370" s="264">
        <v>6.1539999999999999</v>
      </c>
      <c r="O370" s="265" t="s">
        <v>649</v>
      </c>
      <c r="P370" s="265">
        <v>14.32</v>
      </c>
      <c r="Q370" s="265">
        <v>2.77</v>
      </c>
    </row>
    <row r="371" spans="1:17" ht="15" customHeight="1">
      <c r="A371" s="147">
        <v>429</v>
      </c>
      <c r="B371" s="51" t="s">
        <v>10</v>
      </c>
      <c r="C371" s="51" t="s">
        <v>4269</v>
      </c>
      <c r="D371" s="51">
        <v>100022402</v>
      </c>
      <c r="E371" s="53" t="s">
        <v>4270</v>
      </c>
      <c r="F371" s="124">
        <v>2</v>
      </c>
      <c r="G371" s="124">
        <v>48</v>
      </c>
      <c r="H371" s="369">
        <v>718.58</v>
      </c>
      <c r="I371" s="215" t="s">
        <v>346</v>
      </c>
      <c r="J371" s="215" t="s">
        <v>102</v>
      </c>
      <c r="K371" s="266">
        <v>49081147266</v>
      </c>
      <c r="L371" s="265" t="s">
        <v>649</v>
      </c>
      <c r="M371" s="266">
        <v>40049081147264</v>
      </c>
      <c r="N371" s="264">
        <v>6.9359999999999999</v>
      </c>
      <c r="O371" s="265" t="s">
        <v>649</v>
      </c>
      <c r="P371" s="265">
        <v>15.79</v>
      </c>
      <c r="Q371" s="265">
        <v>2.77</v>
      </c>
    </row>
    <row r="372" spans="1:17" ht="15" customHeight="1">
      <c r="A372" s="147">
        <v>430</v>
      </c>
      <c r="B372" s="51" t="s">
        <v>10</v>
      </c>
      <c r="C372" s="51" t="s">
        <v>4271</v>
      </c>
      <c r="D372" s="51">
        <v>100022404</v>
      </c>
      <c r="E372" s="53" t="s">
        <v>4272</v>
      </c>
      <c r="F372" s="124">
        <v>2</v>
      </c>
      <c r="G372" s="124">
        <v>48</v>
      </c>
      <c r="H372" s="369">
        <v>718.58</v>
      </c>
      <c r="I372" s="215" t="s">
        <v>76</v>
      </c>
      <c r="J372" s="215" t="s">
        <v>102</v>
      </c>
      <c r="K372" s="266">
        <v>49081147242</v>
      </c>
      <c r="L372" s="265" t="s">
        <v>649</v>
      </c>
      <c r="M372" s="266">
        <v>40049081147240</v>
      </c>
      <c r="N372" s="264">
        <v>7.718</v>
      </c>
      <c r="O372" s="265" t="s">
        <v>649</v>
      </c>
      <c r="P372" s="265">
        <v>17.2</v>
      </c>
      <c r="Q372" s="265">
        <v>2.77</v>
      </c>
    </row>
    <row r="373" spans="1:17" ht="15" customHeight="1">
      <c r="A373" s="147">
        <v>431</v>
      </c>
      <c r="B373" s="51" t="s">
        <v>10</v>
      </c>
      <c r="C373" s="51" t="s">
        <v>4273</v>
      </c>
      <c r="D373" s="51">
        <v>100022406</v>
      </c>
      <c r="E373" s="53" t="s">
        <v>4274</v>
      </c>
      <c r="F373" s="124">
        <v>2</v>
      </c>
      <c r="G373" s="124">
        <v>48</v>
      </c>
      <c r="H373" s="369">
        <v>718.58</v>
      </c>
      <c r="I373" s="215" t="s">
        <v>76</v>
      </c>
      <c r="J373" s="215" t="s">
        <v>102</v>
      </c>
      <c r="K373" s="266">
        <v>49081147228</v>
      </c>
      <c r="L373" s="265" t="s">
        <v>649</v>
      </c>
      <c r="M373" s="266">
        <v>40049081147226</v>
      </c>
      <c r="N373" s="264">
        <v>9.5399999999999991</v>
      </c>
      <c r="O373" s="265" t="s">
        <v>649</v>
      </c>
      <c r="P373" s="265">
        <v>20.65</v>
      </c>
      <c r="Q373" s="265">
        <v>2.77</v>
      </c>
    </row>
    <row r="374" spans="1:17" ht="15" customHeight="1">
      <c r="A374" s="147">
        <v>432</v>
      </c>
      <c r="B374" s="51" t="s">
        <v>10</v>
      </c>
      <c r="C374" s="51" t="s">
        <v>4275</v>
      </c>
      <c r="D374" s="51">
        <v>100022408</v>
      </c>
      <c r="E374" s="53" t="s">
        <v>4276</v>
      </c>
      <c r="F374" s="124">
        <v>150</v>
      </c>
      <c r="G374" s="124">
        <v>13500</v>
      </c>
      <c r="H374" s="369">
        <v>2.65</v>
      </c>
      <c r="I374" s="215" t="s">
        <v>76</v>
      </c>
      <c r="J374" s="215" t="s">
        <v>102</v>
      </c>
      <c r="K374" s="266">
        <v>49081147426</v>
      </c>
      <c r="L374" s="215">
        <v>49081647421</v>
      </c>
      <c r="M374" s="266">
        <v>40049081147424</v>
      </c>
      <c r="N374" s="264">
        <v>7.4999999999999997E-2</v>
      </c>
      <c r="O374" s="265">
        <v>10</v>
      </c>
      <c r="P374" s="265">
        <v>12.53</v>
      </c>
      <c r="Q374" s="265">
        <v>0.8</v>
      </c>
    </row>
    <row r="375" spans="1:17" ht="15" customHeight="1">
      <c r="A375" s="147">
        <v>433</v>
      </c>
      <c r="B375" s="51" t="s">
        <v>10</v>
      </c>
      <c r="C375" s="51" t="s">
        <v>4277</v>
      </c>
      <c r="D375" s="51">
        <v>100022410</v>
      </c>
      <c r="E375" s="53" t="s">
        <v>4278</v>
      </c>
      <c r="F375" s="124">
        <v>100</v>
      </c>
      <c r="G375" s="124">
        <v>9000</v>
      </c>
      <c r="H375" s="369">
        <v>4.07</v>
      </c>
      <c r="I375" s="215" t="s">
        <v>76</v>
      </c>
      <c r="J375" s="215" t="s">
        <v>102</v>
      </c>
      <c r="K375" s="266">
        <v>49081147488</v>
      </c>
      <c r="L375" s="215">
        <v>49081647483</v>
      </c>
      <c r="M375" s="266">
        <v>40049081147486</v>
      </c>
      <c r="N375" s="264">
        <v>8.5999999999999993E-2</v>
      </c>
      <c r="O375" s="265">
        <v>10</v>
      </c>
      <c r="P375" s="265">
        <v>11.9</v>
      </c>
      <c r="Q375" s="265">
        <v>0.8</v>
      </c>
    </row>
    <row r="376" spans="1:17" ht="15" customHeight="1">
      <c r="A376" s="147">
        <v>434</v>
      </c>
      <c r="B376" s="51" t="s">
        <v>10</v>
      </c>
      <c r="C376" s="51" t="s">
        <v>4279</v>
      </c>
      <c r="D376" s="51">
        <v>100022412</v>
      </c>
      <c r="E376" s="53" t="s">
        <v>4280</v>
      </c>
      <c r="F376" s="124">
        <v>50</v>
      </c>
      <c r="G376" s="124">
        <v>4500</v>
      </c>
      <c r="H376" s="369">
        <v>7.54</v>
      </c>
      <c r="I376" s="215" t="s">
        <v>76</v>
      </c>
      <c r="J376" s="215" t="s">
        <v>102</v>
      </c>
      <c r="K376" s="266">
        <v>49081147587</v>
      </c>
      <c r="L376" s="215">
        <v>49081647582</v>
      </c>
      <c r="M376" s="266">
        <v>40049081147585</v>
      </c>
      <c r="N376" s="264">
        <v>0.20399999999999999</v>
      </c>
      <c r="O376" s="265">
        <v>10</v>
      </c>
      <c r="P376" s="265">
        <v>11.35</v>
      </c>
      <c r="Q376" s="265">
        <v>0.8</v>
      </c>
    </row>
    <row r="377" spans="1:17" ht="15" customHeight="1">
      <c r="B377" s="51" t="s">
        <v>10</v>
      </c>
      <c r="C377" s="51" t="s">
        <v>5875</v>
      </c>
      <c r="D377" s="51">
        <v>100022414</v>
      </c>
      <c r="E377" s="53" t="s">
        <v>5926</v>
      </c>
      <c r="F377" s="124">
        <v>25</v>
      </c>
      <c r="G377" s="124">
        <v>1875</v>
      </c>
      <c r="H377" s="369">
        <v>11.43</v>
      </c>
      <c r="I377" s="215" t="s">
        <v>76</v>
      </c>
      <c r="J377" s="215" t="s">
        <v>102</v>
      </c>
      <c r="K377" s="266">
        <v>49081147808</v>
      </c>
      <c r="L377" s="215" t="s">
        <v>649</v>
      </c>
      <c r="M377" s="266">
        <v>40049081147806</v>
      </c>
      <c r="N377" s="264">
        <v>0.36299999999999999</v>
      </c>
      <c r="O377" s="265" t="s">
        <v>649</v>
      </c>
      <c r="P377" s="265">
        <v>9.07</v>
      </c>
      <c r="Q377" s="265">
        <v>0.57999999999999996</v>
      </c>
    </row>
    <row r="378" spans="1:17" ht="15" customHeight="1">
      <c r="A378" s="147">
        <v>435</v>
      </c>
      <c r="B378" s="51" t="s">
        <v>10</v>
      </c>
      <c r="C378" s="51" t="s">
        <v>4281</v>
      </c>
      <c r="D378" s="51">
        <v>100022416</v>
      </c>
      <c r="E378" s="53" t="s">
        <v>4282</v>
      </c>
      <c r="F378" s="124">
        <v>25</v>
      </c>
      <c r="G378" s="124">
        <v>1875</v>
      </c>
      <c r="H378" s="369">
        <v>15.6</v>
      </c>
      <c r="I378" s="215" t="s">
        <v>76</v>
      </c>
      <c r="J378" s="215" t="s">
        <v>102</v>
      </c>
      <c r="K378" s="266">
        <v>49081148065</v>
      </c>
      <c r="L378" s="265" t="s">
        <v>649</v>
      </c>
      <c r="M378" s="266">
        <v>40049081148063</v>
      </c>
      <c r="N378" s="264">
        <v>0.41199999999999998</v>
      </c>
      <c r="O378" s="265" t="s">
        <v>649</v>
      </c>
      <c r="P378" s="265">
        <v>12.09</v>
      </c>
      <c r="Q378" s="265">
        <v>0.95</v>
      </c>
    </row>
    <row r="379" spans="1:17" ht="15" customHeight="1">
      <c r="A379" s="147">
        <v>436</v>
      </c>
      <c r="B379" s="51" t="s">
        <v>10</v>
      </c>
      <c r="C379" s="51" t="s">
        <v>4283</v>
      </c>
      <c r="D379" s="51">
        <v>100022418</v>
      </c>
      <c r="E379" s="53" t="s">
        <v>4284</v>
      </c>
      <c r="F379" s="124">
        <v>15</v>
      </c>
      <c r="G379" s="124">
        <v>1125</v>
      </c>
      <c r="H379" s="369">
        <v>19.75</v>
      </c>
      <c r="I379" s="215" t="s">
        <v>76</v>
      </c>
      <c r="J379" s="215" t="s">
        <v>102</v>
      </c>
      <c r="K379" s="266">
        <v>49081148409</v>
      </c>
      <c r="L379" s="265" t="s">
        <v>649</v>
      </c>
      <c r="M379" s="266">
        <v>40049081148407</v>
      </c>
      <c r="N379" s="264">
        <v>0.58299999999999996</v>
      </c>
      <c r="O379" s="265" t="s">
        <v>649</v>
      </c>
      <c r="P379" s="265">
        <v>9.58</v>
      </c>
      <c r="Q379" s="265">
        <v>0.95</v>
      </c>
    </row>
    <row r="380" spans="1:17" ht="15" customHeight="1">
      <c r="A380" s="147">
        <v>437</v>
      </c>
      <c r="B380" s="51" t="s">
        <v>10</v>
      </c>
      <c r="C380" s="51" t="s">
        <v>4285</v>
      </c>
      <c r="D380" s="51">
        <v>100022421</v>
      </c>
      <c r="E380" s="53" t="s">
        <v>4286</v>
      </c>
      <c r="F380" s="124">
        <v>5</v>
      </c>
      <c r="G380" s="124">
        <v>600</v>
      </c>
      <c r="H380" s="369">
        <v>76.59</v>
      </c>
      <c r="I380" s="215" t="s">
        <v>76</v>
      </c>
      <c r="J380" s="215" t="s">
        <v>102</v>
      </c>
      <c r="K380" s="266">
        <v>49081148843</v>
      </c>
      <c r="L380" s="265" t="s">
        <v>649</v>
      </c>
      <c r="M380" s="266">
        <v>40049081148841</v>
      </c>
      <c r="N380" s="264">
        <v>1.736</v>
      </c>
      <c r="O380" s="265" t="s">
        <v>649</v>
      </c>
      <c r="P380" s="265">
        <v>8.68</v>
      </c>
      <c r="Q380" s="265">
        <v>0.65</v>
      </c>
    </row>
    <row r="381" spans="1:17" ht="15" customHeight="1">
      <c r="A381" s="147">
        <v>438</v>
      </c>
      <c r="B381" s="51" t="s">
        <v>10</v>
      </c>
      <c r="C381" s="51" t="s">
        <v>4287</v>
      </c>
      <c r="D381" s="51">
        <v>100022422</v>
      </c>
      <c r="E381" s="53" t="s">
        <v>4288</v>
      </c>
      <c r="F381" s="124">
        <v>3</v>
      </c>
      <c r="G381" s="124">
        <v>270</v>
      </c>
      <c r="H381" s="369">
        <v>117.05</v>
      </c>
      <c r="I381" s="215" t="s">
        <v>76</v>
      </c>
      <c r="J381" s="215" t="s">
        <v>102</v>
      </c>
      <c r="K381" s="266">
        <v>49081148980</v>
      </c>
      <c r="L381" s="265" t="s">
        <v>649</v>
      </c>
      <c r="M381" s="266">
        <v>40049081148988</v>
      </c>
      <c r="N381" s="264">
        <v>2.8330000000000002</v>
      </c>
      <c r="O381" s="265" t="s">
        <v>649</v>
      </c>
      <c r="P381" s="265">
        <v>8.5</v>
      </c>
      <c r="Q381" s="265">
        <v>0.8</v>
      </c>
    </row>
    <row r="382" spans="1:17" ht="15" customHeight="1">
      <c r="A382" s="147">
        <v>439</v>
      </c>
      <c r="B382" s="51" t="s">
        <v>10</v>
      </c>
      <c r="C382" s="51" t="s">
        <v>4289</v>
      </c>
      <c r="D382" s="51">
        <v>100022424</v>
      </c>
      <c r="E382" s="53" t="s">
        <v>4290</v>
      </c>
      <c r="F382" s="124">
        <v>250</v>
      </c>
      <c r="G382" s="124">
        <v>22500</v>
      </c>
      <c r="H382" s="369">
        <v>5.63</v>
      </c>
      <c r="I382" s="215" t="s">
        <v>76</v>
      </c>
      <c r="J382" s="215" t="s">
        <v>102</v>
      </c>
      <c r="K382" s="266">
        <v>49081147471</v>
      </c>
      <c r="L382" s="215">
        <v>49081647476</v>
      </c>
      <c r="M382" s="266">
        <v>40049081147479</v>
      </c>
      <c r="N382" s="264">
        <v>7.0000000000000007E-2</v>
      </c>
      <c r="O382" s="265">
        <v>10</v>
      </c>
      <c r="P382" s="265">
        <v>17.739999999999998</v>
      </c>
      <c r="Q382" s="265">
        <v>0.8</v>
      </c>
    </row>
    <row r="383" spans="1:17" ht="15" customHeight="1">
      <c r="A383" s="147">
        <v>440</v>
      </c>
      <c r="B383" s="51" t="s">
        <v>10</v>
      </c>
      <c r="C383" s="51" t="s">
        <v>4291</v>
      </c>
      <c r="D383" s="51">
        <v>100022428</v>
      </c>
      <c r="E383" s="53" t="s">
        <v>4292</v>
      </c>
      <c r="F383" s="124">
        <v>100</v>
      </c>
      <c r="G383" s="124">
        <v>12000</v>
      </c>
      <c r="H383" s="369">
        <v>3.48</v>
      </c>
      <c r="I383" s="215" t="s">
        <v>76</v>
      </c>
      <c r="J383" s="215" t="s">
        <v>102</v>
      </c>
      <c r="K383" s="266">
        <v>49081147525</v>
      </c>
      <c r="L383" s="215">
        <v>49081647520</v>
      </c>
      <c r="M383" s="266">
        <v>40049081147523</v>
      </c>
      <c r="N383" s="264">
        <v>9.7000000000000003E-2</v>
      </c>
      <c r="O383" s="265">
        <v>10</v>
      </c>
      <c r="P383" s="265">
        <v>10.130000000000001</v>
      </c>
      <c r="Q383" s="265">
        <v>0.65</v>
      </c>
    </row>
    <row r="384" spans="1:17" ht="15" customHeight="1">
      <c r="A384" s="147">
        <v>441</v>
      </c>
      <c r="B384" s="51" t="s">
        <v>10</v>
      </c>
      <c r="C384" s="51" t="s">
        <v>4293</v>
      </c>
      <c r="D384" s="51">
        <v>100022433</v>
      </c>
      <c r="E384" s="53" t="s">
        <v>4294</v>
      </c>
      <c r="F384" s="124">
        <v>50</v>
      </c>
      <c r="G384" s="124">
        <v>7500</v>
      </c>
      <c r="H384" s="369">
        <v>5.27</v>
      </c>
      <c r="I384" s="215" t="s">
        <v>76</v>
      </c>
      <c r="J384" s="215" t="s">
        <v>102</v>
      </c>
      <c r="K384" s="266">
        <v>49081147662</v>
      </c>
      <c r="L384" s="215">
        <v>49081647667</v>
      </c>
      <c r="M384" s="266">
        <v>40049081147660</v>
      </c>
      <c r="N384" s="264">
        <v>0.13</v>
      </c>
      <c r="O384" s="265">
        <v>10</v>
      </c>
      <c r="P384" s="265">
        <v>7.31</v>
      </c>
      <c r="Q384" s="265">
        <v>0.5</v>
      </c>
    </row>
    <row r="385" spans="1:17" ht="15" customHeight="1">
      <c r="A385" s="147">
        <v>442</v>
      </c>
      <c r="B385" s="51" t="s">
        <v>10</v>
      </c>
      <c r="C385" s="51" t="s">
        <v>4295</v>
      </c>
      <c r="D385" s="51">
        <v>100022435</v>
      </c>
      <c r="E385" s="53" t="s">
        <v>4296</v>
      </c>
      <c r="F385" s="124">
        <v>50</v>
      </c>
      <c r="G385" s="124">
        <v>6000</v>
      </c>
      <c r="H385" s="369">
        <v>7.54</v>
      </c>
      <c r="I385" s="215" t="s">
        <v>76</v>
      </c>
      <c r="J385" s="215" t="s">
        <v>102</v>
      </c>
      <c r="K385" s="266">
        <v>49081147648</v>
      </c>
      <c r="L385" s="215">
        <v>49081647643</v>
      </c>
      <c r="M385" s="266">
        <v>40049081147646</v>
      </c>
      <c r="N385" s="264">
        <v>0.16300000000000001</v>
      </c>
      <c r="O385" s="265">
        <v>10</v>
      </c>
      <c r="P385" s="265">
        <v>9.41</v>
      </c>
      <c r="Q385" s="265">
        <v>0.65</v>
      </c>
    </row>
    <row r="386" spans="1:17" ht="15" customHeight="1">
      <c r="B386" s="51" t="s">
        <v>10</v>
      </c>
      <c r="C386" s="51" t="s">
        <v>5876</v>
      </c>
      <c r="D386" s="51">
        <v>100022233</v>
      </c>
      <c r="E386" s="53" t="s">
        <v>5929</v>
      </c>
      <c r="F386" s="124">
        <v>50</v>
      </c>
      <c r="G386" s="124">
        <v>3000</v>
      </c>
      <c r="H386" s="369">
        <v>11.94</v>
      </c>
      <c r="I386" s="215" t="s">
        <v>346</v>
      </c>
      <c r="J386" s="215" t="s">
        <v>102</v>
      </c>
      <c r="K386" s="266">
        <v>49081147624</v>
      </c>
      <c r="L386" s="215">
        <v>49081647629</v>
      </c>
      <c r="M386" s="266">
        <v>40049081147622</v>
      </c>
      <c r="N386" s="264">
        <v>0.253</v>
      </c>
      <c r="O386" s="265">
        <v>10</v>
      </c>
      <c r="P386" s="265">
        <v>12.65</v>
      </c>
      <c r="Q386" s="265">
        <v>0.72</v>
      </c>
    </row>
    <row r="387" spans="1:17" ht="15" customHeight="1">
      <c r="B387" s="51" t="s">
        <v>10</v>
      </c>
      <c r="C387" s="51" t="s">
        <v>5877</v>
      </c>
      <c r="D387" s="51">
        <v>100022235</v>
      </c>
      <c r="E387" s="53" t="s">
        <v>5928</v>
      </c>
      <c r="F387" s="124">
        <v>50</v>
      </c>
      <c r="G387" s="124">
        <v>3000</v>
      </c>
      <c r="H387" s="369">
        <v>11.43</v>
      </c>
      <c r="I387" s="215" t="s">
        <v>346</v>
      </c>
      <c r="J387" s="215" t="s">
        <v>102</v>
      </c>
      <c r="K387" s="266">
        <v>49081147969</v>
      </c>
      <c r="L387" s="215">
        <v>49081647964</v>
      </c>
      <c r="M387" s="266">
        <v>40049081147967</v>
      </c>
      <c r="N387" s="264">
        <v>0.224</v>
      </c>
      <c r="O387" s="265">
        <v>10</v>
      </c>
      <c r="P387" s="265">
        <v>11.2</v>
      </c>
      <c r="Q387" s="265">
        <v>0.72</v>
      </c>
    </row>
    <row r="388" spans="1:17" ht="15" customHeight="1">
      <c r="B388" s="51" t="s">
        <v>10</v>
      </c>
      <c r="C388" s="51" t="s">
        <v>5878</v>
      </c>
      <c r="D388" s="51">
        <v>100022236</v>
      </c>
      <c r="E388" s="53" t="s">
        <v>5927</v>
      </c>
      <c r="F388" s="124">
        <v>50</v>
      </c>
      <c r="G388" s="124">
        <v>3000</v>
      </c>
      <c r="H388" s="369">
        <v>11.94</v>
      </c>
      <c r="I388" s="215" t="s">
        <v>346</v>
      </c>
      <c r="J388" s="215" t="s">
        <v>102</v>
      </c>
      <c r="K388" s="266">
        <v>49081147945</v>
      </c>
      <c r="L388" s="215">
        <v>49081647940</v>
      </c>
      <c r="M388" s="266">
        <v>40049081147943</v>
      </c>
      <c r="N388" s="264">
        <v>0.252</v>
      </c>
      <c r="O388" s="265">
        <v>10</v>
      </c>
      <c r="P388" s="265">
        <v>12.6</v>
      </c>
      <c r="Q388" s="265">
        <v>0.72</v>
      </c>
    </row>
    <row r="389" spans="1:17" ht="15" customHeight="1">
      <c r="A389" s="147">
        <v>443</v>
      </c>
      <c r="B389" s="51" t="s">
        <v>10</v>
      </c>
      <c r="C389" s="51" t="s">
        <v>4297</v>
      </c>
      <c r="D389" s="51">
        <v>100022437</v>
      </c>
      <c r="E389" s="53" t="s">
        <v>5939</v>
      </c>
      <c r="F389" s="124">
        <v>50</v>
      </c>
      <c r="G389" s="124">
        <v>4500</v>
      </c>
      <c r="H389" s="369">
        <v>12.56</v>
      </c>
      <c r="I389" s="215" t="s">
        <v>76</v>
      </c>
      <c r="J389" s="215" t="s">
        <v>102</v>
      </c>
      <c r="K389" s="266">
        <v>49081147907</v>
      </c>
      <c r="L389" s="215">
        <v>49081647902</v>
      </c>
      <c r="M389" s="266">
        <v>40049081147905</v>
      </c>
      <c r="N389" s="264">
        <v>0.20799999999999999</v>
      </c>
      <c r="O389" s="265">
        <v>10</v>
      </c>
      <c r="P389" s="265">
        <v>13.05</v>
      </c>
      <c r="Q389" s="265">
        <v>0.8</v>
      </c>
    </row>
    <row r="390" spans="1:17" ht="15" customHeight="1">
      <c r="A390" s="147">
        <v>444</v>
      </c>
      <c r="B390" s="51" t="s">
        <v>10</v>
      </c>
      <c r="C390" s="51" t="s">
        <v>4298</v>
      </c>
      <c r="D390" s="51">
        <v>100022439</v>
      </c>
      <c r="E390" s="53" t="s">
        <v>5938</v>
      </c>
      <c r="F390" s="124">
        <v>50</v>
      </c>
      <c r="G390" s="124">
        <v>4500</v>
      </c>
      <c r="H390" s="369">
        <v>12.56</v>
      </c>
      <c r="I390" s="215" t="s">
        <v>76</v>
      </c>
      <c r="J390" s="215" t="s">
        <v>102</v>
      </c>
      <c r="K390" s="266">
        <v>49081147884</v>
      </c>
      <c r="L390" s="215">
        <v>49081647889</v>
      </c>
      <c r="M390" s="266">
        <v>40049081147882</v>
      </c>
      <c r="N390" s="264">
        <v>0.23400000000000001</v>
      </c>
      <c r="O390" s="265">
        <v>10</v>
      </c>
      <c r="P390" s="265">
        <v>12.55</v>
      </c>
      <c r="Q390" s="265">
        <v>0.95</v>
      </c>
    </row>
    <row r="391" spans="1:17" ht="15" customHeight="1">
      <c r="A391" s="147">
        <v>445</v>
      </c>
      <c r="B391" s="51" t="s">
        <v>10</v>
      </c>
      <c r="C391" s="51" t="s">
        <v>4299</v>
      </c>
      <c r="D391" s="51">
        <v>100022441</v>
      </c>
      <c r="E391" s="53" t="s">
        <v>5937</v>
      </c>
      <c r="F391" s="124">
        <v>25</v>
      </c>
      <c r="G391" s="124">
        <v>3000</v>
      </c>
      <c r="H391" s="369">
        <v>12.56</v>
      </c>
      <c r="I391" s="215" t="s">
        <v>346</v>
      </c>
      <c r="J391" s="215" t="s">
        <v>102</v>
      </c>
      <c r="K391" s="266">
        <v>49081147860</v>
      </c>
      <c r="L391" s="215">
        <v>49081647865</v>
      </c>
      <c r="M391" s="266">
        <v>40049081147868</v>
      </c>
      <c r="N391" s="264">
        <v>0.28399999999999997</v>
      </c>
      <c r="O391" s="265">
        <v>5</v>
      </c>
      <c r="P391" s="265">
        <v>7.1</v>
      </c>
      <c r="Q391" s="265">
        <v>0.65</v>
      </c>
    </row>
    <row r="392" spans="1:17" ht="15" customHeight="1">
      <c r="B392" s="51" t="s">
        <v>10</v>
      </c>
      <c r="C392" s="51" t="s">
        <v>5879</v>
      </c>
      <c r="D392" s="51">
        <v>100027386</v>
      </c>
      <c r="E392" s="53" t="s">
        <v>5936</v>
      </c>
      <c r="F392" s="124">
        <v>25</v>
      </c>
      <c r="G392" s="124">
        <v>1000</v>
      </c>
      <c r="H392" s="369">
        <v>15.22</v>
      </c>
      <c r="I392" s="215" t="s">
        <v>346</v>
      </c>
      <c r="J392" s="215" t="s">
        <v>77</v>
      </c>
      <c r="K392" s="266">
        <v>49081147846</v>
      </c>
      <c r="L392" s="215" t="s">
        <v>649</v>
      </c>
      <c r="M392" s="266">
        <v>40049081147844</v>
      </c>
      <c r="N392" s="264">
        <v>0.36899999999999999</v>
      </c>
      <c r="O392" s="265" t="s">
        <v>649</v>
      </c>
      <c r="P392" s="265">
        <v>9.2200000000000006</v>
      </c>
      <c r="Q392" s="265" t="s">
        <v>649</v>
      </c>
    </row>
    <row r="393" spans="1:17" ht="15" customHeight="1">
      <c r="B393" s="51" t="s">
        <v>10</v>
      </c>
      <c r="C393" s="51" t="s">
        <v>5880</v>
      </c>
      <c r="D393" s="51">
        <v>100022239</v>
      </c>
      <c r="E393" s="53" t="s">
        <v>5935</v>
      </c>
      <c r="F393" s="124">
        <v>25</v>
      </c>
      <c r="G393" s="124">
        <v>1875</v>
      </c>
      <c r="H393" s="369">
        <v>15.54</v>
      </c>
      <c r="I393" s="215" t="s">
        <v>346</v>
      </c>
      <c r="J393" s="215" t="s">
        <v>102</v>
      </c>
      <c r="K393" s="266">
        <v>49081148201</v>
      </c>
      <c r="L393" s="215" t="s">
        <v>649</v>
      </c>
      <c r="M393" s="266">
        <v>40049081148209</v>
      </c>
      <c r="N393" s="264">
        <v>0.312</v>
      </c>
      <c r="O393" s="265" t="s">
        <v>649</v>
      </c>
      <c r="P393" s="265">
        <v>7.8</v>
      </c>
      <c r="Q393" s="265">
        <v>0.57999999999999996</v>
      </c>
    </row>
    <row r="394" spans="1:17" ht="15" customHeight="1">
      <c r="A394" s="147">
        <v>446</v>
      </c>
      <c r="B394" s="51" t="s">
        <v>10</v>
      </c>
      <c r="C394" s="51" t="s">
        <v>4300</v>
      </c>
      <c r="D394" s="51">
        <v>100022443</v>
      </c>
      <c r="E394" s="53" t="s">
        <v>5934</v>
      </c>
      <c r="F394" s="124">
        <v>50</v>
      </c>
      <c r="G394" s="124">
        <v>3750</v>
      </c>
      <c r="H394" s="369">
        <v>15.6</v>
      </c>
      <c r="I394" s="215" t="s">
        <v>76</v>
      </c>
      <c r="J394" s="215" t="s">
        <v>102</v>
      </c>
      <c r="K394" s="266">
        <v>49081148140</v>
      </c>
      <c r="L394" s="265" t="s">
        <v>649</v>
      </c>
      <c r="M394" s="266">
        <v>40049081148148</v>
      </c>
      <c r="N394" s="264">
        <v>0.25800000000000001</v>
      </c>
      <c r="O394" s="265" t="s">
        <v>649</v>
      </c>
      <c r="P394" s="265">
        <v>14.75</v>
      </c>
      <c r="Q394" s="265">
        <v>1.1000000000000001</v>
      </c>
    </row>
    <row r="395" spans="1:17" ht="15" customHeight="1">
      <c r="A395" s="147">
        <v>447</v>
      </c>
      <c r="B395" s="51" t="s">
        <v>10</v>
      </c>
      <c r="C395" s="51" t="s">
        <v>4301</v>
      </c>
      <c r="D395" s="51">
        <v>100022445</v>
      </c>
      <c r="E395" s="53" t="s">
        <v>5933</v>
      </c>
      <c r="F395" s="124">
        <v>50</v>
      </c>
      <c r="G395" s="124">
        <v>3750</v>
      </c>
      <c r="H395" s="369">
        <v>15.6</v>
      </c>
      <c r="I395" s="215" t="s">
        <v>76</v>
      </c>
      <c r="J395" s="215" t="s">
        <v>102</v>
      </c>
      <c r="K395" s="266">
        <v>49081148126</v>
      </c>
      <c r="L395" s="265" t="s">
        <v>649</v>
      </c>
      <c r="M395" s="266">
        <v>40049081148124</v>
      </c>
      <c r="N395" s="264">
        <v>0.28199999999999997</v>
      </c>
      <c r="O395" s="265" t="s">
        <v>649</v>
      </c>
      <c r="P395" s="265">
        <v>14.92</v>
      </c>
      <c r="Q395" s="265">
        <v>1.1000000000000001</v>
      </c>
    </row>
    <row r="396" spans="1:17" ht="15" customHeight="1">
      <c r="A396" s="147">
        <v>448</v>
      </c>
      <c r="B396" s="51" t="s">
        <v>10</v>
      </c>
      <c r="C396" s="51" t="s">
        <v>4302</v>
      </c>
      <c r="D396" s="51">
        <v>100022447</v>
      </c>
      <c r="E396" s="53" t="s">
        <v>5932</v>
      </c>
      <c r="F396" s="124">
        <v>25</v>
      </c>
      <c r="G396" s="124">
        <v>3000</v>
      </c>
      <c r="H396" s="369">
        <v>15.6</v>
      </c>
      <c r="I396" s="215" t="s">
        <v>76</v>
      </c>
      <c r="J396" s="215" t="s">
        <v>102</v>
      </c>
      <c r="K396" s="266">
        <v>49081148102</v>
      </c>
      <c r="L396" s="265" t="s">
        <v>649</v>
      </c>
      <c r="M396" s="266">
        <v>40049081148100</v>
      </c>
      <c r="N396" s="264">
        <v>0.34399999999999997</v>
      </c>
      <c r="O396" s="265" t="s">
        <v>649</v>
      </c>
      <c r="P396" s="265">
        <v>8.61</v>
      </c>
      <c r="Q396" s="265">
        <v>0.65</v>
      </c>
    </row>
    <row r="397" spans="1:17" ht="15" customHeight="1">
      <c r="B397" s="51" t="s">
        <v>10</v>
      </c>
      <c r="C397" s="51" t="s">
        <v>5881</v>
      </c>
      <c r="D397" s="51">
        <v>100022448</v>
      </c>
      <c r="E397" s="53" t="s">
        <v>5931</v>
      </c>
      <c r="F397" s="124">
        <v>25</v>
      </c>
      <c r="G397" s="124">
        <v>1500</v>
      </c>
      <c r="H397" s="369">
        <v>14.86</v>
      </c>
      <c r="I397" s="215" t="s">
        <v>346</v>
      </c>
      <c r="J397" s="215" t="s">
        <v>102</v>
      </c>
      <c r="K397" s="266">
        <v>49081148089</v>
      </c>
      <c r="L397" s="265" t="s">
        <v>649</v>
      </c>
      <c r="M397" s="266">
        <v>40049081148087</v>
      </c>
      <c r="N397" s="264">
        <v>0.39200000000000002</v>
      </c>
      <c r="O397" s="265" t="s">
        <v>649</v>
      </c>
      <c r="P397" s="265">
        <v>9.8000000000000007</v>
      </c>
      <c r="Q397" s="265">
        <v>0.72</v>
      </c>
    </row>
    <row r="398" spans="1:17" ht="15" customHeight="1">
      <c r="A398" s="147">
        <v>449</v>
      </c>
      <c r="B398" s="51" t="s">
        <v>10</v>
      </c>
      <c r="C398" s="51" t="s">
        <v>4303</v>
      </c>
      <c r="D398" s="51">
        <v>100022451</v>
      </c>
      <c r="E398" s="53" t="s">
        <v>4304</v>
      </c>
      <c r="F398" s="124">
        <v>20</v>
      </c>
      <c r="G398" s="124">
        <v>1800</v>
      </c>
      <c r="H398" s="369">
        <v>19.62</v>
      </c>
      <c r="I398" s="215" t="s">
        <v>76</v>
      </c>
      <c r="J398" s="215" t="s">
        <v>102</v>
      </c>
      <c r="K398" s="266">
        <v>49081148508</v>
      </c>
      <c r="L398" s="265" t="s">
        <v>649</v>
      </c>
      <c r="M398" s="266">
        <v>40049081148506</v>
      </c>
      <c r="N398" s="264">
        <v>0.33200000000000002</v>
      </c>
      <c r="O398" s="265" t="s">
        <v>649</v>
      </c>
      <c r="P398" s="265">
        <v>7.29</v>
      </c>
      <c r="Q398" s="265">
        <v>0.65</v>
      </c>
    </row>
    <row r="399" spans="1:17" ht="15" customHeight="1">
      <c r="A399" s="147">
        <v>450</v>
      </c>
      <c r="B399" s="51" t="s">
        <v>10</v>
      </c>
      <c r="C399" s="51" t="s">
        <v>4305</v>
      </c>
      <c r="D399" s="51">
        <v>100022453</v>
      </c>
      <c r="E399" s="53" t="s">
        <v>4306</v>
      </c>
      <c r="F399" s="124">
        <v>20</v>
      </c>
      <c r="G399" s="124">
        <v>1800</v>
      </c>
      <c r="H399" s="369">
        <v>19.62</v>
      </c>
      <c r="I399" s="215" t="s">
        <v>76</v>
      </c>
      <c r="J399" s="215" t="s">
        <v>102</v>
      </c>
      <c r="K399" s="266">
        <v>49081148485</v>
      </c>
      <c r="L399" s="265" t="s">
        <v>649</v>
      </c>
      <c r="M399" s="266">
        <v>40049081148483</v>
      </c>
      <c r="N399" s="264">
        <v>0.378</v>
      </c>
      <c r="O399" s="265" t="s">
        <v>649</v>
      </c>
      <c r="P399" s="265">
        <v>8.35</v>
      </c>
      <c r="Q399" s="265">
        <v>0.8</v>
      </c>
    </row>
    <row r="400" spans="1:17" ht="15" customHeight="1">
      <c r="A400" s="147">
        <v>451</v>
      </c>
      <c r="B400" s="51" t="s">
        <v>10</v>
      </c>
      <c r="C400" s="51" t="s">
        <v>4307</v>
      </c>
      <c r="D400" s="51">
        <v>100022455</v>
      </c>
      <c r="E400" s="53" t="s">
        <v>4308</v>
      </c>
      <c r="F400" s="124">
        <v>15</v>
      </c>
      <c r="G400" s="124">
        <v>1800</v>
      </c>
      <c r="H400" s="369">
        <v>19.62</v>
      </c>
      <c r="I400" s="215" t="s">
        <v>76</v>
      </c>
      <c r="J400" s="215" t="s">
        <v>102</v>
      </c>
      <c r="K400" s="266">
        <v>49081148461</v>
      </c>
      <c r="L400" s="265" t="s">
        <v>649</v>
      </c>
      <c r="M400" s="266">
        <v>40049081148469</v>
      </c>
      <c r="N400" s="264">
        <v>0.434</v>
      </c>
      <c r="O400" s="265" t="s">
        <v>649</v>
      </c>
      <c r="P400" s="265">
        <v>7.15</v>
      </c>
      <c r="Q400" s="265">
        <v>0.65</v>
      </c>
    </row>
    <row r="401" spans="1:17" ht="15" customHeight="1">
      <c r="B401" s="51" t="s">
        <v>10</v>
      </c>
      <c r="C401" s="51" t="s">
        <v>5882</v>
      </c>
      <c r="D401" s="51">
        <v>100022456</v>
      </c>
      <c r="E401" s="53" t="s">
        <v>5930</v>
      </c>
      <c r="F401" s="124">
        <v>15</v>
      </c>
      <c r="G401" s="124">
        <v>1125</v>
      </c>
      <c r="H401" s="369">
        <v>18.68</v>
      </c>
      <c r="I401" s="215" t="s">
        <v>346</v>
      </c>
      <c r="J401" s="215" t="s">
        <v>102</v>
      </c>
      <c r="K401" s="266">
        <v>49081148447</v>
      </c>
      <c r="L401" s="265" t="s">
        <v>649</v>
      </c>
      <c r="M401" s="266">
        <v>40049081148445</v>
      </c>
      <c r="N401" s="264">
        <v>0.52700000000000002</v>
      </c>
      <c r="O401" s="265" t="s">
        <v>649</v>
      </c>
      <c r="P401" s="265">
        <v>7.9</v>
      </c>
      <c r="Q401" s="265">
        <v>0.57999999999999996</v>
      </c>
    </row>
    <row r="402" spans="1:17" ht="15" customHeight="1">
      <c r="A402" s="147">
        <v>452</v>
      </c>
      <c r="B402" s="51" t="s">
        <v>10</v>
      </c>
      <c r="C402" s="51" t="s">
        <v>4309</v>
      </c>
      <c r="D402" s="51">
        <v>100022457</v>
      </c>
      <c r="E402" s="53" t="s">
        <v>4310</v>
      </c>
      <c r="F402" s="124">
        <v>10</v>
      </c>
      <c r="G402" s="124">
        <v>1200</v>
      </c>
      <c r="H402" s="369">
        <v>19.62</v>
      </c>
      <c r="I402" s="215" t="s">
        <v>346</v>
      </c>
      <c r="J402" s="215" t="s">
        <v>102</v>
      </c>
      <c r="K402" s="266">
        <v>49081148423</v>
      </c>
      <c r="L402" s="265" t="s">
        <v>649</v>
      </c>
      <c r="M402" s="266">
        <v>40049081148421</v>
      </c>
      <c r="N402" s="264">
        <v>0.52900000000000003</v>
      </c>
      <c r="O402" s="265" t="s">
        <v>649</v>
      </c>
      <c r="P402" s="265">
        <v>7.53</v>
      </c>
      <c r="Q402" s="265">
        <v>0.65</v>
      </c>
    </row>
    <row r="403" spans="1:17" ht="15" customHeight="1">
      <c r="A403" s="147">
        <v>453</v>
      </c>
      <c r="B403" s="51" t="s">
        <v>10</v>
      </c>
      <c r="C403" s="51" t="s">
        <v>4311</v>
      </c>
      <c r="D403" s="51">
        <v>100022466</v>
      </c>
      <c r="E403" s="53" t="s">
        <v>4312</v>
      </c>
      <c r="F403" s="124">
        <v>5</v>
      </c>
      <c r="G403" s="124">
        <v>750</v>
      </c>
      <c r="H403" s="369">
        <v>60.69</v>
      </c>
      <c r="I403" s="215" t="s">
        <v>76</v>
      </c>
      <c r="J403" s="215" t="s">
        <v>102</v>
      </c>
      <c r="K403" s="266">
        <v>49081148928</v>
      </c>
      <c r="L403" s="265" t="s">
        <v>649</v>
      </c>
      <c r="M403" s="266">
        <v>40049081148926</v>
      </c>
      <c r="N403" s="264">
        <v>0.92400000000000004</v>
      </c>
      <c r="O403" s="265" t="s">
        <v>649</v>
      </c>
      <c r="P403" s="265">
        <v>5.6</v>
      </c>
      <c r="Q403" s="265">
        <v>0.5</v>
      </c>
    </row>
    <row r="404" spans="1:17" ht="15" customHeight="1">
      <c r="A404" s="147">
        <v>454</v>
      </c>
      <c r="B404" s="51" t="s">
        <v>10</v>
      </c>
      <c r="C404" s="51" t="s">
        <v>4313</v>
      </c>
      <c r="D404" s="51">
        <v>100022472</v>
      </c>
      <c r="E404" s="53" t="s">
        <v>4314</v>
      </c>
      <c r="F404" s="124">
        <v>3</v>
      </c>
      <c r="G404" s="124">
        <v>270</v>
      </c>
      <c r="H404" s="369">
        <v>101.37</v>
      </c>
      <c r="I404" s="215" t="s">
        <v>346</v>
      </c>
      <c r="J404" s="215" t="s">
        <v>102</v>
      </c>
      <c r="K404" s="266">
        <v>49081149000</v>
      </c>
      <c r="L404" s="265" t="s">
        <v>649</v>
      </c>
      <c r="M404" s="266">
        <v>40049081149008</v>
      </c>
      <c r="N404" s="264">
        <v>3.1560000000000001</v>
      </c>
      <c r="O404" s="265" t="s">
        <v>649</v>
      </c>
      <c r="P404" s="265">
        <v>10.27</v>
      </c>
      <c r="Q404" s="265">
        <v>0.8</v>
      </c>
    </row>
    <row r="405" spans="1:17" ht="15" customHeight="1">
      <c r="A405" s="147">
        <v>455</v>
      </c>
      <c r="B405" s="51" t="s">
        <v>10</v>
      </c>
      <c r="C405" s="51" t="s">
        <v>4315</v>
      </c>
      <c r="D405" s="51">
        <v>100022474</v>
      </c>
      <c r="E405" s="53" t="s">
        <v>4316</v>
      </c>
      <c r="F405" s="124">
        <v>2</v>
      </c>
      <c r="G405" s="124">
        <v>180</v>
      </c>
      <c r="H405" s="369">
        <v>343.52</v>
      </c>
      <c r="I405" s="215" t="s">
        <v>76</v>
      </c>
      <c r="J405" s="215" t="s">
        <v>102</v>
      </c>
      <c r="K405" s="266">
        <v>49081149222</v>
      </c>
      <c r="L405" s="265" t="s">
        <v>649</v>
      </c>
      <c r="M405" s="266">
        <v>40049081149220</v>
      </c>
      <c r="N405" s="264">
        <v>3.58</v>
      </c>
      <c r="O405" s="265" t="s">
        <v>649</v>
      </c>
      <c r="P405" s="265">
        <v>7.85</v>
      </c>
      <c r="Q405" s="265">
        <v>0.8</v>
      </c>
    </row>
    <row r="406" spans="1:17" ht="15" customHeight="1">
      <c r="A406" s="147">
        <v>456</v>
      </c>
      <c r="B406" s="51" t="s">
        <v>10</v>
      </c>
      <c r="C406" s="51" t="s">
        <v>4317</v>
      </c>
      <c r="D406" s="51">
        <v>100027391</v>
      </c>
      <c r="E406" s="53" t="s">
        <v>4318</v>
      </c>
      <c r="F406" s="124">
        <v>2</v>
      </c>
      <c r="G406" s="124">
        <v>120</v>
      </c>
      <c r="H406" s="369">
        <v>343.52</v>
      </c>
      <c r="I406" s="215" t="s">
        <v>76</v>
      </c>
      <c r="J406" s="215" t="s">
        <v>102</v>
      </c>
      <c r="K406" s="266">
        <v>49081149185</v>
      </c>
      <c r="L406" s="265" t="s">
        <v>649</v>
      </c>
      <c r="M406" s="266">
        <v>40049081149183</v>
      </c>
      <c r="N406" s="264">
        <v>5.3920000000000003</v>
      </c>
      <c r="O406" s="265" t="s">
        <v>649</v>
      </c>
      <c r="P406" s="265">
        <v>11.85</v>
      </c>
      <c r="Q406" s="265">
        <v>1.41</v>
      </c>
    </row>
    <row r="407" spans="1:17" ht="15" customHeight="1">
      <c r="A407" s="147">
        <v>457</v>
      </c>
      <c r="B407" s="51" t="s">
        <v>10</v>
      </c>
      <c r="C407" s="51" t="s">
        <v>4319</v>
      </c>
      <c r="D407" s="51">
        <v>100022475</v>
      </c>
      <c r="E407" s="53" t="s">
        <v>4320</v>
      </c>
      <c r="F407" s="124">
        <v>2</v>
      </c>
      <c r="G407" s="124">
        <v>48</v>
      </c>
      <c r="H407" s="369">
        <v>742.89</v>
      </c>
      <c r="I407" s="215" t="s">
        <v>76</v>
      </c>
      <c r="J407" s="215" t="s">
        <v>102</v>
      </c>
      <c r="K407" s="266">
        <v>49081149321</v>
      </c>
      <c r="L407" s="265" t="s">
        <v>649</v>
      </c>
      <c r="M407" s="266">
        <v>40049081149329</v>
      </c>
      <c r="N407" s="264">
        <v>8.5519999999999996</v>
      </c>
      <c r="O407" s="265" t="s">
        <v>649</v>
      </c>
      <c r="P407" s="265">
        <v>18.690000000000001</v>
      </c>
      <c r="Q407" s="265">
        <v>2.77</v>
      </c>
    </row>
    <row r="408" spans="1:17" ht="15" customHeight="1">
      <c r="A408" s="147">
        <v>458</v>
      </c>
      <c r="B408" s="51" t="s">
        <v>10</v>
      </c>
      <c r="C408" s="51" t="s">
        <v>4321</v>
      </c>
      <c r="D408" s="51">
        <v>100022477</v>
      </c>
      <c r="E408" s="53" t="s">
        <v>4322</v>
      </c>
      <c r="F408" s="124">
        <v>100</v>
      </c>
      <c r="G408" s="124">
        <v>15000</v>
      </c>
      <c r="H408" s="369">
        <v>7.27</v>
      </c>
      <c r="I408" s="215" t="s">
        <v>76</v>
      </c>
      <c r="J408" s="215" t="s">
        <v>102</v>
      </c>
      <c r="K408" s="266">
        <v>49081149383</v>
      </c>
      <c r="L408" s="215">
        <v>49081649388</v>
      </c>
      <c r="M408" s="266">
        <v>40049081149381</v>
      </c>
      <c r="N408" s="264">
        <v>7.9000000000000001E-2</v>
      </c>
      <c r="O408" s="265">
        <v>10</v>
      </c>
      <c r="P408" s="265">
        <v>8.3699999999999992</v>
      </c>
      <c r="Q408" s="265">
        <v>0.5</v>
      </c>
    </row>
    <row r="409" spans="1:17" ht="15" customHeight="1">
      <c r="A409" s="147">
        <v>459</v>
      </c>
      <c r="B409" s="51" t="s">
        <v>10</v>
      </c>
      <c r="C409" s="51" t="s">
        <v>4323</v>
      </c>
      <c r="D409" s="51">
        <v>100022481</v>
      </c>
      <c r="E409" s="53" t="s">
        <v>4324</v>
      </c>
      <c r="F409" s="124">
        <v>50</v>
      </c>
      <c r="G409" s="124">
        <v>6000</v>
      </c>
      <c r="H409" s="369">
        <v>15.75</v>
      </c>
      <c r="I409" s="215" t="s">
        <v>76</v>
      </c>
      <c r="J409" s="215" t="s">
        <v>102</v>
      </c>
      <c r="K409" s="266">
        <v>49081149420</v>
      </c>
      <c r="L409" s="215">
        <v>49081649425</v>
      </c>
      <c r="M409" s="266">
        <v>40049081149428</v>
      </c>
      <c r="N409" s="264">
        <v>0.192</v>
      </c>
      <c r="O409" s="265">
        <v>10</v>
      </c>
      <c r="P409" s="265">
        <v>10.36</v>
      </c>
      <c r="Q409" s="265">
        <v>0.65</v>
      </c>
    </row>
    <row r="410" spans="1:17" ht="15" customHeight="1">
      <c r="A410" s="147">
        <v>460</v>
      </c>
      <c r="B410" s="51" t="s">
        <v>10</v>
      </c>
      <c r="C410" s="51" t="s">
        <v>4325</v>
      </c>
      <c r="D410" s="51">
        <v>100022483</v>
      </c>
      <c r="E410" s="53" t="s">
        <v>4326</v>
      </c>
      <c r="F410" s="124">
        <v>25</v>
      </c>
      <c r="G410" s="124">
        <v>3000</v>
      </c>
      <c r="H410" s="369">
        <v>21.83</v>
      </c>
      <c r="I410" s="215" t="s">
        <v>346</v>
      </c>
      <c r="J410" s="215" t="s">
        <v>102</v>
      </c>
      <c r="K410" s="266">
        <v>49081149444</v>
      </c>
      <c r="L410" s="265" t="s">
        <v>649</v>
      </c>
      <c r="M410" s="266">
        <v>40049081149442</v>
      </c>
      <c r="N410" s="264">
        <v>0.26800000000000002</v>
      </c>
      <c r="O410" s="265" t="s">
        <v>649</v>
      </c>
      <c r="P410" s="265">
        <v>7.56</v>
      </c>
      <c r="Q410" s="265">
        <v>0.65</v>
      </c>
    </row>
    <row r="411" spans="1:17" ht="15" customHeight="1">
      <c r="A411" s="147">
        <v>461</v>
      </c>
      <c r="B411" s="51" t="s">
        <v>10</v>
      </c>
      <c r="C411" s="51" t="s">
        <v>4327</v>
      </c>
      <c r="D411" s="51">
        <v>100022485</v>
      </c>
      <c r="E411" s="53" t="s">
        <v>4328</v>
      </c>
      <c r="F411" s="124">
        <v>25</v>
      </c>
      <c r="G411" s="124">
        <v>3000</v>
      </c>
      <c r="H411" s="369">
        <v>22.52</v>
      </c>
      <c r="I411" s="215" t="s">
        <v>76</v>
      </c>
      <c r="J411" s="215" t="s">
        <v>102</v>
      </c>
      <c r="K411" s="266">
        <v>49081149468</v>
      </c>
      <c r="L411" s="265" t="s">
        <v>649</v>
      </c>
      <c r="M411" s="266">
        <v>40049081149466</v>
      </c>
      <c r="N411" s="264">
        <v>0.34100000000000003</v>
      </c>
      <c r="O411" s="265" t="s">
        <v>649</v>
      </c>
      <c r="P411" s="265">
        <v>9.33</v>
      </c>
      <c r="Q411" s="265">
        <v>0.65</v>
      </c>
    </row>
    <row r="412" spans="1:17" ht="15" customHeight="1">
      <c r="A412" s="147">
        <v>462</v>
      </c>
      <c r="B412" s="51" t="s">
        <v>10</v>
      </c>
      <c r="C412" s="51" t="s">
        <v>4329</v>
      </c>
      <c r="D412" s="51">
        <v>100022487</v>
      </c>
      <c r="E412" s="53" t="s">
        <v>4330</v>
      </c>
      <c r="F412" s="124">
        <v>15</v>
      </c>
      <c r="G412" s="124">
        <v>1350</v>
      </c>
      <c r="H412" s="369">
        <v>29.78</v>
      </c>
      <c r="I412" s="215" t="s">
        <v>76</v>
      </c>
      <c r="J412" s="215" t="s">
        <v>102</v>
      </c>
      <c r="K412" s="266">
        <v>49081149482</v>
      </c>
      <c r="L412" s="265" t="s">
        <v>649</v>
      </c>
      <c r="M412" s="266">
        <v>40049081149480</v>
      </c>
      <c r="N412" s="264">
        <v>0.49199999999999999</v>
      </c>
      <c r="O412" s="265" t="s">
        <v>649</v>
      </c>
      <c r="P412" s="265">
        <v>8.0500000000000007</v>
      </c>
      <c r="Q412" s="265">
        <v>0.8</v>
      </c>
    </row>
    <row r="413" spans="1:17" ht="15" customHeight="1">
      <c r="A413" s="147">
        <v>463</v>
      </c>
      <c r="B413" s="51" t="s">
        <v>10</v>
      </c>
      <c r="C413" s="51" t="s">
        <v>4331</v>
      </c>
      <c r="D413" s="51">
        <v>100022489</v>
      </c>
      <c r="E413" s="53" t="s">
        <v>4332</v>
      </c>
      <c r="F413" s="124">
        <v>250</v>
      </c>
      <c r="G413" s="124">
        <v>22500</v>
      </c>
      <c r="H413" s="369">
        <v>1.58</v>
      </c>
      <c r="I413" s="215" t="s">
        <v>76</v>
      </c>
      <c r="J413" s="215" t="s">
        <v>102</v>
      </c>
      <c r="K413" s="266">
        <v>49081140625</v>
      </c>
      <c r="L413" s="215">
        <v>49081640620</v>
      </c>
      <c r="M413" s="266">
        <v>40049081140623</v>
      </c>
      <c r="N413" s="264">
        <v>5.0999999999999997E-2</v>
      </c>
      <c r="O413" s="265">
        <v>10</v>
      </c>
      <c r="P413" s="265">
        <v>14.33</v>
      </c>
      <c r="Q413" s="265">
        <v>0.8</v>
      </c>
    </row>
    <row r="414" spans="1:17" ht="15" customHeight="1">
      <c r="A414" s="147">
        <v>464</v>
      </c>
      <c r="B414" s="51" t="s">
        <v>10</v>
      </c>
      <c r="C414" s="51" t="s">
        <v>4333</v>
      </c>
      <c r="D414" s="51">
        <v>100022491</v>
      </c>
      <c r="E414" s="53" t="s">
        <v>4334</v>
      </c>
      <c r="F414" s="124">
        <v>150</v>
      </c>
      <c r="G414" s="124">
        <v>13500</v>
      </c>
      <c r="H414" s="369">
        <v>1.78</v>
      </c>
      <c r="I414" s="215" t="s">
        <v>76</v>
      </c>
      <c r="J414" s="215" t="s">
        <v>102</v>
      </c>
      <c r="K414" s="266">
        <v>49081140649</v>
      </c>
      <c r="L414" s="215">
        <v>49081640644</v>
      </c>
      <c r="M414" s="266">
        <v>40049081140647</v>
      </c>
      <c r="N414" s="264">
        <v>7.1999999999999995E-2</v>
      </c>
      <c r="O414" s="265">
        <v>10</v>
      </c>
      <c r="P414" s="265">
        <v>12.83</v>
      </c>
      <c r="Q414" s="265">
        <v>0.8</v>
      </c>
    </row>
    <row r="415" spans="1:17" ht="15" customHeight="1">
      <c r="A415" s="147">
        <v>465</v>
      </c>
      <c r="B415" s="51" t="s">
        <v>10</v>
      </c>
      <c r="C415" s="51" t="s">
        <v>4335</v>
      </c>
      <c r="D415" s="51">
        <v>100022493</v>
      </c>
      <c r="E415" s="53" t="s">
        <v>4336</v>
      </c>
      <c r="F415" s="124">
        <v>50</v>
      </c>
      <c r="G415" s="124">
        <v>7500</v>
      </c>
      <c r="H415" s="369">
        <v>3.2</v>
      </c>
      <c r="I415" s="215" t="s">
        <v>76</v>
      </c>
      <c r="J415" s="215" t="s">
        <v>102</v>
      </c>
      <c r="K415" s="266">
        <v>49081140687</v>
      </c>
      <c r="L415" s="215">
        <v>49081640682</v>
      </c>
      <c r="M415" s="266">
        <v>40049081140685</v>
      </c>
      <c r="N415" s="264">
        <v>0.128</v>
      </c>
      <c r="O415" s="265">
        <v>10</v>
      </c>
      <c r="P415" s="265">
        <v>7.04</v>
      </c>
      <c r="Q415" s="265">
        <v>0.5</v>
      </c>
    </row>
    <row r="416" spans="1:17" ht="15" customHeight="1">
      <c r="A416" s="147">
        <v>466</v>
      </c>
      <c r="B416" s="51" t="s">
        <v>10</v>
      </c>
      <c r="C416" s="51" t="s">
        <v>4337</v>
      </c>
      <c r="D416" s="51">
        <v>100022495</v>
      </c>
      <c r="E416" s="53" t="s">
        <v>4338</v>
      </c>
      <c r="F416" s="124">
        <v>50</v>
      </c>
      <c r="G416" s="124">
        <v>4500</v>
      </c>
      <c r="H416" s="369">
        <v>5.63</v>
      </c>
      <c r="I416" s="215" t="s">
        <v>76</v>
      </c>
      <c r="J416" s="215" t="s">
        <v>102</v>
      </c>
      <c r="K416" s="266">
        <v>49081140748</v>
      </c>
      <c r="L416" s="215">
        <v>49081640743</v>
      </c>
      <c r="M416" s="266">
        <v>40049081140746</v>
      </c>
      <c r="N416" s="264">
        <v>0.24199999999999999</v>
      </c>
      <c r="O416" s="265">
        <v>5</v>
      </c>
      <c r="P416" s="265">
        <v>11.09</v>
      </c>
      <c r="Q416" s="265">
        <v>0.8</v>
      </c>
    </row>
    <row r="417" spans="1:17" ht="15" customHeight="1">
      <c r="A417" s="147">
        <v>467</v>
      </c>
      <c r="B417" s="51" t="s">
        <v>10</v>
      </c>
      <c r="C417" s="51" t="s">
        <v>4339</v>
      </c>
      <c r="D417" s="51">
        <v>100022497</v>
      </c>
      <c r="E417" s="53" t="s">
        <v>4340</v>
      </c>
      <c r="F417" s="124">
        <v>50</v>
      </c>
      <c r="G417" s="124">
        <v>3750</v>
      </c>
      <c r="H417" s="369">
        <v>6.1</v>
      </c>
      <c r="I417" s="215" t="s">
        <v>76</v>
      </c>
      <c r="J417" s="215" t="s">
        <v>102</v>
      </c>
      <c r="K417" s="266">
        <v>49081140823</v>
      </c>
      <c r="L417" s="215">
        <v>49081640828</v>
      </c>
      <c r="M417" s="266">
        <v>40049081140821</v>
      </c>
      <c r="N417" s="264">
        <v>0.25700000000000001</v>
      </c>
      <c r="O417" s="265">
        <v>10</v>
      </c>
      <c r="P417" s="265">
        <v>14.75</v>
      </c>
      <c r="Q417" s="265">
        <v>1.1000000000000001</v>
      </c>
    </row>
    <row r="418" spans="1:17" ht="15" customHeight="1">
      <c r="A418" s="147">
        <v>468</v>
      </c>
      <c r="B418" s="51" t="s">
        <v>10</v>
      </c>
      <c r="C418" s="51" t="s">
        <v>4341</v>
      </c>
      <c r="D418" s="51">
        <v>100022499</v>
      </c>
      <c r="E418" s="53" t="s">
        <v>4342</v>
      </c>
      <c r="F418" s="124">
        <v>20</v>
      </c>
      <c r="G418" s="124">
        <v>1800</v>
      </c>
      <c r="H418" s="369">
        <v>9.5</v>
      </c>
      <c r="I418" s="215" t="s">
        <v>76</v>
      </c>
      <c r="J418" s="215" t="s">
        <v>102</v>
      </c>
      <c r="K418" s="266">
        <v>49081140908</v>
      </c>
      <c r="L418" s="215">
        <v>49081640903</v>
      </c>
      <c r="M418" s="266">
        <v>40049081140906</v>
      </c>
      <c r="N418" s="264">
        <v>0.371</v>
      </c>
      <c r="O418" s="265">
        <v>5</v>
      </c>
      <c r="P418" s="265">
        <v>9.23</v>
      </c>
      <c r="Q418" s="265">
        <v>0.8</v>
      </c>
    </row>
    <row r="419" spans="1:17" ht="15" customHeight="1">
      <c r="A419" s="147">
        <v>469</v>
      </c>
      <c r="B419" s="51" t="s">
        <v>10</v>
      </c>
      <c r="C419" s="51" t="s">
        <v>4343</v>
      </c>
      <c r="D419" s="51">
        <v>100022501</v>
      </c>
      <c r="E419" s="53" t="s">
        <v>4344</v>
      </c>
      <c r="F419" s="124">
        <v>10</v>
      </c>
      <c r="G419" s="124">
        <v>900</v>
      </c>
      <c r="H419" s="369">
        <v>28.99</v>
      </c>
      <c r="I419" s="215" t="s">
        <v>76</v>
      </c>
      <c r="J419" s="215" t="s">
        <v>102</v>
      </c>
      <c r="K419" s="266">
        <v>49081140960</v>
      </c>
      <c r="L419" s="265" t="s">
        <v>649</v>
      </c>
      <c r="M419" s="266">
        <v>40049081140968</v>
      </c>
      <c r="N419" s="264">
        <v>0.8</v>
      </c>
      <c r="O419" s="265" t="s">
        <v>649</v>
      </c>
      <c r="P419" s="265">
        <v>8.3699999999999992</v>
      </c>
      <c r="Q419" s="265">
        <v>0.8</v>
      </c>
    </row>
    <row r="420" spans="1:17" ht="15" customHeight="1">
      <c r="A420" s="147">
        <v>470</v>
      </c>
      <c r="B420" s="51" t="s">
        <v>10</v>
      </c>
      <c r="C420" s="51" t="s">
        <v>4345</v>
      </c>
      <c r="D420" s="51">
        <v>100022503</v>
      </c>
      <c r="E420" s="53" t="s">
        <v>4346</v>
      </c>
      <c r="F420" s="124">
        <v>8</v>
      </c>
      <c r="G420" s="124">
        <v>720</v>
      </c>
      <c r="H420" s="369">
        <v>34.700000000000003</v>
      </c>
      <c r="I420" s="215" t="s">
        <v>76</v>
      </c>
      <c r="J420" s="215" t="s">
        <v>102</v>
      </c>
      <c r="K420" s="266">
        <v>49081140984</v>
      </c>
      <c r="L420" s="265" t="s">
        <v>649</v>
      </c>
      <c r="M420" s="266">
        <v>40049081140982</v>
      </c>
      <c r="N420" s="264">
        <v>1.0720000000000001</v>
      </c>
      <c r="O420" s="265" t="s">
        <v>649</v>
      </c>
      <c r="P420" s="265">
        <v>9.5399999999999991</v>
      </c>
      <c r="Q420" s="265">
        <v>0.8</v>
      </c>
    </row>
    <row r="421" spans="1:17" ht="15" customHeight="1">
      <c r="A421" s="147">
        <v>471</v>
      </c>
      <c r="B421" s="51" t="s">
        <v>10</v>
      </c>
      <c r="C421" s="51" t="s">
        <v>4347</v>
      </c>
      <c r="D421" s="51">
        <v>100022505</v>
      </c>
      <c r="E421" s="53" t="s">
        <v>4348</v>
      </c>
      <c r="F421" s="124">
        <v>3</v>
      </c>
      <c r="G421" s="124">
        <v>360</v>
      </c>
      <c r="H421" s="369">
        <v>62.05</v>
      </c>
      <c r="I421" s="215" t="s">
        <v>76</v>
      </c>
      <c r="J421" s="215" t="s">
        <v>102</v>
      </c>
      <c r="K421" s="266">
        <v>49081141004</v>
      </c>
      <c r="L421" s="265" t="s">
        <v>649</v>
      </c>
      <c r="M421" s="266">
        <v>40049081141002</v>
      </c>
      <c r="N421" s="264">
        <v>1.9350000000000001</v>
      </c>
      <c r="O421" s="265" t="s">
        <v>649</v>
      </c>
      <c r="P421" s="265">
        <v>9.23</v>
      </c>
      <c r="Q421" s="265">
        <v>0.65</v>
      </c>
    </row>
    <row r="422" spans="1:17" ht="15" customHeight="1">
      <c r="A422" s="147">
        <v>472</v>
      </c>
      <c r="B422" s="51" t="s">
        <v>10</v>
      </c>
      <c r="C422" s="51" t="s">
        <v>4349</v>
      </c>
      <c r="D422" s="51">
        <v>100022507</v>
      </c>
      <c r="E422" s="53" t="s">
        <v>4350</v>
      </c>
      <c r="F422" s="124">
        <v>2</v>
      </c>
      <c r="G422" s="124">
        <v>150</v>
      </c>
      <c r="H422" s="369">
        <v>160.22999999999999</v>
      </c>
      <c r="I422" s="215" t="s">
        <v>346</v>
      </c>
      <c r="J422" s="215" t="s">
        <v>102</v>
      </c>
      <c r="K422" s="266">
        <v>49081141028</v>
      </c>
      <c r="L422" s="265" t="s">
        <v>649</v>
      </c>
      <c r="M422" s="266">
        <v>40049081141026</v>
      </c>
      <c r="N422" s="264">
        <v>4.7750000000000004</v>
      </c>
      <c r="O422" s="265" t="s">
        <v>649</v>
      </c>
      <c r="P422" s="265">
        <v>9.5500000000000007</v>
      </c>
      <c r="Q422" s="265">
        <v>0.95</v>
      </c>
    </row>
    <row r="423" spans="1:17" ht="15" customHeight="1">
      <c r="A423" s="147">
        <v>473</v>
      </c>
      <c r="B423" s="51" t="s">
        <v>10</v>
      </c>
      <c r="C423" s="51" t="s">
        <v>4351</v>
      </c>
      <c r="D423" s="51">
        <v>100022509</v>
      </c>
      <c r="E423" s="53" t="s">
        <v>4352</v>
      </c>
      <c r="F423" s="124">
        <v>1</v>
      </c>
      <c r="G423" s="124">
        <v>75</v>
      </c>
      <c r="H423" s="369">
        <v>197.23</v>
      </c>
      <c r="I423" s="215" t="s">
        <v>76</v>
      </c>
      <c r="J423" s="215" t="s">
        <v>102</v>
      </c>
      <c r="K423" s="266">
        <v>49081141042</v>
      </c>
      <c r="L423" s="265" t="s">
        <v>649</v>
      </c>
      <c r="M423" s="266">
        <v>40049081141040</v>
      </c>
      <c r="N423" s="264">
        <v>5.5460000000000003</v>
      </c>
      <c r="O423" s="265" t="s">
        <v>649</v>
      </c>
      <c r="P423" s="265">
        <v>6.54</v>
      </c>
      <c r="Q423" s="265">
        <v>0.95</v>
      </c>
    </row>
    <row r="424" spans="1:17" ht="15" customHeight="1">
      <c r="A424" s="147">
        <v>474</v>
      </c>
      <c r="B424" s="51" t="s">
        <v>10</v>
      </c>
      <c r="C424" s="51" t="s">
        <v>4353</v>
      </c>
      <c r="D424" s="51">
        <v>100022511</v>
      </c>
      <c r="E424" s="53" t="s">
        <v>4354</v>
      </c>
      <c r="F424" s="124">
        <v>2</v>
      </c>
      <c r="G424" s="124">
        <v>48</v>
      </c>
      <c r="H424" s="369">
        <v>507.78</v>
      </c>
      <c r="I424" s="215" t="s">
        <v>76</v>
      </c>
      <c r="J424" s="215" t="s">
        <v>102</v>
      </c>
      <c r="K424" s="266">
        <v>49081141066</v>
      </c>
      <c r="L424" s="265" t="s">
        <v>649</v>
      </c>
      <c r="M424" s="266">
        <v>40049081141064</v>
      </c>
      <c r="N424" s="264">
        <v>10.595000000000001</v>
      </c>
      <c r="O424" s="265" t="s">
        <v>649</v>
      </c>
      <c r="P424" s="265">
        <v>21.69</v>
      </c>
      <c r="Q424" s="265">
        <v>2.77</v>
      </c>
    </row>
    <row r="425" spans="1:17" ht="15" customHeight="1">
      <c r="A425" s="147">
        <v>475</v>
      </c>
      <c r="B425" s="51" t="s">
        <v>10</v>
      </c>
      <c r="C425" s="51" t="s">
        <v>4355</v>
      </c>
      <c r="D425" s="51">
        <v>100022513</v>
      </c>
      <c r="E425" s="53" t="s">
        <v>4356</v>
      </c>
      <c r="F425" s="124">
        <v>200</v>
      </c>
      <c r="G425" s="124">
        <v>15000</v>
      </c>
      <c r="H425" s="369">
        <v>3.2</v>
      </c>
      <c r="I425" s="215" t="s">
        <v>346</v>
      </c>
      <c r="J425" s="215" t="s">
        <v>102</v>
      </c>
      <c r="K425" s="266">
        <v>49081140663</v>
      </c>
      <c r="L425" s="215">
        <v>49081640668</v>
      </c>
      <c r="M425" s="266">
        <v>40049081140661</v>
      </c>
      <c r="N425" s="264">
        <v>6.8000000000000005E-2</v>
      </c>
      <c r="O425" s="265">
        <v>10</v>
      </c>
      <c r="P425" s="265">
        <v>14.18</v>
      </c>
      <c r="Q425" s="265">
        <v>0.95</v>
      </c>
    </row>
    <row r="426" spans="1:17" ht="15" customHeight="1">
      <c r="A426" s="147">
        <v>476</v>
      </c>
      <c r="B426" s="51" t="s">
        <v>10</v>
      </c>
      <c r="C426" s="51" t="s">
        <v>4357</v>
      </c>
      <c r="D426" s="51">
        <v>100022515</v>
      </c>
      <c r="E426" s="53" t="s">
        <v>4358</v>
      </c>
      <c r="F426" s="124">
        <v>100</v>
      </c>
      <c r="G426" s="124">
        <v>12000</v>
      </c>
      <c r="H426" s="369">
        <v>4.78</v>
      </c>
      <c r="I426" s="215" t="s">
        <v>346</v>
      </c>
      <c r="J426" s="215" t="s">
        <v>102</v>
      </c>
      <c r="K426" s="266">
        <v>49081140724</v>
      </c>
      <c r="L426" s="215">
        <v>49081640729</v>
      </c>
      <c r="M426" s="266">
        <v>40049081140722</v>
      </c>
      <c r="N426" s="264">
        <v>9.9000000000000005E-2</v>
      </c>
      <c r="O426" s="265">
        <v>10</v>
      </c>
      <c r="P426" s="265">
        <v>11.62</v>
      </c>
      <c r="Q426" s="265">
        <v>0.65</v>
      </c>
    </row>
    <row r="427" spans="1:17" ht="15" customHeight="1">
      <c r="A427" s="147">
        <v>477</v>
      </c>
      <c r="B427" s="51" t="s">
        <v>10</v>
      </c>
      <c r="C427" s="51" t="s">
        <v>4359</v>
      </c>
      <c r="D427" s="51">
        <v>100022517</v>
      </c>
      <c r="E427" s="53" t="s">
        <v>4360</v>
      </c>
      <c r="F427" s="124">
        <v>50</v>
      </c>
      <c r="G427" s="124">
        <v>7500</v>
      </c>
      <c r="H427" s="369">
        <v>5.64</v>
      </c>
      <c r="I427" s="215" t="s">
        <v>346</v>
      </c>
      <c r="J427" s="215" t="s">
        <v>102</v>
      </c>
      <c r="K427" s="266">
        <v>49081140700</v>
      </c>
      <c r="L427" s="215">
        <v>49081640705</v>
      </c>
      <c r="M427" s="266">
        <v>40049081140708</v>
      </c>
      <c r="N427" s="264">
        <v>0.114</v>
      </c>
      <c r="O427" s="265">
        <v>10</v>
      </c>
      <c r="P427" s="265">
        <v>6.2</v>
      </c>
      <c r="Q427" s="265">
        <v>0.5</v>
      </c>
    </row>
    <row r="428" spans="1:17" ht="15" customHeight="1">
      <c r="B428" s="51" t="s">
        <v>10</v>
      </c>
      <c r="C428" s="51" t="s">
        <v>5883</v>
      </c>
      <c r="D428" s="51">
        <v>100022519</v>
      </c>
      <c r="E428" s="53" t="s">
        <v>5940</v>
      </c>
      <c r="F428" s="124">
        <v>50</v>
      </c>
      <c r="G428" s="124">
        <v>3750</v>
      </c>
      <c r="H428" s="369">
        <v>8.6300000000000008</v>
      </c>
      <c r="I428" s="215" t="s">
        <v>76</v>
      </c>
      <c r="J428" s="215" t="s">
        <v>102</v>
      </c>
      <c r="K428" s="266">
        <v>49081140762</v>
      </c>
      <c r="L428" s="215">
        <v>49081640767</v>
      </c>
      <c r="M428" s="266">
        <v>40049081140760</v>
      </c>
      <c r="N428" s="264">
        <v>0.19900000000000001</v>
      </c>
      <c r="O428" s="265">
        <v>10</v>
      </c>
      <c r="P428" s="265">
        <v>12.7</v>
      </c>
      <c r="Q428" s="265">
        <v>0.57999999999999996</v>
      </c>
    </row>
    <row r="429" spans="1:17" ht="15" customHeight="1">
      <c r="A429" s="147">
        <v>478</v>
      </c>
      <c r="B429" s="51" t="s">
        <v>10</v>
      </c>
      <c r="C429" s="51" t="s">
        <v>4361</v>
      </c>
      <c r="D429" s="51">
        <v>100022521</v>
      </c>
      <c r="E429" s="53" t="s">
        <v>4362</v>
      </c>
      <c r="F429" s="124">
        <v>25</v>
      </c>
      <c r="G429" s="124">
        <v>2250</v>
      </c>
      <c r="H429" s="369">
        <v>24.45</v>
      </c>
      <c r="I429" s="215" t="s">
        <v>346</v>
      </c>
      <c r="J429" s="215" t="s">
        <v>102</v>
      </c>
      <c r="K429" s="266">
        <v>49081140922</v>
      </c>
      <c r="L429" s="265" t="s">
        <v>649</v>
      </c>
      <c r="M429" s="266">
        <v>40049081140920</v>
      </c>
      <c r="N429" s="264">
        <v>0.434</v>
      </c>
      <c r="O429" s="265" t="s">
        <v>649</v>
      </c>
      <c r="P429" s="265">
        <v>11.7</v>
      </c>
      <c r="Q429" s="265">
        <v>0.8</v>
      </c>
    </row>
    <row r="430" spans="1:17" ht="15" customHeight="1">
      <c r="A430" s="147">
        <v>479</v>
      </c>
      <c r="B430" s="51" t="s">
        <v>10</v>
      </c>
      <c r="C430" s="51" t="s">
        <v>4363</v>
      </c>
      <c r="D430" s="51">
        <v>100022523</v>
      </c>
      <c r="E430" s="53" t="s">
        <v>4364</v>
      </c>
      <c r="F430" s="124">
        <v>250</v>
      </c>
      <c r="G430" s="124">
        <v>22500</v>
      </c>
      <c r="H430" s="369">
        <v>1.96</v>
      </c>
      <c r="I430" s="215" t="s">
        <v>76</v>
      </c>
      <c r="J430" s="215" t="s">
        <v>102</v>
      </c>
      <c r="K430" s="266">
        <v>49081141202</v>
      </c>
      <c r="L430" s="215">
        <v>49081641207</v>
      </c>
      <c r="M430" s="266">
        <v>40049081141200</v>
      </c>
      <c r="N430" s="264">
        <v>5.7000000000000002E-2</v>
      </c>
      <c r="O430" s="265">
        <v>10</v>
      </c>
      <c r="P430" s="265">
        <v>15.3</v>
      </c>
      <c r="Q430" s="265">
        <v>0.8</v>
      </c>
    </row>
    <row r="431" spans="1:17" ht="15" customHeight="1">
      <c r="A431" s="147">
        <v>480</v>
      </c>
      <c r="B431" s="51" t="s">
        <v>10</v>
      </c>
      <c r="C431" s="51" t="s">
        <v>4365</v>
      </c>
      <c r="D431" s="51">
        <v>100022527</v>
      </c>
      <c r="E431" s="53" t="s">
        <v>4366</v>
      </c>
      <c r="F431" s="124">
        <v>50</v>
      </c>
      <c r="G431" s="124">
        <v>7500</v>
      </c>
      <c r="H431" s="369">
        <v>4.25</v>
      </c>
      <c r="I431" s="215" t="s">
        <v>76</v>
      </c>
      <c r="J431" s="215" t="s">
        <v>102</v>
      </c>
      <c r="K431" s="266">
        <v>49081141288</v>
      </c>
      <c r="L431" s="215">
        <v>49081641283</v>
      </c>
      <c r="M431" s="266">
        <v>40049081141286</v>
      </c>
      <c r="N431" s="264">
        <v>0.16700000000000001</v>
      </c>
      <c r="O431" s="265">
        <v>10</v>
      </c>
      <c r="P431" s="265">
        <v>9.18</v>
      </c>
      <c r="Q431" s="265">
        <v>0.5</v>
      </c>
    </row>
    <row r="432" spans="1:17" ht="15" customHeight="1">
      <c r="B432" s="51" t="s">
        <v>10</v>
      </c>
      <c r="C432" s="51" t="s">
        <v>5884</v>
      </c>
      <c r="D432" s="51">
        <v>100022529</v>
      </c>
      <c r="E432" s="53" t="s">
        <v>5941</v>
      </c>
      <c r="F432" s="124">
        <v>50</v>
      </c>
      <c r="G432" s="124">
        <v>3000</v>
      </c>
      <c r="H432" s="369">
        <v>6.79</v>
      </c>
      <c r="I432" s="215" t="s">
        <v>76</v>
      </c>
      <c r="J432" s="215" t="s">
        <v>102</v>
      </c>
      <c r="K432" s="266">
        <v>49081141349</v>
      </c>
      <c r="L432" s="215">
        <v>49081641344</v>
      </c>
      <c r="M432" s="266">
        <v>40049081141347</v>
      </c>
      <c r="N432" s="264">
        <v>0.28199999999999997</v>
      </c>
      <c r="O432" s="265">
        <v>5</v>
      </c>
      <c r="P432" s="265">
        <v>14.9</v>
      </c>
      <c r="Q432" s="265">
        <v>0.72</v>
      </c>
    </row>
    <row r="433" spans="1:17" ht="15" customHeight="1">
      <c r="A433" s="147">
        <v>481</v>
      </c>
      <c r="B433" s="51" t="s">
        <v>10</v>
      </c>
      <c r="C433" s="51" t="s">
        <v>4367</v>
      </c>
      <c r="D433" s="51">
        <v>100022531</v>
      </c>
      <c r="E433" s="53" t="s">
        <v>4368</v>
      </c>
      <c r="F433" s="124">
        <v>25</v>
      </c>
      <c r="G433" s="124">
        <v>3000</v>
      </c>
      <c r="H433" s="369">
        <v>7.93</v>
      </c>
      <c r="I433" s="215" t="s">
        <v>346</v>
      </c>
      <c r="J433" s="215" t="s">
        <v>102</v>
      </c>
      <c r="K433" s="266">
        <v>49081141400</v>
      </c>
      <c r="L433" s="215">
        <v>49081641405</v>
      </c>
      <c r="M433" s="266">
        <v>40049081141408</v>
      </c>
      <c r="N433" s="264">
        <v>0.32</v>
      </c>
      <c r="O433" s="265">
        <v>5</v>
      </c>
      <c r="P433" s="265">
        <v>8.5500000000000007</v>
      </c>
      <c r="Q433" s="265">
        <v>0.65</v>
      </c>
    </row>
    <row r="434" spans="1:17" ht="15" customHeight="1">
      <c r="A434" s="147">
        <v>482</v>
      </c>
      <c r="B434" s="51" t="s">
        <v>10</v>
      </c>
      <c r="C434" s="51" t="s">
        <v>4369</v>
      </c>
      <c r="D434" s="51">
        <v>100022533</v>
      </c>
      <c r="E434" s="53" t="s">
        <v>4370</v>
      </c>
      <c r="F434" s="124">
        <v>25</v>
      </c>
      <c r="G434" s="124">
        <v>1875</v>
      </c>
      <c r="H434" s="369">
        <v>20.38</v>
      </c>
      <c r="I434" s="215" t="s">
        <v>76</v>
      </c>
      <c r="J434" s="215" t="s">
        <v>102</v>
      </c>
      <c r="K434" s="266">
        <v>49081141462</v>
      </c>
      <c r="L434" s="215">
        <v>49081641467</v>
      </c>
      <c r="M434" s="266">
        <v>40049081141460</v>
      </c>
      <c r="N434" s="264">
        <v>0.47199999999999998</v>
      </c>
      <c r="O434" s="265">
        <v>5</v>
      </c>
      <c r="P434" s="265">
        <v>12.81</v>
      </c>
      <c r="Q434" s="265">
        <v>1.1000000000000001</v>
      </c>
    </row>
    <row r="435" spans="1:17" ht="15" customHeight="1">
      <c r="A435" s="147">
        <v>483</v>
      </c>
      <c r="B435" s="51" t="s">
        <v>10</v>
      </c>
      <c r="C435" s="51" t="s">
        <v>4371</v>
      </c>
      <c r="D435" s="51">
        <v>100022536</v>
      </c>
      <c r="E435" s="53" t="s">
        <v>4372</v>
      </c>
      <c r="F435" s="124">
        <v>10</v>
      </c>
      <c r="G435" s="124">
        <v>750</v>
      </c>
      <c r="H435" s="369">
        <v>75.48</v>
      </c>
      <c r="I435" s="215" t="s">
        <v>76</v>
      </c>
      <c r="J435" s="215" t="s">
        <v>102</v>
      </c>
      <c r="K435" s="266">
        <v>49081141547</v>
      </c>
      <c r="L435" s="265" t="s">
        <v>649</v>
      </c>
      <c r="M435" s="266">
        <v>40049081141545</v>
      </c>
      <c r="N435" s="264">
        <v>1.4450000000000001</v>
      </c>
      <c r="O435" s="265" t="s">
        <v>649</v>
      </c>
      <c r="P435" s="265">
        <v>14.6</v>
      </c>
      <c r="Q435" s="265">
        <v>0.95</v>
      </c>
    </row>
    <row r="436" spans="1:17" ht="15" customHeight="1">
      <c r="A436" s="147">
        <v>484</v>
      </c>
      <c r="B436" s="51" t="s">
        <v>10</v>
      </c>
      <c r="C436" s="51" t="s">
        <v>4373</v>
      </c>
      <c r="D436" s="51">
        <v>100022537</v>
      </c>
      <c r="E436" s="53" t="s">
        <v>4374</v>
      </c>
      <c r="F436" s="124">
        <v>5</v>
      </c>
      <c r="G436" s="124">
        <v>375</v>
      </c>
      <c r="H436" s="369">
        <v>114.43</v>
      </c>
      <c r="I436" s="215" t="s">
        <v>76</v>
      </c>
      <c r="J436" s="215" t="s">
        <v>102</v>
      </c>
      <c r="K436" s="266">
        <v>49081141561</v>
      </c>
      <c r="L436" s="265" t="s">
        <v>649</v>
      </c>
      <c r="M436" s="266">
        <v>40049081141569</v>
      </c>
      <c r="N436" s="264">
        <v>2.3639999999999999</v>
      </c>
      <c r="O436" s="265" t="s">
        <v>649</v>
      </c>
      <c r="P436" s="265">
        <v>11.82</v>
      </c>
      <c r="Q436" s="265">
        <v>1.1000000000000001</v>
      </c>
    </row>
    <row r="437" spans="1:17" ht="15" customHeight="1">
      <c r="A437" s="147">
        <v>485</v>
      </c>
      <c r="B437" s="51" t="s">
        <v>10</v>
      </c>
      <c r="C437" s="51" t="s">
        <v>4375</v>
      </c>
      <c r="D437" s="51">
        <v>100022539</v>
      </c>
      <c r="E437" s="53" t="s">
        <v>4376</v>
      </c>
      <c r="F437" s="124">
        <v>200</v>
      </c>
      <c r="G437" s="124">
        <v>18000</v>
      </c>
      <c r="H437" s="369">
        <v>2.37</v>
      </c>
      <c r="I437" s="215" t="s">
        <v>76</v>
      </c>
      <c r="J437" s="215" t="s">
        <v>102</v>
      </c>
      <c r="K437" s="266">
        <v>49081141264</v>
      </c>
      <c r="L437" s="215">
        <v>49081641269</v>
      </c>
      <c r="M437" s="266">
        <v>40049081141262</v>
      </c>
      <c r="N437" s="264">
        <v>7.3999999999999996E-2</v>
      </c>
      <c r="O437" s="265">
        <v>10</v>
      </c>
      <c r="P437" s="265">
        <v>14.3</v>
      </c>
      <c r="Q437" s="265">
        <v>0.8</v>
      </c>
    </row>
    <row r="438" spans="1:17" ht="15" customHeight="1">
      <c r="A438" s="147">
        <v>486</v>
      </c>
      <c r="B438" s="51" t="s">
        <v>10</v>
      </c>
      <c r="C438" s="51" t="s">
        <v>4377</v>
      </c>
      <c r="D438" s="51">
        <v>100022541</v>
      </c>
      <c r="E438" s="53" t="s">
        <v>4378</v>
      </c>
      <c r="F438" s="124">
        <v>100</v>
      </c>
      <c r="G438" s="124">
        <v>12000</v>
      </c>
      <c r="H438" s="369">
        <v>6.53</v>
      </c>
      <c r="I438" s="215" t="s">
        <v>76</v>
      </c>
      <c r="J438" s="215" t="s">
        <v>102</v>
      </c>
      <c r="K438" s="266">
        <v>49081141325</v>
      </c>
      <c r="L438" s="215">
        <v>49081641320</v>
      </c>
      <c r="M438" s="266">
        <v>40049081141323</v>
      </c>
      <c r="N438" s="264">
        <v>0.104</v>
      </c>
      <c r="O438" s="265">
        <v>10</v>
      </c>
      <c r="P438" s="265">
        <v>11.31</v>
      </c>
      <c r="Q438" s="265">
        <v>0.65</v>
      </c>
    </row>
    <row r="439" spans="1:17" ht="15" customHeight="1">
      <c r="A439" s="147">
        <v>487</v>
      </c>
      <c r="B439" s="51" t="s">
        <v>10</v>
      </c>
      <c r="C439" s="51" t="s">
        <v>4379</v>
      </c>
      <c r="D439" s="51">
        <v>100022543</v>
      </c>
      <c r="E439" s="53" t="s">
        <v>4380</v>
      </c>
      <c r="F439" s="124">
        <v>50</v>
      </c>
      <c r="G439" s="124">
        <v>7500</v>
      </c>
      <c r="H439" s="369">
        <v>6.53</v>
      </c>
      <c r="I439" s="215" t="s">
        <v>76</v>
      </c>
      <c r="J439" s="215" t="s">
        <v>102</v>
      </c>
      <c r="K439" s="266">
        <v>49081141301</v>
      </c>
      <c r="L439" s="215">
        <v>49081641306</v>
      </c>
      <c r="M439" s="266">
        <v>40049081141309</v>
      </c>
      <c r="N439" s="264">
        <v>0.115</v>
      </c>
      <c r="O439" s="265">
        <v>10</v>
      </c>
      <c r="P439" s="265">
        <v>6.93</v>
      </c>
      <c r="Q439" s="265">
        <v>0.5</v>
      </c>
    </row>
    <row r="440" spans="1:17" ht="15" customHeight="1">
      <c r="B440" s="51" t="s">
        <v>10</v>
      </c>
      <c r="C440" s="51" t="s">
        <v>5885</v>
      </c>
      <c r="D440" s="51">
        <v>100022544</v>
      </c>
      <c r="E440" s="53" t="s">
        <v>5942</v>
      </c>
      <c r="F440" s="124">
        <v>50</v>
      </c>
      <c r="G440" s="124">
        <v>3750</v>
      </c>
      <c r="H440" s="369">
        <v>9.06</v>
      </c>
      <c r="I440" s="215" t="s">
        <v>346</v>
      </c>
      <c r="J440" s="215" t="s">
        <v>102</v>
      </c>
      <c r="K440" s="266">
        <v>49081141363</v>
      </c>
      <c r="L440" s="215">
        <v>49081641368</v>
      </c>
      <c r="M440" s="266">
        <v>40049081141361</v>
      </c>
      <c r="N440" s="264">
        <v>0.26400000000000001</v>
      </c>
      <c r="O440" s="265">
        <v>5</v>
      </c>
      <c r="P440" s="265">
        <v>13.2</v>
      </c>
      <c r="Q440" s="265">
        <v>0.57999999999999996</v>
      </c>
    </row>
    <row r="441" spans="1:17" ht="15" customHeight="1">
      <c r="A441" s="147">
        <v>488</v>
      </c>
      <c r="B441" s="51" t="s">
        <v>10</v>
      </c>
      <c r="C441" s="51" t="s">
        <v>4381</v>
      </c>
      <c r="D441" s="51">
        <v>100022545</v>
      </c>
      <c r="E441" s="53" t="s">
        <v>4382</v>
      </c>
      <c r="F441" s="124">
        <v>25</v>
      </c>
      <c r="G441" s="124">
        <v>3000</v>
      </c>
      <c r="H441" s="369">
        <v>15.78</v>
      </c>
      <c r="I441" s="215" t="s">
        <v>76</v>
      </c>
      <c r="J441" s="215" t="s">
        <v>102</v>
      </c>
      <c r="K441" s="266">
        <v>49081141448</v>
      </c>
      <c r="L441" s="215">
        <v>49081641443</v>
      </c>
      <c r="M441" s="266">
        <v>40049081141446</v>
      </c>
      <c r="N441" s="264">
        <v>0.46300000000000002</v>
      </c>
      <c r="O441" s="265">
        <v>5</v>
      </c>
      <c r="P441" s="265">
        <v>11.57</v>
      </c>
      <c r="Q441" s="265">
        <v>0.65</v>
      </c>
    </row>
    <row r="442" spans="1:17" ht="15" customHeight="1">
      <c r="A442" s="147">
        <v>489</v>
      </c>
      <c r="B442" s="51" t="s">
        <v>10</v>
      </c>
      <c r="C442" s="51" t="s">
        <v>4383</v>
      </c>
      <c r="D442" s="51">
        <v>100022547</v>
      </c>
      <c r="E442" s="53" t="s">
        <v>4384</v>
      </c>
      <c r="F442" s="124">
        <v>250</v>
      </c>
      <c r="G442" s="124">
        <v>22500</v>
      </c>
      <c r="H442" s="369">
        <v>3.86</v>
      </c>
      <c r="I442" s="215" t="s">
        <v>76</v>
      </c>
      <c r="J442" s="215" t="s">
        <v>102</v>
      </c>
      <c r="K442" s="266">
        <v>49081142063</v>
      </c>
      <c r="L442" s="215">
        <v>49081642068</v>
      </c>
      <c r="M442" s="266">
        <v>40049081142061</v>
      </c>
      <c r="N442" s="264">
        <v>7.0000000000000007E-2</v>
      </c>
      <c r="O442" s="265">
        <v>10</v>
      </c>
      <c r="P442" s="265">
        <v>18.53</v>
      </c>
      <c r="Q442" s="265">
        <v>0.8</v>
      </c>
    </row>
    <row r="443" spans="1:17" ht="15" customHeight="1">
      <c r="A443" s="147">
        <v>490</v>
      </c>
      <c r="B443" s="51" t="s">
        <v>10</v>
      </c>
      <c r="C443" s="51" t="s">
        <v>4385</v>
      </c>
      <c r="D443" s="51">
        <v>100022551</v>
      </c>
      <c r="E443" s="53" t="s">
        <v>4386</v>
      </c>
      <c r="F443" s="124">
        <v>50</v>
      </c>
      <c r="G443" s="124">
        <v>7500</v>
      </c>
      <c r="H443" s="369">
        <v>12.14</v>
      </c>
      <c r="I443" s="215" t="s">
        <v>76</v>
      </c>
      <c r="J443" s="215" t="s">
        <v>102</v>
      </c>
      <c r="K443" s="266">
        <v>49081142100</v>
      </c>
      <c r="L443" s="215">
        <v>49081642105</v>
      </c>
      <c r="M443" s="266">
        <v>40049081142108</v>
      </c>
      <c r="N443" s="264">
        <v>0.19900000000000001</v>
      </c>
      <c r="O443" s="265">
        <v>10</v>
      </c>
      <c r="P443" s="265">
        <v>10.35</v>
      </c>
      <c r="Q443" s="265">
        <v>0.5</v>
      </c>
    </row>
    <row r="444" spans="1:17" ht="15" customHeight="1">
      <c r="B444" s="51" t="s">
        <v>10</v>
      </c>
      <c r="C444" s="51" t="s">
        <v>5886</v>
      </c>
      <c r="D444" s="51">
        <v>100022553</v>
      </c>
      <c r="E444" s="53" t="s">
        <v>5943</v>
      </c>
      <c r="F444" s="124">
        <v>50</v>
      </c>
      <c r="G444" s="124">
        <v>3000</v>
      </c>
      <c r="H444" s="369">
        <v>12.38</v>
      </c>
      <c r="I444" s="215" t="s">
        <v>346</v>
      </c>
      <c r="J444" s="215" t="s">
        <v>102</v>
      </c>
      <c r="K444" s="266">
        <v>49081142124</v>
      </c>
      <c r="L444" s="215">
        <v>49081642129</v>
      </c>
      <c r="M444" s="266">
        <v>40049081142122</v>
      </c>
      <c r="N444" s="264">
        <v>0.29599999999999999</v>
      </c>
      <c r="O444" s="265">
        <v>5</v>
      </c>
      <c r="P444" s="265">
        <v>15.75</v>
      </c>
      <c r="Q444" s="265">
        <v>0.72</v>
      </c>
    </row>
    <row r="445" spans="1:17" ht="15" customHeight="1">
      <c r="A445" s="147">
        <v>491</v>
      </c>
      <c r="B445" s="51" t="s">
        <v>10</v>
      </c>
      <c r="C445" s="51" t="s">
        <v>4387</v>
      </c>
      <c r="D445" s="51">
        <v>100022555</v>
      </c>
      <c r="E445" s="53" t="s">
        <v>4388</v>
      </c>
      <c r="F445" s="124">
        <v>25</v>
      </c>
      <c r="G445" s="124">
        <v>3000</v>
      </c>
      <c r="H445" s="369">
        <v>16.440000000000001</v>
      </c>
      <c r="I445" s="215" t="s">
        <v>346</v>
      </c>
      <c r="J445" s="215" t="s">
        <v>102</v>
      </c>
      <c r="K445" s="266">
        <v>49081142148</v>
      </c>
      <c r="L445" s="215">
        <v>49081642143</v>
      </c>
      <c r="M445" s="266">
        <v>40049081142146</v>
      </c>
      <c r="N445" s="264">
        <v>0.36599999999999999</v>
      </c>
      <c r="O445" s="265">
        <v>5</v>
      </c>
      <c r="P445" s="265">
        <v>9.8000000000000007</v>
      </c>
      <c r="Q445" s="265">
        <v>0.65</v>
      </c>
    </row>
    <row r="446" spans="1:17" ht="15" customHeight="1">
      <c r="A446" s="147">
        <v>492</v>
      </c>
      <c r="B446" s="51" t="s">
        <v>10</v>
      </c>
      <c r="C446" s="51" t="s">
        <v>4389</v>
      </c>
      <c r="D446" s="51">
        <v>100022559</v>
      </c>
      <c r="E446" s="53" t="s">
        <v>4390</v>
      </c>
      <c r="F446" s="124">
        <v>250</v>
      </c>
      <c r="G446" s="124">
        <v>22500</v>
      </c>
      <c r="H446" s="369">
        <v>4.49</v>
      </c>
      <c r="I446" s="215" t="s">
        <v>76</v>
      </c>
      <c r="J446" s="215" t="s">
        <v>102</v>
      </c>
      <c r="K446" s="266">
        <v>49081142322</v>
      </c>
      <c r="L446" s="215">
        <v>49081642327</v>
      </c>
      <c r="M446" s="266">
        <v>40049081142320</v>
      </c>
      <c r="N446" s="264">
        <v>4.7E-2</v>
      </c>
      <c r="O446" s="265">
        <v>10</v>
      </c>
      <c r="P446" s="265">
        <v>14.96</v>
      </c>
      <c r="Q446" s="265">
        <v>0.8</v>
      </c>
    </row>
    <row r="447" spans="1:17" ht="15" customHeight="1">
      <c r="A447" s="147">
        <v>493</v>
      </c>
      <c r="B447" s="51" t="s">
        <v>10</v>
      </c>
      <c r="C447" s="51" t="s">
        <v>4391</v>
      </c>
      <c r="D447" s="51">
        <v>100022561</v>
      </c>
      <c r="E447" s="53" t="s">
        <v>4392</v>
      </c>
      <c r="F447" s="124">
        <v>150</v>
      </c>
      <c r="G447" s="124">
        <v>13500</v>
      </c>
      <c r="H447" s="369">
        <v>5.5</v>
      </c>
      <c r="I447" s="215" t="s">
        <v>76</v>
      </c>
      <c r="J447" s="215" t="s">
        <v>102</v>
      </c>
      <c r="K447" s="266">
        <v>49081142346</v>
      </c>
      <c r="L447" s="215">
        <v>49081642341</v>
      </c>
      <c r="M447" s="266">
        <v>40049081142344</v>
      </c>
      <c r="N447" s="264">
        <v>8.3000000000000004E-2</v>
      </c>
      <c r="O447" s="265">
        <v>10</v>
      </c>
      <c r="P447" s="265">
        <v>13.25</v>
      </c>
      <c r="Q447" s="265">
        <v>0.8</v>
      </c>
    </row>
    <row r="448" spans="1:17" ht="15" customHeight="1">
      <c r="A448" s="147">
        <v>494</v>
      </c>
      <c r="B448" s="51" t="s">
        <v>10</v>
      </c>
      <c r="C448" s="51" t="s">
        <v>4393</v>
      </c>
      <c r="D448" s="51">
        <v>100022563</v>
      </c>
      <c r="E448" s="53" t="s">
        <v>4394</v>
      </c>
      <c r="F448" s="124">
        <v>50</v>
      </c>
      <c r="G448" s="124">
        <v>7500</v>
      </c>
      <c r="H448" s="369">
        <v>9.5</v>
      </c>
      <c r="I448" s="215" t="s">
        <v>76</v>
      </c>
      <c r="J448" s="215" t="s">
        <v>102</v>
      </c>
      <c r="K448" s="266">
        <v>49081142360</v>
      </c>
      <c r="L448" s="215">
        <v>49081642365</v>
      </c>
      <c r="M448" s="266">
        <v>40049081142368</v>
      </c>
      <c r="N448" s="264">
        <v>0.13</v>
      </c>
      <c r="O448" s="265">
        <v>10</v>
      </c>
      <c r="P448" s="265">
        <v>7.17</v>
      </c>
      <c r="Q448" s="265">
        <v>0.5</v>
      </c>
    </row>
    <row r="449" spans="1:17" ht="15" customHeight="1">
      <c r="A449" s="147">
        <v>495</v>
      </c>
      <c r="B449" s="51" t="s">
        <v>10</v>
      </c>
      <c r="C449" s="51" t="s">
        <v>4395</v>
      </c>
      <c r="D449" s="51">
        <v>100022566</v>
      </c>
      <c r="E449" s="53" t="s">
        <v>4396</v>
      </c>
      <c r="F449" s="124">
        <v>50</v>
      </c>
      <c r="G449" s="124">
        <v>4500</v>
      </c>
      <c r="H449" s="369">
        <v>11.38</v>
      </c>
      <c r="I449" s="215" t="s">
        <v>346</v>
      </c>
      <c r="J449" s="215" t="s">
        <v>102</v>
      </c>
      <c r="K449" s="266">
        <v>49081142384</v>
      </c>
      <c r="L449" s="215">
        <v>49081642389</v>
      </c>
      <c r="M449" s="266">
        <v>40049081142382</v>
      </c>
      <c r="N449" s="264">
        <v>0.224</v>
      </c>
      <c r="O449" s="265">
        <v>5</v>
      </c>
      <c r="P449" s="265">
        <v>11.85</v>
      </c>
      <c r="Q449" s="265">
        <v>0.8</v>
      </c>
    </row>
    <row r="450" spans="1:17" ht="15" customHeight="1">
      <c r="A450" s="147">
        <v>496</v>
      </c>
      <c r="B450" s="51" t="s">
        <v>10</v>
      </c>
      <c r="C450" s="51" t="s">
        <v>4397</v>
      </c>
      <c r="D450" s="51">
        <v>100022568</v>
      </c>
      <c r="E450" s="53" t="s">
        <v>4398</v>
      </c>
      <c r="F450" s="124">
        <v>50</v>
      </c>
      <c r="G450" s="124">
        <v>3750</v>
      </c>
      <c r="H450" s="369">
        <v>12.56</v>
      </c>
      <c r="I450" s="215" t="s">
        <v>76</v>
      </c>
      <c r="J450" s="215" t="s">
        <v>102</v>
      </c>
      <c r="K450" s="266">
        <v>49081142407</v>
      </c>
      <c r="L450" s="215">
        <v>49081642402</v>
      </c>
      <c r="M450" s="266">
        <v>40049081142405</v>
      </c>
      <c r="N450" s="264">
        <v>0.224</v>
      </c>
      <c r="O450" s="265">
        <v>5</v>
      </c>
      <c r="P450" s="265">
        <v>12.43</v>
      </c>
      <c r="Q450" s="265">
        <v>0.95</v>
      </c>
    </row>
    <row r="451" spans="1:17" ht="15" customHeight="1">
      <c r="A451" s="147">
        <v>497</v>
      </c>
      <c r="B451" s="51" t="s">
        <v>10</v>
      </c>
      <c r="C451" s="51" t="s">
        <v>4399</v>
      </c>
      <c r="D451" s="51">
        <v>100022570</v>
      </c>
      <c r="E451" s="53" t="s">
        <v>4400</v>
      </c>
      <c r="F451" s="124">
        <v>20</v>
      </c>
      <c r="G451" s="124">
        <v>1800</v>
      </c>
      <c r="H451" s="369">
        <v>24.23</v>
      </c>
      <c r="I451" s="215" t="s">
        <v>76</v>
      </c>
      <c r="J451" s="215" t="s">
        <v>102</v>
      </c>
      <c r="K451" s="266">
        <v>49081142421</v>
      </c>
      <c r="L451" s="215">
        <v>49081642426</v>
      </c>
      <c r="M451" s="266">
        <v>40049081142429</v>
      </c>
      <c r="N451" s="264">
        <v>0.40300000000000002</v>
      </c>
      <c r="O451" s="265">
        <v>5</v>
      </c>
      <c r="P451" s="265">
        <v>10.1</v>
      </c>
      <c r="Q451" s="265">
        <v>0.8</v>
      </c>
    </row>
    <row r="452" spans="1:17" ht="15" customHeight="1">
      <c r="A452" s="147">
        <v>498</v>
      </c>
      <c r="B452" s="51" t="s">
        <v>10</v>
      </c>
      <c r="C452" s="51" t="s">
        <v>4401</v>
      </c>
      <c r="D452" s="51">
        <v>100022575</v>
      </c>
      <c r="E452" s="53" t="s">
        <v>4402</v>
      </c>
      <c r="F452" s="124">
        <v>250</v>
      </c>
      <c r="G452" s="124">
        <v>22500</v>
      </c>
      <c r="H452" s="369">
        <v>3.48</v>
      </c>
      <c r="I452" s="215" t="s">
        <v>346</v>
      </c>
      <c r="J452" s="215" t="s">
        <v>102</v>
      </c>
      <c r="K452" s="266">
        <v>49081141660</v>
      </c>
      <c r="L452" s="215">
        <v>49081641665</v>
      </c>
      <c r="M452" s="266">
        <v>40049081141668</v>
      </c>
      <c r="N452" s="264">
        <v>5.8000000000000003E-2</v>
      </c>
      <c r="O452" s="265">
        <v>10</v>
      </c>
      <c r="P452" s="265">
        <v>15.89</v>
      </c>
      <c r="Q452" s="265">
        <v>0.8</v>
      </c>
    </row>
    <row r="453" spans="1:17" ht="15" customHeight="1">
      <c r="A453" s="147">
        <v>499</v>
      </c>
      <c r="B453" s="51" t="s">
        <v>10</v>
      </c>
      <c r="C453" s="51" t="s">
        <v>4403</v>
      </c>
      <c r="D453" s="51">
        <v>100022577</v>
      </c>
      <c r="E453" s="53" t="s">
        <v>4404</v>
      </c>
      <c r="F453" s="124">
        <v>150</v>
      </c>
      <c r="G453" s="124">
        <v>13500</v>
      </c>
      <c r="H453" s="369">
        <v>4.07</v>
      </c>
      <c r="I453" s="215" t="s">
        <v>76</v>
      </c>
      <c r="J453" s="215" t="s">
        <v>102</v>
      </c>
      <c r="K453" s="266">
        <v>49081141684</v>
      </c>
      <c r="L453" s="215">
        <v>49081641689</v>
      </c>
      <c r="M453" s="266">
        <v>40049081141682</v>
      </c>
      <c r="N453" s="264">
        <v>0.08</v>
      </c>
      <c r="O453" s="265">
        <v>10</v>
      </c>
      <c r="P453" s="265">
        <v>13.05</v>
      </c>
      <c r="Q453" s="265">
        <v>0.8</v>
      </c>
    </row>
    <row r="454" spans="1:17" ht="15" customHeight="1">
      <c r="A454" s="147">
        <v>500</v>
      </c>
      <c r="B454" s="51" t="s">
        <v>10</v>
      </c>
      <c r="C454" s="51" t="s">
        <v>4405</v>
      </c>
      <c r="D454" s="51">
        <v>100022579</v>
      </c>
      <c r="E454" s="53" t="s">
        <v>4406</v>
      </c>
      <c r="F454" s="124">
        <v>50</v>
      </c>
      <c r="G454" s="124">
        <v>6000</v>
      </c>
      <c r="H454" s="369">
        <v>6.84</v>
      </c>
      <c r="I454" s="215" t="s">
        <v>76</v>
      </c>
      <c r="J454" s="215" t="s">
        <v>102</v>
      </c>
      <c r="K454" s="266">
        <v>49081141707</v>
      </c>
      <c r="L454" s="215">
        <v>49081641702</v>
      </c>
      <c r="M454" s="266">
        <v>40049081141705</v>
      </c>
      <c r="N454" s="264">
        <v>0.155</v>
      </c>
      <c r="O454" s="265">
        <v>10</v>
      </c>
      <c r="P454" s="265">
        <v>12.9</v>
      </c>
      <c r="Q454" s="265">
        <v>0.65</v>
      </c>
    </row>
    <row r="455" spans="1:17" ht="15" customHeight="1">
      <c r="A455" s="147">
        <v>501</v>
      </c>
      <c r="B455" s="51" t="s">
        <v>10</v>
      </c>
      <c r="C455" s="51" t="s">
        <v>4407</v>
      </c>
      <c r="D455" s="51">
        <v>100022581</v>
      </c>
      <c r="E455" s="53" t="s">
        <v>4408</v>
      </c>
      <c r="F455" s="124">
        <v>50</v>
      </c>
      <c r="G455" s="124">
        <v>4500</v>
      </c>
      <c r="H455" s="369">
        <v>9.5</v>
      </c>
      <c r="I455" s="215" t="s">
        <v>76</v>
      </c>
      <c r="J455" s="215" t="s">
        <v>102</v>
      </c>
      <c r="K455" s="266">
        <v>49081141721</v>
      </c>
      <c r="L455" s="215">
        <v>49081641726</v>
      </c>
      <c r="M455" s="266">
        <v>40049081141729</v>
      </c>
      <c r="N455" s="264">
        <v>0.25800000000000001</v>
      </c>
      <c r="O455" s="265">
        <v>5</v>
      </c>
      <c r="P455" s="265">
        <v>8.65</v>
      </c>
      <c r="Q455" s="265">
        <v>0.72</v>
      </c>
    </row>
    <row r="456" spans="1:17" ht="15" customHeight="1">
      <c r="A456" s="147">
        <v>502</v>
      </c>
      <c r="B456" s="51" t="s">
        <v>10</v>
      </c>
      <c r="C456" s="51" t="s">
        <v>4409</v>
      </c>
      <c r="D456" s="51">
        <v>100022583</v>
      </c>
      <c r="E456" s="53" t="s">
        <v>4410</v>
      </c>
      <c r="F456" s="124">
        <v>25</v>
      </c>
      <c r="G456" s="124">
        <v>3000</v>
      </c>
      <c r="H456" s="369">
        <v>9.9600000000000009</v>
      </c>
      <c r="I456" s="215" t="s">
        <v>346</v>
      </c>
      <c r="J456" s="215" t="s">
        <v>102</v>
      </c>
      <c r="K456" s="266">
        <v>49081141745</v>
      </c>
      <c r="L456" s="215">
        <v>49081641740</v>
      </c>
      <c r="M456" s="266">
        <v>40049081141743</v>
      </c>
      <c r="N456" s="264">
        <v>0.316</v>
      </c>
      <c r="O456" s="265">
        <v>5</v>
      </c>
      <c r="P456" s="265">
        <v>8.65</v>
      </c>
      <c r="Q456" s="265">
        <v>0.65</v>
      </c>
    </row>
    <row r="457" spans="1:17" ht="15" customHeight="1">
      <c r="A457" s="147">
        <v>503</v>
      </c>
      <c r="B457" s="51" t="s">
        <v>10</v>
      </c>
      <c r="C457" s="51" t="s">
        <v>4411</v>
      </c>
      <c r="D457" s="51">
        <v>100022585</v>
      </c>
      <c r="E457" s="53" t="s">
        <v>4412</v>
      </c>
      <c r="F457" s="124">
        <v>20</v>
      </c>
      <c r="G457" s="124">
        <v>1800</v>
      </c>
      <c r="H457" s="369">
        <v>24.51</v>
      </c>
      <c r="I457" s="215" t="s">
        <v>76</v>
      </c>
      <c r="J457" s="215" t="s">
        <v>102</v>
      </c>
      <c r="K457" s="266">
        <v>49081141769</v>
      </c>
      <c r="L457" s="215">
        <v>49081641764</v>
      </c>
      <c r="M457" s="266">
        <v>40049081141767</v>
      </c>
      <c r="N457" s="264">
        <v>0.47599999999999998</v>
      </c>
      <c r="O457" s="265">
        <v>5</v>
      </c>
      <c r="P457" s="265">
        <v>10.25</v>
      </c>
      <c r="Q457" s="265">
        <v>0.8</v>
      </c>
    </row>
    <row r="458" spans="1:17" ht="15" customHeight="1">
      <c r="A458" s="147">
        <v>504</v>
      </c>
      <c r="B458" s="51" t="s">
        <v>10</v>
      </c>
      <c r="C458" s="51" t="s">
        <v>4413</v>
      </c>
      <c r="D458" s="51">
        <v>100022588</v>
      </c>
      <c r="E458" s="53" t="s">
        <v>4414</v>
      </c>
      <c r="F458" s="124">
        <v>100</v>
      </c>
      <c r="G458" s="124">
        <v>9000</v>
      </c>
      <c r="H458" s="369">
        <v>8.44</v>
      </c>
      <c r="I458" s="215" t="s">
        <v>76</v>
      </c>
      <c r="J458" s="215" t="s">
        <v>102</v>
      </c>
      <c r="K458" s="266">
        <v>49081141646</v>
      </c>
      <c r="L458" s="215">
        <v>49081641641</v>
      </c>
      <c r="M458" s="266">
        <v>40049081141644</v>
      </c>
      <c r="N458" s="264">
        <v>0.15</v>
      </c>
      <c r="O458" s="265">
        <v>10</v>
      </c>
      <c r="P458" s="265">
        <v>15.67</v>
      </c>
      <c r="Q458" s="265">
        <v>0.8</v>
      </c>
    </row>
    <row r="459" spans="1:17" ht="15" customHeight="1">
      <c r="A459" s="147">
        <v>505</v>
      </c>
      <c r="B459" s="51" t="s">
        <v>10</v>
      </c>
      <c r="C459" s="51" t="s">
        <v>4415</v>
      </c>
      <c r="D459" s="51">
        <v>100022595</v>
      </c>
      <c r="E459" s="53" t="s">
        <v>4416</v>
      </c>
      <c r="F459" s="124">
        <v>50</v>
      </c>
      <c r="G459" s="124">
        <v>7500</v>
      </c>
      <c r="H459" s="369">
        <v>9.11</v>
      </c>
      <c r="I459" s="215" t="s">
        <v>346</v>
      </c>
      <c r="J459" s="215" t="s">
        <v>102</v>
      </c>
      <c r="K459" s="266">
        <v>49081142568</v>
      </c>
      <c r="L459" s="215">
        <v>49081642563</v>
      </c>
      <c r="M459" s="266">
        <v>40049081142566</v>
      </c>
      <c r="N459" s="264">
        <v>0.13200000000000001</v>
      </c>
      <c r="O459" s="265">
        <v>10</v>
      </c>
      <c r="P459" s="265">
        <v>7.48</v>
      </c>
      <c r="Q459" s="265">
        <v>0.5</v>
      </c>
    </row>
    <row r="460" spans="1:17" ht="15" customHeight="1">
      <c r="B460" s="51" t="s">
        <v>10</v>
      </c>
      <c r="C460" s="51" t="s">
        <v>5887</v>
      </c>
      <c r="D460" s="51">
        <v>100027398</v>
      </c>
      <c r="E460" s="53" t="s">
        <v>5944</v>
      </c>
      <c r="F460" s="124">
        <v>50</v>
      </c>
      <c r="G460" s="124">
        <v>1000</v>
      </c>
      <c r="H460" s="369">
        <v>10.94</v>
      </c>
      <c r="I460" s="215" t="s">
        <v>346</v>
      </c>
      <c r="J460" s="215" t="s">
        <v>77</v>
      </c>
      <c r="K460" s="266">
        <v>49081142582</v>
      </c>
      <c r="L460" s="215" t="s">
        <v>649</v>
      </c>
      <c r="M460" s="266">
        <v>40049081142580</v>
      </c>
      <c r="N460" s="264">
        <v>0.26700000000000002</v>
      </c>
      <c r="O460" s="265" t="s">
        <v>649</v>
      </c>
      <c r="P460" s="265">
        <v>13.35</v>
      </c>
      <c r="Q460" s="265" t="s">
        <v>649</v>
      </c>
    </row>
    <row r="461" spans="1:17" ht="15" customHeight="1">
      <c r="A461" s="147">
        <v>506</v>
      </c>
      <c r="B461" s="51" t="s">
        <v>10</v>
      </c>
      <c r="C461" s="51" t="s">
        <v>4417</v>
      </c>
      <c r="D461" s="51">
        <v>100022601</v>
      </c>
      <c r="E461" s="53" t="s">
        <v>4418</v>
      </c>
      <c r="F461" s="124">
        <v>250</v>
      </c>
      <c r="G461" s="124">
        <v>30000</v>
      </c>
      <c r="H461" s="369">
        <v>4.67</v>
      </c>
      <c r="I461" s="215" t="s">
        <v>76</v>
      </c>
      <c r="J461" s="215" t="s">
        <v>102</v>
      </c>
      <c r="K461" s="266">
        <v>49081141868</v>
      </c>
      <c r="L461" s="215">
        <v>49081641863</v>
      </c>
      <c r="M461" s="266">
        <v>40049081141866</v>
      </c>
      <c r="N461" s="264">
        <v>3.7999999999999999E-2</v>
      </c>
      <c r="O461" s="265">
        <v>10</v>
      </c>
      <c r="P461" s="265">
        <v>11.44</v>
      </c>
      <c r="Q461" s="265">
        <v>0.65</v>
      </c>
    </row>
    <row r="462" spans="1:17" ht="15" customHeight="1">
      <c r="A462" s="147">
        <v>507</v>
      </c>
      <c r="B462" s="51" t="s">
        <v>10</v>
      </c>
      <c r="C462" s="51" t="s">
        <v>4419</v>
      </c>
      <c r="D462" s="51">
        <v>100022603</v>
      </c>
      <c r="E462" s="53" t="s">
        <v>4420</v>
      </c>
      <c r="F462" s="124">
        <v>250</v>
      </c>
      <c r="G462" s="124">
        <v>37500</v>
      </c>
      <c r="H462" s="369">
        <v>3.9</v>
      </c>
      <c r="I462" s="215" t="s">
        <v>76</v>
      </c>
      <c r="J462" s="215" t="s">
        <v>102</v>
      </c>
      <c r="K462" s="266">
        <v>49081141875</v>
      </c>
      <c r="L462" s="215">
        <v>49081641870</v>
      </c>
      <c r="M462" s="266">
        <v>40049081141873</v>
      </c>
      <c r="N462" s="264">
        <v>3.2000000000000001E-2</v>
      </c>
      <c r="O462" s="265">
        <v>10</v>
      </c>
      <c r="P462" s="265">
        <v>8.6999999999999993</v>
      </c>
      <c r="Q462" s="265">
        <v>0.5</v>
      </c>
    </row>
    <row r="463" spans="1:17" ht="15" customHeight="1">
      <c r="A463" s="147">
        <v>508</v>
      </c>
      <c r="B463" s="51" t="s">
        <v>10</v>
      </c>
      <c r="C463" s="51" t="s">
        <v>4421</v>
      </c>
      <c r="D463" s="51">
        <v>100022605</v>
      </c>
      <c r="E463" s="53" t="s">
        <v>4422</v>
      </c>
      <c r="F463" s="124">
        <v>250</v>
      </c>
      <c r="G463" s="124">
        <v>18750</v>
      </c>
      <c r="H463" s="369">
        <v>4.7</v>
      </c>
      <c r="I463" s="215" t="s">
        <v>76</v>
      </c>
      <c r="J463" s="215" t="s">
        <v>102</v>
      </c>
      <c r="K463" s="266">
        <v>49081141899</v>
      </c>
      <c r="L463" s="215">
        <v>49081641894</v>
      </c>
      <c r="M463" s="266">
        <v>40049081141897</v>
      </c>
      <c r="N463" s="264">
        <v>0.05</v>
      </c>
      <c r="O463" s="265">
        <v>10</v>
      </c>
      <c r="P463" s="265">
        <v>13.51</v>
      </c>
      <c r="Q463" s="265">
        <v>0.95</v>
      </c>
    </row>
    <row r="464" spans="1:17" ht="15" customHeight="1">
      <c r="A464" s="147">
        <v>509</v>
      </c>
      <c r="B464" s="51" t="s">
        <v>10</v>
      </c>
      <c r="C464" s="51" t="s">
        <v>4423</v>
      </c>
      <c r="D464" s="51">
        <v>100022607</v>
      </c>
      <c r="E464" s="53" t="s">
        <v>4424</v>
      </c>
      <c r="F464" s="124">
        <v>100</v>
      </c>
      <c r="G464" s="124">
        <v>12000</v>
      </c>
      <c r="H464" s="369">
        <v>9.7899999999999991</v>
      </c>
      <c r="I464" s="215" t="s">
        <v>76</v>
      </c>
      <c r="J464" s="215" t="s">
        <v>102</v>
      </c>
      <c r="K464" s="266">
        <v>49081141905</v>
      </c>
      <c r="L464" s="215">
        <v>49081641900</v>
      </c>
      <c r="M464" s="266">
        <v>40049081141903</v>
      </c>
      <c r="N464" s="264">
        <v>0.126</v>
      </c>
      <c r="O464" s="265">
        <v>10</v>
      </c>
      <c r="P464" s="265">
        <v>13.71</v>
      </c>
      <c r="Q464" s="265">
        <v>0.65</v>
      </c>
    </row>
    <row r="465" spans="1:17" ht="15" customHeight="1">
      <c r="A465" s="147">
        <v>510</v>
      </c>
      <c r="B465" s="51" t="s">
        <v>10</v>
      </c>
      <c r="C465" s="51" t="s">
        <v>4425</v>
      </c>
      <c r="D465" s="51">
        <v>100022609</v>
      </c>
      <c r="E465" s="53" t="s">
        <v>4426</v>
      </c>
      <c r="F465" s="124">
        <v>100</v>
      </c>
      <c r="G465" s="124">
        <v>12000</v>
      </c>
      <c r="H465" s="369">
        <v>8.1999999999999993</v>
      </c>
      <c r="I465" s="215" t="s">
        <v>346</v>
      </c>
      <c r="J465" s="215" t="s">
        <v>102</v>
      </c>
      <c r="K465" s="266">
        <v>49081141912</v>
      </c>
      <c r="L465" s="215">
        <v>49081641917</v>
      </c>
      <c r="M465" s="266">
        <v>40049081141910</v>
      </c>
      <c r="N465" s="264">
        <v>8.8999999999999996E-2</v>
      </c>
      <c r="O465" s="265">
        <v>10</v>
      </c>
      <c r="P465" s="265">
        <v>8.9700000000000006</v>
      </c>
      <c r="Q465" s="265">
        <v>0.65</v>
      </c>
    </row>
    <row r="466" spans="1:17" ht="15" customHeight="1">
      <c r="B466" s="51" t="s">
        <v>10</v>
      </c>
      <c r="C466" s="51" t="s">
        <v>5888</v>
      </c>
      <c r="D466" s="51">
        <v>100022611</v>
      </c>
      <c r="E466" s="53" t="s">
        <v>5945</v>
      </c>
      <c r="F466" s="124">
        <v>50</v>
      </c>
      <c r="G466" s="124">
        <v>3000</v>
      </c>
      <c r="H466" s="369">
        <v>11.56</v>
      </c>
      <c r="I466" s="215" t="s">
        <v>346</v>
      </c>
      <c r="J466" s="215" t="s">
        <v>102</v>
      </c>
      <c r="K466" s="266">
        <v>49081141929</v>
      </c>
      <c r="L466" s="215">
        <v>49081641924</v>
      </c>
      <c r="M466" s="266">
        <v>40049081141927</v>
      </c>
      <c r="N466" s="264">
        <v>0.36199999999999999</v>
      </c>
      <c r="O466" s="265">
        <v>5</v>
      </c>
      <c r="P466" s="265">
        <v>18.100000000000001</v>
      </c>
      <c r="Q466" s="265">
        <v>0.72</v>
      </c>
    </row>
    <row r="467" spans="1:17" ht="15" customHeight="1">
      <c r="A467" s="147">
        <v>511</v>
      </c>
      <c r="B467" s="51" t="s">
        <v>10</v>
      </c>
      <c r="C467" s="51" t="s">
        <v>4427</v>
      </c>
      <c r="D467" s="51">
        <v>100022613</v>
      </c>
      <c r="E467" s="53" t="s">
        <v>4428</v>
      </c>
      <c r="F467" s="124">
        <v>25</v>
      </c>
      <c r="G467" s="124">
        <v>3000</v>
      </c>
      <c r="H467" s="369">
        <v>13.18</v>
      </c>
      <c r="I467" s="215" t="s">
        <v>346</v>
      </c>
      <c r="J467" s="215" t="s">
        <v>102</v>
      </c>
      <c r="K467" s="266">
        <v>49081141943</v>
      </c>
      <c r="L467" s="215">
        <v>49081641948</v>
      </c>
      <c r="M467" s="266">
        <v>40049081141941</v>
      </c>
      <c r="N467" s="264">
        <v>0.44</v>
      </c>
      <c r="O467" s="265">
        <v>5</v>
      </c>
      <c r="P467" s="265">
        <v>11.65</v>
      </c>
      <c r="Q467" s="265">
        <v>0.65</v>
      </c>
    </row>
    <row r="468" spans="1:17" ht="15" customHeight="1">
      <c r="A468" s="147">
        <v>512</v>
      </c>
      <c r="B468" s="51" t="s">
        <v>10</v>
      </c>
      <c r="C468" s="51" t="s">
        <v>4429</v>
      </c>
      <c r="D468" s="51">
        <v>100022615</v>
      </c>
      <c r="E468" s="53" t="s">
        <v>4430</v>
      </c>
      <c r="F468" s="124">
        <v>20</v>
      </c>
      <c r="G468" s="124">
        <v>1500</v>
      </c>
      <c r="H468" s="369">
        <v>25.13</v>
      </c>
      <c r="I468" s="215" t="s">
        <v>346</v>
      </c>
      <c r="J468" s="215" t="s">
        <v>102</v>
      </c>
      <c r="K468" s="266">
        <v>49081141967</v>
      </c>
      <c r="L468" s="215">
        <v>49081641962</v>
      </c>
      <c r="M468" s="266">
        <v>40049081141965</v>
      </c>
      <c r="N468" s="264">
        <v>0.52</v>
      </c>
      <c r="O468" s="265">
        <v>5</v>
      </c>
      <c r="P468" s="265">
        <v>11.3</v>
      </c>
      <c r="Q468" s="265">
        <v>0.95</v>
      </c>
    </row>
    <row r="469" spans="1:17" ht="15" customHeight="1">
      <c r="A469" s="147">
        <v>513</v>
      </c>
      <c r="B469" s="51" t="s">
        <v>10</v>
      </c>
      <c r="C469" s="51" t="s">
        <v>4431</v>
      </c>
      <c r="D469" s="51">
        <v>100022618</v>
      </c>
      <c r="E469" s="53" t="s">
        <v>4432</v>
      </c>
      <c r="F469" s="124">
        <v>100</v>
      </c>
      <c r="G469" s="124">
        <v>12000</v>
      </c>
      <c r="H469" s="369">
        <v>8.6</v>
      </c>
      <c r="I469" s="215" t="s">
        <v>346</v>
      </c>
      <c r="J469" s="215" t="s">
        <v>102</v>
      </c>
      <c r="K469" s="266">
        <v>49081142681</v>
      </c>
      <c r="L469" s="215">
        <v>49081642686</v>
      </c>
      <c r="M469" s="266">
        <v>40049081142689</v>
      </c>
      <c r="N469" s="264">
        <v>0.06</v>
      </c>
      <c r="O469" s="265">
        <v>10</v>
      </c>
      <c r="P469" s="265">
        <v>9.6199999999999992</v>
      </c>
      <c r="Q469" s="265">
        <v>0.65</v>
      </c>
    </row>
    <row r="470" spans="1:17" ht="15" customHeight="1">
      <c r="A470" s="147">
        <v>514</v>
      </c>
      <c r="B470" s="51" t="s">
        <v>10</v>
      </c>
      <c r="C470" s="51" t="s">
        <v>4433</v>
      </c>
      <c r="D470" s="51">
        <v>100027400</v>
      </c>
      <c r="E470" s="53" t="s">
        <v>4434</v>
      </c>
      <c r="F470" s="124">
        <v>100</v>
      </c>
      <c r="G470" s="124" t="s">
        <v>649</v>
      </c>
      <c r="H470" s="369">
        <v>11.74</v>
      </c>
      <c r="I470" s="215" t="s">
        <v>76</v>
      </c>
      <c r="J470" s="215" t="s">
        <v>102</v>
      </c>
      <c r="K470" s="266">
        <v>49081142636</v>
      </c>
      <c r="L470" s="265" t="s">
        <v>649</v>
      </c>
      <c r="M470" s="266">
        <v>40049081142634</v>
      </c>
      <c r="N470" s="264">
        <v>8.5999999999999993E-2</v>
      </c>
      <c r="O470" s="265">
        <v>10</v>
      </c>
      <c r="P470" s="265" t="s">
        <v>649</v>
      </c>
      <c r="Q470" s="265" t="s">
        <v>649</v>
      </c>
    </row>
    <row r="471" spans="1:17" ht="15" customHeight="1">
      <c r="A471" s="147">
        <v>515</v>
      </c>
      <c r="B471" s="51" t="s">
        <v>10</v>
      </c>
      <c r="C471" s="51" t="s">
        <v>4435</v>
      </c>
      <c r="D471" s="51">
        <v>100027401</v>
      </c>
      <c r="E471" s="53" t="s">
        <v>4436</v>
      </c>
      <c r="F471" s="124">
        <v>50</v>
      </c>
      <c r="G471" s="124" t="s">
        <v>649</v>
      </c>
      <c r="H471" s="369">
        <v>15.02</v>
      </c>
      <c r="I471" s="215" t="s">
        <v>76</v>
      </c>
      <c r="J471" s="215" t="s">
        <v>102</v>
      </c>
      <c r="K471" s="266">
        <v>49081142643</v>
      </c>
      <c r="L471" s="265" t="s">
        <v>649</v>
      </c>
      <c r="M471" s="266">
        <v>40049081142641</v>
      </c>
      <c r="N471" s="264">
        <v>0.151</v>
      </c>
      <c r="O471" s="265">
        <v>10</v>
      </c>
      <c r="P471" s="265" t="s">
        <v>649</v>
      </c>
      <c r="Q471" s="265" t="s">
        <v>649</v>
      </c>
    </row>
    <row r="472" spans="1:17" ht="15" customHeight="1">
      <c r="A472" s="147">
        <v>516</v>
      </c>
      <c r="B472" s="51" t="s">
        <v>10</v>
      </c>
      <c r="C472" s="51" t="s">
        <v>4437</v>
      </c>
      <c r="D472" s="51">
        <v>100022626</v>
      </c>
      <c r="E472" s="53" t="s">
        <v>4438</v>
      </c>
      <c r="F472" s="124">
        <v>100</v>
      </c>
      <c r="G472" s="124">
        <v>9000</v>
      </c>
      <c r="H472" s="369">
        <v>10.87</v>
      </c>
      <c r="I472" s="215" t="s">
        <v>346</v>
      </c>
      <c r="J472" s="215" t="s">
        <v>102</v>
      </c>
      <c r="K472" s="266">
        <v>49081142728</v>
      </c>
      <c r="L472" s="215">
        <v>49081642723</v>
      </c>
      <c r="M472" s="266">
        <v>40049081142726</v>
      </c>
      <c r="N472" s="264">
        <v>0.11</v>
      </c>
      <c r="O472" s="265">
        <v>10</v>
      </c>
      <c r="P472" s="265">
        <v>12.6</v>
      </c>
      <c r="Q472" s="265">
        <v>0.8</v>
      </c>
    </row>
    <row r="473" spans="1:17" ht="15" customHeight="1">
      <c r="A473" s="147">
        <v>517</v>
      </c>
      <c r="B473" s="51" t="s">
        <v>10</v>
      </c>
      <c r="C473" s="51" t="s">
        <v>4439</v>
      </c>
      <c r="D473" s="51">
        <v>100022631</v>
      </c>
      <c r="E473" s="53" t="s">
        <v>4440</v>
      </c>
      <c r="F473" s="124">
        <v>250</v>
      </c>
      <c r="G473" s="124">
        <v>22500</v>
      </c>
      <c r="H473" s="369">
        <v>2.65</v>
      </c>
      <c r="I473" s="215" t="s">
        <v>76</v>
      </c>
      <c r="J473" s="215" t="s">
        <v>102</v>
      </c>
      <c r="K473" s="266">
        <v>49081140229</v>
      </c>
      <c r="L473" s="215">
        <v>49081640224</v>
      </c>
      <c r="M473" s="266">
        <v>40049081140227</v>
      </c>
      <c r="N473" s="264">
        <v>4.8000000000000001E-2</v>
      </c>
      <c r="O473" s="265">
        <v>10</v>
      </c>
      <c r="P473" s="265">
        <v>13.27</v>
      </c>
      <c r="Q473" s="265">
        <v>0.8</v>
      </c>
    </row>
    <row r="474" spans="1:17" ht="15" customHeight="1">
      <c r="A474" s="147">
        <v>518</v>
      </c>
      <c r="B474" s="51" t="s">
        <v>10</v>
      </c>
      <c r="C474" s="51" t="s">
        <v>4441</v>
      </c>
      <c r="D474" s="51">
        <v>100022633</v>
      </c>
      <c r="E474" s="53" t="s">
        <v>4442</v>
      </c>
      <c r="F474" s="124">
        <v>100</v>
      </c>
      <c r="G474" s="124">
        <v>24000</v>
      </c>
      <c r="H474" s="369">
        <v>4.07</v>
      </c>
      <c r="I474" s="215" t="s">
        <v>76</v>
      </c>
      <c r="J474" s="215" t="s">
        <v>102</v>
      </c>
      <c r="K474" s="266">
        <v>49081140243</v>
      </c>
      <c r="L474" s="215">
        <v>49081640248</v>
      </c>
      <c r="M474" s="266">
        <v>40049081140241</v>
      </c>
      <c r="N474" s="264">
        <v>8.3000000000000004E-2</v>
      </c>
      <c r="O474" s="265">
        <v>10</v>
      </c>
      <c r="P474" s="265">
        <v>9</v>
      </c>
      <c r="Q474" s="265">
        <v>0.65</v>
      </c>
    </row>
    <row r="475" spans="1:17" ht="15" customHeight="1">
      <c r="A475" s="147">
        <v>519</v>
      </c>
      <c r="B475" s="51" t="s">
        <v>10</v>
      </c>
      <c r="C475" s="51" t="s">
        <v>4443</v>
      </c>
      <c r="D475" s="51">
        <v>100022635</v>
      </c>
      <c r="E475" s="53" t="s">
        <v>4444</v>
      </c>
      <c r="F475" s="124">
        <v>100</v>
      </c>
      <c r="G475" s="124">
        <v>9000</v>
      </c>
      <c r="H475" s="369">
        <v>4.92</v>
      </c>
      <c r="I475" s="215" t="s">
        <v>76</v>
      </c>
      <c r="J475" s="215" t="s">
        <v>102</v>
      </c>
      <c r="K475" s="266">
        <v>49081140267</v>
      </c>
      <c r="L475" s="215">
        <v>49081640262</v>
      </c>
      <c r="M475" s="266">
        <v>40049081140265</v>
      </c>
      <c r="N475" s="264">
        <v>0.13500000000000001</v>
      </c>
      <c r="O475" s="265">
        <v>10</v>
      </c>
      <c r="P475" s="265">
        <v>14.72</v>
      </c>
      <c r="Q475" s="265">
        <v>0.8</v>
      </c>
    </row>
    <row r="476" spans="1:17" ht="15" customHeight="1">
      <c r="A476" s="147">
        <v>520</v>
      </c>
      <c r="B476" s="51" t="s">
        <v>10</v>
      </c>
      <c r="C476" s="51" t="s">
        <v>4445</v>
      </c>
      <c r="D476" s="51">
        <v>100022637</v>
      </c>
      <c r="E476" s="53" t="s">
        <v>4446</v>
      </c>
      <c r="F476" s="124">
        <v>50</v>
      </c>
      <c r="G476" s="124">
        <v>4500</v>
      </c>
      <c r="H476" s="369">
        <v>6.84</v>
      </c>
      <c r="I476" s="215" t="s">
        <v>76</v>
      </c>
      <c r="J476" s="215" t="s">
        <v>102</v>
      </c>
      <c r="K476" s="266">
        <v>49081140281</v>
      </c>
      <c r="L476" s="215">
        <v>49081640286</v>
      </c>
      <c r="M476" s="266">
        <v>40049081140289</v>
      </c>
      <c r="N476" s="264">
        <v>0.19400000000000001</v>
      </c>
      <c r="O476" s="265">
        <v>5</v>
      </c>
      <c r="P476" s="265">
        <v>10.73</v>
      </c>
      <c r="Q476" s="265">
        <v>0.8</v>
      </c>
    </row>
    <row r="477" spans="1:17" ht="15" customHeight="1">
      <c r="A477" s="147">
        <v>521</v>
      </c>
      <c r="B477" s="51" t="s">
        <v>10</v>
      </c>
      <c r="C477" s="51" t="s">
        <v>4447</v>
      </c>
      <c r="D477" s="51">
        <v>100022639</v>
      </c>
      <c r="E477" s="53" t="s">
        <v>4448</v>
      </c>
      <c r="F477" s="124">
        <v>50</v>
      </c>
      <c r="G477" s="124">
        <v>3750</v>
      </c>
      <c r="H477" s="369">
        <v>8.5399999999999991</v>
      </c>
      <c r="I477" s="215" t="s">
        <v>76</v>
      </c>
      <c r="J477" s="215" t="s">
        <v>102</v>
      </c>
      <c r="K477" s="266">
        <v>49081140304</v>
      </c>
      <c r="L477" s="215">
        <v>49081640309</v>
      </c>
      <c r="M477" s="266">
        <v>40049081140302</v>
      </c>
      <c r="N477" s="264">
        <v>0.22800000000000001</v>
      </c>
      <c r="O477" s="265">
        <v>10</v>
      </c>
      <c r="P477" s="265">
        <v>12.35</v>
      </c>
      <c r="Q477" s="265">
        <v>0.95</v>
      </c>
    </row>
    <row r="478" spans="1:17" ht="15" customHeight="1">
      <c r="A478" s="147">
        <v>522</v>
      </c>
      <c r="B478" s="51" t="s">
        <v>10</v>
      </c>
      <c r="C478" s="51" t="s">
        <v>4449</v>
      </c>
      <c r="D478" s="51">
        <v>100027403</v>
      </c>
      <c r="E478" s="53" t="s">
        <v>4450</v>
      </c>
      <c r="F478" s="124">
        <v>20</v>
      </c>
      <c r="G478" s="124">
        <v>2400</v>
      </c>
      <c r="H478" s="369">
        <v>11.15</v>
      </c>
      <c r="I478" s="215" t="s">
        <v>76</v>
      </c>
      <c r="J478" s="215" t="s">
        <v>102</v>
      </c>
      <c r="K478" s="266">
        <v>49081140328</v>
      </c>
      <c r="L478" s="215">
        <v>49081640323</v>
      </c>
      <c r="M478" s="266">
        <v>40049081140326</v>
      </c>
      <c r="N478" s="264">
        <v>0.307</v>
      </c>
      <c r="O478" s="265">
        <v>5</v>
      </c>
      <c r="P478" s="265">
        <v>7.56</v>
      </c>
      <c r="Q478" s="265">
        <v>0.65</v>
      </c>
    </row>
    <row r="479" spans="1:17" ht="15" customHeight="1">
      <c r="A479" s="147">
        <v>523</v>
      </c>
      <c r="B479" s="51" t="s">
        <v>10</v>
      </c>
      <c r="C479" s="51" t="s">
        <v>4451</v>
      </c>
      <c r="D479" s="51">
        <v>100022641</v>
      </c>
      <c r="E479" s="53" t="s">
        <v>4452</v>
      </c>
      <c r="F479" s="124">
        <v>10</v>
      </c>
      <c r="G479" s="124">
        <v>900</v>
      </c>
      <c r="H479" s="369">
        <v>29.05</v>
      </c>
      <c r="I479" s="215" t="s">
        <v>76</v>
      </c>
      <c r="J479" s="215" t="s">
        <v>102</v>
      </c>
      <c r="K479" s="266">
        <v>49081140342</v>
      </c>
      <c r="L479" s="265" t="s">
        <v>649</v>
      </c>
      <c r="M479" s="266">
        <v>40049081140340</v>
      </c>
      <c r="N479" s="264">
        <v>0.63200000000000001</v>
      </c>
      <c r="O479" s="265" t="s">
        <v>649</v>
      </c>
      <c r="P479" s="265">
        <v>8.81</v>
      </c>
      <c r="Q479" s="265">
        <v>0.8</v>
      </c>
    </row>
    <row r="480" spans="1:17" ht="15" customHeight="1">
      <c r="A480" s="147">
        <v>524</v>
      </c>
      <c r="B480" s="51" t="s">
        <v>10</v>
      </c>
      <c r="C480" s="51" t="s">
        <v>4453</v>
      </c>
      <c r="D480" s="51">
        <v>100022643</v>
      </c>
      <c r="E480" s="53" t="s">
        <v>4454</v>
      </c>
      <c r="F480" s="124">
        <v>8</v>
      </c>
      <c r="G480" s="124">
        <v>720</v>
      </c>
      <c r="H480" s="369">
        <v>45.06</v>
      </c>
      <c r="I480" s="215" t="s">
        <v>76</v>
      </c>
      <c r="J480" s="215" t="s">
        <v>102</v>
      </c>
      <c r="K480" s="266">
        <v>49081140366</v>
      </c>
      <c r="L480" s="265" t="s">
        <v>649</v>
      </c>
      <c r="M480" s="266">
        <v>40049081140364</v>
      </c>
      <c r="N480" s="264">
        <v>1.53</v>
      </c>
      <c r="O480" s="265" t="s">
        <v>649</v>
      </c>
      <c r="P480" s="265">
        <v>13</v>
      </c>
      <c r="Q480" s="265">
        <v>0.8</v>
      </c>
    </row>
    <row r="481" spans="1:17" ht="15" customHeight="1">
      <c r="A481" s="147">
        <v>525</v>
      </c>
      <c r="B481" s="51" t="s">
        <v>10</v>
      </c>
      <c r="C481" s="51" t="s">
        <v>4455</v>
      </c>
      <c r="D481" s="51">
        <v>100022645</v>
      </c>
      <c r="E481" s="53" t="s">
        <v>4456</v>
      </c>
      <c r="F481" s="124">
        <v>3</v>
      </c>
      <c r="G481" s="124">
        <v>270</v>
      </c>
      <c r="H481" s="369">
        <v>80.77</v>
      </c>
      <c r="I481" s="215" t="s">
        <v>76</v>
      </c>
      <c r="J481" s="215" t="s">
        <v>102</v>
      </c>
      <c r="K481" s="266">
        <v>49081140380</v>
      </c>
      <c r="L481" s="265" t="s">
        <v>649</v>
      </c>
      <c r="M481" s="266">
        <v>40049081140388</v>
      </c>
      <c r="N481" s="264">
        <v>1.48</v>
      </c>
      <c r="O481" s="265" t="s">
        <v>649</v>
      </c>
      <c r="P481" s="265">
        <v>7.07</v>
      </c>
      <c r="Q481" s="265">
        <v>0.8</v>
      </c>
    </row>
    <row r="482" spans="1:17" ht="15" customHeight="1">
      <c r="A482" s="147">
        <v>526</v>
      </c>
      <c r="B482" s="51" t="s">
        <v>10</v>
      </c>
      <c r="C482" s="51" t="s">
        <v>4457</v>
      </c>
      <c r="D482" s="51">
        <v>100022647</v>
      </c>
      <c r="E482" s="53" t="s">
        <v>4458</v>
      </c>
      <c r="F482" s="124">
        <v>2</v>
      </c>
      <c r="G482" s="124">
        <v>150</v>
      </c>
      <c r="H482" s="369">
        <v>160.22999999999999</v>
      </c>
      <c r="I482" s="215" t="s">
        <v>76</v>
      </c>
      <c r="J482" s="215" t="s">
        <v>102</v>
      </c>
      <c r="K482" s="266">
        <v>49081140403</v>
      </c>
      <c r="L482" s="265" t="s">
        <v>649</v>
      </c>
      <c r="M482" s="266">
        <v>40049081140401</v>
      </c>
      <c r="N482" s="264">
        <v>3.1560000000000001</v>
      </c>
      <c r="O482" s="265" t="s">
        <v>649</v>
      </c>
      <c r="P482" s="265">
        <v>7.05</v>
      </c>
      <c r="Q482" s="265">
        <v>0.95</v>
      </c>
    </row>
    <row r="483" spans="1:17" ht="15" customHeight="1">
      <c r="A483" s="147">
        <v>527</v>
      </c>
      <c r="B483" s="51" t="s">
        <v>10</v>
      </c>
      <c r="C483" s="51" t="s">
        <v>4459</v>
      </c>
      <c r="D483" s="51">
        <v>100022649</v>
      </c>
      <c r="E483" s="53" t="s">
        <v>4460</v>
      </c>
      <c r="F483" s="124">
        <v>2</v>
      </c>
      <c r="G483" s="124">
        <v>120</v>
      </c>
      <c r="H483" s="369">
        <v>199.57</v>
      </c>
      <c r="I483" s="215" t="s">
        <v>76</v>
      </c>
      <c r="J483" s="215" t="s">
        <v>102</v>
      </c>
      <c r="K483" s="266">
        <v>49081140427</v>
      </c>
      <c r="L483" s="265" t="s">
        <v>649</v>
      </c>
      <c r="M483" s="266">
        <v>40049081140425</v>
      </c>
      <c r="N483" s="264">
        <v>4.0549999999999997</v>
      </c>
      <c r="O483" s="265" t="s">
        <v>649</v>
      </c>
      <c r="P483" s="265">
        <v>9.06</v>
      </c>
      <c r="Q483" s="265">
        <v>1.41</v>
      </c>
    </row>
    <row r="484" spans="1:17" ht="15" customHeight="1">
      <c r="A484" s="147">
        <v>528</v>
      </c>
      <c r="B484" s="51" t="s">
        <v>10</v>
      </c>
      <c r="C484" s="51" t="s">
        <v>4461</v>
      </c>
      <c r="D484" s="51">
        <v>100027404</v>
      </c>
      <c r="E484" s="53" t="s">
        <v>4462</v>
      </c>
      <c r="F484" s="124">
        <v>2</v>
      </c>
      <c r="G484" s="124">
        <v>48</v>
      </c>
      <c r="H484" s="369">
        <v>479.99</v>
      </c>
      <c r="I484" s="215" t="s">
        <v>76</v>
      </c>
      <c r="J484" s="215" t="s">
        <v>102</v>
      </c>
      <c r="K484" s="266">
        <v>49081140441</v>
      </c>
      <c r="L484" s="265" t="s">
        <v>649</v>
      </c>
      <c r="M484" s="266">
        <v>40049081140449</v>
      </c>
      <c r="N484" s="264">
        <v>8.2059999999999995</v>
      </c>
      <c r="O484" s="265" t="s">
        <v>649</v>
      </c>
      <c r="P484" s="265">
        <v>18.489999999999998</v>
      </c>
      <c r="Q484" s="265">
        <v>2.77</v>
      </c>
    </row>
    <row r="485" spans="1:17" ht="15" customHeight="1">
      <c r="A485" s="147">
        <v>529</v>
      </c>
      <c r="B485" s="51" t="s">
        <v>10</v>
      </c>
      <c r="C485" s="51" t="s">
        <v>4463</v>
      </c>
      <c r="D485" s="51">
        <v>100022651</v>
      </c>
      <c r="E485" s="53" t="s">
        <v>4464</v>
      </c>
      <c r="F485" s="124">
        <v>100</v>
      </c>
      <c r="G485" s="124">
        <v>9000</v>
      </c>
      <c r="H485" s="369">
        <v>6.1</v>
      </c>
      <c r="I485" s="215" t="s">
        <v>76</v>
      </c>
      <c r="J485" s="215" t="s">
        <v>102</v>
      </c>
      <c r="K485" s="266">
        <v>49081139285</v>
      </c>
      <c r="L485" s="215">
        <v>49081639280</v>
      </c>
      <c r="M485" s="266">
        <v>40049081139283</v>
      </c>
      <c r="N485" s="264">
        <v>8.5999999999999993E-2</v>
      </c>
      <c r="O485" s="265">
        <v>10</v>
      </c>
      <c r="P485" s="265">
        <v>9.39</v>
      </c>
      <c r="Q485" s="265">
        <v>0.8</v>
      </c>
    </row>
    <row r="486" spans="1:17" ht="15" customHeight="1">
      <c r="A486" s="147">
        <v>530</v>
      </c>
      <c r="B486" s="51" t="s">
        <v>10</v>
      </c>
      <c r="C486" s="51" t="s">
        <v>4465</v>
      </c>
      <c r="D486" s="51">
        <v>100022653</v>
      </c>
      <c r="E486" s="53" t="s">
        <v>4466</v>
      </c>
      <c r="F486" s="124">
        <v>50</v>
      </c>
      <c r="G486" s="124">
        <v>6000</v>
      </c>
      <c r="H486" s="369">
        <v>10.08</v>
      </c>
      <c r="I486" s="215" t="s">
        <v>76</v>
      </c>
      <c r="J486" s="215" t="s">
        <v>102</v>
      </c>
      <c r="K486" s="266">
        <v>49081139308</v>
      </c>
      <c r="L486" s="215">
        <v>49081639303</v>
      </c>
      <c r="M486" s="266">
        <v>40049081139306</v>
      </c>
      <c r="N486" s="264">
        <v>0.13900000000000001</v>
      </c>
      <c r="O486" s="265">
        <v>10</v>
      </c>
      <c r="P486" s="265">
        <v>7.57</v>
      </c>
      <c r="Q486" s="265">
        <v>0.65</v>
      </c>
    </row>
    <row r="487" spans="1:17" ht="15" customHeight="1">
      <c r="A487" s="147">
        <v>531</v>
      </c>
      <c r="B487" s="51" t="s">
        <v>10</v>
      </c>
      <c r="C487" s="51" t="s">
        <v>4467</v>
      </c>
      <c r="D487" s="51">
        <v>100027405</v>
      </c>
      <c r="E487" s="53" t="s">
        <v>4468</v>
      </c>
      <c r="F487" s="124">
        <v>25</v>
      </c>
      <c r="G487" s="124">
        <v>3750</v>
      </c>
      <c r="H487" s="369">
        <v>12.56</v>
      </c>
      <c r="I487" s="215" t="s">
        <v>76</v>
      </c>
      <c r="J487" s="215" t="s">
        <v>102</v>
      </c>
      <c r="K487" s="266">
        <v>0</v>
      </c>
      <c r="L487" s="215">
        <v>49081639327</v>
      </c>
      <c r="M487" s="266">
        <v>40049081139320</v>
      </c>
      <c r="N487" s="264">
        <v>0.224</v>
      </c>
      <c r="O487" s="265">
        <v>5</v>
      </c>
      <c r="P487" s="265">
        <v>6.28</v>
      </c>
      <c r="Q487" s="265">
        <v>0.5</v>
      </c>
    </row>
    <row r="488" spans="1:17" ht="15" customHeight="1">
      <c r="B488" s="51" t="s">
        <v>10</v>
      </c>
      <c r="C488" s="51" t="s">
        <v>5889</v>
      </c>
      <c r="D488" s="51">
        <v>100022655</v>
      </c>
      <c r="E488" s="53" t="s">
        <v>5946</v>
      </c>
      <c r="F488" s="124">
        <v>25</v>
      </c>
      <c r="G488" s="124">
        <v>1500</v>
      </c>
      <c r="H488" s="369">
        <v>15.81</v>
      </c>
      <c r="I488" s="215" t="s">
        <v>76</v>
      </c>
      <c r="J488" s="215" t="s">
        <v>102</v>
      </c>
      <c r="K488" s="266">
        <v>49081139346</v>
      </c>
      <c r="L488" s="215">
        <v>49081639341</v>
      </c>
      <c r="M488" s="266">
        <v>40049081139344</v>
      </c>
      <c r="N488" s="264">
        <v>0.34200000000000003</v>
      </c>
      <c r="O488" s="265">
        <v>5</v>
      </c>
      <c r="P488" s="265">
        <v>9.4499999999999993</v>
      </c>
      <c r="Q488" s="265">
        <v>0.72</v>
      </c>
    </row>
    <row r="489" spans="1:17" ht="15" customHeight="1">
      <c r="A489" s="147">
        <v>532</v>
      </c>
      <c r="B489" s="51" t="s">
        <v>10</v>
      </c>
      <c r="C489" s="51" t="s">
        <v>4469</v>
      </c>
      <c r="D489" s="51">
        <v>100022659</v>
      </c>
      <c r="E489" s="53" t="s">
        <v>4470</v>
      </c>
      <c r="F489" s="124">
        <v>10</v>
      </c>
      <c r="G489" s="124">
        <v>900</v>
      </c>
      <c r="H489" s="369">
        <v>27.77</v>
      </c>
      <c r="I489" s="215" t="s">
        <v>76</v>
      </c>
      <c r="J489" s="215" t="s">
        <v>102</v>
      </c>
      <c r="K489" s="266">
        <v>49081139384</v>
      </c>
      <c r="L489" s="265" t="s">
        <v>649</v>
      </c>
      <c r="M489" s="266">
        <v>40049081139382</v>
      </c>
      <c r="N489" s="264">
        <v>0.70399999999999996</v>
      </c>
      <c r="O489" s="265" t="s">
        <v>649</v>
      </c>
      <c r="P489" s="265">
        <v>7.65</v>
      </c>
      <c r="Q489" s="265">
        <v>0.8</v>
      </c>
    </row>
    <row r="490" spans="1:17" ht="15" customHeight="1">
      <c r="B490" s="51" t="s">
        <v>10</v>
      </c>
      <c r="C490" s="51" t="s">
        <v>5890</v>
      </c>
      <c r="D490" s="51">
        <v>100022662</v>
      </c>
      <c r="E490" s="53" t="s">
        <v>5947</v>
      </c>
      <c r="F490" s="124">
        <v>50</v>
      </c>
      <c r="G490" s="124">
        <v>3000</v>
      </c>
      <c r="H490" s="369">
        <v>6.51</v>
      </c>
      <c r="I490" s="215" t="s">
        <v>346</v>
      </c>
      <c r="J490" s="215" t="s">
        <v>102</v>
      </c>
      <c r="K490" s="266">
        <v>49081141165</v>
      </c>
      <c r="L490" s="266">
        <v>49081641160</v>
      </c>
      <c r="M490" s="266">
        <v>40049081141163</v>
      </c>
      <c r="N490" s="264">
        <v>0.20399999999999999</v>
      </c>
      <c r="O490" s="265">
        <v>5</v>
      </c>
      <c r="P490" s="265">
        <v>11</v>
      </c>
      <c r="Q490" s="265">
        <v>0.72</v>
      </c>
    </row>
    <row r="491" spans="1:17" ht="15" customHeight="1">
      <c r="A491" s="147">
        <v>533</v>
      </c>
      <c r="B491" s="51" t="s">
        <v>10</v>
      </c>
      <c r="C491" s="51" t="s">
        <v>4471</v>
      </c>
      <c r="D491" s="51">
        <v>100022664</v>
      </c>
      <c r="E491" s="53" t="s">
        <v>4472</v>
      </c>
      <c r="F491" s="124">
        <v>50</v>
      </c>
      <c r="G491" s="124">
        <v>3750</v>
      </c>
      <c r="H491" s="369">
        <v>8.5399999999999991</v>
      </c>
      <c r="I491" s="215" t="s">
        <v>76</v>
      </c>
      <c r="J491" s="215" t="s">
        <v>102</v>
      </c>
      <c r="K491" s="266">
        <v>49081141172</v>
      </c>
      <c r="L491" s="215">
        <v>49081641177</v>
      </c>
      <c r="M491" s="266">
        <v>40049081141170</v>
      </c>
      <c r="N491" s="264">
        <v>0.25</v>
      </c>
      <c r="O491" s="265">
        <v>10</v>
      </c>
      <c r="P491" s="265">
        <v>13.58</v>
      </c>
      <c r="Q491" s="265">
        <v>0.95</v>
      </c>
    </row>
    <row r="492" spans="1:17" ht="15" customHeight="1">
      <c r="A492" s="147">
        <v>534</v>
      </c>
      <c r="B492" s="51" t="s">
        <v>10</v>
      </c>
      <c r="C492" s="51" t="s">
        <v>4473</v>
      </c>
      <c r="D492" s="51">
        <v>100022666</v>
      </c>
      <c r="E492" s="53" t="s">
        <v>4474</v>
      </c>
      <c r="F492" s="124">
        <v>20</v>
      </c>
      <c r="G492" s="124">
        <v>2400</v>
      </c>
      <c r="H492" s="369">
        <v>11.15</v>
      </c>
      <c r="I492" s="215" t="s">
        <v>76</v>
      </c>
      <c r="J492" s="215" t="s">
        <v>102</v>
      </c>
      <c r="K492" s="266">
        <v>49081141196</v>
      </c>
      <c r="L492" s="215">
        <v>49081641191</v>
      </c>
      <c r="M492" s="266">
        <v>40049081141194</v>
      </c>
      <c r="N492" s="264">
        <v>0.34599999999999997</v>
      </c>
      <c r="O492" s="265">
        <v>5</v>
      </c>
      <c r="P492" s="265">
        <v>7.87</v>
      </c>
      <c r="Q492" s="265">
        <v>0.65</v>
      </c>
    </row>
    <row r="493" spans="1:17" ht="15" customHeight="1">
      <c r="A493" s="147">
        <v>535</v>
      </c>
      <c r="B493" s="51" t="s">
        <v>10</v>
      </c>
      <c r="C493" s="51" t="s">
        <v>4475</v>
      </c>
      <c r="D493" s="51">
        <v>100022668</v>
      </c>
      <c r="E493" s="53" t="s">
        <v>4476</v>
      </c>
      <c r="F493" s="124">
        <v>250</v>
      </c>
      <c r="G493" s="124">
        <v>30000</v>
      </c>
      <c r="H493" s="369">
        <v>1.03</v>
      </c>
      <c r="I493" s="215" t="s">
        <v>76</v>
      </c>
      <c r="J493" s="215" t="s">
        <v>102</v>
      </c>
      <c r="K493" s="266">
        <v>49081137489</v>
      </c>
      <c r="L493" s="215">
        <v>49081637484</v>
      </c>
      <c r="M493" s="266">
        <v>40049081137487</v>
      </c>
      <c r="N493" s="264">
        <v>3.6999999999999998E-2</v>
      </c>
      <c r="O493" s="265">
        <v>10</v>
      </c>
      <c r="P493" s="265">
        <v>10.52</v>
      </c>
      <c r="Q493" s="265">
        <v>0.65</v>
      </c>
    </row>
    <row r="494" spans="1:17" ht="15" customHeight="1">
      <c r="A494" s="147">
        <v>536</v>
      </c>
      <c r="B494" s="51" t="s">
        <v>10</v>
      </c>
      <c r="C494" s="51" t="s">
        <v>4477</v>
      </c>
      <c r="D494" s="51">
        <v>100022672</v>
      </c>
      <c r="E494" s="53" t="s">
        <v>4478</v>
      </c>
      <c r="F494" s="124">
        <v>250</v>
      </c>
      <c r="G494" s="124">
        <v>18750</v>
      </c>
      <c r="H494" s="369">
        <v>1.42</v>
      </c>
      <c r="I494" s="215" t="s">
        <v>76</v>
      </c>
      <c r="J494" s="215" t="s">
        <v>102</v>
      </c>
      <c r="K494" s="266">
        <v>49081137502</v>
      </c>
      <c r="L494" s="215">
        <v>49081637507</v>
      </c>
      <c r="M494" s="266">
        <v>40049081137500</v>
      </c>
      <c r="N494" s="264">
        <v>5.5E-2</v>
      </c>
      <c r="O494" s="265">
        <v>10</v>
      </c>
      <c r="P494" s="265">
        <v>15.03</v>
      </c>
      <c r="Q494" s="265">
        <v>0.95</v>
      </c>
    </row>
    <row r="495" spans="1:17" ht="15" customHeight="1">
      <c r="A495" s="147">
        <v>537</v>
      </c>
      <c r="B495" s="51" t="s">
        <v>10</v>
      </c>
      <c r="C495" s="51" t="s">
        <v>4479</v>
      </c>
      <c r="D495" s="51">
        <v>100022674</v>
      </c>
      <c r="E495" s="53" t="s">
        <v>4480</v>
      </c>
      <c r="F495" s="124">
        <v>100</v>
      </c>
      <c r="G495" s="124">
        <v>12000</v>
      </c>
      <c r="H495" s="369">
        <v>2.54</v>
      </c>
      <c r="I495" s="215" t="s">
        <v>76</v>
      </c>
      <c r="J495" s="215" t="s">
        <v>102</v>
      </c>
      <c r="K495" s="266">
        <v>49081137540</v>
      </c>
      <c r="L495" s="215">
        <v>49081637545</v>
      </c>
      <c r="M495" s="266">
        <v>40049081137548</v>
      </c>
      <c r="N495" s="264">
        <v>9.5000000000000001E-2</v>
      </c>
      <c r="O495" s="265">
        <v>10</v>
      </c>
      <c r="P495" s="265">
        <v>10.42</v>
      </c>
      <c r="Q495" s="265">
        <v>0.65</v>
      </c>
    </row>
    <row r="496" spans="1:17" ht="15" customHeight="1">
      <c r="A496" s="147">
        <v>538</v>
      </c>
      <c r="B496" s="51" t="s">
        <v>10</v>
      </c>
      <c r="C496" s="51" t="s">
        <v>4481</v>
      </c>
      <c r="D496" s="51">
        <v>100022676</v>
      </c>
      <c r="E496" s="53" t="s">
        <v>4482</v>
      </c>
      <c r="F496" s="124">
        <v>50</v>
      </c>
      <c r="G496" s="124">
        <v>6000</v>
      </c>
      <c r="H496" s="369">
        <v>3.48</v>
      </c>
      <c r="I496" s="215" t="s">
        <v>76</v>
      </c>
      <c r="J496" s="215" t="s">
        <v>102</v>
      </c>
      <c r="K496" s="266">
        <v>49081137588</v>
      </c>
      <c r="L496" s="215">
        <v>49081637583</v>
      </c>
      <c r="M496" s="266">
        <v>40049081137586</v>
      </c>
      <c r="N496" s="264">
        <v>0.11899999999999999</v>
      </c>
      <c r="O496" s="265">
        <v>10</v>
      </c>
      <c r="P496" s="265">
        <v>6.67</v>
      </c>
      <c r="Q496" s="265">
        <v>0.65</v>
      </c>
    </row>
    <row r="497" spans="1:17" ht="15" customHeight="1">
      <c r="A497" s="147">
        <v>539</v>
      </c>
      <c r="B497" s="51" t="s">
        <v>10</v>
      </c>
      <c r="C497" s="51" t="s">
        <v>4483</v>
      </c>
      <c r="D497" s="51">
        <v>100022678</v>
      </c>
      <c r="E497" s="53" t="s">
        <v>4484</v>
      </c>
      <c r="F497" s="124">
        <v>50</v>
      </c>
      <c r="G497" s="124">
        <v>4500</v>
      </c>
      <c r="H497" s="369">
        <v>3.73</v>
      </c>
      <c r="I497" s="215" t="s">
        <v>76</v>
      </c>
      <c r="J497" s="215" t="s">
        <v>102</v>
      </c>
      <c r="K497" s="266">
        <v>49081137625</v>
      </c>
      <c r="L497" s="215">
        <v>49081637620</v>
      </c>
      <c r="M497" s="266">
        <v>40049081137623</v>
      </c>
      <c r="N497" s="264">
        <v>0.155</v>
      </c>
      <c r="O497" s="265">
        <v>10</v>
      </c>
      <c r="P497" s="265">
        <v>8.76</v>
      </c>
      <c r="Q497" s="265">
        <v>0.8</v>
      </c>
    </row>
    <row r="498" spans="1:17" ht="15" customHeight="1">
      <c r="A498" s="147">
        <v>540</v>
      </c>
      <c r="B498" s="51" t="s">
        <v>10</v>
      </c>
      <c r="C498" s="51" t="s">
        <v>4485</v>
      </c>
      <c r="D498" s="51">
        <v>100022680</v>
      </c>
      <c r="E498" s="53" t="s">
        <v>4486</v>
      </c>
      <c r="F498" s="124">
        <v>25</v>
      </c>
      <c r="G498" s="124">
        <v>3000</v>
      </c>
      <c r="H498" s="369">
        <v>5.64</v>
      </c>
      <c r="I498" s="215" t="s">
        <v>76</v>
      </c>
      <c r="J498" s="215" t="s">
        <v>102</v>
      </c>
      <c r="K498" s="266">
        <v>49081137663</v>
      </c>
      <c r="L498" s="215">
        <v>49081637668</v>
      </c>
      <c r="M498" s="266">
        <v>40049081137661</v>
      </c>
      <c r="N498" s="264">
        <v>0.19600000000000001</v>
      </c>
      <c r="O498" s="265">
        <v>5</v>
      </c>
      <c r="P498" s="265">
        <v>6.38</v>
      </c>
      <c r="Q498" s="265">
        <v>0.65</v>
      </c>
    </row>
    <row r="499" spans="1:17" ht="15" customHeight="1">
      <c r="A499" s="147">
        <v>541</v>
      </c>
      <c r="B499" s="51" t="s">
        <v>10</v>
      </c>
      <c r="C499" s="51" t="s">
        <v>4487</v>
      </c>
      <c r="D499" s="51">
        <v>100022682</v>
      </c>
      <c r="E499" s="53" t="s">
        <v>4488</v>
      </c>
      <c r="F499" s="124">
        <v>25</v>
      </c>
      <c r="G499" s="124">
        <v>2250</v>
      </c>
      <c r="H499" s="369">
        <v>12.56</v>
      </c>
      <c r="I499" s="215" t="s">
        <v>76</v>
      </c>
      <c r="J499" s="215" t="s">
        <v>102</v>
      </c>
      <c r="K499" s="266">
        <v>49081137700</v>
      </c>
      <c r="L499" s="265" t="s">
        <v>649</v>
      </c>
      <c r="M499" s="266">
        <v>40049081137708</v>
      </c>
      <c r="N499" s="264">
        <v>0.46600000000000003</v>
      </c>
      <c r="O499" s="265" t="s">
        <v>649</v>
      </c>
      <c r="P499" s="265">
        <v>12.36</v>
      </c>
      <c r="Q499" s="265">
        <v>0.8</v>
      </c>
    </row>
    <row r="500" spans="1:17" ht="15" customHeight="1">
      <c r="A500" s="147">
        <v>542</v>
      </c>
      <c r="B500" s="51" t="s">
        <v>10</v>
      </c>
      <c r="C500" s="51" t="s">
        <v>4489</v>
      </c>
      <c r="D500" s="51">
        <v>100022684</v>
      </c>
      <c r="E500" s="53" t="s">
        <v>4490</v>
      </c>
      <c r="F500" s="124">
        <v>10</v>
      </c>
      <c r="G500" s="124">
        <v>1200</v>
      </c>
      <c r="H500" s="369">
        <v>19.670000000000002</v>
      </c>
      <c r="I500" s="215" t="s">
        <v>76</v>
      </c>
      <c r="J500" s="215" t="s">
        <v>102</v>
      </c>
      <c r="K500" s="266">
        <v>49081137724</v>
      </c>
      <c r="L500" s="265" t="s">
        <v>649</v>
      </c>
      <c r="M500" s="266">
        <v>40049081137722</v>
      </c>
      <c r="N500" s="264">
        <v>0.71799999999999997</v>
      </c>
      <c r="O500" s="265" t="s">
        <v>649</v>
      </c>
      <c r="P500" s="265">
        <v>7.92</v>
      </c>
      <c r="Q500" s="265">
        <v>0.65</v>
      </c>
    </row>
    <row r="501" spans="1:17" ht="15" customHeight="1">
      <c r="A501" s="147">
        <v>543</v>
      </c>
      <c r="B501" s="51" t="s">
        <v>10</v>
      </c>
      <c r="C501" s="51" t="s">
        <v>4491</v>
      </c>
      <c r="D501" s="51">
        <v>100022686</v>
      </c>
      <c r="E501" s="53" t="s">
        <v>4492</v>
      </c>
      <c r="F501" s="124">
        <v>6</v>
      </c>
      <c r="G501" s="124">
        <v>540</v>
      </c>
      <c r="H501" s="369">
        <v>28.48</v>
      </c>
      <c r="I501" s="215" t="s">
        <v>76</v>
      </c>
      <c r="J501" s="215" t="s">
        <v>102</v>
      </c>
      <c r="K501" s="266">
        <v>49081137748</v>
      </c>
      <c r="L501" s="265" t="s">
        <v>649</v>
      </c>
      <c r="M501" s="266">
        <v>40049081137746</v>
      </c>
      <c r="N501" s="264">
        <v>1.079</v>
      </c>
      <c r="O501" s="265" t="s">
        <v>649</v>
      </c>
      <c r="P501" s="265">
        <v>7.41</v>
      </c>
      <c r="Q501" s="265">
        <v>0.8</v>
      </c>
    </row>
    <row r="502" spans="1:17" ht="15" customHeight="1">
      <c r="A502" s="147">
        <v>544</v>
      </c>
      <c r="B502" s="51" t="s">
        <v>10</v>
      </c>
      <c r="C502" s="51" t="s">
        <v>4493</v>
      </c>
      <c r="D502" s="51">
        <v>100022688</v>
      </c>
      <c r="E502" s="53" t="s">
        <v>4494</v>
      </c>
      <c r="F502" s="124">
        <v>5</v>
      </c>
      <c r="G502" s="124">
        <v>375</v>
      </c>
      <c r="H502" s="369">
        <v>52.09</v>
      </c>
      <c r="I502" s="215" t="s">
        <v>76</v>
      </c>
      <c r="J502" s="215" t="s">
        <v>102</v>
      </c>
      <c r="K502" s="266">
        <v>49081137762</v>
      </c>
      <c r="L502" s="265" t="s">
        <v>649</v>
      </c>
      <c r="M502" s="266">
        <v>40049081137760</v>
      </c>
      <c r="N502" s="264">
        <v>1.85</v>
      </c>
      <c r="O502" s="265" t="s">
        <v>649</v>
      </c>
      <c r="P502" s="265">
        <v>9.98</v>
      </c>
      <c r="Q502" s="265">
        <v>1.1000000000000001</v>
      </c>
    </row>
    <row r="503" spans="1:17" ht="15" customHeight="1">
      <c r="A503" s="147">
        <v>545</v>
      </c>
      <c r="B503" s="51" t="s">
        <v>10</v>
      </c>
      <c r="C503" s="51" t="s">
        <v>4495</v>
      </c>
      <c r="D503" s="51">
        <v>100022690</v>
      </c>
      <c r="E503" s="53" t="s">
        <v>4496</v>
      </c>
      <c r="F503" s="124">
        <v>4</v>
      </c>
      <c r="G503" s="124">
        <v>300</v>
      </c>
      <c r="H503" s="369">
        <v>90</v>
      </c>
      <c r="I503" s="215" t="s">
        <v>76</v>
      </c>
      <c r="J503" s="215" t="s">
        <v>102</v>
      </c>
      <c r="K503" s="266">
        <v>49081137786</v>
      </c>
      <c r="L503" s="265" t="s">
        <v>649</v>
      </c>
      <c r="M503" s="266">
        <v>40049081137784</v>
      </c>
      <c r="N503" s="264">
        <v>2.246</v>
      </c>
      <c r="O503" s="265" t="s">
        <v>649</v>
      </c>
      <c r="P503" s="265">
        <v>10</v>
      </c>
      <c r="Q503" s="265">
        <v>1.1000000000000001</v>
      </c>
    </row>
    <row r="504" spans="1:17" ht="15" customHeight="1">
      <c r="A504" s="147">
        <v>546</v>
      </c>
      <c r="B504" s="51" t="s">
        <v>10</v>
      </c>
      <c r="C504" s="51" t="s">
        <v>4497</v>
      </c>
      <c r="D504" s="51">
        <v>100022692</v>
      </c>
      <c r="E504" s="53" t="s">
        <v>4498</v>
      </c>
      <c r="F504" s="124">
        <v>5</v>
      </c>
      <c r="G504" s="124">
        <v>120</v>
      </c>
      <c r="H504" s="369">
        <v>168.06</v>
      </c>
      <c r="I504" s="215" t="s">
        <v>76</v>
      </c>
      <c r="J504" s="215" t="s">
        <v>102</v>
      </c>
      <c r="K504" s="266">
        <v>49081137809</v>
      </c>
      <c r="L504" s="265" t="s">
        <v>649</v>
      </c>
      <c r="M504" s="266">
        <v>40049081137807</v>
      </c>
      <c r="N504" s="264">
        <v>4.2869999999999999</v>
      </c>
      <c r="O504" s="265" t="s">
        <v>649</v>
      </c>
      <c r="P504" s="265">
        <v>23.69</v>
      </c>
      <c r="Q504" s="265">
        <v>2.77</v>
      </c>
    </row>
    <row r="505" spans="1:17" ht="15" customHeight="1">
      <c r="A505" s="147">
        <v>547</v>
      </c>
      <c r="B505" s="51" t="s">
        <v>10</v>
      </c>
      <c r="C505" s="51" t="s">
        <v>4499</v>
      </c>
      <c r="D505" s="51">
        <v>100023367</v>
      </c>
      <c r="E505" s="53" t="s">
        <v>4500</v>
      </c>
      <c r="F505" s="124">
        <v>50</v>
      </c>
      <c r="G505" s="124">
        <v>6000</v>
      </c>
      <c r="H505" s="369">
        <v>3.14</v>
      </c>
      <c r="I505" s="215" t="s">
        <v>346</v>
      </c>
      <c r="J505" s="215" t="s">
        <v>102</v>
      </c>
      <c r="K505" s="266">
        <v>49081138714</v>
      </c>
      <c r="L505" s="215">
        <v>49081638719</v>
      </c>
      <c r="M505" s="266">
        <v>40049081138712</v>
      </c>
      <c r="N505" s="264">
        <v>0.14799999999999999</v>
      </c>
      <c r="O505" s="265">
        <v>10</v>
      </c>
      <c r="P505" s="265">
        <v>7.45</v>
      </c>
      <c r="Q505" s="265">
        <v>0.65</v>
      </c>
    </row>
    <row r="506" spans="1:17" ht="15" customHeight="1">
      <c r="A506" s="147">
        <v>548</v>
      </c>
      <c r="B506" s="51" t="s">
        <v>10</v>
      </c>
      <c r="C506" s="51" t="s">
        <v>4501</v>
      </c>
      <c r="D506" s="51">
        <v>100023368</v>
      </c>
      <c r="E506" s="53" t="s">
        <v>4502</v>
      </c>
      <c r="F506" s="124">
        <v>25</v>
      </c>
      <c r="G506" s="124">
        <v>3750</v>
      </c>
      <c r="H506" s="369">
        <v>4.9400000000000004</v>
      </c>
      <c r="I506" s="215" t="s">
        <v>346</v>
      </c>
      <c r="J506" s="215" t="s">
        <v>102</v>
      </c>
      <c r="K506" s="266">
        <v>49081138721</v>
      </c>
      <c r="L506" s="215">
        <v>49081638726</v>
      </c>
      <c r="M506" s="266">
        <v>40049081138729</v>
      </c>
      <c r="N506" s="264">
        <v>0.214</v>
      </c>
      <c r="O506" s="265">
        <v>5</v>
      </c>
      <c r="P506" s="265">
        <v>5.34</v>
      </c>
      <c r="Q506" s="265">
        <v>0.5</v>
      </c>
    </row>
    <row r="507" spans="1:17" ht="15" customHeight="1">
      <c r="A507" s="147">
        <v>549</v>
      </c>
      <c r="B507" s="51" t="s">
        <v>10</v>
      </c>
      <c r="C507" s="51" t="s">
        <v>4503</v>
      </c>
      <c r="D507" s="51">
        <v>100022694</v>
      </c>
      <c r="E507" s="53" t="s">
        <v>4504</v>
      </c>
      <c r="F507" s="124">
        <v>100</v>
      </c>
      <c r="G507" s="124">
        <v>27000</v>
      </c>
      <c r="H507" s="369">
        <v>2.65</v>
      </c>
      <c r="I507" s="215" t="s">
        <v>76</v>
      </c>
      <c r="J507" s="215" t="s">
        <v>102</v>
      </c>
      <c r="K507" s="266">
        <v>49081137526</v>
      </c>
      <c r="L507" s="215">
        <v>49081637521</v>
      </c>
      <c r="M507" s="266">
        <v>40049081137524</v>
      </c>
      <c r="N507" s="264">
        <v>5.3999999999999999E-2</v>
      </c>
      <c r="O507" s="265">
        <v>25</v>
      </c>
      <c r="P507" s="265">
        <v>5.73</v>
      </c>
      <c r="Q507" s="265">
        <v>0.31</v>
      </c>
    </row>
    <row r="508" spans="1:17" ht="15" customHeight="1">
      <c r="A508" s="147">
        <v>550</v>
      </c>
      <c r="B508" s="51" t="s">
        <v>10</v>
      </c>
      <c r="C508" s="51" t="s">
        <v>4505</v>
      </c>
      <c r="D508" s="51">
        <v>100022698</v>
      </c>
      <c r="E508" s="53" t="s">
        <v>4506</v>
      </c>
      <c r="F508" s="124">
        <v>40</v>
      </c>
      <c r="G508" s="124">
        <v>10800</v>
      </c>
      <c r="H508" s="369">
        <v>4.49</v>
      </c>
      <c r="I508" s="215" t="s">
        <v>76</v>
      </c>
      <c r="J508" s="215" t="s">
        <v>102</v>
      </c>
      <c r="K508" s="266">
        <v>49081137564</v>
      </c>
      <c r="L508" s="215">
        <v>49081637569</v>
      </c>
      <c r="M508" s="266">
        <v>40049081137562</v>
      </c>
      <c r="N508" s="264">
        <v>8.5999999999999993E-2</v>
      </c>
      <c r="O508" s="265">
        <v>5</v>
      </c>
      <c r="P508" s="265">
        <v>4.07</v>
      </c>
      <c r="Q508" s="265">
        <v>0.31</v>
      </c>
    </row>
    <row r="509" spans="1:17" ht="15" customHeight="1">
      <c r="B509" s="51" t="s">
        <v>10</v>
      </c>
      <c r="C509" s="51" t="s">
        <v>5891</v>
      </c>
      <c r="D509" s="51">
        <v>100022700</v>
      </c>
      <c r="E509" s="53" t="s">
        <v>5948</v>
      </c>
      <c r="F509" s="124">
        <v>20</v>
      </c>
      <c r="G509" s="124">
        <v>1800</v>
      </c>
      <c r="H509" s="369">
        <v>7.18</v>
      </c>
      <c r="I509" s="215" t="s">
        <v>346</v>
      </c>
      <c r="J509" s="215" t="s">
        <v>102</v>
      </c>
      <c r="K509" s="266">
        <v>49081138219</v>
      </c>
      <c r="L509" s="215">
        <v>49081638214</v>
      </c>
      <c r="M509" s="266">
        <v>40049081138217</v>
      </c>
      <c r="N509" s="264">
        <v>0.13700000000000001</v>
      </c>
      <c r="O509" s="265">
        <v>5</v>
      </c>
      <c r="P509" s="265">
        <v>2.74</v>
      </c>
      <c r="Q509" s="265">
        <v>0.43</v>
      </c>
    </row>
    <row r="510" spans="1:17" ht="15" customHeight="1">
      <c r="B510" s="51" t="s">
        <v>10</v>
      </c>
      <c r="C510" s="51" t="s">
        <v>5892</v>
      </c>
      <c r="D510" s="51">
        <v>100022702</v>
      </c>
      <c r="E510" s="53" t="s">
        <v>5949</v>
      </c>
      <c r="F510" s="124">
        <v>20</v>
      </c>
      <c r="G510" s="124">
        <v>1800</v>
      </c>
      <c r="H510" s="369">
        <v>7.18</v>
      </c>
      <c r="I510" s="215" t="s">
        <v>76</v>
      </c>
      <c r="J510" s="215" t="s">
        <v>102</v>
      </c>
      <c r="K510" s="266">
        <v>49081137601</v>
      </c>
      <c r="L510" s="215">
        <v>49081637606</v>
      </c>
      <c r="M510" s="266">
        <v>40049081137609</v>
      </c>
      <c r="N510" s="264">
        <v>0.14699999999999999</v>
      </c>
      <c r="O510" s="265">
        <v>5</v>
      </c>
      <c r="P510" s="265">
        <v>2.96</v>
      </c>
      <c r="Q510" s="265">
        <v>0.43</v>
      </c>
    </row>
    <row r="511" spans="1:17" ht="15" customHeight="1">
      <c r="A511" s="147">
        <v>551</v>
      </c>
      <c r="B511" s="51" t="s">
        <v>10</v>
      </c>
      <c r="C511" s="51" t="s">
        <v>4507</v>
      </c>
      <c r="D511" s="51">
        <v>100022704</v>
      </c>
      <c r="E511" s="53" t="s">
        <v>4508</v>
      </c>
      <c r="F511" s="124">
        <v>20</v>
      </c>
      <c r="G511" s="124">
        <v>5400</v>
      </c>
      <c r="H511" s="369">
        <v>7.96</v>
      </c>
      <c r="I511" s="215" t="s">
        <v>346</v>
      </c>
      <c r="J511" s="215" t="s">
        <v>102</v>
      </c>
      <c r="K511" s="266">
        <v>49081137649</v>
      </c>
      <c r="L511" s="215">
        <v>49081637644</v>
      </c>
      <c r="M511" s="266">
        <v>40049081137647</v>
      </c>
      <c r="N511" s="264">
        <v>0.152</v>
      </c>
      <c r="O511" s="265">
        <v>5</v>
      </c>
      <c r="P511" s="265">
        <v>3.58</v>
      </c>
      <c r="Q511" s="265">
        <v>0.27</v>
      </c>
    </row>
    <row r="512" spans="1:17" ht="15" customHeight="1">
      <c r="B512" s="51" t="s">
        <v>10</v>
      </c>
      <c r="C512" s="51" t="s">
        <v>5893</v>
      </c>
      <c r="D512" s="51">
        <v>100022706</v>
      </c>
      <c r="E512" s="53" t="s">
        <v>5950</v>
      </c>
      <c r="F512" s="124">
        <v>30</v>
      </c>
      <c r="G512" s="124">
        <v>2700</v>
      </c>
      <c r="H512" s="369">
        <v>7.58</v>
      </c>
      <c r="I512" s="215" t="s">
        <v>76</v>
      </c>
      <c r="J512" s="215" t="s">
        <v>102</v>
      </c>
      <c r="K512" s="266">
        <v>49081137632</v>
      </c>
      <c r="L512" s="215">
        <v>49081637637</v>
      </c>
      <c r="M512" s="266">
        <v>40049081137630</v>
      </c>
      <c r="N512" s="264">
        <v>0.17599999999999999</v>
      </c>
      <c r="O512" s="265">
        <v>5</v>
      </c>
      <c r="P512" s="265">
        <v>5.31</v>
      </c>
      <c r="Q512" s="265">
        <v>0.43</v>
      </c>
    </row>
    <row r="513" spans="1:17" ht="15" customHeight="1">
      <c r="B513" s="51" t="s">
        <v>10</v>
      </c>
      <c r="C513" s="51" t="s">
        <v>5894</v>
      </c>
      <c r="D513" s="51">
        <v>100022708</v>
      </c>
      <c r="E513" s="53" t="s">
        <v>5951</v>
      </c>
      <c r="F513" s="124">
        <v>30</v>
      </c>
      <c r="G513" s="124">
        <v>2700</v>
      </c>
      <c r="H513" s="369">
        <v>12.12</v>
      </c>
      <c r="I513" s="215" t="s">
        <v>346</v>
      </c>
      <c r="J513" s="215" t="s">
        <v>102</v>
      </c>
      <c r="K513" s="266">
        <v>49081137670</v>
      </c>
      <c r="L513" s="215" t="s">
        <v>649</v>
      </c>
      <c r="M513" s="266">
        <v>40049081137678</v>
      </c>
      <c r="N513" s="264">
        <v>0.24299999999999999</v>
      </c>
      <c r="O513" s="265" t="s">
        <v>649</v>
      </c>
      <c r="P513" s="265">
        <v>7.29</v>
      </c>
      <c r="Q513" s="265">
        <v>0.43</v>
      </c>
    </row>
    <row r="514" spans="1:17" ht="15" customHeight="1">
      <c r="A514" s="147">
        <v>552</v>
      </c>
      <c r="B514" s="51" t="s">
        <v>10</v>
      </c>
      <c r="C514" s="51" t="s">
        <v>4509</v>
      </c>
      <c r="D514" s="51">
        <v>100022710</v>
      </c>
      <c r="E514" s="53" t="s">
        <v>4510</v>
      </c>
      <c r="F514" s="124">
        <v>30</v>
      </c>
      <c r="G514" s="124">
        <v>4500</v>
      </c>
      <c r="H514" s="369">
        <v>12.73</v>
      </c>
      <c r="I514" s="215" t="s">
        <v>76</v>
      </c>
      <c r="J514" s="215" t="s">
        <v>102</v>
      </c>
      <c r="K514" s="266">
        <v>49081137687</v>
      </c>
      <c r="L514" s="265" t="s">
        <v>649</v>
      </c>
      <c r="M514" s="266">
        <v>40049081137685</v>
      </c>
      <c r="N514" s="264">
        <v>0.224</v>
      </c>
      <c r="O514" s="265" t="s">
        <v>649</v>
      </c>
      <c r="P514" s="265">
        <v>8.59</v>
      </c>
      <c r="Q514" s="265">
        <v>0.5</v>
      </c>
    </row>
    <row r="515" spans="1:17" ht="15" customHeight="1">
      <c r="A515" s="147">
        <v>553</v>
      </c>
      <c r="B515" s="51" t="s">
        <v>10</v>
      </c>
      <c r="C515" s="51" t="s">
        <v>4511</v>
      </c>
      <c r="D515" s="51">
        <v>300005591</v>
      </c>
      <c r="E515" s="53" t="s">
        <v>4512</v>
      </c>
      <c r="F515" s="124">
        <v>5</v>
      </c>
      <c r="G515" s="124" t="s">
        <v>649</v>
      </c>
      <c r="H515" s="486" t="s">
        <v>5866</v>
      </c>
      <c r="I515" s="215" t="s">
        <v>816</v>
      </c>
      <c r="J515" s="215" t="s">
        <v>77</v>
      </c>
      <c r="K515" s="266">
        <v>816842025213</v>
      </c>
      <c r="L515" s="265" t="s">
        <v>649</v>
      </c>
      <c r="M515" s="265" t="s">
        <v>649</v>
      </c>
      <c r="N515" s="264">
        <v>0.24199999999999999</v>
      </c>
      <c r="O515" s="265" t="s">
        <v>649</v>
      </c>
      <c r="P515" s="265" t="s">
        <v>649</v>
      </c>
      <c r="Q515" s="265" t="s">
        <v>649</v>
      </c>
    </row>
    <row r="516" spans="1:17" ht="15" customHeight="1">
      <c r="A516" s="147">
        <v>554</v>
      </c>
      <c r="B516" s="51" t="s">
        <v>10</v>
      </c>
      <c r="C516" s="51" t="s">
        <v>4513</v>
      </c>
      <c r="D516" s="51">
        <v>100026961</v>
      </c>
      <c r="E516" s="53" t="s">
        <v>4514</v>
      </c>
      <c r="F516" s="124">
        <v>250</v>
      </c>
      <c r="G516" s="124">
        <v>30000</v>
      </c>
      <c r="H516" s="369">
        <v>2.02</v>
      </c>
      <c r="I516" s="215" t="s">
        <v>76</v>
      </c>
      <c r="J516" s="215" t="s">
        <v>102</v>
      </c>
      <c r="K516" s="266">
        <v>49081137946</v>
      </c>
      <c r="L516" s="215">
        <v>49081637941</v>
      </c>
      <c r="M516" s="266">
        <v>40049081137944</v>
      </c>
      <c r="N516" s="264">
        <v>0.05</v>
      </c>
      <c r="O516" s="265">
        <v>10</v>
      </c>
      <c r="P516" s="265">
        <v>12.81</v>
      </c>
      <c r="Q516" s="265">
        <v>0.65</v>
      </c>
    </row>
    <row r="517" spans="1:17" ht="15" customHeight="1">
      <c r="A517" s="147">
        <v>555</v>
      </c>
      <c r="B517" s="51" t="s">
        <v>10</v>
      </c>
      <c r="C517" s="51" t="s">
        <v>4515</v>
      </c>
      <c r="D517" s="51">
        <v>100027407</v>
      </c>
      <c r="E517" s="53" t="s">
        <v>4516</v>
      </c>
      <c r="F517" s="124">
        <v>250</v>
      </c>
      <c r="G517" s="124">
        <v>30000</v>
      </c>
      <c r="H517" s="369">
        <v>2.0099999999999998</v>
      </c>
      <c r="I517" s="215" t="s">
        <v>76</v>
      </c>
      <c r="J517" s="215" t="s">
        <v>102</v>
      </c>
      <c r="K517" s="265" t="s">
        <v>649</v>
      </c>
      <c r="L517" s="215">
        <v>49081638238</v>
      </c>
      <c r="M517" s="266">
        <v>40049081138231</v>
      </c>
      <c r="N517" s="264">
        <v>4.9000000000000002E-2</v>
      </c>
      <c r="O517" s="265">
        <v>10</v>
      </c>
      <c r="P517" s="265">
        <v>12.9</v>
      </c>
      <c r="Q517" s="265">
        <v>0.65</v>
      </c>
    </row>
    <row r="518" spans="1:17" ht="15" customHeight="1">
      <c r="A518" s="147">
        <v>556</v>
      </c>
      <c r="B518" s="51" t="s">
        <v>10</v>
      </c>
      <c r="C518" s="51" t="s">
        <v>4517</v>
      </c>
      <c r="D518" s="51">
        <v>100026964</v>
      </c>
      <c r="E518" s="53" t="s">
        <v>4518</v>
      </c>
      <c r="F518" s="124">
        <v>250</v>
      </c>
      <c r="G518" s="124">
        <v>22500</v>
      </c>
      <c r="H518" s="369">
        <v>3.73</v>
      </c>
      <c r="I518" s="215" t="s">
        <v>76</v>
      </c>
      <c r="J518" s="215" t="s">
        <v>102</v>
      </c>
      <c r="K518" s="266">
        <v>49081137960</v>
      </c>
      <c r="L518" s="215">
        <v>49081637965</v>
      </c>
      <c r="M518" s="266">
        <v>40049081137968</v>
      </c>
      <c r="N518" s="264">
        <v>4.8000000000000001E-2</v>
      </c>
      <c r="O518" s="265">
        <v>10</v>
      </c>
      <c r="P518" s="265">
        <v>16</v>
      </c>
      <c r="Q518" s="265">
        <v>0.8</v>
      </c>
    </row>
    <row r="519" spans="1:17" ht="15" customHeight="1">
      <c r="A519" s="147">
        <v>557</v>
      </c>
      <c r="B519" s="51" t="s">
        <v>10</v>
      </c>
      <c r="C519" s="51" t="s">
        <v>4519</v>
      </c>
      <c r="D519" s="51">
        <v>100027408</v>
      </c>
      <c r="E519" s="53" t="s">
        <v>4520</v>
      </c>
      <c r="F519" s="124">
        <v>250</v>
      </c>
      <c r="G519" s="124">
        <v>22500</v>
      </c>
      <c r="H519" s="369">
        <v>3.73</v>
      </c>
      <c r="I519" s="215" t="s">
        <v>76</v>
      </c>
      <c r="J519" s="215" t="s">
        <v>102</v>
      </c>
      <c r="K519" s="265" t="s">
        <v>649</v>
      </c>
      <c r="L519" s="215">
        <v>49081638252</v>
      </c>
      <c r="M519" s="266">
        <v>40049081138255</v>
      </c>
      <c r="N519" s="264">
        <v>4.9000000000000002E-2</v>
      </c>
      <c r="O519" s="265">
        <v>10</v>
      </c>
      <c r="P519" s="265">
        <v>16.04</v>
      </c>
      <c r="Q519" s="265">
        <v>0.8</v>
      </c>
    </row>
    <row r="520" spans="1:17" ht="15" customHeight="1">
      <c r="A520" s="147">
        <v>558</v>
      </c>
      <c r="B520" s="51" t="s">
        <v>10</v>
      </c>
      <c r="C520" s="51" t="s">
        <v>4521</v>
      </c>
      <c r="D520" s="51">
        <v>100026967</v>
      </c>
      <c r="E520" s="53" t="s">
        <v>4522</v>
      </c>
      <c r="F520" s="124">
        <v>100</v>
      </c>
      <c r="G520" s="124">
        <v>12000</v>
      </c>
      <c r="H520" s="369">
        <v>4.92</v>
      </c>
      <c r="I520" s="215" t="s">
        <v>76</v>
      </c>
      <c r="J520" s="215" t="s">
        <v>102</v>
      </c>
      <c r="K520" s="266">
        <v>49081137984</v>
      </c>
      <c r="L520" s="215">
        <v>49081637989</v>
      </c>
      <c r="M520" s="266">
        <v>40049081137982</v>
      </c>
      <c r="N520" s="264">
        <v>0.106</v>
      </c>
      <c r="O520" s="265">
        <v>10</v>
      </c>
      <c r="P520" s="265">
        <v>11.44</v>
      </c>
      <c r="Q520" s="265">
        <v>0.65</v>
      </c>
    </row>
    <row r="521" spans="1:17" ht="15" customHeight="1">
      <c r="A521" s="147">
        <v>559</v>
      </c>
      <c r="B521" s="51" t="s">
        <v>10</v>
      </c>
      <c r="C521" s="51" t="s">
        <v>4523</v>
      </c>
      <c r="D521" s="51">
        <v>100027409</v>
      </c>
      <c r="E521" s="53" t="s">
        <v>4524</v>
      </c>
      <c r="F521" s="124">
        <v>100</v>
      </c>
      <c r="G521" s="124">
        <v>12000</v>
      </c>
      <c r="H521" s="369">
        <v>4.92</v>
      </c>
      <c r="I521" s="215" t="s">
        <v>76</v>
      </c>
      <c r="J521" s="215" t="s">
        <v>102</v>
      </c>
      <c r="K521" s="265" t="s">
        <v>649</v>
      </c>
      <c r="L521" s="265" t="s">
        <v>649</v>
      </c>
      <c r="M521" s="266">
        <v>40049081138279</v>
      </c>
      <c r="N521" s="264">
        <v>0.106</v>
      </c>
      <c r="O521" s="265">
        <v>10</v>
      </c>
      <c r="P521" s="265">
        <v>11.36</v>
      </c>
      <c r="Q521" s="265">
        <v>0.65</v>
      </c>
    </row>
    <row r="522" spans="1:17" ht="15" customHeight="1">
      <c r="A522" s="147">
        <v>560</v>
      </c>
      <c r="B522" s="51" t="s">
        <v>10</v>
      </c>
      <c r="C522" s="51" t="s">
        <v>4525</v>
      </c>
      <c r="D522" s="51">
        <v>100026970</v>
      </c>
      <c r="E522" s="53" t="s">
        <v>4526</v>
      </c>
      <c r="F522" s="124">
        <v>50</v>
      </c>
      <c r="G522" s="124">
        <v>6000</v>
      </c>
      <c r="H522" s="369">
        <v>16.47</v>
      </c>
      <c r="I522" s="215" t="s">
        <v>346</v>
      </c>
      <c r="J522" s="215" t="s">
        <v>102</v>
      </c>
      <c r="K522" s="266">
        <v>49081138004</v>
      </c>
      <c r="L522" s="215">
        <v>49081638009</v>
      </c>
      <c r="M522" s="266">
        <v>40049081138002</v>
      </c>
      <c r="N522" s="264">
        <v>0.217</v>
      </c>
      <c r="O522" s="265">
        <v>5</v>
      </c>
      <c r="P522" s="265">
        <v>10.83</v>
      </c>
      <c r="Q522" s="265">
        <v>0.65</v>
      </c>
    </row>
    <row r="523" spans="1:17" ht="15" customHeight="1">
      <c r="A523" s="147">
        <v>561</v>
      </c>
      <c r="B523" s="51" t="s">
        <v>10</v>
      </c>
      <c r="C523" s="51" t="s">
        <v>4527</v>
      </c>
      <c r="D523" s="51">
        <v>100026972</v>
      </c>
      <c r="E523" s="53" t="s">
        <v>4528</v>
      </c>
      <c r="F523" s="124">
        <v>50</v>
      </c>
      <c r="G523" s="124">
        <v>6000</v>
      </c>
      <c r="H523" s="369">
        <v>32.43</v>
      </c>
      <c r="I523" s="215" t="s">
        <v>76</v>
      </c>
      <c r="J523" s="215" t="s">
        <v>102</v>
      </c>
      <c r="K523" s="266">
        <v>49081138028</v>
      </c>
      <c r="L523" s="215">
        <v>49081638023</v>
      </c>
      <c r="M523" s="266">
        <v>40049081138026</v>
      </c>
      <c r="N523" s="264">
        <v>0.23400000000000001</v>
      </c>
      <c r="O523" s="265">
        <v>5</v>
      </c>
      <c r="P523" s="265">
        <v>12.45</v>
      </c>
      <c r="Q523" s="265">
        <v>0.65</v>
      </c>
    </row>
    <row r="524" spans="1:17" ht="15" customHeight="1">
      <c r="A524" s="147">
        <v>562</v>
      </c>
      <c r="B524" s="51" t="s">
        <v>10</v>
      </c>
      <c r="C524" s="51" t="s">
        <v>4529</v>
      </c>
      <c r="D524" s="51">
        <v>100026974</v>
      </c>
      <c r="E524" s="53" t="s">
        <v>4530</v>
      </c>
      <c r="F524" s="124">
        <v>25</v>
      </c>
      <c r="G524" s="124">
        <v>3750</v>
      </c>
      <c r="H524" s="369">
        <v>38.54</v>
      </c>
      <c r="I524" s="215" t="s">
        <v>76</v>
      </c>
      <c r="J524" s="215" t="s">
        <v>102</v>
      </c>
      <c r="K524" s="266">
        <v>49081138042</v>
      </c>
      <c r="L524" s="215">
        <v>49081638047</v>
      </c>
      <c r="M524" s="266">
        <v>40049081138040</v>
      </c>
      <c r="N524" s="264">
        <v>0.35599999999999998</v>
      </c>
      <c r="O524" s="265">
        <v>5</v>
      </c>
      <c r="P524" s="265">
        <v>9.02</v>
      </c>
      <c r="Q524" s="265">
        <v>0.5</v>
      </c>
    </row>
    <row r="525" spans="1:17" ht="15" customHeight="1">
      <c r="A525" s="147">
        <v>563</v>
      </c>
      <c r="B525" s="51" t="s">
        <v>10</v>
      </c>
      <c r="C525" s="51" t="s">
        <v>4531</v>
      </c>
      <c r="D525" s="51">
        <v>100022720</v>
      </c>
      <c r="E525" s="53" t="s">
        <v>4532</v>
      </c>
      <c r="F525" s="124">
        <v>250</v>
      </c>
      <c r="G525" s="124">
        <v>22500</v>
      </c>
      <c r="H525" s="369">
        <v>3.2</v>
      </c>
      <c r="I525" s="215" t="s">
        <v>346</v>
      </c>
      <c r="J525" s="215" t="s">
        <v>102</v>
      </c>
      <c r="K525" s="266">
        <v>49081137939</v>
      </c>
      <c r="L525" s="215">
        <v>49081637934</v>
      </c>
      <c r="M525" s="266">
        <v>40049081137937</v>
      </c>
      <c r="N525" s="264">
        <v>7.8E-2</v>
      </c>
      <c r="O525" s="265">
        <v>10</v>
      </c>
      <c r="P525" s="265">
        <v>20.96</v>
      </c>
      <c r="Q525" s="265">
        <v>0.8</v>
      </c>
    </row>
    <row r="526" spans="1:17" ht="15" customHeight="1">
      <c r="A526" s="147">
        <v>564</v>
      </c>
      <c r="B526" s="51" t="s">
        <v>10</v>
      </c>
      <c r="C526" s="51" t="s">
        <v>4533</v>
      </c>
      <c r="D526" s="51">
        <v>100022722</v>
      </c>
      <c r="E526" s="53" t="s">
        <v>4534</v>
      </c>
      <c r="F526" s="124">
        <v>250</v>
      </c>
      <c r="G526" s="124">
        <v>22500</v>
      </c>
      <c r="H526" s="369">
        <v>4.83</v>
      </c>
      <c r="I526" s="215" t="s">
        <v>346</v>
      </c>
      <c r="J526" s="215" t="s">
        <v>102</v>
      </c>
      <c r="K526" s="266">
        <v>49081138127</v>
      </c>
      <c r="L526" s="215">
        <v>49081638122</v>
      </c>
      <c r="M526" s="266">
        <v>40049081138125</v>
      </c>
      <c r="N526" s="264">
        <v>7.4999999999999997E-2</v>
      </c>
      <c r="O526" s="265">
        <v>10</v>
      </c>
      <c r="P526" s="265">
        <v>19.64</v>
      </c>
      <c r="Q526" s="265">
        <v>0.8</v>
      </c>
    </row>
    <row r="527" spans="1:17" ht="15" customHeight="1">
      <c r="A527" s="147">
        <v>565</v>
      </c>
      <c r="B527" s="51" t="s">
        <v>10</v>
      </c>
      <c r="C527" s="51" t="s">
        <v>4535</v>
      </c>
      <c r="D527" s="51">
        <v>100022724</v>
      </c>
      <c r="E527" s="53" t="s">
        <v>4536</v>
      </c>
      <c r="F527" s="124">
        <v>100</v>
      </c>
      <c r="G527" s="124">
        <v>12000</v>
      </c>
      <c r="H527" s="369">
        <v>7.3</v>
      </c>
      <c r="I527" s="215" t="s">
        <v>346</v>
      </c>
      <c r="J527" s="215" t="s">
        <v>102</v>
      </c>
      <c r="K527" s="266">
        <v>49081138141</v>
      </c>
      <c r="L527" s="215">
        <v>49081638146</v>
      </c>
      <c r="M527" s="266">
        <v>40049081138149</v>
      </c>
      <c r="N527" s="264">
        <v>0.13100000000000001</v>
      </c>
      <c r="O527" s="265">
        <v>10</v>
      </c>
      <c r="P527" s="265">
        <v>13.22</v>
      </c>
      <c r="Q527" s="265">
        <v>0.65</v>
      </c>
    </row>
    <row r="528" spans="1:17" ht="15" customHeight="1">
      <c r="B528" s="51" t="s">
        <v>10</v>
      </c>
      <c r="C528" s="51" t="s">
        <v>5895</v>
      </c>
      <c r="D528" s="51">
        <v>100022725</v>
      </c>
      <c r="E528" s="53" t="s">
        <v>5952</v>
      </c>
      <c r="F528" s="124">
        <v>50</v>
      </c>
      <c r="G528" s="124">
        <v>3750</v>
      </c>
      <c r="H528" s="369">
        <v>21.22</v>
      </c>
      <c r="I528" s="215" t="s">
        <v>346</v>
      </c>
      <c r="J528" s="215" t="s">
        <v>102</v>
      </c>
      <c r="K528" s="266">
        <v>49081138073</v>
      </c>
      <c r="L528" s="215">
        <v>49081638078</v>
      </c>
      <c r="M528" s="266">
        <v>40049081138071</v>
      </c>
      <c r="N528" s="264">
        <v>0.26</v>
      </c>
      <c r="O528" s="265">
        <v>10</v>
      </c>
      <c r="P528" s="265">
        <v>13</v>
      </c>
      <c r="Q528" s="265">
        <v>0.57999999999999996</v>
      </c>
    </row>
    <row r="529" spans="1:17" ht="15" customHeight="1">
      <c r="A529" s="147">
        <v>566</v>
      </c>
      <c r="B529" s="51" t="s">
        <v>10</v>
      </c>
      <c r="C529" s="51" t="s">
        <v>4537</v>
      </c>
      <c r="D529" s="51">
        <v>100022726</v>
      </c>
      <c r="E529" s="53" t="s">
        <v>4538</v>
      </c>
      <c r="F529" s="124">
        <v>50</v>
      </c>
      <c r="G529" s="124">
        <v>6000</v>
      </c>
      <c r="H529" s="369">
        <v>42.08</v>
      </c>
      <c r="I529" s="215" t="s">
        <v>76</v>
      </c>
      <c r="J529" s="215" t="s">
        <v>102</v>
      </c>
      <c r="K529" s="266">
        <v>49081138097</v>
      </c>
      <c r="L529" s="215">
        <v>49081638092</v>
      </c>
      <c r="M529" s="266">
        <v>40049081138095</v>
      </c>
      <c r="N529" s="264">
        <v>0.28599999999999998</v>
      </c>
      <c r="O529" s="265">
        <v>5</v>
      </c>
      <c r="P529" s="265">
        <v>14.12</v>
      </c>
      <c r="Q529" s="265">
        <v>0.65</v>
      </c>
    </row>
    <row r="530" spans="1:17" ht="15" customHeight="1">
      <c r="A530" s="147">
        <v>567</v>
      </c>
      <c r="B530" s="51" t="s">
        <v>10</v>
      </c>
      <c r="C530" s="51" t="s">
        <v>4539</v>
      </c>
      <c r="D530" s="51">
        <v>100022727</v>
      </c>
      <c r="E530" s="53" t="s">
        <v>4540</v>
      </c>
      <c r="F530" s="124">
        <v>50</v>
      </c>
      <c r="G530" s="124">
        <v>3750</v>
      </c>
      <c r="H530" s="369">
        <v>50.06</v>
      </c>
      <c r="I530" s="215" t="s">
        <v>76</v>
      </c>
      <c r="J530" s="215" t="s">
        <v>102</v>
      </c>
      <c r="K530" s="266">
        <v>49081138110</v>
      </c>
      <c r="L530" s="215">
        <v>49081638115</v>
      </c>
      <c r="M530" s="266">
        <v>40049081138118</v>
      </c>
      <c r="N530" s="264">
        <v>0.43099999999999999</v>
      </c>
      <c r="O530" s="265">
        <v>5</v>
      </c>
      <c r="P530" s="265">
        <v>21.57</v>
      </c>
      <c r="Q530" s="265">
        <v>0.95</v>
      </c>
    </row>
    <row r="531" spans="1:17" ht="15" customHeight="1">
      <c r="A531" s="147">
        <v>568</v>
      </c>
      <c r="B531" s="51" t="s">
        <v>10</v>
      </c>
      <c r="C531" s="51" t="s">
        <v>4541</v>
      </c>
      <c r="D531" s="51">
        <v>100022736</v>
      </c>
      <c r="E531" s="53" t="s">
        <v>4542</v>
      </c>
      <c r="F531" s="124">
        <v>250</v>
      </c>
      <c r="G531" s="124">
        <v>30000</v>
      </c>
      <c r="H531" s="369">
        <v>2.85</v>
      </c>
      <c r="I531" s="215" t="s">
        <v>76</v>
      </c>
      <c r="J531" s="215" t="s">
        <v>102</v>
      </c>
      <c r="K531" s="266">
        <v>49081132439</v>
      </c>
      <c r="L531" s="215">
        <v>49081632434</v>
      </c>
      <c r="M531" s="266">
        <v>40049081132437</v>
      </c>
      <c r="N531" s="264">
        <v>4.5999999999999999E-2</v>
      </c>
      <c r="O531" s="265">
        <v>10</v>
      </c>
      <c r="P531" s="265">
        <v>17.399999999999999</v>
      </c>
      <c r="Q531" s="265">
        <v>0.65</v>
      </c>
    </row>
    <row r="532" spans="1:17" ht="15" customHeight="1">
      <c r="A532" s="147">
        <v>569</v>
      </c>
      <c r="B532" s="51" t="s">
        <v>10</v>
      </c>
      <c r="C532" s="51" t="s">
        <v>4543</v>
      </c>
      <c r="D532" s="51">
        <v>100022738</v>
      </c>
      <c r="E532" s="53" t="s">
        <v>4544</v>
      </c>
      <c r="F532" s="124">
        <v>100</v>
      </c>
      <c r="G532" s="124">
        <v>15000</v>
      </c>
      <c r="H532" s="369">
        <v>4.96</v>
      </c>
      <c r="I532" s="215" t="s">
        <v>346</v>
      </c>
      <c r="J532" s="215" t="s">
        <v>102</v>
      </c>
      <c r="K532" s="266">
        <v>49081132446</v>
      </c>
      <c r="L532" s="215">
        <v>49081632441</v>
      </c>
      <c r="M532" s="266">
        <v>40049081132444</v>
      </c>
      <c r="N532" s="264">
        <v>7.1999999999999995E-2</v>
      </c>
      <c r="O532" s="265">
        <v>10</v>
      </c>
      <c r="P532" s="265">
        <v>7.83</v>
      </c>
      <c r="Q532" s="265">
        <v>0.5</v>
      </c>
    </row>
    <row r="533" spans="1:17" ht="15" customHeight="1">
      <c r="B533" s="51" t="s">
        <v>10</v>
      </c>
      <c r="C533" s="51" t="s">
        <v>5896</v>
      </c>
      <c r="D533" s="51">
        <v>100022739</v>
      </c>
      <c r="E533" s="53" t="s">
        <v>5953</v>
      </c>
      <c r="F533" s="124">
        <v>50</v>
      </c>
      <c r="G533" s="124">
        <v>4500</v>
      </c>
      <c r="H533" s="369">
        <v>5.82</v>
      </c>
      <c r="I533" s="215" t="s">
        <v>346</v>
      </c>
      <c r="J533" s="215" t="s">
        <v>102</v>
      </c>
      <c r="K533" s="266">
        <v>49081132453</v>
      </c>
      <c r="L533" s="215">
        <v>49081632458</v>
      </c>
      <c r="M533" s="266">
        <v>40049081132451</v>
      </c>
      <c r="N533" s="264">
        <v>0.12</v>
      </c>
      <c r="O533" s="265">
        <v>5</v>
      </c>
      <c r="P533" s="265">
        <v>6.05</v>
      </c>
      <c r="Q533" s="265">
        <v>0.43</v>
      </c>
    </row>
    <row r="534" spans="1:17" ht="15" customHeight="1">
      <c r="A534" s="147">
        <v>570</v>
      </c>
      <c r="B534" s="51" t="s">
        <v>10</v>
      </c>
      <c r="C534" s="51" t="s">
        <v>4545</v>
      </c>
      <c r="D534" s="51">
        <v>100022741</v>
      </c>
      <c r="E534" s="53" t="s">
        <v>4546</v>
      </c>
      <c r="F534" s="124">
        <v>50</v>
      </c>
      <c r="G534" s="124">
        <v>7500</v>
      </c>
      <c r="H534" s="369">
        <v>8.14</v>
      </c>
      <c r="I534" s="215" t="s">
        <v>76</v>
      </c>
      <c r="J534" s="215" t="s">
        <v>102</v>
      </c>
      <c r="K534" s="266">
        <v>49081132460</v>
      </c>
      <c r="L534" s="215">
        <v>49081632465</v>
      </c>
      <c r="M534" s="266">
        <v>40049081132468</v>
      </c>
      <c r="N534" s="264">
        <v>0.152</v>
      </c>
      <c r="O534" s="265">
        <v>10</v>
      </c>
      <c r="P534" s="265">
        <v>7.6</v>
      </c>
      <c r="Q534" s="265">
        <v>0.5</v>
      </c>
    </row>
    <row r="535" spans="1:17" ht="15" customHeight="1">
      <c r="A535" s="147">
        <v>571</v>
      </c>
      <c r="B535" s="51" t="s">
        <v>10</v>
      </c>
      <c r="C535" s="51" t="s">
        <v>4547</v>
      </c>
      <c r="D535" s="51">
        <v>100022743</v>
      </c>
      <c r="E535" s="53" t="s">
        <v>4548</v>
      </c>
      <c r="F535" s="124">
        <v>25</v>
      </c>
      <c r="G535" s="124">
        <v>3000</v>
      </c>
      <c r="H535" s="369">
        <v>10.07</v>
      </c>
      <c r="I535" s="215" t="s">
        <v>76</v>
      </c>
      <c r="J535" s="215" t="s">
        <v>102</v>
      </c>
      <c r="K535" s="266">
        <v>49081132477</v>
      </c>
      <c r="L535" s="215">
        <v>49081632472</v>
      </c>
      <c r="M535" s="266">
        <v>40049081132475</v>
      </c>
      <c r="N535" s="264">
        <v>0.27300000000000002</v>
      </c>
      <c r="O535" s="265">
        <v>5</v>
      </c>
      <c r="P535" s="265">
        <v>7.38</v>
      </c>
      <c r="Q535" s="265">
        <v>0.65</v>
      </c>
    </row>
    <row r="536" spans="1:17" ht="15" customHeight="1">
      <c r="A536" s="147">
        <v>572</v>
      </c>
      <c r="B536" s="51" t="s">
        <v>10</v>
      </c>
      <c r="C536" s="51" t="s">
        <v>4549</v>
      </c>
      <c r="D536" s="51">
        <v>100022747</v>
      </c>
      <c r="E536" s="53" t="s">
        <v>4550</v>
      </c>
      <c r="F536" s="124">
        <v>250</v>
      </c>
      <c r="G536" s="124">
        <v>30000</v>
      </c>
      <c r="H536" s="369">
        <v>1.78</v>
      </c>
      <c r="I536" s="215" t="s">
        <v>76</v>
      </c>
      <c r="J536" s="215" t="s">
        <v>102</v>
      </c>
      <c r="K536" s="266">
        <v>49081130381</v>
      </c>
      <c r="L536" s="215">
        <v>49081630386</v>
      </c>
      <c r="M536" s="266">
        <v>40049081130389</v>
      </c>
      <c r="N536" s="264">
        <v>3.5999999999999997E-2</v>
      </c>
      <c r="O536" s="265">
        <v>10</v>
      </c>
      <c r="P536" s="265">
        <v>10.07</v>
      </c>
      <c r="Q536" s="265">
        <v>0.65</v>
      </c>
    </row>
    <row r="537" spans="1:17" ht="15" customHeight="1">
      <c r="A537" s="147">
        <v>573</v>
      </c>
      <c r="B537" s="51" t="s">
        <v>10</v>
      </c>
      <c r="C537" s="51" t="s">
        <v>4551</v>
      </c>
      <c r="D537" s="51">
        <v>100022749</v>
      </c>
      <c r="E537" s="53" t="s">
        <v>4552</v>
      </c>
      <c r="F537" s="124">
        <v>250</v>
      </c>
      <c r="G537" s="124">
        <v>22500</v>
      </c>
      <c r="H537" s="369">
        <v>2.29</v>
      </c>
      <c r="I537" s="215" t="s">
        <v>76</v>
      </c>
      <c r="J537" s="215" t="s">
        <v>102</v>
      </c>
      <c r="K537" s="266">
        <v>49081130466</v>
      </c>
      <c r="L537" s="215">
        <v>49081630461</v>
      </c>
      <c r="M537" s="266">
        <v>40049081130464</v>
      </c>
      <c r="N537" s="264">
        <v>5.1999999999999998E-2</v>
      </c>
      <c r="O537" s="265">
        <v>10</v>
      </c>
      <c r="P537" s="265">
        <v>14.32</v>
      </c>
      <c r="Q537" s="265">
        <v>0.8</v>
      </c>
    </row>
    <row r="538" spans="1:17" ht="15" customHeight="1">
      <c r="A538" s="147">
        <v>574</v>
      </c>
      <c r="B538" s="51" t="s">
        <v>10</v>
      </c>
      <c r="C538" s="51" t="s">
        <v>4553</v>
      </c>
      <c r="D538" s="51">
        <v>100022751</v>
      </c>
      <c r="E538" s="53" t="s">
        <v>4554</v>
      </c>
      <c r="F538" s="124">
        <v>100</v>
      </c>
      <c r="G538" s="124">
        <v>12000</v>
      </c>
      <c r="H538" s="369">
        <v>2.65</v>
      </c>
      <c r="I538" s="215" t="s">
        <v>76</v>
      </c>
      <c r="J538" s="215" t="s">
        <v>102</v>
      </c>
      <c r="K538" s="266">
        <v>49081130527</v>
      </c>
      <c r="L538" s="215">
        <v>49081630522</v>
      </c>
      <c r="M538" s="266">
        <v>40049081130525</v>
      </c>
      <c r="N538" s="264">
        <v>9.5000000000000001E-2</v>
      </c>
      <c r="O538" s="265">
        <v>10</v>
      </c>
      <c r="P538" s="265">
        <v>10.55</v>
      </c>
      <c r="Q538" s="265">
        <v>0.65</v>
      </c>
    </row>
    <row r="539" spans="1:17" ht="15" customHeight="1">
      <c r="A539" s="147">
        <v>575</v>
      </c>
      <c r="B539" s="51" t="s">
        <v>10</v>
      </c>
      <c r="C539" s="51" t="s">
        <v>4555</v>
      </c>
      <c r="D539" s="51">
        <v>100022753</v>
      </c>
      <c r="E539" s="53" t="s">
        <v>4556</v>
      </c>
      <c r="F539" s="124">
        <v>50</v>
      </c>
      <c r="G539" s="124">
        <v>7500</v>
      </c>
      <c r="H539" s="369">
        <v>4.07</v>
      </c>
      <c r="I539" s="215" t="s">
        <v>76</v>
      </c>
      <c r="J539" s="215" t="s">
        <v>102</v>
      </c>
      <c r="K539" s="266">
        <v>49081130626</v>
      </c>
      <c r="L539" s="215">
        <v>49081630621</v>
      </c>
      <c r="M539" s="266">
        <v>40049081130624</v>
      </c>
      <c r="N539" s="264">
        <v>0.11700000000000001</v>
      </c>
      <c r="O539" s="265">
        <v>5</v>
      </c>
      <c r="P539" s="265">
        <v>7.24</v>
      </c>
      <c r="Q539" s="265">
        <v>0.5</v>
      </c>
    </row>
    <row r="540" spans="1:17" ht="15" customHeight="1">
      <c r="A540" s="147">
        <v>576</v>
      </c>
      <c r="B540" s="51" t="s">
        <v>10</v>
      </c>
      <c r="C540" s="51" t="s">
        <v>4557</v>
      </c>
      <c r="D540" s="51">
        <v>100022755</v>
      </c>
      <c r="E540" s="53" t="s">
        <v>4558</v>
      </c>
      <c r="F540" s="124">
        <v>50</v>
      </c>
      <c r="G540" s="124">
        <v>6000</v>
      </c>
      <c r="H540" s="369">
        <v>4.67</v>
      </c>
      <c r="I540" s="215" t="s">
        <v>76</v>
      </c>
      <c r="J540" s="215" t="s">
        <v>102</v>
      </c>
      <c r="K540" s="266">
        <v>49081130664</v>
      </c>
      <c r="L540" s="215">
        <v>49081630669</v>
      </c>
      <c r="M540" s="266">
        <v>40049081130662</v>
      </c>
      <c r="N540" s="264">
        <v>0.154</v>
      </c>
      <c r="O540" s="265">
        <v>5</v>
      </c>
      <c r="P540" s="265">
        <v>8.36</v>
      </c>
      <c r="Q540" s="265">
        <v>0.65</v>
      </c>
    </row>
    <row r="541" spans="1:17" ht="15" customHeight="1">
      <c r="A541" s="147">
        <v>577</v>
      </c>
      <c r="B541" s="51" t="s">
        <v>10</v>
      </c>
      <c r="C541" s="51" t="s">
        <v>4559</v>
      </c>
      <c r="D541" s="51">
        <v>100022757</v>
      </c>
      <c r="E541" s="53" t="s">
        <v>4560</v>
      </c>
      <c r="F541" s="124">
        <v>25</v>
      </c>
      <c r="G541" s="124">
        <v>3750</v>
      </c>
      <c r="H541" s="369">
        <v>6.26</v>
      </c>
      <c r="I541" s="215" t="s">
        <v>76</v>
      </c>
      <c r="J541" s="215" t="s">
        <v>102</v>
      </c>
      <c r="K541" s="266">
        <v>49081130701</v>
      </c>
      <c r="L541" s="215">
        <v>49081630706</v>
      </c>
      <c r="M541" s="266">
        <v>40049081130709</v>
      </c>
      <c r="N541" s="264">
        <v>0.217</v>
      </c>
      <c r="O541" s="265">
        <v>5</v>
      </c>
      <c r="P541" s="265">
        <v>6.11</v>
      </c>
      <c r="Q541" s="265">
        <v>0.5</v>
      </c>
    </row>
    <row r="542" spans="1:17" ht="15" customHeight="1">
      <c r="A542" s="147">
        <v>578</v>
      </c>
      <c r="B542" s="51" t="s">
        <v>10</v>
      </c>
      <c r="C542" s="51" t="s">
        <v>4561</v>
      </c>
      <c r="D542" s="51">
        <v>100027410</v>
      </c>
      <c r="E542" s="53" t="s">
        <v>4562</v>
      </c>
      <c r="F542" s="124">
        <v>15</v>
      </c>
      <c r="G542" s="124">
        <v>2250</v>
      </c>
      <c r="H542" s="369">
        <v>15.78</v>
      </c>
      <c r="I542" s="215" t="s">
        <v>346</v>
      </c>
      <c r="J542" s="215" t="s">
        <v>102</v>
      </c>
      <c r="K542" s="266">
        <v>49081130725</v>
      </c>
      <c r="L542" s="265" t="s">
        <v>649</v>
      </c>
      <c r="M542" s="266">
        <v>40049081130723</v>
      </c>
      <c r="N542" s="264">
        <v>0.375</v>
      </c>
      <c r="O542" s="265" t="s">
        <v>649</v>
      </c>
      <c r="P542" s="265">
        <v>6.3</v>
      </c>
      <c r="Q542" s="265">
        <v>0.5</v>
      </c>
    </row>
    <row r="543" spans="1:17" ht="15" customHeight="1">
      <c r="A543" s="147">
        <v>579</v>
      </c>
      <c r="B543" s="51" t="s">
        <v>10</v>
      </c>
      <c r="C543" s="51" t="s">
        <v>4563</v>
      </c>
      <c r="D543" s="51">
        <v>100022759</v>
      </c>
      <c r="E543" s="53" t="s">
        <v>4564</v>
      </c>
      <c r="F543" s="124">
        <v>10</v>
      </c>
      <c r="G543" s="124">
        <v>1200</v>
      </c>
      <c r="H543" s="369">
        <v>21.28</v>
      </c>
      <c r="I543" s="215" t="s">
        <v>76</v>
      </c>
      <c r="J543" s="215" t="s">
        <v>102</v>
      </c>
      <c r="K543" s="266">
        <v>49081130749</v>
      </c>
      <c r="L543" s="265" t="s">
        <v>649</v>
      </c>
      <c r="M543" s="266">
        <v>40049081130747</v>
      </c>
      <c r="N543" s="264">
        <v>0.51500000000000001</v>
      </c>
      <c r="O543" s="265" t="s">
        <v>649</v>
      </c>
      <c r="P543" s="265">
        <v>5.83</v>
      </c>
      <c r="Q543" s="265">
        <v>0.65</v>
      </c>
    </row>
    <row r="544" spans="1:17" ht="15" customHeight="1">
      <c r="A544" s="147">
        <v>580</v>
      </c>
      <c r="B544" s="51" t="s">
        <v>10</v>
      </c>
      <c r="C544" s="51" t="s">
        <v>4565</v>
      </c>
      <c r="D544" s="51">
        <v>100022761</v>
      </c>
      <c r="E544" s="53" t="s">
        <v>4566</v>
      </c>
      <c r="F544" s="124">
        <v>5</v>
      </c>
      <c r="G544" s="124">
        <v>750</v>
      </c>
      <c r="H544" s="369">
        <v>35.229999999999997</v>
      </c>
      <c r="I544" s="215" t="s">
        <v>76</v>
      </c>
      <c r="J544" s="215" t="s">
        <v>102</v>
      </c>
      <c r="K544" s="266">
        <v>49081130763</v>
      </c>
      <c r="L544" s="265" t="s">
        <v>649</v>
      </c>
      <c r="M544" s="266">
        <v>40049081130761</v>
      </c>
      <c r="N544" s="264">
        <v>0.86799999999999999</v>
      </c>
      <c r="O544" s="265" t="s">
        <v>649</v>
      </c>
      <c r="P544" s="265">
        <v>4.95</v>
      </c>
      <c r="Q544" s="265">
        <v>0.5</v>
      </c>
    </row>
    <row r="545" spans="1:17" ht="15" customHeight="1">
      <c r="A545" s="147">
        <v>581</v>
      </c>
      <c r="B545" s="51" t="s">
        <v>10</v>
      </c>
      <c r="C545" s="51" t="s">
        <v>4567</v>
      </c>
      <c r="D545" s="51">
        <v>100022765</v>
      </c>
      <c r="E545" s="53" t="s">
        <v>4568</v>
      </c>
      <c r="F545" s="124">
        <v>250</v>
      </c>
      <c r="G545" s="124">
        <v>22500</v>
      </c>
      <c r="H545" s="369">
        <v>3.2</v>
      </c>
      <c r="I545" s="215" t="s">
        <v>346</v>
      </c>
      <c r="J545" s="215" t="s">
        <v>102</v>
      </c>
      <c r="K545" s="266">
        <v>49081130404</v>
      </c>
      <c r="L545" s="215">
        <v>49081630409</v>
      </c>
      <c r="M545" s="266">
        <v>40049081130402</v>
      </c>
      <c r="N545" s="264">
        <v>5.8999999999999997E-2</v>
      </c>
      <c r="O545" s="265">
        <v>10</v>
      </c>
      <c r="P545" s="265">
        <v>12.81</v>
      </c>
      <c r="Q545" s="265">
        <v>0.8</v>
      </c>
    </row>
    <row r="546" spans="1:17" ht="15" customHeight="1">
      <c r="A546" s="147">
        <v>582</v>
      </c>
      <c r="B546" s="51" t="s">
        <v>10</v>
      </c>
      <c r="C546" s="51" t="s">
        <v>4569</v>
      </c>
      <c r="D546" s="51">
        <v>100022767</v>
      </c>
      <c r="E546" s="53" t="s">
        <v>4570</v>
      </c>
      <c r="F546" s="124">
        <v>250</v>
      </c>
      <c r="G546" s="124">
        <v>22500</v>
      </c>
      <c r="H546" s="369">
        <v>3.2</v>
      </c>
      <c r="I546" s="215" t="s">
        <v>76</v>
      </c>
      <c r="J546" s="215" t="s">
        <v>102</v>
      </c>
      <c r="K546" s="266">
        <v>49081130503</v>
      </c>
      <c r="L546" s="215">
        <v>49081630508</v>
      </c>
      <c r="M546" s="266">
        <v>40049081130501</v>
      </c>
      <c r="N546" s="264">
        <v>4.5999999999999999E-2</v>
      </c>
      <c r="O546" s="265">
        <v>10</v>
      </c>
      <c r="P546" s="265">
        <v>12.76</v>
      </c>
      <c r="Q546" s="265">
        <v>0.8</v>
      </c>
    </row>
    <row r="547" spans="1:17" ht="15" customHeight="1">
      <c r="A547" s="147">
        <v>583</v>
      </c>
      <c r="B547" s="51" t="s">
        <v>10</v>
      </c>
      <c r="C547" s="51" t="s">
        <v>4571</v>
      </c>
      <c r="D547" s="51">
        <v>100022771</v>
      </c>
      <c r="E547" s="53" t="s">
        <v>4572</v>
      </c>
      <c r="F547" s="124">
        <v>100</v>
      </c>
      <c r="G547" s="124">
        <v>15000</v>
      </c>
      <c r="H547" s="369">
        <v>4.25</v>
      </c>
      <c r="I547" s="215" t="s">
        <v>76</v>
      </c>
      <c r="J547" s="215" t="s">
        <v>102</v>
      </c>
      <c r="K547" s="266">
        <v>49081130602</v>
      </c>
      <c r="L547" s="215">
        <v>49081630607</v>
      </c>
      <c r="M547" s="266">
        <v>40049081130600</v>
      </c>
      <c r="N547" s="264">
        <v>7.4999999999999997E-2</v>
      </c>
      <c r="O547" s="265">
        <v>10</v>
      </c>
      <c r="P547" s="265">
        <v>9.44</v>
      </c>
      <c r="Q547" s="265">
        <v>0.5</v>
      </c>
    </row>
    <row r="548" spans="1:17" ht="15" customHeight="1">
      <c r="A548" s="147">
        <v>584</v>
      </c>
      <c r="B548" s="51" t="s">
        <v>10</v>
      </c>
      <c r="C548" s="51" t="s">
        <v>4573</v>
      </c>
      <c r="D548" s="51">
        <v>100022773</v>
      </c>
      <c r="E548" s="53" t="s">
        <v>4574</v>
      </c>
      <c r="F548" s="124">
        <v>100</v>
      </c>
      <c r="G548" s="124">
        <v>15000</v>
      </c>
      <c r="H548" s="369">
        <v>4.25</v>
      </c>
      <c r="I548" s="215" t="s">
        <v>76</v>
      </c>
      <c r="J548" s="215" t="s">
        <v>102</v>
      </c>
      <c r="K548" s="266">
        <v>49081130589</v>
      </c>
      <c r="L548" s="215">
        <v>49081630584</v>
      </c>
      <c r="M548" s="266">
        <v>40049081130587</v>
      </c>
      <c r="N548" s="264">
        <v>7.9000000000000001E-2</v>
      </c>
      <c r="O548" s="265">
        <v>10</v>
      </c>
      <c r="P548" s="265">
        <v>9.57</v>
      </c>
      <c r="Q548" s="265">
        <v>0.5</v>
      </c>
    </row>
    <row r="549" spans="1:17" ht="15" customHeight="1">
      <c r="B549" s="51" t="s">
        <v>10</v>
      </c>
      <c r="C549" s="51" t="s">
        <v>5897</v>
      </c>
      <c r="D549" s="51">
        <v>100022774</v>
      </c>
      <c r="E549" s="53" t="s">
        <v>5954</v>
      </c>
      <c r="F549" s="124">
        <v>50</v>
      </c>
      <c r="G549" s="124">
        <v>4500</v>
      </c>
      <c r="H549" s="369">
        <v>8.14</v>
      </c>
      <c r="I549" s="215" t="s">
        <v>346</v>
      </c>
      <c r="J549" s="215" t="s">
        <v>102</v>
      </c>
      <c r="K549" s="266">
        <v>49081130565</v>
      </c>
      <c r="L549" s="215">
        <v>49081630560</v>
      </c>
      <c r="M549" s="266">
        <v>40049081130563</v>
      </c>
      <c r="N549" s="264">
        <v>0.14099999999999999</v>
      </c>
      <c r="O549" s="265">
        <v>10</v>
      </c>
      <c r="P549" s="265">
        <v>7.05</v>
      </c>
      <c r="Q549" s="265">
        <v>0.43</v>
      </c>
    </row>
    <row r="550" spans="1:17" ht="14.25" customHeight="1">
      <c r="B550" s="51" t="s">
        <v>10</v>
      </c>
      <c r="C550" s="51" t="s">
        <v>5898</v>
      </c>
      <c r="D550" s="51">
        <v>100022775</v>
      </c>
      <c r="E550" s="53" t="s">
        <v>5955</v>
      </c>
      <c r="F550" s="124">
        <v>50</v>
      </c>
      <c r="G550" s="124">
        <v>4500</v>
      </c>
      <c r="H550" s="369">
        <v>8.14</v>
      </c>
      <c r="I550" s="215" t="s">
        <v>76</v>
      </c>
      <c r="J550" s="215" t="s">
        <v>102</v>
      </c>
      <c r="K550" s="266">
        <v>49081130640</v>
      </c>
      <c r="L550" s="215">
        <v>49081630645</v>
      </c>
      <c r="M550" s="266">
        <v>40049081130648</v>
      </c>
      <c r="N550" s="264">
        <v>0.14000000000000001</v>
      </c>
      <c r="O550" s="265">
        <v>10</v>
      </c>
      <c r="P550" s="265">
        <v>7</v>
      </c>
      <c r="Q550" s="265">
        <v>0.43</v>
      </c>
    </row>
    <row r="551" spans="1:17" ht="15" customHeight="1">
      <c r="B551" s="51" t="s">
        <v>10</v>
      </c>
      <c r="C551" s="51" t="s">
        <v>5899</v>
      </c>
      <c r="D551" s="51">
        <v>100022776</v>
      </c>
      <c r="E551" s="53" t="s">
        <v>5956</v>
      </c>
      <c r="F551" s="124">
        <v>50</v>
      </c>
      <c r="G551" s="124">
        <v>3750</v>
      </c>
      <c r="H551" s="369">
        <v>8.14</v>
      </c>
      <c r="I551" s="215" t="s">
        <v>346</v>
      </c>
      <c r="J551" s="215" t="s">
        <v>102</v>
      </c>
      <c r="K551" s="266">
        <v>49081130657</v>
      </c>
      <c r="L551" s="215">
        <v>49081630652</v>
      </c>
      <c r="M551" s="266">
        <v>40049081130655</v>
      </c>
      <c r="N551" s="264">
        <v>0.16</v>
      </c>
      <c r="O551" s="265">
        <v>5</v>
      </c>
      <c r="P551" s="265">
        <v>8</v>
      </c>
      <c r="Q551" s="265">
        <v>0.57999999999999996</v>
      </c>
    </row>
    <row r="552" spans="1:17" ht="15" customHeight="1">
      <c r="B552" s="51" t="s">
        <v>10</v>
      </c>
      <c r="C552" s="51" t="s">
        <v>5900</v>
      </c>
      <c r="D552" s="51">
        <v>100022778</v>
      </c>
      <c r="E552" s="53" t="s">
        <v>5957</v>
      </c>
      <c r="F552" s="124">
        <v>50</v>
      </c>
      <c r="G552" s="124">
        <v>3750</v>
      </c>
      <c r="H552" s="369">
        <v>8.14</v>
      </c>
      <c r="I552" s="215" t="s">
        <v>346</v>
      </c>
      <c r="J552" s="215" t="s">
        <v>102</v>
      </c>
      <c r="K552" s="266">
        <v>49081130671</v>
      </c>
      <c r="L552" s="215">
        <v>49081630676</v>
      </c>
      <c r="M552" s="266">
        <v>40049081130679</v>
      </c>
      <c r="N552" s="264">
        <v>0.17899999999999999</v>
      </c>
      <c r="O552" s="265">
        <v>5</v>
      </c>
      <c r="P552" s="265">
        <v>8.9499999999999993</v>
      </c>
      <c r="Q552" s="265">
        <v>0.57999999999999996</v>
      </c>
    </row>
    <row r="553" spans="1:17" ht="15" customHeight="1">
      <c r="A553" s="147">
        <v>585</v>
      </c>
      <c r="B553" s="51" t="s">
        <v>10</v>
      </c>
      <c r="C553" s="51" t="s">
        <v>4575</v>
      </c>
      <c r="D553" s="51">
        <v>100022779</v>
      </c>
      <c r="E553" s="53" t="s">
        <v>4576</v>
      </c>
      <c r="F553" s="124">
        <v>25</v>
      </c>
      <c r="G553" s="124">
        <v>3750</v>
      </c>
      <c r="H553" s="369">
        <v>8.5399999999999991</v>
      </c>
      <c r="I553" s="215" t="s">
        <v>346</v>
      </c>
      <c r="J553" s="215" t="s">
        <v>102</v>
      </c>
      <c r="K553" s="266">
        <v>49081130695</v>
      </c>
      <c r="L553" s="215">
        <v>49081630690</v>
      </c>
      <c r="M553" s="266">
        <v>40049081130693</v>
      </c>
      <c r="N553" s="264">
        <v>0.19800000000000001</v>
      </c>
      <c r="O553" s="265">
        <v>5</v>
      </c>
      <c r="P553" s="265">
        <v>5.7</v>
      </c>
      <c r="Q553" s="265">
        <v>0.5</v>
      </c>
    </row>
    <row r="554" spans="1:17" ht="15" customHeight="1">
      <c r="A554" s="147">
        <v>586</v>
      </c>
      <c r="B554" s="51" t="s">
        <v>10</v>
      </c>
      <c r="C554" s="51" t="s">
        <v>4577</v>
      </c>
      <c r="D554" s="51">
        <v>100022782</v>
      </c>
      <c r="E554" s="53" t="s">
        <v>4578</v>
      </c>
      <c r="F554" s="124">
        <v>250</v>
      </c>
      <c r="G554" s="124">
        <v>37500</v>
      </c>
      <c r="H554" s="369">
        <v>1.42</v>
      </c>
      <c r="I554" s="215" t="s">
        <v>76</v>
      </c>
      <c r="J554" s="215" t="s">
        <v>102</v>
      </c>
      <c r="K554" s="266">
        <v>49081131661</v>
      </c>
      <c r="L554" s="215">
        <v>49081631666</v>
      </c>
      <c r="M554" s="266">
        <v>40049081131669</v>
      </c>
      <c r="N554" s="264">
        <v>3.3000000000000002E-2</v>
      </c>
      <c r="O554" s="265">
        <v>10</v>
      </c>
      <c r="P554" s="265">
        <v>9.18</v>
      </c>
      <c r="Q554" s="265">
        <v>0.5</v>
      </c>
    </row>
    <row r="555" spans="1:17" ht="15" customHeight="1">
      <c r="A555" s="147">
        <v>587</v>
      </c>
      <c r="B555" s="51" t="s">
        <v>10</v>
      </c>
      <c r="C555" s="51" t="s">
        <v>4579</v>
      </c>
      <c r="D555" s="51">
        <v>100022784</v>
      </c>
      <c r="E555" s="53" t="s">
        <v>4580</v>
      </c>
      <c r="F555" s="124">
        <v>250</v>
      </c>
      <c r="G555" s="124">
        <v>22500</v>
      </c>
      <c r="H555" s="369">
        <v>1.58</v>
      </c>
      <c r="I555" s="215" t="s">
        <v>76</v>
      </c>
      <c r="J555" s="215" t="s">
        <v>102</v>
      </c>
      <c r="K555" s="266">
        <v>49081131722</v>
      </c>
      <c r="L555" s="215">
        <v>49081631727</v>
      </c>
      <c r="M555" s="266">
        <v>40049081131720</v>
      </c>
      <c r="N555" s="264">
        <v>4.9000000000000002E-2</v>
      </c>
      <c r="O555" s="265">
        <v>10</v>
      </c>
      <c r="P555" s="265">
        <v>13.49</v>
      </c>
      <c r="Q555" s="265">
        <v>0.8</v>
      </c>
    </row>
    <row r="556" spans="1:17" ht="15" customHeight="1">
      <c r="A556" s="147">
        <v>588</v>
      </c>
      <c r="B556" s="51" t="s">
        <v>10</v>
      </c>
      <c r="C556" s="51" t="s">
        <v>4581</v>
      </c>
      <c r="D556" s="51">
        <v>100022787</v>
      </c>
      <c r="E556" s="53" t="s">
        <v>4582</v>
      </c>
      <c r="F556" s="124">
        <v>100</v>
      </c>
      <c r="G556" s="124">
        <v>12000</v>
      </c>
      <c r="H556" s="369">
        <v>2.85</v>
      </c>
      <c r="I556" s="215" t="s">
        <v>76</v>
      </c>
      <c r="J556" s="215" t="s">
        <v>102</v>
      </c>
      <c r="K556" s="266">
        <v>49081131784</v>
      </c>
      <c r="L556" s="215">
        <v>49081631789</v>
      </c>
      <c r="M556" s="266">
        <v>40049081131782</v>
      </c>
      <c r="N556" s="264">
        <v>7.8E-2</v>
      </c>
      <c r="O556" s="265">
        <v>10</v>
      </c>
      <c r="P556" s="265">
        <v>8.9600000000000009</v>
      </c>
      <c r="Q556" s="265">
        <v>0.65</v>
      </c>
    </row>
    <row r="557" spans="1:17" ht="15" customHeight="1">
      <c r="A557" s="147">
        <v>589</v>
      </c>
      <c r="B557" s="51" t="s">
        <v>10</v>
      </c>
      <c r="C557" s="51" t="s">
        <v>4583</v>
      </c>
      <c r="D557" s="51">
        <v>100022789</v>
      </c>
      <c r="E557" s="53" t="s">
        <v>4584</v>
      </c>
      <c r="F557" s="124">
        <v>50</v>
      </c>
      <c r="G557" s="124">
        <v>7500</v>
      </c>
      <c r="H557" s="369">
        <v>3.48</v>
      </c>
      <c r="I557" s="215" t="s">
        <v>76</v>
      </c>
      <c r="J557" s="215" t="s">
        <v>102</v>
      </c>
      <c r="K557" s="266">
        <v>49081131845</v>
      </c>
      <c r="L557" s="215">
        <v>49081631840</v>
      </c>
      <c r="M557" s="266">
        <v>40049081131843</v>
      </c>
      <c r="N557" s="264">
        <v>0.11700000000000001</v>
      </c>
      <c r="O557" s="265">
        <v>5</v>
      </c>
      <c r="P557" s="265">
        <v>6.6</v>
      </c>
      <c r="Q557" s="265">
        <v>0.5</v>
      </c>
    </row>
    <row r="558" spans="1:17" ht="15" customHeight="1">
      <c r="A558" s="147">
        <v>590</v>
      </c>
      <c r="B558" s="51" t="s">
        <v>10</v>
      </c>
      <c r="C558" s="51" t="s">
        <v>4585</v>
      </c>
      <c r="D558" s="51">
        <v>100022791</v>
      </c>
      <c r="E558" s="53" t="s">
        <v>4586</v>
      </c>
      <c r="F558" s="124">
        <v>50</v>
      </c>
      <c r="G558" s="124">
        <v>6000</v>
      </c>
      <c r="H558" s="369">
        <v>4.67</v>
      </c>
      <c r="I558" s="215" t="s">
        <v>76</v>
      </c>
      <c r="J558" s="215" t="s">
        <v>102</v>
      </c>
      <c r="K558" s="266">
        <v>49081131906</v>
      </c>
      <c r="L558" s="215">
        <v>49081631901</v>
      </c>
      <c r="M558" s="266">
        <v>40049081131904</v>
      </c>
      <c r="N558" s="264">
        <v>0.14899999999999999</v>
      </c>
      <c r="O558" s="265">
        <v>5</v>
      </c>
      <c r="P558" s="265">
        <v>8.26</v>
      </c>
      <c r="Q558" s="265">
        <v>0.65</v>
      </c>
    </row>
    <row r="559" spans="1:17" ht="15" customHeight="1">
      <c r="A559" s="147">
        <v>591</v>
      </c>
      <c r="B559" s="51" t="s">
        <v>10</v>
      </c>
      <c r="C559" s="51" t="s">
        <v>4587</v>
      </c>
      <c r="D559" s="51">
        <v>100022793</v>
      </c>
      <c r="E559" s="53" t="s">
        <v>4588</v>
      </c>
      <c r="F559" s="124">
        <v>25</v>
      </c>
      <c r="G559" s="124">
        <v>3750</v>
      </c>
      <c r="H559" s="369">
        <v>6.11</v>
      </c>
      <c r="I559" s="215" t="s">
        <v>76</v>
      </c>
      <c r="J559" s="215" t="s">
        <v>102</v>
      </c>
      <c r="K559" s="266">
        <v>49081131968</v>
      </c>
      <c r="L559" s="215">
        <v>49081631963</v>
      </c>
      <c r="M559" s="266">
        <v>40049081131966</v>
      </c>
      <c r="N559" s="264">
        <v>0.223</v>
      </c>
      <c r="O559" s="265">
        <v>5</v>
      </c>
      <c r="P559" s="265">
        <v>6.15</v>
      </c>
      <c r="Q559" s="265">
        <v>0.5</v>
      </c>
    </row>
    <row r="560" spans="1:17" ht="15" customHeight="1">
      <c r="A560" s="147">
        <v>592</v>
      </c>
      <c r="B560" s="51" t="s">
        <v>10</v>
      </c>
      <c r="C560" s="51" t="s">
        <v>4589</v>
      </c>
      <c r="D560" s="51">
        <v>100022797</v>
      </c>
      <c r="E560" s="53" t="s">
        <v>4590</v>
      </c>
      <c r="F560" s="124">
        <v>16</v>
      </c>
      <c r="G560" s="124">
        <v>1920</v>
      </c>
      <c r="H560" s="369">
        <v>26.38</v>
      </c>
      <c r="I560" s="215" t="s">
        <v>76</v>
      </c>
      <c r="J560" s="215" t="s">
        <v>102</v>
      </c>
      <c r="K560" s="266">
        <v>49081132088</v>
      </c>
      <c r="L560" s="265" t="s">
        <v>649</v>
      </c>
      <c r="M560" s="266">
        <v>40049081132086</v>
      </c>
      <c r="N560" s="264">
        <v>0.6</v>
      </c>
      <c r="O560" s="265" t="s">
        <v>649</v>
      </c>
      <c r="P560" s="265">
        <v>11</v>
      </c>
      <c r="Q560" s="265">
        <v>0.65</v>
      </c>
    </row>
    <row r="561" spans="1:17" ht="15" customHeight="1">
      <c r="A561" s="147">
        <v>593</v>
      </c>
      <c r="B561" s="51" t="s">
        <v>10</v>
      </c>
      <c r="C561" s="51" t="s">
        <v>4591</v>
      </c>
      <c r="D561" s="51">
        <v>100022799</v>
      </c>
      <c r="E561" s="53" t="s">
        <v>4592</v>
      </c>
      <c r="F561" s="124">
        <v>12</v>
      </c>
      <c r="G561" s="124">
        <v>1080</v>
      </c>
      <c r="H561" s="369">
        <v>33.67</v>
      </c>
      <c r="I561" s="215" t="s">
        <v>76</v>
      </c>
      <c r="J561" s="215" t="s">
        <v>102</v>
      </c>
      <c r="K561" s="266">
        <v>49081132125</v>
      </c>
      <c r="L561" s="265" t="s">
        <v>649</v>
      </c>
      <c r="M561" s="266">
        <v>40049081132123</v>
      </c>
      <c r="N561" s="264">
        <v>0.81799999999999995</v>
      </c>
      <c r="O561" s="265" t="s">
        <v>649</v>
      </c>
      <c r="P561" s="265">
        <v>10.46</v>
      </c>
      <c r="Q561" s="265">
        <v>0.8</v>
      </c>
    </row>
    <row r="562" spans="1:17" ht="15" customHeight="1">
      <c r="A562" s="147">
        <v>594</v>
      </c>
      <c r="B562" s="51" t="s">
        <v>10</v>
      </c>
      <c r="C562" s="51" t="s">
        <v>4593</v>
      </c>
      <c r="D562" s="51">
        <v>100027412</v>
      </c>
      <c r="E562" s="53" t="s">
        <v>4594</v>
      </c>
      <c r="F562" s="124">
        <v>250</v>
      </c>
      <c r="G562" s="124">
        <v>37500</v>
      </c>
      <c r="H562" s="369">
        <v>8.5500000000000007</v>
      </c>
      <c r="I562" s="215" t="s">
        <v>346</v>
      </c>
      <c r="J562" s="215" t="s">
        <v>102</v>
      </c>
      <c r="K562" s="266">
        <v>49081131630</v>
      </c>
      <c r="L562" s="215">
        <v>49081631635</v>
      </c>
      <c r="M562" s="266">
        <v>40049081131638</v>
      </c>
      <c r="N562" s="264">
        <v>4.4999999999999998E-2</v>
      </c>
      <c r="O562" s="265">
        <v>10</v>
      </c>
      <c r="P562" s="265">
        <v>12.34</v>
      </c>
      <c r="Q562" s="265">
        <v>0.5</v>
      </c>
    </row>
    <row r="563" spans="1:17" ht="15" customHeight="1">
      <c r="A563" s="147">
        <v>595</v>
      </c>
      <c r="B563" s="51" t="s">
        <v>10</v>
      </c>
      <c r="C563" s="51" t="s">
        <v>4595</v>
      </c>
      <c r="D563" s="51">
        <v>100022805</v>
      </c>
      <c r="E563" s="53" t="s">
        <v>4596</v>
      </c>
      <c r="F563" s="124">
        <v>250</v>
      </c>
      <c r="G563" s="124">
        <v>22500</v>
      </c>
      <c r="H563" s="369">
        <v>2.85</v>
      </c>
      <c r="I563" s="215" t="s">
        <v>76</v>
      </c>
      <c r="J563" s="215" t="s">
        <v>102</v>
      </c>
      <c r="K563" s="266">
        <v>49081131685</v>
      </c>
      <c r="L563" s="215">
        <v>49081631680</v>
      </c>
      <c r="M563" s="266">
        <v>40049081131683</v>
      </c>
      <c r="N563" s="264">
        <v>4.4999999999999998E-2</v>
      </c>
      <c r="O563" s="265">
        <v>10</v>
      </c>
      <c r="P563" s="265">
        <v>12.14</v>
      </c>
      <c r="Q563" s="265">
        <v>0.8</v>
      </c>
    </row>
    <row r="564" spans="1:17" ht="15" customHeight="1">
      <c r="A564" s="147">
        <v>596</v>
      </c>
      <c r="B564" s="51" t="s">
        <v>10</v>
      </c>
      <c r="C564" s="51" t="s">
        <v>4597</v>
      </c>
      <c r="D564" s="51">
        <v>100022807</v>
      </c>
      <c r="E564" s="53" t="s">
        <v>4598</v>
      </c>
      <c r="F564" s="124">
        <v>100</v>
      </c>
      <c r="G564" s="124">
        <v>12000</v>
      </c>
      <c r="H564" s="369">
        <v>9.27</v>
      </c>
      <c r="I564" s="215" t="s">
        <v>76</v>
      </c>
      <c r="J564" s="215" t="s">
        <v>102</v>
      </c>
      <c r="K564" s="266">
        <v>49081131715</v>
      </c>
      <c r="L564" s="215">
        <v>49081631710</v>
      </c>
      <c r="M564" s="266">
        <v>40049081131713</v>
      </c>
      <c r="N564" s="264">
        <v>0.1</v>
      </c>
      <c r="O564" s="265">
        <v>10</v>
      </c>
      <c r="P564" s="265">
        <v>10.73</v>
      </c>
      <c r="Q564" s="265">
        <v>0.65</v>
      </c>
    </row>
    <row r="565" spans="1:17" ht="15" customHeight="1">
      <c r="A565" s="147">
        <v>597</v>
      </c>
      <c r="B565" s="51" t="s">
        <v>10</v>
      </c>
      <c r="C565" s="51" t="s">
        <v>4599</v>
      </c>
      <c r="D565" s="51">
        <v>100022810</v>
      </c>
      <c r="E565" s="53" t="s">
        <v>4600</v>
      </c>
      <c r="F565" s="124">
        <v>250</v>
      </c>
      <c r="G565" s="124">
        <v>30000</v>
      </c>
      <c r="H565" s="369">
        <v>2.65</v>
      </c>
      <c r="I565" s="215" t="s">
        <v>346</v>
      </c>
      <c r="J565" s="215" t="s">
        <v>102</v>
      </c>
      <c r="K565" s="266">
        <v>49081131760</v>
      </c>
      <c r="L565" s="215">
        <v>49081631765</v>
      </c>
      <c r="M565" s="266">
        <v>40049081131768</v>
      </c>
      <c r="N565" s="264">
        <v>3.1E-2</v>
      </c>
      <c r="O565" s="265">
        <v>10</v>
      </c>
      <c r="P565" s="265">
        <v>11.4</v>
      </c>
      <c r="Q565" s="265">
        <v>0.65</v>
      </c>
    </row>
    <row r="566" spans="1:17" ht="15" customHeight="1">
      <c r="A566" s="147">
        <v>598</v>
      </c>
      <c r="B566" s="51" t="s">
        <v>10</v>
      </c>
      <c r="C566" s="51" t="s">
        <v>4601</v>
      </c>
      <c r="D566" s="51">
        <v>100022812</v>
      </c>
      <c r="E566" s="53" t="s">
        <v>4602</v>
      </c>
      <c r="F566" s="124">
        <v>100</v>
      </c>
      <c r="G566" s="124">
        <v>12000</v>
      </c>
      <c r="H566" s="369">
        <v>4.07</v>
      </c>
      <c r="I566" s="215" t="s">
        <v>76</v>
      </c>
      <c r="J566" s="215" t="s">
        <v>102</v>
      </c>
      <c r="K566" s="266">
        <v>49081131746</v>
      </c>
      <c r="L566" s="215">
        <v>49081631741</v>
      </c>
      <c r="M566" s="266">
        <v>40049081131744</v>
      </c>
      <c r="N566" s="264">
        <v>7.4999999999999997E-2</v>
      </c>
      <c r="O566" s="265">
        <v>10</v>
      </c>
      <c r="P566" s="265">
        <v>8.5</v>
      </c>
      <c r="Q566" s="265">
        <v>0.65</v>
      </c>
    </row>
    <row r="567" spans="1:17" ht="15" customHeight="1">
      <c r="B567" s="51" t="s">
        <v>10</v>
      </c>
      <c r="C567" s="51" t="s">
        <v>5901</v>
      </c>
      <c r="D567" s="51">
        <v>100022813</v>
      </c>
      <c r="E567" s="53" t="s">
        <v>5958</v>
      </c>
      <c r="F567" s="124">
        <v>100</v>
      </c>
      <c r="G567" s="124">
        <v>6000</v>
      </c>
      <c r="H567" s="369">
        <v>6.5</v>
      </c>
      <c r="I567" s="215" t="s">
        <v>346</v>
      </c>
      <c r="J567" s="215" t="s">
        <v>102</v>
      </c>
      <c r="K567" s="266">
        <v>49081131739</v>
      </c>
      <c r="L567" s="215">
        <v>49081631734</v>
      </c>
      <c r="M567" s="266">
        <v>40049081131737</v>
      </c>
      <c r="N567" s="264">
        <v>0.111</v>
      </c>
      <c r="O567" s="265">
        <v>10</v>
      </c>
      <c r="P567" s="265">
        <v>12.8</v>
      </c>
      <c r="Q567" s="265">
        <v>0.72</v>
      </c>
    </row>
    <row r="568" spans="1:17" ht="15" customHeight="1">
      <c r="A568" s="147">
        <v>599</v>
      </c>
      <c r="B568" s="51" t="s">
        <v>10</v>
      </c>
      <c r="C568" s="51" t="s">
        <v>4603</v>
      </c>
      <c r="D568" s="51">
        <v>100022814</v>
      </c>
      <c r="E568" s="53" t="s">
        <v>4604</v>
      </c>
      <c r="F568" s="124">
        <v>250</v>
      </c>
      <c r="G568" s="124">
        <v>18750</v>
      </c>
      <c r="H568" s="369">
        <v>7.57</v>
      </c>
      <c r="I568" s="215" t="s">
        <v>346</v>
      </c>
      <c r="J568" s="215" t="s">
        <v>102</v>
      </c>
      <c r="K568" s="266">
        <v>49081131838</v>
      </c>
      <c r="L568" s="215">
        <v>49081631833</v>
      </c>
      <c r="M568" s="266">
        <v>40049081131836</v>
      </c>
      <c r="N568" s="264">
        <v>4.3999999999999997E-2</v>
      </c>
      <c r="O568" s="265">
        <v>10</v>
      </c>
      <c r="P568" s="265">
        <v>24.58</v>
      </c>
      <c r="Q568" s="265">
        <v>0.95</v>
      </c>
    </row>
    <row r="569" spans="1:17" ht="15" customHeight="1">
      <c r="A569" s="147">
        <v>600</v>
      </c>
      <c r="B569" s="51" t="s">
        <v>10</v>
      </c>
      <c r="C569" s="51" t="s">
        <v>4605</v>
      </c>
      <c r="D569" s="51">
        <v>100022816</v>
      </c>
      <c r="E569" s="53" t="s">
        <v>4606</v>
      </c>
      <c r="F569" s="124">
        <v>200</v>
      </c>
      <c r="G569" s="124">
        <v>18000</v>
      </c>
      <c r="H569" s="369">
        <v>8.77</v>
      </c>
      <c r="I569" s="215" t="s">
        <v>76</v>
      </c>
      <c r="J569" s="215" t="s">
        <v>102</v>
      </c>
      <c r="K569" s="266">
        <v>49081131821</v>
      </c>
      <c r="L569" s="215">
        <v>49081631826</v>
      </c>
      <c r="M569" s="266">
        <v>40049081131829</v>
      </c>
      <c r="N569" s="264">
        <v>5.3999999999999999E-2</v>
      </c>
      <c r="O569" s="265">
        <v>10</v>
      </c>
      <c r="P569" s="265">
        <v>13.25</v>
      </c>
      <c r="Q569" s="265">
        <v>0.8</v>
      </c>
    </row>
    <row r="570" spans="1:17" ht="15" customHeight="1">
      <c r="A570" s="147">
        <v>601</v>
      </c>
      <c r="B570" s="51" t="s">
        <v>10</v>
      </c>
      <c r="C570" s="51" t="s">
        <v>4607</v>
      </c>
      <c r="D570" s="51">
        <v>100022818</v>
      </c>
      <c r="E570" s="53" t="s">
        <v>4608</v>
      </c>
      <c r="F570" s="124">
        <v>50</v>
      </c>
      <c r="G570" s="124">
        <v>7500</v>
      </c>
      <c r="H570" s="369">
        <v>9.5</v>
      </c>
      <c r="I570" s="215" t="s">
        <v>76</v>
      </c>
      <c r="J570" s="215" t="s">
        <v>102</v>
      </c>
      <c r="K570" s="266">
        <v>49081131807</v>
      </c>
      <c r="L570" s="215">
        <v>49081631802</v>
      </c>
      <c r="M570" s="266">
        <v>40049081131805</v>
      </c>
      <c r="N570" s="264">
        <v>0.105</v>
      </c>
      <c r="O570" s="265">
        <v>5</v>
      </c>
      <c r="P570" s="265">
        <v>6.87</v>
      </c>
      <c r="Q570" s="265">
        <v>0.5</v>
      </c>
    </row>
    <row r="571" spans="1:17" ht="15" customHeight="1">
      <c r="A571" s="147">
        <v>602</v>
      </c>
      <c r="B571" s="51" t="s">
        <v>10</v>
      </c>
      <c r="C571" s="51" t="s">
        <v>4609</v>
      </c>
      <c r="D571" s="51">
        <v>100022820</v>
      </c>
      <c r="E571" s="53" t="s">
        <v>4610</v>
      </c>
      <c r="F571" s="124">
        <v>100</v>
      </c>
      <c r="G571" s="124">
        <v>9000</v>
      </c>
      <c r="H571" s="369">
        <v>10.73</v>
      </c>
      <c r="I571" s="215" t="s">
        <v>76</v>
      </c>
      <c r="J571" s="215" t="s">
        <v>102</v>
      </c>
      <c r="K571" s="266">
        <v>49081131883</v>
      </c>
      <c r="L571" s="215">
        <v>49081631888</v>
      </c>
      <c r="M571" s="266">
        <v>40049081131881</v>
      </c>
      <c r="N571" s="264">
        <v>0.122</v>
      </c>
      <c r="O571" s="265">
        <v>5</v>
      </c>
      <c r="P571" s="265">
        <v>13.2</v>
      </c>
      <c r="Q571" s="265">
        <v>0.8</v>
      </c>
    </row>
    <row r="572" spans="1:17" ht="15" customHeight="1">
      <c r="B572" s="51" t="s">
        <v>10</v>
      </c>
      <c r="C572" s="51" t="s">
        <v>5902</v>
      </c>
      <c r="D572" s="51">
        <v>100022821</v>
      </c>
      <c r="E572" s="53" t="s">
        <v>5971</v>
      </c>
      <c r="F572" s="124">
        <v>125</v>
      </c>
      <c r="G572" s="124">
        <v>7500</v>
      </c>
      <c r="H572" s="369">
        <v>10.220000000000001</v>
      </c>
      <c r="I572" s="215" t="s">
        <v>346</v>
      </c>
      <c r="J572" s="215" t="s">
        <v>102</v>
      </c>
      <c r="K572" s="266">
        <v>49081131876</v>
      </c>
      <c r="L572" s="215">
        <v>49081631871</v>
      </c>
      <c r="M572" s="266">
        <v>40049081131874</v>
      </c>
      <c r="N572" s="264">
        <v>0.111</v>
      </c>
      <c r="O572" s="265">
        <v>5</v>
      </c>
      <c r="P572" s="265">
        <v>14</v>
      </c>
      <c r="Q572" s="265">
        <v>0.72</v>
      </c>
    </row>
    <row r="573" spans="1:17" ht="15" customHeight="1">
      <c r="A573" s="147">
        <v>603</v>
      </c>
      <c r="B573" s="51" t="s">
        <v>10</v>
      </c>
      <c r="C573" s="51" t="s">
        <v>4611</v>
      </c>
      <c r="D573" s="51">
        <v>100022823</v>
      </c>
      <c r="E573" s="53" t="s">
        <v>4612</v>
      </c>
      <c r="F573" s="124">
        <v>125</v>
      </c>
      <c r="G573" s="124">
        <v>7500</v>
      </c>
      <c r="H573" s="369">
        <v>10.73</v>
      </c>
      <c r="I573" s="215" t="s">
        <v>346</v>
      </c>
      <c r="J573" s="215" t="s">
        <v>102</v>
      </c>
      <c r="K573" s="266">
        <v>49081131869</v>
      </c>
      <c r="L573" s="215">
        <v>49081631864</v>
      </c>
      <c r="M573" s="266">
        <v>40049081131867</v>
      </c>
      <c r="N573" s="264">
        <v>0.15</v>
      </c>
      <c r="O573" s="265">
        <v>5</v>
      </c>
      <c r="P573" s="265">
        <v>21.5</v>
      </c>
      <c r="Q573" s="265">
        <v>1.25</v>
      </c>
    </row>
    <row r="574" spans="1:17" ht="15" customHeight="1">
      <c r="A574" s="147">
        <v>604</v>
      </c>
      <c r="B574" s="51" t="s">
        <v>10</v>
      </c>
      <c r="C574" s="51" t="s">
        <v>4613</v>
      </c>
      <c r="D574" s="51">
        <v>100022825</v>
      </c>
      <c r="E574" s="53" t="s">
        <v>4614</v>
      </c>
      <c r="F574" s="124">
        <v>125</v>
      </c>
      <c r="G574" s="124">
        <v>11250</v>
      </c>
      <c r="H574" s="369">
        <v>9.73</v>
      </c>
      <c r="I574" s="215" t="s">
        <v>346</v>
      </c>
      <c r="J574" s="215" t="s">
        <v>102</v>
      </c>
      <c r="K574" s="266">
        <v>49081131913</v>
      </c>
      <c r="L574" s="215">
        <v>49081631918</v>
      </c>
      <c r="M574" s="266">
        <v>40049081131911</v>
      </c>
      <c r="N574" s="264">
        <v>0.151</v>
      </c>
      <c r="O574" s="265">
        <v>5</v>
      </c>
      <c r="P574" s="265">
        <v>12.6</v>
      </c>
      <c r="Q574" s="265">
        <v>0.8</v>
      </c>
    </row>
    <row r="575" spans="1:17" ht="15" customHeight="1">
      <c r="A575" s="147">
        <v>605</v>
      </c>
      <c r="B575" s="51" t="s">
        <v>10</v>
      </c>
      <c r="C575" s="51" t="s">
        <v>4615</v>
      </c>
      <c r="D575" s="51">
        <v>100022827</v>
      </c>
      <c r="E575" s="53" t="s">
        <v>4616</v>
      </c>
      <c r="F575" s="124">
        <v>50</v>
      </c>
      <c r="G575" s="124">
        <v>6000</v>
      </c>
      <c r="H575" s="369">
        <v>12.99</v>
      </c>
      <c r="I575" s="215" t="s">
        <v>76</v>
      </c>
      <c r="J575" s="215" t="s">
        <v>102</v>
      </c>
      <c r="K575" s="266">
        <v>49081131944</v>
      </c>
      <c r="L575" s="215">
        <v>49081631949</v>
      </c>
      <c r="M575" s="266">
        <v>40049081131942</v>
      </c>
      <c r="N575" s="264">
        <v>0.108</v>
      </c>
      <c r="O575" s="265">
        <v>5</v>
      </c>
      <c r="P575" s="265">
        <v>7.43</v>
      </c>
      <c r="Q575" s="265">
        <v>0.65</v>
      </c>
    </row>
    <row r="576" spans="1:17" ht="15" customHeight="1">
      <c r="B576" s="51" t="s">
        <v>10</v>
      </c>
      <c r="C576" s="51" t="s">
        <v>5903</v>
      </c>
      <c r="D576" s="51">
        <v>100022828</v>
      </c>
      <c r="E576" s="53" t="s">
        <v>5972</v>
      </c>
      <c r="F576" s="124">
        <v>50</v>
      </c>
      <c r="G576" s="124">
        <v>4500</v>
      </c>
      <c r="H576" s="369">
        <v>12.37</v>
      </c>
      <c r="I576" s="605" t="s">
        <v>346</v>
      </c>
      <c r="J576" s="215" t="s">
        <v>102</v>
      </c>
      <c r="K576" s="266">
        <v>49081131937</v>
      </c>
      <c r="L576" s="215">
        <v>49081631932</v>
      </c>
      <c r="M576" s="266">
        <v>40049081131935</v>
      </c>
      <c r="N576" s="264">
        <v>0.10199999999999999</v>
      </c>
      <c r="O576" s="265">
        <v>5</v>
      </c>
      <c r="P576" s="265">
        <v>5.0999999999999996</v>
      </c>
      <c r="Q576" s="265">
        <v>0.43</v>
      </c>
    </row>
    <row r="577" spans="1:17" ht="15" customHeight="1">
      <c r="A577" s="147">
        <v>606</v>
      </c>
      <c r="B577" s="51" t="s">
        <v>10</v>
      </c>
      <c r="C577" s="51" t="s">
        <v>4617</v>
      </c>
      <c r="D577" s="51">
        <v>100022830</v>
      </c>
      <c r="E577" s="53" t="s">
        <v>4618</v>
      </c>
      <c r="F577" s="124">
        <v>50</v>
      </c>
      <c r="G577" s="124">
        <v>3750</v>
      </c>
      <c r="H577" s="369">
        <v>12.99</v>
      </c>
      <c r="I577" s="215" t="s">
        <v>76</v>
      </c>
      <c r="J577" s="215" t="s">
        <v>102</v>
      </c>
      <c r="K577" s="266">
        <v>49081131920</v>
      </c>
      <c r="L577" s="215">
        <v>49081631925</v>
      </c>
      <c r="M577" s="266">
        <v>40049081131928</v>
      </c>
      <c r="N577" s="264">
        <v>0.20699999999999999</v>
      </c>
      <c r="O577" s="265">
        <v>5</v>
      </c>
      <c r="P577" s="265">
        <v>14.64</v>
      </c>
      <c r="Q577" s="265">
        <v>0.95</v>
      </c>
    </row>
    <row r="578" spans="1:17" ht="15" customHeight="1">
      <c r="A578" s="147">
        <v>607</v>
      </c>
      <c r="B578" s="51" t="s">
        <v>10</v>
      </c>
      <c r="C578" s="51" t="s">
        <v>4619</v>
      </c>
      <c r="D578" s="51">
        <v>100022834</v>
      </c>
      <c r="E578" s="53" t="s">
        <v>4620</v>
      </c>
      <c r="F578" s="124">
        <v>50</v>
      </c>
      <c r="G578" s="124">
        <v>7500</v>
      </c>
      <c r="H578" s="369">
        <v>14.8</v>
      </c>
      <c r="I578" s="215" t="s">
        <v>76</v>
      </c>
      <c r="J578" s="215" t="s">
        <v>102</v>
      </c>
      <c r="K578" s="266">
        <v>49081132033</v>
      </c>
      <c r="L578" s="215">
        <v>49081632038</v>
      </c>
      <c r="M578" s="266">
        <v>40049081132031</v>
      </c>
      <c r="N578" s="264">
        <v>0.11600000000000001</v>
      </c>
      <c r="O578" s="265">
        <v>5</v>
      </c>
      <c r="P578" s="265">
        <v>6.62</v>
      </c>
      <c r="Q578" s="265">
        <v>0.5</v>
      </c>
    </row>
    <row r="579" spans="1:17" ht="15" customHeight="1">
      <c r="A579" s="147">
        <v>608</v>
      </c>
      <c r="B579" s="51" t="s">
        <v>10</v>
      </c>
      <c r="C579" s="51" t="s">
        <v>4621</v>
      </c>
      <c r="D579" s="51">
        <v>100022840</v>
      </c>
      <c r="E579" s="53" t="s">
        <v>4622</v>
      </c>
      <c r="F579" s="124">
        <v>6</v>
      </c>
      <c r="G579" s="124">
        <v>1500</v>
      </c>
      <c r="H579" s="369">
        <v>44.57</v>
      </c>
      <c r="I579" s="215" t="s">
        <v>76</v>
      </c>
      <c r="J579" s="215" t="s">
        <v>102</v>
      </c>
      <c r="K579" s="266">
        <v>49081305314</v>
      </c>
      <c r="L579" s="265" t="s">
        <v>649</v>
      </c>
      <c r="M579" s="266">
        <v>40049081305312</v>
      </c>
      <c r="N579" s="264">
        <v>0.83599999999999997</v>
      </c>
      <c r="O579" s="265" t="s">
        <v>649</v>
      </c>
      <c r="P579" s="265">
        <v>5.55</v>
      </c>
      <c r="Q579" s="265">
        <v>0.5</v>
      </c>
    </row>
    <row r="580" spans="1:17" ht="15" customHeight="1">
      <c r="A580" s="147">
        <v>609</v>
      </c>
      <c r="B580" s="51" t="s">
        <v>10</v>
      </c>
      <c r="C580" s="51" t="s">
        <v>4623</v>
      </c>
      <c r="D580" s="51">
        <v>100022847</v>
      </c>
      <c r="E580" s="53" t="s">
        <v>4624</v>
      </c>
      <c r="F580" s="124">
        <v>250</v>
      </c>
      <c r="G580" s="124">
        <v>37500</v>
      </c>
      <c r="H580" s="369">
        <v>1.67</v>
      </c>
      <c r="I580" s="215" t="s">
        <v>76</v>
      </c>
      <c r="J580" s="215" t="s">
        <v>102</v>
      </c>
      <c r="K580" s="266">
        <v>49081133047</v>
      </c>
      <c r="L580" s="215">
        <v>49081633042</v>
      </c>
      <c r="M580" s="266">
        <v>40049081133045</v>
      </c>
      <c r="N580" s="264">
        <v>2.3E-2</v>
      </c>
      <c r="O580" s="265">
        <v>10</v>
      </c>
      <c r="P580" s="265">
        <v>6.68</v>
      </c>
      <c r="Q580" s="265">
        <v>0.5</v>
      </c>
    </row>
    <row r="581" spans="1:17" ht="15" customHeight="1">
      <c r="A581" s="147">
        <v>610</v>
      </c>
      <c r="B581" s="51" t="s">
        <v>10</v>
      </c>
      <c r="C581" s="51" t="s">
        <v>4625</v>
      </c>
      <c r="D581" s="51">
        <v>100022849</v>
      </c>
      <c r="E581" s="53" t="s">
        <v>4626</v>
      </c>
      <c r="F581" s="124">
        <v>250</v>
      </c>
      <c r="G581" s="124">
        <v>30000</v>
      </c>
      <c r="H581" s="369">
        <v>3.02</v>
      </c>
      <c r="I581" s="215" t="s">
        <v>76</v>
      </c>
      <c r="J581" s="215" t="s">
        <v>102</v>
      </c>
      <c r="K581" s="266">
        <v>49081133122</v>
      </c>
      <c r="L581" s="215">
        <v>49081633127</v>
      </c>
      <c r="M581" s="266">
        <v>40049081133120</v>
      </c>
      <c r="N581" s="264">
        <v>4.4999999999999998E-2</v>
      </c>
      <c r="O581" s="265">
        <v>10</v>
      </c>
      <c r="P581" s="265">
        <v>14.88</v>
      </c>
      <c r="Q581" s="265">
        <v>0.65</v>
      </c>
    </row>
    <row r="582" spans="1:17" ht="15" customHeight="1">
      <c r="A582" s="147">
        <v>611</v>
      </c>
      <c r="B582" s="51" t="s">
        <v>10</v>
      </c>
      <c r="C582" s="51" t="s">
        <v>4627</v>
      </c>
      <c r="D582" s="51">
        <v>100027421</v>
      </c>
      <c r="E582" s="53" t="s">
        <v>4628</v>
      </c>
      <c r="F582" s="124">
        <v>250</v>
      </c>
      <c r="G582" s="124">
        <v>30000</v>
      </c>
      <c r="H582" s="369">
        <v>3.02</v>
      </c>
      <c r="I582" s="215" t="s">
        <v>76</v>
      </c>
      <c r="J582" s="215" t="s">
        <v>102</v>
      </c>
      <c r="K582" s="265" t="s">
        <v>649</v>
      </c>
      <c r="L582" s="215">
        <v>49081633103</v>
      </c>
      <c r="M582" s="266">
        <v>40049081133106</v>
      </c>
      <c r="N582" s="264">
        <v>3.3000000000000002E-2</v>
      </c>
      <c r="O582" s="265">
        <v>10</v>
      </c>
      <c r="P582" s="265">
        <v>10.88</v>
      </c>
      <c r="Q582" s="265">
        <v>0.65</v>
      </c>
    </row>
    <row r="583" spans="1:17" ht="15" customHeight="1">
      <c r="B583" s="51" t="s">
        <v>10</v>
      </c>
      <c r="C583" s="51" t="s">
        <v>5904</v>
      </c>
      <c r="D583" s="51">
        <v>100022852</v>
      </c>
      <c r="E583" s="53" t="s">
        <v>5959</v>
      </c>
      <c r="F583" s="124">
        <v>150</v>
      </c>
      <c r="G583" s="124">
        <v>9000</v>
      </c>
      <c r="H583" s="369">
        <v>3.87</v>
      </c>
      <c r="I583" s="215" t="s">
        <v>76</v>
      </c>
      <c r="J583" s="215" t="s">
        <v>102</v>
      </c>
      <c r="K583" s="266">
        <v>49081133207</v>
      </c>
      <c r="L583" s="215">
        <v>49081633202</v>
      </c>
      <c r="M583" s="266">
        <v>40049081133205</v>
      </c>
      <c r="N583" s="264">
        <v>0.104</v>
      </c>
      <c r="O583" s="265">
        <v>5</v>
      </c>
      <c r="P583" s="265">
        <v>15.6</v>
      </c>
      <c r="Q583" s="265">
        <v>0.72</v>
      </c>
    </row>
    <row r="584" spans="1:17" ht="15" customHeight="1">
      <c r="A584" s="147">
        <v>612</v>
      </c>
      <c r="B584" s="51" t="s">
        <v>10</v>
      </c>
      <c r="C584" s="51" t="s">
        <v>4629</v>
      </c>
      <c r="D584" s="51">
        <v>100022854</v>
      </c>
      <c r="E584" s="53" t="s">
        <v>4630</v>
      </c>
      <c r="F584" s="124">
        <v>150</v>
      </c>
      <c r="G584" s="124">
        <v>18000</v>
      </c>
      <c r="H584" s="369">
        <v>4.07</v>
      </c>
      <c r="I584" s="215" t="s">
        <v>346</v>
      </c>
      <c r="J584" s="215" t="s">
        <v>102</v>
      </c>
      <c r="K584" s="266">
        <v>49081133184</v>
      </c>
      <c r="L584" s="215">
        <v>49081633189</v>
      </c>
      <c r="M584" s="266">
        <v>40049081133182</v>
      </c>
      <c r="N584" s="264">
        <v>9.1999999999999998E-2</v>
      </c>
      <c r="O584" s="265">
        <v>5</v>
      </c>
      <c r="P584" s="265">
        <v>14.45</v>
      </c>
      <c r="Q584" s="265">
        <v>0.65</v>
      </c>
    </row>
    <row r="585" spans="1:17" ht="15" customHeight="1">
      <c r="A585" s="147">
        <v>613</v>
      </c>
      <c r="B585" s="51" t="s">
        <v>10</v>
      </c>
      <c r="C585" s="51" t="s">
        <v>4631</v>
      </c>
      <c r="D585" s="51">
        <v>100027422</v>
      </c>
      <c r="E585" s="53" t="s">
        <v>4632</v>
      </c>
      <c r="F585" s="124">
        <v>150</v>
      </c>
      <c r="G585" s="124">
        <v>13500</v>
      </c>
      <c r="H585" s="369">
        <v>4.07</v>
      </c>
      <c r="I585" s="215" t="s">
        <v>76</v>
      </c>
      <c r="J585" s="215" t="s">
        <v>102</v>
      </c>
      <c r="K585" s="265" t="s">
        <v>649</v>
      </c>
      <c r="L585" s="215">
        <v>49081633165</v>
      </c>
      <c r="M585" s="266">
        <v>40049081133168</v>
      </c>
      <c r="N585" s="264">
        <v>6.6000000000000003E-2</v>
      </c>
      <c r="O585" s="265">
        <v>5</v>
      </c>
      <c r="P585" s="265">
        <v>10.85</v>
      </c>
      <c r="Q585" s="265">
        <v>0.8</v>
      </c>
    </row>
    <row r="586" spans="1:17" ht="15" customHeight="1">
      <c r="A586" s="147">
        <v>614</v>
      </c>
      <c r="B586" s="51" t="s">
        <v>10</v>
      </c>
      <c r="C586" s="51" t="s">
        <v>4633</v>
      </c>
      <c r="D586" s="51">
        <v>100022856</v>
      </c>
      <c r="E586" s="53" t="s">
        <v>4634</v>
      </c>
      <c r="F586" s="124">
        <v>100</v>
      </c>
      <c r="G586" s="124">
        <v>12000</v>
      </c>
      <c r="H586" s="369">
        <v>4.32</v>
      </c>
      <c r="I586" s="215" t="s">
        <v>76</v>
      </c>
      <c r="J586" s="215" t="s">
        <v>102</v>
      </c>
      <c r="K586" s="266">
        <v>49081133306</v>
      </c>
      <c r="L586" s="215">
        <v>49081633301</v>
      </c>
      <c r="M586" s="266">
        <v>40049081133304</v>
      </c>
      <c r="N586" s="264">
        <v>0.122</v>
      </c>
      <c r="O586" s="265">
        <v>5</v>
      </c>
      <c r="P586" s="265">
        <v>13.46</v>
      </c>
      <c r="Q586" s="265">
        <v>0.65</v>
      </c>
    </row>
    <row r="587" spans="1:17" ht="15" customHeight="1">
      <c r="A587" s="147">
        <v>615</v>
      </c>
      <c r="B587" s="51" t="s">
        <v>10</v>
      </c>
      <c r="C587" s="51" t="s">
        <v>4635</v>
      </c>
      <c r="D587" s="51">
        <v>100022858</v>
      </c>
      <c r="E587" s="53" t="s">
        <v>4636</v>
      </c>
      <c r="F587" s="124">
        <v>100</v>
      </c>
      <c r="G587" s="124">
        <v>12000</v>
      </c>
      <c r="H587" s="369">
        <v>4.32</v>
      </c>
      <c r="I587" s="215" t="s">
        <v>76</v>
      </c>
      <c r="J587" s="215" t="s">
        <v>102</v>
      </c>
      <c r="K587" s="266">
        <v>49081133283</v>
      </c>
      <c r="L587" s="215">
        <v>49081633288</v>
      </c>
      <c r="M587" s="266">
        <v>40049081133281</v>
      </c>
      <c r="N587" s="264">
        <v>0.10199999999999999</v>
      </c>
      <c r="O587" s="265">
        <v>5</v>
      </c>
      <c r="P587" s="265">
        <v>13.35</v>
      </c>
      <c r="Q587" s="265">
        <v>0.65</v>
      </c>
    </row>
    <row r="588" spans="1:17" ht="15" customHeight="1">
      <c r="A588" s="147">
        <v>616</v>
      </c>
      <c r="B588" s="51" t="s">
        <v>10</v>
      </c>
      <c r="C588" s="51" t="s">
        <v>4637</v>
      </c>
      <c r="D588" s="51">
        <v>100022860</v>
      </c>
      <c r="E588" s="53" t="s">
        <v>4638</v>
      </c>
      <c r="F588" s="124">
        <v>100</v>
      </c>
      <c r="G588" s="124">
        <v>12000</v>
      </c>
      <c r="H588" s="369">
        <v>4.32</v>
      </c>
      <c r="I588" s="215" t="s">
        <v>76</v>
      </c>
      <c r="J588" s="215" t="s">
        <v>102</v>
      </c>
      <c r="K588" s="266">
        <v>49081133269</v>
      </c>
      <c r="L588" s="215">
        <v>49081633264</v>
      </c>
      <c r="M588" s="266">
        <v>40049081133267</v>
      </c>
      <c r="N588" s="264">
        <v>0.122</v>
      </c>
      <c r="O588" s="265">
        <v>10</v>
      </c>
      <c r="P588" s="265">
        <v>13.04</v>
      </c>
      <c r="Q588" s="265">
        <v>0.65</v>
      </c>
    </row>
    <row r="589" spans="1:17" ht="15" customHeight="1">
      <c r="A589" s="147">
        <v>617</v>
      </c>
      <c r="B589" s="51" t="s">
        <v>10</v>
      </c>
      <c r="C589" s="51" t="s">
        <v>4639</v>
      </c>
      <c r="D589" s="51">
        <v>100022862</v>
      </c>
      <c r="E589" s="53" t="s">
        <v>4640</v>
      </c>
      <c r="F589" s="124">
        <v>100</v>
      </c>
      <c r="G589" s="124">
        <v>12000</v>
      </c>
      <c r="H589" s="369">
        <v>4.32</v>
      </c>
      <c r="I589" s="215" t="s">
        <v>76</v>
      </c>
      <c r="J589" s="215" t="s">
        <v>102</v>
      </c>
      <c r="K589" s="266">
        <v>49081133245</v>
      </c>
      <c r="L589" s="215">
        <v>49081633240</v>
      </c>
      <c r="M589" s="266">
        <v>40049081133243</v>
      </c>
      <c r="N589" s="264">
        <v>5.1999999999999998E-2</v>
      </c>
      <c r="O589" s="265">
        <v>10</v>
      </c>
      <c r="P589" s="265">
        <v>6.03</v>
      </c>
      <c r="Q589" s="265">
        <v>0.65</v>
      </c>
    </row>
    <row r="590" spans="1:17" ht="15" customHeight="1">
      <c r="A590" s="147">
        <v>618</v>
      </c>
      <c r="B590" s="51" t="s">
        <v>10</v>
      </c>
      <c r="C590" s="51" t="s">
        <v>4641</v>
      </c>
      <c r="D590" s="51">
        <v>100022864</v>
      </c>
      <c r="E590" s="53" t="s">
        <v>4642</v>
      </c>
      <c r="F590" s="124">
        <v>50</v>
      </c>
      <c r="G590" s="124">
        <v>7500</v>
      </c>
      <c r="H590" s="369">
        <v>7.13</v>
      </c>
      <c r="I590" s="215" t="s">
        <v>76</v>
      </c>
      <c r="J590" s="215" t="s">
        <v>102</v>
      </c>
      <c r="K590" s="266">
        <v>49081133405</v>
      </c>
      <c r="L590" s="215">
        <v>49081633400</v>
      </c>
      <c r="M590" s="266">
        <v>40049081133403</v>
      </c>
      <c r="N590" s="264">
        <v>0.16400000000000001</v>
      </c>
      <c r="O590" s="265">
        <v>5</v>
      </c>
      <c r="P590" s="265">
        <v>8.3699999999999992</v>
      </c>
      <c r="Q590" s="265">
        <v>0.5</v>
      </c>
    </row>
    <row r="591" spans="1:17" ht="15" customHeight="1">
      <c r="A591" s="147">
        <v>619</v>
      </c>
      <c r="B591" s="51" t="s">
        <v>10</v>
      </c>
      <c r="C591" s="51" t="s">
        <v>4643</v>
      </c>
      <c r="D591" s="51">
        <v>100022866</v>
      </c>
      <c r="E591" s="53" t="s">
        <v>4644</v>
      </c>
      <c r="F591" s="124">
        <v>50</v>
      </c>
      <c r="G591" s="124">
        <v>7500</v>
      </c>
      <c r="H591" s="369">
        <v>7.13</v>
      </c>
      <c r="I591" s="215" t="s">
        <v>76</v>
      </c>
      <c r="J591" s="215" t="s">
        <v>102</v>
      </c>
      <c r="K591" s="266">
        <v>49081133382</v>
      </c>
      <c r="L591" s="215">
        <v>49081633387</v>
      </c>
      <c r="M591" s="266">
        <v>40049081133380</v>
      </c>
      <c r="N591" s="264">
        <v>0.16500000000000001</v>
      </c>
      <c r="O591" s="265">
        <v>5</v>
      </c>
      <c r="P591" s="265">
        <v>9.06</v>
      </c>
      <c r="Q591" s="265">
        <v>0.5</v>
      </c>
    </row>
    <row r="592" spans="1:17" ht="15" customHeight="1">
      <c r="A592" s="147">
        <v>620</v>
      </c>
      <c r="B592" s="51" t="s">
        <v>10</v>
      </c>
      <c r="C592" s="51" t="s">
        <v>4645</v>
      </c>
      <c r="D592" s="51">
        <v>100022868</v>
      </c>
      <c r="E592" s="53" t="s">
        <v>4646</v>
      </c>
      <c r="F592" s="124">
        <v>50</v>
      </c>
      <c r="G592" s="124">
        <v>6000</v>
      </c>
      <c r="H592" s="369">
        <v>7.13</v>
      </c>
      <c r="I592" s="215" t="s">
        <v>76</v>
      </c>
      <c r="J592" s="215" t="s">
        <v>102</v>
      </c>
      <c r="K592" s="266">
        <v>49081133368</v>
      </c>
      <c r="L592" s="215">
        <v>49081633363</v>
      </c>
      <c r="M592" s="266">
        <v>40049081133366</v>
      </c>
      <c r="N592" s="264">
        <v>0.17100000000000001</v>
      </c>
      <c r="O592" s="265">
        <v>5</v>
      </c>
      <c r="P592" s="265">
        <v>9.64</v>
      </c>
      <c r="Q592" s="265">
        <v>0.65</v>
      </c>
    </row>
    <row r="593" spans="1:17" ht="15" customHeight="1">
      <c r="B593" s="51" t="s">
        <v>10</v>
      </c>
      <c r="C593" s="51" t="s">
        <v>5905</v>
      </c>
      <c r="D593" s="51">
        <v>100027423</v>
      </c>
      <c r="E593" s="53" t="s">
        <v>5960</v>
      </c>
      <c r="F593" s="124">
        <v>50</v>
      </c>
      <c r="G593" s="124">
        <v>3750</v>
      </c>
      <c r="H593" s="369">
        <v>6.79</v>
      </c>
      <c r="I593" s="215" t="s">
        <v>76</v>
      </c>
      <c r="J593" s="215" t="s">
        <v>102</v>
      </c>
      <c r="K593" s="266">
        <v>49081133160</v>
      </c>
      <c r="L593" s="215" t="s">
        <v>649</v>
      </c>
      <c r="M593" s="266">
        <v>40049081133342</v>
      </c>
      <c r="N593" s="264">
        <v>0.17699999999999999</v>
      </c>
      <c r="O593" s="265" t="s">
        <v>649</v>
      </c>
      <c r="P593" s="265">
        <v>9.6</v>
      </c>
      <c r="Q593" s="265">
        <v>0.57999999999999996</v>
      </c>
    </row>
    <row r="594" spans="1:17" ht="15" customHeight="1">
      <c r="A594" s="147">
        <v>621</v>
      </c>
      <c r="B594" s="51" t="s">
        <v>10</v>
      </c>
      <c r="C594" s="51" t="s">
        <v>4647</v>
      </c>
      <c r="D594" s="51">
        <v>100022870</v>
      </c>
      <c r="E594" s="53" t="s">
        <v>4648</v>
      </c>
      <c r="F594" s="124">
        <v>50</v>
      </c>
      <c r="G594" s="124">
        <v>6000</v>
      </c>
      <c r="H594" s="369">
        <v>7.13</v>
      </c>
      <c r="I594" s="215" t="s">
        <v>76</v>
      </c>
      <c r="J594" s="215" t="s">
        <v>102</v>
      </c>
      <c r="K594" s="266">
        <v>49081133320</v>
      </c>
      <c r="L594" s="215">
        <v>49081633325</v>
      </c>
      <c r="M594" s="266">
        <v>40049081133328</v>
      </c>
      <c r="N594" s="264">
        <v>0.13</v>
      </c>
      <c r="O594" s="265">
        <v>5</v>
      </c>
      <c r="P594" s="265">
        <v>7.37</v>
      </c>
      <c r="Q594" s="265">
        <v>0.65</v>
      </c>
    </row>
    <row r="595" spans="1:17" ht="15" customHeight="1">
      <c r="A595" s="147">
        <v>622</v>
      </c>
      <c r="B595" s="51" t="s">
        <v>10</v>
      </c>
      <c r="C595" s="51" t="s">
        <v>4649</v>
      </c>
      <c r="D595" s="51">
        <v>100022872</v>
      </c>
      <c r="E595" s="53" t="s">
        <v>4650</v>
      </c>
      <c r="F595" s="124">
        <v>25</v>
      </c>
      <c r="G595" s="124">
        <v>3750</v>
      </c>
      <c r="H595" s="369">
        <v>11.4</v>
      </c>
      <c r="I595" s="215" t="s">
        <v>76</v>
      </c>
      <c r="J595" s="215" t="s">
        <v>102</v>
      </c>
      <c r="K595" s="266">
        <v>49081133504</v>
      </c>
      <c r="L595" s="215">
        <v>49081633509</v>
      </c>
      <c r="M595" s="266">
        <v>40049081133502</v>
      </c>
      <c r="N595" s="264">
        <v>0.34200000000000003</v>
      </c>
      <c r="O595" s="265">
        <v>5</v>
      </c>
      <c r="P595" s="265">
        <v>9.64</v>
      </c>
      <c r="Q595" s="265">
        <v>0.5</v>
      </c>
    </row>
    <row r="596" spans="1:17" ht="15" customHeight="1">
      <c r="B596" s="51" t="s">
        <v>10</v>
      </c>
      <c r="C596" s="51" t="s">
        <v>5906</v>
      </c>
      <c r="D596" s="51">
        <v>100022875</v>
      </c>
      <c r="E596" s="53" t="s">
        <v>5961</v>
      </c>
      <c r="F596" s="124">
        <v>25</v>
      </c>
      <c r="G596" s="124">
        <v>1875</v>
      </c>
      <c r="H596" s="369">
        <v>10.86</v>
      </c>
      <c r="I596" s="215" t="s">
        <v>76</v>
      </c>
      <c r="J596" s="215" t="s">
        <v>102</v>
      </c>
      <c r="K596" s="266">
        <v>49081133467</v>
      </c>
      <c r="L596" s="215">
        <v>49081633462</v>
      </c>
      <c r="M596" s="266">
        <v>40049081133465</v>
      </c>
      <c r="N596" s="264">
        <v>0.376</v>
      </c>
      <c r="O596" s="265">
        <v>5</v>
      </c>
      <c r="P596" s="265">
        <v>9.4</v>
      </c>
      <c r="Q596" s="265">
        <v>0.57999999999999996</v>
      </c>
    </row>
    <row r="597" spans="1:17" ht="15" customHeight="1">
      <c r="A597" s="147">
        <v>623</v>
      </c>
      <c r="B597" s="51" t="s">
        <v>10</v>
      </c>
      <c r="C597" s="51" t="s">
        <v>4651</v>
      </c>
      <c r="D597" s="51">
        <v>100022877</v>
      </c>
      <c r="E597" s="53" t="s">
        <v>4652</v>
      </c>
      <c r="F597" s="124">
        <v>25</v>
      </c>
      <c r="G597" s="124">
        <v>3750</v>
      </c>
      <c r="H597" s="369">
        <v>11.4</v>
      </c>
      <c r="I597" s="215" t="s">
        <v>76</v>
      </c>
      <c r="J597" s="215" t="s">
        <v>102</v>
      </c>
      <c r="K597" s="266">
        <v>49081133443</v>
      </c>
      <c r="L597" s="215">
        <v>49081633448</v>
      </c>
      <c r="M597" s="266">
        <v>40049081133441</v>
      </c>
      <c r="N597" s="264">
        <v>0.372</v>
      </c>
      <c r="O597" s="265">
        <v>5</v>
      </c>
      <c r="P597" s="265">
        <v>9.41</v>
      </c>
      <c r="Q597" s="265">
        <v>0.5</v>
      </c>
    </row>
    <row r="598" spans="1:17" ht="15" customHeight="1">
      <c r="A598" s="147">
        <v>624</v>
      </c>
      <c r="B598" s="51" t="s">
        <v>10</v>
      </c>
      <c r="C598" s="51" t="s">
        <v>4653</v>
      </c>
      <c r="D598" s="51">
        <v>100022879</v>
      </c>
      <c r="E598" s="53" t="s">
        <v>4654</v>
      </c>
      <c r="F598" s="124">
        <v>25</v>
      </c>
      <c r="G598" s="124">
        <v>3750</v>
      </c>
      <c r="H598" s="369">
        <v>11.4</v>
      </c>
      <c r="I598" s="215" t="s">
        <v>76</v>
      </c>
      <c r="J598" s="215" t="s">
        <v>102</v>
      </c>
      <c r="K598" s="266">
        <v>49081133429</v>
      </c>
      <c r="L598" s="215">
        <v>49081633424</v>
      </c>
      <c r="M598" s="266">
        <v>40049081133427</v>
      </c>
      <c r="N598" s="264">
        <v>0.24299999999999999</v>
      </c>
      <c r="O598" s="265">
        <v>5</v>
      </c>
      <c r="P598" s="265">
        <v>6.94</v>
      </c>
      <c r="Q598" s="265">
        <v>0.5</v>
      </c>
    </row>
    <row r="599" spans="1:17" ht="15" customHeight="1">
      <c r="A599" s="147">
        <v>625</v>
      </c>
      <c r="B599" s="51" t="s">
        <v>10</v>
      </c>
      <c r="C599" s="51" t="s">
        <v>4655</v>
      </c>
      <c r="D599" s="51">
        <v>100022884</v>
      </c>
      <c r="E599" s="53" t="s">
        <v>4656</v>
      </c>
      <c r="F599" s="124">
        <v>25</v>
      </c>
      <c r="G599" s="124">
        <v>3000</v>
      </c>
      <c r="H599" s="369">
        <v>16.82</v>
      </c>
      <c r="I599" s="215" t="s">
        <v>76</v>
      </c>
      <c r="J599" s="215" t="s">
        <v>102</v>
      </c>
      <c r="K599" s="266">
        <v>49081133627</v>
      </c>
      <c r="L599" s="215">
        <v>49081633622</v>
      </c>
      <c r="M599" s="266">
        <v>40049081133625</v>
      </c>
      <c r="N599" s="264">
        <v>0.41399999999999998</v>
      </c>
      <c r="O599" s="265">
        <v>5</v>
      </c>
      <c r="P599" s="265">
        <v>11.04</v>
      </c>
      <c r="Q599" s="265">
        <v>0.65</v>
      </c>
    </row>
    <row r="600" spans="1:17" ht="15" customHeight="1">
      <c r="B600" s="51" t="s">
        <v>10</v>
      </c>
      <c r="C600" s="51" t="s">
        <v>5907</v>
      </c>
      <c r="D600" s="51">
        <v>100022885</v>
      </c>
      <c r="E600" s="53" t="s">
        <v>5962</v>
      </c>
      <c r="F600" s="124">
        <v>25</v>
      </c>
      <c r="G600" s="124">
        <v>1500</v>
      </c>
      <c r="H600" s="369">
        <v>16.010000000000002</v>
      </c>
      <c r="I600" s="215" t="s">
        <v>76</v>
      </c>
      <c r="J600" s="215" t="s">
        <v>102</v>
      </c>
      <c r="K600" s="266">
        <v>49081133603</v>
      </c>
      <c r="L600" s="215">
        <v>49081633608</v>
      </c>
      <c r="M600" s="266">
        <v>40049081133601</v>
      </c>
      <c r="N600" s="264">
        <v>0.45200000000000001</v>
      </c>
      <c r="O600" s="265">
        <v>5</v>
      </c>
      <c r="P600" s="265">
        <v>11.3</v>
      </c>
      <c r="Q600" s="265">
        <v>0.72</v>
      </c>
    </row>
    <row r="601" spans="1:17" ht="15" customHeight="1">
      <c r="A601" s="147">
        <v>626</v>
      </c>
      <c r="B601" s="51" t="s">
        <v>10</v>
      </c>
      <c r="C601" s="51" t="s">
        <v>4657</v>
      </c>
      <c r="D601" s="51">
        <v>100022887</v>
      </c>
      <c r="E601" s="53" t="s">
        <v>4658</v>
      </c>
      <c r="F601" s="124">
        <v>25</v>
      </c>
      <c r="G601" s="124">
        <v>3000</v>
      </c>
      <c r="H601" s="369">
        <v>16.82</v>
      </c>
      <c r="I601" s="215" t="s">
        <v>76</v>
      </c>
      <c r="J601" s="215" t="s">
        <v>102</v>
      </c>
      <c r="K601" s="266">
        <v>49081133580</v>
      </c>
      <c r="L601" s="215">
        <v>49081633585</v>
      </c>
      <c r="M601" s="266">
        <v>40049081133588</v>
      </c>
      <c r="N601" s="264">
        <v>0.42</v>
      </c>
      <c r="O601" s="265">
        <v>5</v>
      </c>
      <c r="P601" s="265">
        <v>11.35</v>
      </c>
      <c r="Q601" s="265">
        <v>0.65</v>
      </c>
    </row>
    <row r="602" spans="1:17" ht="15" customHeight="1">
      <c r="A602" s="147">
        <v>627</v>
      </c>
      <c r="B602" s="51" t="s">
        <v>10</v>
      </c>
      <c r="C602" s="51" t="s">
        <v>4659</v>
      </c>
      <c r="D602" s="51">
        <v>100022889</v>
      </c>
      <c r="E602" s="53" t="s">
        <v>4660</v>
      </c>
      <c r="F602" s="124">
        <v>25</v>
      </c>
      <c r="G602" s="124">
        <v>3000</v>
      </c>
      <c r="H602" s="369">
        <v>16.82</v>
      </c>
      <c r="I602" s="215" t="s">
        <v>76</v>
      </c>
      <c r="J602" s="215" t="s">
        <v>102</v>
      </c>
      <c r="K602" s="266">
        <v>49081133566</v>
      </c>
      <c r="L602" s="215">
        <v>49081633561</v>
      </c>
      <c r="M602" s="266">
        <v>40049081133564</v>
      </c>
      <c r="N602" s="264">
        <v>0.378</v>
      </c>
      <c r="O602" s="265">
        <v>5</v>
      </c>
      <c r="P602" s="265">
        <v>11.05</v>
      </c>
      <c r="Q602" s="265">
        <v>0.65</v>
      </c>
    </row>
    <row r="603" spans="1:17" ht="15" customHeight="1">
      <c r="A603" s="147">
        <v>628</v>
      </c>
      <c r="B603" s="51" t="s">
        <v>10</v>
      </c>
      <c r="C603" s="51" t="s">
        <v>4661</v>
      </c>
      <c r="D603" s="51">
        <v>100022891</v>
      </c>
      <c r="E603" s="53" t="s">
        <v>4662</v>
      </c>
      <c r="F603" s="124">
        <v>25</v>
      </c>
      <c r="G603" s="124">
        <v>3000</v>
      </c>
      <c r="H603" s="369">
        <v>16.82</v>
      </c>
      <c r="I603" s="215" t="s">
        <v>76</v>
      </c>
      <c r="J603" s="215" t="s">
        <v>102</v>
      </c>
      <c r="K603" s="266">
        <v>49081133542</v>
      </c>
      <c r="L603" s="215">
        <v>49081633547</v>
      </c>
      <c r="M603" s="266">
        <v>40049081133540</v>
      </c>
      <c r="N603" s="264">
        <v>0.33900000000000002</v>
      </c>
      <c r="O603" s="265">
        <v>5</v>
      </c>
      <c r="P603" s="265">
        <v>9.18</v>
      </c>
      <c r="Q603" s="265">
        <v>0.65</v>
      </c>
    </row>
    <row r="604" spans="1:17" ht="15" customHeight="1">
      <c r="A604" s="147">
        <v>629</v>
      </c>
      <c r="B604" s="51" t="s">
        <v>10</v>
      </c>
      <c r="C604" s="51" t="s">
        <v>4663</v>
      </c>
      <c r="D604" s="51">
        <v>100022893</v>
      </c>
      <c r="E604" s="53" t="s">
        <v>4664</v>
      </c>
      <c r="F604" s="124">
        <v>10</v>
      </c>
      <c r="G604" s="124">
        <v>1500</v>
      </c>
      <c r="H604" s="369">
        <v>37.64</v>
      </c>
      <c r="I604" s="215" t="s">
        <v>76</v>
      </c>
      <c r="J604" s="215" t="s">
        <v>102</v>
      </c>
      <c r="K604" s="266">
        <v>49081133740</v>
      </c>
      <c r="L604" s="265" t="s">
        <v>649</v>
      </c>
      <c r="M604" s="266">
        <v>40049081133748</v>
      </c>
      <c r="N604" s="264">
        <v>0.79</v>
      </c>
      <c r="O604" s="265" t="s">
        <v>649</v>
      </c>
      <c r="P604" s="265">
        <v>8.84</v>
      </c>
      <c r="Q604" s="265">
        <v>0.5</v>
      </c>
    </row>
    <row r="605" spans="1:17" ht="15" customHeight="1">
      <c r="A605" s="147">
        <v>630</v>
      </c>
      <c r="B605" s="51" t="s">
        <v>10</v>
      </c>
      <c r="C605" s="51" t="s">
        <v>4665</v>
      </c>
      <c r="D605" s="51">
        <v>100022895</v>
      </c>
      <c r="E605" s="53" t="s">
        <v>4666</v>
      </c>
      <c r="F605" s="124">
        <v>10</v>
      </c>
      <c r="G605" s="124">
        <v>1500</v>
      </c>
      <c r="H605" s="369">
        <v>37.64</v>
      </c>
      <c r="I605" s="215" t="s">
        <v>76</v>
      </c>
      <c r="J605" s="215" t="s">
        <v>102</v>
      </c>
      <c r="K605" s="266">
        <v>49081133702</v>
      </c>
      <c r="L605" s="265" t="s">
        <v>649</v>
      </c>
      <c r="M605" s="266">
        <v>40049081133700</v>
      </c>
      <c r="N605" s="264">
        <v>0.78300000000000003</v>
      </c>
      <c r="O605" s="265" t="s">
        <v>649</v>
      </c>
      <c r="P605" s="265">
        <v>8.5299999999999994</v>
      </c>
      <c r="Q605" s="265">
        <v>0.5</v>
      </c>
    </row>
    <row r="606" spans="1:17" ht="15" customHeight="1">
      <c r="A606" s="147">
        <v>631</v>
      </c>
      <c r="B606" s="51" t="s">
        <v>10</v>
      </c>
      <c r="C606" s="51" t="s">
        <v>4667</v>
      </c>
      <c r="D606" s="51">
        <v>100022899</v>
      </c>
      <c r="E606" s="53" t="s">
        <v>4668</v>
      </c>
      <c r="F606" s="124">
        <v>5</v>
      </c>
      <c r="G606" s="124">
        <v>750</v>
      </c>
      <c r="H606" s="369">
        <v>52.94</v>
      </c>
      <c r="I606" s="215" t="s">
        <v>346</v>
      </c>
      <c r="J606" s="215" t="s">
        <v>102</v>
      </c>
      <c r="K606" s="266">
        <v>49081133849</v>
      </c>
      <c r="L606" s="265" t="s">
        <v>649</v>
      </c>
      <c r="M606" s="266">
        <v>40049081133847</v>
      </c>
      <c r="N606" s="264">
        <v>1.4570000000000001</v>
      </c>
      <c r="O606" s="265" t="s">
        <v>649</v>
      </c>
      <c r="P606" s="265">
        <v>7.96</v>
      </c>
      <c r="Q606" s="265">
        <v>0.5</v>
      </c>
    </row>
    <row r="607" spans="1:17" ht="15" customHeight="1">
      <c r="A607" s="147">
        <v>632</v>
      </c>
      <c r="B607" s="51" t="s">
        <v>10</v>
      </c>
      <c r="C607" s="51" t="s">
        <v>4669</v>
      </c>
      <c r="D607" s="51">
        <v>100022901</v>
      </c>
      <c r="E607" s="53" t="s">
        <v>4670</v>
      </c>
      <c r="F607" s="124">
        <v>5</v>
      </c>
      <c r="G607" s="124">
        <v>750</v>
      </c>
      <c r="H607" s="369">
        <v>52.94</v>
      </c>
      <c r="I607" s="215" t="s">
        <v>76</v>
      </c>
      <c r="J607" s="215" t="s">
        <v>102</v>
      </c>
      <c r="K607" s="266">
        <v>49081133825</v>
      </c>
      <c r="L607" s="265" t="s">
        <v>649</v>
      </c>
      <c r="M607" s="266">
        <v>40049081133823</v>
      </c>
      <c r="N607" s="264">
        <v>2.9649999999999999</v>
      </c>
      <c r="O607" s="265" t="s">
        <v>649</v>
      </c>
      <c r="P607" s="265">
        <v>7.43</v>
      </c>
      <c r="Q607" s="265">
        <v>0.5</v>
      </c>
    </row>
    <row r="608" spans="1:17" ht="15" customHeight="1">
      <c r="A608" s="147">
        <v>633</v>
      </c>
      <c r="B608" s="51" t="s">
        <v>10</v>
      </c>
      <c r="C608" s="51" t="s">
        <v>4671</v>
      </c>
      <c r="D608" s="51">
        <v>100022903</v>
      </c>
      <c r="E608" s="53" t="s">
        <v>4672</v>
      </c>
      <c r="F608" s="124">
        <v>4</v>
      </c>
      <c r="G608" s="124">
        <v>480</v>
      </c>
      <c r="H608" s="369">
        <v>93.24</v>
      </c>
      <c r="I608" s="215" t="s">
        <v>76</v>
      </c>
      <c r="J608" s="215" t="s">
        <v>102</v>
      </c>
      <c r="K608" s="266">
        <v>49081133948</v>
      </c>
      <c r="L608" s="265" t="s">
        <v>649</v>
      </c>
      <c r="M608" s="266">
        <v>40049081133946</v>
      </c>
      <c r="N608" s="264">
        <v>2.1749999999999998</v>
      </c>
      <c r="O608" s="265" t="s">
        <v>649</v>
      </c>
      <c r="P608" s="265">
        <v>9.32</v>
      </c>
      <c r="Q608" s="265">
        <v>0.65</v>
      </c>
    </row>
    <row r="609" spans="1:17" ht="15" customHeight="1">
      <c r="A609" s="147">
        <v>634</v>
      </c>
      <c r="B609" s="51" t="s">
        <v>10</v>
      </c>
      <c r="C609" s="51" t="s">
        <v>4673</v>
      </c>
      <c r="D609" s="51">
        <v>100022905</v>
      </c>
      <c r="E609" s="53" t="s">
        <v>4674</v>
      </c>
      <c r="F609" s="124">
        <v>4</v>
      </c>
      <c r="G609" s="124">
        <v>480</v>
      </c>
      <c r="H609" s="369">
        <v>93.24</v>
      </c>
      <c r="I609" s="215" t="s">
        <v>76</v>
      </c>
      <c r="J609" s="215" t="s">
        <v>102</v>
      </c>
      <c r="K609" s="266">
        <v>49081133924</v>
      </c>
      <c r="L609" s="265" t="s">
        <v>649</v>
      </c>
      <c r="M609" s="266">
        <v>40049081133922</v>
      </c>
      <c r="N609" s="264">
        <v>2.0550000000000002</v>
      </c>
      <c r="O609" s="265" t="s">
        <v>649</v>
      </c>
      <c r="P609" s="265">
        <v>9.0299999999999994</v>
      </c>
      <c r="Q609" s="265">
        <v>0.65</v>
      </c>
    </row>
    <row r="610" spans="1:17" ht="15" customHeight="1">
      <c r="A610" s="147">
        <v>635</v>
      </c>
      <c r="B610" s="51" t="s">
        <v>10</v>
      </c>
      <c r="C610" s="51" t="s">
        <v>4675</v>
      </c>
      <c r="D610" s="51">
        <v>100022907</v>
      </c>
      <c r="E610" s="53" t="s">
        <v>4676</v>
      </c>
      <c r="F610" s="124">
        <v>4</v>
      </c>
      <c r="G610" s="124">
        <v>480</v>
      </c>
      <c r="H610" s="369">
        <v>93.24</v>
      </c>
      <c r="I610" s="215" t="s">
        <v>76</v>
      </c>
      <c r="J610" s="215" t="s">
        <v>102</v>
      </c>
      <c r="K610" s="266">
        <v>49081133900</v>
      </c>
      <c r="L610" s="265" t="s">
        <v>649</v>
      </c>
      <c r="M610" s="266">
        <v>40049081133908</v>
      </c>
      <c r="N610" s="264">
        <v>1.7490000000000001</v>
      </c>
      <c r="O610" s="265" t="s">
        <v>649</v>
      </c>
      <c r="P610" s="265">
        <v>7.74</v>
      </c>
      <c r="Q610" s="265">
        <v>0.65</v>
      </c>
    </row>
    <row r="611" spans="1:17" ht="15" customHeight="1">
      <c r="A611" s="147">
        <v>636</v>
      </c>
      <c r="B611" s="51" t="s">
        <v>10</v>
      </c>
      <c r="C611" s="51" t="s">
        <v>4677</v>
      </c>
      <c r="D611" s="51">
        <v>100022909</v>
      </c>
      <c r="E611" s="53" t="s">
        <v>4678</v>
      </c>
      <c r="F611" s="124">
        <v>4</v>
      </c>
      <c r="G611" s="124">
        <v>480</v>
      </c>
      <c r="H611" s="369">
        <v>93.24</v>
      </c>
      <c r="I611" s="215" t="s">
        <v>76</v>
      </c>
      <c r="J611" s="215" t="s">
        <v>102</v>
      </c>
      <c r="K611" s="266">
        <v>49081133887</v>
      </c>
      <c r="L611" s="265" t="s">
        <v>649</v>
      </c>
      <c r="M611" s="266">
        <v>40049081133885</v>
      </c>
      <c r="N611" s="264">
        <v>1.913</v>
      </c>
      <c r="O611" s="265" t="s">
        <v>649</v>
      </c>
      <c r="P611" s="265">
        <v>7.72</v>
      </c>
      <c r="Q611" s="265">
        <v>0.65</v>
      </c>
    </row>
    <row r="612" spans="1:17" ht="15" customHeight="1">
      <c r="A612" s="147">
        <v>637</v>
      </c>
      <c r="B612" s="51" t="s">
        <v>10</v>
      </c>
      <c r="C612" s="51" t="s">
        <v>4679</v>
      </c>
      <c r="D612" s="51">
        <v>100022911</v>
      </c>
      <c r="E612" s="53" t="s">
        <v>4680</v>
      </c>
      <c r="F612" s="124">
        <v>2</v>
      </c>
      <c r="G612" s="124">
        <v>180</v>
      </c>
      <c r="H612" s="369">
        <v>324.99</v>
      </c>
      <c r="I612" s="215" t="s">
        <v>76</v>
      </c>
      <c r="J612" s="215" t="s">
        <v>102</v>
      </c>
      <c r="K612" s="266">
        <v>49081134006</v>
      </c>
      <c r="L612" s="265" t="s">
        <v>649</v>
      </c>
      <c r="M612" s="266">
        <v>40049081134004</v>
      </c>
      <c r="N612" s="264">
        <v>4.1050000000000004</v>
      </c>
      <c r="O612" s="265" t="s">
        <v>649</v>
      </c>
      <c r="P612" s="265">
        <v>8.2899999999999991</v>
      </c>
      <c r="Q612" s="265">
        <v>0.8</v>
      </c>
    </row>
    <row r="613" spans="1:17" ht="15" customHeight="1">
      <c r="A613" s="147">
        <v>638</v>
      </c>
      <c r="B613" s="51" t="s">
        <v>10</v>
      </c>
      <c r="C613" s="51" t="s">
        <v>4681</v>
      </c>
      <c r="D613" s="51">
        <v>100022916</v>
      </c>
      <c r="E613" s="53" t="s">
        <v>4682</v>
      </c>
      <c r="F613" s="124">
        <v>2</v>
      </c>
      <c r="G613" s="124">
        <v>150</v>
      </c>
      <c r="H613" s="369">
        <v>324.94</v>
      </c>
      <c r="I613" s="215" t="s">
        <v>76</v>
      </c>
      <c r="J613" s="215" t="s">
        <v>102</v>
      </c>
      <c r="K613" s="266">
        <v>49081133986</v>
      </c>
      <c r="L613" s="265" t="s">
        <v>649</v>
      </c>
      <c r="M613" s="266">
        <v>40049081133984</v>
      </c>
      <c r="N613" s="264">
        <v>3.8740000000000001</v>
      </c>
      <c r="O613" s="265" t="s">
        <v>649</v>
      </c>
      <c r="P613" s="265">
        <v>8.52</v>
      </c>
      <c r="Q613" s="265">
        <v>1.1000000000000001</v>
      </c>
    </row>
    <row r="614" spans="1:17" ht="15" customHeight="1">
      <c r="A614" s="147">
        <v>639</v>
      </c>
      <c r="B614" s="51" t="s">
        <v>10</v>
      </c>
      <c r="C614" s="51" t="s">
        <v>4683</v>
      </c>
      <c r="D614" s="51">
        <v>100022920</v>
      </c>
      <c r="E614" s="53" t="s">
        <v>4684</v>
      </c>
      <c r="F614" s="124">
        <v>2</v>
      </c>
      <c r="G614" s="124">
        <v>150</v>
      </c>
      <c r="H614" s="369">
        <v>324.94</v>
      </c>
      <c r="I614" s="215" t="s">
        <v>76</v>
      </c>
      <c r="J614" s="215" t="s">
        <v>102</v>
      </c>
      <c r="K614" s="266">
        <v>49081133962</v>
      </c>
      <c r="L614" s="265" t="s">
        <v>649</v>
      </c>
      <c r="M614" s="266">
        <v>40049081133960</v>
      </c>
      <c r="N614" s="264">
        <v>3.984</v>
      </c>
      <c r="O614" s="265" t="s">
        <v>649</v>
      </c>
      <c r="P614" s="265">
        <v>8.6999999999999993</v>
      </c>
      <c r="Q614" s="265">
        <v>1.1000000000000001</v>
      </c>
    </row>
    <row r="615" spans="1:17" ht="15" customHeight="1">
      <c r="A615" s="147">
        <v>640</v>
      </c>
      <c r="B615" s="51" t="s">
        <v>10</v>
      </c>
      <c r="C615" s="51" t="s">
        <v>4685</v>
      </c>
      <c r="D615" s="51">
        <v>100022921</v>
      </c>
      <c r="E615" s="53" t="s">
        <v>4686</v>
      </c>
      <c r="F615" s="124">
        <v>250</v>
      </c>
      <c r="G615" s="124">
        <v>67500</v>
      </c>
      <c r="H615" s="369">
        <v>3.48</v>
      </c>
      <c r="I615" s="215" t="s">
        <v>346</v>
      </c>
      <c r="J615" s="215" t="s">
        <v>102</v>
      </c>
      <c r="K615" s="266">
        <v>49081134303</v>
      </c>
      <c r="L615" s="215">
        <v>49081634308</v>
      </c>
      <c r="M615" s="266">
        <v>40049081134301</v>
      </c>
      <c r="N615" s="264">
        <v>2.1999999999999999E-2</v>
      </c>
      <c r="O615" s="265">
        <v>10</v>
      </c>
      <c r="P615" s="265">
        <v>6.9</v>
      </c>
      <c r="Q615" s="265">
        <v>0.31</v>
      </c>
    </row>
    <row r="616" spans="1:17" ht="15" customHeight="1">
      <c r="A616" s="147">
        <v>641</v>
      </c>
      <c r="B616" s="51" t="s">
        <v>10</v>
      </c>
      <c r="C616" s="51" t="s">
        <v>4687</v>
      </c>
      <c r="D616" s="51">
        <v>100022923</v>
      </c>
      <c r="E616" s="53" t="s">
        <v>4688</v>
      </c>
      <c r="F616" s="124">
        <v>250</v>
      </c>
      <c r="G616" s="124">
        <v>67500</v>
      </c>
      <c r="H616" s="369">
        <v>3.48</v>
      </c>
      <c r="I616" s="215" t="s">
        <v>76</v>
      </c>
      <c r="J616" s="215" t="s">
        <v>102</v>
      </c>
      <c r="K616" s="266">
        <v>49081134280</v>
      </c>
      <c r="L616" s="215">
        <v>49081634285</v>
      </c>
      <c r="M616" s="266">
        <v>40049081134288</v>
      </c>
      <c r="N616" s="264">
        <v>2.1000000000000001E-2</v>
      </c>
      <c r="O616" s="265">
        <v>10</v>
      </c>
      <c r="P616" s="265">
        <v>5.5</v>
      </c>
      <c r="Q616" s="265">
        <v>0.31</v>
      </c>
    </row>
    <row r="617" spans="1:17" ht="15" customHeight="1">
      <c r="A617" s="147">
        <v>642</v>
      </c>
      <c r="B617" s="51" t="s">
        <v>10</v>
      </c>
      <c r="C617" s="51" t="s">
        <v>4689</v>
      </c>
      <c r="D617" s="51">
        <v>100022924</v>
      </c>
      <c r="E617" s="53" t="s">
        <v>4690</v>
      </c>
      <c r="F617" s="124">
        <v>250</v>
      </c>
      <c r="G617" s="124">
        <v>67500</v>
      </c>
      <c r="H617" s="369">
        <v>3.48</v>
      </c>
      <c r="I617" s="215" t="s">
        <v>346</v>
      </c>
      <c r="J617" s="215" t="s">
        <v>102</v>
      </c>
      <c r="K617" s="266">
        <v>49081134266</v>
      </c>
      <c r="L617" s="215">
        <v>49081634261</v>
      </c>
      <c r="M617" s="266">
        <v>40049081134264</v>
      </c>
      <c r="N617" s="264">
        <v>1.7999999999999999E-2</v>
      </c>
      <c r="O617" s="265">
        <v>10</v>
      </c>
      <c r="P617" s="265">
        <v>4.68</v>
      </c>
      <c r="Q617" s="265">
        <v>0.31</v>
      </c>
    </row>
    <row r="618" spans="1:17" ht="15" customHeight="1">
      <c r="A618" s="147">
        <v>643</v>
      </c>
      <c r="B618" s="51" t="s">
        <v>10</v>
      </c>
      <c r="C618" s="51" t="s">
        <v>4691</v>
      </c>
      <c r="D618" s="51">
        <v>100022926</v>
      </c>
      <c r="E618" s="53" t="s">
        <v>4692</v>
      </c>
      <c r="F618" s="124">
        <v>250</v>
      </c>
      <c r="G618" s="124">
        <v>37500</v>
      </c>
      <c r="H618" s="369">
        <v>3.48</v>
      </c>
      <c r="I618" s="215" t="s">
        <v>76</v>
      </c>
      <c r="J618" s="215" t="s">
        <v>102</v>
      </c>
      <c r="K618" s="266">
        <v>49081134402</v>
      </c>
      <c r="L618" s="215">
        <v>49081634407</v>
      </c>
      <c r="M618" s="266">
        <v>40049081134400</v>
      </c>
      <c r="N618" s="264">
        <v>3.6999999999999998E-2</v>
      </c>
      <c r="O618" s="265">
        <v>10</v>
      </c>
      <c r="P618" s="265">
        <v>9.23</v>
      </c>
      <c r="Q618" s="265">
        <v>0.5</v>
      </c>
    </row>
    <row r="619" spans="1:17" ht="15" customHeight="1">
      <c r="A619" s="147">
        <v>644</v>
      </c>
      <c r="B619" s="51" t="s">
        <v>10</v>
      </c>
      <c r="C619" s="51" t="s">
        <v>4693</v>
      </c>
      <c r="D619" s="51">
        <v>100022930</v>
      </c>
      <c r="E619" s="53" t="s">
        <v>4694</v>
      </c>
      <c r="F619" s="124">
        <v>500</v>
      </c>
      <c r="G619" s="124">
        <v>45000</v>
      </c>
      <c r="H619" s="369">
        <v>2.65</v>
      </c>
      <c r="I619" s="215" t="s">
        <v>76</v>
      </c>
      <c r="J619" s="215" t="s">
        <v>102</v>
      </c>
      <c r="K619" s="266">
        <v>49081134365</v>
      </c>
      <c r="L619" s="215">
        <v>49081634360</v>
      </c>
      <c r="M619" s="266">
        <v>40049081134363</v>
      </c>
      <c r="N619" s="264">
        <v>2.8000000000000001E-2</v>
      </c>
      <c r="O619" s="265">
        <v>10</v>
      </c>
      <c r="P619" s="265">
        <v>15.36</v>
      </c>
      <c r="Q619" s="265">
        <v>0.8</v>
      </c>
    </row>
    <row r="620" spans="1:17" ht="15" customHeight="1">
      <c r="A620" s="147">
        <v>645</v>
      </c>
      <c r="B620" s="51" t="s">
        <v>10</v>
      </c>
      <c r="C620" s="51" t="s">
        <v>4695</v>
      </c>
      <c r="D620" s="51">
        <v>100022931</v>
      </c>
      <c r="E620" s="53" t="s">
        <v>4696</v>
      </c>
      <c r="F620" s="124">
        <v>250</v>
      </c>
      <c r="G620" s="124">
        <v>37500</v>
      </c>
      <c r="H620" s="369">
        <v>4.25</v>
      </c>
      <c r="I620" s="215" t="s">
        <v>76</v>
      </c>
      <c r="J620" s="215" t="s">
        <v>102</v>
      </c>
      <c r="K620" s="266">
        <v>49081134495</v>
      </c>
      <c r="L620" s="215">
        <v>49081634490</v>
      </c>
      <c r="M620" s="266">
        <v>40049081134493</v>
      </c>
      <c r="N620" s="264">
        <v>0.05</v>
      </c>
      <c r="O620" s="265">
        <v>10</v>
      </c>
      <c r="P620" s="265">
        <v>15.44</v>
      </c>
      <c r="Q620" s="265">
        <v>0.5</v>
      </c>
    </row>
    <row r="621" spans="1:17" ht="15" customHeight="1">
      <c r="A621" s="147">
        <v>646</v>
      </c>
      <c r="B621" s="51" t="s">
        <v>10</v>
      </c>
      <c r="C621" s="51" t="s">
        <v>4697</v>
      </c>
      <c r="D621" s="51">
        <v>100022934</v>
      </c>
      <c r="E621" s="53" t="s">
        <v>4698</v>
      </c>
      <c r="F621" s="124">
        <v>250</v>
      </c>
      <c r="G621" s="124">
        <v>30000</v>
      </c>
      <c r="H621" s="369">
        <v>4.25</v>
      </c>
      <c r="I621" s="215" t="s">
        <v>76</v>
      </c>
      <c r="J621" s="215" t="s">
        <v>102</v>
      </c>
      <c r="K621" s="266">
        <v>49081134488</v>
      </c>
      <c r="L621" s="215">
        <v>49081634483</v>
      </c>
      <c r="M621" s="266">
        <v>40049081134486</v>
      </c>
      <c r="N621" s="264">
        <v>5.1999999999999998E-2</v>
      </c>
      <c r="O621" s="265">
        <v>10</v>
      </c>
      <c r="P621" s="265">
        <v>13.72</v>
      </c>
      <c r="Q621" s="265">
        <v>0.65</v>
      </c>
    </row>
    <row r="622" spans="1:17" ht="15" customHeight="1">
      <c r="A622" s="147">
        <v>647</v>
      </c>
      <c r="B622" s="51" t="s">
        <v>10</v>
      </c>
      <c r="C622" s="51" t="s">
        <v>4699</v>
      </c>
      <c r="D622" s="51">
        <v>100022936</v>
      </c>
      <c r="E622" s="53" t="s">
        <v>4700</v>
      </c>
      <c r="F622" s="124">
        <v>250</v>
      </c>
      <c r="G622" s="124">
        <v>30000</v>
      </c>
      <c r="H622" s="369">
        <v>4.25</v>
      </c>
      <c r="I622" s="215" t="s">
        <v>76</v>
      </c>
      <c r="J622" s="215" t="s">
        <v>102</v>
      </c>
      <c r="K622" s="266">
        <v>49081134464</v>
      </c>
      <c r="L622" s="215">
        <v>49081634469</v>
      </c>
      <c r="M622" s="266">
        <v>40049081134462</v>
      </c>
      <c r="N622" s="264">
        <v>4.1000000000000002E-2</v>
      </c>
      <c r="O622" s="265">
        <v>10</v>
      </c>
      <c r="P622" s="265">
        <v>11.31</v>
      </c>
      <c r="Q622" s="265">
        <v>0.65</v>
      </c>
    </row>
    <row r="623" spans="1:17" ht="15" customHeight="1">
      <c r="A623" s="147">
        <v>648</v>
      </c>
      <c r="B623" s="51" t="s">
        <v>10</v>
      </c>
      <c r="C623" s="51" t="s">
        <v>4701</v>
      </c>
      <c r="D623" s="51">
        <v>100022938</v>
      </c>
      <c r="E623" s="53" t="s">
        <v>4702</v>
      </c>
      <c r="F623" s="124">
        <v>150</v>
      </c>
      <c r="G623" s="124">
        <v>18000</v>
      </c>
      <c r="H623" s="369">
        <v>6.53</v>
      </c>
      <c r="I623" s="215" t="s">
        <v>346</v>
      </c>
      <c r="J623" s="215" t="s">
        <v>102</v>
      </c>
      <c r="K623" s="266">
        <v>49081134587</v>
      </c>
      <c r="L623" s="215">
        <v>49081634582</v>
      </c>
      <c r="M623" s="266">
        <v>40049081134585</v>
      </c>
      <c r="N623" s="264">
        <v>0.08</v>
      </c>
      <c r="O623" s="265">
        <v>10</v>
      </c>
      <c r="P623" s="265">
        <v>12.85</v>
      </c>
      <c r="Q623" s="265">
        <v>0.65</v>
      </c>
    </row>
    <row r="624" spans="1:17" ht="15" customHeight="1">
      <c r="A624" s="147">
        <v>649</v>
      </c>
      <c r="B624" s="51" t="s">
        <v>10</v>
      </c>
      <c r="C624" s="51" t="s">
        <v>4703</v>
      </c>
      <c r="D624" s="51">
        <v>100022940</v>
      </c>
      <c r="E624" s="53" t="s">
        <v>4704</v>
      </c>
      <c r="F624" s="124">
        <v>150</v>
      </c>
      <c r="G624" s="124">
        <v>18000</v>
      </c>
      <c r="H624" s="369">
        <v>6.53</v>
      </c>
      <c r="I624" s="215" t="s">
        <v>76</v>
      </c>
      <c r="J624" s="215" t="s">
        <v>102</v>
      </c>
      <c r="K624" s="266">
        <v>49081134563</v>
      </c>
      <c r="L624" s="215">
        <v>49081634568</v>
      </c>
      <c r="M624" s="266">
        <v>40049081134561</v>
      </c>
      <c r="N624" s="264">
        <v>7.8E-2</v>
      </c>
      <c r="O624" s="265">
        <v>10</v>
      </c>
      <c r="P624" s="265">
        <v>12.39</v>
      </c>
      <c r="Q624" s="265">
        <v>0.65</v>
      </c>
    </row>
    <row r="625" spans="1:17" ht="15" customHeight="1">
      <c r="A625" s="147">
        <v>650</v>
      </c>
      <c r="B625" s="51" t="s">
        <v>10</v>
      </c>
      <c r="C625" s="51" t="s">
        <v>4705</v>
      </c>
      <c r="D625" s="51">
        <v>100022942</v>
      </c>
      <c r="E625" s="53" t="s">
        <v>4706</v>
      </c>
      <c r="F625" s="124">
        <v>150</v>
      </c>
      <c r="G625" s="124">
        <v>13500</v>
      </c>
      <c r="H625" s="369">
        <v>6.53</v>
      </c>
      <c r="I625" s="215" t="s">
        <v>76</v>
      </c>
      <c r="J625" s="215" t="s">
        <v>102</v>
      </c>
      <c r="K625" s="266">
        <v>49081134549</v>
      </c>
      <c r="L625" s="215">
        <v>49081634544</v>
      </c>
      <c r="M625" s="266">
        <v>40049081134547</v>
      </c>
      <c r="N625" s="264">
        <v>6.7000000000000004E-2</v>
      </c>
      <c r="O625" s="265">
        <v>10</v>
      </c>
      <c r="P625" s="265">
        <v>11.16</v>
      </c>
      <c r="Q625" s="265">
        <v>0.8</v>
      </c>
    </row>
    <row r="626" spans="1:17" ht="15" customHeight="1">
      <c r="A626" s="147">
        <v>651</v>
      </c>
      <c r="B626" s="51" t="s">
        <v>10</v>
      </c>
      <c r="C626" s="51" t="s">
        <v>4707</v>
      </c>
      <c r="D626" s="51">
        <v>100022944</v>
      </c>
      <c r="E626" s="53" t="s">
        <v>4708</v>
      </c>
      <c r="F626" s="124">
        <v>100</v>
      </c>
      <c r="G626" s="124">
        <v>12000</v>
      </c>
      <c r="H626" s="369">
        <v>7.54</v>
      </c>
      <c r="I626" s="215" t="s">
        <v>76</v>
      </c>
      <c r="J626" s="215" t="s">
        <v>102</v>
      </c>
      <c r="K626" s="266">
        <v>49081134723</v>
      </c>
      <c r="L626" s="215">
        <v>49081634728</v>
      </c>
      <c r="M626" s="266">
        <v>40049081134721</v>
      </c>
      <c r="N626" s="264">
        <v>0.108</v>
      </c>
      <c r="O626" s="265">
        <v>5</v>
      </c>
      <c r="P626" s="265">
        <v>10.76</v>
      </c>
      <c r="Q626" s="265">
        <v>0.65</v>
      </c>
    </row>
    <row r="627" spans="1:17" ht="15" customHeight="1">
      <c r="A627" s="147">
        <v>652</v>
      </c>
      <c r="B627" s="51" t="s">
        <v>10</v>
      </c>
      <c r="C627" s="51" t="s">
        <v>4709</v>
      </c>
      <c r="D627" s="51">
        <v>100022946</v>
      </c>
      <c r="E627" s="53" t="s">
        <v>4710</v>
      </c>
      <c r="F627" s="124">
        <v>100</v>
      </c>
      <c r="G627" s="124">
        <v>12000</v>
      </c>
      <c r="H627" s="369">
        <v>7.54</v>
      </c>
      <c r="I627" s="215" t="s">
        <v>76</v>
      </c>
      <c r="J627" s="215" t="s">
        <v>102</v>
      </c>
      <c r="K627" s="266">
        <v>49081134709</v>
      </c>
      <c r="L627" s="215">
        <v>49081634704</v>
      </c>
      <c r="M627" s="266">
        <v>40049081134707</v>
      </c>
      <c r="N627" s="264">
        <v>0.108</v>
      </c>
      <c r="O627" s="265">
        <v>5</v>
      </c>
      <c r="P627" s="265">
        <v>10.3</v>
      </c>
      <c r="Q627" s="265">
        <v>0.65</v>
      </c>
    </row>
    <row r="628" spans="1:17" ht="15" customHeight="1">
      <c r="A628" s="147">
        <v>653</v>
      </c>
      <c r="B628" s="51" t="s">
        <v>10</v>
      </c>
      <c r="C628" s="51" t="s">
        <v>4711</v>
      </c>
      <c r="D628" s="51">
        <v>100022948</v>
      </c>
      <c r="E628" s="53" t="s">
        <v>4712</v>
      </c>
      <c r="F628" s="124">
        <v>100</v>
      </c>
      <c r="G628" s="124">
        <v>12000</v>
      </c>
      <c r="H628" s="369">
        <v>7.54</v>
      </c>
      <c r="I628" s="215" t="s">
        <v>76</v>
      </c>
      <c r="J628" s="215" t="s">
        <v>102</v>
      </c>
      <c r="K628" s="266">
        <v>49081134686</v>
      </c>
      <c r="L628" s="215">
        <v>49081634681</v>
      </c>
      <c r="M628" s="266">
        <v>40049081134684</v>
      </c>
      <c r="N628" s="264">
        <v>0.11</v>
      </c>
      <c r="O628" s="265">
        <v>5</v>
      </c>
      <c r="P628" s="265">
        <v>10.75</v>
      </c>
      <c r="Q628" s="265">
        <v>0.65</v>
      </c>
    </row>
    <row r="629" spans="1:17" ht="15" customHeight="1">
      <c r="A629" s="147">
        <v>654</v>
      </c>
      <c r="B629" s="51" t="s">
        <v>10</v>
      </c>
      <c r="C629" s="51" t="s">
        <v>4713</v>
      </c>
      <c r="D629" s="51">
        <v>100022950</v>
      </c>
      <c r="E629" s="53" t="s">
        <v>4714</v>
      </c>
      <c r="F629" s="124">
        <v>100</v>
      </c>
      <c r="G629" s="124">
        <v>12000</v>
      </c>
      <c r="H629" s="369">
        <v>7.54</v>
      </c>
      <c r="I629" s="215" t="s">
        <v>76</v>
      </c>
      <c r="J629" s="215" t="s">
        <v>102</v>
      </c>
      <c r="K629" s="266">
        <v>49081134662</v>
      </c>
      <c r="L629" s="215">
        <v>49081634667</v>
      </c>
      <c r="M629" s="266">
        <v>40049081134660</v>
      </c>
      <c r="N629" s="264">
        <v>7.2999999999999995E-2</v>
      </c>
      <c r="O629" s="265">
        <v>5</v>
      </c>
      <c r="P629" s="265">
        <v>7.22</v>
      </c>
      <c r="Q629" s="265">
        <v>0.65</v>
      </c>
    </row>
    <row r="630" spans="1:17" ht="15" customHeight="1">
      <c r="A630" s="147">
        <v>655</v>
      </c>
      <c r="B630" s="51" t="s">
        <v>10</v>
      </c>
      <c r="C630" s="51" t="s">
        <v>4715</v>
      </c>
      <c r="D630" s="51">
        <v>100022952</v>
      </c>
      <c r="E630" s="53" t="s">
        <v>4716</v>
      </c>
      <c r="F630" s="124">
        <v>50</v>
      </c>
      <c r="G630" s="124">
        <v>7500</v>
      </c>
      <c r="H630" s="369">
        <v>10.09</v>
      </c>
      <c r="I630" s="215" t="s">
        <v>76</v>
      </c>
      <c r="J630" s="215" t="s">
        <v>102</v>
      </c>
      <c r="K630" s="266">
        <v>49081134846</v>
      </c>
      <c r="L630" s="215">
        <v>49081634841</v>
      </c>
      <c r="M630" s="266">
        <v>40049081134844</v>
      </c>
      <c r="N630" s="264">
        <v>0.16</v>
      </c>
      <c r="O630" s="265">
        <v>5</v>
      </c>
      <c r="P630" s="265">
        <v>8.4</v>
      </c>
      <c r="Q630" s="265">
        <v>0.5</v>
      </c>
    </row>
    <row r="631" spans="1:17" ht="15" customHeight="1">
      <c r="A631" s="147">
        <v>656</v>
      </c>
      <c r="B631" s="51" t="s">
        <v>10</v>
      </c>
      <c r="C631" s="51" t="s">
        <v>4717</v>
      </c>
      <c r="D631" s="51">
        <v>100022954</v>
      </c>
      <c r="E631" s="53" t="s">
        <v>4718</v>
      </c>
      <c r="F631" s="124">
        <v>50</v>
      </c>
      <c r="G631" s="124">
        <v>7500</v>
      </c>
      <c r="H631" s="369">
        <v>10.09</v>
      </c>
      <c r="I631" s="215" t="s">
        <v>76</v>
      </c>
      <c r="J631" s="215" t="s">
        <v>102</v>
      </c>
      <c r="K631" s="266">
        <v>49081134822</v>
      </c>
      <c r="L631" s="215">
        <v>49081634827</v>
      </c>
      <c r="M631" s="266">
        <v>40049081134820</v>
      </c>
      <c r="N631" s="264">
        <v>0.152</v>
      </c>
      <c r="O631" s="265">
        <v>5</v>
      </c>
      <c r="P631" s="265">
        <v>7.55</v>
      </c>
      <c r="Q631" s="265">
        <v>0.5</v>
      </c>
    </row>
    <row r="632" spans="1:17" ht="15" customHeight="1">
      <c r="A632" s="147">
        <v>657</v>
      </c>
      <c r="B632" s="51" t="s">
        <v>10</v>
      </c>
      <c r="C632" s="51" t="s">
        <v>4719</v>
      </c>
      <c r="D632" s="51">
        <v>100022956</v>
      </c>
      <c r="E632" s="53" t="s">
        <v>4720</v>
      </c>
      <c r="F632" s="124">
        <v>50</v>
      </c>
      <c r="G632" s="124">
        <v>7500</v>
      </c>
      <c r="H632" s="369">
        <v>10.09</v>
      </c>
      <c r="I632" s="215" t="s">
        <v>76</v>
      </c>
      <c r="J632" s="215" t="s">
        <v>102</v>
      </c>
      <c r="K632" s="266">
        <v>49081134808</v>
      </c>
      <c r="L632" s="215">
        <v>49081634803</v>
      </c>
      <c r="M632" s="266">
        <v>40049081134806</v>
      </c>
      <c r="N632" s="264">
        <v>0.16300000000000001</v>
      </c>
      <c r="O632" s="265">
        <v>5</v>
      </c>
      <c r="P632" s="265">
        <v>8.84</v>
      </c>
      <c r="Q632" s="265">
        <v>0.5</v>
      </c>
    </row>
    <row r="633" spans="1:17" ht="15" customHeight="1">
      <c r="A633" s="147">
        <v>658</v>
      </c>
      <c r="B633" s="51" t="s">
        <v>10</v>
      </c>
      <c r="C633" s="51" t="s">
        <v>4721</v>
      </c>
      <c r="D633" s="51">
        <v>100022958</v>
      </c>
      <c r="E633" s="53" t="s">
        <v>4722</v>
      </c>
      <c r="F633" s="124">
        <v>50</v>
      </c>
      <c r="G633" s="124">
        <v>7500</v>
      </c>
      <c r="H633" s="369">
        <v>10.09</v>
      </c>
      <c r="I633" s="215" t="s">
        <v>76</v>
      </c>
      <c r="J633" s="215" t="s">
        <v>102</v>
      </c>
      <c r="K633" s="266">
        <v>49081134785</v>
      </c>
      <c r="L633" s="215">
        <v>49081634780</v>
      </c>
      <c r="M633" s="266">
        <v>40049081134783</v>
      </c>
      <c r="N633" s="264">
        <v>0.16800000000000001</v>
      </c>
      <c r="O633" s="265">
        <v>5</v>
      </c>
      <c r="P633" s="265">
        <v>9.0030000000000001</v>
      </c>
      <c r="Q633" s="265">
        <v>0.5</v>
      </c>
    </row>
    <row r="634" spans="1:17" ht="15" customHeight="1">
      <c r="A634" s="147">
        <v>659</v>
      </c>
      <c r="B634" s="51" t="s">
        <v>10</v>
      </c>
      <c r="C634" s="51" t="s">
        <v>4723</v>
      </c>
      <c r="D634" s="51">
        <v>100022960</v>
      </c>
      <c r="E634" s="53" t="s">
        <v>4724</v>
      </c>
      <c r="F634" s="124">
        <v>50</v>
      </c>
      <c r="G634" s="124">
        <v>7500</v>
      </c>
      <c r="H634" s="369">
        <v>10.09</v>
      </c>
      <c r="I634" s="215" t="s">
        <v>76</v>
      </c>
      <c r="J634" s="215" t="s">
        <v>102</v>
      </c>
      <c r="K634" s="266">
        <v>49081134761</v>
      </c>
      <c r="L634" s="215">
        <v>49081634766</v>
      </c>
      <c r="M634" s="266">
        <v>40049081134769</v>
      </c>
      <c r="N634" s="264">
        <v>0.13600000000000001</v>
      </c>
      <c r="O634" s="265">
        <v>5</v>
      </c>
      <c r="P634" s="265">
        <v>6.75</v>
      </c>
      <c r="Q634" s="265">
        <v>0.5</v>
      </c>
    </row>
    <row r="635" spans="1:17" ht="15" customHeight="1">
      <c r="B635" s="51" t="s">
        <v>10</v>
      </c>
      <c r="C635" s="51" t="s">
        <v>5908</v>
      </c>
      <c r="D635" s="51">
        <v>100022966</v>
      </c>
      <c r="E635" s="53" t="s">
        <v>5963</v>
      </c>
      <c r="F635" s="124">
        <v>25</v>
      </c>
      <c r="G635" s="124">
        <v>2250</v>
      </c>
      <c r="H635" s="369">
        <v>14.57</v>
      </c>
      <c r="I635" s="215" t="s">
        <v>346</v>
      </c>
      <c r="J635" s="215" t="s">
        <v>102</v>
      </c>
      <c r="K635" s="266">
        <v>49081134921</v>
      </c>
      <c r="L635" s="215">
        <v>49081634926</v>
      </c>
      <c r="M635" s="266">
        <v>40049081134929</v>
      </c>
      <c r="N635" s="264">
        <v>0.32500000000000001</v>
      </c>
      <c r="O635" s="265">
        <v>5</v>
      </c>
      <c r="P635" s="265">
        <v>8.1199999999999992</v>
      </c>
      <c r="Q635" s="265">
        <v>0.43</v>
      </c>
    </row>
    <row r="636" spans="1:17" ht="15" customHeight="1">
      <c r="A636" s="147">
        <v>660</v>
      </c>
      <c r="B636" s="51" t="s">
        <v>10</v>
      </c>
      <c r="C636" s="51" t="s">
        <v>4725</v>
      </c>
      <c r="D636" s="51">
        <v>100022974</v>
      </c>
      <c r="E636" s="53" t="s">
        <v>4726</v>
      </c>
      <c r="F636" s="124">
        <v>25</v>
      </c>
      <c r="G636" s="124">
        <v>3000</v>
      </c>
      <c r="H636" s="369">
        <v>16.82</v>
      </c>
      <c r="I636" s="215" t="s">
        <v>76</v>
      </c>
      <c r="J636" s="215" t="s">
        <v>102</v>
      </c>
      <c r="K636" s="266">
        <v>49081135126</v>
      </c>
      <c r="L636" s="215">
        <v>49081635121</v>
      </c>
      <c r="M636" s="266">
        <v>40049081135124</v>
      </c>
      <c r="N636" s="264">
        <v>0.63</v>
      </c>
      <c r="O636" s="265">
        <v>5</v>
      </c>
      <c r="P636" s="265">
        <v>16.66</v>
      </c>
      <c r="Q636" s="265">
        <v>0.65</v>
      </c>
    </row>
    <row r="637" spans="1:17" ht="15" customHeight="1">
      <c r="B637" s="51" t="s">
        <v>10</v>
      </c>
      <c r="C637" s="51" t="s">
        <v>5909</v>
      </c>
      <c r="D637" s="51">
        <v>100022975</v>
      </c>
      <c r="E637" s="53" t="s">
        <v>5964</v>
      </c>
      <c r="F637" s="124">
        <v>25</v>
      </c>
      <c r="G637" s="124">
        <v>11250</v>
      </c>
      <c r="H637" s="369">
        <v>16.010000000000002</v>
      </c>
      <c r="I637" s="215" t="s">
        <v>346</v>
      </c>
      <c r="J637" s="215" t="s">
        <v>102</v>
      </c>
      <c r="K637" s="266">
        <v>49081135102</v>
      </c>
      <c r="L637" s="215">
        <v>49081635107</v>
      </c>
      <c r="M637" s="266">
        <v>40049081135100</v>
      </c>
      <c r="N637" s="264">
        <v>0.45</v>
      </c>
      <c r="O637" s="265">
        <v>5</v>
      </c>
      <c r="P637" s="265">
        <v>11.25</v>
      </c>
      <c r="Q637" s="265">
        <v>0.87</v>
      </c>
    </row>
    <row r="638" spans="1:17" ht="15" customHeight="1">
      <c r="A638" s="147">
        <v>661</v>
      </c>
      <c r="B638" s="51" t="s">
        <v>10</v>
      </c>
      <c r="C638" s="51" t="s">
        <v>4727</v>
      </c>
      <c r="D638" s="51">
        <v>100022978</v>
      </c>
      <c r="E638" s="53" t="s">
        <v>4728</v>
      </c>
      <c r="F638" s="124">
        <v>25</v>
      </c>
      <c r="G638" s="124">
        <v>3000</v>
      </c>
      <c r="H638" s="369">
        <v>16.82</v>
      </c>
      <c r="I638" s="215" t="s">
        <v>76</v>
      </c>
      <c r="J638" s="215" t="s">
        <v>102</v>
      </c>
      <c r="K638" s="266">
        <v>49081135065</v>
      </c>
      <c r="L638" s="215">
        <v>49081635060</v>
      </c>
      <c r="M638" s="266">
        <v>40049081135063</v>
      </c>
      <c r="N638" s="264">
        <v>0.56999999999999995</v>
      </c>
      <c r="O638" s="265">
        <v>5</v>
      </c>
      <c r="P638" s="265">
        <v>15</v>
      </c>
      <c r="Q638" s="265">
        <v>0.65</v>
      </c>
    </row>
    <row r="639" spans="1:17" ht="15" customHeight="1">
      <c r="A639" s="147">
        <v>662</v>
      </c>
      <c r="B639" s="51" t="s">
        <v>10</v>
      </c>
      <c r="C639" s="51" t="s">
        <v>4729</v>
      </c>
      <c r="D639" s="51">
        <v>100022983</v>
      </c>
      <c r="E639" s="53" t="s">
        <v>4730</v>
      </c>
      <c r="F639" s="124">
        <v>10</v>
      </c>
      <c r="G639" s="124">
        <v>1500</v>
      </c>
      <c r="H639" s="369">
        <v>37.56</v>
      </c>
      <c r="I639" s="215" t="s">
        <v>76</v>
      </c>
      <c r="J639" s="215" t="s">
        <v>102</v>
      </c>
      <c r="K639" s="266">
        <v>49081135232</v>
      </c>
      <c r="L639" s="265" t="s">
        <v>649</v>
      </c>
      <c r="M639" s="266">
        <v>40049081135230</v>
      </c>
      <c r="N639" s="264">
        <v>0.63600000000000001</v>
      </c>
      <c r="O639" s="265" t="s">
        <v>649</v>
      </c>
      <c r="P639" s="265">
        <v>7.08</v>
      </c>
      <c r="Q639" s="265">
        <v>0.5</v>
      </c>
    </row>
    <row r="640" spans="1:17" ht="15" customHeight="1">
      <c r="B640" s="51" t="s">
        <v>10</v>
      </c>
      <c r="C640" s="51" t="s">
        <v>5910</v>
      </c>
      <c r="D640" s="51">
        <v>100022984</v>
      </c>
      <c r="E640" s="53" t="s">
        <v>5965</v>
      </c>
      <c r="F640" s="124">
        <v>10</v>
      </c>
      <c r="G640" s="124">
        <v>900</v>
      </c>
      <c r="H640" s="369">
        <v>35.770000000000003</v>
      </c>
      <c r="I640" s="215" t="s">
        <v>346</v>
      </c>
      <c r="J640" s="215" t="s">
        <v>102</v>
      </c>
      <c r="K640" s="266">
        <v>49081135256</v>
      </c>
      <c r="L640" s="265" t="s">
        <v>649</v>
      </c>
      <c r="M640" s="266">
        <v>40049081135254</v>
      </c>
      <c r="N640" s="264">
        <v>0.626</v>
      </c>
      <c r="O640" s="265" t="s">
        <v>649</v>
      </c>
      <c r="P640" s="265">
        <v>7.18</v>
      </c>
      <c r="Q640" s="265">
        <v>0.43</v>
      </c>
    </row>
    <row r="641" spans="1:17" ht="15" customHeight="1">
      <c r="A641" s="147">
        <v>663</v>
      </c>
      <c r="B641" s="51" t="s">
        <v>10</v>
      </c>
      <c r="C641" s="51" t="s">
        <v>4731</v>
      </c>
      <c r="D641" s="51">
        <v>100022987</v>
      </c>
      <c r="E641" s="53" t="s">
        <v>4732</v>
      </c>
      <c r="F641" s="124">
        <v>10</v>
      </c>
      <c r="G641" s="124">
        <v>1500</v>
      </c>
      <c r="H641" s="369">
        <v>37.56</v>
      </c>
      <c r="I641" s="215" t="s">
        <v>76</v>
      </c>
      <c r="J641" s="215" t="s">
        <v>102</v>
      </c>
      <c r="K641" s="266">
        <v>49081135263</v>
      </c>
      <c r="L641" s="265" t="s">
        <v>649</v>
      </c>
      <c r="M641" s="266">
        <v>40049081135261</v>
      </c>
      <c r="N641" s="264">
        <v>0.61899999999999999</v>
      </c>
      <c r="O641" s="265" t="s">
        <v>649</v>
      </c>
      <c r="P641" s="265">
        <v>6.89</v>
      </c>
      <c r="Q641" s="265">
        <v>0.5</v>
      </c>
    </row>
    <row r="642" spans="1:17" ht="15" customHeight="1">
      <c r="A642" s="147">
        <v>664</v>
      </c>
      <c r="B642" s="51" t="s">
        <v>10</v>
      </c>
      <c r="C642" s="51" t="s">
        <v>4733</v>
      </c>
      <c r="D642" s="51">
        <v>100022991</v>
      </c>
      <c r="E642" s="53" t="s">
        <v>4734</v>
      </c>
      <c r="F642" s="124">
        <v>10</v>
      </c>
      <c r="G642" s="124">
        <v>1500</v>
      </c>
      <c r="H642" s="369">
        <v>37.56</v>
      </c>
      <c r="I642" s="215" t="s">
        <v>346</v>
      </c>
      <c r="J642" s="215" t="s">
        <v>102</v>
      </c>
      <c r="K642" s="266">
        <v>49081135225</v>
      </c>
      <c r="L642" s="265" t="s">
        <v>649</v>
      </c>
      <c r="M642" s="266">
        <v>40049081135223</v>
      </c>
      <c r="N642" s="264">
        <v>0.747</v>
      </c>
      <c r="O642" s="265" t="s">
        <v>649</v>
      </c>
      <c r="P642" s="265">
        <v>8.1</v>
      </c>
      <c r="Q642" s="265">
        <v>0.5</v>
      </c>
    </row>
    <row r="643" spans="1:17" ht="15" customHeight="1">
      <c r="A643" s="147">
        <v>665</v>
      </c>
      <c r="B643" s="51" t="s">
        <v>10</v>
      </c>
      <c r="C643" s="51" t="s">
        <v>4735</v>
      </c>
      <c r="D643" s="51">
        <v>100022997</v>
      </c>
      <c r="E643" s="53" t="s">
        <v>4736</v>
      </c>
      <c r="F643" s="124">
        <v>500</v>
      </c>
      <c r="G643" s="124">
        <v>75000</v>
      </c>
      <c r="H643" s="369">
        <v>7.54</v>
      </c>
      <c r="I643" s="215" t="s">
        <v>346</v>
      </c>
      <c r="J643" s="215" t="s">
        <v>102</v>
      </c>
      <c r="K643" s="266">
        <v>49081135522</v>
      </c>
      <c r="L643" s="215">
        <v>49081635527</v>
      </c>
      <c r="M643" s="266">
        <v>40049081135520</v>
      </c>
      <c r="N643" s="264">
        <v>2.1000000000000001E-2</v>
      </c>
      <c r="O643" s="265">
        <v>10</v>
      </c>
      <c r="P643" s="265">
        <v>10.8</v>
      </c>
      <c r="Q643" s="265">
        <v>0.5</v>
      </c>
    </row>
    <row r="644" spans="1:17" ht="15" customHeight="1">
      <c r="A644" s="147">
        <v>666</v>
      </c>
      <c r="B644" s="51" t="s">
        <v>10</v>
      </c>
      <c r="C644" s="51" t="s">
        <v>4737</v>
      </c>
      <c r="D644" s="51">
        <v>100022999</v>
      </c>
      <c r="E644" s="53" t="s">
        <v>4738</v>
      </c>
      <c r="F644" s="124">
        <v>500</v>
      </c>
      <c r="G644" s="124">
        <v>75000</v>
      </c>
      <c r="H644" s="369">
        <v>7.54</v>
      </c>
      <c r="I644" s="215" t="s">
        <v>346</v>
      </c>
      <c r="J644" s="215" t="s">
        <v>102</v>
      </c>
      <c r="K644" s="266">
        <v>49081135508</v>
      </c>
      <c r="L644" s="215">
        <v>49081635503</v>
      </c>
      <c r="M644" s="266">
        <v>40049081135506</v>
      </c>
      <c r="N644" s="264">
        <v>1.6E-2</v>
      </c>
      <c r="O644" s="265">
        <v>10</v>
      </c>
      <c r="P644" s="265">
        <v>8.4700000000000006</v>
      </c>
      <c r="Q644" s="265">
        <v>0.5</v>
      </c>
    </row>
    <row r="645" spans="1:17" ht="15" customHeight="1">
      <c r="A645" s="147">
        <v>667</v>
      </c>
      <c r="B645" s="51" t="s">
        <v>10</v>
      </c>
      <c r="C645" s="51" t="s">
        <v>4739</v>
      </c>
      <c r="D645" s="51">
        <v>100023005</v>
      </c>
      <c r="E645" s="53" t="s">
        <v>4740</v>
      </c>
      <c r="F645" s="124">
        <v>500</v>
      </c>
      <c r="G645" s="124">
        <v>60000</v>
      </c>
      <c r="H645" s="369">
        <v>4.67</v>
      </c>
      <c r="I645" s="215" t="s">
        <v>76</v>
      </c>
      <c r="J645" s="215" t="s">
        <v>102</v>
      </c>
      <c r="K645" s="266">
        <v>49081135584</v>
      </c>
      <c r="L645" s="215">
        <v>49081635589</v>
      </c>
      <c r="M645" s="266">
        <v>40049081135582</v>
      </c>
      <c r="N645" s="264">
        <v>2.1000000000000001E-2</v>
      </c>
      <c r="O645" s="265">
        <v>10</v>
      </c>
      <c r="P645" s="265">
        <v>11.55</v>
      </c>
      <c r="Q645" s="265">
        <v>0.65</v>
      </c>
    </row>
    <row r="646" spans="1:17" ht="15" customHeight="1">
      <c r="A646" s="147">
        <v>668</v>
      </c>
      <c r="B646" s="51" t="s">
        <v>10</v>
      </c>
      <c r="C646" s="51" t="s">
        <v>4741</v>
      </c>
      <c r="D646" s="51">
        <v>100023009</v>
      </c>
      <c r="E646" s="53" t="s">
        <v>4742</v>
      </c>
      <c r="F646" s="124">
        <v>250</v>
      </c>
      <c r="G646" s="124">
        <v>30000</v>
      </c>
      <c r="H646" s="369">
        <v>6.53</v>
      </c>
      <c r="I646" s="215" t="s">
        <v>76</v>
      </c>
      <c r="J646" s="215" t="s">
        <v>102</v>
      </c>
      <c r="K646" s="266">
        <v>49081135706</v>
      </c>
      <c r="L646" s="215">
        <v>49081635701</v>
      </c>
      <c r="M646" s="266">
        <v>40049081135704</v>
      </c>
      <c r="N646" s="264">
        <v>4.7E-2</v>
      </c>
      <c r="O646" s="265">
        <v>10</v>
      </c>
      <c r="P646" s="265">
        <v>12.68</v>
      </c>
      <c r="Q646" s="265">
        <v>0.65</v>
      </c>
    </row>
    <row r="647" spans="1:17" ht="15" customHeight="1">
      <c r="A647" s="147">
        <v>669</v>
      </c>
      <c r="B647" s="51" t="s">
        <v>10</v>
      </c>
      <c r="C647" s="51" t="s">
        <v>4743</v>
      </c>
      <c r="D647" s="51">
        <v>100023011</v>
      </c>
      <c r="E647" s="53" t="s">
        <v>4744</v>
      </c>
      <c r="F647" s="124">
        <v>250</v>
      </c>
      <c r="G647" s="124">
        <v>30000</v>
      </c>
      <c r="H647" s="369">
        <v>6.53</v>
      </c>
      <c r="I647" s="215" t="s">
        <v>76</v>
      </c>
      <c r="J647" s="215" t="s">
        <v>102</v>
      </c>
      <c r="K647" s="266">
        <v>49081135683</v>
      </c>
      <c r="L647" s="215">
        <v>49081635688</v>
      </c>
      <c r="M647" s="266">
        <v>40049081135681</v>
      </c>
      <c r="N647" s="264">
        <v>3.5999999999999997E-2</v>
      </c>
      <c r="O647" s="265">
        <v>10</v>
      </c>
      <c r="P647" s="265">
        <v>10.25</v>
      </c>
      <c r="Q647" s="265">
        <v>0.65</v>
      </c>
    </row>
    <row r="648" spans="1:17" ht="15" customHeight="1">
      <c r="B648" s="51" t="s">
        <v>10</v>
      </c>
      <c r="C648" s="51" t="s">
        <v>5911</v>
      </c>
      <c r="D648" s="51">
        <v>100023013</v>
      </c>
      <c r="E648" s="53" t="s">
        <v>5966</v>
      </c>
      <c r="F648" s="124">
        <v>150</v>
      </c>
      <c r="G648" s="124">
        <v>11250</v>
      </c>
      <c r="H648" s="369">
        <v>9.27</v>
      </c>
      <c r="I648" s="215" t="s">
        <v>76</v>
      </c>
      <c r="J648" s="215" t="s">
        <v>102</v>
      </c>
      <c r="K648" s="266">
        <v>49081135805</v>
      </c>
      <c r="L648" s="215">
        <v>49081635800</v>
      </c>
      <c r="M648" s="266">
        <v>40049081135803</v>
      </c>
      <c r="N648" s="264">
        <v>7.4999999999999997E-2</v>
      </c>
      <c r="O648" s="265">
        <v>5</v>
      </c>
      <c r="P648" s="265">
        <v>12.45</v>
      </c>
      <c r="Q648" s="265">
        <v>0.57999999999999996</v>
      </c>
    </row>
    <row r="649" spans="1:17" ht="15" customHeight="1">
      <c r="A649" s="147">
        <v>670</v>
      </c>
      <c r="B649" s="51" t="s">
        <v>10</v>
      </c>
      <c r="C649" s="51" t="s">
        <v>4745</v>
      </c>
      <c r="D649" s="51">
        <v>100023015</v>
      </c>
      <c r="E649" s="53" t="s">
        <v>4746</v>
      </c>
      <c r="F649" s="124">
        <v>150</v>
      </c>
      <c r="G649" s="124">
        <v>18000</v>
      </c>
      <c r="H649" s="369">
        <v>9.73</v>
      </c>
      <c r="I649" s="215" t="s">
        <v>346</v>
      </c>
      <c r="J649" s="215" t="s">
        <v>102</v>
      </c>
      <c r="K649" s="266">
        <v>49081135782</v>
      </c>
      <c r="L649" s="215">
        <v>49081635787</v>
      </c>
      <c r="M649" s="266">
        <v>40049081135780</v>
      </c>
      <c r="N649" s="264">
        <v>6.8000000000000005E-2</v>
      </c>
      <c r="O649" s="265">
        <v>5</v>
      </c>
      <c r="P649" s="265">
        <v>13.6</v>
      </c>
      <c r="Q649" s="265">
        <v>0.65</v>
      </c>
    </row>
    <row r="650" spans="1:17" ht="15" customHeight="1">
      <c r="A650" s="147">
        <v>671</v>
      </c>
      <c r="B650" s="51" t="s">
        <v>10</v>
      </c>
      <c r="C650" s="51" t="s">
        <v>4747</v>
      </c>
      <c r="D650" s="51">
        <v>100023017</v>
      </c>
      <c r="E650" s="53" t="s">
        <v>4748</v>
      </c>
      <c r="F650" s="124">
        <v>150</v>
      </c>
      <c r="G650" s="124">
        <v>18000</v>
      </c>
      <c r="H650" s="369">
        <v>9.73</v>
      </c>
      <c r="I650" s="215" t="s">
        <v>76</v>
      </c>
      <c r="J650" s="215" t="s">
        <v>102</v>
      </c>
      <c r="K650" s="266">
        <v>49081135768</v>
      </c>
      <c r="L650" s="215">
        <v>49081635763</v>
      </c>
      <c r="M650" s="266">
        <v>40049081135766</v>
      </c>
      <c r="N650" s="264">
        <v>5.3999999999999999E-2</v>
      </c>
      <c r="O650" s="265">
        <v>5</v>
      </c>
      <c r="P650" s="265">
        <v>9.4600000000000009</v>
      </c>
      <c r="Q650" s="265">
        <v>0.65</v>
      </c>
    </row>
    <row r="651" spans="1:17" ht="15" customHeight="1">
      <c r="A651" s="147">
        <v>672</v>
      </c>
      <c r="B651" s="51" t="s">
        <v>10</v>
      </c>
      <c r="C651" s="51" t="s">
        <v>4749</v>
      </c>
      <c r="D651" s="51">
        <v>100023019</v>
      </c>
      <c r="E651" s="53" t="s">
        <v>4750</v>
      </c>
      <c r="F651" s="124">
        <v>100</v>
      </c>
      <c r="G651" s="124">
        <v>15000</v>
      </c>
      <c r="H651" s="369">
        <v>11.75</v>
      </c>
      <c r="I651" s="215" t="s">
        <v>346</v>
      </c>
      <c r="J651" s="215" t="s">
        <v>102</v>
      </c>
      <c r="K651" s="266">
        <v>49081135942</v>
      </c>
      <c r="L651" s="215">
        <v>49081635947</v>
      </c>
      <c r="M651" s="266">
        <v>40049081135940</v>
      </c>
      <c r="N651" s="264">
        <v>9.5000000000000001E-2</v>
      </c>
      <c r="O651" s="265">
        <v>10</v>
      </c>
      <c r="P651" s="265">
        <v>10.27</v>
      </c>
      <c r="Q651" s="265">
        <v>0.5</v>
      </c>
    </row>
    <row r="652" spans="1:17" ht="15" customHeight="1">
      <c r="A652" s="147">
        <v>673</v>
      </c>
      <c r="B652" s="51" t="s">
        <v>10</v>
      </c>
      <c r="C652" s="51" t="s">
        <v>4751</v>
      </c>
      <c r="D652" s="51">
        <v>100023021</v>
      </c>
      <c r="E652" s="53" t="s">
        <v>4752</v>
      </c>
      <c r="F652" s="124">
        <v>100</v>
      </c>
      <c r="G652" s="124">
        <v>15000</v>
      </c>
      <c r="H652" s="369">
        <v>11.75</v>
      </c>
      <c r="I652" s="215" t="s">
        <v>76</v>
      </c>
      <c r="J652" s="215" t="s">
        <v>102</v>
      </c>
      <c r="K652" s="266">
        <v>49081135928</v>
      </c>
      <c r="L652" s="215">
        <v>49081635923</v>
      </c>
      <c r="M652" s="266">
        <v>40049081135926</v>
      </c>
      <c r="N652" s="264">
        <v>9.4E-2</v>
      </c>
      <c r="O652" s="265">
        <v>10</v>
      </c>
      <c r="P652" s="265">
        <v>10.24</v>
      </c>
      <c r="Q652" s="265">
        <v>0.5</v>
      </c>
    </row>
    <row r="653" spans="1:17" ht="15" customHeight="1">
      <c r="A653" s="147">
        <v>674</v>
      </c>
      <c r="B653" s="51" t="s">
        <v>10</v>
      </c>
      <c r="C653" s="51" t="s">
        <v>4753</v>
      </c>
      <c r="D653" s="51">
        <v>100023023</v>
      </c>
      <c r="E653" s="53" t="s">
        <v>4754</v>
      </c>
      <c r="F653" s="124">
        <v>100</v>
      </c>
      <c r="G653" s="124">
        <v>15000</v>
      </c>
      <c r="H653" s="369">
        <v>11.75</v>
      </c>
      <c r="I653" s="215" t="s">
        <v>76</v>
      </c>
      <c r="J653" s="215" t="s">
        <v>102</v>
      </c>
      <c r="K653" s="266">
        <v>49081135904</v>
      </c>
      <c r="L653" s="215">
        <v>49081635909</v>
      </c>
      <c r="M653" s="266">
        <v>40049081135902</v>
      </c>
      <c r="N653" s="264">
        <v>9.4E-2</v>
      </c>
      <c r="O653" s="265">
        <v>10</v>
      </c>
      <c r="P653" s="265">
        <v>9.52</v>
      </c>
      <c r="Q653" s="265">
        <v>0.5</v>
      </c>
    </row>
    <row r="654" spans="1:17" ht="15" customHeight="1">
      <c r="A654" s="147">
        <v>675</v>
      </c>
      <c r="B654" s="51" t="s">
        <v>10</v>
      </c>
      <c r="C654" s="51" t="s">
        <v>4755</v>
      </c>
      <c r="D654" s="51">
        <v>100023025</v>
      </c>
      <c r="E654" s="53" t="s">
        <v>4756</v>
      </c>
      <c r="F654" s="124">
        <v>100</v>
      </c>
      <c r="G654" s="124">
        <v>15000</v>
      </c>
      <c r="H654" s="369">
        <v>11.75</v>
      </c>
      <c r="I654" s="215" t="s">
        <v>346</v>
      </c>
      <c r="J654" s="215" t="s">
        <v>102</v>
      </c>
      <c r="K654" s="266">
        <v>49081135881</v>
      </c>
      <c r="L654" s="215">
        <v>49081635886</v>
      </c>
      <c r="M654" s="266">
        <v>40049081135889</v>
      </c>
      <c r="N654" s="264">
        <v>0.06</v>
      </c>
      <c r="O654" s="265">
        <v>10</v>
      </c>
      <c r="P654" s="265">
        <v>7.06</v>
      </c>
      <c r="Q654" s="265">
        <v>0.5</v>
      </c>
    </row>
    <row r="655" spans="1:17" ht="15" customHeight="1">
      <c r="A655" s="147">
        <v>676</v>
      </c>
      <c r="B655" s="51" t="s">
        <v>10</v>
      </c>
      <c r="C655" s="51" t="s">
        <v>4757</v>
      </c>
      <c r="D655" s="51">
        <v>100023027</v>
      </c>
      <c r="E655" s="53" t="s">
        <v>4758</v>
      </c>
      <c r="F655" s="124">
        <v>50</v>
      </c>
      <c r="G655" s="124">
        <v>6000</v>
      </c>
      <c r="H655" s="369">
        <v>12.56</v>
      </c>
      <c r="I655" s="215" t="s">
        <v>76</v>
      </c>
      <c r="J655" s="215" t="s">
        <v>102</v>
      </c>
      <c r="K655" s="266">
        <v>49081135980</v>
      </c>
      <c r="L655" s="215">
        <v>49081635985</v>
      </c>
      <c r="M655" s="266">
        <v>40049081135988</v>
      </c>
      <c r="N655" s="264">
        <v>0.115</v>
      </c>
      <c r="O655" s="265">
        <v>5</v>
      </c>
      <c r="P655" s="265">
        <v>6.76</v>
      </c>
      <c r="Q655" s="265">
        <v>0.65</v>
      </c>
    </row>
    <row r="656" spans="1:17" ht="15" customHeight="1">
      <c r="A656" s="147">
        <v>677</v>
      </c>
      <c r="B656" s="51" t="s">
        <v>10</v>
      </c>
      <c r="C656" s="51" t="s">
        <v>4759</v>
      </c>
      <c r="D656" s="51">
        <v>100023029</v>
      </c>
      <c r="E656" s="53" t="s">
        <v>4760</v>
      </c>
      <c r="F656" s="124">
        <v>250</v>
      </c>
      <c r="G656" s="124">
        <v>37500</v>
      </c>
      <c r="H656" s="369">
        <v>1.42</v>
      </c>
      <c r="I656" s="215" t="s">
        <v>76</v>
      </c>
      <c r="J656" s="215" t="s">
        <v>102</v>
      </c>
      <c r="K656" s="266">
        <v>49081136789</v>
      </c>
      <c r="L656" s="215">
        <v>49081636784</v>
      </c>
      <c r="M656" s="266">
        <v>40049081136787</v>
      </c>
      <c r="N656" s="264">
        <v>2.3E-2</v>
      </c>
      <c r="O656" s="265">
        <v>10</v>
      </c>
      <c r="P656" s="265">
        <v>7.82</v>
      </c>
      <c r="Q656" s="265">
        <v>0.5</v>
      </c>
    </row>
    <row r="657" spans="1:17" ht="15" customHeight="1">
      <c r="A657" s="147">
        <v>678</v>
      </c>
      <c r="B657" s="51" t="s">
        <v>10</v>
      </c>
      <c r="C657" s="51" t="s">
        <v>4761</v>
      </c>
      <c r="D657" s="51">
        <v>100023031</v>
      </c>
      <c r="E657" s="53" t="s">
        <v>4762</v>
      </c>
      <c r="F657" s="124">
        <v>250</v>
      </c>
      <c r="G657" s="124">
        <v>30000</v>
      </c>
      <c r="H657" s="369">
        <v>1.67</v>
      </c>
      <c r="I657" s="215" t="s">
        <v>76</v>
      </c>
      <c r="J657" s="215" t="s">
        <v>102</v>
      </c>
      <c r="K657" s="266">
        <v>49081136802</v>
      </c>
      <c r="L657" s="215">
        <v>49081636807</v>
      </c>
      <c r="M657" s="266">
        <v>40049081136800</v>
      </c>
      <c r="N657" s="264">
        <v>3.6999999999999998E-2</v>
      </c>
      <c r="O657" s="265">
        <v>10</v>
      </c>
      <c r="P657" s="265">
        <v>11.19</v>
      </c>
      <c r="Q657" s="265">
        <v>0.65</v>
      </c>
    </row>
    <row r="658" spans="1:17" ht="15" customHeight="1">
      <c r="A658" s="147">
        <v>679</v>
      </c>
      <c r="B658" s="51" t="s">
        <v>10</v>
      </c>
      <c r="C658" s="51" t="s">
        <v>4763</v>
      </c>
      <c r="D658" s="51">
        <v>100023033</v>
      </c>
      <c r="E658" s="53" t="s">
        <v>4764</v>
      </c>
      <c r="F658" s="124">
        <v>250</v>
      </c>
      <c r="G658" s="124">
        <v>22500</v>
      </c>
      <c r="H658" s="369">
        <v>2.65</v>
      </c>
      <c r="I658" s="215" t="s">
        <v>76</v>
      </c>
      <c r="J658" s="215" t="s">
        <v>102</v>
      </c>
      <c r="K658" s="266">
        <v>49081136826</v>
      </c>
      <c r="L658" s="215">
        <v>49081636821</v>
      </c>
      <c r="M658" s="266">
        <v>40049081136824</v>
      </c>
      <c r="N658" s="264">
        <v>6.9000000000000006E-2</v>
      </c>
      <c r="O658" s="265">
        <v>10</v>
      </c>
      <c r="P658" s="265">
        <v>18.5</v>
      </c>
      <c r="Q658" s="265">
        <v>0.8</v>
      </c>
    </row>
    <row r="659" spans="1:17" ht="15" customHeight="1">
      <c r="A659" s="147">
        <v>680</v>
      </c>
      <c r="B659" s="51" t="s">
        <v>10</v>
      </c>
      <c r="C659" s="51" t="s">
        <v>4765</v>
      </c>
      <c r="D659" s="51">
        <v>100023035</v>
      </c>
      <c r="E659" s="53" t="s">
        <v>4766</v>
      </c>
      <c r="F659" s="124">
        <v>125</v>
      </c>
      <c r="G659" s="124">
        <v>11250</v>
      </c>
      <c r="H659" s="369">
        <v>3.73</v>
      </c>
      <c r="I659" s="215" t="s">
        <v>76</v>
      </c>
      <c r="J659" s="215" t="s">
        <v>102</v>
      </c>
      <c r="K659" s="266">
        <v>49081136840</v>
      </c>
      <c r="L659" s="215">
        <v>49081636845</v>
      </c>
      <c r="M659" s="266">
        <v>40049081136848</v>
      </c>
      <c r="N659" s="264">
        <v>0.10299999999999999</v>
      </c>
      <c r="O659" s="265">
        <v>5</v>
      </c>
      <c r="P659" s="265">
        <v>13.62</v>
      </c>
      <c r="Q659" s="265">
        <v>0.8</v>
      </c>
    </row>
    <row r="660" spans="1:17" ht="15" customHeight="1">
      <c r="A660" s="147">
        <v>681</v>
      </c>
      <c r="B660" s="51" t="s">
        <v>10</v>
      </c>
      <c r="C660" s="51" t="s">
        <v>4767</v>
      </c>
      <c r="D660" s="51">
        <v>100023037</v>
      </c>
      <c r="E660" s="53" t="s">
        <v>4768</v>
      </c>
      <c r="F660" s="124">
        <v>50</v>
      </c>
      <c r="G660" s="124">
        <v>7500</v>
      </c>
      <c r="H660" s="369">
        <v>4.07</v>
      </c>
      <c r="I660" s="215" t="s">
        <v>76</v>
      </c>
      <c r="J660" s="215" t="s">
        <v>102</v>
      </c>
      <c r="K660" s="266">
        <v>49081136864</v>
      </c>
      <c r="L660" s="215">
        <v>49081636869</v>
      </c>
      <c r="M660" s="266">
        <v>40049081136862</v>
      </c>
      <c r="N660" s="264">
        <v>0.12</v>
      </c>
      <c r="O660" s="265">
        <v>5</v>
      </c>
      <c r="P660" s="265">
        <v>6.79</v>
      </c>
      <c r="Q660" s="265">
        <v>0.5</v>
      </c>
    </row>
    <row r="661" spans="1:17" ht="15" customHeight="1">
      <c r="A661" s="147">
        <v>682</v>
      </c>
      <c r="B661" s="51" t="s">
        <v>10</v>
      </c>
      <c r="C661" s="51" t="s">
        <v>4769</v>
      </c>
      <c r="D661" s="51">
        <v>100023039</v>
      </c>
      <c r="E661" s="53" t="s">
        <v>4770</v>
      </c>
      <c r="F661" s="124">
        <v>50</v>
      </c>
      <c r="G661" s="124">
        <v>6000</v>
      </c>
      <c r="H661" s="369">
        <v>4.92</v>
      </c>
      <c r="I661" s="215" t="s">
        <v>76</v>
      </c>
      <c r="J661" s="215" t="s">
        <v>102</v>
      </c>
      <c r="K661" s="266">
        <v>49081136888</v>
      </c>
      <c r="L661" s="215">
        <v>49081636883</v>
      </c>
      <c r="M661" s="266">
        <v>40049081136886</v>
      </c>
      <c r="N661" s="264">
        <v>0.17599999999999999</v>
      </c>
      <c r="O661" s="265">
        <v>5</v>
      </c>
      <c r="P661" s="265">
        <v>9.82</v>
      </c>
      <c r="Q661" s="265">
        <v>0.65</v>
      </c>
    </row>
    <row r="662" spans="1:17" ht="15" customHeight="1">
      <c r="A662" s="147">
        <v>683</v>
      </c>
      <c r="B662" s="51" t="s">
        <v>10</v>
      </c>
      <c r="C662" s="51" t="s">
        <v>4771</v>
      </c>
      <c r="D662" s="51">
        <v>100023041</v>
      </c>
      <c r="E662" s="53" t="s">
        <v>4772</v>
      </c>
      <c r="F662" s="124">
        <v>25</v>
      </c>
      <c r="G662" s="124">
        <v>3000</v>
      </c>
      <c r="H662" s="369">
        <v>15.6</v>
      </c>
      <c r="I662" s="215" t="s">
        <v>76</v>
      </c>
      <c r="J662" s="215" t="s">
        <v>102</v>
      </c>
      <c r="K662" s="266">
        <v>49081136901</v>
      </c>
      <c r="L662" s="265" t="s">
        <v>649</v>
      </c>
      <c r="M662" s="266">
        <v>40049081136909</v>
      </c>
      <c r="N662" s="264">
        <v>0.35499999999999998</v>
      </c>
      <c r="O662" s="265" t="s">
        <v>649</v>
      </c>
      <c r="P662" s="265">
        <v>9.3699999999999992</v>
      </c>
      <c r="Q662" s="265">
        <v>0.65</v>
      </c>
    </row>
    <row r="663" spans="1:17" ht="15" customHeight="1">
      <c r="A663" s="147">
        <v>684</v>
      </c>
      <c r="B663" s="51" t="s">
        <v>10</v>
      </c>
      <c r="C663" s="51" t="s">
        <v>4773</v>
      </c>
      <c r="D663" s="51">
        <v>100023043</v>
      </c>
      <c r="E663" s="53" t="s">
        <v>4774</v>
      </c>
      <c r="F663" s="124">
        <v>15</v>
      </c>
      <c r="G663" s="124">
        <v>2250</v>
      </c>
      <c r="H663" s="369">
        <v>17.02</v>
      </c>
      <c r="I663" s="215" t="s">
        <v>76</v>
      </c>
      <c r="J663" s="215" t="s">
        <v>102</v>
      </c>
      <c r="K663" s="266">
        <v>49081136925</v>
      </c>
      <c r="L663" s="265" t="s">
        <v>649</v>
      </c>
      <c r="M663" s="266">
        <v>40049081136923</v>
      </c>
      <c r="N663" s="264">
        <v>0.504</v>
      </c>
      <c r="O663" s="265" t="s">
        <v>649</v>
      </c>
      <c r="P663" s="265">
        <v>7.99</v>
      </c>
      <c r="Q663" s="265">
        <v>0.5</v>
      </c>
    </row>
    <row r="664" spans="1:17" ht="15" customHeight="1">
      <c r="A664" s="147">
        <v>685</v>
      </c>
      <c r="B664" s="51" t="s">
        <v>10</v>
      </c>
      <c r="C664" s="51" t="s">
        <v>4775</v>
      </c>
      <c r="D664" s="51">
        <v>100023045</v>
      </c>
      <c r="E664" s="53" t="s">
        <v>4776</v>
      </c>
      <c r="F664" s="124">
        <v>9</v>
      </c>
      <c r="G664" s="124">
        <v>1350</v>
      </c>
      <c r="H664" s="369">
        <v>38.71</v>
      </c>
      <c r="I664" s="215" t="s">
        <v>76</v>
      </c>
      <c r="J664" s="215" t="s">
        <v>102</v>
      </c>
      <c r="K664" s="266">
        <v>49081136949</v>
      </c>
      <c r="L664" s="265" t="s">
        <v>649</v>
      </c>
      <c r="M664" s="266">
        <v>40049081136947</v>
      </c>
      <c r="N664" s="264">
        <v>0.78400000000000003</v>
      </c>
      <c r="O664" s="265" t="s">
        <v>649</v>
      </c>
      <c r="P664" s="265">
        <v>7.82</v>
      </c>
      <c r="Q664" s="265">
        <v>0.5</v>
      </c>
    </row>
    <row r="665" spans="1:17" ht="15" customHeight="1">
      <c r="A665" s="147">
        <v>686</v>
      </c>
      <c r="B665" s="51" t="s">
        <v>10</v>
      </c>
      <c r="C665" s="51" t="s">
        <v>4777</v>
      </c>
      <c r="D665" s="51">
        <v>100027429</v>
      </c>
      <c r="E665" s="53" t="s">
        <v>4778</v>
      </c>
      <c r="F665" s="124">
        <v>5</v>
      </c>
      <c r="G665" s="124">
        <v>450</v>
      </c>
      <c r="H665" s="369">
        <v>65.09</v>
      </c>
      <c r="I665" s="215" t="s">
        <v>76</v>
      </c>
      <c r="J665" s="215" t="s">
        <v>102</v>
      </c>
      <c r="K665" s="266">
        <v>49081136963</v>
      </c>
      <c r="L665" s="265" t="s">
        <v>649</v>
      </c>
      <c r="M665" s="266">
        <v>40049081136961</v>
      </c>
      <c r="N665" s="264">
        <v>1.74</v>
      </c>
      <c r="O665" s="265" t="s">
        <v>649</v>
      </c>
      <c r="P665" s="265">
        <v>8.92</v>
      </c>
      <c r="Q665" s="265">
        <v>0.8</v>
      </c>
    </row>
    <row r="666" spans="1:17" ht="15" customHeight="1">
      <c r="A666" s="147">
        <v>687</v>
      </c>
      <c r="B666" s="51" t="s">
        <v>10</v>
      </c>
      <c r="C666" s="51" t="s">
        <v>4779</v>
      </c>
      <c r="D666" s="51">
        <v>100023047</v>
      </c>
      <c r="E666" s="53" t="s">
        <v>4780</v>
      </c>
      <c r="F666" s="124">
        <v>3</v>
      </c>
      <c r="G666" s="124">
        <v>360</v>
      </c>
      <c r="H666" s="369">
        <v>92.88</v>
      </c>
      <c r="I666" s="215" t="s">
        <v>76</v>
      </c>
      <c r="J666" s="215" t="s">
        <v>102</v>
      </c>
      <c r="K666" s="266">
        <v>49081136987</v>
      </c>
      <c r="L666" s="265" t="s">
        <v>649</v>
      </c>
      <c r="M666" s="266">
        <v>40049081136985</v>
      </c>
      <c r="N666" s="264">
        <v>2.2949999999999999</v>
      </c>
      <c r="O666" s="265" t="s">
        <v>649</v>
      </c>
      <c r="P666" s="265">
        <v>9.4</v>
      </c>
      <c r="Q666" s="265">
        <v>0.65</v>
      </c>
    </row>
    <row r="667" spans="1:17" ht="15" customHeight="1">
      <c r="A667" s="147">
        <v>688</v>
      </c>
      <c r="B667" s="51" t="s">
        <v>10</v>
      </c>
      <c r="C667" s="51" t="s">
        <v>4781</v>
      </c>
      <c r="D667" s="51">
        <v>100023049</v>
      </c>
      <c r="E667" s="53" t="s">
        <v>4782</v>
      </c>
      <c r="F667" s="124">
        <v>2</v>
      </c>
      <c r="G667" s="124">
        <v>120</v>
      </c>
      <c r="H667" s="369">
        <v>233.25</v>
      </c>
      <c r="I667" s="215" t="s">
        <v>76</v>
      </c>
      <c r="J667" s="215" t="s">
        <v>102</v>
      </c>
      <c r="K667" s="266">
        <v>49081137007</v>
      </c>
      <c r="L667" s="265" t="s">
        <v>649</v>
      </c>
      <c r="M667" s="266">
        <v>40049081137005</v>
      </c>
      <c r="N667" s="264">
        <v>4.766</v>
      </c>
      <c r="O667" s="265" t="s">
        <v>649</v>
      </c>
      <c r="P667" s="265">
        <v>10.16</v>
      </c>
      <c r="Q667" s="265">
        <v>1.25</v>
      </c>
    </row>
    <row r="668" spans="1:17" ht="15" customHeight="1">
      <c r="A668" s="147">
        <v>689</v>
      </c>
      <c r="B668" s="51" t="s">
        <v>10</v>
      </c>
      <c r="C668" s="51" t="s">
        <v>4783</v>
      </c>
      <c r="D668" s="51">
        <v>100023051</v>
      </c>
      <c r="E668" s="53" t="s">
        <v>4784</v>
      </c>
      <c r="F668" s="124">
        <v>250</v>
      </c>
      <c r="G668" s="124">
        <v>37500</v>
      </c>
      <c r="H668" s="369">
        <v>3.02</v>
      </c>
      <c r="I668" s="215" t="s">
        <v>76</v>
      </c>
      <c r="J668" s="215" t="s">
        <v>102</v>
      </c>
      <c r="K668" s="266">
        <v>49081137168</v>
      </c>
      <c r="L668" s="215">
        <v>49081637163</v>
      </c>
      <c r="M668" s="266">
        <v>40049081137166</v>
      </c>
      <c r="N668" s="264">
        <v>2.9000000000000001E-2</v>
      </c>
      <c r="O668" s="265">
        <v>10</v>
      </c>
      <c r="P668" s="265">
        <v>8.2100000000000009</v>
      </c>
      <c r="Q668" s="265">
        <v>0.5</v>
      </c>
    </row>
    <row r="669" spans="1:17" ht="15" customHeight="1">
      <c r="A669" s="147">
        <v>690</v>
      </c>
      <c r="B669" s="51" t="s">
        <v>10</v>
      </c>
      <c r="C669" s="51" t="s">
        <v>4785</v>
      </c>
      <c r="D669" s="51">
        <v>100023053</v>
      </c>
      <c r="E669" s="53" t="s">
        <v>4786</v>
      </c>
      <c r="F669" s="124">
        <v>250</v>
      </c>
      <c r="G669" s="124">
        <v>30000</v>
      </c>
      <c r="H669" s="369">
        <v>3.48</v>
      </c>
      <c r="I669" s="215" t="s">
        <v>76</v>
      </c>
      <c r="J669" s="215" t="s">
        <v>102</v>
      </c>
      <c r="K669" s="266">
        <v>49081137182</v>
      </c>
      <c r="L669" s="215">
        <v>49081637187</v>
      </c>
      <c r="M669" s="266">
        <v>40049081137180</v>
      </c>
      <c r="N669" s="264">
        <v>0.04</v>
      </c>
      <c r="O669" s="265">
        <v>10</v>
      </c>
      <c r="P669" s="265">
        <v>10.8</v>
      </c>
      <c r="Q669" s="265">
        <v>0.65</v>
      </c>
    </row>
    <row r="670" spans="1:17" ht="15" customHeight="1">
      <c r="A670" s="147">
        <v>691</v>
      </c>
      <c r="B670" s="51" t="s">
        <v>10</v>
      </c>
      <c r="C670" s="51" t="s">
        <v>4787</v>
      </c>
      <c r="D670" s="51">
        <v>100023055</v>
      </c>
      <c r="E670" s="53" t="s">
        <v>4788</v>
      </c>
      <c r="F670" s="124">
        <v>250</v>
      </c>
      <c r="G670" s="124">
        <v>22500</v>
      </c>
      <c r="H670" s="369">
        <v>5.27</v>
      </c>
      <c r="I670" s="215" t="s">
        <v>76</v>
      </c>
      <c r="J670" s="215" t="s">
        <v>102</v>
      </c>
      <c r="K670" s="265" t="s">
        <v>649</v>
      </c>
      <c r="L670" s="215">
        <v>49081637200</v>
      </c>
      <c r="M670" s="265" t="s">
        <v>649</v>
      </c>
      <c r="N670" s="264">
        <v>7.5999999999999998E-2</v>
      </c>
      <c r="O670" s="265">
        <v>10</v>
      </c>
      <c r="P670" s="265">
        <v>20.21</v>
      </c>
      <c r="Q670" s="265">
        <v>0.8</v>
      </c>
    </row>
    <row r="671" spans="1:17" ht="15" customHeight="1">
      <c r="A671" s="147">
        <v>692</v>
      </c>
      <c r="B671" s="51" t="s">
        <v>10</v>
      </c>
      <c r="C671" s="51" t="s">
        <v>4789</v>
      </c>
      <c r="D671" s="51">
        <v>100023057</v>
      </c>
      <c r="E671" s="53" t="s">
        <v>4790</v>
      </c>
      <c r="F671" s="124">
        <v>125</v>
      </c>
      <c r="G671" s="124">
        <v>11250</v>
      </c>
      <c r="H671" s="369">
        <v>6.26</v>
      </c>
      <c r="I671" s="215" t="s">
        <v>76</v>
      </c>
      <c r="J671" s="215" t="s">
        <v>102</v>
      </c>
      <c r="K671" s="266">
        <v>49081137229</v>
      </c>
      <c r="L671" s="215">
        <v>49081637224</v>
      </c>
      <c r="M671" s="266">
        <v>40049081137227</v>
      </c>
      <c r="N671" s="264">
        <v>8.5999999999999993E-2</v>
      </c>
      <c r="O671" s="265">
        <v>5</v>
      </c>
      <c r="P671" s="265">
        <v>11.54</v>
      </c>
      <c r="Q671" s="265">
        <v>0.8</v>
      </c>
    </row>
    <row r="672" spans="1:17" ht="15" customHeight="1">
      <c r="A672" s="147">
        <v>693</v>
      </c>
      <c r="B672" s="51" t="s">
        <v>10</v>
      </c>
      <c r="C672" s="51" t="s">
        <v>4791</v>
      </c>
      <c r="D672" s="51">
        <v>100023059</v>
      </c>
      <c r="E672" s="53" t="s">
        <v>4792</v>
      </c>
      <c r="F672" s="124">
        <v>50</v>
      </c>
      <c r="G672" s="124">
        <v>7500</v>
      </c>
      <c r="H672" s="369">
        <v>6.53</v>
      </c>
      <c r="I672" s="215" t="s">
        <v>346</v>
      </c>
      <c r="J672" s="215" t="s">
        <v>102</v>
      </c>
      <c r="K672" s="266">
        <v>49081137243</v>
      </c>
      <c r="L672" s="215">
        <v>49081637248</v>
      </c>
      <c r="M672" s="266">
        <v>40049081137241</v>
      </c>
      <c r="N672" s="264">
        <v>0.11799999999999999</v>
      </c>
      <c r="O672" s="265">
        <v>5</v>
      </c>
      <c r="P672" s="265">
        <v>8.4700000000000006</v>
      </c>
      <c r="Q672" s="265">
        <v>0.5</v>
      </c>
    </row>
    <row r="673" spans="1:17" ht="15" customHeight="1">
      <c r="A673" s="147">
        <v>694</v>
      </c>
      <c r="B673" s="51" t="s">
        <v>10</v>
      </c>
      <c r="C673" s="51" t="s">
        <v>4793</v>
      </c>
      <c r="D673" s="51">
        <v>100023061</v>
      </c>
      <c r="E673" s="53" t="s">
        <v>4794</v>
      </c>
      <c r="F673" s="124">
        <v>50</v>
      </c>
      <c r="G673" s="124">
        <v>6000</v>
      </c>
      <c r="H673" s="369">
        <v>11.57</v>
      </c>
      <c r="I673" s="215" t="s">
        <v>76</v>
      </c>
      <c r="J673" s="215" t="s">
        <v>102</v>
      </c>
      <c r="K673" s="266">
        <v>49081137267</v>
      </c>
      <c r="L673" s="215">
        <v>49081637262</v>
      </c>
      <c r="M673" s="266">
        <v>40049081137265</v>
      </c>
      <c r="N673" s="264">
        <v>0.188</v>
      </c>
      <c r="O673" s="265">
        <v>5</v>
      </c>
      <c r="P673" s="265">
        <v>10.220000000000001</v>
      </c>
      <c r="Q673" s="265">
        <v>0.65</v>
      </c>
    </row>
    <row r="674" spans="1:17" ht="15" customHeight="1">
      <c r="A674" s="147">
        <v>695</v>
      </c>
      <c r="B674" s="51" t="s">
        <v>10</v>
      </c>
      <c r="C674" s="51" t="s">
        <v>4795</v>
      </c>
      <c r="D674" s="51">
        <v>100023063</v>
      </c>
      <c r="E674" s="53" t="s">
        <v>4796</v>
      </c>
      <c r="F674" s="124">
        <v>25</v>
      </c>
      <c r="G674" s="124">
        <v>3000</v>
      </c>
      <c r="H674" s="369">
        <v>17.02</v>
      </c>
      <c r="I674" s="215" t="s">
        <v>76</v>
      </c>
      <c r="J674" s="215" t="s">
        <v>102</v>
      </c>
      <c r="K674" s="266">
        <v>49081137281</v>
      </c>
      <c r="L674" s="265" t="s">
        <v>649</v>
      </c>
      <c r="M674" s="266">
        <v>40049081137289</v>
      </c>
      <c r="N674" s="264">
        <v>0.44400000000000001</v>
      </c>
      <c r="O674" s="265" t="s">
        <v>649</v>
      </c>
      <c r="P674" s="265">
        <v>12.06</v>
      </c>
      <c r="Q674" s="265">
        <v>0.65</v>
      </c>
    </row>
    <row r="675" spans="1:17" ht="15" customHeight="1">
      <c r="A675" s="147">
        <v>696</v>
      </c>
      <c r="B675" s="51" t="s">
        <v>10</v>
      </c>
      <c r="C675" s="51" t="s">
        <v>4797</v>
      </c>
      <c r="D675" s="51">
        <v>100023065</v>
      </c>
      <c r="E675" s="53" t="s">
        <v>4798</v>
      </c>
      <c r="F675" s="124">
        <v>15</v>
      </c>
      <c r="G675" s="124">
        <v>2250</v>
      </c>
      <c r="H675" s="369">
        <v>22.25</v>
      </c>
      <c r="I675" s="215" t="s">
        <v>76</v>
      </c>
      <c r="J675" s="215" t="s">
        <v>102</v>
      </c>
      <c r="K675" s="266">
        <v>49081137304</v>
      </c>
      <c r="L675" s="265" t="s">
        <v>649</v>
      </c>
      <c r="M675" s="266">
        <v>40049081137302</v>
      </c>
      <c r="N675" s="264">
        <v>0.60399999999999998</v>
      </c>
      <c r="O675" s="265" t="s">
        <v>649</v>
      </c>
      <c r="P675" s="265">
        <v>9.68</v>
      </c>
      <c r="Q675" s="265">
        <v>0.5</v>
      </c>
    </row>
    <row r="676" spans="1:17" ht="15" customHeight="1">
      <c r="A676" s="147">
        <v>697</v>
      </c>
      <c r="B676" s="51" t="s">
        <v>10</v>
      </c>
      <c r="C676" s="51" t="s">
        <v>4799</v>
      </c>
      <c r="D676" s="51">
        <v>100023067</v>
      </c>
      <c r="E676" s="53" t="s">
        <v>4800</v>
      </c>
      <c r="F676" s="124">
        <v>9</v>
      </c>
      <c r="G676" s="124">
        <v>1350</v>
      </c>
      <c r="H676" s="369">
        <v>39.08</v>
      </c>
      <c r="I676" s="215" t="s">
        <v>346</v>
      </c>
      <c r="J676" s="215" t="s">
        <v>102</v>
      </c>
      <c r="K676" s="266">
        <v>49081137328</v>
      </c>
      <c r="L676" s="265" t="s">
        <v>649</v>
      </c>
      <c r="M676" s="266">
        <v>40049081137326</v>
      </c>
      <c r="N676" s="264">
        <v>0.93400000000000005</v>
      </c>
      <c r="O676" s="265" t="s">
        <v>649</v>
      </c>
      <c r="P676" s="265">
        <v>9.39</v>
      </c>
      <c r="Q676" s="265">
        <v>0.5</v>
      </c>
    </row>
    <row r="677" spans="1:17" ht="15" customHeight="1">
      <c r="A677" s="147">
        <v>698</v>
      </c>
      <c r="B677" s="51" t="s">
        <v>10</v>
      </c>
      <c r="C677" s="51" t="s">
        <v>4801</v>
      </c>
      <c r="D677" s="51">
        <v>100023069</v>
      </c>
      <c r="E677" s="53" t="s">
        <v>4802</v>
      </c>
      <c r="F677" s="124">
        <v>250</v>
      </c>
      <c r="G677" s="124">
        <v>67500</v>
      </c>
      <c r="H677" s="369">
        <v>3.48</v>
      </c>
      <c r="I677" s="215" t="s">
        <v>76</v>
      </c>
      <c r="J677" s="215" t="s">
        <v>102</v>
      </c>
      <c r="K677" s="266">
        <v>49081142865</v>
      </c>
      <c r="L677" s="215">
        <v>49081642860</v>
      </c>
      <c r="M677" s="266">
        <v>40049081142863</v>
      </c>
      <c r="N677" s="264">
        <v>2.1999999999999999E-2</v>
      </c>
      <c r="O677" s="265">
        <v>10</v>
      </c>
      <c r="P677" s="265">
        <v>6.3</v>
      </c>
      <c r="Q677" s="265">
        <v>0.31</v>
      </c>
    </row>
    <row r="678" spans="1:17" ht="15" customHeight="1">
      <c r="A678" s="147">
        <v>699</v>
      </c>
      <c r="B678" s="51" t="s">
        <v>10</v>
      </c>
      <c r="C678" s="51" t="s">
        <v>4803</v>
      </c>
      <c r="D678" s="51">
        <v>100023071</v>
      </c>
      <c r="E678" s="53" t="s">
        <v>4804</v>
      </c>
      <c r="F678" s="124">
        <v>250</v>
      </c>
      <c r="G678" s="124">
        <v>37500</v>
      </c>
      <c r="H678" s="369">
        <v>4.07</v>
      </c>
      <c r="I678" s="215" t="s">
        <v>76</v>
      </c>
      <c r="J678" s="215" t="s">
        <v>102</v>
      </c>
      <c r="K678" s="266">
        <v>49081142889</v>
      </c>
      <c r="L678" s="215">
        <v>49081642884</v>
      </c>
      <c r="M678" s="266">
        <v>40049081142887</v>
      </c>
      <c r="N678" s="264">
        <v>3.5000000000000003E-2</v>
      </c>
      <c r="O678" s="265">
        <v>10</v>
      </c>
      <c r="P678" s="265">
        <v>9.61</v>
      </c>
      <c r="Q678" s="265">
        <v>0.5</v>
      </c>
    </row>
    <row r="679" spans="1:17" ht="15" customHeight="1">
      <c r="A679" s="147">
        <v>700</v>
      </c>
      <c r="B679" s="51" t="s">
        <v>10</v>
      </c>
      <c r="C679" s="51" t="s">
        <v>4805</v>
      </c>
      <c r="D679" s="51">
        <v>100023073</v>
      </c>
      <c r="E679" s="53" t="s">
        <v>4806</v>
      </c>
      <c r="F679" s="124">
        <v>250</v>
      </c>
      <c r="G679" s="124">
        <v>22500</v>
      </c>
      <c r="H679" s="369">
        <v>4.92</v>
      </c>
      <c r="I679" s="215" t="s">
        <v>76</v>
      </c>
      <c r="J679" s="215" t="s">
        <v>102</v>
      </c>
      <c r="K679" s="266">
        <v>49081142902</v>
      </c>
      <c r="L679" s="215">
        <v>49081642907</v>
      </c>
      <c r="M679" s="266">
        <v>40049081142900</v>
      </c>
      <c r="N679" s="264">
        <v>5.7000000000000002E-2</v>
      </c>
      <c r="O679" s="265">
        <v>10</v>
      </c>
      <c r="P679" s="265">
        <v>15.79</v>
      </c>
      <c r="Q679" s="265">
        <v>0.8</v>
      </c>
    </row>
    <row r="680" spans="1:17" ht="15" customHeight="1">
      <c r="B680" s="51" t="s">
        <v>10</v>
      </c>
      <c r="C680" s="51" t="s">
        <v>5912</v>
      </c>
      <c r="D680" s="51">
        <v>100023075</v>
      </c>
      <c r="E680" s="53" t="s">
        <v>5967</v>
      </c>
      <c r="F680" s="124">
        <v>125</v>
      </c>
      <c r="G680" s="124">
        <v>9375</v>
      </c>
      <c r="H680" s="369">
        <v>6.23</v>
      </c>
      <c r="I680" s="215" t="s">
        <v>76</v>
      </c>
      <c r="J680" s="215" t="s">
        <v>102</v>
      </c>
      <c r="K680" s="266">
        <v>49081142926</v>
      </c>
      <c r="L680" s="215">
        <v>49081642921</v>
      </c>
      <c r="M680" s="266">
        <v>40049081142924</v>
      </c>
      <c r="N680" s="264">
        <v>8.6999999999999994E-2</v>
      </c>
      <c r="O680" s="265">
        <v>5</v>
      </c>
      <c r="P680" s="265">
        <v>11.87</v>
      </c>
      <c r="Q680" s="265">
        <v>0.57999999999999996</v>
      </c>
    </row>
    <row r="681" spans="1:17" ht="15" customHeight="1">
      <c r="A681" s="147">
        <v>701</v>
      </c>
      <c r="B681" s="51" t="s">
        <v>10</v>
      </c>
      <c r="C681" s="51" t="s">
        <v>4807</v>
      </c>
      <c r="D681" s="51">
        <v>100023077</v>
      </c>
      <c r="E681" s="53" t="s">
        <v>4808</v>
      </c>
      <c r="F681" s="124">
        <v>50</v>
      </c>
      <c r="G681" s="124">
        <v>7500</v>
      </c>
      <c r="H681" s="369">
        <v>8.34</v>
      </c>
      <c r="I681" s="215" t="s">
        <v>76</v>
      </c>
      <c r="J681" s="215" t="s">
        <v>102</v>
      </c>
      <c r="K681" s="266">
        <v>49081142940</v>
      </c>
      <c r="L681" s="215">
        <v>49081642945</v>
      </c>
      <c r="M681" s="266">
        <v>40049081142948</v>
      </c>
      <c r="N681" s="264">
        <v>0.122</v>
      </c>
      <c r="O681" s="265">
        <v>5</v>
      </c>
      <c r="P681" s="265">
        <v>7.14</v>
      </c>
      <c r="Q681" s="265">
        <v>0.5</v>
      </c>
    </row>
    <row r="682" spans="1:17" ht="15" customHeight="1">
      <c r="A682" s="147">
        <v>702</v>
      </c>
      <c r="B682" s="51" t="s">
        <v>10</v>
      </c>
      <c r="C682" s="51" t="s">
        <v>4809</v>
      </c>
      <c r="D682" s="51">
        <v>100023079</v>
      </c>
      <c r="E682" s="53" t="s">
        <v>4810</v>
      </c>
      <c r="F682" s="124">
        <v>50</v>
      </c>
      <c r="G682" s="124">
        <v>7500</v>
      </c>
      <c r="H682" s="369">
        <v>10.3</v>
      </c>
      <c r="I682" s="215" t="s">
        <v>76</v>
      </c>
      <c r="J682" s="215" t="s">
        <v>102</v>
      </c>
      <c r="K682" s="266">
        <v>49081142964</v>
      </c>
      <c r="L682" s="215">
        <v>49081642969</v>
      </c>
      <c r="M682" s="266">
        <v>40049081142962</v>
      </c>
      <c r="N682" s="264">
        <v>0.13500000000000001</v>
      </c>
      <c r="O682" s="265">
        <v>5</v>
      </c>
      <c r="P682" s="265">
        <v>9.9700000000000006</v>
      </c>
      <c r="Q682" s="265">
        <v>0.5</v>
      </c>
    </row>
    <row r="683" spans="1:17" ht="15" customHeight="1">
      <c r="A683" s="147">
        <v>703</v>
      </c>
      <c r="B683" s="51" t="s">
        <v>10</v>
      </c>
      <c r="C683" s="51" t="s">
        <v>4811</v>
      </c>
      <c r="D683" s="51">
        <v>100023084</v>
      </c>
      <c r="E683" s="53" t="s">
        <v>4812</v>
      </c>
      <c r="F683" s="124">
        <v>10</v>
      </c>
      <c r="G683" s="124">
        <v>1500</v>
      </c>
      <c r="H683" s="369">
        <v>52.69</v>
      </c>
      <c r="I683" s="215" t="s">
        <v>76</v>
      </c>
      <c r="J683" s="215" t="s">
        <v>102</v>
      </c>
      <c r="K683" s="266">
        <v>49081143022</v>
      </c>
      <c r="L683" s="265" t="s">
        <v>649</v>
      </c>
      <c r="M683" s="266">
        <v>40049081143020</v>
      </c>
      <c r="N683" s="264">
        <v>0.72899999999999998</v>
      </c>
      <c r="O683" s="265" t="s">
        <v>649</v>
      </c>
      <c r="P683" s="265">
        <v>7.37</v>
      </c>
      <c r="Q683" s="265">
        <v>0.5</v>
      </c>
    </row>
    <row r="684" spans="1:17" ht="15" customHeight="1">
      <c r="A684" s="147">
        <v>704</v>
      </c>
      <c r="B684" s="51" t="s">
        <v>10</v>
      </c>
      <c r="C684" s="51" t="s">
        <v>4813</v>
      </c>
      <c r="D684" s="51">
        <v>100023086</v>
      </c>
      <c r="E684" s="53" t="s">
        <v>4814</v>
      </c>
      <c r="F684" s="124">
        <v>500</v>
      </c>
      <c r="G684" s="124">
        <v>75000</v>
      </c>
      <c r="H684" s="369">
        <v>2.93</v>
      </c>
      <c r="I684" s="215" t="s">
        <v>346</v>
      </c>
      <c r="J684" s="215" t="s">
        <v>102</v>
      </c>
      <c r="K684" s="266">
        <v>49081143114</v>
      </c>
      <c r="L684" s="215">
        <v>49081643119</v>
      </c>
      <c r="M684" s="266">
        <v>40049081143112</v>
      </c>
      <c r="N684" s="264">
        <v>1.7000000000000001E-2</v>
      </c>
      <c r="O684" s="265">
        <v>10</v>
      </c>
      <c r="P684" s="265">
        <v>8.81</v>
      </c>
      <c r="Q684" s="265">
        <v>0.5</v>
      </c>
    </row>
    <row r="685" spans="1:17" ht="15" customHeight="1">
      <c r="A685" s="147">
        <v>705</v>
      </c>
      <c r="B685" s="51" t="s">
        <v>10</v>
      </c>
      <c r="C685" s="51" t="s">
        <v>4815</v>
      </c>
      <c r="D685" s="51">
        <v>100023088</v>
      </c>
      <c r="E685" s="53" t="s">
        <v>4816</v>
      </c>
      <c r="F685" s="124">
        <v>250</v>
      </c>
      <c r="G685" s="124">
        <v>67500</v>
      </c>
      <c r="H685" s="369">
        <v>4.32</v>
      </c>
      <c r="I685" s="215" t="s">
        <v>76</v>
      </c>
      <c r="J685" s="215" t="s">
        <v>102</v>
      </c>
      <c r="K685" s="266">
        <v>49081143145</v>
      </c>
      <c r="L685" s="215">
        <v>49081643140</v>
      </c>
      <c r="M685" s="266">
        <v>40049081143143</v>
      </c>
      <c r="N685" s="264">
        <v>2.1999999999999999E-2</v>
      </c>
      <c r="O685" s="265">
        <v>10</v>
      </c>
      <c r="P685" s="265">
        <v>6.41</v>
      </c>
      <c r="Q685" s="265">
        <v>0.31</v>
      </c>
    </row>
    <row r="686" spans="1:17" ht="15" customHeight="1">
      <c r="A686" s="147">
        <v>706</v>
      </c>
      <c r="B686" s="51" t="s">
        <v>10</v>
      </c>
      <c r="C686" s="51" t="s">
        <v>4817</v>
      </c>
      <c r="D686" s="51">
        <v>100023090</v>
      </c>
      <c r="E686" s="53" t="s">
        <v>4818</v>
      </c>
      <c r="F686" s="124">
        <v>500</v>
      </c>
      <c r="G686" s="124">
        <v>45000</v>
      </c>
      <c r="H686" s="369">
        <v>4.62</v>
      </c>
      <c r="I686" s="215" t="s">
        <v>76</v>
      </c>
      <c r="J686" s="215" t="s">
        <v>102</v>
      </c>
      <c r="K686" s="266">
        <v>49081143169</v>
      </c>
      <c r="L686" s="215">
        <v>49081643164</v>
      </c>
      <c r="M686" s="266">
        <v>40049081143167</v>
      </c>
      <c r="N686" s="264">
        <v>2.7E-2</v>
      </c>
      <c r="O686" s="265">
        <v>10</v>
      </c>
      <c r="P686" s="265">
        <v>15.34</v>
      </c>
      <c r="Q686" s="265">
        <v>0.8</v>
      </c>
    </row>
    <row r="687" spans="1:17" ht="15" customHeight="1">
      <c r="A687" s="147">
        <v>707</v>
      </c>
      <c r="B687" s="51" t="s">
        <v>10</v>
      </c>
      <c r="C687" s="51" t="s">
        <v>4819</v>
      </c>
      <c r="D687" s="51">
        <v>100023092</v>
      </c>
      <c r="E687" s="53" t="s">
        <v>4820</v>
      </c>
      <c r="F687" s="124">
        <v>250</v>
      </c>
      <c r="G687" s="124">
        <v>30000</v>
      </c>
      <c r="H687" s="369">
        <v>7.54</v>
      </c>
      <c r="I687" s="215" t="s">
        <v>76</v>
      </c>
      <c r="J687" s="215" t="s">
        <v>102</v>
      </c>
      <c r="K687" s="266">
        <v>49081143183</v>
      </c>
      <c r="L687" s="215">
        <v>49081643188</v>
      </c>
      <c r="M687" s="266">
        <v>40049081143181</v>
      </c>
      <c r="N687" s="264">
        <v>0.05</v>
      </c>
      <c r="O687" s="265">
        <v>10</v>
      </c>
      <c r="P687" s="265">
        <v>13.25</v>
      </c>
      <c r="Q687" s="265">
        <v>0.65</v>
      </c>
    </row>
    <row r="688" spans="1:17" ht="15" customHeight="1">
      <c r="A688" s="147">
        <v>708</v>
      </c>
      <c r="B688" s="51" t="s">
        <v>10</v>
      </c>
      <c r="C688" s="51" t="s">
        <v>4821</v>
      </c>
      <c r="D688" s="51">
        <v>100023094</v>
      </c>
      <c r="E688" s="53" t="s">
        <v>4822</v>
      </c>
      <c r="F688" s="124">
        <v>125</v>
      </c>
      <c r="G688" s="124">
        <v>18750</v>
      </c>
      <c r="H688" s="369">
        <v>7.94</v>
      </c>
      <c r="I688" s="215" t="s">
        <v>76</v>
      </c>
      <c r="J688" s="215" t="s">
        <v>102</v>
      </c>
      <c r="K688" s="266">
        <v>49081143206</v>
      </c>
      <c r="L688" s="215">
        <v>49081643201</v>
      </c>
      <c r="M688" s="266">
        <v>40049081143204</v>
      </c>
      <c r="N688" s="264">
        <v>7.4999999999999997E-2</v>
      </c>
      <c r="O688" s="265">
        <v>5</v>
      </c>
      <c r="P688" s="265">
        <v>10.5</v>
      </c>
      <c r="Q688" s="265">
        <v>0.5</v>
      </c>
    </row>
    <row r="689" spans="1:17" ht="15" customHeight="1">
      <c r="A689" s="147">
        <v>709</v>
      </c>
      <c r="B689" s="51" t="s">
        <v>10</v>
      </c>
      <c r="C689" s="51" t="s">
        <v>4823</v>
      </c>
      <c r="D689" s="51">
        <v>100027431</v>
      </c>
      <c r="E689" s="53" t="s">
        <v>4824</v>
      </c>
      <c r="F689" s="124">
        <v>125</v>
      </c>
      <c r="G689" s="124">
        <v>11250</v>
      </c>
      <c r="H689" s="369">
        <v>8.5</v>
      </c>
      <c r="I689" s="215" t="s">
        <v>76</v>
      </c>
      <c r="J689" s="215" t="s">
        <v>102</v>
      </c>
      <c r="K689" s="265" t="s">
        <v>649</v>
      </c>
      <c r="L689" s="215">
        <v>49081643225</v>
      </c>
      <c r="M689" s="266">
        <v>40049081143228</v>
      </c>
      <c r="N689" s="264">
        <v>0.126</v>
      </c>
      <c r="O689" s="265">
        <v>5</v>
      </c>
      <c r="P689" s="265">
        <v>17.149999999999999</v>
      </c>
      <c r="Q689" s="265">
        <v>0.8</v>
      </c>
    </row>
    <row r="690" spans="1:17" ht="15" customHeight="1">
      <c r="A690" s="147">
        <v>710</v>
      </c>
      <c r="B690" s="51" t="s">
        <v>10</v>
      </c>
      <c r="C690" s="51" t="s">
        <v>4825</v>
      </c>
      <c r="D690" s="51">
        <v>100023096</v>
      </c>
      <c r="E690" s="53" t="s">
        <v>4826</v>
      </c>
      <c r="F690" s="124">
        <v>50</v>
      </c>
      <c r="G690" s="124">
        <v>7500</v>
      </c>
      <c r="H690" s="369">
        <v>10.98</v>
      </c>
      <c r="I690" s="215" t="s">
        <v>76</v>
      </c>
      <c r="J690" s="215" t="s">
        <v>102</v>
      </c>
      <c r="K690" s="266">
        <v>49081143244</v>
      </c>
      <c r="L690" s="215">
        <v>49081643249</v>
      </c>
      <c r="M690" s="266">
        <v>40049081143242</v>
      </c>
      <c r="N690" s="264">
        <v>0.152</v>
      </c>
      <c r="O690" s="265">
        <v>5</v>
      </c>
      <c r="P690" s="265">
        <v>8.58</v>
      </c>
      <c r="Q690" s="265">
        <v>0.5</v>
      </c>
    </row>
    <row r="691" spans="1:17" ht="15" customHeight="1">
      <c r="A691" s="147">
        <v>711</v>
      </c>
      <c r="B691" s="51" t="s">
        <v>10</v>
      </c>
      <c r="C691" s="51" t="s">
        <v>4827</v>
      </c>
      <c r="D691" s="51">
        <v>100023100</v>
      </c>
      <c r="E691" s="53" t="s">
        <v>4828</v>
      </c>
      <c r="F691" s="124">
        <v>25</v>
      </c>
      <c r="G691" s="124">
        <v>3000</v>
      </c>
      <c r="H691" s="369">
        <v>23.1</v>
      </c>
      <c r="I691" s="215" t="s">
        <v>76</v>
      </c>
      <c r="J691" s="215" t="s">
        <v>102</v>
      </c>
      <c r="K691" s="266">
        <v>49081143282</v>
      </c>
      <c r="L691" s="215">
        <v>49081643287</v>
      </c>
      <c r="M691" s="266">
        <v>40049081143280</v>
      </c>
      <c r="N691" s="264">
        <v>0.432</v>
      </c>
      <c r="O691" s="265">
        <v>5</v>
      </c>
      <c r="P691" s="265">
        <v>11.58</v>
      </c>
      <c r="Q691" s="265">
        <v>0.65</v>
      </c>
    </row>
    <row r="692" spans="1:17" ht="15" customHeight="1">
      <c r="A692" s="147">
        <v>712</v>
      </c>
      <c r="B692" s="51" t="s">
        <v>10</v>
      </c>
      <c r="C692" s="51" t="s">
        <v>4829</v>
      </c>
      <c r="D692" s="51">
        <v>100023104</v>
      </c>
      <c r="E692" s="53" t="s">
        <v>4830</v>
      </c>
      <c r="F692" s="124">
        <v>50</v>
      </c>
      <c r="G692" s="124">
        <v>13500</v>
      </c>
      <c r="H692" s="369">
        <v>19.54</v>
      </c>
      <c r="I692" s="215" t="s">
        <v>76</v>
      </c>
      <c r="J692" s="215" t="s">
        <v>102</v>
      </c>
      <c r="K692" s="266">
        <v>49081149642</v>
      </c>
      <c r="L692" s="265" t="s">
        <v>649</v>
      </c>
      <c r="M692" s="266">
        <v>40049081149640</v>
      </c>
      <c r="N692" s="264">
        <v>0.14599999999999999</v>
      </c>
      <c r="O692" s="265" t="s">
        <v>649</v>
      </c>
      <c r="P692" s="265">
        <v>3.76</v>
      </c>
      <c r="Q692" s="265">
        <v>0.31</v>
      </c>
    </row>
    <row r="693" spans="1:17" ht="15" customHeight="1">
      <c r="A693" s="147">
        <v>713</v>
      </c>
      <c r="B693" s="51" t="s">
        <v>10</v>
      </c>
      <c r="C693" s="51" t="s">
        <v>4831</v>
      </c>
      <c r="D693" s="51">
        <v>100023106</v>
      </c>
      <c r="E693" s="53" t="s">
        <v>4832</v>
      </c>
      <c r="F693" s="124">
        <v>50</v>
      </c>
      <c r="G693" s="124">
        <v>7500</v>
      </c>
      <c r="H693" s="369">
        <v>22.18</v>
      </c>
      <c r="I693" s="215" t="s">
        <v>76</v>
      </c>
      <c r="J693" s="215" t="s">
        <v>102</v>
      </c>
      <c r="K693" s="266">
        <v>49081149666</v>
      </c>
      <c r="L693" s="265" t="s">
        <v>649</v>
      </c>
      <c r="M693" s="266">
        <v>40049081149664</v>
      </c>
      <c r="N693" s="264">
        <v>0.27700000000000002</v>
      </c>
      <c r="O693" s="265" t="s">
        <v>649</v>
      </c>
      <c r="P693" s="265">
        <v>4.97</v>
      </c>
      <c r="Q693" s="265">
        <v>0.5</v>
      </c>
    </row>
    <row r="694" spans="1:17" ht="15" customHeight="1">
      <c r="A694" s="147">
        <v>714</v>
      </c>
      <c r="B694" s="51" t="s">
        <v>10</v>
      </c>
      <c r="C694" s="51" t="s">
        <v>4833</v>
      </c>
      <c r="D694" s="51">
        <v>100023108</v>
      </c>
      <c r="E694" s="53" t="s">
        <v>4834</v>
      </c>
      <c r="F694" s="124">
        <v>18</v>
      </c>
      <c r="G694" s="124">
        <v>2700</v>
      </c>
      <c r="H694" s="369">
        <v>22.83</v>
      </c>
      <c r="I694" s="215" t="s">
        <v>76</v>
      </c>
      <c r="J694" s="215" t="s">
        <v>102</v>
      </c>
      <c r="K694" s="266">
        <v>49081149680</v>
      </c>
      <c r="L694" s="265" t="s">
        <v>649</v>
      </c>
      <c r="M694" s="266">
        <v>40049081149688</v>
      </c>
      <c r="N694" s="264">
        <v>0.29699999999999999</v>
      </c>
      <c r="O694" s="265" t="s">
        <v>649</v>
      </c>
      <c r="P694" s="265">
        <v>3.5</v>
      </c>
      <c r="Q694" s="265">
        <v>0.5</v>
      </c>
    </row>
    <row r="695" spans="1:17" ht="15" customHeight="1">
      <c r="A695" s="147">
        <v>715</v>
      </c>
      <c r="B695" s="51" t="s">
        <v>10</v>
      </c>
      <c r="C695" s="51" t="s">
        <v>4835</v>
      </c>
      <c r="D695" s="51">
        <v>100023110</v>
      </c>
      <c r="E695" s="53" t="s">
        <v>4836</v>
      </c>
      <c r="F695" s="124">
        <v>10</v>
      </c>
      <c r="G695" s="124">
        <v>2700</v>
      </c>
      <c r="H695" s="369">
        <v>73.53</v>
      </c>
      <c r="I695" s="215" t="s">
        <v>76</v>
      </c>
      <c r="J695" s="215" t="s">
        <v>102</v>
      </c>
      <c r="K695" s="266">
        <v>49081149703</v>
      </c>
      <c r="L695" s="265" t="s">
        <v>649</v>
      </c>
      <c r="M695" s="266">
        <v>40049081149701</v>
      </c>
      <c r="N695" s="264">
        <v>0.51700000000000002</v>
      </c>
      <c r="O695" s="265" t="s">
        <v>649</v>
      </c>
      <c r="P695" s="265">
        <v>2.87</v>
      </c>
      <c r="Q695" s="265">
        <v>0.31</v>
      </c>
    </row>
    <row r="696" spans="1:17" ht="15" customHeight="1">
      <c r="A696" s="147">
        <v>716</v>
      </c>
      <c r="B696" s="51" t="s">
        <v>10</v>
      </c>
      <c r="C696" s="51" t="s">
        <v>4837</v>
      </c>
      <c r="D696" s="51">
        <v>100023112</v>
      </c>
      <c r="E696" s="53" t="s">
        <v>4838</v>
      </c>
      <c r="F696" s="124">
        <v>10</v>
      </c>
      <c r="G696" s="124">
        <v>1500</v>
      </c>
      <c r="H696" s="369">
        <v>76.59</v>
      </c>
      <c r="I696" s="215" t="s">
        <v>76</v>
      </c>
      <c r="J696" s="215" t="s">
        <v>102</v>
      </c>
      <c r="K696" s="266">
        <v>49081149727</v>
      </c>
      <c r="L696" s="265" t="s">
        <v>649</v>
      </c>
      <c r="M696" s="266">
        <v>40049081149725</v>
      </c>
      <c r="N696" s="264">
        <v>0.79400000000000004</v>
      </c>
      <c r="O696" s="265" t="s">
        <v>649</v>
      </c>
      <c r="P696" s="265">
        <v>4.03</v>
      </c>
      <c r="Q696" s="265">
        <v>0.5</v>
      </c>
    </row>
    <row r="697" spans="1:17" ht="15" customHeight="1">
      <c r="A697" s="147">
        <v>717</v>
      </c>
      <c r="B697" s="51" t="s">
        <v>10</v>
      </c>
      <c r="C697" s="51" t="s">
        <v>4839</v>
      </c>
      <c r="D697" s="51">
        <v>100023114</v>
      </c>
      <c r="E697" s="53" t="s">
        <v>4840</v>
      </c>
      <c r="F697" s="124">
        <v>16</v>
      </c>
      <c r="G697" s="124">
        <v>1200</v>
      </c>
      <c r="H697" s="369">
        <v>103.31</v>
      </c>
      <c r="I697" s="215" t="s">
        <v>76</v>
      </c>
      <c r="J697" s="215" t="s">
        <v>102</v>
      </c>
      <c r="K697" s="266">
        <v>49081149741</v>
      </c>
      <c r="L697" s="265" t="s">
        <v>649</v>
      </c>
      <c r="M697" s="266">
        <v>40049081149749</v>
      </c>
      <c r="N697" s="264">
        <v>1.1679999999999999</v>
      </c>
      <c r="O697" s="265" t="s">
        <v>649</v>
      </c>
      <c r="P697" s="265">
        <v>9.25</v>
      </c>
      <c r="Q697" s="265">
        <v>1.1000000000000001</v>
      </c>
    </row>
    <row r="698" spans="1:17" ht="15" customHeight="1">
      <c r="A698" s="147">
        <v>718</v>
      </c>
      <c r="B698" s="51" t="s">
        <v>10</v>
      </c>
      <c r="C698" s="51" t="s">
        <v>4841</v>
      </c>
      <c r="D698" s="51">
        <v>100023115</v>
      </c>
      <c r="E698" s="53" t="s">
        <v>4842</v>
      </c>
      <c r="F698" s="124">
        <v>3</v>
      </c>
      <c r="G698" s="124">
        <v>450</v>
      </c>
      <c r="H698" s="369">
        <v>144.6</v>
      </c>
      <c r="I698" s="215" t="s">
        <v>76</v>
      </c>
      <c r="J698" s="215" t="s">
        <v>102</v>
      </c>
      <c r="K698" s="266">
        <v>49081149758</v>
      </c>
      <c r="L698" s="265" t="s">
        <v>649</v>
      </c>
      <c r="M698" s="266">
        <v>40049081149756</v>
      </c>
      <c r="N698" s="264">
        <v>2.0670000000000002</v>
      </c>
      <c r="O698" s="265" t="s">
        <v>649</v>
      </c>
      <c r="P698" s="265">
        <v>5.72</v>
      </c>
      <c r="Q698" s="265">
        <v>0.5</v>
      </c>
    </row>
    <row r="699" spans="1:17" ht="15" customHeight="1">
      <c r="A699" s="147">
        <v>719</v>
      </c>
      <c r="B699" s="51" t="s">
        <v>10</v>
      </c>
      <c r="C699" s="51" t="s">
        <v>4843</v>
      </c>
      <c r="D699" s="51">
        <v>100023117</v>
      </c>
      <c r="E699" s="53" t="s">
        <v>4844</v>
      </c>
      <c r="F699" s="124">
        <v>3</v>
      </c>
      <c r="G699" s="124">
        <v>450</v>
      </c>
      <c r="H699" s="369">
        <v>230.99</v>
      </c>
      <c r="I699" s="215" t="s">
        <v>76</v>
      </c>
      <c r="J699" s="215" t="s">
        <v>102</v>
      </c>
      <c r="K699" s="266">
        <v>49081149765</v>
      </c>
      <c r="L699" s="265" t="s">
        <v>649</v>
      </c>
      <c r="M699" s="266">
        <v>40049081149763</v>
      </c>
      <c r="N699" s="264">
        <v>3.0169999999999999</v>
      </c>
      <c r="O699" s="265" t="s">
        <v>649</v>
      </c>
      <c r="P699" s="265">
        <v>9.07</v>
      </c>
      <c r="Q699" s="265">
        <v>0.5</v>
      </c>
    </row>
    <row r="700" spans="1:17" ht="15" customHeight="1">
      <c r="A700" s="147">
        <v>720</v>
      </c>
      <c r="B700" s="51" t="s">
        <v>10</v>
      </c>
      <c r="C700" s="51" t="s">
        <v>4845</v>
      </c>
      <c r="D700" s="51">
        <v>100027432</v>
      </c>
      <c r="E700" s="53" t="s">
        <v>4846</v>
      </c>
      <c r="F700" s="124">
        <v>2</v>
      </c>
      <c r="G700" s="124">
        <v>180</v>
      </c>
      <c r="H700" s="369">
        <v>319.85000000000002</v>
      </c>
      <c r="I700" s="215" t="s">
        <v>76</v>
      </c>
      <c r="J700" s="215" t="s">
        <v>102</v>
      </c>
      <c r="K700" s="266">
        <v>49081149772</v>
      </c>
      <c r="L700" s="265" t="s">
        <v>649</v>
      </c>
      <c r="M700" s="266">
        <v>40049081149770</v>
      </c>
      <c r="N700" s="264">
        <v>7.26</v>
      </c>
      <c r="O700" s="265" t="s">
        <v>649</v>
      </c>
      <c r="P700" s="265">
        <v>14.7</v>
      </c>
      <c r="Q700" s="265">
        <v>0.8</v>
      </c>
    </row>
    <row r="701" spans="1:17" ht="15" customHeight="1">
      <c r="A701" s="147">
        <v>721</v>
      </c>
      <c r="B701" s="51" t="s">
        <v>10</v>
      </c>
      <c r="C701" s="51" t="s">
        <v>4847</v>
      </c>
      <c r="D701" s="51">
        <v>100023119</v>
      </c>
      <c r="E701" s="53" t="s">
        <v>4848</v>
      </c>
      <c r="F701" s="124">
        <v>50</v>
      </c>
      <c r="G701" s="124">
        <v>13500</v>
      </c>
      <c r="H701" s="369">
        <v>21.8</v>
      </c>
      <c r="I701" s="215" t="s">
        <v>347</v>
      </c>
      <c r="J701" s="215" t="s">
        <v>102</v>
      </c>
      <c r="K701" s="266">
        <v>49081149840</v>
      </c>
      <c r="L701" s="265" t="s">
        <v>649</v>
      </c>
      <c r="M701" s="266">
        <v>40049081149848</v>
      </c>
      <c r="N701" s="264">
        <v>0.126</v>
      </c>
      <c r="O701" s="265" t="s">
        <v>649</v>
      </c>
      <c r="P701" s="265">
        <v>8.75</v>
      </c>
      <c r="Q701" s="265">
        <v>0.31</v>
      </c>
    </row>
    <row r="702" spans="1:17" ht="15" customHeight="1">
      <c r="A702" s="147">
        <v>722</v>
      </c>
      <c r="B702" s="51" t="s">
        <v>10</v>
      </c>
      <c r="C702" s="51" t="s">
        <v>4849</v>
      </c>
      <c r="D702" s="51">
        <v>100023121</v>
      </c>
      <c r="E702" s="53" t="s">
        <v>4850</v>
      </c>
      <c r="F702" s="124">
        <v>50</v>
      </c>
      <c r="G702" s="124">
        <v>7500</v>
      </c>
      <c r="H702" s="369">
        <v>36.450000000000003</v>
      </c>
      <c r="I702" s="215" t="s">
        <v>347</v>
      </c>
      <c r="J702" s="215" t="s">
        <v>102</v>
      </c>
      <c r="K702" s="266">
        <v>49081149864</v>
      </c>
      <c r="L702" s="265" t="s">
        <v>649</v>
      </c>
      <c r="M702" s="266">
        <v>40049081149862</v>
      </c>
      <c r="N702" s="264">
        <v>0.20100000000000001</v>
      </c>
      <c r="O702" s="265" t="s">
        <v>649</v>
      </c>
      <c r="P702" s="265">
        <v>13.5</v>
      </c>
      <c r="Q702" s="265">
        <v>0.5</v>
      </c>
    </row>
    <row r="703" spans="1:17" ht="15" customHeight="1">
      <c r="A703" s="147">
        <v>723</v>
      </c>
      <c r="B703" s="51" t="s">
        <v>10</v>
      </c>
      <c r="C703" s="51" t="s">
        <v>4851</v>
      </c>
      <c r="D703" s="51">
        <v>100023123</v>
      </c>
      <c r="E703" s="53" t="s">
        <v>4852</v>
      </c>
      <c r="F703" s="124">
        <v>18</v>
      </c>
      <c r="G703" s="124">
        <v>2700</v>
      </c>
      <c r="H703" s="369">
        <v>49.8</v>
      </c>
      <c r="I703" s="215" t="s">
        <v>76</v>
      </c>
      <c r="J703" s="215" t="s">
        <v>102</v>
      </c>
      <c r="K703" s="266">
        <v>49081149888</v>
      </c>
      <c r="L703" s="265" t="s">
        <v>649</v>
      </c>
      <c r="M703" s="266">
        <v>40049081149886</v>
      </c>
      <c r="N703" s="264">
        <v>0.317</v>
      </c>
      <c r="O703" s="265" t="s">
        <v>649</v>
      </c>
      <c r="P703" s="265">
        <v>6.5</v>
      </c>
      <c r="Q703" s="265">
        <v>0.5</v>
      </c>
    </row>
    <row r="704" spans="1:17" ht="15" customHeight="1">
      <c r="A704" s="147">
        <v>724</v>
      </c>
      <c r="B704" s="51" t="s">
        <v>10</v>
      </c>
      <c r="C704" s="51" t="s">
        <v>4853</v>
      </c>
      <c r="D704" s="51">
        <v>100023125</v>
      </c>
      <c r="E704" s="53" t="s">
        <v>4854</v>
      </c>
      <c r="F704" s="124">
        <v>10</v>
      </c>
      <c r="G704" s="124">
        <v>2700</v>
      </c>
      <c r="H704" s="369">
        <v>85.48</v>
      </c>
      <c r="I704" s="215" t="s">
        <v>347</v>
      </c>
      <c r="J704" s="215" t="s">
        <v>102</v>
      </c>
      <c r="K704" s="266">
        <v>49081149901</v>
      </c>
      <c r="L704" s="265" t="s">
        <v>649</v>
      </c>
      <c r="M704" s="266">
        <v>40049081149909</v>
      </c>
      <c r="N704" s="264">
        <v>0.75</v>
      </c>
      <c r="O704" s="265" t="s">
        <v>649</v>
      </c>
      <c r="P704" s="265">
        <v>5.21</v>
      </c>
      <c r="Q704" s="265">
        <v>0.31</v>
      </c>
    </row>
    <row r="705" spans="1:17" ht="15" customHeight="1">
      <c r="A705" s="147">
        <v>725</v>
      </c>
      <c r="B705" s="51" t="s">
        <v>10</v>
      </c>
      <c r="C705" s="51" t="s">
        <v>4855</v>
      </c>
      <c r="D705" s="51">
        <v>100023127</v>
      </c>
      <c r="E705" s="53" t="s">
        <v>4856</v>
      </c>
      <c r="F705" s="124">
        <v>10</v>
      </c>
      <c r="G705" s="124">
        <v>1500</v>
      </c>
      <c r="H705" s="369">
        <v>87.4</v>
      </c>
      <c r="I705" s="215" t="s">
        <v>76</v>
      </c>
      <c r="J705" s="215" t="s">
        <v>102</v>
      </c>
      <c r="K705" s="266">
        <v>49081149925</v>
      </c>
      <c r="L705" s="265" t="s">
        <v>649</v>
      </c>
      <c r="M705" s="266">
        <v>40049081149923</v>
      </c>
      <c r="N705" s="264">
        <v>0.91500000000000004</v>
      </c>
      <c r="O705" s="265" t="s">
        <v>649</v>
      </c>
      <c r="P705" s="265">
        <v>4.37</v>
      </c>
      <c r="Q705" s="265">
        <v>0.5</v>
      </c>
    </row>
    <row r="706" spans="1:17" ht="15" customHeight="1">
      <c r="A706" s="147">
        <v>726</v>
      </c>
      <c r="B706" s="51" t="s">
        <v>10</v>
      </c>
      <c r="C706" s="51" t="s">
        <v>4857</v>
      </c>
      <c r="D706" s="51">
        <v>100023129</v>
      </c>
      <c r="E706" s="53" t="s">
        <v>4858</v>
      </c>
      <c r="F706" s="124">
        <v>16</v>
      </c>
      <c r="G706" s="124">
        <v>1200</v>
      </c>
      <c r="H706" s="369">
        <v>107.24</v>
      </c>
      <c r="I706" s="215" t="s">
        <v>76</v>
      </c>
      <c r="J706" s="215" t="s">
        <v>102</v>
      </c>
      <c r="K706" s="266">
        <v>49081149949</v>
      </c>
      <c r="L706" s="265" t="s">
        <v>649</v>
      </c>
      <c r="M706" s="266">
        <v>40049081149947</v>
      </c>
      <c r="N706" s="264">
        <v>1.3720000000000001</v>
      </c>
      <c r="O706" s="265" t="s">
        <v>649</v>
      </c>
      <c r="P706" s="265">
        <v>21.86</v>
      </c>
      <c r="Q706" s="265">
        <v>0.95</v>
      </c>
    </row>
    <row r="707" spans="1:17" ht="15" customHeight="1">
      <c r="A707" s="147">
        <v>727</v>
      </c>
      <c r="B707" s="51" t="s">
        <v>10</v>
      </c>
      <c r="C707" s="51" t="s">
        <v>4859</v>
      </c>
      <c r="D707" s="51">
        <v>100023132</v>
      </c>
      <c r="E707" s="53" t="s">
        <v>4860</v>
      </c>
      <c r="F707" s="124">
        <v>3</v>
      </c>
      <c r="G707" s="124">
        <v>450</v>
      </c>
      <c r="H707" s="369">
        <v>245.2</v>
      </c>
      <c r="I707" s="215" t="s">
        <v>76</v>
      </c>
      <c r="J707" s="215" t="s">
        <v>102</v>
      </c>
      <c r="K707" s="266">
        <v>49081194949</v>
      </c>
      <c r="L707" s="265" t="s">
        <v>649</v>
      </c>
      <c r="M707" s="266">
        <v>40049081194947</v>
      </c>
      <c r="N707" s="264">
        <v>3.1829999999999998</v>
      </c>
      <c r="O707" s="265" t="s">
        <v>649</v>
      </c>
      <c r="P707" s="265">
        <v>9.5299999999999994</v>
      </c>
      <c r="Q707" s="265">
        <v>0.5</v>
      </c>
    </row>
    <row r="708" spans="1:17" ht="15" customHeight="1">
      <c r="B708" s="51" t="s">
        <v>10</v>
      </c>
      <c r="C708" s="51" t="s">
        <v>5913</v>
      </c>
      <c r="D708" s="51">
        <v>100023136</v>
      </c>
      <c r="E708" s="53" t="s">
        <v>5968</v>
      </c>
      <c r="F708" s="124">
        <v>10</v>
      </c>
      <c r="G708" s="124">
        <v>900</v>
      </c>
      <c r="H708" s="369">
        <v>79.39</v>
      </c>
      <c r="I708" s="215" t="s">
        <v>346</v>
      </c>
      <c r="J708" s="215" t="s">
        <v>77</v>
      </c>
      <c r="K708" s="266">
        <v>49081140199</v>
      </c>
      <c r="L708" s="265" t="s">
        <v>649</v>
      </c>
      <c r="M708" s="266">
        <v>40049081140197</v>
      </c>
      <c r="N708" s="264">
        <v>0.78600000000000003</v>
      </c>
      <c r="O708" s="265" t="s">
        <v>649</v>
      </c>
      <c r="P708" s="265">
        <v>7.86</v>
      </c>
      <c r="Q708" s="265">
        <v>0.43</v>
      </c>
    </row>
    <row r="709" spans="1:17" ht="15" customHeight="1">
      <c r="A709" s="147">
        <v>728</v>
      </c>
      <c r="B709" s="51" t="s">
        <v>10</v>
      </c>
      <c r="C709" s="51" t="s">
        <v>4861</v>
      </c>
      <c r="D709" s="51">
        <v>100023137</v>
      </c>
      <c r="E709" s="53" t="s">
        <v>4862</v>
      </c>
      <c r="F709" s="124">
        <v>10</v>
      </c>
      <c r="G709" s="124">
        <v>1500</v>
      </c>
      <c r="H709" s="369">
        <v>82.33</v>
      </c>
      <c r="I709" s="215" t="s">
        <v>76</v>
      </c>
      <c r="J709" s="215" t="s">
        <v>102</v>
      </c>
      <c r="K709" s="266">
        <v>49081140205</v>
      </c>
      <c r="L709" s="265" t="s">
        <v>649</v>
      </c>
      <c r="M709" s="266">
        <v>40049081140203</v>
      </c>
      <c r="N709" s="264">
        <v>0.79200000000000004</v>
      </c>
      <c r="O709" s="265" t="s">
        <v>649</v>
      </c>
      <c r="P709" s="265">
        <v>6.43</v>
      </c>
      <c r="Q709" s="265">
        <v>0.5</v>
      </c>
    </row>
    <row r="710" spans="1:17" ht="15" customHeight="1">
      <c r="A710" s="147">
        <v>729</v>
      </c>
      <c r="B710" s="51" t="s">
        <v>10</v>
      </c>
      <c r="C710" s="51" t="s">
        <v>4863</v>
      </c>
      <c r="D710" s="51">
        <v>100023138</v>
      </c>
      <c r="E710" s="53" t="s">
        <v>4864</v>
      </c>
      <c r="F710" s="124">
        <v>16</v>
      </c>
      <c r="G710" s="124">
        <v>1200</v>
      </c>
      <c r="H710" s="369">
        <v>105.59</v>
      </c>
      <c r="I710" s="215" t="s">
        <v>76</v>
      </c>
      <c r="J710" s="215" t="s">
        <v>102</v>
      </c>
      <c r="K710" s="266">
        <v>49081140212</v>
      </c>
      <c r="L710" s="265" t="s">
        <v>649</v>
      </c>
      <c r="M710" s="266">
        <v>40049081140210</v>
      </c>
      <c r="N710" s="264">
        <v>1.3460000000000001</v>
      </c>
      <c r="O710" s="265" t="s">
        <v>649</v>
      </c>
      <c r="P710" s="265">
        <v>13.99</v>
      </c>
      <c r="Q710" s="265">
        <v>0.95</v>
      </c>
    </row>
    <row r="711" spans="1:17" ht="15" customHeight="1">
      <c r="A711" s="147">
        <v>730</v>
      </c>
      <c r="B711" s="51" t="s">
        <v>10</v>
      </c>
      <c r="C711" s="51" t="s">
        <v>4865</v>
      </c>
      <c r="D711" s="51">
        <v>100023144</v>
      </c>
      <c r="E711" s="53" t="s">
        <v>4866</v>
      </c>
      <c r="F711" s="124">
        <v>100</v>
      </c>
      <c r="G711" s="124">
        <v>9000</v>
      </c>
      <c r="H711" s="369">
        <v>3.93</v>
      </c>
      <c r="I711" s="215" t="s">
        <v>346</v>
      </c>
      <c r="J711" s="215" t="s">
        <v>102</v>
      </c>
      <c r="K711" s="266">
        <v>49081143367</v>
      </c>
      <c r="L711" s="215">
        <v>49081643362</v>
      </c>
      <c r="M711" s="266">
        <v>40049081143365</v>
      </c>
      <c r="N711" s="264">
        <v>9.0999999999999998E-2</v>
      </c>
      <c r="O711" s="265">
        <v>10</v>
      </c>
      <c r="P711" s="265">
        <v>10.199999999999999</v>
      </c>
      <c r="Q711" s="265">
        <v>0.8</v>
      </c>
    </row>
    <row r="712" spans="1:17" ht="15" customHeight="1">
      <c r="A712" s="147">
        <v>731</v>
      </c>
      <c r="B712" s="51" t="s">
        <v>10</v>
      </c>
      <c r="C712" s="51" t="s">
        <v>4867</v>
      </c>
      <c r="D712" s="51">
        <v>100023146</v>
      </c>
      <c r="E712" s="53" t="s">
        <v>4868</v>
      </c>
      <c r="F712" s="124">
        <v>45</v>
      </c>
      <c r="G712" s="124">
        <v>5400</v>
      </c>
      <c r="H712" s="369">
        <v>7.57</v>
      </c>
      <c r="I712" s="215" t="s">
        <v>346</v>
      </c>
      <c r="J712" s="215" t="s">
        <v>102</v>
      </c>
      <c r="K712" s="266">
        <v>49081143374</v>
      </c>
      <c r="L712" s="265" t="s">
        <v>649</v>
      </c>
      <c r="M712" s="266">
        <v>40049081143372</v>
      </c>
      <c r="N712" s="264">
        <v>0.15</v>
      </c>
      <c r="O712" s="265" t="s">
        <v>649</v>
      </c>
      <c r="P712" s="265">
        <v>7.62</v>
      </c>
      <c r="Q712" s="265">
        <v>0.65</v>
      </c>
    </row>
    <row r="713" spans="1:17" ht="15" customHeight="1">
      <c r="B713" s="51" t="s">
        <v>10</v>
      </c>
      <c r="C713" s="51" t="s">
        <v>5914</v>
      </c>
      <c r="D713" s="51">
        <v>100023148</v>
      </c>
      <c r="E713" s="53" t="s">
        <v>5969</v>
      </c>
      <c r="F713" s="124">
        <v>25</v>
      </c>
      <c r="G713" s="124">
        <v>1875</v>
      </c>
      <c r="H713" s="369">
        <v>11.2</v>
      </c>
      <c r="I713" s="215" t="s">
        <v>346</v>
      </c>
      <c r="J713" s="215" t="s">
        <v>102</v>
      </c>
      <c r="K713" s="266">
        <v>49081143381</v>
      </c>
      <c r="L713" s="265" t="s">
        <v>649</v>
      </c>
      <c r="M713" s="266">
        <v>40049081143389</v>
      </c>
      <c r="N713" s="264">
        <v>0.188</v>
      </c>
      <c r="O713" s="265" t="s">
        <v>649</v>
      </c>
      <c r="P713" s="265">
        <v>5.35</v>
      </c>
      <c r="Q713" s="265">
        <v>0.57999999999999996</v>
      </c>
    </row>
    <row r="714" spans="1:17" ht="15" customHeight="1">
      <c r="A714" s="147">
        <v>732</v>
      </c>
      <c r="B714" s="51" t="s">
        <v>10</v>
      </c>
      <c r="C714" s="51" t="s">
        <v>4869</v>
      </c>
      <c r="D714" s="51">
        <v>100023150</v>
      </c>
      <c r="E714" s="53" t="s">
        <v>4870</v>
      </c>
      <c r="F714" s="124">
        <v>25</v>
      </c>
      <c r="G714" s="124">
        <v>3000</v>
      </c>
      <c r="H714" s="369">
        <v>14.25</v>
      </c>
      <c r="I714" s="215" t="s">
        <v>76</v>
      </c>
      <c r="J714" s="215" t="s">
        <v>102</v>
      </c>
      <c r="K714" s="266">
        <v>49081143398</v>
      </c>
      <c r="L714" s="265" t="s">
        <v>649</v>
      </c>
      <c r="M714" s="266">
        <v>40049081143396</v>
      </c>
      <c r="N714" s="264">
        <v>0.28399999999999997</v>
      </c>
      <c r="O714" s="265" t="s">
        <v>649</v>
      </c>
      <c r="P714" s="265">
        <v>7.24</v>
      </c>
      <c r="Q714" s="265">
        <v>0.65</v>
      </c>
    </row>
    <row r="715" spans="1:17" ht="15" customHeight="1">
      <c r="A715" s="147">
        <v>733</v>
      </c>
      <c r="B715" s="51" t="s">
        <v>10</v>
      </c>
      <c r="C715" s="51" t="s">
        <v>4871</v>
      </c>
      <c r="D715" s="51">
        <v>100023155</v>
      </c>
      <c r="E715" s="53" t="s">
        <v>4872</v>
      </c>
      <c r="F715" s="124">
        <v>5</v>
      </c>
      <c r="G715" s="124">
        <v>600</v>
      </c>
      <c r="H715" s="369">
        <v>110.69</v>
      </c>
      <c r="I715" s="215" t="s">
        <v>76</v>
      </c>
      <c r="J715" s="215" t="s">
        <v>102</v>
      </c>
      <c r="K715" s="266">
        <v>49081143497</v>
      </c>
      <c r="L715" s="265" t="s">
        <v>649</v>
      </c>
      <c r="M715" s="266">
        <v>40049081143495</v>
      </c>
      <c r="N715" s="264">
        <v>1.169</v>
      </c>
      <c r="O715" s="265" t="s">
        <v>649</v>
      </c>
      <c r="P715" s="265">
        <v>6.77</v>
      </c>
      <c r="Q715" s="265">
        <v>0.65</v>
      </c>
    </row>
    <row r="716" spans="1:17" ht="15" customHeight="1">
      <c r="A716" s="147">
        <v>734</v>
      </c>
      <c r="B716" s="51" t="s">
        <v>10</v>
      </c>
      <c r="C716" s="51" t="s">
        <v>4873</v>
      </c>
      <c r="D716" s="51">
        <v>100023157</v>
      </c>
      <c r="E716" s="53" t="s">
        <v>4874</v>
      </c>
      <c r="F716" s="124">
        <v>3</v>
      </c>
      <c r="G716" s="124">
        <v>270</v>
      </c>
      <c r="H716" s="369">
        <v>184.38</v>
      </c>
      <c r="I716" s="215" t="s">
        <v>76</v>
      </c>
      <c r="J716" s="215" t="s">
        <v>102</v>
      </c>
      <c r="K716" s="266">
        <v>49081143534</v>
      </c>
      <c r="L716" s="265" t="s">
        <v>649</v>
      </c>
      <c r="M716" s="266">
        <v>40049081143532</v>
      </c>
      <c r="N716" s="264">
        <v>2.0070000000000001</v>
      </c>
      <c r="O716" s="265" t="s">
        <v>649</v>
      </c>
      <c r="P716" s="265">
        <v>6.18</v>
      </c>
      <c r="Q716" s="265">
        <v>0.8</v>
      </c>
    </row>
    <row r="717" spans="1:17" ht="15" customHeight="1">
      <c r="A717" s="147">
        <v>735</v>
      </c>
      <c r="B717" s="51" t="s">
        <v>10</v>
      </c>
      <c r="C717" s="51" t="s">
        <v>4875</v>
      </c>
      <c r="D717" s="51">
        <v>100023159</v>
      </c>
      <c r="E717" s="53" t="s">
        <v>4876</v>
      </c>
      <c r="F717" s="124">
        <v>70</v>
      </c>
      <c r="G717" s="124">
        <v>8400</v>
      </c>
      <c r="H717" s="369">
        <v>7.57</v>
      </c>
      <c r="I717" s="215" t="s">
        <v>76</v>
      </c>
      <c r="J717" s="215" t="s">
        <v>102</v>
      </c>
      <c r="K717" s="266">
        <v>49081143459</v>
      </c>
      <c r="L717" s="265" t="s">
        <v>649</v>
      </c>
      <c r="M717" s="266">
        <v>40049081143457</v>
      </c>
      <c r="N717" s="264">
        <v>9.7000000000000003E-2</v>
      </c>
      <c r="O717" s="265" t="s">
        <v>649</v>
      </c>
      <c r="P717" s="265">
        <v>7.66</v>
      </c>
      <c r="Q717" s="265">
        <v>0.65</v>
      </c>
    </row>
    <row r="718" spans="1:17" ht="15" customHeight="1">
      <c r="A718" s="147">
        <v>736</v>
      </c>
      <c r="B718" s="51" t="s">
        <v>10</v>
      </c>
      <c r="C718" s="51" t="s">
        <v>4877</v>
      </c>
      <c r="D718" s="51">
        <v>100023165</v>
      </c>
      <c r="E718" s="53" t="s">
        <v>4878</v>
      </c>
      <c r="F718" s="124">
        <v>125</v>
      </c>
      <c r="G718" s="124">
        <v>15000</v>
      </c>
      <c r="H718" s="369">
        <v>6.11</v>
      </c>
      <c r="I718" s="215" t="s">
        <v>346</v>
      </c>
      <c r="J718" s="215" t="s">
        <v>102</v>
      </c>
      <c r="K718" s="266">
        <v>49081143817</v>
      </c>
      <c r="L718" s="265" t="s">
        <v>649</v>
      </c>
      <c r="M718" s="266">
        <v>40049081143815</v>
      </c>
      <c r="N718" s="264">
        <v>6.7000000000000004E-2</v>
      </c>
      <c r="O718" s="265" t="s">
        <v>649</v>
      </c>
      <c r="P718" s="265">
        <v>9.32</v>
      </c>
      <c r="Q718" s="265">
        <v>0.65</v>
      </c>
    </row>
    <row r="719" spans="1:17" ht="15" customHeight="1">
      <c r="A719" s="147">
        <v>737</v>
      </c>
      <c r="B719" s="51" t="s">
        <v>10</v>
      </c>
      <c r="C719" s="51" t="s">
        <v>4879</v>
      </c>
      <c r="D719" s="51">
        <v>100023167</v>
      </c>
      <c r="E719" s="53" t="s">
        <v>4880</v>
      </c>
      <c r="F719" s="124">
        <v>70</v>
      </c>
      <c r="G719" s="124">
        <v>8400</v>
      </c>
      <c r="H719" s="369">
        <v>11</v>
      </c>
      <c r="I719" s="215" t="s">
        <v>76</v>
      </c>
      <c r="J719" s="215" t="s">
        <v>102</v>
      </c>
      <c r="K719" s="266">
        <v>49081143824</v>
      </c>
      <c r="L719" s="265" t="s">
        <v>649</v>
      </c>
      <c r="M719" s="266">
        <v>40049081143822</v>
      </c>
      <c r="N719" s="264">
        <v>0.10299999999999999</v>
      </c>
      <c r="O719" s="265" t="s">
        <v>649</v>
      </c>
      <c r="P719" s="265">
        <v>7.92</v>
      </c>
      <c r="Q719" s="265">
        <v>0.65</v>
      </c>
    </row>
    <row r="720" spans="1:17" ht="15" customHeight="1">
      <c r="A720" s="147">
        <v>738</v>
      </c>
      <c r="B720" s="51" t="s">
        <v>10</v>
      </c>
      <c r="C720" s="51" t="s">
        <v>4881</v>
      </c>
      <c r="D720" s="51">
        <v>100023170</v>
      </c>
      <c r="E720" s="53" t="s">
        <v>4882</v>
      </c>
      <c r="F720" s="124">
        <v>50</v>
      </c>
      <c r="G720" s="124">
        <v>6000</v>
      </c>
      <c r="H720" s="369">
        <v>8.5</v>
      </c>
      <c r="I720" s="215" t="s">
        <v>346</v>
      </c>
      <c r="J720" s="215" t="s">
        <v>102</v>
      </c>
      <c r="K720" s="266">
        <v>49081130961</v>
      </c>
      <c r="L720" s="215">
        <v>49081630966</v>
      </c>
      <c r="M720" s="266">
        <v>40049081130969</v>
      </c>
      <c r="N720" s="264">
        <v>0.14899999999999999</v>
      </c>
      <c r="O720" s="265">
        <v>10</v>
      </c>
      <c r="P720" s="265">
        <v>8.44</v>
      </c>
      <c r="Q720" s="265">
        <v>0.65</v>
      </c>
    </row>
    <row r="721" spans="1:17" ht="15" customHeight="1">
      <c r="A721" s="147">
        <v>739</v>
      </c>
      <c r="B721" s="51" t="s">
        <v>10</v>
      </c>
      <c r="C721" s="51" t="s">
        <v>4883</v>
      </c>
      <c r="D721" s="51">
        <v>100023172</v>
      </c>
      <c r="E721" s="53" t="s">
        <v>4884</v>
      </c>
      <c r="F721" s="124">
        <v>25</v>
      </c>
      <c r="G721" s="124">
        <v>3750</v>
      </c>
      <c r="H721" s="369">
        <v>14.13</v>
      </c>
      <c r="I721" s="215" t="s">
        <v>346</v>
      </c>
      <c r="J721" s="215" t="s">
        <v>102</v>
      </c>
      <c r="K721" s="266">
        <v>49081130954</v>
      </c>
      <c r="L721" s="215">
        <v>49081630959</v>
      </c>
      <c r="M721" s="266">
        <v>40049081130952</v>
      </c>
      <c r="N721" s="264">
        <v>0.22600000000000001</v>
      </c>
      <c r="O721" s="265">
        <v>5</v>
      </c>
      <c r="P721" s="265">
        <v>4.9000000000000004</v>
      </c>
      <c r="Q721" s="265">
        <v>0.5</v>
      </c>
    </row>
    <row r="722" spans="1:17" ht="15" customHeight="1">
      <c r="A722" s="147">
        <v>740</v>
      </c>
      <c r="B722" s="51" t="s">
        <v>10</v>
      </c>
      <c r="C722" s="51" t="s">
        <v>4885</v>
      </c>
      <c r="D722" s="51">
        <v>100026390</v>
      </c>
      <c r="E722" s="53" t="s">
        <v>4886</v>
      </c>
      <c r="F722" s="124">
        <v>50</v>
      </c>
      <c r="G722" s="124">
        <v>3750</v>
      </c>
      <c r="H722" s="369">
        <v>16.7</v>
      </c>
      <c r="I722" s="215" t="s">
        <v>76</v>
      </c>
      <c r="J722" s="215" t="s">
        <v>102</v>
      </c>
      <c r="K722" s="266">
        <v>49081145088</v>
      </c>
      <c r="L722" s="215">
        <v>49081645083</v>
      </c>
      <c r="M722" s="266">
        <v>40049081145086</v>
      </c>
      <c r="N722" s="264">
        <v>0.23</v>
      </c>
      <c r="O722" s="265">
        <v>10</v>
      </c>
      <c r="P722" s="265">
        <v>12.73</v>
      </c>
      <c r="Q722" s="265">
        <v>0.95</v>
      </c>
    </row>
    <row r="723" spans="1:17" ht="15" customHeight="1">
      <c r="A723" s="147">
        <v>741</v>
      </c>
      <c r="B723" s="51" t="s">
        <v>10</v>
      </c>
      <c r="C723" s="51" t="s">
        <v>4887</v>
      </c>
      <c r="D723" s="51">
        <v>100026391</v>
      </c>
      <c r="E723" s="53" t="s">
        <v>4888</v>
      </c>
      <c r="F723" s="124">
        <v>50</v>
      </c>
      <c r="G723" s="124">
        <v>3750</v>
      </c>
      <c r="H723" s="369">
        <v>16.7</v>
      </c>
      <c r="I723" s="215" t="s">
        <v>76</v>
      </c>
      <c r="J723" s="215" t="s">
        <v>102</v>
      </c>
      <c r="K723" s="266">
        <v>49081145101</v>
      </c>
      <c r="L723" s="215">
        <v>49081645106</v>
      </c>
      <c r="M723" s="266">
        <v>40049081145109</v>
      </c>
      <c r="N723" s="264">
        <v>0.245</v>
      </c>
      <c r="O723" s="265">
        <v>10</v>
      </c>
      <c r="P723" s="265">
        <v>12.26</v>
      </c>
      <c r="Q723" s="265">
        <v>0.95</v>
      </c>
    </row>
    <row r="724" spans="1:17" ht="15" customHeight="1">
      <c r="A724" s="147">
        <v>742</v>
      </c>
      <c r="B724" s="51" t="s">
        <v>10</v>
      </c>
      <c r="C724" s="51" t="s">
        <v>4889</v>
      </c>
      <c r="D724" s="51">
        <v>100026392</v>
      </c>
      <c r="E724" s="53" t="s">
        <v>4890</v>
      </c>
      <c r="F724" s="124">
        <v>50</v>
      </c>
      <c r="G724" s="124">
        <v>3750</v>
      </c>
      <c r="H724" s="369">
        <v>15.5</v>
      </c>
      <c r="I724" s="215" t="s">
        <v>76</v>
      </c>
      <c r="J724" s="215" t="s">
        <v>102</v>
      </c>
      <c r="K724" s="266">
        <v>49081356576</v>
      </c>
      <c r="L724" s="215">
        <v>49081756574</v>
      </c>
      <c r="M724" s="266">
        <v>40049081356574</v>
      </c>
      <c r="N724" s="264">
        <v>0.26100000000000001</v>
      </c>
      <c r="O724" s="265">
        <v>10</v>
      </c>
      <c r="P724" s="265">
        <v>13.66</v>
      </c>
      <c r="Q724" s="265">
        <v>0.95</v>
      </c>
    </row>
    <row r="725" spans="1:17" ht="15" customHeight="1">
      <c r="A725" s="147">
        <v>743</v>
      </c>
      <c r="B725" s="51" t="s">
        <v>10</v>
      </c>
      <c r="C725" s="51" t="s">
        <v>4891</v>
      </c>
      <c r="D725" s="51">
        <v>100023174</v>
      </c>
      <c r="E725" s="53" t="s">
        <v>4892</v>
      </c>
      <c r="F725" s="124">
        <v>8</v>
      </c>
      <c r="G725" s="124">
        <v>960</v>
      </c>
      <c r="H725" s="369">
        <v>88.63</v>
      </c>
      <c r="I725" s="215" t="s">
        <v>76</v>
      </c>
      <c r="J725" s="215" t="s">
        <v>102</v>
      </c>
      <c r="K725" s="266">
        <v>49081350468</v>
      </c>
      <c r="L725" s="265" t="s">
        <v>649</v>
      </c>
      <c r="M725" s="266">
        <v>40049081350466</v>
      </c>
      <c r="N725" s="264">
        <v>1.133</v>
      </c>
      <c r="O725" s="265" t="s">
        <v>649</v>
      </c>
      <c r="P725" s="265">
        <v>9.84</v>
      </c>
      <c r="Q725" s="265">
        <v>0.65</v>
      </c>
    </row>
    <row r="726" spans="1:17" ht="15" customHeight="1">
      <c r="A726" s="147">
        <v>744</v>
      </c>
      <c r="B726" s="51" t="s">
        <v>10</v>
      </c>
      <c r="C726" s="51" t="s">
        <v>4893</v>
      </c>
      <c r="D726" s="51">
        <v>100023176</v>
      </c>
      <c r="E726" s="53" t="s">
        <v>4894</v>
      </c>
      <c r="F726" s="124">
        <v>2</v>
      </c>
      <c r="G726" s="124">
        <v>150</v>
      </c>
      <c r="H726" s="369">
        <v>281.55</v>
      </c>
      <c r="I726" s="215" t="s">
        <v>76</v>
      </c>
      <c r="J726" s="215" t="s">
        <v>102</v>
      </c>
      <c r="K726" s="266">
        <v>49081350499</v>
      </c>
      <c r="L726" s="265" t="s">
        <v>649</v>
      </c>
      <c r="M726" s="266">
        <v>40049081350497</v>
      </c>
      <c r="N726" s="264">
        <v>5.13</v>
      </c>
      <c r="O726" s="265" t="s">
        <v>649</v>
      </c>
      <c r="P726" s="265">
        <v>11.05</v>
      </c>
      <c r="Q726" s="265">
        <v>1.1000000000000001</v>
      </c>
    </row>
    <row r="727" spans="1:17" ht="15" customHeight="1">
      <c r="A727" s="147">
        <v>745</v>
      </c>
      <c r="B727" s="51" t="s">
        <v>10</v>
      </c>
      <c r="C727" s="51" t="s">
        <v>4895</v>
      </c>
      <c r="D727" s="51">
        <v>100023177</v>
      </c>
      <c r="E727" s="53" t="s">
        <v>4896</v>
      </c>
      <c r="F727" s="124">
        <v>1</v>
      </c>
      <c r="G727" s="124">
        <v>60</v>
      </c>
      <c r="H727" s="369">
        <v>595.70000000000005</v>
      </c>
      <c r="I727" s="215" t="s">
        <v>346</v>
      </c>
      <c r="J727" s="215" t="s">
        <v>102</v>
      </c>
      <c r="K727" s="266">
        <v>49081350505</v>
      </c>
      <c r="L727" s="265" t="s">
        <v>649</v>
      </c>
      <c r="M727" s="266">
        <v>40049081350503</v>
      </c>
      <c r="N727" s="264">
        <v>13.134</v>
      </c>
      <c r="O727" s="265" t="s">
        <v>649</v>
      </c>
      <c r="P727" s="265">
        <v>12.9</v>
      </c>
      <c r="Q727" s="265">
        <v>1.25</v>
      </c>
    </row>
    <row r="728" spans="1:17" ht="15" customHeight="1">
      <c r="A728" s="147">
        <v>746</v>
      </c>
      <c r="B728" s="51" t="s">
        <v>10</v>
      </c>
      <c r="C728" s="51" t="s">
        <v>4897</v>
      </c>
      <c r="D728" s="51">
        <v>100023181</v>
      </c>
      <c r="E728" s="53" t="s">
        <v>4898</v>
      </c>
      <c r="F728" s="124">
        <v>250</v>
      </c>
      <c r="G728" s="124">
        <v>30000</v>
      </c>
      <c r="H728" s="369">
        <v>2.37</v>
      </c>
      <c r="I728" s="215" t="s">
        <v>346</v>
      </c>
      <c r="J728" s="215" t="s">
        <v>102</v>
      </c>
      <c r="K728" s="266">
        <v>49081132804</v>
      </c>
      <c r="L728" s="215">
        <v>49081632809</v>
      </c>
      <c r="M728" s="266">
        <v>40049081132802</v>
      </c>
      <c r="N728" s="264">
        <v>4.4999999999999998E-2</v>
      </c>
      <c r="O728" s="265">
        <v>10</v>
      </c>
      <c r="P728" s="265">
        <v>12.91</v>
      </c>
      <c r="Q728" s="265">
        <v>0.65</v>
      </c>
    </row>
    <row r="729" spans="1:17" ht="15" customHeight="1">
      <c r="A729" s="147">
        <v>747</v>
      </c>
      <c r="B729" s="51" t="s">
        <v>10</v>
      </c>
      <c r="C729" s="51" t="s">
        <v>4899</v>
      </c>
      <c r="D729" s="51">
        <v>100023183</v>
      </c>
      <c r="E729" s="53" t="s">
        <v>4900</v>
      </c>
      <c r="F729" s="124">
        <v>100</v>
      </c>
      <c r="G729" s="124">
        <v>15000</v>
      </c>
      <c r="H729" s="369">
        <v>3.74</v>
      </c>
      <c r="I729" s="215" t="s">
        <v>346</v>
      </c>
      <c r="J729" s="215" t="s">
        <v>102</v>
      </c>
      <c r="K729" s="266">
        <v>49081132828</v>
      </c>
      <c r="L729" s="215">
        <v>49081632823</v>
      </c>
      <c r="M729" s="266">
        <v>40049081132826</v>
      </c>
      <c r="N729" s="264">
        <v>7.8E-2</v>
      </c>
      <c r="O729" s="265">
        <v>10</v>
      </c>
      <c r="P729" s="265">
        <v>8.74</v>
      </c>
      <c r="Q729" s="265">
        <v>0.5</v>
      </c>
    </row>
    <row r="730" spans="1:17" ht="15" customHeight="1">
      <c r="B730" s="51" t="s">
        <v>10</v>
      </c>
      <c r="C730" s="51" t="s">
        <v>5915</v>
      </c>
      <c r="D730" s="603">
        <v>100023185</v>
      </c>
      <c r="E730" s="600" t="s">
        <v>5970</v>
      </c>
      <c r="F730" s="600">
        <v>50</v>
      </c>
      <c r="G730" s="601">
        <v>4500</v>
      </c>
      <c r="H730" s="602">
        <v>4.9800000000000004</v>
      </c>
      <c r="I730" s="605" t="s">
        <v>346</v>
      </c>
      <c r="J730" s="215" t="s">
        <v>102</v>
      </c>
      <c r="K730" s="266">
        <v>49081132835</v>
      </c>
      <c r="L730" s="266">
        <v>49081632830</v>
      </c>
      <c r="M730" s="266">
        <v>40049081132833</v>
      </c>
      <c r="N730" s="264">
        <v>0.112</v>
      </c>
      <c r="O730" s="265">
        <v>5</v>
      </c>
      <c r="P730" s="265">
        <v>6.4</v>
      </c>
      <c r="Q730" s="265">
        <v>0.43</v>
      </c>
    </row>
    <row r="731" spans="1:17" ht="15" customHeight="1">
      <c r="A731" s="147">
        <v>748</v>
      </c>
      <c r="B731" s="51" t="s">
        <v>10</v>
      </c>
      <c r="C731" s="51" t="s">
        <v>4901</v>
      </c>
      <c r="D731" s="51">
        <v>100023189</v>
      </c>
      <c r="E731" s="53" t="s">
        <v>4902</v>
      </c>
      <c r="F731" s="124">
        <v>25</v>
      </c>
      <c r="G731" s="124">
        <v>3750</v>
      </c>
      <c r="H731" s="369">
        <v>9.5</v>
      </c>
      <c r="I731" s="215" t="s">
        <v>346</v>
      </c>
      <c r="J731" s="215" t="s">
        <v>102</v>
      </c>
      <c r="K731" s="266">
        <v>49081132866</v>
      </c>
      <c r="L731" s="265" t="s">
        <v>649</v>
      </c>
      <c r="M731" s="266">
        <v>40049081132864</v>
      </c>
      <c r="N731" s="264">
        <v>0.20300000000000001</v>
      </c>
      <c r="O731" s="265" t="s">
        <v>649</v>
      </c>
      <c r="P731" s="265">
        <v>5.04</v>
      </c>
      <c r="Q731" s="265">
        <v>0.5</v>
      </c>
    </row>
    <row r="732" spans="1:17" ht="15" customHeight="1">
      <c r="A732" s="147">
        <v>749</v>
      </c>
      <c r="B732" s="51" t="s">
        <v>10</v>
      </c>
      <c r="C732" s="51" t="s">
        <v>4903</v>
      </c>
      <c r="D732" s="51">
        <v>100023193</v>
      </c>
      <c r="E732" s="53" t="s">
        <v>4904</v>
      </c>
      <c r="F732" s="124">
        <v>6</v>
      </c>
      <c r="G732" s="124">
        <v>540</v>
      </c>
      <c r="H732" s="369">
        <v>53.54</v>
      </c>
      <c r="I732" s="215" t="s">
        <v>346</v>
      </c>
      <c r="J732" s="215" t="s">
        <v>102</v>
      </c>
      <c r="K732" s="266">
        <v>49081132880</v>
      </c>
      <c r="L732" s="265" t="s">
        <v>649</v>
      </c>
      <c r="M732" s="266">
        <v>40049081132888</v>
      </c>
      <c r="N732" s="264">
        <v>0.83399999999999996</v>
      </c>
      <c r="O732" s="265" t="s">
        <v>649</v>
      </c>
      <c r="P732" s="265">
        <v>7.19</v>
      </c>
      <c r="Q732" s="265">
        <v>0.8</v>
      </c>
    </row>
    <row r="733" spans="1:17" ht="15" customHeight="1">
      <c r="A733" s="147">
        <v>750</v>
      </c>
      <c r="B733" s="51" t="s">
        <v>10</v>
      </c>
      <c r="C733" s="51" t="s">
        <v>4905</v>
      </c>
      <c r="D733" s="51">
        <v>100023196</v>
      </c>
      <c r="E733" s="53" t="s">
        <v>4906</v>
      </c>
      <c r="F733" s="124">
        <v>15</v>
      </c>
      <c r="G733" s="124">
        <v>2250</v>
      </c>
      <c r="H733" s="369">
        <v>16.100000000000001</v>
      </c>
      <c r="I733" s="215" t="s">
        <v>76</v>
      </c>
      <c r="J733" s="215" t="s">
        <v>102</v>
      </c>
      <c r="K733" s="266">
        <v>49081138400</v>
      </c>
      <c r="L733" s="265" t="s">
        <v>649</v>
      </c>
      <c r="M733" s="266">
        <v>40049081138408</v>
      </c>
      <c r="N733" s="264">
        <v>0.42799999999999999</v>
      </c>
      <c r="O733" s="265" t="s">
        <v>649</v>
      </c>
      <c r="P733" s="265">
        <v>7.26</v>
      </c>
      <c r="Q733" s="265">
        <v>0.5</v>
      </c>
    </row>
    <row r="734" spans="1:17" ht="15" customHeight="1">
      <c r="A734" s="147">
        <v>751</v>
      </c>
      <c r="B734" s="51" t="s">
        <v>10</v>
      </c>
      <c r="C734" s="51" t="s">
        <v>4907</v>
      </c>
      <c r="D734" s="51">
        <v>100023198</v>
      </c>
      <c r="E734" s="53" t="s">
        <v>4908</v>
      </c>
      <c r="F734" s="124">
        <v>8</v>
      </c>
      <c r="G734" s="124">
        <v>960</v>
      </c>
      <c r="H734" s="369">
        <v>31.17</v>
      </c>
      <c r="I734" s="215" t="s">
        <v>76</v>
      </c>
      <c r="J734" s="215" t="s">
        <v>102</v>
      </c>
      <c r="K734" s="266">
        <v>49081138448</v>
      </c>
      <c r="L734" s="265" t="s">
        <v>649</v>
      </c>
      <c r="M734" s="266">
        <v>40049081138446</v>
      </c>
      <c r="N734" s="264">
        <v>1.22</v>
      </c>
      <c r="O734" s="265" t="s">
        <v>649</v>
      </c>
      <c r="P734" s="265">
        <v>10.74</v>
      </c>
      <c r="Q734" s="265">
        <v>0.65</v>
      </c>
    </row>
    <row r="735" spans="1:17" ht="15" customHeight="1">
      <c r="A735" s="147">
        <v>752</v>
      </c>
      <c r="B735" s="51" t="s">
        <v>10</v>
      </c>
      <c r="C735" s="51" t="s">
        <v>4909</v>
      </c>
      <c r="D735" s="51">
        <v>100023199</v>
      </c>
      <c r="E735" s="53" t="s">
        <v>4910</v>
      </c>
      <c r="F735" s="124">
        <v>6</v>
      </c>
      <c r="G735" s="124">
        <v>540</v>
      </c>
      <c r="H735" s="369">
        <v>62.6</v>
      </c>
      <c r="I735" s="215" t="s">
        <v>76</v>
      </c>
      <c r="J735" s="215" t="s">
        <v>102</v>
      </c>
      <c r="K735" s="266">
        <v>49081138462</v>
      </c>
      <c r="L735" s="265" t="s">
        <v>649</v>
      </c>
      <c r="M735" s="266">
        <v>40049081138460</v>
      </c>
      <c r="N735" s="264">
        <v>1.7130000000000001</v>
      </c>
      <c r="O735" s="265" t="s">
        <v>649</v>
      </c>
      <c r="P735" s="265">
        <v>11.31</v>
      </c>
      <c r="Q735" s="265">
        <v>0.8</v>
      </c>
    </row>
    <row r="736" spans="1:17" ht="15" customHeight="1">
      <c r="A736" s="147">
        <v>753</v>
      </c>
      <c r="B736" s="51" t="s">
        <v>10</v>
      </c>
      <c r="C736" s="51" t="s">
        <v>4911</v>
      </c>
      <c r="D736" s="51">
        <v>300006192</v>
      </c>
      <c r="E736" s="53" t="s">
        <v>4912</v>
      </c>
      <c r="F736" s="124">
        <v>50</v>
      </c>
      <c r="G736" s="124">
        <v>3000</v>
      </c>
      <c r="H736" s="486" t="s">
        <v>5866</v>
      </c>
      <c r="I736" s="215" t="s">
        <v>816</v>
      </c>
      <c r="J736" s="215" t="s">
        <v>77</v>
      </c>
      <c r="K736" s="265" t="s">
        <v>649</v>
      </c>
      <c r="L736" s="265" t="s">
        <v>649</v>
      </c>
      <c r="M736" s="265" t="s">
        <v>649</v>
      </c>
      <c r="N736" s="264">
        <v>0.247</v>
      </c>
      <c r="O736" s="265" t="s">
        <v>649</v>
      </c>
      <c r="P736" s="265" t="s">
        <v>649</v>
      </c>
      <c r="Q736" s="265" t="s">
        <v>649</v>
      </c>
    </row>
    <row r="737" spans="1:17" ht="15" customHeight="1">
      <c r="A737" s="147">
        <v>754</v>
      </c>
      <c r="B737" s="51" t="s">
        <v>10</v>
      </c>
      <c r="C737" s="51" t="s">
        <v>4913</v>
      </c>
      <c r="D737" s="51">
        <v>300005951</v>
      </c>
      <c r="E737" s="53" t="s">
        <v>4914</v>
      </c>
      <c r="F737" s="124">
        <v>50</v>
      </c>
      <c r="G737" s="124">
        <v>3000</v>
      </c>
      <c r="H737" s="486" t="s">
        <v>5866</v>
      </c>
      <c r="I737" s="215" t="s">
        <v>346</v>
      </c>
      <c r="J737" s="215" t="s">
        <v>77</v>
      </c>
      <c r="K737" s="266">
        <v>810116843497</v>
      </c>
      <c r="L737" s="265" t="s">
        <v>649</v>
      </c>
      <c r="M737" s="265" t="s">
        <v>649</v>
      </c>
      <c r="N737" s="264">
        <v>0.247</v>
      </c>
      <c r="O737" s="265" t="s">
        <v>649</v>
      </c>
      <c r="P737" s="265" t="s">
        <v>649</v>
      </c>
      <c r="Q737" s="265" t="s">
        <v>649</v>
      </c>
    </row>
    <row r="738" spans="1:17" ht="15" customHeight="1">
      <c r="A738" s="147">
        <v>755</v>
      </c>
      <c r="B738" s="51" t="s">
        <v>14</v>
      </c>
      <c r="C738" s="51" t="s">
        <v>4915</v>
      </c>
      <c r="D738" s="51">
        <v>100022263</v>
      </c>
      <c r="E738" s="53" t="s">
        <v>4916</v>
      </c>
      <c r="F738" s="124">
        <v>1</v>
      </c>
      <c r="G738" s="124">
        <v>18</v>
      </c>
      <c r="H738" s="369">
        <v>2381</v>
      </c>
      <c r="I738" s="215" t="s">
        <v>76</v>
      </c>
      <c r="J738" s="215" t="s">
        <v>102</v>
      </c>
      <c r="K738" s="266">
        <v>49081147280</v>
      </c>
      <c r="L738" s="265" t="s">
        <v>649</v>
      </c>
      <c r="M738" s="266">
        <v>40049081147288</v>
      </c>
      <c r="N738" s="264">
        <v>21.742000000000001</v>
      </c>
      <c r="O738" s="265" t="s">
        <v>649</v>
      </c>
      <c r="P738" s="265">
        <v>23.15</v>
      </c>
      <c r="Q738" s="265">
        <v>2.65</v>
      </c>
    </row>
    <row r="739" spans="1:17" ht="15" customHeight="1">
      <c r="A739" s="147">
        <v>756</v>
      </c>
      <c r="B739" s="51" t="s">
        <v>14</v>
      </c>
      <c r="C739" s="51" t="s">
        <v>4917</v>
      </c>
      <c r="D739" s="51">
        <v>100022264</v>
      </c>
      <c r="E739" s="53" t="s">
        <v>4918</v>
      </c>
      <c r="F739" s="124">
        <v>1</v>
      </c>
      <c r="G739" s="124">
        <v>18</v>
      </c>
      <c r="H739" s="369">
        <v>3517.96</v>
      </c>
      <c r="I739" s="215" t="s">
        <v>76</v>
      </c>
      <c r="J739" s="215" t="s">
        <v>102</v>
      </c>
      <c r="K739" s="266">
        <v>49081147303</v>
      </c>
      <c r="L739" s="265" t="s">
        <v>649</v>
      </c>
      <c r="M739" s="266">
        <v>40049081147301</v>
      </c>
      <c r="N739" s="264">
        <v>37</v>
      </c>
      <c r="O739" s="265" t="s">
        <v>649</v>
      </c>
      <c r="P739" s="265">
        <v>38.590000000000003</v>
      </c>
      <c r="Q739" s="265">
        <v>4.38</v>
      </c>
    </row>
    <row r="740" spans="1:17" ht="15" customHeight="1">
      <c r="A740" s="147">
        <v>757</v>
      </c>
      <c r="B740" s="51" t="s">
        <v>14</v>
      </c>
      <c r="C740" s="51" t="s">
        <v>4919</v>
      </c>
      <c r="D740" s="51">
        <v>100022266</v>
      </c>
      <c r="E740" s="53" t="s">
        <v>4920</v>
      </c>
      <c r="F740" s="124">
        <v>1</v>
      </c>
      <c r="G740" s="124">
        <v>18</v>
      </c>
      <c r="H740" s="369">
        <v>1912.65</v>
      </c>
      <c r="I740" s="215" t="s">
        <v>76</v>
      </c>
      <c r="J740" s="215" t="s">
        <v>102</v>
      </c>
      <c r="K740" s="266">
        <v>49081141080</v>
      </c>
      <c r="L740" s="265" t="s">
        <v>649</v>
      </c>
      <c r="M740" s="266">
        <v>40049081141088</v>
      </c>
      <c r="N740" s="264">
        <v>16.251999999999999</v>
      </c>
      <c r="O740" s="265" t="s">
        <v>649</v>
      </c>
      <c r="P740" s="265">
        <v>17.86</v>
      </c>
      <c r="Q740" s="265">
        <v>2.65</v>
      </c>
    </row>
    <row r="741" spans="1:17" ht="15" customHeight="1">
      <c r="A741" s="147">
        <v>758</v>
      </c>
      <c r="B741" s="51" t="s">
        <v>14</v>
      </c>
      <c r="C741" s="51" t="s">
        <v>4921</v>
      </c>
      <c r="D741" s="51">
        <v>100022267</v>
      </c>
      <c r="E741" s="53" t="s">
        <v>4922</v>
      </c>
      <c r="F741" s="124">
        <v>1</v>
      </c>
      <c r="G741" s="124">
        <v>18</v>
      </c>
      <c r="H741" s="369">
        <v>2565.25</v>
      </c>
      <c r="I741" s="215" t="s">
        <v>76</v>
      </c>
      <c r="J741" s="215" t="s">
        <v>102</v>
      </c>
      <c r="K741" s="266">
        <v>49081141103</v>
      </c>
      <c r="L741" s="265" t="s">
        <v>649</v>
      </c>
      <c r="M741" s="266">
        <v>40049081141101</v>
      </c>
      <c r="N741" s="264">
        <v>24.844000000000001</v>
      </c>
      <c r="O741" s="265" t="s">
        <v>649</v>
      </c>
      <c r="P741" s="265">
        <v>26.72</v>
      </c>
      <c r="Q741" s="265">
        <v>4.38</v>
      </c>
    </row>
    <row r="742" spans="1:17" ht="15" customHeight="1">
      <c r="A742" s="147">
        <v>759</v>
      </c>
      <c r="B742" s="51" t="s">
        <v>14</v>
      </c>
      <c r="C742" s="51" t="s">
        <v>4923</v>
      </c>
      <c r="D742" s="51">
        <v>100022268</v>
      </c>
      <c r="E742" s="53" t="s">
        <v>4924</v>
      </c>
      <c r="F742" s="124">
        <v>1</v>
      </c>
      <c r="G742" s="124">
        <v>18</v>
      </c>
      <c r="H742" s="369">
        <v>1249.53</v>
      </c>
      <c r="I742" s="215" t="s">
        <v>76</v>
      </c>
      <c r="J742" s="215" t="s">
        <v>102</v>
      </c>
      <c r="K742" s="266">
        <v>49081140465</v>
      </c>
      <c r="L742" s="265" t="s">
        <v>649</v>
      </c>
      <c r="M742" s="266">
        <v>40049081140463</v>
      </c>
      <c r="N742" s="264">
        <v>11.992000000000001</v>
      </c>
      <c r="O742" s="265" t="s">
        <v>649</v>
      </c>
      <c r="P742" s="265">
        <v>13.55</v>
      </c>
      <c r="Q742" s="265">
        <v>2.65</v>
      </c>
    </row>
    <row r="743" spans="1:17" ht="15" customHeight="1">
      <c r="A743" s="147">
        <v>760</v>
      </c>
      <c r="B743" s="51" t="s">
        <v>14</v>
      </c>
      <c r="C743" s="51" t="s">
        <v>4925</v>
      </c>
      <c r="D743" s="51">
        <v>100022247</v>
      </c>
      <c r="E743" s="53" t="s">
        <v>4926</v>
      </c>
      <c r="F743" s="124">
        <v>1</v>
      </c>
      <c r="G743" s="124">
        <v>18</v>
      </c>
      <c r="H743" s="369">
        <v>1851.62</v>
      </c>
      <c r="I743" s="215" t="s">
        <v>76</v>
      </c>
      <c r="J743" s="215" t="s">
        <v>102</v>
      </c>
      <c r="K743" s="266">
        <v>49081140489</v>
      </c>
      <c r="L743" s="265" t="s">
        <v>649</v>
      </c>
      <c r="M743" s="266">
        <v>40049081140487</v>
      </c>
      <c r="N743" s="264">
        <v>20.937000000000001</v>
      </c>
      <c r="O743" s="265" t="s">
        <v>649</v>
      </c>
      <c r="P743" s="265">
        <v>23.25</v>
      </c>
      <c r="Q743" s="265">
        <v>4.38</v>
      </c>
    </row>
    <row r="744" spans="1:17" ht="15" customHeight="1">
      <c r="A744" s="147">
        <v>761</v>
      </c>
      <c r="B744" s="51" t="s">
        <v>14</v>
      </c>
      <c r="C744" s="51" t="s">
        <v>4927</v>
      </c>
      <c r="D744" s="51">
        <v>100022269</v>
      </c>
      <c r="E744" s="53" t="s">
        <v>4928</v>
      </c>
      <c r="F744" s="124">
        <v>1</v>
      </c>
      <c r="G744" s="124">
        <v>18</v>
      </c>
      <c r="H744" s="369">
        <v>489.76</v>
      </c>
      <c r="I744" s="215" t="s">
        <v>76</v>
      </c>
      <c r="J744" s="215" t="s">
        <v>102</v>
      </c>
      <c r="K744" s="266">
        <v>49081137823</v>
      </c>
      <c r="L744" s="265" t="s">
        <v>649</v>
      </c>
      <c r="M744" s="266">
        <v>40049081137821</v>
      </c>
      <c r="N744" s="264">
        <v>11.45</v>
      </c>
      <c r="O744" s="265" t="s">
        <v>649</v>
      </c>
      <c r="P744" s="265">
        <v>12.5</v>
      </c>
      <c r="Q744" s="265">
        <v>2.65</v>
      </c>
    </row>
    <row r="745" spans="1:17" ht="15" customHeight="1">
      <c r="A745" s="147">
        <v>762</v>
      </c>
      <c r="B745" s="51" t="s">
        <v>14</v>
      </c>
      <c r="C745" s="51" t="s">
        <v>4929</v>
      </c>
      <c r="D745" s="51">
        <v>100027381</v>
      </c>
      <c r="E745" s="53" t="s">
        <v>4930</v>
      </c>
      <c r="F745" s="124">
        <v>1</v>
      </c>
      <c r="G745" s="124">
        <v>75</v>
      </c>
      <c r="H745" s="369">
        <v>884.49</v>
      </c>
      <c r="I745" s="215" t="s">
        <v>76</v>
      </c>
      <c r="J745" s="215" t="s">
        <v>102</v>
      </c>
      <c r="K745" s="266">
        <v>49081134044</v>
      </c>
      <c r="L745" s="265" t="s">
        <v>649</v>
      </c>
      <c r="M745" s="266">
        <v>40049081134042</v>
      </c>
      <c r="N745" s="264">
        <v>6.14</v>
      </c>
      <c r="O745" s="265" t="s">
        <v>649</v>
      </c>
      <c r="P745" s="265">
        <v>7.12</v>
      </c>
      <c r="Q745" s="265">
        <v>0.95</v>
      </c>
    </row>
    <row r="746" spans="1:17" ht="15" customHeight="1">
      <c r="A746" s="147">
        <v>763</v>
      </c>
      <c r="B746" s="51" t="s">
        <v>14</v>
      </c>
      <c r="C746" s="51" t="s">
        <v>4931</v>
      </c>
      <c r="D746" s="51">
        <v>100022276</v>
      </c>
      <c r="E746" s="53" t="s">
        <v>4932</v>
      </c>
      <c r="F746" s="124">
        <v>1</v>
      </c>
      <c r="G746" s="124">
        <v>75</v>
      </c>
      <c r="H746" s="369">
        <v>884.49</v>
      </c>
      <c r="I746" s="215" t="s">
        <v>76</v>
      </c>
      <c r="J746" s="215" t="s">
        <v>102</v>
      </c>
      <c r="K746" s="266">
        <v>49081134020</v>
      </c>
      <c r="L746" s="265" t="s">
        <v>649</v>
      </c>
      <c r="M746" s="266">
        <v>40049081134028</v>
      </c>
      <c r="N746" s="264">
        <v>6.1180000000000003</v>
      </c>
      <c r="O746" s="265" t="s">
        <v>649</v>
      </c>
      <c r="P746" s="265">
        <v>6.98</v>
      </c>
      <c r="Q746" s="265">
        <v>0.95</v>
      </c>
    </row>
    <row r="747" spans="1:17" ht="15" customHeight="1">
      <c r="A747" s="147">
        <v>764</v>
      </c>
      <c r="B747" s="51" t="s">
        <v>14</v>
      </c>
      <c r="C747" s="51" t="s">
        <v>4933</v>
      </c>
      <c r="D747" s="51">
        <v>100022278</v>
      </c>
      <c r="E747" s="53" t="s">
        <v>4934</v>
      </c>
      <c r="F747" s="124">
        <v>1</v>
      </c>
      <c r="G747" s="124">
        <v>75</v>
      </c>
      <c r="H747" s="369">
        <v>703.67</v>
      </c>
      <c r="I747" s="215" t="s">
        <v>76</v>
      </c>
      <c r="J747" s="215" t="s">
        <v>102</v>
      </c>
      <c r="K747" s="266">
        <v>49081134105</v>
      </c>
      <c r="L747" s="265" t="s">
        <v>649</v>
      </c>
      <c r="M747" s="266">
        <v>40049081134103</v>
      </c>
      <c r="N747" s="264">
        <v>10.5</v>
      </c>
      <c r="O747" s="265" t="s">
        <v>649</v>
      </c>
      <c r="P747" s="265">
        <v>10.86</v>
      </c>
      <c r="Q747" s="265">
        <v>1.1000000000000001</v>
      </c>
    </row>
    <row r="748" spans="1:17" ht="15" customHeight="1">
      <c r="A748" s="147">
        <v>765</v>
      </c>
      <c r="B748" s="51" t="s">
        <v>14</v>
      </c>
      <c r="C748" s="51" t="s">
        <v>4935</v>
      </c>
      <c r="D748" s="51">
        <v>100022279</v>
      </c>
      <c r="E748" s="53" t="s">
        <v>4936</v>
      </c>
      <c r="F748" s="124">
        <v>1</v>
      </c>
      <c r="G748" s="124">
        <v>75</v>
      </c>
      <c r="H748" s="369">
        <v>983.65</v>
      </c>
      <c r="I748" s="215" t="s">
        <v>76</v>
      </c>
      <c r="J748" s="215" t="s">
        <v>102</v>
      </c>
      <c r="K748" s="266">
        <v>49081134082</v>
      </c>
      <c r="L748" s="265" t="s">
        <v>649</v>
      </c>
      <c r="M748" s="266">
        <v>40049081134080</v>
      </c>
      <c r="N748" s="264">
        <v>11.39</v>
      </c>
      <c r="O748" s="265" t="s">
        <v>649</v>
      </c>
      <c r="P748" s="265">
        <v>11.43</v>
      </c>
      <c r="Q748" s="265">
        <v>1.1000000000000001</v>
      </c>
    </row>
    <row r="749" spans="1:17" ht="15" customHeight="1">
      <c r="A749" s="147">
        <v>766</v>
      </c>
      <c r="B749" s="51" t="s">
        <v>14</v>
      </c>
      <c r="C749" s="51" t="s">
        <v>4937</v>
      </c>
      <c r="D749" s="51">
        <v>100022280</v>
      </c>
      <c r="E749" s="53" t="s">
        <v>4938</v>
      </c>
      <c r="F749" s="124">
        <v>1</v>
      </c>
      <c r="G749" s="124">
        <v>75</v>
      </c>
      <c r="H749" s="369">
        <v>983.65</v>
      </c>
      <c r="I749" s="215" t="s">
        <v>76</v>
      </c>
      <c r="J749" s="215" t="s">
        <v>102</v>
      </c>
      <c r="K749" s="266">
        <v>49081134068</v>
      </c>
      <c r="L749" s="265" t="s">
        <v>649</v>
      </c>
      <c r="M749" s="266">
        <v>40049081134066</v>
      </c>
      <c r="N749" s="264">
        <v>8.1300000000000008</v>
      </c>
      <c r="O749" s="265" t="s">
        <v>649</v>
      </c>
      <c r="P749" s="265">
        <v>9.15</v>
      </c>
      <c r="Q749" s="265">
        <v>1.1000000000000001</v>
      </c>
    </row>
    <row r="750" spans="1:17" ht="15" customHeight="1">
      <c r="A750" s="147">
        <v>767</v>
      </c>
      <c r="B750" s="51" t="s">
        <v>14</v>
      </c>
      <c r="C750" s="51" t="s">
        <v>4939</v>
      </c>
      <c r="D750" s="51">
        <v>100022281</v>
      </c>
      <c r="E750" s="53" t="s">
        <v>4940</v>
      </c>
      <c r="F750" s="124">
        <v>1</v>
      </c>
      <c r="G750" s="124">
        <v>75</v>
      </c>
      <c r="H750" s="369">
        <v>1477.75</v>
      </c>
      <c r="I750" s="215" t="s">
        <v>76</v>
      </c>
      <c r="J750" s="215" t="s">
        <v>102</v>
      </c>
      <c r="K750" s="266">
        <v>49081137021</v>
      </c>
      <c r="L750" s="265" t="s">
        <v>649</v>
      </c>
      <c r="M750" s="266">
        <v>40049081137029</v>
      </c>
      <c r="N750" s="264">
        <v>8.3859999999999992</v>
      </c>
      <c r="O750" s="265" t="s">
        <v>649</v>
      </c>
      <c r="P750" s="265">
        <v>8.73</v>
      </c>
      <c r="Q750" s="265">
        <v>0.95</v>
      </c>
    </row>
    <row r="751" spans="1:17" ht="15" customHeight="1">
      <c r="A751" s="147">
        <v>768</v>
      </c>
      <c r="B751" s="51" t="s">
        <v>14</v>
      </c>
      <c r="C751" s="51" t="s">
        <v>4941</v>
      </c>
      <c r="D751" s="51">
        <v>100022282</v>
      </c>
      <c r="E751" s="53" t="s">
        <v>4942</v>
      </c>
      <c r="F751" s="124">
        <v>2</v>
      </c>
      <c r="G751" s="124">
        <v>48</v>
      </c>
      <c r="H751" s="369">
        <v>1523.01</v>
      </c>
      <c r="I751" s="215" t="s">
        <v>76</v>
      </c>
      <c r="J751" s="215" t="s">
        <v>102</v>
      </c>
      <c r="K751" s="266">
        <v>49081137045</v>
      </c>
      <c r="L751" s="265" t="s">
        <v>649</v>
      </c>
      <c r="M751" s="266">
        <v>40049081137043</v>
      </c>
      <c r="N751" s="264">
        <v>14.21</v>
      </c>
      <c r="O751" s="265" t="s">
        <v>649</v>
      </c>
      <c r="P751" s="265">
        <v>28.84</v>
      </c>
      <c r="Q751" s="265">
        <v>2.77</v>
      </c>
    </row>
    <row r="752" spans="1:17" ht="15" customHeight="1">
      <c r="A752" s="147">
        <v>769</v>
      </c>
      <c r="B752" s="51" t="s">
        <v>17</v>
      </c>
      <c r="C752" s="51" t="s">
        <v>4943</v>
      </c>
      <c r="D752" s="51">
        <v>100022214</v>
      </c>
      <c r="E752" s="53" t="s">
        <v>4944</v>
      </c>
      <c r="F752" s="124">
        <v>25</v>
      </c>
      <c r="G752" s="124">
        <v>0</v>
      </c>
      <c r="H752" s="369">
        <v>9.7899999999999991</v>
      </c>
      <c r="I752" s="215" t="s">
        <v>76</v>
      </c>
      <c r="J752" s="215" t="s">
        <v>102</v>
      </c>
      <c r="K752" s="266">
        <v>49081140847</v>
      </c>
      <c r="L752" s="265" t="s">
        <v>649</v>
      </c>
      <c r="M752" s="266">
        <v>40049081140845</v>
      </c>
      <c r="N752" s="264">
        <v>0.27500000000000002</v>
      </c>
      <c r="O752" s="265" t="s">
        <v>649</v>
      </c>
      <c r="P752" s="265">
        <v>7.34</v>
      </c>
      <c r="Q752" s="265">
        <v>0.65</v>
      </c>
    </row>
    <row r="753" spans="1:17" ht="15" customHeight="1">
      <c r="A753" s="147">
        <v>770</v>
      </c>
      <c r="B753" s="51" t="s">
        <v>17</v>
      </c>
      <c r="C753" s="51" t="s">
        <v>4945</v>
      </c>
      <c r="D753" s="51">
        <v>100022216</v>
      </c>
      <c r="E753" s="53" t="s">
        <v>4946</v>
      </c>
      <c r="F753" s="124">
        <v>25</v>
      </c>
      <c r="G753" s="124">
        <v>0</v>
      </c>
      <c r="H753" s="369">
        <v>12.23</v>
      </c>
      <c r="I753" s="215" t="s">
        <v>76</v>
      </c>
      <c r="J753" s="215" t="s">
        <v>102</v>
      </c>
      <c r="K753" s="266">
        <v>49081142285</v>
      </c>
      <c r="L753" s="265" t="s">
        <v>649</v>
      </c>
      <c r="M753" s="266">
        <v>40049081142283</v>
      </c>
      <c r="N753" s="264">
        <v>0.437</v>
      </c>
      <c r="O753" s="265" t="s">
        <v>649</v>
      </c>
      <c r="P753" s="265">
        <v>12.1</v>
      </c>
      <c r="Q753" s="265">
        <v>0.95</v>
      </c>
    </row>
    <row r="754" spans="1:17" ht="15" customHeight="1">
      <c r="A754" s="147">
        <v>771</v>
      </c>
      <c r="B754" s="51" t="s">
        <v>17</v>
      </c>
      <c r="C754" s="51" t="s">
        <v>4947</v>
      </c>
      <c r="D754" s="51">
        <v>100022218</v>
      </c>
      <c r="E754" s="53" t="s">
        <v>4948</v>
      </c>
      <c r="F754" s="124">
        <v>25</v>
      </c>
      <c r="G754" s="124">
        <v>0</v>
      </c>
      <c r="H754" s="369">
        <v>11.39</v>
      </c>
      <c r="I754" s="215" t="s">
        <v>346</v>
      </c>
      <c r="J754" s="215" t="s">
        <v>102</v>
      </c>
      <c r="K754" s="266">
        <v>49081140939</v>
      </c>
      <c r="L754" s="265" t="s">
        <v>649</v>
      </c>
      <c r="M754" s="266">
        <v>40049081140937</v>
      </c>
      <c r="N754" s="264">
        <v>0.26900000000000002</v>
      </c>
      <c r="O754" s="265" t="s">
        <v>649</v>
      </c>
      <c r="P754" s="265">
        <v>7.44</v>
      </c>
      <c r="Q754" s="265">
        <v>0.65</v>
      </c>
    </row>
    <row r="755" spans="1:17" ht="15" customHeight="1">
      <c r="A755" s="147">
        <v>772</v>
      </c>
      <c r="B755" s="51" t="s">
        <v>17</v>
      </c>
      <c r="C755" s="51" t="s">
        <v>4949</v>
      </c>
      <c r="D755" s="51">
        <v>100022220</v>
      </c>
      <c r="E755" s="53" t="s">
        <v>4950</v>
      </c>
      <c r="F755" s="124">
        <v>25</v>
      </c>
      <c r="G755" s="124">
        <v>0</v>
      </c>
      <c r="H755" s="369">
        <v>14.29</v>
      </c>
      <c r="I755" s="215" t="s">
        <v>76</v>
      </c>
      <c r="J755" s="215" t="s">
        <v>102</v>
      </c>
      <c r="K755" s="266">
        <v>49081142292</v>
      </c>
      <c r="L755" s="265" t="s">
        <v>649</v>
      </c>
      <c r="M755" s="266">
        <v>40049081142290</v>
      </c>
      <c r="N755" s="264">
        <v>0.437</v>
      </c>
      <c r="O755" s="265" t="s">
        <v>649</v>
      </c>
      <c r="P755" s="265">
        <v>11.86</v>
      </c>
      <c r="Q755" s="265" t="s">
        <v>649</v>
      </c>
    </row>
    <row r="756" spans="1:17" ht="15" customHeight="1">
      <c r="A756" s="147">
        <v>773</v>
      </c>
      <c r="B756" s="51" t="s">
        <v>20</v>
      </c>
      <c r="C756" s="51" t="s">
        <v>4951</v>
      </c>
      <c r="D756" s="51">
        <v>100022203</v>
      </c>
      <c r="E756" s="53" t="s">
        <v>4952</v>
      </c>
      <c r="F756" s="124">
        <v>100</v>
      </c>
      <c r="G756" s="124">
        <v>15000</v>
      </c>
      <c r="H756" s="369">
        <v>8.44</v>
      </c>
      <c r="I756" s="215" t="s">
        <v>76</v>
      </c>
      <c r="J756" s="215" t="s">
        <v>102</v>
      </c>
      <c r="K756" s="266">
        <v>49081005108</v>
      </c>
      <c r="L756" s="215">
        <v>49081005306</v>
      </c>
      <c r="M756" s="266">
        <v>40049081005106</v>
      </c>
      <c r="N756" s="264">
        <v>7.2999999999999995E-2</v>
      </c>
      <c r="O756" s="265">
        <v>10</v>
      </c>
      <c r="P756" s="265">
        <v>7.25</v>
      </c>
      <c r="Q756" s="265">
        <v>0.5</v>
      </c>
    </row>
    <row r="757" spans="1:17" ht="15" customHeight="1">
      <c r="A757" s="147">
        <v>774</v>
      </c>
      <c r="B757" s="51" t="s">
        <v>20</v>
      </c>
      <c r="C757" s="51" t="s">
        <v>4953</v>
      </c>
      <c r="D757" s="51">
        <v>100022208</v>
      </c>
      <c r="E757" s="53" t="s">
        <v>4954</v>
      </c>
      <c r="F757" s="124">
        <v>50</v>
      </c>
      <c r="G757" s="124">
        <v>7500</v>
      </c>
      <c r="H757" s="369">
        <v>10.210000000000001</v>
      </c>
      <c r="I757" s="215" t="s">
        <v>76</v>
      </c>
      <c r="J757" s="215" t="s">
        <v>102</v>
      </c>
      <c r="K757" s="266">
        <v>49081149802</v>
      </c>
      <c r="L757" s="215">
        <v>49081649807</v>
      </c>
      <c r="M757" s="266">
        <v>40049081149800</v>
      </c>
      <c r="N757" s="264">
        <v>0.14099999999999999</v>
      </c>
      <c r="O757" s="265">
        <v>10</v>
      </c>
      <c r="P757" s="265">
        <v>7.05</v>
      </c>
      <c r="Q757" s="265">
        <v>0.5</v>
      </c>
    </row>
    <row r="758" spans="1:17" ht="15" customHeight="1">
      <c r="A758" s="147">
        <v>775</v>
      </c>
      <c r="B758" s="51" t="s">
        <v>20</v>
      </c>
      <c r="C758" s="51" t="s">
        <v>4955</v>
      </c>
      <c r="D758" s="51">
        <v>100022211</v>
      </c>
      <c r="E758" s="53" t="s">
        <v>4956</v>
      </c>
      <c r="F758" s="124">
        <v>25</v>
      </c>
      <c r="G758" s="124">
        <v>3750</v>
      </c>
      <c r="H758" s="369">
        <v>12.74</v>
      </c>
      <c r="I758" s="215" t="s">
        <v>76</v>
      </c>
      <c r="J758" s="215" t="s">
        <v>102</v>
      </c>
      <c r="K758" s="266">
        <v>49081149819</v>
      </c>
      <c r="L758" s="215">
        <v>49081649814</v>
      </c>
      <c r="M758" s="266">
        <v>40049081149817</v>
      </c>
      <c r="N758" s="264">
        <v>0.18</v>
      </c>
      <c r="O758" s="265">
        <v>5</v>
      </c>
      <c r="P758" s="265">
        <v>5.27</v>
      </c>
      <c r="Q758" s="265">
        <v>0.5</v>
      </c>
    </row>
    <row r="759" spans="1:17" ht="15" customHeight="1">
      <c r="A759" s="147">
        <v>776</v>
      </c>
      <c r="B759" s="51" t="s">
        <v>23</v>
      </c>
      <c r="C759" s="51" t="s">
        <v>4957</v>
      </c>
      <c r="D759" s="51">
        <v>100023374</v>
      </c>
      <c r="E759" s="53" t="s">
        <v>4958</v>
      </c>
      <c r="F759" s="124">
        <v>250</v>
      </c>
      <c r="G759" s="124">
        <v>22500</v>
      </c>
      <c r="H759" s="369">
        <v>23.35</v>
      </c>
      <c r="I759" s="215" t="s">
        <v>76</v>
      </c>
      <c r="J759" s="215" t="s">
        <v>102</v>
      </c>
      <c r="K759" s="266">
        <v>49081166069</v>
      </c>
      <c r="L759" s="215">
        <v>49081666064</v>
      </c>
      <c r="M759" s="266">
        <v>40049081166067</v>
      </c>
      <c r="N759" s="264">
        <v>7.0000000000000007E-2</v>
      </c>
      <c r="O759" s="265">
        <v>10</v>
      </c>
      <c r="P759" s="265">
        <v>17.55</v>
      </c>
      <c r="Q759" s="265">
        <v>0.8</v>
      </c>
    </row>
    <row r="760" spans="1:17" ht="15" customHeight="1">
      <c r="A760" s="147">
        <v>777</v>
      </c>
      <c r="B760" s="51" t="s">
        <v>23</v>
      </c>
      <c r="C760" s="51" t="s">
        <v>4959</v>
      </c>
      <c r="D760" s="51">
        <v>100023474</v>
      </c>
      <c r="E760" s="53" t="s">
        <v>4960</v>
      </c>
      <c r="F760" s="124">
        <v>250</v>
      </c>
      <c r="G760" s="124">
        <v>18750</v>
      </c>
      <c r="H760" s="369">
        <v>23.35</v>
      </c>
      <c r="I760" s="215" t="s">
        <v>346</v>
      </c>
      <c r="J760" s="215" t="s">
        <v>102</v>
      </c>
      <c r="K760" s="266">
        <v>49081166083</v>
      </c>
      <c r="L760" s="215">
        <v>49081666088</v>
      </c>
      <c r="M760" s="266">
        <v>40049081166081</v>
      </c>
      <c r="N760" s="264">
        <v>9.9000000000000005E-2</v>
      </c>
      <c r="O760" s="265">
        <v>10</v>
      </c>
      <c r="P760" s="265">
        <v>24.8</v>
      </c>
      <c r="Q760" s="265">
        <v>1.1000000000000001</v>
      </c>
    </row>
    <row r="761" spans="1:17" ht="15" customHeight="1">
      <c r="A761" s="147">
        <v>778</v>
      </c>
      <c r="B761" s="51" t="s">
        <v>23</v>
      </c>
      <c r="C761" s="51" t="s">
        <v>4961</v>
      </c>
      <c r="D761" s="51">
        <v>100023475</v>
      </c>
      <c r="E761" s="53" t="s">
        <v>4962</v>
      </c>
      <c r="F761" s="124">
        <v>200</v>
      </c>
      <c r="G761" s="124">
        <v>12000</v>
      </c>
      <c r="H761" s="369">
        <v>23.35</v>
      </c>
      <c r="I761" s="215" t="s">
        <v>76</v>
      </c>
      <c r="J761" s="215" t="s">
        <v>102</v>
      </c>
      <c r="K761" s="266">
        <v>49081166120</v>
      </c>
      <c r="L761" s="215">
        <v>49081666125</v>
      </c>
      <c r="M761" s="266">
        <v>40049081166128</v>
      </c>
      <c r="N761" s="264">
        <v>0.13500000000000001</v>
      </c>
      <c r="O761" s="265">
        <v>10</v>
      </c>
      <c r="P761" s="265">
        <v>27.1</v>
      </c>
      <c r="Q761" s="265">
        <v>1.25</v>
      </c>
    </row>
    <row r="762" spans="1:17" ht="15" customHeight="1">
      <c r="A762" s="147">
        <v>779</v>
      </c>
      <c r="B762" s="51" t="s">
        <v>23</v>
      </c>
      <c r="C762" s="51" t="s">
        <v>4963</v>
      </c>
      <c r="D762" s="51">
        <v>100023476</v>
      </c>
      <c r="E762" s="53" t="s">
        <v>4964</v>
      </c>
      <c r="F762" s="124">
        <v>100</v>
      </c>
      <c r="G762" s="124">
        <v>7500</v>
      </c>
      <c r="H762" s="369">
        <v>24.47</v>
      </c>
      <c r="I762" s="215" t="s">
        <v>76</v>
      </c>
      <c r="J762" s="215" t="s">
        <v>102</v>
      </c>
      <c r="K762" s="266">
        <v>49081166182</v>
      </c>
      <c r="L762" s="215">
        <v>49081666187</v>
      </c>
      <c r="M762" s="266">
        <v>40049081166180</v>
      </c>
      <c r="N762" s="264">
        <v>0.16300000000000001</v>
      </c>
      <c r="O762" s="265">
        <v>10</v>
      </c>
      <c r="P762" s="265">
        <v>16.3</v>
      </c>
      <c r="Q762" s="265">
        <v>0.95</v>
      </c>
    </row>
    <row r="763" spans="1:17" ht="15" customHeight="1">
      <c r="A763" s="147">
        <v>780</v>
      </c>
      <c r="B763" s="51" t="s">
        <v>23</v>
      </c>
      <c r="C763" s="51" t="s">
        <v>4965</v>
      </c>
      <c r="D763" s="51">
        <v>100023477</v>
      </c>
      <c r="E763" s="53" t="s">
        <v>4966</v>
      </c>
      <c r="F763" s="124">
        <v>50</v>
      </c>
      <c r="G763" s="124">
        <v>4500</v>
      </c>
      <c r="H763" s="369">
        <v>30.65</v>
      </c>
      <c r="I763" s="215" t="s">
        <v>76</v>
      </c>
      <c r="J763" s="215" t="s">
        <v>102</v>
      </c>
      <c r="K763" s="266">
        <v>49081166281</v>
      </c>
      <c r="L763" s="215">
        <v>49081666286</v>
      </c>
      <c r="M763" s="266">
        <v>40049081166289</v>
      </c>
      <c r="N763" s="264">
        <v>0.252</v>
      </c>
      <c r="O763" s="265">
        <v>10</v>
      </c>
      <c r="P763" s="265">
        <v>13.4</v>
      </c>
      <c r="Q763" s="265">
        <v>0.8</v>
      </c>
    </row>
    <row r="764" spans="1:17" ht="15" customHeight="1">
      <c r="A764" s="147">
        <v>781</v>
      </c>
      <c r="B764" s="51" t="s">
        <v>23</v>
      </c>
      <c r="C764" s="51" t="s">
        <v>4967</v>
      </c>
      <c r="D764" s="51">
        <v>100023478</v>
      </c>
      <c r="E764" s="53" t="s">
        <v>4968</v>
      </c>
      <c r="F764" s="124">
        <v>50</v>
      </c>
      <c r="G764" s="124">
        <v>3000</v>
      </c>
      <c r="H764" s="369">
        <v>84.11</v>
      </c>
      <c r="I764" s="215" t="s">
        <v>76</v>
      </c>
      <c r="J764" s="215" t="s">
        <v>102</v>
      </c>
      <c r="K764" s="266">
        <v>49081166502</v>
      </c>
      <c r="L764" s="215">
        <v>49081666507</v>
      </c>
      <c r="M764" s="266">
        <v>40049081166500</v>
      </c>
      <c r="N764" s="264">
        <v>0.433</v>
      </c>
      <c r="O764" s="265">
        <v>5</v>
      </c>
      <c r="P764" s="265">
        <v>21.64</v>
      </c>
      <c r="Q764" s="265">
        <v>1.41</v>
      </c>
    </row>
    <row r="765" spans="1:17" ht="15" customHeight="1">
      <c r="A765" s="147">
        <v>782</v>
      </c>
      <c r="B765" s="51" t="s">
        <v>23</v>
      </c>
      <c r="C765" s="51" t="s">
        <v>4969</v>
      </c>
      <c r="D765" s="51">
        <v>100023479</v>
      </c>
      <c r="E765" s="53" t="s">
        <v>4970</v>
      </c>
      <c r="F765" s="124">
        <v>25</v>
      </c>
      <c r="G765" s="124">
        <v>1875</v>
      </c>
      <c r="H765" s="369">
        <v>84.11</v>
      </c>
      <c r="I765" s="215" t="s">
        <v>76</v>
      </c>
      <c r="J765" s="215" t="s">
        <v>102</v>
      </c>
      <c r="K765" s="266">
        <v>49081166762</v>
      </c>
      <c r="L765" s="215">
        <v>49081666767</v>
      </c>
      <c r="M765" s="266">
        <v>40049081166760</v>
      </c>
      <c r="N765" s="264">
        <v>0.48</v>
      </c>
      <c r="O765" s="265">
        <v>5</v>
      </c>
      <c r="P765" s="265">
        <v>12.85</v>
      </c>
      <c r="Q765" s="265">
        <v>0.95</v>
      </c>
    </row>
    <row r="766" spans="1:17" ht="15" customHeight="1">
      <c r="A766" s="147">
        <v>783</v>
      </c>
      <c r="B766" s="51" t="s">
        <v>23</v>
      </c>
      <c r="C766" s="51" t="s">
        <v>4971</v>
      </c>
      <c r="D766" s="51">
        <v>100023480</v>
      </c>
      <c r="E766" s="53" t="s">
        <v>4972</v>
      </c>
      <c r="F766" s="124">
        <v>10</v>
      </c>
      <c r="G766" s="124">
        <v>900</v>
      </c>
      <c r="H766" s="369">
        <v>105.21</v>
      </c>
      <c r="I766" s="215" t="s">
        <v>76</v>
      </c>
      <c r="J766" s="215" t="s">
        <v>102</v>
      </c>
      <c r="K766" s="266">
        <v>49081167141</v>
      </c>
      <c r="L766" s="265" t="s">
        <v>649</v>
      </c>
      <c r="M766" s="266">
        <v>40049081167149</v>
      </c>
      <c r="N766" s="264">
        <v>0.77900000000000003</v>
      </c>
      <c r="O766" s="265" t="s">
        <v>649</v>
      </c>
      <c r="P766" s="265">
        <v>8.6199999999999992</v>
      </c>
      <c r="Q766" s="265">
        <v>0.8</v>
      </c>
    </row>
    <row r="767" spans="1:17" ht="15" customHeight="1">
      <c r="A767" s="147">
        <v>784</v>
      </c>
      <c r="B767" s="51" t="s">
        <v>23</v>
      </c>
      <c r="C767" s="51" t="s">
        <v>4973</v>
      </c>
      <c r="D767" s="51">
        <v>100023481</v>
      </c>
      <c r="E767" s="53" t="s">
        <v>4974</v>
      </c>
      <c r="F767" s="124">
        <v>10</v>
      </c>
      <c r="G767" s="124">
        <v>750</v>
      </c>
      <c r="H767" s="369">
        <v>114.37</v>
      </c>
      <c r="I767" s="215" t="s">
        <v>76</v>
      </c>
      <c r="J767" s="215" t="s">
        <v>102</v>
      </c>
      <c r="K767" s="266">
        <v>49081167462</v>
      </c>
      <c r="L767" s="265" t="s">
        <v>649</v>
      </c>
      <c r="M767" s="266">
        <v>40049081167460</v>
      </c>
      <c r="N767" s="264">
        <v>1.3560000000000001</v>
      </c>
      <c r="O767" s="265" t="s">
        <v>649</v>
      </c>
      <c r="P767" s="265">
        <v>14.64</v>
      </c>
      <c r="Q767" s="265">
        <v>0.95</v>
      </c>
    </row>
    <row r="768" spans="1:17" ht="15" customHeight="1">
      <c r="A768" s="147">
        <v>785</v>
      </c>
      <c r="B768" s="51" t="s">
        <v>23</v>
      </c>
      <c r="C768" s="51" t="s">
        <v>4975</v>
      </c>
      <c r="D768" s="51">
        <v>100023482</v>
      </c>
      <c r="E768" s="53" t="s">
        <v>4976</v>
      </c>
      <c r="F768" s="124">
        <v>5</v>
      </c>
      <c r="G768" s="124">
        <v>450</v>
      </c>
      <c r="H768" s="369">
        <v>142.94999999999999</v>
      </c>
      <c r="I768" s="215" t="s">
        <v>76</v>
      </c>
      <c r="J768" s="215" t="s">
        <v>102</v>
      </c>
      <c r="K768" s="266">
        <v>49081167608</v>
      </c>
      <c r="L768" s="265" t="s">
        <v>649</v>
      </c>
      <c r="M768" s="266">
        <v>40049081167606</v>
      </c>
      <c r="N768" s="264">
        <v>2.04</v>
      </c>
      <c r="O768" s="265" t="s">
        <v>649</v>
      </c>
      <c r="P768" s="265">
        <v>11.18</v>
      </c>
      <c r="Q768" s="265">
        <v>0.8</v>
      </c>
    </row>
    <row r="769" spans="1:17" ht="15" customHeight="1">
      <c r="A769" s="147">
        <v>786</v>
      </c>
      <c r="B769" s="51" t="s">
        <v>23</v>
      </c>
      <c r="C769" s="51" t="s">
        <v>4977</v>
      </c>
      <c r="D769" s="51">
        <v>100023483</v>
      </c>
      <c r="E769" s="53" t="s">
        <v>4978</v>
      </c>
      <c r="F769" s="124">
        <v>4</v>
      </c>
      <c r="G769" s="124">
        <v>240</v>
      </c>
      <c r="H769" s="369">
        <v>165.63</v>
      </c>
      <c r="I769" s="215" t="s">
        <v>76</v>
      </c>
      <c r="J769" s="215" t="s">
        <v>102</v>
      </c>
      <c r="K769" s="266">
        <v>49081167769</v>
      </c>
      <c r="L769" s="265" t="s">
        <v>649</v>
      </c>
      <c r="M769" s="266">
        <v>40049081167767</v>
      </c>
      <c r="N769" s="264">
        <v>3.4009999999999998</v>
      </c>
      <c r="O769" s="265" t="s">
        <v>649</v>
      </c>
      <c r="P769" s="265">
        <v>14.85</v>
      </c>
      <c r="Q769" s="265">
        <v>1.25</v>
      </c>
    </row>
    <row r="770" spans="1:17" ht="15" customHeight="1">
      <c r="A770" s="147">
        <v>787</v>
      </c>
      <c r="B770" s="51" t="s">
        <v>23</v>
      </c>
      <c r="C770" s="51" t="s">
        <v>4979</v>
      </c>
      <c r="D770" s="51">
        <v>100023484</v>
      </c>
      <c r="E770" s="53" t="s">
        <v>4980</v>
      </c>
      <c r="F770" s="124">
        <v>1</v>
      </c>
      <c r="G770" s="124">
        <v>75</v>
      </c>
      <c r="H770" s="369">
        <v>565.49</v>
      </c>
      <c r="I770" s="215" t="s">
        <v>76</v>
      </c>
      <c r="J770" s="215" t="s">
        <v>102</v>
      </c>
      <c r="K770" s="266">
        <v>49081168001</v>
      </c>
      <c r="L770" s="265" t="s">
        <v>649</v>
      </c>
      <c r="M770" s="266">
        <v>40049081168009</v>
      </c>
      <c r="N770" s="264">
        <v>10.175000000000001</v>
      </c>
      <c r="O770" s="265" t="s">
        <v>649</v>
      </c>
      <c r="P770" s="265">
        <v>11.36</v>
      </c>
      <c r="Q770" s="265">
        <v>0.95</v>
      </c>
    </row>
    <row r="771" spans="1:17" ht="15" customHeight="1">
      <c r="A771" s="147">
        <v>788</v>
      </c>
      <c r="B771" s="51" t="s">
        <v>23</v>
      </c>
      <c r="C771" s="51" t="s">
        <v>4981</v>
      </c>
      <c r="D771" s="51">
        <v>100023485</v>
      </c>
      <c r="E771" s="53" t="s">
        <v>4982</v>
      </c>
      <c r="F771" s="124">
        <v>2</v>
      </c>
      <c r="G771" s="124">
        <v>36</v>
      </c>
      <c r="H771" s="369">
        <v>1311.57</v>
      </c>
      <c r="I771" s="215" t="s">
        <v>76</v>
      </c>
      <c r="J771" s="215" t="s">
        <v>102</v>
      </c>
      <c r="K771" s="266">
        <v>49081168087</v>
      </c>
      <c r="L771" s="265" t="s">
        <v>649</v>
      </c>
      <c r="M771" s="266">
        <v>40049081168085</v>
      </c>
      <c r="N771" s="264">
        <v>18.670000000000002</v>
      </c>
      <c r="O771" s="265" t="s">
        <v>649</v>
      </c>
      <c r="P771" s="265">
        <v>39.83</v>
      </c>
      <c r="Q771" s="265">
        <v>4.38</v>
      </c>
    </row>
    <row r="772" spans="1:17" ht="15" customHeight="1">
      <c r="A772" s="147">
        <v>789</v>
      </c>
      <c r="B772" s="51" t="s">
        <v>23</v>
      </c>
      <c r="C772" s="51" t="s">
        <v>4983</v>
      </c>
      <c r="D772" s="51">
        <v>100023498</v>
      </c>
      <c r="E772" s="53" t="s">
        <v>4984</v>
      </c>
      <c r="F772" s="124">
        <v>250</v>
      </c>
      <c r="G772" s="124">
        <v>22500</v>
      </c>
      <c r="H772" s="369">
        <v>26.98</v>
      </c>
      <c r="I772" s="215" t="s">
        <v>346</v>
      </c>
      <c r="J772" s="215" t="s">
        <v>102</v>
      </c>
      <c r="K772" s="266">
        <v>49081170264</v>
      </c>
      <c r="L772" s="215">
        <v>49081670269</v>
      </c>
      <c r="M772" s="266">
        <v>40049081170262</v>
      </c>
      <c r="N772" s="264">
        <v>6.8000000000000005E-2</v>
      </c>
      <c r="O772" s="265">
        <v>10</v>
      </c>
      <c r="P772" s="265">
        <v>18.78</v>
      </c>
      <c r="Q772" s="265">
        <v>0.8</v>
      </c>
    </row>
    <row r="773" spans="1:17" ht="15" customHeight="1">
      <c r="A773" s="147">
        <v>790</v>
      </c>
      <c r="B773" s="51" t="s">
        <v>23</v>
      </c>
      <c r="C773" s="51" t="s">
        <v>4985</v>
      </c>
      <c r="D773" s="51">
        <v>100023499</v>
      </c>
      <c r="E773" s="53" t="s">
        <v>4986</v>
      </c>
      <c r="F773" s="124">
        <v>250</v>
      </c>
      <c r="G773" s="124">
        <v>18750</v>
      </c>
      <c r="H773" s="369">
        <v>26.98</v>
      </c>
      <c r="I773" s="215" t="s">
        <v>76</v>
      </c>
      <c r="J773" s="215" t="s">
        <v>102</v>
      </c>
      <c r="K773" s="266">
        <v>49081170288</v>
      </c>
      <c r="L773" s="215">
        <v>49081670283</v>
      </c>
      <c r="M773" s="266">
        <v>40049081170286</v>
      </c>
      <c r="N773" s="264">
        <v>9.5000000000000001E-2</v>
      </c>
      <c r="O773" s="265">
        <v>10</v>
      </c>
      <c r="P773" s="265">
        <v>25.12</v>
      </c>
      <c r="Q773" s="265">
        <v>1.1000000000000001</v>
      </c>
    </row>
    <row r="774" spans="1:17" ht="15" customHeight="1">
      <c r="A774" s="147">
        <v>791</v>
      </c>
      <c r="B774" s="51" t="s">
        <v>23</v>
      </c>
      <c r="C774" s="51" t="s">
        <v>4987</v>
      </c>
      <c r="D774" s="51">
        <v>100023500</v>
      </c>
      <c r="E774" s="53" t="s">
        <v>4988</v>
      </c>
      <c r="F774" s="124">
        <v>125</v>
      </c>
      <c r="G774" s="124">
        <v>9375</v>
      </c>
      <c r="H774" s="369">
        <v>26.98</v>
      </c>
      <c r="I774" s="215" t="s">
        <v>76</v>
      </c>
      <c r="J774" s="215" t="s">
        <v>102</v>
      </c>
      <c r="K774" s="266">
        <v>49081170301</v>
      </c>
      <c r="L774" s="215">
        <v>49081670306</v>
      </c>
      <c r="M774" s="266">
        <v>40049081170309</v>
      </c>
      <c r="N774" s="264">
        <v>0.184</v>
      </c>
      <c r="O774" s="265">
        <v>5</v>
      </c>
      <c r="P774" s="265">
        <v>23.5</v>
      </c>
      <c r="Q774" s="265">
        <v>1.1000000000000001</v>
      </c>
    </row>
    <row r="775" spans="1:17" ht="15" customHeight="1">
      <c r="A775" s="147">
        <v>792</v>
      </c>
      <c r="B775" s="51" t="s">
        <v>23</v>
      </c>
      <c r="C775" s="51" t="s">
        <v>4989</v>
      </c>
      <c r="D775" s="51">
        <v>100023501</v>
      </c>
      <c r="E775" s="53" t="s">
        <v>4990</v>
      </c>
      <c r="F775" s="124">
        <v>125</v>
      </c>
      <c r="G775" s="124">
        <v>7500</v>
      </c>
      <c r="H775" s="369">
        <v>30.07</v>
      </c>
      <c r="I775" s="215" t="s">
        <v>76</v>
      </c>
      <c r="J775" s="215" t="s">
        <v>102</v>
      </c>
      <c r="K775" s="266">
        <v>49081170325</v>
      </c>
      <c r="L775" s="215">
        <v>49081670320</v>
      </c>
      <c r="M775" s="266">
        <v>40049081170323</v>
      </c>
      <c r="N775" s="264">
        <v>0.23</v>
      </c>
      <c r="O775" s="265">
        <v>5</v>
      </c>
      <c r="P775" s="265">
        <v>31.32</v>
      </c>
      <c r="Q775" s="265">
        <v>1.25</v>
      </c>
    </row>
    <row r="776" spans="1:17" ht="15" customHeight="1">
      <c r="A776" s="147">
        <v>793</v>
      </c>
      <c r="B776" s="51" t="s">
        <v>23</v>
      </c>
      <c r="C776" s="51" t="s">
        <v>4991</v>
      </c>
      <c r="D776" s="51">
        <v>100023502</v>
      </c>
      <c r="E776" s="53" t="s">
        <v>4992</v>
      </c>
      <c r="F776" s="124">
        <v>50</v>
      </c>
      <c r="G776" s="124">
        <v>3750</v>
      </c>
      <c r="H776" s="369">
        <v>66.34</v>
      </c>
      <c r="I776" s="215" t="s">
        <v>76</v>
      </c>
      <c r="J776" s="215" t="s">
        <v>102</v>
      </c>
      <c r="K776" s="266">
        <v>49081170349</v>
      </c>
      <c r="L776" s="215">
        <v>49081670344</v>
      </c>
      <c r="M776" s="266">
        <v>40049081170347</v>
      </c>
      <c r="N776" s="264">
        <v>0.38</v>
      </c>
      <c r="O776" s="265">
        <v>5</v>
      </c>
      <c r="P776" s="265">
        <v>20.66</v>
      </c>
      <c r="Q776" s="265">
        <v>0.95</v>
      </c>
    </row>
    <row r="777" spans="1:17" ht="15" customHeight="1">
      <c r="A777" s="147">
        <v>794</v>
      </c>
      <c r="B777" s="51" t="s">
        <v>23</v>
      </c>
      <c r="C777" s="51" t="s">
        <v>4993</v>
      </c>
      <c r="D777" s="51">
        <v>100028097</v>
      </c>
      <c r="E777" s="53" t="s">
        <v>4994</v>
      </c>
      <c r="F777" s="124">
        <v>25</v>
      </c>
      <c r="G777" s="124">
        <v>0</v>
      </c>
      <c r="H777" s="369">
        <v>333.68</v>
      </c>
      <c r="I777" s="215" t="s">
        <v>346</v>
      </c>
      <c r="J777" s="215" t="s">
        <v>102</v>
      </c>
      <c r="K777" s="266">
        <v>49081170424</v>
      </c>
      <c r="L777" s="265" t="s">
        <v>649</v>
      </c>
      <c r="M777" s="266">
        <v>40049081170422</v>
      </c>
      <c r="N777" s="264">
        <v>1.698</v>
      </c>
      <c r="O777" s="265" t="s">
        <v>649</v>
      </c>
      <c r="P777" s="265">
        <v>44.368000000000002</v>
      </c>
      <c r="Q777" s="265" t="s">
        <v>649</v>
      </c>
    </row>
    <row r="778" spans="1:17" ht="15" customHeight="1">
      <c r="A778" s="147">
        <v>795</v>
      </c>
      <c r="B778" s="51" t="s">
        <v>23</v>
      </c>
      <c r="C778" s="51" t="s">
        <v>4995</v>
      </c>
      <c r="D778" s="51">
        <v>100023507</v>
      </c>
      <c r="E778" s="53" t="s">
        <v>4996</v>
      </c>
      <c r="F778" s="124">
        <v>250</v>
      </c>
      <c r="G778" s="124">
        <v>18750</v>
      </c>
      <c r="H778" s="369">
        <v>8.26</v>
      </c>
      <c r="I778" s="215" t="s">
        <v>76</v>
      </c>
      <c r="J778" s="215" t="s">
        <v>102</v>
      </c>
      <c r="K778" s="266">
        <v>49081162702</v>
      </c>
      <c r="L778" s="215">
        <v>49081662707</v>
      </c>
      <c r="M778" s="266">
        <v>40049081162700</v>
      </c>
      <c r="N778" s="264">
        <v>9.8000000000000004E-2</v>
      </c>
      <c r="O778" s="265">
        <v>10</v>
      </c>
      <c r="P778" s="265">
        <v>26.08</v>
      </c>
      <c r="Q778" s="265">
        <v>1.1000000000000001</v>
      </c>
    </row>
    <row r="779" spans="1:17" ht="15" customHeight="1">
      <c r="A779" s="147">
        <v>796</v>
      </c>
      <c r="B779" s="51" t="s">
        <v>23</v>
      </c>
      <c r="C779" s="51" t="s">
        <v>4997</v>
      </c>
      <c r="D779" s="51">
        <v>100023508</v>
      </c>
      <c r="E779" s="53" t="s">
        <v>4998</v>
      </c>
      <c r="F779" s="124">
        <v>200</v>
      </c>
      <c r="G779" s="124">
        <v>12000</v>
      </c>
      <c r="H779" s="369">
        <v>10.57</v>
      </c>
      <c r="I779" s="215" t="s">
        <v>76</v>
      </c>
      <c r="J779" s="215" t="s">
        <v>102</v>
      </c>
      <c r="K779" s="266">
        <v>49081162726</v>
      </c>
      <c r="L779" s="215">
        <v>49081662721</v>
      </c>
      <c r="M779" s="266">
        <v>40049081162724</v>
      </c>
      <c r="N779" s="264">
        <v>0.114</v>
      </c>
      <c r="O779" s="265">
        <v>10</v>
      </c>
      <c r="P779" s="265">
        <v>24.17</v>
      </c>
      <c r="Q779" s="265">
        <v>1.25</v>
      </c>
    </row>
    <row r="780" spans="1:17" ht="15" customHeight="1">
      <c r="A780" s="147">
        <v>797</v>
      </c>
      <c r="B780" s="51" t="s">
        <v>23</v>
      </c>
      <c r="C780" s="51" t="s">
        <v>4999</v>
      </c>
      <c r="D780" s="51">
        <v>100023510</v>
      </c>
      <c r="E780" s="53" t="s">
        <v>5000</v>
      </c>
      <c r="F780" s="124">
        <v>50</v>
      </c>
      <c r="G780" s="124">
        <v>6000</v>
      </c>
      <c r="H780" s="369">
        <v>17.05</v>
      </c>
      <c r="I780" s="215" t="s">
        <v>76</v>
      </c>
      <c r="J780" s="215" t="s">
        <v>102</v>
      </c>
      <c r="K780" s="266">
        <v>49081162764</v>
      </c>
      <c r="L780" s="215">
        <v>49081662769</v>
      </c>
      <c r="M780" s="266">
        <v>40049081162762</v>
      </c>
      <c r="N780" s="264">
        <v>0.20799999999999999</v>
      </c>
      <c r="O780" s="265">
        <v>10</v>
      </c>
      <c r="P780" s="265">
        <v>11.9</v>
      </c>
      <c r="Q780" s="265">
        <v>0.65</v>
      </c>
    </row>
    <row r="781" spans="1:17" ht="15" customHeight="1">
      <c r="A781" s="147">
        <v>798</v>
      </c>
      <c r="B781" s="51" t="s">
        <v>23</v>
      </c>
      <c r="C781" s="51" t="s">
        <v>5001</v>
      </c>
      <c r="D781" s="51">
        <v>100023511</v>
      </c>
      <c r="E781" s="53" t="s">
        <v>5002</v>
      </c>
      <c r="F781" s="124">
        <v>50</v>
      </c>
      <c r="G781" s="124">
        <v>3750</v>
      </c>
      <c r="H781" s="369">
        <v>22.83</v>
      </c>
      <c r="I781" s="215" t="s">
        <v>76</v>
      </c>
      <c r="J781" s="215" t="s">
        <v>102</v>
      </c>
      <c r="K781" s="266">
        <v>49081162825</v>
      </c>
      <c r="L781" s="215">
        <v>49081662820</v>
      </c>
      <c r="M781" s="266">
        <v>40049081162823</v>
      </c>
      <c r="N781" s="264">
        <v>0.26900000000000002</v>
      </c>
      <c r="O781" s="265">
        <v>5</v>
      </c>
      <c r="P781" s="265">
        <v>17.25</v>
      </c>
      <c r="Q781" s="265">
        <v>0.95</v>
      </c>
    </row>
    <row r="782" spans="1:17" ht="15" customHeight="1">
      <c r="A782" s="147">
        <v>799</v>
      </c>
      <c r="B782" s="51" t="s">
        <v>23</v>
      </c>
      <c r="C782" s="51" t="s">
        <v>5003</v>
      </c>
      <c r="D782" s="51">
        <v>100023512</v>
      </c>
      <c r="E782" s="53" t="s">
        <v>5004</v>
      </c>
      <c r="F782" s="124">
        <v>25</v>
      </c>
      <c r="G782" s="124">
        <v>2250</v>
      </c>
      <c r="H782" s="369">
        <v>24.45</v>
      </c>
      <c r="I782" s="215" t="s">
        <v>76</v>
      </c>
      <c r="J782" s="215" t="s">
        <v>102</v>
      </c>
      <c r="K782" s="266">
        <v>49081162900</v>
      </c>
      <c r="L782" s="215">
        <v>49081662905</v>
      </c>
      <c r="M782" s="266">
        <v>40049081162908</v>
      </c>
      <c r="N782" s="264">
        <v>0.36199999999999999</v>
      </c>
      <c r="O782" s="265">
        <v>5</v>
      </c>
      <c r="P782" s="265">
        <v>9.93</v>
      </c>
      <c r="Q782" s="265">
        <v>0.8</v>
      </c>
    </row>
    <row r="783" spans="1:17" ht="15" customHeight="1">
      <c r="A783" s="147">
        <v>800</v>
      </c>
      <c r="B783" s="51" t="s">
        <v>23</v>
      </c>
      <c r="C783" s="51" t="s">
        <v>5005</v>
      </c>
      <c r="D783" s="51">
        <v>100023513</v>
      </c>
      <c r="E783" s="53" t="s">
        <v>5006</v>
      </c>
      <c r="F783" s="124">
        <v>25</v>
      </c>
      <c r="G783" s="124">
        <v>1875</v>
      </c>
      <c r="H783" s="369">
        <v>29.52</v>
      </c>
      <c r="I783" s="215" t="s">
        <v>76</v>
      </c>
      <c r="J783" s="215" t="s">
        <v>102</v>
      </c>
      <c r="K783" s="266">
        <v>49081162986</v>
      </c>
      <c r="L783" s="215">
        <v>49081662981</v>
      </c>
      <c r="M783" s="266">
        <v>40049081162984</v>
      </c>
      <c r="N783" s="264">
        <v>0.56000000000000005</v>
      </c>
      <c r="O783" s="265">
        <v>5</v>
      </c>
      <c r="P783" s="265">
        <v>14.71</v>
      </c>
      <c r="Q783" s="265">
        <v>1.1000000000000001</v>
      </c>
    </row>
    <row r="784" spans="1:17" ht="15" customHeight="1">
      <c r="A784" s="147">
        <v>801</v>
      </c>
      <c r="B784" s="51" t="s">
        <v>23</v>
      </c>
      <c r="C784" s="51" t="s">
        <v>5007</v>
      </c>
      <c r="D784" s="51">
        <v>100023515</v>
      </c>
      <c r="E784" s="53" t="s">
        <v>5008</v>
      </c>
      <c r="F784" s="124">
        <v>10</v>
      </c>
      <c r="G784" s="124">
        <v>750</v>
      </c>
      <c r="H784" s="369">
        <v>77.7</v>
      </c>
      <c r="I784" s="215" t="s">
        <v>76</v>
      </c>
      <c r="J784" s="215" t="s">
        <v>102</v>
      </c>
      <c r="K784" s="266">
        <v>49081163068</v>
      </c>
      <c r="L784" s="265" t="s">
        <v>649</v>
      </c>
      <c r="M784" s="266">
        <v>40049081163066</v>
      </c>
      <c r="N784" s="264">
        <v>1.63</v>
      </c>
      <c r="O784" s="265" t="s">
        <v>649</v>
      </c>
      <c r="P784" s="265">
        <v>17.98</v>
      </c>
      <c r="Q784" s="265">
        <v>1.1000000000000001</v>
      </c>
    </row>
    <row r="785" spans="1:17" ht="15" customHeight="1">
      <c r="A785" s="147">
        <v>802</v>
      </c>
      <c r="B785" s="51" t="s">
        <v>23</v>
      </c>
      <c r="C785" s="51" t="s">
        <v>5009</v>
      </c>
      <c r="D785" s="51">
        <v>100023516</v>
      </c>
      <c r="E785" s="53" t="s">
        <v>5010</v>
      </c>
      <c r="F785" s="124">
        <v>5</v>
      </c>
      <c r="G785" s="124">
        <v>375</v>
      </c>
      <c r="H785" s="369">
        <v>118.19</v>
      </c>
      <c r="I785" s="215" t="s">
        <v>76</v>
      </c>
      <c r="J785" s="215" t="s">
        <v>102</v>
      </c>
      <c r="K785" s="266">
        <v>49081163082</v>
      </c>
      <c r="L785" s="265" t="s">
        <v>649</v>
      </c>
      <c r="M785" s="266">
        <v>40049081163080</v>
      </c>
      <c r="N785" s="264">
        <v>2.7610000000000001</v>
      </c>
      <c r="O785" s="265" t="s">
        <v>649</v>
      </c>
      <c r="P785" s="265">
        <v>15.1</v>
      </c>
      <c r="Q785" s="265">
        <v>1.1000000000000001</v>
      </c>
    </row>
    <row r="786" spans="1:17" ht="15" customHeight="1">
      <c r="A786" s="147">
        <v>803</v>
      </c>
      <c r="B786" s="51" t="s">
        <v>23</v>
      </c>
      <c r="C786" s="51" t="s">
        <v>5011</v>
      </c>
      <c r="D786" s="51">
        <v>100023518</v>
      </c>
      <c r="E786" s="53" t="s">
        <v>5012</v>
      </c>
      <c r="F786" s="124">
        <v>2</v>
      </c>
      <c r="G786" s="124">
        <v>48</v>
      </c>
      <c r="H786" s="369">
        <v>926.88</v>
      </c>
      <c r="I786" s="215" t="s">
        <v>76</v>
      </c>
      <c r="J786" s="215" t="s">
        <v>102</v>
      </c>
      <c r="K786" s="266">
        <v>49081163143</v>
      </c>
      <c r="L786" s="265" t="s">
        <v>649</v>
      </c>
      <c r="M786" s="266">
        <v>40049081163141</v>
      </c>
      <c r="N786" s="264">
        <v>15.573</v>
      </c>
      <c r="O786" s="265" t="s">
        <v>649</v>
      </c>
      <c r="P786" s="265">
        <v>30.15</v>
      </c>
      <c r="Q786" s="265">
        <v>2.77</v>
      </c>
    </row>
    <row r="787" spans="1:17" ht="15" customHeight="1">
      <c r="A787" s="147">
        <v>804</v>
      </c>
      <c r="B787" s="51" t="s">
        <v>23</v>
      </c>
      <c r="C787" s="51" t="s">
        <v>5013</v>
      </c>
      <c r="D787" s="51">
        <v>100023520</v>
      </c>
      <c r="E787" s="53" t="s">
        <v>5014</v>
      </c>
      <c r="F787" s="124">
        <v>200</v>
      </c>
      <c r="G787" s="124">
        <v>12000</v>
      </c>
      <c r="H787" s="369">
        <v>38.32</v>
      </c>
      <c r="I787" s="215" t="s">
        <v>76</v>
      </c>
      <c r="J787" s="215" t="s">
        <v>102</v>
      </c>
      <c r="K787" s="266">
        <v>49081163303</v>
      </c>
      <c r="L787" s="215">
        <v>49081663308</v>
      </c>
      <c r="M787" s="266">
        <v>40049081163301</v>
      </c>
      <c r="N787" s="264">
        <v>0.17499999999999999</v>
      </c>
      <c r="O787" s="265">
        <v>10</v>
      </c>
      <c r="P787" s="265">
        <v>35.619999999999997</v>
      </c>
      <c r="Q787" s="265">
        <v>1.41</v>
      </c>
    </row>
    <row r="788" spans="1:17" ht="15" customHeight="1">
      <c r="A788" s="147">
        <v>805</v>
      </c>
      <c r="B788" s="51" t="s">
        <v>23</v>
      </c>
      <c r="C788" s="51" t="s">
        <v>5015</v>
      </c>
      <c r="D788" s="51">
        <v>100023521</v>
      </c>
      <c r="E788" s="53" t="s">
        <v>5016</v>
      </c>
      <c r="F788" s="124">
        <v>50</v>
      </c>
      <c r="G788" s="124">
        <v>6000</v>
      </c>
      <c r="H788" s="369">
        <v>41.49</v>
      </c>
      <c r="I788" s="215" t="s">
        <v>76</v>
      </c>
      <c r="J788" s="215" t="s">
        <v>102</v>
      </c>
      <c r="K788" s="266">
        <v>49081163327</v>
      </c>
      <c r="L788" s="215">
        <v>49081663322</v>
      </c>
      <c r="M788" s="266">
        <v>40049081163325</v>
      </c>
      <c r="N788" s="264">
        <v>0.29199999999999998</v>
      </c>
      <c r="O788" s="265">
        <v>5</v>
      </c>
      <c r="P788" s="265">
        <v>14.76</v>
      </c>
      <c r="Q788" s="265">
        <v>0.65</v>
      </c>
    </row>
    <row r="789" spans="1:17" ht="15" customHeight="1">
      <c r="A789" s="147">
        <v>806</v>
      </c>
      <c r="B789" s="51" t="s">
        <v>23</v>
      </c>
      <c r="C789" s="51" t="s">
        <v>5017</v>
      </c>
      <c r="D789" s="51">
        <v>100023524</v>
      </c>
      <c r="E789" s="53" t="s">
        <v>5018</v>
      </c>
      <c r="F789" s="124">
        <v>25</v>
      </c>
      <c r="G789" s="124">
        <v>1875</v>
      </c>
      <c r="H789" s="369">
        <v>73.83</v>
      </c>
      <c r="I789" s="215" t="s">
        <v>76</v>
      </c>
      <c r="J789" s="215" t="s">
        <v>102</v>
      </c>
      <c r="K789" s="266">
        <v>49081163389</v>
      </c>
      <c r="L789" s="215">
        <v>49081663384</v>
      </c>
      <c r="M789" s="266">
        <v>40049081163387</v>
      </c>
      <c r="N789" s="264">
        <v>0.79500000000000004</v>
      </c>
      <c r="O789" s="265">
        <v>5</v>
      </c>
      <c r="P789" s="265">
        <v>21.01</v>
      </c>
      <c r="Q789" s="265">
        <v>1.1000000000000001</v>
      </c>
    </row>
    <row r="790" spans="1:17" ht="15" customHeight="1">
      <c r="A790" s="147">
        <v>807</v>
      </c>
      <c r="B790" s="51" t="s">
        <v>23</v>
      </c>
      <c r="C790" s="51" t="s">
        <v>5019</v>
      </c>
      <c r="D790" s="51">
        <v>100023525</v>
      </c>
      <c r="E790" s="53" t="s">
        <v>5020</v>
      </c>
      <c r="F790" s="124">
        <v>250</v>
      </c>
      <c r="G790" s="124">
        <v>37500</v>
      </c>
      <c r="H790" s="369">
        <v>20.54</v>
      </c>
      <c r="I790" s="215" t="s">
        <v>76</v>
      </c>
      <c r="J790" s="215" t="s">
        <v>102</v>
      </c>
      <c r="K790" s="266">
        <v>49081163501</v>
      </c>
      <c r="L790" s="215">
        <v>49081663506</v>
      </c>
      <c r="M790" s="266">
        <v>40049081163509</v>
      </c>
      <c r="N790" s="264">
        <v>0.05</v>
      </c>
      <c r="O790" s="265">
        <v>10</v>
      </c>
      <c r="P790" s="265">
        <v>12.5</v>
      </c>
      <c r="Q790" s="265">
        <v>0.5</v>
      </c>
    </row>
    <row r="791" spans="1:17" ht="15" customHeight="1">
      <c r="A791" s="147">
        <v>808</v>
      </c>
      <c r="B791" s="51" t="s">
        <v>23</v>
      </c>
      <c r="C791" s="51" t="s">
        <v>5021</v>
      </c>
      <c r="D791" s="51">
        <v>100023526</v>
      </c>
      <c r="E791" s="53" t="s">
        <v>5022</v>
      </c>
      <c r="F791" s="124">
        <v>250</v>
      </c>
      <c r="G791" s="124">
        <v>30000</v>
      </c>
      <c r="H791" s="369">
        <v>20.54</v>
      </c>
      <c r="I791" s="215" t="s">
        <v>346</v>
      </c>
      <c r="J791" s="215" t="s">
        <v>102</v>
      </c>
      <c r="K791" s="266">
        <v>49081163525</v>
      </c>
      <c r="L791" s="215">
        <v>49081663520</v>
      </c>
      <c r="M791" s="266">
        <v>40049081163523</v>
      </c>
      <c r="N791" s="264">
        <v>7.2999999999999995E-2</v>
      </c>
      <c r="O791" s="265">
        <v>10</v>
      </c>
      <c r="P791" s="265">
        <v>18.899999999999999</v>
      </c>
      <c r="Q791" s="265">
        <v>0.65</v>
      </c>
    </row>
    <row r="792" spans="1:17" ht="15" customHeight="1">
      <c r="A792" s="147">
        <v>809</v>
      </c>
      <c r="B792" s="51" t="s">
        <v>23</v>
      </c>
      <c r="C792" s="51" t="s">
        <v>5023</v>
      </c>
      <c r="D792" s="51">
        <v>100023527</v>
      </c>
      <c r="E792" s="53" t="s">
        <v>5024</v>
      </c>
      <c r="F792" s="124">
        <v>250</v>
      </c>
      <c r="G792" s="124">
        <v>18750</v>
      </c>
      <c r="H792" s="369">
        <v>19.16</v>
      </c>
      <c r="I792" s="215" t="s">
        <v>76</v>
      </c>
      <c r="J792" s="215" t="s">
        <v>102</v>
      </c>
      <c r="K792" s="266">
        <v>49081163549</v>
      </c>
      <c r="L792" s="215">
        <v>49081663544</v>
      </c>
      <c r="M792" s="266">
        <v>40049081163547</v>
      </c>
      <c r="N792" s="264">
        <v>0.13400000000000001</v>
      </c>
      <c r="O792" s="265">
        <v>10</v>
      </c>
      <c r="P792" s="265">
        <v>34.82</v>
      </c>
      <c r="Q792" s="265">
        <v>1.1000000000000001</v>
      </c>
    </row>
    <row r="793" spans="1:17" ht="15" customHeight="1">
      <c r="A793" s="147">
        <v>810</v>
      </c>
      <c r="B793" s="51" t="s">
        <v>23</v>
      </c>
      <c r="C793" s="51" t="s">
        <v>5025</v>
      </c>
      <c r="D793" s="51">
        <v>100023528</v>
      </c>
      <c r="E793" s="53" t="s">
        <v>5026</v>
      </c>
      <c r="F793" s="124">
        <v>100</v>
      </c>
      <c r="G793" s="124">
        <v>12000</v>
      </c>
      <c r="H793" s="369">
        <v>23.91</v>
      </c>
      <c r="I793" s="215" t="s">
        <v>76</v>
      </c>
      <c r="J793" s="215" t="s">
        <v>102</v>
      </c>
      <c r="K793" s="266">
        <v>49081163563</v>
      </c>
      <c r="L793" s="215">
        <v>49081663568</v>
      </c>
      <c r="M793" s="266">
        <v>40049081163561</v>
      </c>
      <c r="N793" s="264">
        <v>0.17699999999999999</v>
      </c>
      <c r="O793" s="265">
        <v>10</v>
      </c>
      <c r="P793" s="265">
        <v>18.36</v>
      </c>
      <c r="Q793" s="265">
        <v>0.65</v>
      </c>
    </row>
    <row r="794" spans="1:17" ht="15" customHeight="1">
      <c r="A794" s="147">
        <v>811</v>
      </c>
      <c r="B794" s="51" t="s">
        <v>23</v>
      </c>
      <c r="C794" s="51" t="s">
        <v>5027</v>
      </c>
      <c r="D794" s="51">
        <v>100023529</v>
      </c>
      <c r="E794" s="53" t="s">
        <v>5028</v>
      </c>
      <c r="F794" s="124">
        <v>50</v>
      </c>
      <c r="G794" s="124">
        <v>6000</v>
      </c>
      <c r="H794" s="369">
        <v>30.07</v>
      </c>
      <c r="I794" s="215" t="s">
        <v>76</v>
      </c>
      <c r="J794" s="215" t="s">
        <v>102</v>
      </c>
      <c r="K794" s="266">
        <v>49081163587</v>
      </c>
      <c r="L794" s="215">
        <v>49081663582</v>
      </c>
      <c r="M794" s="266">
        <v>40049081163585</v>
      </c>
      <c r="N794" s="264">
        <v>0.27600000000000002</v>
      </c>
      <c r="O794" s="265">
        <v>5</v>
      </c>
      <c r="P794" s="265">
        <v>15.27</v>
      </c>
      <c r="Q794" s="265">
        <v>0.65</v>
      </c>
    </row>
    <row r="795" spans="1:17" ht="15" customHeight="1">
      <c r="A795" s="147">
        <v>812</v>
      </c>
      <c r="B795" s="51" t="s">
        <v>23</v>
      </c>
      <c r="C795" s="51" t="s">
        <v>5029</v>
      </c>
      <c r="D795" s="51">
        <v>100023530</v>
      </c>
      <c r="E795" s="53" t="s">
        <v>5030</v>
      </c>
      <c r="F795" s="124">
        <v>50</v>
      </c>
      <c r="G795" s="124">
        <v>3750</v>
      </c>
      <c r="H795" s="369">
        <v>32.4</v>
      </c>
      <c r="I795" s="215" t="s">
        <v>346</v>
      </c>
      <c r="J795" s="215" t="s">
        <v>102</v>
      </c>
      <c r="K795" s="266">
        <v>49081163600</v>
      </c>
      <c r="L795" s="215">
        <v>49081663605</v>
      </c>
      <c r="M795" s="266">
        <v>40049081163608</v>
      </c>
      <c r="N795" s="264">
        <v>0.46</v>
      </c>
      <c r="O795" s="265">
        <v>5</v>
      </c>
      <c r="P795" s="265">
        <v>22.97</v>
      </c>
      <c r="Q795" s="265">
        <v>0.95</v>
      </c>
    </row>
    <row r="796" spans="1:17" ht="15" customHeight="1">
      <c r="A796" s="147">
        <v>813</v>
      </c>
      <c r="B796" s="51" t="s">
        <v>23</v>
      </c>
      <c r="C796" s="51" t="s">
        <v>5031</v>
      </c>
      <c r="D796" s="51">
        <v>100023531</v>
      </c>
      <c r="E796" s="53" t="s">
        <v>5032</v>
      </c>
      <c r="F796" s="124">
        <v>25</v>
      </c>
      <c r="G796" s="124">
        <v>2250</v>
      </c>
      <c r="H796" s="369">
        <v>45.93</v>
      </c>
      <c r="I796" s="215" t="s">
        <v>76</v>
      </c>
      <c r="J796" s="215" t="s">
        <v>102</v>
      </c>
      <c r="K796" s="266">
        <v>49081163624</v>
      </c>
      <c r="L796" s="215">
        <v>49081663629</v>
      </c>
      <c r="M796" s="266">
        <v>40049081163622</v>
      </c>
      <c r="N796" s="264">
        <v>0.61599999999999999</v>
      </c>
      <c r="O796" s="265">
        <v>5</v>
      </c>
      <c r="P796" s="265">
        <v>15.89</v>
      </c>
      <c r="Q796" s="265">
        <v>0.8</v>
      </c>
    </row>
    <row r="797" spans="1:17" ht="15" customHeight="1">
      <c r="A797" s="147">
        <v>814</v>
      </c>
      <c r="B797" s="51" t="s">
        <v>23</v>
      </c>
      <c r="C797" s="51" t="s">
        <v>5033</v>
      </c>
      <c r="D797" s="51">
        <v>100023532</v>
      </c>
      <c r="E797" s="53" t="s">
        <v>5034</v>
      </c>
      <c r="F797" s="124">
        <v>25</v>
      </c>
      <c r="G797" s="124">
        <v>1875</v>
      </c>
      <c r="H797" s="369">
        <v>51.71</v>
      </c>
      <c r="I797" s="215" t="s">
        <v>76</v>
      </c>
      <c r="J797" s="215" t="s">
        <v>102</v>
      </c>
      <c r="K797" s="266">
        <v>49081163648</v>
      </c>
      <c r="L797" s="215">
        <v>49081663643</v>
      </c>
      <c r="M797" s="266">
        <v>40049081163646</v>
      </c>
      <c r="N797" s="264">
        <v>0.86599999999999999</v>
      </c>
      <c r="O797" s="265">
        <v>5</v>
      </c>
      <c r="P797" s="265">
        <v>21.75</v>
      </c>
      <c r="Q797" s="265">
        <v>1.1000000000000001</v>
      </c>
    </row>
    <row r="798" spans="1:17" ht="15" customHeight="1">
      <c r="A798" s="147">
        <v>815</v>
      </c>
      <c r="B798" s="51" t="s">
        <v>23</v>
      </c>
      <c r="C798" s="51" t="s">
        <v>5035</v>
      </c>
      <c r="D798" s="51">
        <v>100023535</v>
      </c>
      <c r="E798" s="53" t="s">
        <v>5036</v>
      </c>
      <c r="F798" s="124">
        <v>50</v>
      </c>
      <c r="G798" s="124">
        <v>6000</v>
      </c>
      <c r="H798" s="369">
        <v>64.58</v>
      </c>
      <c r="I798" s="215" t="s">
        <v>76</v>
      </c>
      <c r="J798" s="215" t="s">
        <v>102</v>
      </c>
      <c r="K798" s="266">
        <v>49081161781</v>
      </c>
      <c r="L798" s="215">
        <v>49081661786</v>
      </c>
      <c r="M798" s="266">
        <v>40049081161789</v>
      </c>
      <c r="N798" s="264">
        <v>0.23599999999999999</v>
      </c>
      <c r="O798" s="265">
        <v>5</v>
      </c>
      <c r="P798" s="265">
        <v>11.4</v>
      </c>
      <c r="Q798" s="265">
        <v>0.65</v>
      </c>
    </row>
    <row r="799" spans="1:17" ht="15" customHeight="1">
      <c r="A799" s="147">
        <v>816</v>
      </c>
      <c r="B799" s="51" t="s">
        <v>23</v>
      </c>
      <c r="C799" s="51" t="s">
        <v>5037</v>
      </c>
      <c r="D799" s="51">
        <v>100023536</v>
      </c>
      <c r="E799" s="53" t="s">
        <v>5038</v>
      </c>
      <c r="F799" s="124">
        <v>50</v>
      </c>
      <c r="G799" s="124">
        <v>3750</v>
      </c>
      <c r="H799" s="369">
        <v>85.06</v>
      </c>
      <c r="I799" s="215" t="s">
        <v>76</v>
      </c>
      <c r="J799" s="215" t="s">
        <v>102</v>
      </c>
      <c r="K799" s="266">
        <v>49081161804</v>
      </c>
      <c r="L799" s="215">
        <v>49081661809</v>
      </c>
      <c r="M799" s="266">
        <v>40049081161802</v>
      </c>
      <c r="N799" s="264">
        <v>0.41199999999999998</v>
      </c>
      <c r="O799" s="265">
        <v>5</v>
      </c>
      <c r="P799" s="265">
        <v>21.54</v>
      </c>
      <c r="Q799" s="265">
        <v>1.1000000000000001</v>
      </c>
    </row>
    <row r="800" spans="1:17" ht="15" customHeight="1">
      <c r="A800" s="147">
        <v>817</v>
      </c>
      <c r="B800" s="51" t="s">
        <v>23</v>
      </c>
      <c r="C800" s="51" t="s">
        <v>5039</v>
      </c>
      <c r="D800" s="51">
        <v>100023538</v>
      </c>
      <c r="E800" s="53" t="s">
        <v>5040</v>
      </c>
      <c r="F800" s="124">
        <v>50</v>
      </c>
      <c r="G800" s="124">
        <v>6000</v>
      </c>
      <c r="H800" s="369">
        <v>69.02</v>
      </c>
      <c r="I800" s="215" t="s">
        <v>76</v>
      </c>
      <c r="J800" s="215" t="s">
        <v>102</v>
      </c>
      <c r="K800" s="266">
        <v>49081162566</v>
      </c>
      <c r="L800" s="215">
        <v>49081662561</v>
      </c>
      <c r="M800" s="266">
        <v>40049081162564</v>
      </c>
      <c r="N800" s="264">
        <v>0.22700000000000001</v>
      </c>
      <c r="O800" s="265">
        <v>5</v>
      </c>
      <c r="P800" s="265">
        <v>12.36</v>
      </c>
      <c r="Q800" s="265">
        <v>0.65</v>
      </c>
    </row>
    <row r="801" spans="1:17" ht="15" customHeight="1">
      <c r="A801" s="147">
        <v>818</v>
      </c>
      <c r="B801" s="51" t="s">
        <v>23</v>
      </c>
      <c r="C801" s="51" t="s">
        <v>5041</v>
      </c>
      <c r="D801" s="51">
        <v>100028108</v>
      </c>
      <c r="E801" s="53" t="s">
        <v>5042</v>
      </c>
      <c r="F801" s="124">
        <v>150</v>
      </c>
      <c r="G801" s="124">
        <v>0</v>
      </c>
      <c r="H801" s="369">
        <v>29.77</v>
      </c>
      <c r="I801" s="215" t="s">
        <v>346</v>
      </c>
      <c r="J801" s="215" t="s">
        <v>102</v>
      </c>
      <c r="K801" s="266">
        <v>49081161842</v>
      </c>
      <c r="L801" s="265" t="s">
        <v>649</v>
      </c>
      <c r="M801" s="266">
        <v>40049081161840</v>
      </c>
      <c r="N801" s="264">
        <v>3.3000000000000002E-2</v>
      </c>
      <c r="O801" s="265" t="s">
        <v>649</v>
      </c>
      <c r="P801" s="265">
        <v>4.95</v>
      </c>
      <c r="Q801" s="265" t="s">
        <v>649</v>
      </c>
    </row>
    <row r="802" spans="1:17" ht="15" customHeight="1">
      <c r="A802" s="147">
        <v>819</v>
      </c>
      <c r="B802" s="51" t="s">
        <v>23</v>
      </c>
      <c r="C802" s="51" t="s">
        <v>5043</v>
      </c>
      <c r="D802" s="51">
        <v>100028109</v>
      </c>
      <c r="E802" s="53" t="s">
        <v>5044</v>
      </c>
      <c r="F802" s="124">
        <v>200</v>
      </c>
      <c r="G802" s="124">
        <v>0</v>
      </c>
      <c r="H802" s="369">
        <v>29.77</v>
      </c>
      <c r="I802" s="215" t="s">
        <v>346</v>
      </c>
      <c r="J802" s="215" t="s">
        <v>102</v>
      </c>
      <c r="K802" s="266">
        <v>49081161866</v>
      </c>
      <c r="L802" s="265" t="s">
        <v>649</v>
      </c>
      <c r="M802" s="266">
        <v>40049081161864</v>
      </c>
      <c r="N802" s="264">
        <v>5.7000000000000002E-2</v>
      </c>
      <c r="O802" s="265" t="s">
        <v>649</v>
      </c>
      <c r="P802" s="265">
        <v>11.46</v>
      </c>
      <c r="Q802" s="265" t="s">
        <v>649</v>
      </c>
    </row>
    <row r="803" spans="1:17" ht="15" customHeight="1">
      <c r="A803" s="147">
        <v>820</v>
      </c>
      <c r="B803" s="51" t="s">
        <v>23</v>
      </c>
      <c r="C803" s="51" t="s">
        <v>5045</v>
      </c>
      <c r="D803" s="51">
        <v>100023541</v>
      </c>
      <c r="E803" s="53" t="s">
        <v>5046</v>
      </c>
      <c r="F803" s="124">
        <v>250</v>
      </c>
      <c r="G803" s="124">
        <v>18750</v>
      </c>
      <c r="H803" s="369">
        <v>15.61</v>
      </c>
      <c r="I803" s="215" t="s">
        <v>76</v>
      </c>
      <c r="J803" s="215" t="s">
        <v>102</v>
      </c>
      <c r="K803" s="266">
        <v>49081161880</v>
      </c>
      <c r="L803" s="215">
        <v>49081661885</v>
      </c>
      <c r="M803" s="266">
        <v>40049081161888</v>
      </c>
      <c r="N803" s="264">
        <v>7.4999999999999997E-2</v>
      </c>
      <c r="O803" s="265">
        <v>10</v>
      </c>
      <c r="P803" s="265">
        <v>18.55</v>
      </c>
      <c r="Q803" s="265">
        <v>0.95</v>
      </c>
    </row>
    <row r="804" spans="1:17" ht="15" customHeight="1">
      <c r="A804" s="147">
        <v>821</v>
      </c>
      <c r="B804" s="51" t="s">
        <v>23</v>
      </c>
      <c r="C804" s="51" t="s">
        <v>5047</v>
      </c>
      <c r="D804" s="51">
        <v>100023542</v>
      </c>
      <c r="E804" s="53" t="s">
        <v>5048</v>
      </c>
      <c r="F804" s="124">
        <v>100</v>
      </c>
      <c r="G804" s="124">
        <v>12000</v>
      </c>
      <c r="H804" s="369">
        <v>23.85</v>
      </c>
      <c r="I804" s="215" t="s">
        <v>76</v>
      </c>
      <c r="J804" s="215" t="s">
        <v>102</v>
      </c>
      <c r="K804" s="266">
        <v>49081161903</v>
      </c>
      <c r="L804" s="215">
        <v>49081661908</v>
      </c>
      <c r="M804" s="266">
        <v>40049081161901</v>
      </c>
      <c r="N804" s="264">
        <v>0.13200000000000001</v>
      </c>
      <c r="O804" s="265">
        <v>10</v>
      </c>
      <c r="P804" s="265">
        <v>12.96</v>
      </c>
      <c r="Q804" s="265">
        <v>0.65</v>
      </c>
    </row>
    <row r="805" spans="1:17" ht="15" customHeight="1">
      <c r="A805" s="147">
        <v>822</v>
      </c>
      <c r="B805" s="51" t="s">
        <v>23</v>
      </c>
      <c r="C805" s="51" t="s">
        <v>5049</v>
      </c>
      <c r="D805" s="51">
        <v>100023543</v>
      </c>
      <c r="E805" s="53" t="s">
        <v>5050</v>
      </c>
      <c r="F805" s="124">
        <v>50</v>
      </c>
      <c r="G805" s="124">
        <v>7500</v>
      </c>
      <c r="H805" s="369">
        <v>35.729999999999997</v>
      </c>
      <c r="I805" s="215" t="s">
        <v>76</v>
      </c>
      <c r="J805" s="215" t="s">
        <v>102</v>
      </c>
      <c r="K805" s="266">
        <v>49081161927</v>
      </c>
      <c r="L805" s="215">
        <v>49081661922</v>
      </c>
      <c r="M805" s="266">
        <v>40049081161925</v>
      </c>
      <c r="N805" s="264">
        <v>0.18</v>
      </c>
      <c r="O805" s="265">
        <v>10</v>
      </c>
      <c r="P805" s="265">
        <v>9.85</v>
      </c>
      <c r="Q805" s="265">
        <v>0.5</v>
      </c>
    </row>
    <row r="806" spans="1:17" ht="15" customHeight="1">
      <c r="A806" s="147">
        <v>823</v>
      </c>
      <c r="B806" s="51" t="s">
        <v>23</v>
      </c>
      <c r="C806" s="51" t="s">
        <v>5051</v>
      </c>
      <c r="D806" s="51">
        <v>100023544</v>
      </c>
      <c r="E806" s="53" t="s">
        <v>5052</v>
      </c>
      <c r="F806" s="124">
        <v>50</v>
      </c>
      <c r="G806" s="124">
        <v>4500</v>
      </c>
      <c r="H806" s="369">
        <v>45.53</v>
      </c>
      <c r="I806" s="215" t="s">
        <v>76</v>
      </c>
      <c r="J806" s="215" t="s">
        <v>102</v>
      </c>
      <c r="K806" s="266">
        <v>49081161941</v>
      </c>
      <c r="L806" s="215">
        <v>49081661946</v>
      </c>
      <c r="M806" s="266">
        <v>40049081161949</v>
      </c>
      <c r="N806" s="264">
        <v>0.28100000000000003</v>
      </c>
      <c r="O806" s="265">
        <v>10</v>
      </c>
      <c r="P806" s="265">
        <v>14.35</v>
      </c>
      <c r="Q806" s="265">
        <v>0.8</v>
      </c>
    </row>
    <row r="807" spans="1:17" ht="15" customHeight="1">
      <c r="A807" s="147">
        <v>824</v>
      </c>
      <c r="B807" s="51" t="s">
        <v>23</v>
      </c>
      <c r="C807" s="51" t="s">
        <v>5053</v>
      </c>
      <c r="D807" s="51">
        <v>100023545</v>
      </c>
      <c r="E807" s="53" t="s">
        <v>5054</v>
      </c>
      <c r="F807" s="124">
        <v>50</v>
      </c>
      <c r="G807" s="124">
        <v>3750</v>
      </c>
      <c r="H807" s="369">
        <v>53.82</v>
      </c>
      <c r="I807" s="215" t="s">
        <v>76</v>
      </c>
      <c r="J807" s="215" t="s">
        <v>102</v>
      </c>
      <c r="K807" s="266">
        <v>49081161965</v>
      </c>
      <c r="L807" s="215">
        <v>49081661960</v>
      </c>
      <c r="M807" s="266">
        <v>40049081161963</v>
      </c>
      <c r="N807" s="264">
        <v>0.371</v>
      </c>
      <c r="O807" s="265">
        <v>5</v>
      </c>
      <c r="P807" s="265">
        <v>18.420000000000002</v>
      </c>
      <c r="Q807" s="265">
        <v>1.1000000000000001</v>
      </c>
    </row>
    <row r="808" spans="1:17" ht="15" customHeight="1">
      <c r="A808" s="147">
        <v>825</v>
      </c>
      <c r="B808" s="51" t="s">
        <v>23</v>
      </c>
      <c r="C808" s="51" t="s">
        <v>5055</v>
      </c>
      <c r="D808" s="51">
        <v>100023546</v>
      </c>
      <c r="E808" s="53" t="s">
        <v>5056</v>
      </c>
      <c r="F808" s="124">
        <v>25</v>
      </c>
      <c r="G808" s="124">
        <v>1875</v>
      </c>
      <c r="H808" s="369">
        <v>69.73</v>
      </c>
      <c r="I808" s="215" t="s">
        <v>76</v>
      </c>
      <c r="J808" s="215" t="s">
        <v>102</v>
      </c>
      <c r="K808" s="266">
        <v>49081161989</v>
      </c>
      <c r="L808" s="215">
        <v>49081661984</v>
      </c>
      <c r="M808" s="266">
        <v>40049081161987</v>
      </c>
      <c r="N808" s="264">
        <v>0.51</v>
      </c>
      <c r="O808" s="265">
        <v>5</v>
      </c>
      <c r="P808" s="265">
        <v>14.26</v>
      </c>
      <c r="Q808" s="265">
        <v>1.1000000000000001</v>
      </c>
    </row>
    <row r="809" spans="1:17" ht="15" customHeight="1">
      <c r="A809" s="147">
        <v>826</v>
      </c>
      <c r="B809" s="51" t="s">
        <v>23</v>
      </c>
      <c r="C809" s="51" t="s">
        <v>5057</v>
      </c>
      <c r="D809" s="51">
        <v>100023547</v>
      </c>
      <c r="E809" s="53" t="s">
        <v>5058</v>
      </c>
      <c r="F809" s="124">
        <v>10</v>
      </c>
      <c r="G809" s="124">
        <v>900</v>
      </c>
      <c r="H809" s="369">
        <v>146.44</v>
      </c>
      <c r="I809" s="215" t="s">
        <v>76</v>
      </c>
      <c r="J809" s="215" t="s">
        <v>102</v>
      </c>
      <c r="K809" s="266">
        <v>49081162009</v>
      </c>
      <c r="L809" s="265" t="s">
        <v>649</v>
      </c>
      <c r="M809" s="266">
        <v>40049081162007</v>
      </c>
      <c r="N809" s="264">
        <v>1.2050000000000001</v>
      </c>
      <c r="O809" s="265" t="s">
        <v>649</v>
      </c>
      <c r="P809" s="265">
        <v>12.23</v>
      </c>
      <c r="Q809" s="265">
        <v>0.8</v>
      </c>
    </row>
    <row r="810" spans="1:17" ht="15" customHeight="1">
      <c r="A810" s="147">
        <v>827</v>
      </c>
      <c r="B810" s="51" t="s">
        <v>23</v>
      </c>
      <c r="C810" s="51" t="s">
        <v>5059</v>
      </c>
      <c r="D810" s="51">
        <v>100023548</v>
      </c>
      <c r="E810" s="53" t="s">
        <v>5060</v>
      </c>
      <c r="F810" s="124">
        <v>10</v>
      </c>
      <c r="G810" s="124">
        <v>750</v>
      </c>
      <c r="H810" s="369">
        <v>178.22</v>
      </c>
      <c r="I810" s="215" t="s">
        <v>76</v>
      </c>
      <c r="J810" s="215" t="s">
        <v>102</v>
      </c>
      <c r="K810" s="266">
        <v>49081162023</v>
      </c>
      <c r="L810" s="265" t="s">
        <v>649</v>
      </c>
      <c r="M810" s="266">
        <v>40049081162021</v>
      </c>
      <c r="N810" s="264">
        <v>1.4890000000000001</v>
      </c>
      <c r="O810" s="265" t="s">
        <v>649</v>
      </c>
      <c r="P810" s="265">
        <v>16.03</v>
      </c>
      <c r="Q810" s="265">
        <v>1.1000000000000001</v>
      </c>
    </row>
    <row r="811" spans="1:17" ht="15" customHeight="1">
      <c r="A811" s="147">
        <v>828</v>
      </c>
      <c r="B811" s="51" t="s">
        <v>23</v>
      </c>
      <c r="C811" s="51" t="s">
        <v>5061</v>
      </c>
      <c r="D811" s="51">
        <v>100023549</v>
      </c>
      <c r="E811" s="53" t="s">
        <v>5062</v>
      </c>
      <c r="F811" s="124">
        <v>4</v>
      </c>
      <c r="G811" s="124">
        <v>240</v>
      </c>
      <c r="H811" s="369">
        <v>320.88</v>
      </c>
      <c r="I811" s="215" t="s">
        <v>76</v>
      </c>
      <c r="J811" s="215" t="s">
        <v>102</v>
      </c>
      <c r="K811" s="266">
        <v>49081162047</v>
      </c>
      <c r="L811" s="265" t="s">
        <v>649</v>
      </c>
      <c r="M811" s="266">
        <v>40049081162045</v>
      </c>
      <c r="N811" s="264">
        <v>2.734</v>
      </c>
      <c r="O811" s="265" t="s">
        <v>649</v>
      </c>
      <c r="P811" s="265">
        <v>12.16</v>
      </c>
      <c r="Q811" s="265">
        <v>1.25</v>
      </c>
    </row>
    <row r="812" spans="1:17" ht="15" customHeight="1">
      <c r="A812" s="147">
        <v>829</v>
      </c>
      <c r="B812" s="51" t="s">
        <v>23</v>
      </c>
      <c r="C812" s="51" t="s">
        <v>5063</v>
      </c>
      <c r="D812" s="51">
        <v>100023550</v>
      </c>
      <c r="E812" s="53" t="s">
        <v>5064</v>
      </c>
      <c r="F812" s="124">
        <v>2</v>
      </c>
      <c r="G812" s="124">
        <v>120</v>
      </c>
      <c r="H812" s="369">
        <v>404.12</v>
      </c>
      <c r="I812" s="215" t="s">
        <v>76</v>
      </c>
      <c r="J812" s="215" t="s">
        <v>102</v>
      </c>
      <c r="K812" s="266">
        <v>49081162085</v>
      </c>
      <c r="L812" s="265" t="s">
        <v>649</v>
      </c>
      <c r="M812" s="266">
        <v>40049081162083</v>
      </c>
      <c r="N812" s="264">
        <v>5.4939999999999998</v>
      </c>
      <c r="O812" s="265" t="s">
        <v>649</v>
      </c>
      <c r="P812" s="265">
        <v>11.9</v>
      </c>
      <c r="Q812" s="265">
        <v>1.41</v>
      </c>
    </row>
    <row r="813" spans="1:17" ht="15" customHeight="1">
      <c r="A813" s="147">
        <v>830</v>
      </c>
      <c r="B813" s="51" t="s">
        <v>23</v>
      </c>
      <c r="C813" s="51" t="s">
        <v>5065</v>
      </c>
      <c r="D813" s="51">
        <v>100023551</v>
      </c>
      <c r="E813" s="53" t="s">
        <v>5066</v>
      </c>
      <c r="F813" s="124">
        <v>2</v>
      </c>
      <c r="G813" s="124">
        <v>48</v>
      </c>
      <c r="H813" s="369">
        <v>876.15</v>
      </c>
      <c r="I813" s="215" t="s">
        <v>76</v>
      </c>
      <c r="J813" s="215" t="s">
        <v>102</v>
      </c>
      <c r="K813" s="266">
        <v>49081162108</v>
      </c>
      <c r="L813" s="265" t="s">
        <v>649</v>
      </c>
      <c r="M813" s="266">
        <v>40049081162106</v>
      </c>
      <c r="N813" s="264">
        <v>13.265000000000001</v>
      </c>
      <c r="O813" s="265" t="s">
        <v>649</v>
      </c>
      <c r="P813" s="265">
        <v>28.34</v>
      </c>
      <c r="Q813" s="265">
        <v>2.77</v>
      </c>
    </row>
    <row r="814" spans="1:17" ht="15" customHeight="1">
      <c r="A814" s="147">
        <v>831</v>
      </c>
      <c r="B814" s="51" t="s">
        <v>23</v>
      </c>
      <c r="C814" s="51" t="s">
        <v>5067</v>
      </c>
      <c r="D814" s="51">
        <v>100028116</v>
      </c>
      <c r="E814" s="53" t="s">
        <v>5068</v>
      </c>
      <c r="F814" s="124">
        <v>25</v>
      </c>
      <c r="G814" s="124">
        <v>0</v>
      </c>
      <c r="H814" s="369">
        <v>63.31</v>
      </c>
      <c r="I814" s="215" t="s">
        <v>76</v>
      </c>
      <c r="J814" s="215" t="s">
        <v>102</v>
      </c>
      <c r="K814" s="266">
        <v>49081162344</v>
      </c>
      <c r="L814" s="265" t="s">
        <v>649</v>
      </c>
      <c r="M814" s="266">
        <v>40049081162342</v>
      </c>
      <c r="N814" s="264">
        <v>0.26700000000000002</v>
      </c>
      <c r="O814" s="265" t="s">
        <v>649</v>
      </c>
      <c r="P814" s="265">
        <v>6.6680000000000001</v>
      </c>
      <c r="Q814" s="265" t="s">
        <v>649</v>
      </c>
    </row>
    <row r="815" spans="1:17" ht="15" customHeight="1">
      <c r="A815" s="147">
        <v>832</v>
      </c>
      <c r="B815" s="51" t="s">
        <v>23</v>
      </c>
      <c r="C815" s="51" t="s">
        <v>5069</v>
      </c>
      <c r="D815" s="51">
        <v>100028118</v>
      </c>
      <c r="E815" s="53" t="s">
        <v>5070</v>
      </c>
      <c r="F815" s="124">
        <v>20</v>
      </c>
      <c r="G815" s="124">
        <v>0</v>
      </c>
      <c r="H815" s="369">
        <v>117.98</v>
      </c>
      <c r="I815" s="215" t="s">
        <v>76</v>
      </c>
      <c r="J815" s="215" t="s">
        <v>102</v>
      </c>
      <c r="K815" s="266">
        <v>49081162382</v>
      </c>
      <c r="L815" s="265" t="s">
        <v>649</v>
      </c>
      <c r="M815" s="266">
        <v>40049081162380</v>
      </c>
      <c r="N815" s="264">
        <v>0.52</v>
      </c>
      <c r="O815" s="265" t="s">
        <v>649</v>
      </c>
      <c r="P815" s="265">
        <v>10.404</v>
      </c>
      <c r="Q815" s="265" t="s">
        <v>649</v>
      </c>
    </row>
    <row r="816" spans="1:17" ht="15" customHeight="1">
      <c r="A816" s="147">
        <v>833</v>
      </c>
      <c r="B816" s="51" t="s">
        <v>23</v>
      </c>
      <c r="C816" s="51" t="s">
        <v>5071</v>
      </c>
      <c r="D816" s="51">
        <v>100028119</v>
      </c>
      <c r="E816" s="53" t="s">
        <v>5072</v>
      </c>
      <c r="F816" s="124">
        <v>15</v>
      </c>
      <c r="G816" s="124">
        <v>0</v>
      </c>
      <c r="H816" s="369">
        <v>375.5</v>
      </c>
      <c r="I816" s="215" t="s">
        <v>346</v>
      </c>
      <c r="J816" s="215" t="s">
        <v>102</v>
      </c>
      <c r="K816" s="266">
        <v>49081162429</v>
      </c>
      <c r="L816" s="265" t="s">
        <v>649</v>
      </c>
      <c r="M816" s="266">
        <v>40049081162427</v>
      </c>
      <c r="N816" s="264">
        <v>1.429</v>
      </c>
      <c r="O816" s="265" t="s">
        <v>649</v>
      </c>
      <c r="P816" s="265">
        <v>21.428999999999998</v>
      </c>
      <c r="Q816" s="265" t="s">
        <v>649</v>
      </c>
    </row>
    <row r="817" spans="1:17" ht="15" customHeight="1">
      <c r="A817" s="147">
        <v>834</v>
      </c>
      <c r="B817" s="51" t="s">
        <v>23</v>
      </c>
      <c r="C817" s="51" t="s">
        <v>5073</v>
      </c>
      <c r="D817" s="51">
        <v>100028120</v>
      </c>
      <c r="E817" s="53" t="s">
        <v>5074</v>
      </c>
      <c r="F817" s="124">
        <v>5</v>
      </c>
      <c r="G817" s="124">
        <v>0</v>
      </c>
      <c r="H817" s="369">
        <v>538.83000000000004</v>
      </c>
      <c r="I817" s="215" t="s">
        <v>346</v>
      </c>
      <c r="J817" s="215" t="s">
        <v>102</v>
      </c>
      <c r="K817" s="266">
        <v>49081162443</v>
      </c>
      <c r="L817" s="265" t="s">
        <v>649</v>
      </c>
      <c r="M817" s="266">
        <v>40049081162441</v>
      </c>
      <c r="N817" s="264">
        <v>2.5129999999999999</v>
      </c>
      <c r="O817" s="265" t="s">
        <v>649</v>
      </c>
      <c r="P817" s="265">
        <v>12.566000000000001</v>
      </c>
      <c r="Q817" s="265" t="s">
        <v>649</v>
      </c>
    </row>
    <row r="818" spans="1:17" ht="15" customHeight="1">
      <c r="A818" s="147">
        <v>835</v>
      </c>
      <c r="B818" s="51" t="s">
        <v>23</v>
      </c>
      <c r="C818" s="51" t="s">
        <v>5075</v>
      </c>
      <c r="D818" s="51">
        <v>100028121</v>
      </c>
      <c r="E818" s="53" t="s">
        <v>5076</v>
      </c>
      <c r="F818" s="124">
        <v>200</v>
      </c>
      <c r="G818" s="124">
        <v>0</v>
      </c>
      <c r="H818" s="369">
        <v>23.98</v>
      </c>
      <c r="I818" s="215" t="s">
        <v>346</v>
      </c>
      <c r="J818" s="215" t="s">
        <v>102</v>
      </c>
      <c r="K818" s="266">
        <v>49081160609</v>
      </c>
      <c r="L818" s="215">
        <v>0</v>
      </c>
      <c r="M818" s="266">
        <v>40049081160607</v>
      </c>
      <c r="N818" s="264">
        <v>2.9000000000000001E-2</v>
      </c>
      <c r="O818" s="265">
        <v>100</v>
      </c>
      <c r="P818" s="265">
        <v>5.72</v>
      </c>
      <c r="Q818" s="265" t="s">
        <v>649</v>
      </c>
    </row>
    <row r="819" spans="1:17" ht="15" customHeight="1">
      <c r="A819" s="147">
        <v>836</v>
      </c>
      <c r="B819" s="51" t="s">
        <v>23</v>
      </c>
      <c r="C819" s="51" t="s">
        <v>5077</v>
      </c>
      <c r="D819" s="51">
        <v>100028122</v>
      </c>
      <c r="E819" s="53" t="s">
        <v>5078</v>
      </c>
      <c r="F819" s="124">
        <v>50</v>
      </c>
      <c r="G819" s="124">
        <v>0</v>
      </c>
      <c r="H819" s="369">
        <v>23.98</v>
      </c>
      <c r="I819" s="215" t="s">
        <v>346</v>
      </c>
      <c r="J819" s="215" t="s">
        <v>102</v>
      </c>
      <c r="K819" s="266">
        <v>49081160623</v>
      </c>
      <c r="L819" s="265" t="s">
        <v>649</v>
      </c>
      <c r="M819" s="266">
        <v>40049081160621</v>
      </c>
      <c r="N819" s="264">
        <v>3.4000000000000002E-2</v>
      </c>
      <c r="O819" s="265" t="s">
        <v>649</v>
      </c>
      <c r="P819" s="265">
        <v>2.09</v>
      </c>
      <c r="Q819" s="265" t="s">
        <v>649</v>
      </c>
    </row>
    <row r="820" spans="1:17" ht="15" customHeight="1">
      <c r="A820" s="147">
        <v>837</v>
      </c>
      <c r="B820" s="51" t="s">
        <v>23</v>
      </c>
      <c r="C820" s="51" t="s">
        <v>5079</v>
      </c>
      <c r="D820" s="51">
        <v>100023552</v>
      </c>
      <c r="E820" s="53" t="s">
        <v>5080</v>
      </c>
      <c r="F820" s="124">
        <v>250</v>
      </c>
      <c r="G820" s="124">
        <v>30000</v>
      </c>
      <c r="H820" s="369">
        <v>15.02</v>
      </c>
      <c r="I820" s="215" t="s">
        <v>76</v>
      </c>
      <c r="J820" s="215" t="s">
        <v>102</v>
      </c>
      <c r="K820" s="266">
        <v>49081160647</v>
      </c>
      <c r="L820" s="215">
        <v>49081660642</v>
      </c>
      <c r="M820" s="266">
        <v>40049081160645</v>
      </c>
      <c r="N820" s="264">
        <v>5.3999999999999999E-2</v>
      </c>
      <c r="O820" s="265">
        <v>10</v>
      </c>
      <c r="P820" s="265">
        <v>13.17</v>
      </c>
      <c r="Q820" s="265">
        <v>0.65</v>
      </c>
    </row>
    <row r="821" spans="1:17" ht="15" customHeight="1">
      <c r="A821" s="147">
        <v>838</v>
      </c>
      <c r="B821" s="51" t="s">
        <v>23</v>
      </c>
      <c r="C821" s="51" t="s">
        <v>5081</v>
      </c>
      <c r="D821" s="51">
        <v>100023553</v>
      </c>
      <c r="E821" s="53" t="s">
        <v>5082</v>
      </c>
      <c r="F821" s="124">
        <v>250</v>
      </c>
      <c r="G821" s="124">
        <v>18750</v>
      </c>
      <c r="H821" s="369">
        <v>20.28</v>
      </c>
      <c r="I821" s="215" t="s">
        <v>76</v>
      </c>
      <c r="J821" s="215" t="s">
        <v>102</v>
      </c>
      <c r="K821" s="266">
        <v>49081160661</v>
      </c>
      <c r="L821" s="215">
        <v>49081660666</v>
      </c>
      <c r="M821" s="266">
        <v>40049081160669</v>
      </c>
      <c r="N821" s="264">
        <v>7.1999999999999995E-2</v>
      </c>
      <c r="O821" s="265">
        <v>10</v>
      </c>
      <c r="P821" s="265">
        <v>19.25</v>
      </c>
      <c r="Q821" s="265">
        <v>0.95</v>
      </c>
    </row>
    <row r="822" spans="1:17" ht="15" customHeight="1">
      <c r="A822" s="147">
        <v>839</v>
      </c>
      <c r="B822" s="51" t="s">
        <v>23</v>
      </c>
      <c r="C822" s="51" t="s">
        <v>5083</v>
      </c>
      <c r="D822" s="51">
        <v>100023555</v>
      </c>
      <c r="E822" s="53" t="s">
        <v>5084</v>
      </c>
      <c r="F822" s="124">
        <v>100</v>
      </c>
      <c r="G822" s="124">
        <v>9000</v>
      </c>
      <c r="H822" s="369">
        <v>20.89</v>
      </c>
      <c r="I822" s="215" t="s">
        <v>76</v>
      </c>
      <c r="J822" s="215" t="s">
        <v>102</v>
      </c>
      <c r="K822" s="266">
        <v>49081160708</v>
      </c>
      <c r="L822" s="215">
        <v>49081660703</v>
      </c>
      <c r="M822" s="266">
        <v>40049081160706</v>
      </c>
      <c r="N822" s="264">
        <v>0.13200000000000001</v>
      </c>
      <c r="O822" s="265">
        <v>10</v>
      </c>
      <c r="P822" s="265">
        <v>14.21</v>
      </c>
      <c r="Q822" s="265">
        <v>0.8</v>
      </c>
    </row>
    <row r="823" spans="1:17" ht="15" customHeight="1">
      <c r="A823" s="147">
        <v>840</v>
      </c>
      <c r="B823" s="51" t="s">
        <v>23</v>
      </c>
      <c r="C823" s="51" t="s">
        <v>5085</v>
      </c>
      <c r="D823" s="51">
        <v>100023556</v>
      </c>
      <c r="E823" s="53" t="s">
        <v>5086</v>
      </c>
      <c r="F823" s="124">
        <v>50</v>
      </c>
      <c r="G823" s="124">
        <v>6000</v>
      </c>
      <c r="H823" s="369">
        <v>31.77</v>
      </c>
      <c r="I823" s="215" t="s">
        <v>76</v>
      </c>
      <c r="J823" s="215" t="s">
        <v>102</v>
      </c>
      <c r="K823" s="266">
        <v>49081160746</v>
      </c>
      <c r="L823" s="215">
        <v>49081660741</v>
      </c>
      <c r="M823" s="266">
        <v>40049081160744</v>
      </c>
      <c r="N823" s="264">
        <v>0.19</v>
      </c>
      <c r="O823" s="265">
        <v>5</v>
      </c>
      <c r="P823" s="265">
        <v>10.73</v>
      </c>
      <c r="Q823" s="265">
        <v>0.65</v>
      </c>
    </row>
    <row r="824" spans="1:17" ht="15" customHeight="1">
      <c r="A824" s="147">
        <v>841</v>
      </c>
      <c r="B824" s="51" t="s">
        <v>23</v>
      </c>
      <c r="C824" s="51" t="s">
        <v>5087</v>
      </c>
      <c r="D824" s="51">
        <v>100023557</v>
      </c>
      <c r="E824" s="53" t="s">
        <v>5088</v>
      </c>
      <c r="F824" s="124">
        <v>50</v>
      </c>
      <c r="G824" s="124">
        <v>3750</v>
      </c>
      <c r="H824" s="369">
        <v>34.24</v>
      </c>
      <c r="I824" s="215" t="s">
        <v>76</v>
      </c>
      <c r="J824" s="215" t="s">
        <v>102</v>
      </c>
      <c r="K824" s="266">
        <v>49081160784</v>
      </c>
      <c r="L824" s="215">
        <v>49081660789</v>
      </c>
      <c r="M824" s="266">
        <v>40049081160782</v>
      </c>
      <c r="N824" s="264">
        <v>0.29299999999999998</v>
      </c>
      <c r="O824" s="265">
        <v>5</v>
      </c>
      <c r="P824" s="265">
        <v>14.74</v>
      </c>
      <c r="Q824" s="265">
        <v>0.95</v>
      </c>
    </row>
    <row r="825" spans="1:17" ht="15" customHeight="1">
      <c r="A825" s="147">
        <v>842</v>
      </c>
      <c r="B825" s="51" t="s">
        <v>23</v>
      </c>
      <c r="C825" s="51" t="s">
        <v>5089</v>
      </c>
      <c r="D825" s="51">
        <v>100023558</v>
      </c>
      <c r="E825" s="53" t="s">
        <v>5090</v>
      </c>
      <c r="F825" s="124">
        <v>25</v>
      </c>
      <c r="G825" s="124">
        <v>2250</v>
      </c>
      <c r="H825" s="369">
        <v>36.76</v>
      </c>
      <c r="I825" s="215" t="s">
        <v>76</v>
      </c>
      <c r="J825" s="215" t="s">
        <v>102</v>
      </c>
      <c r="K825" s="266">
        <v>49081160821</v>
      </c>
      <c r="L825" s="215">
        <v>49081660826</v>
      </c>
      <c r="M825" s="266">
        <v>40049081160829</v>
      </c>
      <c r="N825" s="264">
        <v>0.378</v>
      </c>
      <c r="O825" s="265">
        <v>5</v>
      </c>
      <c r="P825" s="265">
        <v>10.65</v>
      </c>
      <c r="Q825" s="265">
        <v>0.8</v>
      </c>
    </row>
    <row r="826" spans="1:17" ht="15" customHeight="1">
      <c r="A826" s="147">
        <v>843</v>
      </c>
      <c r="B826" s="51" t="s">
        <v>23</v>
      </c>
      <c r="C826" s="51" t="s">
        <v>5091</v>
      </c>
      <c r="D826" s="51">
        <v>100023559</v>
      </c>
      <c r="E826" s="53" t="s">
        <v>5092</v>
      </c>
      <c r="F826" s="124">
        <v>25</v>
      </c>
      <c r="G826" s="124">
        <v>1875</v>
      </c>
      <c r="H826" s="369">
        <v>90.53</v>
      </c>
      <c r="I826" s="215" t="s">
        <v>76</v>
      </c>
      <c r="J826" s="215" t="s">
        <v>102</v>
      </c>
      <c r="K826" s="266">
        <v>49081160869</v>
      </c>
      <c r="L826" s="215">
        <v>49081660864</v>
      </c>
      <c r="M826" s="266">
        <v>40049081160867</v>
      </c>
      <c r="N826" s="264">
        <v>0.754</v>
      </c>
      <c r="O826" s="265">
        <v>5</v>
      </c>
      <c r="P826" s="265">
        <v>18.66</v>
      </c>
      <c r="Q826" s="265">
        <v>1.1000000000000001</v>
      </c>
    </row>
    <row r="827" spans="1:17" ht="15" customHeight="1">
      <c r="A827" s="147">
        <v>844</v>
      </c>
      <c r="B827" s="51" t="s">
        <v>23</v>
      </c>
      <c r="C827" s="51" t="s">
        <v>5093</v>
      </c>
      <c r="D827" s="51">
        <v>100023560</v>
      </c>
      <c r="E827" s="53" t="s">
        <v>5094</v>
      </c>
      <c r="F827" s="124">
        <v>10</v>
      </c>
      <c r="G827" s="124">
        <v>1200</v>
      </c>
      <c r="H827" s="369">
        <v>103.92</v>
      </c>
      <c r="I827" s="215" t="s">
        <v>76</v>
      </c>
      <c r="J827" s="215" t="s">
        <v>102</v>
      </c>
      <c r="K827" s="266">
        <v>49081160883</v>
      </c>
      <c r="L827" s="265" t="s">
        <v>649</v>
      </c>
      <c r="M827" s="266">
        <v>40049081160881</v>
      </c>
      <c r="N827" s="264">
        <v>0.85599999999999998</v>
      </c>
      <c r="O827" s="265" t="s">
        <v>649</v>
      </c>
      <c r="P827" s="265">
        <v>9.3699999999999992</v>
      </c>
      <c r="Q827" s="265">
        <v>0.65</v>
      </c>
    </row>
    <row r="828" spans="1:17" ht="15" customHeight="1">
      <c r="A828" s="147">
        <v>845</v>
      </c>
      <c r="B828" s="51" t="s">
        <v>23</v>
      </c>
      <c r="C828" s="51" t="s">
        <v>5095</v>
      </c>
      <c r="D828" s="51">
        <v>100023561</v>
      </c>
      <c r="E828" s="53" t="s">
        <v>5096</v>
      </c>
      <c r="F828" s="124">
        <v>8</v>
      </c>
      <c r="G828" s="124">
        <v>600</v>
      </c>
      <c r="H828" s="369">
        <v>130.13</v>
      </c>
      <c r="I828" s="215" t="s">
        <v>76</v>
      </c>
      <c r="J828" s="215" t="s">
        <v>102</v>
      </c>
      <c r="K828" s="266">
        <v>49081160906</v>
      </c>
      <c r="L828" s="265" t="s">
        <v>649</v>
      </c>
      <c r="M828" s="266">
        <v>40049081160904</v>
      </c>
      <c r="N828" s="264">
        <v>1.3160000000000001</v>
      </c>
      <c r="O828" s="265" t="s">
        <v>649</v>
      </c>
      <c r="P828" s="265">
        <v>11.95</v>
      </c>
      <c r="Q828" s="265">
        <v>1.1000000000000001</v>
      </c>
    </row>
    <row r="829" spans="1:17" ht="15" customHeight="1">
      <c r="A829" s="147">
        <v>846</v>
      </c>
      <c r="B829" s="51" t="s">
        <v>23</v>
      </c>
      <c r="C829" s="51" t="s">
        <v>5097</v>
      </c>
      <c r="D829" s="51">
        <v>100023562</v>
      </c>
      <c r="E829" s="53" t="s">
        <v>5098</v>
      </c>
      <c r="F829" s="124">
        <v>4</v>
      </c>
      <c r="G829" s="124">
        <v>300</v>
      </c>
      <c r="H829" s="369">
        <v>280.06</v>
      </c>
      <c r="I829" s="215" t="s">
        <v>76</v>
      </c>
      <c r="J829" s="215" t="s">
        <v>102</v>
      </c>
      <c r="K829" s="266">
        <v>49081160944</v>
      </c>
      <c r="L829" s="265" t="s">
        <v>649</v>
      </c>
      <c r="M829" s="266">
        <v>40049081160942</v>
      </c>
      <c r="N829" s="264">
        <v>3.31</v>
      </c>
      <c r="O829" s="265" t="s">
        <v>649</v>
      </c>
      <c r="P829" s="265">
        <v>14.52</v>
      </c>
      <c r="Q829" s="265">
        <v>1.1000000000000001</v>
      </c>
    </row>
    <row r="830" spans="1:17" ht="15" customHeight="1">
      <c r="A830" s="147">
        <v>847</v>
      </c>
      <c r="B830" s="51" t="s">
        <v>23</v>
      </c>
      <c r="C830" s="51" t="s">
        <v>5099</v>
      </c>
      <c r="D830" s="51">
        <v>100023563</v>
      </c>
      <c r="E830" s="53" t="s">
        <v>5100</v>
      </c>
      <c r="F830" s="124">
        <v>5</v>
      </c>
      <c r="G830" s="124">
        <v>120</v>
      </c>
      <c r="H830" s="369">
        <v>381.16</v>
      </c>
      <c r="I830" s="215" t="s">
        <v>76</v>
      </c>
      <c r="J830" s="215" t="s">
        <v>102</v>
      </c>
      <c r="K830" s="266">
        <v>49081160968</v>
      </c>
      <c r="L830" s="265" t="s">
        <v>649</v>
      </c>
      <c r="M830" s="266">
        <v>40049081160966</v>
      </c>
      <c r="N830" s="264">
        <v>6.2510000000000003</v>
      </c>
      <c r="O830" s="265" t="s">
        <v>649</v>
      </c>
      <c r="P830" s="265">
        <v>34.630000000000003</v>
      </c>
      <c r="Q830" s="265">
        <v>2.77</v>
      </c>
    </row>
    <row r="831" spans="1:17" ht="15" customHeight="1">
      <c r="A831" s="147">
        <v>848</v>
      </c>
      <c r="B831" s="51" t="s">
        <v>23</v>
      </c>
      <c r="C831" s="51" t="s">
        <v>5101</v>
      </c>
      <c r="D831" s="51">
        <v>100028132</v>
      </c>
      <c r="E831" s="53" t="s">
        <v>5102</v>
      </c>
      <c r="F831" s="124">
        <v>5</v>
      </c>
      <c r="G831" s="124">
        <v>0</v>
      </c>
      <c r="H831" s="369">
        <v>296.64</v>
      </c>
      <c r="I831" s="215" t="s">
        <v>76</v>
      </c>
      <c r="J831" s="215" t="s">
        <v>102</v>
      </c>
      <c r="K831" s="266">
        <v>49081150860</v>
      </c>
      <c r="L831" s="265" t="s">
        <v>649</v>
      </c>
      <c r="M831" s="266">
        <v>40049081150868</v>
      </c>
      <c r="N831" s="264">
        <v>1.68</v>
      </c>
      <c r="O831" s="265" t="s">
        <v>649</v>
      </c>
      <c r="P831" s="265">
        <v>8.4</v>
      </c>
      <c r="Q831" s="265" t="s">
        <v>649</v>
      </c>
    </row>
    <row r="832" spans="1:17" ht="15" customHeight="1">
      <c r="A832" s="147">
        <v>849</v>
      </c>
      <c r="B832" s="51" t="s">
        <v>23</v>
      </c>
      <c r="C832" s="51" t="s">
        <v>5103</v>
      </c>
      <c r="D832" s="51">
        <v>100028134</v>
      </c>
      <c r="E832" s="53" t="s">
        <v>5104</v>
      </c>
      <c r="F832" s="124">
        <v>2</v>
      </c>
      <c r="G832" s="124">
        <v>0</v>
      </c>
      <c r="H832" s="369">
        <v>1832.46</v>
      </c>
      <c r="I832" s="215" t="s">
        <v>346</v>
      </c>
      <c r="J832" s="215" t="s">
        <v>102</v>
      </c>
      <c r="K832" s="266">
        <v>49081150983</v>
      </c>
      <c r="L832" s="265" t="s">
        <v>649</v>
      </c>
      <c r="M832" s="266">
        <v>40049081150981</v>
      </c>
      <c r="N832" s="264">
        <v>7.5839999999999996</v>
      </c>
      <c r="O832" s="265" t="s">
        <v>649</v>
      </c>
      <c r="P832" s="265">
        <v>15.167999999999999</v>
      </c>
      <c r="Q832" s="265" t="s">
        <v>649</v>
      </c>
    </row>
    <row r="833" spans="1:17" ht="15" customHeight="1">
      <c r="A833" s="147">
        <v>850</v>
      </c>
      <c r="B833" s="51" t="s">
        <v>23</v>
      </c>
      <c r="C833" s="51" t="s">
        <v>5105</v>
      </c>
      <c r="D833" s="51">
        <v>100030600</v>
      </c>
      <c r="E833" s="53" t="s">
        <v>5106</v>
      </c>
      <c r="F833" s="124">
        <v>200</v>
      </c>
      <c r="G833" s="124">
        <v>0</v>
      </c>
      <c r="H833" s="369">
        <v>17.98</v>
      </c>
      <c r="I833" s="215" t="s">
        <v>346</v>
      </c>
      <c r="J833" s="215" t="s">
        <v>102</v>
      </c>
      <c r="K833" s="266">
        <v>49081161125</v>
      </c>
      <c r="L833" s="265" t="s">
        <v>649</v>
      </c>
      <c r="M833" s="266">
        <v>40049081161123</v>
      </c>
      <c r="N833" s="264">
        <v>3.7999999999999999E-2</v>
      </c>
      <c r="O833" s="265" t="s">
        <v>649</v>
      </c>
      <c r="P833" s="265">
        <v>7.58</v>
      </c>
      <c r="Q833" s="265" t="s">
        <v>649</v>
      </c>
    </row>
    <row r="834" spans="1:17" ht="15" customHeight="1">
      <c r="A834" s="147">
        <v>851</v>
      </c>
      <c r="B834" s="51" t="s">
        <v>23</v>
      </c>
      <c r="C834" s="51" t="s">
        <v>5107</v>
      </c>
      <c r="D834" s="51">
        <v>100023564</v>
      </c>
      <c r="E834" s="53" t="s">
        <v>5108</v>
      </c>
      <c r="F834" s="124">
        <v>250</v>
      </c>
      <c r="G834" s="124">
        <v>30000</v>
      </c>
      <c r="H834" s="369">
        <v>16.75</v>
      </c>
      <c r="I834" s="215" t="s">
        <v>76</v>
      </c>
      <c r="J834" s="215" t="s">
        <v>102</v>
      </c>
      <c r="K834" s="266">
        <v>49081161149</v>
      </c>
      <c r="L834" s="215">
        <v>49081661144</v>
      </c>
      <c r="M834" s="266">
        <v>40049081161147</v>
      </c>
      <c r="N834" s="264">
        <v>7.5999999999999998E-2</v>
      </c>
      <c r="O834" s="265">
        <v>10</v>
      </c>
      <c r="P834" s="265">
        <v>18.690000000000001</v>
      </c>
      <c r="Q834" s="265">
        <v>0.65</v>
      </c>
    </row>
    <row r="835" spans="1:17" ht="15" customHeight="1">
      <c r="A835" s="147">
        <v>852</v>
      </c>
      <c r="B835" s="51" t="s">
        <v>23</v>
      </c>
      <c r="C835" s="51" t="s">
        <v>5109</v>
      </c>
      <c r="D835" s="51">
        <v>100023565</v>
      </c>
      <c r="E835" s="53" t="s">
        <v>5110</v>
      </c>
      <c r="F835" s="124">
        <v>250</v>
      </c>
      <c r="G835" s="124">
        <v>18750</v>
      </c>
      <c r="H835" s="369">
        <v>23.92</v>
      </c>
      <c r="I835" s="215" t="s">
        <v>346</v>
      </c>
      <c r="J835" s="215" t="s">
        <v>102</v>
      </c>
      <c r="K835" s="266">
        <v>49081161163</v>
      </c>
      <c r="L835" s="215">
        <v>49081661168</v>
      </c>
      <c r="M835" s="266">
        <v>40049081161161</v>
      </c>
      <c r="N835" s="264">
        <v>9.6000000000000002E-2</v>
      </c>
      <c r="O835" s="265">
        <v>10</v>
      </c>
      <c r="P835" s="265">
        <v>23.86</v>
      </c>
      <c r="Q835" s="265">
        <v>0.95</v>
      </c>
    </row>
    <row r="836" spans="1:17" ht="15" customHeight="1">
      <c r="A836" s="147">
        <v>853</v>
      </c>
      <c r="B836" s="51" t="s">
        <v>23</v>
      </c>
      <c r="C836" s="51" t="s">
        <v>5111</v>
      </c>
      <c r="D836" s="51">
        <v>100023567</v>
      </c>
      <c r="E836" s="53" t="s">
        <v>5112</v>
      </c>
      <c r="F836" s="124">
        <v>100</v>
      </c>
      <c r="G836" s="124">
        <v>9000</v>
      </c>
      <c r="H836" s="369">
        <v>25.67</v>
      </c>
      <c r="I836" s="215" t="s">
        <v>76</v>
      </c>
      <c r="J836" s="215" t="s">
        <v>102</v>
      </c>
      <c r="K836" s="266">
        <v>49081161187</v>
      </c>
      <c r="L836" s="215">
        <v>49081661182</v>
      </c>
      <c r="M836" s="266">
        <v>40049081161185</v>
      </c>
      <c r="N836" s="264">
        <v>0.152</v>
      </c>
      <c r="O836" s="265">
        <v>10</v>
      </c>
      <c r="P836" s="265">
        <v>16.5</v>
      </c>
      <c r="Q836" s="265">
        <v>0.8</v>
      </c>
    </row>
    <row r="837" spans="1:17" ht="15" customHeight="1">
      <c r="A837" s="147">
        <v>854</v>
      </c>
      <c r="B837" s="51" t="s">
        <v>23</v>
      </c>
      <c r="C837" s="51" t="s">
        <v>5113</v>
      </c>
      <c r="D837" s="51">
        <v>100023568</v>
      </c>
      <c r="E837" s="53" t="s">
        <v>5114</v>
      </c>
      <c r="F837" s="124">
        <v>50</v>
      </c>
      <c r="G837" s="124">
        <v>6000</v>
      </c>
      <c r="H837" s="369">
        <v>31.77</v>
      </c>
      <c r="I837" s="215" t="s">
        <v>346</v>
      </c>
      <c r="J837" s="215" t="s">
        <v>102</v>
      </c>
      <c r="K837" s="266">
        <v>49081161200</v>
      </c>
      <c r="L837" s="215">
        <v>49081661205</v>
      </c>
      <c r="M837" s="266">
        <v>40049081161208</v>
      </c>
      <c r="N837" s="264">
        <v>0.215</v>
      </c>
      <c r="O837" s="265">
        <v>5</v>
      </c>
      <c r="P837" s="265">
        <v>10.98</v>
      </c>
      <c r="Q837" s="265">
        <v>0.65</v>
      </c>
    </row>
    <row r="838" spans="1:17" ht="15" customHeight="1">
      <c r="A838" s="147">
        <v>855</v>
      </c>
      <c r="B838" s="51" t="s">
        <v>23</v>
      </c>
      <c r="C838" s="51" t="s">
        <v>5115</v>
      </c>
      <c r="D838" s="51">
        <v>100023569</v>
      </c>
      <c r="E838" s="53" t="s">
        <v>5116</v>
      </c>
      <c r="F838" s="124">
        <v>50</v>
      </c>
      <c r="G838" s="124">
        <v>6000</v>
      </c>
      <c r="H838" s="369">
        <v>70.64</v>
      </c>
      <c r="I838" s="215" t="s">
        <v>76</v>
      </c>
      <c r="J838" s="215" t="s">
        <v>102</v>
      </c>
      <c r="K838" s="266">
        <v>49081161224</v>
      </c>
      <c r="L838" s="215">
        <v>49081661229</v>
      </c>
      <c r="M838" s="266">
        <v>40049081161222</v>
      </c>
      <c r="N838" s="264">
        <v>0.253</v>
      </c>
      <c r="O838" s="265">
        <v>5</v>
      </c>
      <c r="P838" s="265">
        <v>12.45</v>
      </c>
      <c r="Q838" s="265">
        <v>0.65</v>
      </c>
    </row>
    <row r="839" spans="1:17" ht="15" customHeight="1">
      <c r="A839" s="147">
        <v>856</v>
      </c>
      <c r="B839" s="51" t="s">
        <v>23</v>
      </c>
      <c r="C839" s="51" t="s">
        <v>5117</v>
      </c>
      <c r="D839" s="51">
        <v>100023570</v>
      </c>
      <c r="E839" s="53" t="s">
        <v>5118</v>
      </c>
      <c r="F839" s="124">
        <v>25</v>
      </c>
      <c r="G839" s="124">
        <v>3750</v>
      </c>
      <c r="H839" s="369">
        <v>74.17</v>
      </c>
      <c r="I839" s="215" t="s">
        <v>76</v>
      </c>
      <c r="J839" s="215" t="s">
        <v>102</v>
      </c>
      <c r="K839" s="266">
        <v>49081161248</v>
      </c>
      <c r="L839" s="215">
        <v>49081661243</v>
      </c>
      <c r="M839" s="266">
        <v>40049081161246</v>
      </c>
      <c r="N839" s="264">
        <v>0.35799999999999998</v>
      </c>
      <c r="O839" s="265">
        <v>5</v>
      </c>
      <c r="P839" s="265">
        <v>9.02</v>
      </c>
      <c r="Q839" s="265">
        <v>0.5</v>
      </c>
    </row>
    <row r="840" spans="1:17" ht="15" customHeight="1">
      <c r="A840" s="147">
        <v>857</v>
      </c>
      <c r="B840" s="51" t="s">
        <v>23</v>
      </c>
      <c r="C840" s="51" t="s">
        <v>5119</v>
      </c>
      <c r="D840" s="51">
        <v>100028136</v>
      </c>
      <c r="E840" s="53" t="s">
        <v>5120</v>
      </c>
      <c r="F840" s="124">
        <v>20</v>
      </c>
      <c r="G840" s="124">
        <v>0</v>
      </c>
      <c r="H840" s="369">
        <v>177.09</v>
      </c>
      <c r="I840" s="215" t="s">
        <v>346</v>
      </c>
      <c r="J840" s="215" t="s">
        <v>102</v>
      </c>
      <c r="K840" s="266">
        <v>49081161262</v>
      </c>
      <c r="L840" s="265" t="s">
        <v>649</v>
      </c>
      <c r="M840" s="266">
        <v>40049081161260</v>
      </c>
      <c r="N840" s="264">
        <v>0.84199999999999997</v>
      </c>
      <c r="O840" s="265" t="s">
        <v>649</v>
      </c>
      <c r="P840" s="265">
        <v>16.622</v>
      </c>
      <c r="Q840" s="265" t="s">
        <v>649</v>
      </c>
    </row>
    <row r="841" spans="1:17" ht="15" customHeight="1">
      <c r="A841" s="147">
        <v>858</v>
      </c>
      <c r="B841" s="51" t="s">
        <v>23</v>
      </c>
      <c r="C841" s="51" t="s">
        <v>5121</v>
      </c>
      <c r="D841" s="51">
        <v>100028137</v>
      </c>
      <c r="E841" s="53" t="s">
        <v>5122</v>
      </c>
      <c r="F841" s="124">
        <v>20</v>
      </c>
      <c r="G841" s="124">
        <v>0</v>
      </c>
      <c r="H841" s="369">
        <v>207.64</v>
      </c>
      <c r="I841" s="215" t="s">
        <v>346</v>
      </c>
      <c r="J841" s="215" t="s">
        <v>102</v>
      </c>
      <c r="K841" s="266">
        <v>49081161286</v>
      </c>
      <c r="L841" s="265" t="s">
        <v>649</v>
      </c>
      <c r="M841" s="266">
        <v>40049081161284</v>
      </c>
      <c r="N841" s="264">
        <v>1.0780000000000001</v>
      </c>
      <c r="O841" s="265" t="s">
        <v>649</v>
      </c>
      <c r="P841" s="265">
        <v>21.56</v>
      </c>
      <c r="Q841" s="265" t="s">
        <v>649</v>
      </c>
    </row>
    <row r="842" spans="1:17" ht="15" customHeight="1">
      <c r="A842" s="147">
        <v>859</v>
      </c>
      <c r="B842" s="51" t="s">
        <v>23</v>
      </c>
      <c r="C842" s="51" t="s">
        <v>5123</v>
      </c>
      <c r="D842" s="51">
        <v>100028138</v>
      </c>
      <c r="E842" s="53" t="s">
        <v>5124</v>
      </c>
      <c r="F842" s="124">
        <v>15</v>
      </c>
      <c r="G842" s="124">
        <v>0</v>
      </c>
      <c r="H842" s="369">
        <v>359.56</v>
      </c>
      <c r="I842" s="215" t="s">
        <v>76</v>
      </c>
      <c r="J842" s="215" t="s">
        <v>102</v>
      </c>
      <c r="K842" s="266">
        <v>49081161309</v>
      </c>
      <c r="L842" s="265" t="s">
        <v>649</v>
      </c>
      <c r="M842" s="266">
        <v>40049081161307</v>
      </c>
      <c r="N842" s="264">
        <v>1.6120000000000001</v>
      </c>
      <c r="O842" s="265" t="s">
        <v>649</v>
      </c>
      <c r="P842" s="265">
        <v>24.172999999999998</v>
      </c>
      <c r="Q842" s="265" t="s">
        <v>649</v>
      </c>
    </row>
    <row r="843" spans="1:17" ht="15" customHeight="1">
      <c r="A843" s="147">
        <v>860</v>
      </c>
      <c r="B843" s="51" t="s">
        <v>23</v>
      </c>
      <c r="C843" s="51" t="s">
        <v>5125</v>
      </c>
      <c r="D843" s="51">
        <v>100023571</v>
      </c>
      <c r="E843" s="53" t="s">
        <v>5126</v>
      </c>
      <c r="F843" s="124">
        <v>250</v>
      </c>
      <c r="G843" s="124">
        <v>22500</v>
      </c>
      <c r="H843" s="369">
        <v>27.52</v>
      </c>
      <c r="I843" s="215" t="s">
        <v>346</v>
      </c>
      <c r="J843" s="215" t="s">
        <v>102</v>
      </c>
      <c r="K843" s="266">
        <v>49081151072</v>
      </c>
      <c r="L843" s="215">
        <v>49081651077</v>
      </c>
      <c r="M843" s="266">
        <v>40049081151070</v>
      </c>
      <c r="N843" s="264">
        <v>8.2000000000000003E-2</v>
      </c>
      <c r="O843" s="265">
        <v>10</v>
      </c>
      <c r="P843" s="265">
        <v>20.62</v>
      </c>
      <c r="Q843" s="265">
        <v>0.8</v>
      </c>
    </row>
    <row r="844" spans="1:17" ht="15" customHeight="1">
      <c r="A844" s="147">
        <v>861</v>
      </c>
      <c r="B844" s="51" t="s">
        <v>23</v>
      </c>
      <c r="C844" s="51" t="s">
        <v>5127</v>
      </c>
      <c r="D844" s="51">
        <v>100023578</v>
      </c>
      <c r="E844" s="53" t="s">
        <v>4546</v>
      </c>
      <c r="F844" s="124">
        <v>50</v>
      </c>
      <c r="G844" s="124">
        <v>7500</v>
      </c>
      <c r="H844" s="369">
        <v>46.5</v>
      </c>
      <c r="I844" s="215" t="s">
        <v>76</v>
      </c>
      <c r="J844" s="215" t="s">
        <v>102</v>
      </c>
      <c r="K844" s="266">
        <v>49081154950</v>
      </c>
      <c r="L844" s="215">
        <v>49081654955</v>
      </c>
      <c r="M844" s="266">
        <v>40049081154958</v>
      </c>
      <c r="N844" s="264">
        <v>0.14699999999999999</v>
      </c>
      <c r="O844" s="265">
        <v>5</v>
      </c>
      <c r="P844" s="265">
        <v>7.36</v>
      </c>
      <c r="Q844" s="265">
        <v>0.5</v>
      </c>
    </row>
    <row r="845" spans="1:17" ht="15" customHeight="1">
      <c r="A845" s="147">
        <v>862</v>
      </c>
      <c r="B845" s="51" t="s">
        <v>23</v>
      </c>
      <c r="C845" s="51" t="s">
        <v>5128</v>
      </c>
      <c r="D845" s="51">
        <v>100023580</v>
      </c>
      <c r="E845" s="53" t="s">
        <v>5129</v>
      </c>
      <c r="F845" s="124">
        <v>250</v>
      </c>
      <c r="G845" s="124">
        <v>37500</v>
      </c>
      <c r="H845" s="369">
        <v>25.35</v>
      </c>
      <c r="I845" s="215" t="s">
        <v>76</v>
      </c>
      <c r="J845" s="215" t="s">
        <v>102</v>
      </c>
      <c r="K845" s="266">
        <v>49081154981</v>
      </c>
      <c r="L845" s="215">
        <v>49081654986</v>
      </c>
      <c r="M845" s="266">
        <v>40049081154989</v>
      </c>
      <c r="N845" s="264">
        <v>2.9000000000000001E-2</v>
      </c>
      <c r="O845" s="265">
        <v>10</v>
      </c>
      <c r="P845" s="265">
        <v>7.38</v>
      </c>
      <c r="Q845" s="265">
        <v>0.5</v>
      </c>
    </row>
    <row r="846" spans="1:17" ht="15" customHeight="1">
      <c r="A846" s="147">
        <v>863</v>
      </c>
      <c r="B846" s="51" t="s">
        <v>23</v>
      </c>
      <c r="C846" s="51" t="s">
        <v>5130</v>
      </c>
      <c r="D846" s="51">
        <v>100023416</v>
      </c>
      <c r="E846" s="53" t="s">
        <v>5131</v>
      </c>
      <c r="F846" s="124">
        <v>250</v>
      </c>
      <c r="G846" s="124">
        <v>37500</v>
      </c>
      <c r="H846" s="369">
        <v>25.35</v>
      </c>
      <c r="I846" s="215" t="s">
        <v>346</v>
      </c>
      <c r="J846" s="215" t="s">
        <v>102</v>
      </c>
      <c r="K846" s="266">
        <v>49081155001</v>
      </c>
      <c r="L846" s="265" t="s">
        <v>649</v>
      </c>
      <c r="M846" s="266">
        <v>40049081155009</v>
      </c>
      <c r="N846" s="264">
        <v>3.9E-2</v>
      </c>
      <c r="O846" s="265">
        <v>10</v>
      </c>
      <c r="P846" s="265">
        <v>10.65</v>
      </c>
      <c r="Q846" s="265">
        <v>0.5</v>
      </c>
    </row>
    <row r="847" spans="1:17" ht="15" customHeight="1">
      <c r="A847" s="147">
        <v>864</v>
      </c>
      <c r="B847" s="51" t="s">
        <v>23</v>
      </c>
      <c r="C847" s="51" t="s">
        <v>5132</v>
      </c>
      <c r="D847" s="51">
        <v>100023582</v>
      </c>
      <c r="E847" s="53" t="s">
        <v>5133</v>
      </c>
      <c r="F847" s="124">
        <v>250</v>
      </c>
      <c r="G847" s="124">
        <v>22500</v>
      </c>
      <c r="H847" s="369">
        <v>14.02</v>
      </c>
      <c r="I847" s="215" t="s">
        <v>76</v>
      </c>
      <c r="J847" s="215" t="s">
        <v>102</v>
      </c>
      <c r="K847" s="266">
        <v>49081155025</v>
      </c>
      <c r="L847" s="215">
        <v>49081655020</v>
      </c>
      <c r="M847" s="266">
        <v>40049081155023</v>
      </c>
      <c r="N847" s="264">
        <v>6.3E-2</v>
      </c>
      <c r="O847" s="265">
        <v>10</v>
      </c>
      <c r="P847" s="265">
        <v>16.41</v>
      </c>
      <c r="Q847" s="265">
        <v>0.8</v>
      </c>
    </row>
    <row r="848" spans="1:17" ht="15" customHeight="1">
      <c r="A848" s="147">
        <v>865</v>
      </c>
      <c r="B848" s="51" t="s">
        <v>23</v>
      </c>
      <c r="C848" s="51" t="s">
        <v>5134</v>
      </c>
      <c r="D848" s="51">
        <v>100023584</v>
      </c>
      <c r="E848" s="53" t="s">
        <v>5135</v>
      </c>
      <c r="F848" s="124">
        <v>250</v>
      </c>
      <c r="G848" s="124">
        <v>18750</v>
      </c>
      <c r="H848" s="369">
        <v>20.89</v>
      </c>
      <c r="I848" s="215" t="s">
        <v>76</v>
      </c>
      <c r="J848" s="215" t="s">
        <v>102</v>
      </c>
      <c r="K848" s="266">
        <v>49081155100</v>
      </c>
      <c r="L848" s="215">
        <v>49081655105</v>
      </c>
      <c r="M848" s="266">
        <v>40049081155108</v>
      </c>
      <c r="N848" s="264">
        <v>8.4000000000000005E-2</v>
      </c>
      <c r="O848" s="265">
        <v>10</v>
      </c>
      <c r="P848" s="265">
        <v>20.73</v>
      </c>
      <c r="Q848" s="265">
        <v>0.95</v>
      </c>
    </row>
    <row r="849" spans="1:17" ht="15" customHeight="1">
      <c r="A849" s="147">
        <v>866</v>
      </c>
      <c r="B849" s="51" t="s">
        <v>23</v>
      </c>
      <c r="C849" s="51" t="s">
        <v>5136</v>
      </c>
      <c r="D849" s="51">
        <v>100023586</v>
      </c>
      <c r="E849" s="53" t="s">
        <v>5137</v>
      </c>
      <c r="F849" s="124">
        <v>100</v>
      </c>
      <c r="G849" s="124">
        <v>9000</v>
      </c>
      <c r="H849" s="369">
        <v>30.73</v>
      </c>
      <c r="I849" s="215" t="s">
        <v>76</v>
      </c>
      <c r="J849" s="215" t="s">
        <v>102</v>
      </c>
      <c r="K849" s="266">
        <v>49081155162</v>
      </c>
      <c r="L849" s="215">
        <v>49081655167</v>
      </c>
      <c r="M849" s="266">
        <v>40049081155160</v>
      </c>
      <c r="N849" s="264">
        <v>0.127</v>
      </c>
      <c r="O849" s="265">
        <v>10</v>
      </c>
      <c r="P849" s="265">
        <v>13.63</v>
      </c>
      <c r="Q849" s="265">
        <v>0.8</v>
      </c>
    </row>
    <row r="850" spans="1:17" ht="15" customHeight="1">
      <c r="A850" s="147">
        <v>867</v>
      </c>
      <c r="B850" s="51" t="s">
        <v>23</v>
      </c>
      <c r="C850" s="51" t="s">
        <v>5138</v>
      </c>
      <c r="D850" s="51">
        <v>100023588</v>
      </c>
      <c r="E850" s="53" t="s">
        <v>5139</v>
      </c>
      <c r="F850" s="124">
        <v>50</v>
      </c>
      <c r="G850" s="124">
        <v>6000</v>
      </c>
      <c r="H850" s="369">
        <v>49.79</v>
      </c>
      <c r="I850" s="215" t="s">
        <v>76</v>
      </c>
      <c r="J850" s="215" t="s">
        <v>102</v>
      </c>
      <c r="K850" s="266">
        <v>49081155261</v>
      </c>
      <c r="L850" s="215">
        <v>49081655266</v>
      </c>
      <c r="M850" s="266">
        <v>40049081155269</v>
      </c>
      <c r="N850" s="264">
        <v>0.20399999999999999</v>
      </c>
      <c r="O850" s="265">
        <v>5</v>
      </c>
      <c r="P850" s="265">
        <v>12.14</v>
      </c>
      <c r="Q850" s="265">
        <v>0.65</v>
      </c>
    </row>
    <row r="851" spans="1:17" ht="15" customHeight="1">
      <c r="A851" s="147">
        <v>868</v>
      </c>
      <c r="B851" s="51" t="s">
        <v>23</v>
      </c>
      <c r="C851" s="51" t="s">
        <v>5140</v>
      </c>
      <c r="D851" s="51">
        <v>100023589</v>
      </c>
      <c r="E851" s="53" t="s">
        <v>5141</v>
      </c>
      <c r="F851" s="124">
        <v>50</v>
      </c>
      <c r="G851" s="124">
        <v>4500</v>
      </c>
      <c r="H851" s="369">
        <v>61.05</v>
      </c>
      <c r="I851" s="215" t="s">
        <v>76</v>
      </c>
      <c r="J851" s="215" t="s">
        <v>102</v>
      </c>
      <c r="K851" s="266">
        <v>49081155308</v>
      </c>
      <c r="L851" s="215">
        <v>49081655303</v>
      </c>
      <c r="M851" s="266">
        <v>40049081155306</v>
      </c>
      <c r="N851" s="264">
        <v>0.23599999999999999</v>
      </c>
      <c r="O851" s="265">
        <v>5</v>
      </c>
      <c r="P851" s="265">
        <v>12.99</v>
      </c>
      <c r="Q851" s="265">
        <v>0.8</v>
      </c>
    </row>
    <row r="852" spans="1:17" ht="15" customHeight="1">
      <c r="A852" s="147">
        <v>869</v>
      </c>
      <c r="B852" s="51" t="s">
        <v>23</v>
      </c>
      <c r="C852" s="51" t="s">
        <v>5142</v>
      </c>
      <c r="D852" s="51">
        <v>100023591</v>
      </c>
      <c r="E852" s="53" t="s">
        <v>5143</v>
      </c>
      <c r="F852" s="124">
        <v>25</v>
      </c>
      <c r="G852" s="124">
        <v>3000</v>
      </c>
      <c r="H852" s="369">
        <v>106.46</v>
      </c>
      <c r="I852" s="215" t="s">
        <v>76</v>
      </c>
      <c r="J852" s="215" t="s">
        <v>102</v>
      </c>
      <c r="K852" s="266">
        <v>49081155346</v>
      </c>
      <c r="L852" s="215">
        <v>49081655341</v>
      </c>
      <c r="M852" s="266">
        <v>40049081155344</v>
      </c>
      <c r="N852" s="264">
        <v>0.318</v>
      </c>
      <c r="O852" s="265">
        <v>5</v>
      </c>
      <c r="P852" s="265">
        <v>9.0399999999999991</v>
      </c>
      <c r="Q852" s="265">
        <v>0.65</v>
      </c>
    </row>
    <row r="853" spans="1:17" ht="15" customHeight="1">
      <c r="A853" s="147">
        <v>870</v>
      </c>
      <c r="B853" s="51" t="s">
        <v>23</v>
      </c>
      <c r="C853" s="51" t="s">
        <v>5144</v>
      </c>
      <c r="D853" s="51">
        <v>100028148</v>
      </c>
      <c r="E853" s="53" t="s">
        <v>5145</v>
      </c>
      <c r="F853" s="124">
        <v>30</v>
      </c>
      <c r="G853" s="124">
        <v>0</v>
      </c>
      <c r="H853" s="369">
        <v>189.22</v>
      </c>
      <c r="I853" s="215" t="s">
        <v>76</v>
      </c>
      <c r="J853" s="215" t="s">
        <v>102</v>
      </c>
      <c r="K853" s="266">
        <v>49081155384</v>
      </c>
      <c r="L853" s="265" t="s">
        <v>649</v>
      </c>
      <c r="M853" s="266">
        <v>40049081155382</v>
      </c>
      <c r="N853" s="264">
        <v>1.26</v>
      </c>
      <c r="O853" s="265" t="s">
        <v>649</v>
      </c>
      <c r="P853" s="265">
        <v>30.818999999999999</v>
      </c>
      <c r="Q853" s="265" t="s">
        <v>649</v>
      </c>
    </row>
    <row r="854" spans="1:17" ht="15" customHeight="1">
      <c r="A854" s="147">
        <v>871</v>
      </c>
      <c r="B854" s="51" t="s">
        <v>23</v>
      </c>
      <c r="C854" s="51" t="s">
        <v>5146</v>
      </c>
      <c r="D854" s="51">
        <v>100028149</v>
      </c>
      <c r="E854" s="53" t="s">
        <v>5147</v>
      </c>
      <c r="F854" s="124">
        <v>20</v>
      </c>
      <c r="G854" s="124">
        <v>0</v>
      </c>
      <c r="H854" s="369">
        <v>325.23</v>
      </c>
      <c r="I854" s="215" t="s">
        <v>76</v>
      </c>
      <c r="J854" s="215" t="s">
        <v>102</v>
      </c>
      <c r="K854" s="266">
        <v>49081155407</v>
      </c>
      <c r="L854" s="265" t="s">
        <v>649</v>
      </c>
      <c r="M854" s="266">
        <v>40049081155405</v>
      </c>
      <c r="N854" s="264">
        <v>1.5940000000000001</v>
      </c>
      <c r="O854" s="265" t="s">
        <v>649</v>
      </c>
      <c r="P854" s="265">
        <v>31.878</v>
      </c>
      <c r="Q854" s="265" t="s">
        <v>649</v>
      </c>
    </row>
    <row r="855" spans="1:17" ht="15" customHeight="1">
      <c r="A855" s="147">
        <v>872</v>
      </c>
      <c r="B855" s="51" t="s">
        <v>23</v>
      </c>
      <c r="C855" s="51" t="s">
        <v>5148</v>
      </c>
      <c r="D855" s="51">
        <v>100023595</v>
      </c>
      <c r="E855" s="53" t="s">
        <v>5149</v>
      </c>
      <c r="F855" s="124">
        <v>250</v>
      </c>
      <c r="G855" s="124">
        <v>37500</v>
      </c>
      <c r="H855" s="369">
        <v>17.54</v>
      </c>
      <c r="I855" s="215" t="s">
        <v>346</v>
      </c>
      <c r="J855" s="215" t="s">
        <v>102</v>
      </c>
      <c r="K855" s="266">
        <v>49081155834</v>
      </c>
      <c r="L855" s="215">
        <v>49081655839</v>
      </c>
      <c r="M855" s="266">
        <v>40049081155832</v>
      </c>
      <c r="N855" s="264">
        <v>2.1999999999999999E-2</v>
      </c>
      <c r="O855" s="265">
        <v>10</v>
      </c>
      <c r="P855" s="265">
        <v>5.72</v>
      </c>
      <c r="Q855" s="265">
        <v>0.5</v>
      </c>
    </row>
    <row r="856" spans="1:17" ht="15" customHeight="1">
      <c r="A856" s="147">
        <v>873</v>
      </c>
      <c r="B856" s="51" t="s">
        <v>23</v>
      </c>
      <c r="C856" s="51" t="s">
        <v>5150</v>
      </c>
      <c r="D856" s="51">
        <v>100023596</v>
      </c>
      <c r="E856" s="53" t="s">
        <v>5151</v>
      </c>
      <c r="F856" s="124">
        <v>250</v>
      </c>
      <c r="G856" s="124">
        <v>37500</v>
      </c>
      <c r="H856" s="369">
        <v>17.54</v>
      </c>
      <c r="I856" s="215" t="s">
        <v>346</v>
      </c>
      <c r="J856" s="215" t="s">
        <v>102</v>
      </c>
      <c r="K856" s="266">
        <v>49081155926</v>
      </c>
      <c r="L856" s="215">
        <v>49081655921</v>
      </c>
      <c r="M856" s="266">
        <v>40049081155924</v>
      </c>
      <c r="N856" s="264">
        <v>3.3000000000000002E-2</v>
      </c>
      <c r="O856" s="265">
        <v>10</v>
      </c>
      <c r="P856" s="265">
        <v>9</v>
      </c>
      <c r="Q856" s="265">
        <v>0.5</v>
      </c>
    </row>
    <row r="857" spans="1:17" ht="15" customHeight="1">
      <c r="A857" s="147">
        <v>874</v>
      </c>
      <c r="B857" s="51" t="s">
        <v>23</v>
      </c>
      <c r="C857" s="51" t="s">
        <v>5152</v>
      </c>
      <c r="D857" s="51">
        <v>100023597</v>
      </c>
      <c r="E857" s="53" t="s">
        <v>5153</v>
      </c>
      <c r="F857" s="124">
        <v>250</v>
      </c>
      <c r="G857" s="124">
        <v>30000</v>
      </c>
      <c r="H857" s="369">
        <v>17.54</v>
      </c>
      <c r="I857" s="215" t="s">
        <v>76</v>
      </c>
      <c r="J857" s="215" t="s">
        <v>102</v>
      </c>
      <c r="K857" s="266">
        <v>49081155940</v>
      </c>
      <c r="L857" s="215">
        <v>49081655945</v>
      </c>
      <c r="M857" s="266">
        <v>40049081155948</v>
      </c>
      <c r="N857" s="264">
        <v>4.3999999999999997E-2</v>
      </c>
      <c r="O857" s="265">
        <v>10</v>
      </c>
      <c r="P857" s="265">
        <v>13.93</v>
      </c>
      <c r="Q857" s="265">
        <v>0.65</v>
      </c>
    </row>
    <row r="858" spans="1:17" ht="15" customHeight="1">
      <c r="A858" s="147">
        <v>875</v>
      </c>
      <c r="B858" s="51" t="s">
        <v>23</v>
      </c>
      <c r="C858" s="51" t="s">
        <v>5154</v>
      </c>
      <c r="D858" s="51">
        <v>100023599</v>
      </c>
      <c r="E858" s="53" t="s">
        <v>5155</v>
      </c>
      <c r="F858" s="124">
        <v>250</v>
      </c>
      <c r="G858" s="124">
        <v>18750</v>
      </c>
      <c r="H858" s="369">
        <v>19.329999999999998</v>
      </c>
      <c r="I858" s="215" t="s">
        <v>76</v>
      </c>
      <c r="J858" s="215" t="s">
        <v>102</v>
      </c>
      <c r="K858" s="266">
        <v>49081156008</v>
      </c>
      <c r="L858" s="215">
        <v>49081656003</v>
      </c>
      <c r="M858" s="266">
        <v>40049081156006</v>
      </c>
      <c r="N858" s="264">
        <v>5.6000000000000001E-2</v>
      </c>
      <c r="O858" s="265">
        <v>10</v>
      </c>
      <c r="P858" s="265">
        <v>21.33</v>
      </c>
      <c r="Q858" s="265">
        <v>0.95</v>
      </c>
    </row>
    <row r="859" spans="1:17" ht="15" customHeight="1">
      <c r="A859" s="147">
        <v>876</v>
      </c>
      <c r="B859" s="51" t="s">
        <v>23</v>
      </c>
      <c r="C859" s="51" t="s">
        <v>5156</v>
      </c>
      <c r="D859" s="51">
        <v>100023601</v>
      </c>
      <c r="E859" s="53" t="s">
        <v>5157</v>
      </c>
      <c r="F859" s="124">
        <v>100</v>
      </c>
      <c r="G859" s="124">
        <v>9000</v>
      </c>
      <c r="H859" s="369">
        <v>33.44</v>
      </c>
      <c r="I859" s="215" t="s">
        <v>76</v>
      </c>
      <c r="J859" s="215" t="s">
        <v>102</v>
      </c>
      <c r="K859" s="266">
        <v>49081156060</v>
      </c>
      <c r="L859" s="215">
        <v>49081656065</v>
      </c>
      <c r="M859" s="266">
        <v>40049081156068</v>
      </c>
      <c r="N859" s="264">
        <v>0.09</v>
      </c>
      <c r="O859" s="265">
        <v>10</v>
      </c>
      <c r="P859" s="265">
        <v>14.55</v>
      </c>
      <c r="Q859" s="265">
        <v>0.8</v>
      </c>
    </row>
    <row r="860" spans="1:17" ht="15" customHeight="1">
      <c r="A860" s="147">
        <v>877</v>
      </c>
      <c r="B860" s="51" t="s">
        <v>23</v>
      </c>
      <c r="C860" s="51" t="s">
        <v>5158</v>
      </c>
      <c r="D860" s="51">
        <v>100023602</v>
      </c>
      <c r="E860" s="53" t="s">
        <v>5159</v>
      </c>
      <c r="F860" s="124">
        <v>50</v>
      </c>
      <c r="G860" s="124">
        <v>7500</v>
      </c>
      <c r="H860" s="369">
        <v>39.090000000000003</v>
      </c>
      <c r="I860" s="215" t="s">
        <v>76</v>
      </c>
      <c r="J860" s="215" t="s">
        <v>102</v>
      </c>
      <c r="K860" s="266">
        <v>49081156121</v>
      </c>
      <c r="L860" s="215">
        <v>49081656126</v>
      </c>
      <c r="M860" s="266">
        <v>40049081156129</v>
      </c>
      <c r="N860" s="264">
        <v>0.182</v>
      </c>
      <c r="O860" s="265">
        <v>5</v>
      </c>
      <c r="P860" s="265">
        <v>9.77</v>
      </c>
      <c r="Q860" s="265">
        <v>0.5</v>
      </c>
    </row>
    <row r="861" spans="1:17" ht="15" customHeight="1">
      <c r="A861" s="147">
        <v>878</v>
      </c>
      <c r="B861" s="51" t="s">
        <v>23</v>
      </c>
      <c r="C861" s="51" t="s">
        <v>5160</v>
      </c>
      <c r="D861" s="51">
        <v>100023604</v>
      </c>
      <c r="E861" s="53" t="s">
        <v>5161</v>
      </c>
      <c r="F861" s="124">
        <v>50</v>
      </c>
      <c r="G861" s="124">
        <v>4500</v>
      </c>
      <c r="H861" s="369">
        <v>56.19</v>
      </c>
      <c r="I861" s="215" t="s">
        <v>76</v>
      </c>
      <c r="J861" s="215" t="s">
        <v>102</v>
      </c>
      <c r="K861" s="266">
        <v>49081156183</v>
      </c>
      <c r="L861" s="215">
        <v>49081656188</v>
      </c>
      <c r="M861" s="266">
        <v>40049081156181</v>
      </c>
      <c r="N861" s="264">
        <v>0.192</v>
      </c>
      <c r="O861" s="265">
        <v>5</v>
      </c>
      <c r="P861" s="265">
        <v>10.75</v>
      </c>
      <c r="Q861" s="265">
        <v>0.8</v>
      </c>
    </row>
    <row r="862" spans="1:17" ht="15" customHeight="1">
      <c r="A862" s="147">
        <v>879</v>
      </c>
      <c r="B862" s="51" t="s">
        <v>23</v>
      </c>
      <c r="C862" s="51" t="s">
        <v>5162</v>
      </c>
      <c r="D862" s="51">
        <v>100023606</v>
      </c>
      <c r="E862" s="53" t="s">
        <v>5163</v>
      </c>
      <c r="F862" s="124">
        <v>25</v>
      </c>
      <c r="G862" s="124">
        <v>3750</v>
      </c>
      <c r="H862" s="369">
        <v>81.260000000000005</v>
      </c>
      <c r="I862" s="215" t="s">
        <v>76</v>
      </c>
      <c r="J862" s="215" t="s">
        <v>102</v>
      </c>
      <c r="K862" s="266">
        <v>49081156244</v>
      </c>
      <c r="L862" s="215">
        <v>49081656249</v>
      </c>
      <c r="M862" s="266">
        <v>40049081156242</v>
      </c>
      <c r="N862" s="264">
        <v>0.26600000000000001</v>
      </c>
      <c r="O862" s="265">
        <v>5</v>
      </c>
      <c r="P862" s="265">
        <v>9.02</v>
      </c>
      <c r="Q862" s="265">
        <v>0.5</v>
      </c>
    </row>
    <row r="863" spans="1:17" ht="15" customHeight="1">
      <c r="A863" s="147">
        <v>880</v>
      </c>
      <c r="B863" s="51" t="s">
        <v>23</v>
      </c>
      <c r="C863" s="51" t="s">
        <v>5164</v>
      </c>
      <c r="D863" s="51">
        <v>100023607</v>
      </c>
      <c r="E863" s="53" t="s">
        <v>5165</v>
      </c>
      <c r="F863" s="124">
        <v>25</v>
      </c>
      <c r="G863" s="124">
        <v>2250</v>
      </c>
      <c r="H863" s="369">
        <v>92.32</v>
      </c>
      <c r="I863" s="215" t="s">
        <v>76</v>
      </c>
      <c r="J863" s="215" t="s">
        <v>102</v>
      </c>
      <c r="K863" s="266">
        <v>49081156305</v>
      </c>
      <c r="L863" s="215">
        <v>49081656300</v>
      </c>
      <c r="M863" s="266">
        <v>40049081156303</v>
      </c>
      <c r="N863" s="264">
        <v>0.45800000000000002</v>
      </c>
      <c r="O863" s="265">
        <v>5</v>
      </c>
      <c r="P863" s="265">
        <v>12.28</v>
      </c>
      <c r="Q863" s="265">
        <v>0.8</v>
      </c>
    </row>
    <row r="864" spans="1:17" ht="15" customHeight="1">
      <c r="A864" s="147">
        <v>881</v>
      </c>
      <c r="B864" s="51" t="s">
        <v>23</v>
      </c>
      <c r="C864" s="51" t="s">
        <v>5166</v>
      </c>
      <c r="D864" s="51">
        <v>100023608</v>
      </c>
      <c r="E864" s="53" t="s">
        <v>5167</v>
      </c>
      <c r="F864" s="124">
        <v>10</v>
      </c>
      <c r="G864" s="124">
        <v>1500</v>
      </c>
      <c r="H864" s="369">
        <v>102.49</v>
      </c>
      <c r="I864" s="215" t="s">
        <v>76</v>
      </c>
      <c r="J864" s="215" t="s">
        <v>102</v>
      </c>
      <c r="K864" s="266">
        <v>49081156367</v>
      </c>
      <c r="L864" s="215">
        <v>49081656362</v>
      </c>
      <c r="M864" s="266">
        <v>40049081156365</v>
      </c>
      <c r="N864" s="264">
        <v>0.64500000000000002</v>
      </c>
      <c r="O864" s="265">
        <v>2</v>
      </c>
      <c r="P864" s="265">
        <v>7.11</v>
      </c>
      <c r="Q864" s="265">
        <v>0.5</v>
      </c>
    </row>
    <row r="865" spans="1:17" ht="15" customHeight="1">
      <c r="A865" s="147">
        <v>882</v>
      </c>
      <c r="B865" s="51" t="s">
        <v>23</v>
      </c>
      <c r="C865" s="51" t="s">
        <v>5168</v>
      </c>
      <c r="D865" s="51">
        <v>100023609</v>
      </c>
      <c r="E865" s="53" t="s">
        <v>5169</v>
      </c>
      <c r="F865" s="124">
        <v>10</v>
      </c>
      <c r="G865" s="124">
        <v>900</v>
      </c>
      <c r="H865" s="369">
        <v>182.33</v>
      </c>
      <c r="I865" s="215" t="s">
        <v>76</v>
      </c>
      <c r="J865" s="215" t="s">
        <v>102</v>
      </c>
      <c r="K865" s="266">
        <v>49081156404</v>
      </c>
      <c r="L865" s="215">
        <v>49081656409</v>
      </c>
      <c r="M865" s="266">
        <v>40049081156402</v>
      </c>
      <c r="N865" s="264">
        <v>1.1850000000000001</v>
      </c>
      <c r="O865" s="265">
        <v>2</v>
      </c>
      <c r="P865" s="265">
        <v>12.28</v>
      </c>
      <c r="Q865" s="265">
        <v>0.8</v>
      </c>
    </row>
    <row r="866" spans="1:17" ht="15" customHeight="1">
      <c r="A866" s="147">
        <v>883</v>
      </c>
      <c r="B866" s="51" t="s">
        <v>23</v>
      </c>
      <c r="C866" s="51" t="s">
        <v>5170</v>
      </c>
      <c r="D866" s="51">
        <v>100023612</v>
      </c>
      <c r="E866" s="53" t="s">
        <v>5171</v>
      </c>
      <c r="F866" s="124">
        <v>100</v>
      </c>
      <c r="G866" s="124">
        <v>12000</v>
      </c>
      <c r="H866" s="369">
        <v>41.95</v>
      </c>
      <c r="I866" s="215" t="s">
        <v>76</v>
      </c>
      <c r="J866" s="215" t="s">
        <v>102</v>
      </c>
      <c r="K866" s="266">
        <v>49081156022</v>
      </c>
      <c r="L866" s="215">
        <v>49081656027</v>
      </c>
      <c r="M866" s="266">
        <v>40049081156020</v>
      </c>
      <c r="N866" s="264">
        <v>0.126</v>
      </c>
      <c r="O866" s="265">
        <v>10</v>
      </c>
      <c r="P866" s="265">
        <v>13.52</v>
      </c>
      <c r="Q866" s="265">
        <v>0.65</v>
      </c>
    </row>
    <row r="867" spans="1:17" ht="15" customHeight="1">
      <c r="A867" s="147">
        <v>884</v>
      </c>
      <c r="B867" s="51" t="s">
        <v>23</v>
      </c>
      <c r="C867" s="51" t="s">
        <v>5172</v>
      </c>
      <c r="D867" s="51">
        <v>100023613</v>
      </c>
      <c r="E867" s="53" t="s">
        <v>5173</v>
      </c>
      <c r="F867" s="124">
        <v>100</v>
      </c>
      <c r="G867" s="124">
        <v>15000</v>
      </c>
      <c r="H867" s="369">
        <v>41.95</v>
      </c>
      <c r="I867" s="215" t="s">
        <v>76</v>
      </c>
      <c r="J867" s="215" t="s">
        <v>102</v>
      </c>
      <c r="K867" s="266">
        <v>49081156107</v>
      </c>
      <c r="L867" s="215">
        <v>49081656102</v>
      </c>
      <c r="M867" s="266">
        <v>40049081156105</v>
      </c>
      <c r="N867" s="264">
        <v>9.4E-2</v>
      </c>
      <c r="O867" s="265">
        <v>10</v>
      </c>
      <c r="P867" s="265">
        <v>9.34</v>
      </c>
      <c r="Q867" s="265">
        <v>0.5</v>
      </c>
    </row>
    <row r="868" spans="1:17" ht="15" customHeight="1">
      <c r="A868" s="147">
        <v>885</v>
      </c>
      <c r="B868" s="51" t="s">
        <v>23</v>
      </c>
      <c r="C868" s="51" t="s">
        <v>5174</v>
      </c>
      <c r="D868" s="51">
        <v>100023614</v>
      </c>
      <c r="E868" s="53" t="s">
        <v>5175</v>
      </c>
      <c r="F868" s="124">
        <v>125</v>
      </c>
      <c r="G868" s="124">
        <v>9375</v>
      </c>
      <c r="H868" s="369">
        <v>49.02</v>
      </c>
      <c r="I868" s="215" t="s">
        <v>76</v>
      </c>
      <c r="J868" s="215" t="s">
        <v>102</v>
      </c>
      <c r="K868" s="266">
        <v>49081156084</v>
      </c>
      <c r="L868" s="215">
        <v>49081656089</v>
      </c>
      <c r="M868" s="266">
        <v>40049081156082</v>
      </c>
      <c r="N868" s="264">
        <v>0.18</v>
      </c>
      <c r="O868" s="265">
        <v>5</v>
      </c>
      <c r="P868" s="265">
        <v>22.62</v>
      </c>
      <c r="Q868" s="265">
        <v>1.1000000000000001</v>
      </c>
    </row>
    <row r="869" spans="1:17" ht="15" customHeight="1">
      <c r="A869" s="147">
        <v>886</v>
      </c>
      <c r="B869" s="51" t="s">
        <v>23</v>
      </c>
      <c r="C869" s="51" t="s">
        <v>5176</v>
      </c>
      <c r="D869" s="51">
        <v>100023620</v>
      </c>
      <c r="E869" s="53" t="s">
        <v>5177</v>
      </c>
      <c r="F869" s="124">
        <v>50</v>
      </c>
      <c r="G869" s="124">
        <v>3750</v>
      </c>
      <c r="H869" s="369">
        <v>101.62</v>
      </c>
      <c r="I869" s="215" t="s">
        <v>76</v>
      </c>
      <c r="J869" s="215" t="s">
        <v>102</v>
      </c>
      <c r="K869" s="266">
        <v>49081156206</v>
      </c>
      <c r="L869" s="215">
        <v>49081656201</v>
      </c>
      <c r="M869" s="266">
        <v>40049081156204</v>
      </c>
      <c r="N869" s="264">
        <v>0.35199999999999998</v>
      </c>
      <c r="O869" s="265">
        <v>5</v>
      </c>
      <c r="P869" s="265">
        <v>17.86</v>
      </c>
      <c r="Q869" s="265">
        <v>1.1000000000000001</v>
      </c>
    </row>
    <row r="870" spans="1:17" ht="15" customHeight="1">
      <c r="A870" s="147">
        <v>887</v>
      </c>
      <c r="B870" s="51" t="s">
        <v>23</v>
      </c>
      <c r="C870" s="51" t="s">
        <v>5178</v>
      </c>
      <c r="D870" s="51">
        <v>100023621</v>
      </c>
      <c r="E870" s="53" t="s">
        <v>5179</v>
      </c>
      <c r="F870" s="124">
        <v>50</v>
      </c>
      <c r="G870" s="124">
        <v>7500</v>
      </c>
      <c r="H870" s="369">
        <v>101.62</v>
      </c>
      <c r="I870" s="215" t="s">
        <v>76</v>
      </c>
      <c r="J870" s="215" t="s">
        <v>102</v>
      </c>
      <c r="K870" s="266">
        <v>49081156299</v>
      </c>
      <c r="L870" s="215">
        <v>49081656294</v>
      </c>
      <c r="M870" s="266">
        <v>40049081156297</v>
      </c>
      <c r="N870" s="264">
        <v>0.186</v>
      </c>
      <c r="O870" s="265">
        <v>5</v>
      </c>
      <c r="P870" s="265">
        <v>9.16</v>
      </c>
      <c r="Q870" s="265">
        <v>0.5</v>
      </c>
    </row>
    <row r="871" spans="1:17" ht="15" customHeight="1">
      <c r="A871" s="147">
        <v>888</v>
      </c>
      <c r="B871" s="51" t="s">
        <v>23</v>
      </c>
      <c r="C871" s="51" t="s">
        <v>5180</v>
      </c>
      <c r="D871" s="51">
        <v>100023623</v>
      </c>
      <c r="E871" s="53" t="s">
        <v>5181</v>
      </c>
      <c r="F871" s="124">
        <v>500</v>
      </c>
      <c r="G871" s="124">
        <v>60000</v>
      </c>
      <c r="H871" s="369">
        <v>13.23</v>
      </c>
      <c r="I871" s="215" t="s">
        <v>346</v>
      </c>
      <c r="J871" s="215" t="s">
        <v>102</v>
      </c>
      <c r="K871" s="266">
        <v>49081156602</v>
      </c>
      <c r="L871" s="215">
        <v>49081656607</v>
      </c>
      <c r="M871" s="266">
        <v>40049081156600</v>
      </c>
      <c r="N871" s="264">
        <v>2.1999999999999999E-2</v>
      </c>
      <c r="O871" s="265">
        <v>10</v>
      </c>
      <c r="P871" s="265">
        <v>10.9</v>
      </c>
      <c r="Q871" s="265">
        <v>0.65</v>
      </c>
    </row>
    <row r="872" spans="1:17" ht="15" customHeight="1">
      <c r="A872" s="147">
        <v>889</v>
      </c>
      <c r="B872" s="51" t="s">
        <v>23</v>
      </c>
      <c r="C872" s="51" t="s">
        <v>5182</v>
      </c>
      <c r="D872" s="51">
        <v>100023624</v>
      </c>
      <c r="E872" s="53" t="s">
        <v>5183</v>
      </c>
      <c r="F872" s="124">
        <v>500</v>
      </c>
      <c r="G872" s="124">
        <v>75000</v>
      </c>
      <c r="H872" s="369">
        <v>13.23</v>
      </c>
      <c r="I872" s="215" t="s">
        <v>76</v>
      </c>
      <c r="J872" s="215" t="s">
        <v>102</v>
      </c>
      <c r="K872" s="266">
        <v>49081156589</v>
      </c>
      <c r="L872" s="215">
        <v>49081656584</v>
      </c>
      <c r="M872" s="266">
        <v>40049081156587</v>
      </c>
      <c r="N872" s="264">
        <v>1.4999999999999999E-2</v>
      </c>
      <c r="O872" s="265">
        <v>10</v>
      </c>
      <c r="P872" s="265">
        <v>7.75</v>
      </c>
      <c r="Q872" s="265">
        <v>0.5</v>
      </c>
    </row>
    <row r="873" spans="1:17" ht="15" customHeight="1">
      <c r="A873" s="147">
        <v>890</v>
      </c>
      <c r="B873" s="51" t="s">
        <v>23</v>
      </c>
      <c r="C873" s="51" t="s">
        <v>5184</v>
      </c>
      <c r="D873" s="51">
        <v>100023625</v>
      </c>
      <c r="E873" s="53" t="s">
        <v>5185</v>
      </c>
      <c r="F873" s="124">
        <v>250</v>
      </c>
      <c r="G873" s="124">
        <v>37500</v>
      </c>
      <c r="H873" s="369">
        <v>4.8499999999999996</v>
      </c>
      <c r="I873" s="215" t="s">
        <v>76</v>
      </c>
      <c r="J873" s="215" t="s">
        <v>102</v>
      </c>
      <c r="K873" s="266">
        <v>49081156626</v>
      </c>
      <c r="L873" s="215">
        <v>49081656621</v>
      </c>
      <c r="M873" s="266">
        <v>40049081156624</v>
      </c>
      <c r="N873" s="264">
        <v>2.3E-2</v>
      </c>
      <c r="O873" s="265">
        <v>10</v>
      </c>
      <c r="P873" s="265">
        <v>6.57</v>
      </c>
      <c r="Q873" s="265">
        <v>0.5</v>
      </c>
    </row>
    <row r="874" spans="1:17" ht="15" customHeight="1">
      <c r="A874" s="147">
        <v>891</v>
      </c>
      <c r="B874" s="51" t="s">
        <v>23</v>
      </c>
      <c r="C874" s="51" t="s">
        <v>5186</v>
      </c>
      <c r="D874" s="51">
        <v>100023626</v>
      </c>
      <c r="E874" s="53" t="s">
        <v>5187</v>
      </c>
      <c r="F874" s="124">
        <v>250</v>
      </c>
      <c r="G874" s="124">
        <v>30000</v>
      </c>
      <c r="H874" s="369">
        <v>13.89</v>
      </c>
      <c r="I874" s="215" t="s">
        <v>76</v>
      </c>
      <c r="J874" s="215" t="s">
        <v>102</v>
      </c>
      <c r="K874" s="266">
        <v>49081156701</v>
      </c>
      <c r="L874" s="215">
        <v>49081656706</v>
      </c>
      <c r="M874" s="266">
        <v>40049081156709</v>
      </c>
      <c r="N874" s="264">
        <v>5.8999999999999997E-2</v>
      </c>
      <c r="O874" s="265">
        <v>10</v>
      </c>
      <c r="P874" s="265">
        <v>15.43</v>
      </c>
      <c r="Q874" s="265">
        <v>0.65</v>
      </c>
    </row>
    <row r="875" spans="1:17" ht="15" customHeight="1">
      <c r="A875" s="147">
        <v>892</v>
      </c>
      <c r="B875" s="51" t="s">
        <v>23</v>
      </c>
      <c r="C875" s="51" t="s">
        <v>5188</v>
      </c>
      <c r="D875" s="51">
        <v>100023627</v>
      </c>
      <c r="E875" s="53" t="s">
        <v>5189</v>
      </c>
      <c r="F875" s="124">
        <v>250</v>
      </c>
      <c r="G875" s="124">
        <v>30000</v>
      </c>
      <c r="H875" s="369">
        <v>13.89</v>
      </c>
      <c r="I875" s="215" t="s">
        <v>76</v>
      </c>
      <c r="J875" s="215" t="s">
        <v>102</v>
      </c>
      <c r="K875" s="266">
        <v>49081156688</v>
      </c>
      <c r="L875" s="215">
        <v>49081656683</v>
      </c>
      <c r="M875" s="266">
        <v>40049081156686</v>
      </c>
      <c r="N875" s="264">
        <v>4.2000000000000003E-2</v>
      </c>
      <c r="O875" s="265">
        <v>10</v>
      </c>
      <c r="P875" s="265">
        <v>10.64</v>
      </c>
      <c r="Q875" s="265">
        <v>0.65</v>
      </c>
    </row>
    <row r="876" spans="1:17" ht="15" customHeight="1">
      <c r="A876" s="147">
        <v>893</v>
      </c>
      <c r="B876" s="51" t="s">
        <v>23</v>
      </c>
      <c r="C876" s="51" t="s">
        <v>5190</v>
      </c>
      <c r="D876" s="51">
        <v>100023628</v>
      </c>
      <c r="E876" s="53" t="s">
        <v>5191</v>
      </c>
      <c r="F876" s="124">
        <v>100</v>
      </c>
      <c r="G876" s="124">
        <v>15000</v>
      </c>
      <c r="H876" s="369">
        <v>21.71</v>
      </c>
      <c r="I876" s="215" t="s">
        <v>346</v>
      </c>
      <c r="J876" s="215" t="s">
        <v>102</v>
      </c>
      <c r="K876" s="266">
        <v>49081156787</v>
      </c>
      <c r="L876" s="215">
        <v>49081656782</v>
      </c>
      <c r="M876" s="266">
        <v>40049081156785</v>
      </c>
      <c r="N876" s="264">
        <v>0.108</v>
      </c>
      <c r="O876" s="265">
        <v>10</v>
      </c>
      <c r="P876" s="265">
        <v>11.76</v>
      </c>
      <c r="Q876" s="265">
        <v>0.5</v>
      </c>
    </row>
    <row r="877" spans="1:17" ht="15" customHeight="1">
      <c r="A877" s="147">
        <v>894</v>
      </c>
      <c r="B877" s="51" t="s">
        <v>23</v>
      </c>
      <c r="C877" s="51" t="s">
        <v>5192</v>
      </c>
      <c r="D877" s="51">
        <v>100023629</v>
      </c>
      <c r="E877" s="53" t="s">
        <v>5193</v>
      </c>
      <c r="F877" s="124">
        <v>100</v>
      </c>
      <c r="G877" s="124">
        <v>15000</v>
      </c>
      <c r="H877" s="369">
        <v>21.71</v>
      </c>
      <c r="I877" s="215" t="s">
        <v>76</v>
      </c>
      <c r="J877" s="215" t="s">
        <v>102</v>
      </c>
      <c r="K877" s="266">
        <v>49081156763</v>
      </c>
      <c r="L877" s="215">
        <v>49081656768</v>
      </c>
      <c r="M877" s="266">
        <v>40049081156761</v>
      </c>
      <c r="N877" s="264">
        <v>0.10299999999999999</v>
      </c>
      <c r="O877" s="265">
        <v>10</v>
      </c>
      <c r="P877" s="265">
        <v>9.2100000000000009</v>
      </c>
      <c r="Q877" s="265">
        <v>0.5</v>
      </c>
    </row>
    <row r="878" spans="1:17" ht="15" customHeight="1">
      <c r="A878" s="147">
        <v>895</v>
      </c>
      <c r="B878" s="51" t="s">
        <v>23</v>
      </c>
      <c r="C878" s="51" t="s">
        <v>5194</v>
      </c>
      <c r="D878" s="51">
        <v>100023630</v>
      </c>
      <c r="E878" s="53" t="s">
        <v>5195</v>
      </c>
      <c r="F878" s="124">
        <v>150</v>
      </c>
      <c r="G878" s="124">
        <v>18000</v>
      </c>
      <c r="H878" s="369">
        <v>21.71</v>
      </c>
      <c r="I878" s="215" t="s">
        <v>76</v>
      </c>
      <c r="J878" s="215" t="s">
        <v>102</v>
      </c>
      <c r="K878" s="266">
        <v>49081156749</v>
      </c>
      <c r="L878" s="215">
        <v>49081656744</v>
      </c>
      <c r="M878" s="266">
        <v>40049081156747</v>
      </c>
      <c r="N878" s="264">
        <v>7.0000000000000007E-2</v>
      </c>
      <c r="O878" s="265">
        <v>10</v>
      </c>
      <c r="P878" s="265">
        <v>9.19</v>
      </c>
      <c r="Q878" s="265">
        <v>0.65</v>
      </c>
    </row>
    <row r="879" spans="1:17" ht="15" customHeight="1">
      <c r="A879" s="147">
        <v>896</v>
      </c>
      <c r="B879" s="51" t="s">
        <v>23</v>
      </c>
      <c r="C879" s="51" t="s">
        <v>5196</v>
      </c>
      <c r="D879" s="51">
        <v>100023631</v>
      </c>
      <c r="E879" s="53" t="s">
        <v>5197</v>
      </c>
      <c r="F879" s="124">
        <v>100</v>
      </c>
      <c r="G879" s="124">
        <v>12000</v>
      </c>
      <c r="H879" s="369">
        <v>29.52</v>
      </c>
      <c r="I879" s="215" t="s">
        <v>76</v>
      </c>
      <c r="J879" s="215" t="s">
        <v>102</v>
      </c>
      <c r="K879" s="266">
        <v>49081156886</v>
      </c>
      <c r="L879" s="215">
        <v>49081656881</v>
      </c>
      <c r="M879" s="266">
        <v>40049081156884</v>
      </c>
      <c r="N879" s="264">
        <v>0.151</v>
      </c>
      <c r="O879" s="265">
        <v>10</v>
      </c>
      <c r="P879" s="265">
        <v>15.01</v>
      </c>
      <c r="Q879" s="265">
        <v>0.65</v>
      </c>
    </row>
    <row r="880" spans="1:17" ht="15" customHeight="1">
      <c r="A880" s="147">
        <v>897</v>
      </c>
      <c r="B880" s="51" t="s">
        <v>23</v>
      </c>
      <c r="C880" s="51" t="s">
        <v>5198</v>
      </c>
      <c r="D880" s="51">
        <v>100023632</v>
      </c>
      <c r="E880" s="53" t="s">
        <v>5199</v>
      </c>
      <c r="F880" s="124">
        <v>100</v>
      </c>
      <c r="G880" s="124">
        <v>12000</v>
      </c>
      <c r="H880" s="369">
        <v>29.52</v>
      </c>
      <c r="I880" s="215" t="s">
        <v>76</v>
      </c>
      <c r="J880" s="215" t="s">
        <v>102</v>
      </c>
      <c r="K880" s="266">
        <v>49081156862</v>
      </c>
      <c r="L880" s="215">
        <v>49081656867</v>
      </c>
      <c r="M880" s="266">
        <v>40049081156860</v>
      </c>
      <c r="N880" s="264">
        <v>0.152</v>
      </c>
      <c r="O880" s="265">
        <v>10</v>
      </c>
      <c r="P880" s="265">
        <v>14.85</v>
      </c>
      <c r="Q880" s="265">
        <v>0.65</v>
      </c>
    </row>
    <row r="881" spans="1:17" ht="15" customHeight="1">
      <c r="A881" s="147">
        <v>898</v>
      </c>
      <c r="B881" s="51" t="s">
        <v>23</v>
      </c>
      <c r="C881" s="51" t="s">
        <v>5200</v>
      </c>
      <c r="D881" s="51">
        <v>100023633</v>
      </c>
      <c r="E881" s="53" t="s">
        <v>5201</v>
      </c>
      <c r="F881" s="124">
        <v>100</v>
      </c>
      <c r="G881" s="124">
        <v>12000</v>
      </c>
      <c r="H881" s="369">
        <v>29.52</v>
      </c>
      <c r="I881" s="215" t="s">
        <v>76</v>
      </c>
      <c r="J881" s="215" t="s">
        <v>102</v>
      </c>
      <c r="K881" s="266">
        <v>49081156848</v>
      </c>
      <c r="L881" s="215">
        <v>49081656843</v>
      </c>
      <c r="M881" s="266">
        <v>40049081156846</v>
      </c>
      <c r="N881" s="264">
        <v>0.129</v>
      </c>
      <c r="O881" s="265">
        <v>10</v>
      </c>
      <c r="P881" s="265">
        <v>12.73</v>
      </c>
      <c r="Q881" s="265">
        <v>0.65</v>
      </c>
    </row>
    <row r="882" spans="1:17" ht="15" customHeight="1">
      <c r="A882" s="147">
        <v>899</v>
      </c>
      <c r="B882" s="51" t="s">
        <v>23</v>
      </c>
      <c r="C882" s="51" t="s">
        <v>5202</v>
      </c>
      <c r="D882" s="51">
        <v>100023634</v>
      </c>
      <c r="E882" s="53" t="s">
        <v>5203</v>
      </c>
      <c r="F882" s="124">
        <v>100</v>
      </c>
      <c r="G882" s="124">
        <v>12000</v>
      </c>
      <c r="H882" s="369">
        <v>29.52</v>
      </c>
      <c r="I882" s="215" t="s">
        <v>76</v>
      </c>
      <c r="J882" s="215" t="s">
        <v>102</v>
      </c>
      <c r="K882" s="266">
        <v>49081156824</v>
      </c>
      <c r="L882" s="215">
        <v>49081656829</v>
      </c>
      <c r="M882" s="266">
        <v>40049081156822</v>
      </c>
      <c r="N882" s="264">
        <v>0.06</v>
      </c>
      <c r="O882" s="265">
        <v>10</v>
      </c>
      <c r="P882" s="265">
        <v>6.75</v>
      </c>
      <c r="Q882" s="265">
        <v>0.65</v>
      </c>
    </row>
    <row r="883" spans="1:17" ht="15" customHeight="1">
      <c r="A883" s="147">
        <v>900</v>
      </c>
      <c r="B883" s="51" t="s">
        <v>23</v>
      </c>
      <c r="C883" s="51" t="s">
        <v>5204</v>
      </c>
      <c r="D883" s="51">
        <v>100023635</v>
      </c>
      <c r="E883" s="53" t="s">
        <v>5205</v>
      </c>
      <c r="F883" s="124">
        <v>50</v>
      </c>
      <c r="G883" s="124">
        <v>6000</v>
      </c>
      <c r="H883" s="369">
        <v>42.11</v>
      </c>
      <c r="I883" s="215" t="s">
        <v>76</v>
      </c>
      <c r="J883" s="215" t="s">
        <v>102</v>
      </c>
      <c r="K883" s="266">
        <v>49081156985</v>
      </c>
      <c r="L883" s="215">
        <v>49081656980</v>
      </c>
      <c r="M883" s="266">
        <v>40049081156983</v>
      </c>
      <c r="N883" s="264">
        <v>0.27700000000000002</v>
      </c>
      <c r="O883" s="265">
        <v>5</v>
      </c>
      <c r="P883" s="265">
        <v>14.01</v>
      </c>
      <c r="Q883" s="265">
        <v>0.65</v>
      </c>
    </row>
    <row r="884" spans="1:17" ht="15" customHeight="1">
      <c r="A884" s="147">
        <v>901</v>
      </c>
      <c r="B884" s="51" t="s">
        <v>23</v>
      </c>
      <c r="C884" s="51" t="s">
        <v>5206</v>
      </c>
      <c r="D884" s="51">
        <v>100023636</v>
      </c>
      <c r="E884" s="53" t="s">
        <v>5207</v>
      </c>
      <c r="F884" s="124">
        <v>50</v>
      </c>
      <c r="G884" s="124">
        <v>6000</v>
      </c>
      <c r="H884" s="369">
        <v>42.1</v>
      </c>
      <c r="I884" s="215" t="s">
        <v>76</v>
      </c>
      <c r="J884" s="215" t="s">
        <v>102</v>
      </c>
      <c r="K884" s="266">
        <v>49081156961</v>
      </c>
      <c r="L884" s="215">
        <v>49081656966</v>
      </c>
      <c r="M884" s="266">
        <v>40049081156969</v>
      </c>
      <c r="N884" s="264">
        <v>0.27600000000000002</v>
      </c>
      <c r="O884" s="265">
        <v>5</v>
      </c>
      <c r="P884" s="265">
        <v>13.95</v>
      </c>
      <c r="Q884" s="265">
        <v>0.65</v>
      </c>
    </row>
    <row r="885" spans="1:17" ht="15" customHeight="1">
      <c r="A885" s="147">
        <v>902</v>
      </c>
      <c r="B885" s="51" t="s">
        <v>23</v>
      </c>
      <c r="C885" s="51" t="s">
        <v>5208</v>
      </c>
      <c r="D885" s="51">
        <v>100023637</v>
      </c>
      <c r="E885" s="53" t="s">
        <v>5209</v>
      </c>
      <c r="F885" s="124">
        <v>50</v>
      </c>
      <c r="G885" s="124">
        <v>6000</v>
      </c>
      <c r="H885" s="369">
        <v>42.11</v>
      </c>
      <c r="I885" s="215" t="s">
        <v>76</v>
      </c>
      <c r="J885" s="215" t="s">
        <v>102</v>
      </c>
      <c r="K885" s="266">
        <v>49081156947</v>
      </c>
      <c r="L885" s="215">
        <v>49081656942</v>
      </c>
      <c r="M885" s="266">
        <v>40049081156945</v>
      </c>
      <c r="N885" s="264">
        <v>0.28599999999999998</v>
      </c>
      <c r="O885" s="265">
        <v>5</v>
      </c>
      <c r="P885" s="265">
        <v>14.55</v>
      </c>
      <c r="Q885" s="265">
        <v>0.65</v>
      </c>
    </row>
    <row r="886" spans="1:17" ht="15" customHeight="1">
      <c r="A886" s="147">
        <v>903</v>
      </c>
      <c r="B886" s="51" t="s">
        <v>23</v>
      </c>
      <c r="C886" s="51" t="s">
        <v>5210</v>
      </c>
      <c r="D886" s="51">
        <v>100023638</v>
      </c>
      <c r="E886" s="53" t="s">
        <v>5211</v>
      </c>
      <c r="F886" s="124">
        <v>50</v>
      </c>
      <c r="G886" s="124">
        <v>6000</v>
      </c>
      <c r="H886" s="369">
        <v>42.11</v>
      </c>
      <c r="I886" s="215" t="s">
        <v>76</v>
      </c>
      <c r="J886" s="215" t="s">
        <v>102</v>
      </c>
      <c r="K886" s="266">
        <v>49081156923</v>
      </c>
      <c r="L886" s="215">
        <v>49081656928</v>
      </c>
      <c r="M886" s="266">
        <v>40049081156921</v>
      </c>
      <c r="N886" s="264">
        <v>0.23</v>
      </c>
      <c r="O886" s="265">
        <v>5</v>
      </c>
      <c r="P886" s="265">
        <v>12.54</v>
      </c>
      <c r="Q886" s="265">
        <v>0.65</v>
      </c>
    </row>
    <row r="887" spans="1:17" ht="15" customHeight="1">
      <c r="A887" s="147">
        <v>904</v>
      </c>
      <c r="B887" s="51" t="s">
        <v>23</v>
      </c>
      <c r="C887" s="51" t="s">
        <v>5212</v>
      </c>
      <c r="D887" s="51">
        <v>100023639</v>
      </c>
      <c r="E887" s="53" t="s">
        <v>5213</v>
      </c>
      <c r="F887" s="124">
        <v>50</v>
      </c>
      <c r="G887" s="124">
        <v>6000</v>
      </c>
      <c r="H887" s="369">
        <v>42.1</v>
      </c>
      <c r="I887" s="215" t="s">
        <v>76</v>
      </c>
      <c r="J887" s="215" t="s">
        <v>102</v>
      </c>
      <c r="K887" s="266">
        <v>49081156909</v>
      </c>
      <c r="L887" s="215">
        <v>49081656904</v>
      </c>
      <c r="M887" s="266">
        <v>40049081156907</v>
      </c>
      <c r="N887" s="264">
        <v>0.13800000000000001</v>
      </c>
      <c r="O887" s="265">
        <v>5</v>
      </c>
      <c r="P887" s="265">
        <v>8.5299999999999994</v>
      </c>
      <c r="Q887" s="265">
        <v>0.65</v>
      </c>
    </row>
    <row r="888" spans="1:17" ht="15" customHeight="1">
      <c r="A888" s="147">
        <v>905</v>
      </c>
      <c r="B888" s="51" t="s">
        <v>23</v>
      </c>
      <c r="C888" s="51" t="s">
        <v>5214</v>
      </c>
      <c r="D888" s="51">
        <v>100023643</v>
      </c>
      <c r="E888" s="53" t="s">
        <v>5215</v>
      </c>
      <c r="F888" s="124">
        <v>25</v>
      </c>
      <c r="G888" s="124">
        <v>3750</v>
      </c>
      <c r="H888" s="369">
        <v>73.17</v>
      </c>
      <c r="I888" s="215" t="s">
        <v>76</v>
      </c>
      <c r="J888" s="215" t="s">
        <v>102</v>
      </c>
      <c r="K888" s="266">
        <v>49081157005</v>
      </c>
      <c r="L888" s="215">
        <v>49081657000</v>
      </c>
      <c r="M888" s="266">
        <v>40049081157003</v>
      </c>
      <c r="N888" s="264">
        <v>0.23400000000000001</v>
      </c>
      <c r="O888" s="265">
        <v>5</v>
      </c>
      <c r="P888" s="265">
        <v>6.94</v>
      </c>
      <c r="Q888" s="265">
        <v>0.5</v>
      </c>
    </row>
    <row r="889" spans="1:17" ht="15" customHeight="1">
      <c r="A889" s="147">
        <v>906</v>
      </c>
      <c r="B889" s="51" t="s">
        <v>23</v>
      </c>
      <c r="C889" s="51" t="s">
        <v>5216</v>
      </c>
      <c r="D889" s="51">
        <v>100023644</v>
      </c>
      <c r="E889" s="53" t="s">
        <v>5217</v>
      </c>
      <c r="F889" s="124">
        <v>25</v>
      </c>
      <c r="G889" s="124">
        <v>3000</v>
      </c>
      <c r="H889" s="369">
        <v>116.06</v>
      </c>
      <c r="I889" s="215" t="s">
        <v>76</v>
      </c>
      <c r="J889" s="215" t="s">
        <v>102</v>
      </c>
      <c r="K889" s="266">
        <v>49081157203</v>
      </c>
      <c r="L889" s="215">
        <v>49081657208</v>
      </c>
      <c r="M889" s="266">
        <v>40049081157201</v>
      </c>
      <c r="N889" s="264">
        <v>0.51600000000000001</v>
      </c>
      <c r="O889" s="265">
        <v>5</v>
      </c>
      <c r="P889" s="265">
        <v>13.14</v>
      </c>
      <c r="Q889" s="265">
        <v>0.65</v>
      </c>
    </row>
    <row r="890" spans="1:17" ht="15" customHeight="1">
      <c r="A890" s="147">
        <v>907</v>
      </c>
      <c r="B890" s="51" t="s">
        <v>23</v>
      </c>
      <c r="C890" s="51" t="s">
        <v>5218</v>
      </c>
      <c r="D890" s="51">
        <v>100023425</v>
      </c>
      <c r="E890" s="53" t="s">
        <v>5219</v>
      </c>
      <c r="F890" s="124">
        <v>25</v>
      </c>
      <c r="G890" s="124">
        <v>3000</v>
      </c>
      <c r="H890" s="369">
        <v>116.06</v>
      </c>
      <c r="I890" s="215" t="s">
        <v>76</v>
      </c>
      <c r="J890" s="215" t="s">
        <v>102</v>
      </c>
      <c r="K890" s="266">
        <v>49081157180</v>
      </c>
      <c r="L890" s="215">
        <v>49081657185</v>
      </c>
      <c r="M890" s="266">
        <v>40049081157188</v>
      </c>
      <c r="N890" s="264">
        <v>0.51800000000000002</v>
      </c>
      <c r="O890" s="265">
        <v>5</v>
      </c>
      <c r="P890" s="265">
        <v>13.24</v>
      </c>
      <c r="Q890" s="265">
        <v>0.65</v>
      </c>
    </row>
    <row r="891" spans="1:17" ht="15" customHeight="1">
      <c r="A891" s="147">
        <v>908</v>
      </c>
      <c r="B891" s="51" t="s">
        <v>23</v>
      </c>
      <c r="C891" s="51" t="s">
        <v>5220</v>
      </c>
      <c r="D891" s="51">
        <v>100023645</v>
      </c>
      <c r="E891" s="53" t="s">
        <v>5221</v>
      </c>
      <c r="F891" s="124">
        <v>25</v>
      </c>
      <c r="G891" s="124">
        <v>3000</v>
      </c>
      <c r="H891" s="369">
        <v>116.06</v>
      </c>
      <c r="I891" s="215" t="s">
        <v>76</v>
      </c>
      <c r="J891" s="215" t="s">
        <v>102</v>
      </c>
      <c r="K891" s="266">
        <v>49081157166</v>
      </c>
      <c r="L891" s="215">
        <v>49081657161</v>
      </c>
      <c r="M891" s="266">
        <v>40049081157164</v>
      </c>
      <c r="N891" s="264">
        <v>0.53</v>
      </c>
      <c r="O891" s="265">
        <v>5</v>
      </c>
      <c r="P891" s="265">
        <v>13.35</v>
      </c>
      <c r="Q891" s="265">
        <v>0.65</v>
      </c>
    </row>
    <row r="892" spans="1:17" ht="15" customHeight="1">
      <c r="A892" s="147">
        <v>909</v>
      </c>
      <c r="B892" s="51" t="s">
        <v>23</v>
      </c>
      <c r="C892" s="51" t="s">
        <v>5222</v>
      </c>
      <c r="D892" s="51">
        <v>100023646</v>
      </c>
      <c r="E892" s="53" t="s">
        <v>5223</v>
      </c>
      <c r="F892" s="124">
        <v>25</v>
      </c>
      <c r="G892" s="124">
        <v>3000</v>
      </c>
      <c r="H892" s="369">
        <v>116.06</v>
      </c>
      <c r="I892" s="215" t="s">
        <v>76</v>
      </c>
      <c r="J892" s="215" t="s">
        <v>102</v>
      </c>
      <c r="K892" s="266">
        <v>49081157142</v>
      </c>
      <c r="L892" s="215">
        <v>49081657147</v>
      </c>
      <c r="M892" s="266">
        <v>40049081157140</v>
      </c>
      <c r="N892" s="264">
        <v>0.42499999999999999</v>
      </c>
      <c r="O892" s="265">
        <v>5</v>
      </c>
      <c r="P892" s="265">
        <v>13.33</v>
      </c>
      <c r="Q892" s="265">
        <v>0.65</v>
      </c>
    </row>
    <row r="893" spans="1:17" ht="15" customHeight="1">
      <c r="A893" s="147">
        <v>910</v>
      </c>
      <c r="B893" s="51" t="s">
        <v>23</v>
      </c>
      <c r="C893" s="51" t="s">
        <v>5224</v>
      </c>
      <c r="D893" s="51">
        <v>100023647</v>
      </c>
      <c r="E893" s="53" t="s">
        <v>5225</v>
      </c>
      <c r="F893" s="124">
        <v>25</v>
      </c>
      <c r="G893" s="124">
        <v>3000</v>
      </c>
      <c r="H893" s="369">
        <v>116.06</v>
      </c>
      <c r="I893" s="215" t="s">
        <v>76</v>
      </c>
      <c r="J893" s="215" t="s">
        <v>102</v>
      </c>
      <c r="K893" s="266">
        <v>49081157128</v>
      </c>
      <c r="L893" s="215">
        <v>49081657123</v>
      </c>
      <c r="M893" s="266">
        <v>40049081157126</v>
      </c>
      <c r="N893" s="264">
        <v>0.32800000000000001</v>
      </c>
      <c r="O893" s="265">
        <v>5</v>
      </c>
      <c r="P893" s="265">
        <v>9.18</v>
      </c>
      <c r="Q893" s="265">
        <v>0.65</v>
      </c>
    </row>
    <row r="894" spans="1:17" ht="15" customHeight="1">
      <c r="A894" s="147">
        <v>911</v>
      </c>
      <c r="B894" s="51" t="s">
        <v>23</v>
      </c>
      <c r="C894" s="51" t="s">
        <v>5226</v>
      </c>
      <c r="D894" s="51">
        <v>100023648</v>
      </c>
      <c r="E894" s="53" t="s">
        <v>5227</v>
      </c>
      <c r="F894" s="124">
        <v>10</v>
      </c>
      <c r="G894" s="124">
        <v>1200</v>
      </c>
      <c r="H894" s="369">
        <v>160.71</v>
      </c>
      <c r="I894" s="215" t="s">
        <v>76</v>
      </c>
      <c r="J894" s="215" t="s">
        <v>102</v>
      </c>
      <c r="K894" s="266">
        <v>49081157326</v>
      </c>
      <c r="L894" s="265" t="s">
        <v>649</v>
      </c>
      <c r="M894" s="266">
        <v>40049081157324</v>
      </c>
      <c r="N894" s="264">
        <v>0.90800000000000003</v>
      </c>
      <c r="O894" s="265" t="s">
        <v>649</v>
      </c>
      <c r="P894" s="265">
        <v>9.9600000000000009</v>
      </c>
      <c r="Q894" s="265">
        <v>0.65</v>
      </c>
    </row>
    <row r="895" spans="1:17" ht="15" customHeight="1">
      <c r="A895" s="147">
        <v>912</v>
      </c>
      <c r="B895" s="51" t="s">
        <v>23</v>
      </c>
      <c r="C895" s="51" t="s">
        <v>5228</v>
      </c>
      <c r="D895" s="51">
        <v>100023649</v>
      </c>
      <c r="E895" s="53" t="s">
        <v>5229</v>
      </c>
      <c r="F895" s="124">
        <v>10</v>
      </c>
      <c r="G895" s="124">
        <v>1500</v>
      </c>
      <c r="H895" s="369">
        <v>160.71</v>
      </c>
      <c r="I895" s="215" t="s">
        <v>76</v>
      </c>
      <c r="J895" s="215" t="s">
        <v>102</v>
      </c>
      <c r="K895" s="266">
        <v>49081157302</v>
      </c>
      <c r="L895" s="265" t="s">
        <v>649</v>
      </c>
      <c r="M895" s="266">
        <v>40049081157300</v>
      </c>
      <c r="N895" s="264">
        <v>1.075</v>
      </c>
      <c r="O895" s="265" t="s">
        <v>649</v>
      </c>
      <c r="P895" s="265">
        <v>10.94</v>
      </c>
      <c r="Q895" s="265">
        <v>0.5</v>
      </c>
    </row>
    <row r="896" spans="1:17" ht="15" customHeight="1">
      <c r="A896" s="147">
        <v>913</v>
      </c>
      <c r="B896" s="51" t="s">
        <v>23</v>
      </c>
      <c r="C896" s="51" t="s">
        <v>5230</v>
      </c>
      <c r="D896" s="51">
        <v>100023650</v>
      </c>
      <c r="E896" s="53" t="s">
        <v>5231</v>
      </c>
      <c r="F896" s="124">
        <v>10</v>
      </c>
      <c r="G896" s="124">
        <v>1500</v>
      </c>
      <c r="H896" s="369">
        <v>160.71</v>
      </c>
      <c r="I896" s="215" t="s">
        <v>76</v>
      </c>
      <c r="J896" s="215" t="s">
        <v>102</v>
      </c>
      <c r="K896" s="266">
        <v>49081157289</v>
      </c>
      <c r="L896" s="265" t="s">
        <v>649</v>
      </c>
      <c r="M896" s="266">
        <v>40049081157287</v>
      </c>
      <c r="N896" s="264">
        <v>0.83499999999999996</v>
      </c>
      <c r="O896" s="265" t="s">
        <v>649</v>
      </c>
      <c r="P896" s="265">
        <v>8.59</v>
      </c>
      <c r="Q896" s="265">
        <v>0.5</v>
      </c>
    </row>
    <row r="897" spans="1:17" ht="15" customHeight="1">
      <c r="A897" s="147">
        <v>914</v>
      </c>
      <c r="B897" s="51" t="s">
        <v>23</v>
      </c>
      <c r="C897" s="51" t="s">
        <v>5232</v>
      </c>
      <c r="D897" s="51">
        <v>100023653</v>
      </c>
      <c r="E897" s="53" t="s">
        <v>5233</v>
      </c>
      <c r="F897" s="124">
        <v>4</v>
      </c>
      <c r="G897" s="124">
        <v>480</v>
      </c>
      <c r="H897" s="369">
        <v>223.4</v>
      </c>
      <c r="I897" s="215" t="s">
        <v>76</v>
      </c>
      <c r="J897" s="215" t="s">
        <v>102</v>
      </c>
      <c r="K897" s="266">
        <v>49081157487</v>
      </c>
      <c r="L897" s="265" t="s">
        <v>649</v>
      </c>
      <c r="M897" s="266">
        <v>40049081157485</v>
      </c>
      <c r="N897" s="264">
        <v>1.913</v>
      </c>
      <c r="O897" s="265" t="s">
        <v>649</v>
      </c>
      <c r="P897" s="265">
        <v>11.37</v>
      </c>
      <c r="Q897" s="265">
        <v>0.65</v>
      </c>
    </row>
    <row r="898" spans="1:17" ht="15" customHeight="1">
      <c r="A898" s="147">
        <v>915</v>
      </c>
      <c r="B898" s="51" t="s">
        <v>23</v>
      </c>
      <c r="C898" s="51" t="s">
        <v>5234</v>
      </c>
      <c r="D898" s="51">
        <v>100028164</v>
      </c>
      <c r="E898" s="53" t="s">
        <v>5235</v>
      </c>
      <c r="F898" s="124">
        <v>500</v>
      </c>
      <c r="G898" s="124">
        <v>0</v>
      </c>
      <c r="H898" s="369">
        <v>13.23</v>
      </c>
      <c r="I898" s="215" t="s">
        <v>346</v>
      </c>
      <c r="J898" s="215" t="s">
        <v>102</v>
      </c>
      <c r="K898" s="266">
        <v>49081157722</v>
      </c>
      <c r="L898" s="265" t="s">
        <v>649</v>
      </c>
      <c r="M898" s="266">
        <v>40049081157720</v>
      </c>
      <c r="N898" s="264">
        <v>1.0999999999999999E-2</v>
      </c>
      <c r="O898" s="265" t="s">
        <v>649</v>
      </c>
      <c r="P898" s="265">
        <v>5.5</v>
      </c>
      <c r="Q898" s="265" t="s">
        <v>649</v>
      </c>
    </row>
    <row r="899" spans="1:17" ht="15" customHeight="1">
      <c r="A899" s="147">
        <v>916</v>
      </c>
      <c r="B899" s="51" t="s">
        <v>23</v>
      </c>
      <c r="C899" s="51" t="s">
        <v>5236</v>
      </c>
      <c r="D899" s="51">
        <v>100023654</v>
      </c>
      <c r="E899" s="53" t="s">
        <v>5237</v>
      </c>
      <c r="F899" s="124">
        <v>500</v>
      </c>
      <c r="G899" s="124">
        <v>60000</v>
      </c>
      <c r="H899" s="369">
        <v>13.23</v>
      </c>
      <c r="I899" s="215" t="s">
        <v>76</v>
      </c>
      <c r="J899" s="215" t="s">
        <v>102</v>
      </c>
      <c r="K899" s="266">
        <v>49081157760</v>
      </c>
      <c r="L899" s="215">
        <v>49081657765</v>
      </c>
      <c r="M899" s="266">
        <v>40049081157768</v>
      </c>
      <c r="N899" s="264">
        <v>0.02</v>
      </c>
      <c r="O899" s="265">
        <v>10</v>
      </c>
      <c r="P899" s="265">
        <v>11.46</v>
      </c>
      <c r="Q899" s="265">
        <v>0.65</v>
      </c>
    </row>
    <row r="900" spans="1:17" ht="15" customHeight="1">
      <c r="A900" s="147">
        <v>917</v>
      </c>
      <c r="B900" s="51" t="s">
        <v>23</v>
      </c>
      <c r="C900" s="51" t="s">
        <v>5238</v>
      </c>
      <c r="D900" s="51">
        <v>100023655</v>
      </c>
      <c r="E900" s="53" t="s">
        <v>5239</v>
      </c>
      <c r="F900" s="124">
        <v>500</v>
      </c>
      <c r="G900" s="124">
        <v>75000</v>
      </c>
      <c r="H900" s="369">
        <v>13.23</v>
      </c>
      <c r="I900" s="215" t="s">
        <v>346</v>
      </c>
      <c r="J900" s="215" t="s">
        <v>102</v>
      </c>
      <c r="K900" s="266">
        <v>49081157746</v>
      </c>
      <c r="L900" s="215">
        <v>49081657741</v>
      </c>
      <c r="M900" s="266">
        <v>40049081157744</v>
      </c>
      <c r="N900" s="264">
        <v>8.9999999999999993E-3</v>
      </c>
      <c r="O900" s="265">
        <v>10</v>
      </c>
      <c r="P900" s="265">
        <v>4.68</v>
      </c>
      <c r="Q900" s="265">
        <v>0.5</v>
      </c>
    </row>
    <row r="901" spans="1:17" ht="15" customHeight="1">
      <c r="A901" s="147">
        <v>918</v>
      </c>
      <c r="B901" s="51" t="s">
        <v>23</v>
      </c>
      <c r="C901" s="51" t="s">
        <v>5240</v>
      </c>
      <c r="D901" s="51">
        <v>100023656</v>
      </c>
      <c r="E901" s="53" t="s">
        <v>5241</v>
      </c>
      <c r="F901" s="124">
        <v>250</v>
      </c>
      <c r="G901" s="124">
        <v>37500</v>
      </c>
      <c r="H901" s="369">
        <v>8.7200000000000006</v>
      </c>
      <c r="I901" s="215" t="s">
        <v>346</v>
      </c>
      <c r="J901" s="215" t="s">
        <v>102</v>
      </c>
      <c r="K901" s="266">
        <v>49081157845</v>
      </c>
      <c r="L901" s="215">
        <v>49081657840</v>
      </c>
      <c r="M901" s="266">
        <v>40049081157843</v>
      </c>
      <c r="N901" s="264">
        <v>3.5999999999999997E-2</v>
      </c>
      <c r="O901" s="265">
        <v>10</v>
      </c>
      <c r="P901" s="265">
        <v>11.34</v>
      </c>
      <c r="Q901" s="265">
        <v>0.5</v>
      </c>
    </row>
    <row r="902" spans="1:17" ht="15" customHeight="1">
      <c r="A902" s="147">
        <v>919</v>
      </c>
      <c r="B902" s="51" t="s">
        <v>23</v>
      </c>
      <c r="C902" s="51" t="s">
        <v>5242</v>
      </c>
      <c r="D902" s="51">
        <v>100023658</v>
      </c>
      <c r="E902" s="53" t="s">
        <v>5243</v>
      </c>
      <c r="F902" s="124">
        <v>250</v>
      </c>
      <c r="G902" s="124">
        <v>37500</v>
      </c>
      <c r="H902" s="369">
        <v>8.7200000000000006</v>
      </c>
      <c r="I902" s="215" t="s">
        <v>76</v>
      </c>
      <c r="J902" s="215" t="s">
        <v>102</v>
      </c>
      <c r="K902" s="266">
        <v>49081157807</v>
      </c>
      <c r="L902" s="215">
        <v>49081657802</v>
      </c>
      <c r="M902" s="266">
        <v>40049081157805</v>
      </c>
      <c r="N902" s="264">
        <v>2.8000000000000001E-2</v>
      </c>
      <c r="O902" s="265">
        <v>10</v>
      </c>
      <c r="P902" s="265">
        <v>7.98</v>
      </c>
      <c r="Q902" s="265">
        <v>0.5</v>
      </c>
    </row>
    <row r="903" spans="1:17" ht="15" customHeight="1">
      <c r="A903" s="147">
        <v>920</v>
      </c>
      <c r="B903" s="51" t="s">
        <v>23</v>
      </c>
      <c r="C903" s="51" t="s">
        <v>5244</v>
      </c>
      <c r="D903" s="51">
        <v>100023660</v>
      </c>
      <c r="E903" s="53" t="s">
        <v>5245</v>
      </c>
      <c r="F903" s="124">
        <v>250</v>
      </c>
      <c r="G903" s="124">
        <v>37500</v>
      </c>
      <c r="H903" s="369">
        <v>13.89</v>
      </c>
      <c r="I903" s="215" t="s">
        <v>346</v>
      </c>
      <c r="J903" s="215" t="s">
        <v>102</v>
      </c>
      <c r="K903" s="266">
        <v>49081157906</v>
      </c>
      <c r="L903" s="215">
        <v>49081657901</v>
      </c>
      <c r="M903" s="266">
        <v>40049081157904</v>
      </c>
      <c r="N903" s="264">
        <v>0.05</v>
      </c>
      <c r="O903" s="265">
        <v>10</v>
      </c>
      <c r="P903" s="265">
        <v>17.3</v>
      </c>
      <c r="Q903" s="265">
        <v>0.5</v>
      </c>
    </row>
    <row r="904" spans="1:17" ht="15" customHeight="1">
      <c r="A904" s="147">
        <v>921</v>
      </c>
      <c r="B904" s="51" t="s">
        <v>23</v>
      </c>
      <c r="C904" s="51" t="s">
        <v>5246</v>
      </c>
      <c r="D904" s="51">
        <v>100023661</v>
      </c>
      <c r="E904" s="53" t="s">
        <v>5247</v>
      </c>
      <c r="F904" s="124">
        <v>250</v>
      </c>
      <c r="G904" s="124">
        <v>30000</v>
      </c>
      <c r="H904" s="369">
        <v>13.89</v>
      </c>
      <c r="I904" s="215" t="s">
        <v>346</v>
      </c>
      <c r="J904" s="215" t="s">
        <v>102</v>
      </c>
      <c r="K904" s="266">
        <v>49081157883</v>
      </c>
      <c r="L904" s="215">
        <v>49081657888</v>
      </c>
      <c r="M904" s="266">
        <v>40049081157881</v>
      </c>
      <c r="N904" s="264">
        <v>0.05</v>
      </c>
      <c r="O904" s="265">
        <v>10</v>
      </c>
      <c r="P904" s="265">
        <v>15.43</v>
      </c>
      <c r="Q904" s="265">
        <v>0.65</v>
      </c>
    </row>
    <row r="905" spans="1:17" ht="15" customHeight="1">
      <c r="A905" s="147">
        <v>922</v>
      </c>
      <c r="B905" s="51" t="s">
        <v>23</v>
      </c>
      <c r="C905" s="51" t="s">
        <v>5248</v>
      </c>
      <c r="D905" s="51">
        <v>100023662</v>
      </c>
      <c r="E905" s="53" t="s">
        <v>5249</v>
      </c>
      <c r="F905" s="124">
        <v>250</v>
      </c>
      <c r="G905" s="124">
        <v>30000</v>
      </c>
      <c r="H905" s="369">
        <v>13.89</v>
      </c>
      <c r="I905" s="215" t="s">
        <v>76</v>
      </c>
      <c r="J905" s="215" t="s">
        <v>102</v>
      </c>
      <c r="K905" s="266">
        <v>49081157869</v>
      </c>
      <c r="L905" s="215">
        <v>49081657864</v>
      </c>
      <c r="M905" s="266">
        <v>40049081157867</v>
      </c>
      <c r="N905" s="264">
        <v>4.1000000000000002E-2</v>
      </c>
      <c r="O905" s="265">
        <v>10</v>
      </c>
      <c r="P905" s="265">
        <v>10.45</v>
      </c>
      <c r="Q905" s="265">
        <v>0.65</v>
      </c>
    </row>
    <row r="906" spans="1:17" ht="15" customHeight="1">
      <c r="A906" s="147">
        <v>923</v>
      </c>
      <c r="B906" s="51" t="s">
        <v>23</v>
      </c>
      <c r="C906" s="51" t="s">
        <v>5250</v>
      </c>
      <c r="D906" s="51">
        <v>100023663</v>
      </c>
      <c r="E906" s="53" t="s">
        <v>5251</v>
      </c>
      <c r="F906" s="124">
        <v>100</v>
      </c>
      <c r="G906" s="124">
        <v>15000</v>
      </c>
      <c r="H906" s="369">
        <v>28.06</v>
      </c>
      <c r="I906" s="215" t="s">
        <v>76</v>
      </c>
      <c r="J906" s="215" t="s">
        <v>102</v>
      </c>
      <c r="K906" s="266">
        <v>49081157968</v>
      </c>
      <c r="L906" s="215">
        <v>49081657963</v>
      </c>
      <c r="M906" s="266">
        <v>40049081157966</v>
      </c>
      <c r="N906" s="264">
        <v>9.2999999999999999E-2</v>
      </c>
      <c r="O906" s="265">
        <v>10</v>
      </c>
      <c r="P906" s="265">
        <v>9.32</v>
      </c>
      <c r="Q906" s="265">
        <v>0.5</v>
      </c>
    </row>
    <row r="907" spans="1:17" ht="15" customHeight="1">
      <c r="A907" s="147">
        <v>924</v>
      </c>
      <c r="B907" s="51" t="s">
        <v>23</v>
      </c>
      <c r="C907" s="51" t="s">
        <v>5252</v>
      </c>
      <c r="D907" s="51">
        <v>100023664</v>
      </c>
      <c r="E907" s="53" t="s">
        <v>5253</v>
      </c>
      <c r="F907" s="124">
        <v>100</v>
      </c>
      <c r="G907" s="124">
        <v>12000</v>
      </c>
      <c r="H907" s="369">
        <v>28.06</v>
      </c>
      <c r="I907" s="215" t="s">
        <v>346</v>
      </c>
      <c r="J907" s="215" t="s">
        <v>102</v>
      </c>
      <c r="K907" s="266">
        <v>49081157944</v>
      </c>
      <c r="L907" s="215">
        <v>49081657949</v>
      </c>
      <c r="M907" s="266">
        <v>40049081157942</v>
      </c>
      <c r="N907" s="264">
        <v>9.2999999999999999E-2</v>
      </c>
      <c r="O907" s="265">
        <v>10</v>
      </c>
      <c r="P907" s="265">
        <v>9.65</v>
      </c>
      <c r="Q907" s="265">
        <v>0.65</v>
      </c>
    </row>
    <row r="908" spans="1:17" ht="15" customHeight="1">
      <c r="A908" s="147">
        <v>925</v>
      </c>
      <c r="B908" s="51" t="s">
        <v>23</v>
      </c>
      <c r="C908" s="51" t="s">
        <v>5254</v>
      </c>
      <c r="D908" s="51">
        <v>100023665</v>
      </c>
      <c r="E908" s="53" t="s">
        <v>5255</v>
      </c>
      <c r="F908" s="124">
        <v>100</v>
      </c>
      <c r="G908" s="124">
        <v>12000</v>
      </c>
      <c r="H908" s="369">
        <v>28.06</v>
      </c>
      <c r="I908" s="215" t="s">
        <v>76</v>
      </c>
      <c r="J908" s="215" t="s">
        <v>102</v>
      </c>
      <c r="K908" s="266">
        <v>49081157920</v>
      </c>
      <c r="L908" s="215">
        <v>49081657925</v>
      </c>
      <c r="M908" s="266">
        <v>40049081157928</v>
      </c>
      <c r="N908" s="264">
        <v>7.3999999999999996E-2</v>
      </c>
      <c r="O908" s="265">
        <v>10</v>
      </c>
      <c r="P908" s="265">
        <v>7.45</v>
      </c>
      <c r="Q908" s="265">
        <v>0.65</v>
      </c>
    </row>
    <row r="909" spans="1:17" ht="15" customHeight="1">
      <c r="A909" s="147">
        <v>926</v>
      </c>
      <c r="B909" s="51" t="s">
        <v>23</v>
      </c>
      <c r="C909" s="51" t="s">
        <v>5256</v>
      </c>
      <c r="D909" s="51">
        <v>100023666</v>
      </c>
      <c r="E909" s="53" t="s">
        <v>5257</v>
      </c>
      <c r="F909" s="124">
        <v>100</v>
      </c>
      <c r="G909" s="124">
        <v>12000</v>
      </c>
      <c r="H909" s="369">
        <v>35.22</v>
      </c>
      <c r="I909" s="215" t="s">
        <v>76</v>
      </c>
      <c r="J909" s="215" t="s">
        <v>102</v>
      </c>
      <c r="K909" s="266">
        <v>49081158101</v>
      </c>
      <c r="L909" s="215">
        <v>49081658106</v>
      </c>
      <c r="M909" s="266">
        <v>40049081158109</v>
      </c>
      <c r="N909" s="264">
        <v>0.13400000000000001</v>
      </c>
      <c r="O909" s="265">
        <v>10</v>
      </c>
      <c r="P909" s="265">
        <v>13.67</v>
      </c>
      <c r="Q909" s="265">
        <v>0.65</v>
      </c>
    </row>
    <row r="910" spans="1:17" ht="15" customHeight="1">
      <c r="A910" s="147">
        <v>927</v>
      </c>
      <c r="B910" s="51" t="s">
        <v>23</v>
      </c>
      <c r="C910" s="51" t="s">
        <v>5258</v>
      </c>
      <c r="D910" s="51">
        <v>100023667</v>
      </c>
      <c r="E910" s="53" t="s">
        <v>5259</v>
      </c>
      <c r="F910" s="124">
        <v>100</v>
      </c>
      <c r="G910" s="124">
        <v>12000</v>
      </c>
      <c r="H910" s="369">
        <v>35.22</v>
      </c>
      <c r="I910" s="215" t="s">
        <v>346</v>
      </c>
      <c r="J910" s="215" t="s">
        <v>102</v>
      </c>
      <c r="K910" s="266">
        <v>49081158088</v>
      </c>
      <c r="L910" s="215">
        <v>49081658083</v>
      </c>
      <c r="M910" s="266">
        <v>40049081158086</v>
      </c>
      <c r="N910" s="264">
        <v>0.13400000000000001</v>
      </c>
      <c r="O910" s="265">
        <v>10</v>
      </c>
      <c r="P910" s="265">
        <v>13.56</v>
      </c>
      <c r="Q910" s="265">
        <v>0.65</v>
      </c>
    </row>
    <row r="911" spans="1:17" ht="15" customHeight="1">
      <c r="A911" s="147">
        <v>928</v>
      </c>
      <c r="B911" s="51" t="s">
        <v>23</v>
      </c>
      <c r="C911" s="51" t="s">
        <v>5260</v>
      </c>
      <c r="D911" s="51">
        <v>100023668</v>
      </c>
      <c r="E911" s="53" t="s">
        <v>5261</v>
      </c>
      <c r="F911" s="124">
        <v>100</v>
      </c>
      <c r="G911" s="124">
        <v>12000</v>
      </c>
      <c r="H911" s="369">
        <v>35.22</v>
      </c>
      <c r="I911" s="215" t="s">
        <v>76</v>
      </c>
      <c r="J911" s="215" t="s">
        <v>102</v>
      </c>
      <c r="K911" s="266">
        <v>49081158064</v>
      </c>
      <c r="L911" s="215">
        <v>49081658069</v>
      </c>
      <c r="M911" s="266">
        <v>40049081158062</v>
      </c>
      <c r="N911" s="264">
        <v>0.12</v>
      </c>
      <c r="O911" s="265">
        <v>10</v>
      </c>
      <c r="P911" s="265">
        <v>12.64</v>
      </c>
      <c r="Q911" s="265">
        <v>0.65</v>
      </c>
    </row>
    <row r="912" spans="1:17" ht="15" customHeight="1">
      <c r="A912" s="147">
        <v>929</v>
      </c>
      <c r="B912" s="51" t="s">
        <v>23</v>
      </c>
      <c r="C912" s="51" t="s">
        <v>5262</v>
      </c>
      <c r="D912" s="51">
        <v>100023669</v>
      </c>
      <c r="E912" s="53" t="s">
        <v>5263</v>
      </c>
      <c r="F912" s="124">
        <v>100</v>
      </c>
      <c r="G912" s="124">
        <v>12000</v>
      </c>
      <c r="H912" s="369">
        <v>35.22</v>
      </c>
      <c r="I912" s="215" t="s">
        <v>346</v>
      </c>
      <c r="J912" s="215" t="s">
        <v>102</v>
      </c>
      <c r="K912" s="266">
        <v>49081158040</v>
      </c>
      <c r="L912" s="215">
        <v>49081658045</v>
      </c>
      <c r="M912" s="266">
        <v>40049081158048</v>
      </c>
      <c r="N912" s="264">
        <v>9.2999999999999999E-2</v>
      </c>
      <c r="O912" s="265">
        <v>10</v>
      </c>
      <c r="P912" s="265">
        <v>9.44</v>
      </c>
      <c r="Q912" s="265">
        <v>0.65</v>
      </c>
    </row>
    <row r="913" spans="1:17" ht="15" customHeight="1">
      <c r="A913" s="147">
        <v>930</v>
      </c>
      <c r="B913" s="51" t="s">
        <v>23</v>
      </c>
      <c r="C913" s="51" t="s">
        <v>5264</v>
      </c>
      <c r="D913" s="51">
        <v>100023670</v>
      </c>
      <c r="E913" s="53" t="s">
        <v>5265</v>
      </c>
      <c r="F913" s="124">
        <v>50</v>
      </c>
      <c r="G913" s="124">
        <v>6000</v>
      </c>
      <c r="H913" s="369">
        <v>43.04</v>
      </c>
      <c r="I913" s="215" t="s">
        <v>346</v>
      </c>
      <c r="J913" s="215" t="s">
        <v>102</v>
      </c>
      <c r="K913" s="266">
        <v>49081158200</v>
      </c>
      <c r="L913" s="215">
        <v>49081658205</v>
      </c>
      <c r="M913" s="266">
        <v>40049081158208</v>
      </c>
      <c r="N913" s="264">
        <v>0.20699999999999999</v>
      </c>
      <c r="O913" s="265">
        <v>5</v>
      </c>
      <c r="P913" s="265">
        <v>10.25</v>
      </c>
      <c r="Q913" s="265">
        <v>0.65</v>
      </c>
    </row>
    <row r="914" spans="1:17" ht="15" customHeight="1">
      <c r="A914" s="147">
        <v>931</v>
      </c>
      <c r="B914" s="51" t="s">
        <v>23</v>
      </c>
      <c r="C914" s="51" t="s">
        <v>5266</v>
      </c>
      <c r="D914" s="51">
        <v>100023671</v>
      </c>
      <c r="E914" s="53" t="s">
        <v>5267</v>
      </c>
      <c r="F914" s="124">
        <v>50</v>
      </c>
      <c r="G914" s="124">
        <v>6000</v>
      </c>
      <c r="H914" s="369">
        <v>43.04</v>
      </c>
      <c r="I914" s="215" t="s">
        <v>76</v>
      </c>
      <c r="J914" s="215" t="s">
        <v>102</v>
      </c>
      <c r="K914" s="266">
        <v>49081158187</v>
      </c>
      <c r="L914" s="215">
        <v>49081658182</v>
      </c>
      <c r="M914" s="266">
        <v>40049081158185</v>
      </c>
      <c r="N914" s="264">
        <v>0.20200000000000001</v>
      </c>
      <c r="O914" s="265">
        <v>5</v>
      </c>
      <c r="P914" s="265">
        <v>10.43</v>
      </c>
      <c r="Q914" s="265">
        <v>0.65</v>
      </c>
    </row>
    <row r="915" spans="1:17" ht="15" customHeight="1">
      <c r="A915" s="147">
        <v>932</v>
      </c>
      <c r="B915" s="51" t="s">
        <v>23</v>
      </c>
      <c r="C915" s="51" t="s">
        <v>5268</v>
      </c>
      <c r="D915" s="51">
        <v>100023672</v>
      </c>
      <c r="E915" s="53" t="s">
        <v>5269</v>
      </c>
      <c r="F915" s="124">
        <v>50</v>
      </c>
      <c r="G915" s="124">
        <v>7500</v>
      </c>
      <c r="H915" s="369">
        <v>43.04</v>
      </c>
      <c r="I915" s="215" t="s">
        <v>76</v>
      </c>
      <c r="J915" s="215" t="s">
        <v>102</v>
      </c>
      <c r="K915" s="266">
        <v>49081158163</v>
      </c>
      <c r="L915" s="215">
        <v>49081658168</v>
      </c>
      <c r="M915" s="266">
        <v>40049081158161</v>
      </c>
      <c r="N915" s="264">
        <v>0.21199999999999999</v>
      </c>
      <c r="O915" s="265">
        <v>5</v>
      </c>
      <c r="P915" s="265">
        <v>10.92</v>
      </c>
      <c r="Q915" s="265">
        <v>0.5</v>
      </c>
    </row>
    <row r="916" spans="1:17" ht="15" customHeight="1">
      <c r="A916" s="147">
        <v>933</v>
      </c>
      <c r="B916" s="51" t="s">
        <v>23</v>
      </c>
      <c r="C916" s="51" t="s">
        <v>5270</v>
      </c>
      <c r="D916" s="51">
        <v>100023673</v>
      </c>
      <c r="E916" s="53" t="s">
        <v>5271</v>
      </c>
      <c r="F916" s="124">
        <v>50</v>
      </c>
      <c r="G916" s="124">
        <v>7500</v>
      </c>
      <c r="H916" s="369">
        <v>43.04</v>
      </c>
      <c r="I916" s="215" t="s">
        <v>346</v>
      </c>
      <c r="J916" s="215" t="s">
        <v>102</v>
      </c>
      <c r="K916" s="266">
        <v>49081158149</v>
      </c>
      <c r="L916" s="215">
        <v>49081658144</v>
      </c>
      <c r="M916" s="266">
        <v>40049081158147</v>
      </c>
      <c r="N916" s="264">
        <v>0.19500000000000001</v>
      </c>
      <c r="O916" s="265">
        <v>5</v>
      </c>
      <c r="P916" s="265">
        <v>9.42</v>
      </c>
      <c r="Q916" s="265">
        <v>0.5</v>
      </c>
    </row>
    <row r="917" spans="1:17" ht="15" customHeight="1">
      <c r="A917" s="147">
        <v>934</v>
      </c>
      <c r="B917" s="51" t="s">
        <v>23</v>
      </c>
      <c r="C917" s="51" t="s">
        <v>5272</v>
      </c>
      <c r="D917" s="51">
        <v>100023674</v>
      </c>
      <c r="E917" s="53" t="s">
        <v>5273</v>
      </c>
      <c r="F917" s="124">
        <v>50</v>
      </c>
      <c r="G917" s="124">
        <v>7500</v>
      </c>
      <c r="H917" s="369">
        <v>43.04</v>
      </c>
      <c r="I917" s="215" t="s">
        <v>76</v>
      </c>
      <c r="J917" s="215" t="s">
        <v>102</v>
      </c>
      <c r="K917" s="266">
        <v>49081158125</v>
      </c>
      <c r="L917" s="215">
        <v>49081658120</v>
      </c>
      <c r="M917" s="266">
        <v>40049081158123</v>
      </c>
      <c r="N917" s="264">
        <v>0.152</v>
      </c>
      <c r="O917" s="265">
        <v>5</v>
      </c>
      <c r="P917" s="265">
        <v>6.71</v>
      </c>
      <c r="Q917" s="265">
        <v>0.5</v>
      </c>
    </row>
    <row r="918" spans="1:17" ht="15" customHeight="1">
      <c r="A918" s="147">
        <v>935</v>
      </c>
      <c r="B918" s="51" t="s">
        <v>23</v>
      </c>
      <c r="C918" s="51" t="s">
        <v>5274</v>
      </c>
      <c r="D918" s="51">
        <v>100023677</v>
      </c>
      <c r="E918" s="53" t="s">
        <v>5275</v>
      </c>
      <c r="F918" s="124">
        <v>25</v>
      </c>
      <c r="G918" s="124">
        <v>3750</v>
      </c>
      <c r="H918" s="369">
        <v>91.13</v>
      </c>
      <c r="I918" s="215" t="s">
        <v>346</v>
      </c>
      <c r="J918" s="215" t="s">
        <v>102</v>
      </c>
      <c r="K918" s="266">
        <v>49081158248</v>
      </c>
      <c r="L918" s="215">
        <v>49081658243</v>
      </c>
      <c r="M918" s="266">
        <v>40049081158246</v>
      </c>
      <c r="N918" s="264">
        <v>0.28699999999999998</v>
      </c>
      <c r="O918" s="265">
        <v>5</v>
      </c>
      <c r="P918" s="265">
        <v>7.2</v>
      </c>
      <c r="Q918" s="265">
        <v>0.5</v>
      </c>
    </row>
    <row r="919" spans="1:17" ht="15" customHeight="1">
      <c r="A919" s="147">
        <v>936</v>
      </c>
      <c r="B919" s="51" t="s">
        <v>23</v>
      </c>
      <c r="C919" s="51" t="s">
        <v>5276</v>
      </c>
      <c r="D919" s="51">
        <v>100023434</v>
      </c>
      <c r="E919" s="53" t="s">
        <v>5277</v>
      </c>
      <c r="F919" s="124">
        <v>25</v>
      </c>
      <c r="G919" s="124">
        <v>3000</v>
      </c>
      <c r="H919" s="369">
        <v>168.71</v>
      </c>
      <c r="I919" s="215" t="s">
        <v>76</v>
      </c>
      <c r="J919" s="215" t="s">
        <v>102</v>
      </c>
      <c r="K919" s="266">
        <v>49081158460</v>
      </c>
      <c r="L919" s="215">
        <v>49081658465</v>
      </c>
      <c r="M919" s="266">
        <v>40049081158468</v>
      </c>
      <c r="N919" s="264">
        <v>0.58799999999999997</v>
      </c>
      <c r="O919" s="265">
        <v>5</v>
      </c>
      <c r="P919" s="265">
        <v>13.07</v>
      </c>
      <c r="Q919" s="265">
        <v>0.65</v>
      </c>
    </row>
    <row r="920" spans="1:17" ht="15" customHeight="1">
      <c r="A920" s="147">
        <v>937</v>
      </c>
      <c r="B920" s="51" t="s">
        <v>23</v>
      </c>
      <c r="C920" s="51" t="s">
        <v>5278</v>
      </c>
      <c r="D920" s="51">
        <v>100023678</v>
      </c>
      <c r="E920" s="53" t="s">
        <v>5279</v>
      </c>
      <c r="F920" s="124">
        <v>25</v>
      </c>
      <c r="G920" s="124">
        <v>3000</v>
      </c>
      <c r="H920" s="369">
        <v>168.71</v>
      </c>
      <c r="I920" s="215" t="s">
        <v>346</v>
      </c>
      <c r="J920" s="215" t="s">
        <v>102</v>
      </c>
      <c r="K920" s="266">
        <v>49081158446</v>
      </c>
      <c r="L920" s="215">
        <v>49081658441</v>
      </c>
      <c r="M920" s="266">
        <v>40049081158444</v>
      </c>
      <c r="N920" s="264">
        <v>0.53600000000000003</v>
      </c>
      <c r="O920" s="265">
        <v>5</v>
      </c>
      <c r="P920" s="265">
        <v>13.39</v>
      </c>
      <c r="Q920" s="265">
        <v>0.65</v>
      </c>
    </row>
    <row r="921" spans="1:17" ht="15" customHeight="1">
      <c r="A921" s="147">
        <v>938</v>
      </c>
      <c r="B921" s="51" t="s">
        <v>23</v>
      </c>
      <c r="C921" s="51" t="s">
        <v>5280</v>
      </c>
      <c r="D921" s="51">
        <v>100023681</v>
      </c>
      <c r="E921" s="53" t="s">
        <v>5281</v>
      </c>
      <c r="F921" s="124">
        <v>25</v>
      </c>
      <c r="G921" s="124">
        <v>3000</v>
      </c>
      <c r="H921" s="369">
        <v>168.71</v>
      </c>
      <c r="I921" s="215" t="s">
        <v>76</v>
      </c>
      <c r="J921" s="215" t="s">
        <v>102</v>
      </c>
      <c r="K921" s="266">
        <v>49081158385</v>
      </c>
      <c r="L921" s="215">
        <v>49081658380</v>
      </c>
      <c r="M921" s="266">
        <v>40049081158383</v>
      </c>
      <c r="N921" s="264">
        <v>0.58399999999999996</v>
      </c>
      <c r="O921" s="265">
        <v>5</v>
      </c>
      <c r="P921" s="265">
        <v>11.96</v>
      </c>
      <c r="Q921" s="265">
        <v>0.95</v>
      </c>
    </row>
    <row r="922" spans="1:17" ht="15" customHeight="1">
      <c r="A922" s="147">
        <v>939</v>
      </c>
      <c r="B922" s="51" t="s">
        <v>23</v>
      </c>
      <c r="C922" s="51" t="s">
        <v>5282</v>
      </c>
      <c r="D922" s="51">
        <v>100023682</v>
      </c>
      <c r="E922" s="53" t="s">
        <v>5283</v>
      </c>
      <c r="F922" s="124">
        <v>25</v>
      </c>
      <c r="G922" s="124">
        <v>3000</v>
      </c>
      <c r="H922" s="369">
        <v>168.71</v>
      </c>
      <c r="I922" s="215" t="s">
        <v>346</v>
      </c>
      <c r="J922" s="215" t="s">
        <v>102</v>
      </c>
      <c r="K922" s="266">
        <v>49081158361</v>
      </c>
      <c r="L922" s="215">
        <v>49081658366</v>
      </c>
      <c r="M922" s="266">
        <v>40049081158369</v>
      </c>
      <c r="N922" s="264">
        <v>0.48199999999999998</v>
      </c>
      <c r="O922" s="265">
        <v>5</v>
      </c>
      <c r="P922" s="265">
        <v>9.2100000000000009</v>
      </c>
      <c r="Q922" s="265">
        <v>0.65</v>
      </c>
    </row>
    <row r="923" spans="1:17" ht="15" customHeight="1">
      <c r="A923" s="147">
        <v>940</v>
      </c>
      <c r="B923" s="51" t="s">
        <v>23</v>
      </c>
      <c r="C923" s="51" t="s">
        <v>5284</v>
      </c>
      <c r="D923" s="51">
        <v>100023685</v>
      </c>
      <c r="E923" s="53" t="s">
        <v>5285</v>
      </c>
      <c r="F923" s="124">
        <v>10</v>
      </c>
      <c r="G923" s="124">
        <v>1500</v>
      </c>
      <c r="H923" s="369">
        <v>259.2</v>
      </c>
      <c r="I923" s="215" t="s">
        <v>76</v>
      </c>
      <c r="J923" s="215" t="s">
        <v>102</v>
      </c>
      <c r="K923" s="266">
        <v>49081158569</v>
      </c>
      <c r="L923" s="265" t="s">
        <v>649</v>
      </c>
      <c r="M923" s="266">
        <v>40049081158567</v>
      </c>
      <c r="N923" s="264">
        <v>0.89</v>
      </c>
      <c r="O923" s="265" t="s">
        <v>649</v>
      </c>
      <c r="P923" s="265">
        <v>8.9600000000000009</v>
      </c>
      <c r="Q923" s="265">
        <v>0.5</v>
      </c>
    </row>
    <row r="924" spans="1:17" ht="15" customHeight="1">
      <c r="A924" s="147">
        <v>941</v>
      </c>
      <c r="B924" s="51" t="s">
        <v>23</v>
      </c>
      <c r="C924" s="51" t="s">
        <v>5286</v>
      </c>
      <c r="D924" s="51">
        <v>100028166</v>
      </c>
      <c r="E924" s="53" t="s">
        <v>5287</v>
      </c>
      <c r="F924" s="124">
        <v>10</v>
      </c>
      <c r="G924" s="124">
        <v>1500</v>
      </c>
      <c r="H924" s="369">
        <v>259.2</v>
      </c>
      <c r="I924" s="215" t="s">
        <v>346</v>
      </c>
      <c r="J924" s="215" t="s">
        <v>102</v>
      </c>
      <c r="K924" s="266">
        <v>49081158545</v>
      </c>
      <c r="L924" s="265" t="s">
        <v>649</v>
      </c>
      <c r="M924" s="266">
        <v>40049081158543</v>
      </c>
      <c r="N924" s="264">
        <v>0.96599999999999997</v>
      </c>
      <c r="O924" s="265" t="s">
        <v>649</v>
      </c>
      <c r="P924" s="265">
        <v>9.73</v>
      </c>
      <c r="Q924" s="265">
        <v>0.5</v>
      </c>
    </row>
    <row r="925" spans="1:17" ht="15" customHeight="1">
      <c r="A925" s="147">
        <v>942</v>
      </c>
      <c r="B925" s="51" t="s">
        <v>23</v>
      </c>
      <c r="C925" s="51" t="s">
        <v>5288</v>
      </c>
      <c r="D925" s="51">
        <v>100023686</v>
      </c>
      <c r="E925" s="53" t="s">
        <v>5289</v>
      </c>
      <c r="F925" s="124">
        <v>10</v>
      </c>
      <c r="G925" s="124">
        <v>1500</v>
      </c>
      <c r="H925" s="369">
        <v>259.2</v>
      </c>
      <c r="I925" s="215" t="s">
        <v>76</v>
      </c>
      <c r="J925" s="215" t="s">
        <v>102</v>
      </c>
      <c r="K925" s="266">
        <v>49081158521</v>
      </c>
      <c r="L925" s="265" t="s">
        <v>649</v>
      </c>
      <c r="M925" s="266">
        <v>40049081158529</v>
      </c>
      <c r="N925" s="264">
        <v>0.86</v>
      </c>
      <c r="O925" s="265" t="s">
        <v>649</v>
      </c>
      <c r="P925" s="265">
        <v>8.84</v>
      </c>
      <c r="Q925" s="265">
        <v>0.5</v>
      </c>
    </row>
    <row r="926" spans="1:17" ht="15" customHeight="1">
      <c r="A926" s="147">
        <v>943</v>
      </c>
      <c r="B926" s="51" t="s">
        <v>23</v>
      </c>
      <c r="C926" s="51" t="s">
        <v>5290</v>
      </c>
      <c r="D926" s="51">
        <v>100023437</v>
      </c>
      <c r="E926" s="53" t="s">
        <v>5291</v>
      </c>
      <c r="F926" s="124">
        <v>500</v>
      </c>
      <c r="G926" s="124">
        <v>135000</v>
      </c>
      <c r="H926" s="369">
        <v>30.2</v>
      </c>
      <c r="I926" s="215" t="s">
        <v>346</v>
      </c>
      <c r="J926" s="215" t="s">
        <v>102</v>
      </c>
      <c r="K926" s="266">
        <v>49081158767</v>
      </c>
      <c r="L926" s="215">
        <v>49081658762</v>
      </c>
      <c r="M926" s="266">
        <v>40049081158765</v>
      </c>
      <c r="N926" s="264">
        <v>1.4999999999999999E-2</v>
      </c>
      <c r="O926" s="265">
        <v>10</v>
      </c>
      <c r="P926" s="265">
        <v>7.64</v>
      </c>
      <c r="Q926" s="265">
        <v>0.31</v>
      </c>
    </row>
    <row r="927" spans="1:17" ht="15" customHeight="1">
      <c r="A927" s="147">
        <v>944</v>
      </c>
      <c r="B927" s="51" t="s">
        <v>23</v>
      </c>
      <c r="C927" s="51" t="s">
        <v>5292</v>
      </c>
      <c r="D927" s="51">
        <v>100023687</v>
      </c>
      <c r="E927" s="53" t="s">
        <v>5293</v>
      </c>
      <c r="F927" s="124">
        <v>500</v>
      </c>
      <c r="G927" s="124">
        <v>75000</v>
      </c>
      <c r="H927" s="369">
        <v>30.2</v>
      </c>
      <c r="I927" s="215" t="s">
        <v>76</v>
      </c>
      <c r="J927" s="215" t="s">
        <v>102</v>
      </c>
      <c r="K927" s="266">
        <v>49081158781</v>
      </c>
      <c r="L927" s="215">
        <v>49081658786</v>
      </c>
      <c r="M927" s="266">
        <v>40049081158789</v>
      </c>
      <c r="N927" s="264">
        <v>1.2999999999999999E-2</v>
      </c>
      <c r="O927" s="265">
        <v>10</v>
      </c>
      <c r="P927" s="265">
        <v>10.7</v>
      </c>
      <c r="Q927" s="265">
        <v>0.5</v>
      </c>
    </row>
    <row r="928" spans="1:17" ht="15" customHeight="1">
      <c r="A928" s="147">
        <v>945</v>
      </c>
      <c r="B928" s="51" t="s">
        <v>23</v>
      </c>
      <c r="C928" s="51" t="s">
        <v>5294</v>
      </c>
      <c r="D928" s="51">
        <v>100023689</v>
      </c>
      <c r="E928" s="53" t="s">
        <v>5295</v>
      </c>
      <c r="F928" s="124">
        <v>500</v>
      </c>
      <c r="G928" s="124">
        <v>75000</v>
      </c>
      <c r="H928" s="369">
        <v>30.2</v>
      </c>
      <c r="I928" s="215" t="s">
        <v>76</v>
      </c>
      <c r="J928" s="215" t="s">
        <v>102</v>
      </c>
      <c r="K928" s="266">
        <v>49081158828</v>
      </c>
      <c r="L928" s="215">
        <v>49081658823</v>
      </c>
      <c r="M928" s="266">
        <v>40049081158826</v>
      </c>
      <c r="N928" s="264">
        <v>2.1000000000000001E-2</v>
      </c>
      <c r="O928" s="265">
        <v>10</v>
      </c>
      <c r="P928" s="265">
        <v>11.05</v>
      </c>
      <c r="Q928" s="265">
        <v>0.5</v>
      </c>
    </row>
    <row r="929" spans="1:17" ht="15" customHeight="1">
      <c r="A929" s="147">
        <v>946</v>
      </c>
      <c r="B929" s="51" t="s">
        <v>23</v>
      </c>
      <c r="C929" s="51" t="s">
        <v>5296</v>
      </c>
      <c r="D929" s="51">
        <v>100023690</v>
      </c>
      <c r="E929" s="53" t="s">
        <v>5297</v>
      </c>
      <c r="F929" s="124">
        <v>500</v>
      </c>
      <c r="G929" s="124">
        <v>75000</v>
      </c>
      <c r="H929" s="369">
        <v>30.2</v>
      </c>
      <c r="I929" s="215" t="s">
        <v>76</v>
      </c>
      <c r="J929" s="215" t="s">
        <v>102</v>
      </c>
      <c r="K929" s="266">
        <v>49081158804</v>
      </c>
      <c r="L929" s="215">
        <v>49081658809</v>
      </c>
      <c r="M929" s="266">
        <v>40049081158802</v>
      </c>
      <c r="N929" s="264">
        <v>1.4999999999999999E-2</v>
      </c>
      <c r="O929" s="265">
        <v>10</v>
      </c>
      <c r="P929" s="265">
        <v>8.02</v>
      </c>
      <c r="Q929" s="265">
        <v>0.5</v>
      </c>
    </row>
    <row r="930" spans="1:17" ht="15" customHeight="1">
      <c r="A930" s="147">
        <v>947</v>
      </c>
      <c r="B930" s="51" t="s">
        <v>23</v>
      </c>
      <c r="C930" s="51" t="s">
        <v>5298</v>
      </c>
      <c r="D930" s="51">
        <v>100023691</v>
      </c>
      <c r="E930" s="53" t="s">
        <v>5299</v>
      </c>
      <c r="F930" s="124">
        <v>250</v>
      </c>
      <c r="G930" s="124">
        <v>37500</v>
      </c>
      <c r="H930" s="369">
        <v>22.5</v>
      </c>
      <c r="I930" s="215" t="s">
        <v>346</v>
      </c>
      <c r="J930" s="215" t="s">
        <v>102</v>
      </c>
      <c r="K930" s="266">
        <v>49081158880</v>
      </c>
      <c r="L930" s="215">
        <v>49081658885</v>
      </c>
      <c r="M930" s="266">
        <v>40049081158888</v>
      </c>
      <c r="N930" s="264">
        <v>3.5999999999999997E-2</v>
      </c>
      <c r="O930" s="265">
        <v>10</v>
      </c>
      <c r="P930" s="265">
        <v>10.35</v>
      </c>
      <c r="Q930" s="265">
        <v>0.5</v>
      </c>
    </row>
    <row r="931" spans="1:17" ht="15" customHeight="1">
      <c r="A931" s="147">
        <v>948</v>
      </c>
      <c r="B931" s="51" t="s">
        <v>23</v>
      </c>
      <c r="C931" s="51" t="s">
        <v>5300</v>
      </c>
      <c r="D931" s="51">
        <v>100023692</v>
      </c>
      <c r="E931" s="53" t="s">
        <v>5301</v>
      </c>
      <c r="F931" s="124">
        <v>250</v>
      </c>
      <c r="G931" s="124">
        <v>37500</v>
      </c>
      <c r="H931" s="369">
        <v>22.5</v>
      </c>
      <c r="I931" s="215" t="s">
        <v>76</v>
      </c>
      <c r="J931" s="215" t="s">
        <v>102</v>
      </c>
      <c r="K931" s="266">
        <v>49081158866</v>
      </c>
      <c r="L931" s="215">
        <v>49081658861</v>
      </c>
      <c r="M931" s="266">
        <v>40049081158864</v>
      </c>
      <c r="N931" s="264">
        <v>0.03</v>
      </c>
      <c r="O931" s="265">
        <v>10</v>
      </c>
      <c r="P931" s="265">
        <v>8.6999999999999993</v>
      </c>
      <c r="Q931" s="265">
        <v>0.5</v>
      </c>
    </row>
    <row r="932" spans="1:17" ht="15" customHeight="1">
      <c r="A932" s="147">
        <v>949</v>
      </c>
      <c r="B932" s="51" t="s">
        <v>23</v>
      </c>
      <c r="C932" s="51" t="s">
        <v>5302</v>
      </c>
      <c r="D932" s="51">
        <v>100023693</v>
      </c>
      <c r="E932" s="53" t="s">
        <v>5303</v>
      </c>
      <c r="F932" s="124">
        <v>250</v>
      </c>
      <c r="G932" s="124">
        <v>37500</v>
      </c>
      <c r="H932" s="369">
        <v>18.54</v>
      </c>
      <c r="I932" s="215" t="s">
        <v>76</v>
      </c>
      <c r="J932" s="215" t="s">
        <v>102</v>
      </c>
      <c r="K932" s="266">
        <v>49081158842</v>
      </c>
      <c r="L932" s="215">
        <v>49081658847</v>
      </c>
      <c r="M932" s="266">
        <v>40049081158840</v>
      </c>
      <c r="N932" s="264">
        <v>2.5999999999999999E-2</v>
      </c>
      <c r="O932" s="265">
        <v>10</v>
      </c>
      <c r="P932" s="265">
        <v>5.5</v>
      </c>
      <c r="Q932" s="265">
        <v>0.5</v>
      </c>
    </row>
    <row r="933" spans="1:17" ht="15" customHeight="1">
      <c r="A933" s="147">
        <v>950</v>
      </c>
      <c r="B933" s="51" t="s">
        <v>23</v>
      </c>
      <c r="C933" s="51" t="s">
        <v>5304</v>
      </c>
      <c r="D933" s="51">
        <v>100023694</v>
      </c>
      <c r="E933" s="53" t="s">
        <v>5305</v>
      </c>
      <c r="F933" s="124">
        <v>250</v>
      </c>
      <c r="G933" s="124">
        <v>30000</v>
      </c>
      <c r="H933" s="369">
        <v>36.340000000000003</v>
      </c>
      <c r="I933" s="215" t="s">
        <v>76</v>
      </c>
      <c r="J933" s="215" t="s">
        <v>102</v>
      </c>
      <c r="K933" s="266">
        <v>49081158941</v>
      </c>
      <c r="L933" s="215">
        <v>49081658946</v>
      </c>
      <c r="M933" s="266">
        <v>40049081158949</v>
      </c>
      <c r="N933" s="264">
        <v>6.8000000000000005E-2</v>
      </c>
      <c r="O933" s="265">
        <v>10</v>
      </c>
      <c r="P933" s="265">
        <v>17.12</v>
      </c>
      <c r="Q933" s="265">
        <v>0.65</v>
      </c>
    </row>
    <row r="934" spans="1:17" ht="15" customHeight="1">
      <c r="A934" s="147">
        <v>951</v>
      </c>
      <c r="B934" s="51" t="s">
        <v>23</v>
      </c>
      <c r="C934" s="51" t="s">
        <v>5306</v>
      </c>
      <c r="D934" s="51">
        <v>100023695</v>
      </c>
      <c r="E934" s="53" t="s">
        <v>5307</v>
      </c>
      <c r="F934" s="124">
        <v>250</v>
      </c>
      <c r="G934" s="124">
        <v>30000</v>
      </c>
      <c r="H934" s="369">
        <v>29.05</v>
      </c>
      <c r="I934" s="215" t="s">
        <v>76</v>
      </c>
      <c r="J934" s="215" t="s">
        <v>102</v>
      </c>
      <c r="K934" s="266">
        <v>49081158965</v>
      </c>
      <c r="L934" s="215">
        <v>49081658960</v>
      </c>
      <c r="M934" s="266">
        <v>40049081158963</v>
      </c>
      <c r="N934" s="264">
        <v>6.2E-2</v>
      </c>
      <c r="O934" s="265">
        <v>10</v>
      </c>
      <c r="P934" s="265">
        <v>15.52</v>
      </c>
      <c r="Q934" s="265">
        <v>0.65</v>
      </c>
    </row>
    <row r="935" spans="1:17" ht="15" customHeight="1">
      <c r="A935" s="147">
        <v>952</v>
      </c>
      <c r="B935" s="51" t="s">
        <v>23</v>
      </c>
      <c r="C935" s="51" t="s">
        <v>5308</v>
      </c>
      <c r="D935" s="51">
        <v>100023696</v>
      </c>
      <c r="E935" s="53" t="s">
        <v>5309</v>
      </c>
      <c r="F935" s="124">
        <v>250</v>
      </c>
      <c r="G935" s="124">
        <v>30000</v>
      </c>
      <c r="H935" s="369">
        <v>29.05</v>
      </c>
      <c r="I935" s="215" t="s">
        <v>76</v>
      </c>
      <c r="J935" s="215" t="s">
        <v>102</v>
      </c>
      <c r="K935" s="266">
        <v>49081158927</v>
      </c>
      <c r="L935" s="215">
        <v>49081658922</v>
      </c>
      <c r="M935" s="266">
        <v>40049081158925</v>
      </c>
      <c r="N935" s="264">
        <v>5.3999999999999999E-2</v>
      </c>
      <c r="O935" s="265">
        <v>10</v>
      </c>
      <c r="P935" s="265">
        <v>13.55</v>
      </c>
      <c r="Q935" s="265">
        <v>0.65</v>
      </c>
    </row>
    <row r="936" spans="1:17" ht="15" customHeight="1">
      <c r="A936" s="147">
        <v>953</v>
      </c>
      <c r="B936" s="51" t="s">
        <v>23</v>
      </c>
      <c r="C936" s="51" t="s">
        <v>5310</v>
      </c>
      <c r="D936" s="51">
        <v>100023697</v>
      </c>
      <c r="E936" s="53" t="s">
        <v>5311</v>
      </c>
      <c r="F936" s="124">
        <v>250</v>
      </c>
      <c r="G936" s="124">
        <v>30000</v>
      </c>
      <c r="H936" s="369">
        <v>29.05</v>
      </c>
      <c r="I936" s="215" t="s">
        <v>76</v>
      </c>
      <c r="J936" s="215" t="s">
        <v>102</v>
      </c>
      <c r="K936" s="266">
        <v>49081158903</v>
      </c>
      <c r="L936" s="215">
        <v>49081658908</v>
      </c>
      <c r="M936" s="266">
        <v>40049081158901</v>
      </c>
      <c r="N936" s="264">
        <v>3.9E-2</v>
      </c>
      <c r="O936" s="265">
        <v>10</v>
      </c>
      <c r="P936" s="265">
        <v>9.4600000000000009</v>
      </c>
      <c r="Q936" s="265">
        <v>0.65</v>
      </c>
    </row>
    <row r="937" spans="1:17" ht="15" customHeight="1">
      <c r="A937" s="147">
        <v>954</v>
      </c>
      <c r="B937" s="51" t="s">
        <v>23</v>
      </c>
      <c r="C937" s="51" t="s">
        <v>5312</v>
      </c>
      <c r="D937" s="51">
        <v>100023698</v>
      </c>
      <c r="E937" s="53" t="s">
        <v>5313</v>
      </c>
      <c r="F937" s="124">
        <v>100</v>
      </c>
      <c r="G937" s="124">
        <v>15000</v>
      </c>
      <c r="H937" s="369">
        <v>30.85</v>
      </c>
      <c r="I937" s="215" t="s">
        <v>76</v>
      </c>
      <c r="J937" s="215" t="s">
        <v>102</v>
      </c>
      <c r="K937" s="266">
        <v>49081159023</v>
      </c>
      <c r="L937" s="215">
        <v>49081659028</v>
      </c>
      <c r="M937" s="266">
        <v>40049081159021</v>
      </c>
      <c r="N937" s="264">
        <v>8.2000000000000003E-2</v>
      </c>
      <c r="O937" s="265">
        <v>10</v>
      </c>
      <c r="P937" s="265">
        <v>8.3000000000000007</v>
      </c>
      <c r="Q937" s="265">
        <v>0.5</v>
      </c>
    </row>
    <row r="938" spans="1:17" ht="15" customHeight="1">
      <c r="A938" s="147">
        <v>955</v>
      </c>
      <c r="B938" s="51" t="s">
        <v>23</v>
      </c>
      <c r="C938" s="51" t="s">
        <v>5314</v>
      </c>
      <c r="D938" s="51">
        <v>100023699</v>
      </c>
      <c r="E938" s="53" t="s">
        <v>5315</v>
      </c>
      <c r="F938" s="124">
        <v>100</v>
      </c>
      <c r="G938" s="124">
        <v>15000</v>
      </c>
      <c r="H938" s="369">
        <v>30.85</v>
      </c>
      <c r="I938" s="215" t="s">
        <v>346</v>
      </c>
      <c r="J938" s="215" t="s">
        <v>102</v>
      </c>
      <c r="K938" s="266">
        <v>49081159009</v>
      </c>
      <c r="L938" s="215">
        <v>49081659004</v>
      </c>
      <c r="M938" s="266">
        <v>40049081159007</v>
      </c>
      <c r="N938" s="264">
        <v>8.5999999999999993E-2</v>
      </c>
      <c r="O938" s="265">
        <v>10</v>
      </c>
      <c r="P938" s="265">
        <v>8.9700000000000006</v>
      </c>
      <c r="Q938" s="265">
        <v>0.5</v>
      </c>
    </row>
    <row r="939" spans="1:17" ht="15" customHeight="1">
      <c r="A939" s="147">
        <v>956</v>
      </c>
      <c r="B939" s="51" t="s">
        <v>23</v>
      </c>
      <c r="C939" s="51" t="s">
        <v>5316</v>
      </c>
      <c r="D939" s="51">
        <v>100023700</v>
      </c>
      <c r="E939" s="53" t="s">
        <v>5317</v>
      </c>
      <c r="F939" s="124">
        <v>100</v>
      </c>
      <c r="G939" s="124">
        <v>15000</v>
      </c>
      <c r="H939" s="369">
        <v>30.85</v>
      </c>
      <c r="I939" s="215" t="s">
        <v>76</v>
      </c>
      <c r="J939" s="215" t="s">
        <v>102</v>
      </c>
      <c r="K939" s="266">
        <v>49081158989</v>
      </c>
      <c r="L939" s="215">
        <v>49081658984</v>
      </c>
      <c r="M939" s="266">
        <v>40049081158987</v>
      </c>
      <c r="N939" s="264">
        <v>5.3999999999999999E-2</v>
      </c>
      <c r="O939" s="265">
        <v>10</v>
      </c>
      <c r="P939" s="265">
        <v>6.31</v>
      </c>
      <c r="Q939" s="265">
        <v>0.5</v>
      </c>
    </row>
    <row r="940" spans="1:17" ht="15" customHeight="1">
      <c r="A940" s="147">
        <v>957</v>
      </c>
      <c r="B940" s="51" t="s">
        <v>23</v>
      </c>
      <c r="C940" s="51" t="s">
        <v>5318</v>
      </c>
      <c r="D940" s="51">
        <v>100023701</v>
      </c>
      <c r="E940" s="53" t="s">
        <v>5319</v>
      </c>
      <c r="F940" s="124">
        <v>100</v>
      </c>
      <c r="G940" s="124">
        <v>15000</v>
      </c>
      <c r="H940" s="369">
        <v>36.53</v>
      </c>
      <c r="I940" s="215" t="s">
        <v>76</v>
      </c>
      <c r="J940" s="215" t="s">
        <v>102</v>
      </c>
      <c r="K940" s="266">
        <v>49081159122</v>
      </c>
      <c r="L940" s="215">
        <v>49081159122</v>
      </c>
      <c r="M940" s="266">
        <v>40049081159120</v>
      </c>
      <c r="N940" s="264">
        <v>9.4E-2</v>
      </c>
      <c r="O940" s="265">
        <v>10</v>
      </c>
      <c r="P940" s="265">
        <v>10.39</v>
      </c>
      <c r="Q940" s="265">
        <v>0.5</v>
      </c>
    </row>
    <row r="941" spans="1:17" ht="15" customHeight="1">
      <c r="A941" s="147">
        <v>958</v>
      </c>
      <c r="B941" s="51" t="s">
        <v>23</v>
      </c>
      <c r="C941" s="51" t="s">
        <v>5320</v>
      </c>
      <c r="D941" s="51">
        <v>100023702</v>
      </c>
      <c r="E941" s="53" t="s">
        <v>5321</v>
      </c>
      <c r="F941" s="124">
        <v>100</v>
      </c>
      <c r="G941" s="124">
        <v>15000</v>
      </c>
      <c r="H941" s="369">
        <v>36.53</v>
      </c>
      <c r="I941" s="215" t="s">
        <v>346</v>
      </c>
      <c r="J941" s="215" t="s">
        <v>102</v>
      </c>
      <c r="K941" s="266">
        <v>49081159108</v>
      </c>
      <c r="L941" s="215">
        <v>49081659103</v>
      </c>
      <c r="M941" s="266">
        <v>40049081159106</v>
      </c>
      <c r="N941" s="264">
        <v>9.9000000000000005E-2</v>
      </c>
      <c r="O941" s="265">
        <v>10</v>
      </c>
      <c r="P941" s="265">
        <v>9.92</v>
      </c>
      <c r="Q941" s="265">
        <v>0.5</v>
      </c>
    </row>
    <row r="942" spans="1:17" ht="15" customHeight="1">
      <c r="A942" s="147">
        <v>959</v>
      </c>
      <c r="B942" s="51" t="s">
        <v>23</v>
      </c>
      <c r="C942" s="51" t="s">
        <v>5322</v>
      </c>
      <c r="D942" s="51">
        <v>100023703</v>
      </c>
      <c r="E942" s="53" t="s">
        <v>5323</v>
      </c>
      <c r="F942" s="124">
        <v>100</v>
      </c>
      <c r="G942" s="124">
        <v>15000</v>
      </c>
      <c r="H942" s="369">
        <v>36.53</v>
      </c>
      <c r="I942" s="215" t="s">
        <v>76</v>
      </c>
      <c r="J942" s="215" t="s">
        <v>102</v>
      </c>
      <c r="K942" s="266">
        <v>49081159085</v>
      </c>
      <c r="L942" s="215">
        <v>49081659080</v>
      </c>
      <c r="M942" s="266">
        <v>40049081159083</v>
      </c>
      <c r="N942" s="264">
        <v>9.2999999999999999E-2</v>
      </c>
      <c r="O942" s="265">
        <v>10</v>
      </c>
      <c r="P942" s="265">
        <v>9.1999999999999993</v>
      </c>
      <c r="Q942" s="265">
        <v>0.5</v>
      </c>
    </row>
    <row r="943" spans="1:17" ht="15" customHeight="1">
      <c r="A943" s="147">
        <v>960</v>
      </c>
      <c r="B943" s="51" t="s">
        <v>23</v>
      </c>
      <c r="C943" s="51" t="s">
        <v>5324</v>
      </c>
      <c r="D943" s="51">
        <v>100023704</v>
      </c>
      <c r="E943" s="53" t="s">
        <v>5325</v>
      </c>
      <c r="F943" s="124">
        <v>100</v>
      </c>
      <c r="G943" s="124">
        <v>15000</v>
      </c>
      <c r="H943" s="369">
        <v>36.53</v>
      </c>
      <c r="I943" s="215" t="s">
        <v>76</v>
      </c>
      <c r="J943" s="215" t="s">
        <v>102</v>
      </c>
      <c r="K943" s="266">
        <v>49081159061</v>
      </c>
      <c r="L943" s="215">
        <v>49081659066</v>
      </c>
      <c r="M943" s="266">
        <v>40049081159069</v>
      </c>
      <c r="N943" s="264">
        <v>6.8000000000000005E-2</v>
      </c>
      <c r="O943" s="265">
        <v>10</v>
      </c>
      <c r="P943" s="265">
        <v>6.8</v>
      </c>
      <c r="Q943" s="265">
        <v>0.5</v>
      </c>
    </row>
    <row r="944" spans="1:17" ht="15" customHeight="1">
      <c r="A944" s="147">
        <v>961</v>
      </c>
      <c r="B944" s="51" t="s">
        <v>23</v>
      </c>
      <c r="C944" s="51" t="s">
        <v>5326</v>
      </c>
      <c r="D944" s="51">
        <v>100028167</v>
      </c>
      <c r="E944" s="53" t="s">
        <v>5327</v>
      </c>
      <c r="F944" s="124">
        <v>80</v>
      </c>
      <c r="G944" s="124">
        <v>0</v>
      </c>
      <c r="H944" s="369">
        <v>53.5</v>
      </c>
      <c r="I944" s="215" t="s">
        <v>346</v>
      </c>
      <c r="J944" s="215" t="s">
        <v>102</v>
      </c>
      <c r="K944" s="266">
        <v>49081159221</v>
      </c>
      <c r="L944" s="215">
        <v>0</v>
      </c>
      <c r="M944" s="266">
        <v>40049081159229</v>
      </c>
      <c r="N944" s="264">
        <v>0.36</v>
      </c>
      <c r="O944" s="265">
        <v>10</v>
      </c>
      <c r="P944" s="265">
        <v>16.8</v>
      </c>
      <c r="Q944" s="265" t="s">
        <v>649</v>
      </c>
    </row>
    <row r="945" spans="1:17" ht="15" customHeight="1">
      <c r="A945" s="147">
        <v>962</v>
      </c>
      <c r="B945" s="51" t="s">
        <v>23</v>
      </c>
      <c r="C945" s="51" t="s">
        <v>5328</v>
      </c>
      <c r="D945" s="51">
        <v>100028170</v>
      </c>
      <c r="E945" s="53" t="s">
        <v>5329</v>
      </c>
      <c r="F945" s="124">
        <v>60</v>
      </c>
      <c r="G945" s="124">
        <v>0</v>
      </c>
      <c r="H945" s="369">
        <v>53.5</v>
      </c>
      <c r="I945" s="215" t="s">
        <v>346</v>
      </c>
      <c r="J945" s="215" t="s">
        <v>102</v>
      </c>
      <c r="K945" s="266">
        <v>49081159160</v>
      </c>
      <c r="L945" s="215">
        <v>49081659165</v>
      </c>
      <c r="M945" s="266">
        <v>40049081159168</v>
      </c>
      <c r="N945" s="264">
        <v>0.17299999999999999</v>
      </c>
      <c r="O945" s="265">
        <v>15</v>
      </c>
      <c r="P945" s="265">
        <v>10.356</v>
      </c>
      <c r="Q945" s="265" t="s">
        <v>649</v>
      </c>
    </row>
    <row r="946" spans="1:17" ht="15" customHeight="1">
      <c r="A946" s="147">
        <v>963</v>
      </c>
      <c r="B946" s="51" t="s">
        <v>23</v>
      </c>
      <c r="C946" s="51" t="s">
        <v>5330</v>
      </c>
      <c r="D946" s="51">
        <v>100023705</v>
      </c>
      <c r="E946" s="53" t="s">
        <v>5331</v>
      </c>
      <c r="F946" s="124">
        <v>50</v>
      </c>
      <c r="G946" s="124">
        <v>7500</v>
      </c>
      <c r="H946" s="369">
        <v>53.5</v>
      </c>
      <c r="I946" s="215" t="s">
        <v>76</v>
      </c>
      <c r="J946" s="215" t="s">
        <v>102</v>
      </c>
      <c r="K946" s="266">
        <v>49081159146</v>
      </c>
      <c r="L946" s="215">
        <v>49081659141</v>
      </c>
      <c r="M946" s="266">
        <v>40049081159144</v>
      </c>
      <c r="N946" s="264">
        <v>0.113</v>
      </c>
      <c r="O946" s="265">
        <v>10</v>
      </c>
      <c r="P946" s="265">
        <v>6.64</v>
      </c>
      <c r="Q946" s="265">
        <v>0.5</v>
      </c>
    </row>
    <row r="947" spans="1:17" ht="15" customHeight="1">
      <c r="A947" s="147">
        <v>964</v>
      </c>
      <c r="B947" s="51" t="s">
        <v>23</v>
      </c>
      <c r="C947" s="51" t="s">
        <v>5332</v>
      </c>
      <c r="D947" s="51">
        <v>100028173</v>
      </c>
      <c r="E947" s="53" t="s">
        <v>5333</v>
      </c>
      <c r="F947" s="124">
        <v>15</v>
      </c>
      <c r="G947" s="124">
        <v>0</v>
      </c>
      <c r="H947" s="369">
        <v>259.2</v>
      </c>
      <c r="I947" s="215" t="s">
        <v>346</v>
      </c>
      <c r="J947" s="215" t="s">
        <v>102</v>
      </c>
      <c r="K947" s="266">
        <v>49081159528</v>
      </c>
      <c r="L947" s="265" t="s">
        <v>649</v>
      </c>
      <c r="M947" s="266">
        <v>40049081159526</v>
      </c>
      <c r="N947" s="264">
        <v>0.65</v>
      </c>
      <c r="O947" s="265" t="s">
        <v>649</v>
      </c>
      <c r="P947" s="265">
        <v>9.7550000000000008</v>
      </c>
      <c r="Q947" s="265" t="s">
        <v>649</v>
      </c>
    </row>
    <row r="948" spans="1:17" ht="15" customHeight="1">
      <c r="A948" s="147">
        <v>965</v>
      </c>
      <c r="B948" s="51" t="s">
        <v>23</v>
      </c>
      <c r="C948" s="51" t="s">
        <v>5334</v>
      </c>
      <c r="D948" s="51">
        <v>100023706</v>
      </c>
      <c r="E948" s="53" t="s">
        <v>5335</v>
      </c>
      <c r="F948" s="124">
        <v>500</v>
      </c>
      <c r="G948" s="124">
        <v>75000</v>
      </c>
      <c r="H948" s="369">
        <v>19.04</v>
      </c>
      <c r="I948" s="215" t="s">
        <v>346</v>
      </c>
      <c r="J948" s="215" t="s">
        <v>102</v>
      </c>
      <c r="K948" s="266">
        <v>49081159849</v>
      </c>
      <c r="L948" s="215">
        <v>49081659844</v>
      </c>
      <c r="M948" s="266">
        <v>40049081159847</v>
      </c>
      <c r="N948" s="264">
        <v>0.02</v>
      </c>
      <c r="O948" s="265">
        <v>10</v>
      </c>
      <c r="P948" s="265">
        <v>10.050000000000001</v>
      </c>
      <c r="Q948" s="265">
        <v>0.5</v>
      </c>
    </row>
    <row r="949" spans="1:17" ht="15" customHeight="1">
      <c r="A949" s="147">
        <v>966</v>
      </c>
      <c r="B949" s="51" t="s">
        <v>23</v>
      </c>
      <c r="C949" s="51" t="s">
        <v>5336</v>
      </c>
      <c r="D949" s="51">
        <v>100028174</v>
      </c>
      <c r="E949" s="53" t="s">
        <v>5337</v>
      </c>
      <c r="F949" s="124">
        <v>500</v>
      </c>
      <c r="G949" s="124">
        <v>75000</v>
      </c>
      <c r="H949" s="369">
        <v>19.04</v>
      </c>
      <c r="I949" s="215" t="s">
        <v>346</v>
      </c>
      <c r="J949" s="215" t="s">
        <v>102</v>
      </c>
      <c r="K949" s="266">
        <v>49081159863</v>
      </c>
      <c r="L949" s="215">
        <v>49081659868</v>
      </c>
      <c r="M949" s="266">
        <v>40049081159861</v>
      </c>
      <c r="N949" s="264">
        <v>2.5000000000000001E-2</v>
      </c>
      <c r="O949" s="265">
        <v>10</v>
      </c>
      <c r="P949" s="265">
        <v>14.09</v>
      </c>
      <c r="Q949" s="265">
        <v>0.5</v>
      </c>
    </row>
    <row r="950" spans="1:17" ht="15" customHeight="1">
      <c r="A950" s="147">
        <v>967</v>
      </c>
      <c r="B950" s="51" t="s">
        <v>23</v>
      </c>
      <c r="C950" s="51" t="s">
        <v>5338</v>
      </c>
      <c r="D950" s="51">
        <v>100023707</v>
      </c>
      <c r="E950" s="53" t="s">
        <v>5339</v>
      </c>
      <c r="F950" s="124">
        <v>250</v>
      </c>
      <c r="G950" s="124">
        <v>37500</v>
      </c>
      <c r="H950" s="369">
        <v>14.65</v>
      </c>
      <c r="I950" s="215" t="s">
        <v>76</v>
      </c>
      <c r="J950" s="215" t="s">
        <v>102</v>
      </c>
      <c r="K950" s="266">
        <v>49081159900</v>
      </c>
      <c r="L950" s="215">
        <v>49081659905</v>
      </c>
      <c r="M950" s="266">
        <v>40049081159908</v>
      </c>
      <c r="N950" s="264">
        <v>4.8000000000000001E-2</v>
      </c>
      <c r="O950" s="265">
        <v>10</v>
      </c>
      <c r="P950" s="265">
        <v>12.79</v>
      </c>
      <c r="Q950" s="265">
        <v>0.5</v>
      </c>
    </row>
    <row r="951" spans="1:17" ht="15" customHeight="1">
      <c r="A951" s="147">
        <v>968</v>
      </c>
      <c r="B951" s="51" t="s">
        <v>23</v>
      </c>
      <c r="C951" s="51" t="s">
        <v>5340</v>
      </c>
      <c r="D951" s="51">
        <v>100023708</v>
      </c>
      <c r="E951" s="53" t="s">
        <v>5341</v>
      </c>
      <c r="F951" s="124">
        <v>250</v>
      </c>
      <c r="G951" s="124">
        <v>30000</v>
      </c>
      <c r="H951" s="369">
        <v>15.46</v>
      </c>
      <c r="I951" s="215" t="s">
        <v>76</v>
      </c>
      <c r="J951" s="215" t="s">
        <v>102</v>
      </c>
      <c r="K951" s="266">
        <v>49081159924</v>
      </c>
      <c r="L951" s="215">
        <v>49081659929</v>
      </c>
      <c r="M951" s="266">
        <v>40049081159922</v>
      </c>
      <c r="N951" s="264">
        <v>5.8999999999999997E-2</v>
      </c>
      <c r="O951" s="265">
        <v>10</v>
      </c>
      <c r="P951" s="265">
        <v>15.87</v>
      </c>
      <c r="Q951" s="265">
        <v>0.65</v>
      </c>
    </row>
    <row r="952" spans="1:17" ht="15" customHeight="1">
      <c r="A952" s="147">
        <v>969</v>
      </c>
      <c r="B952" s="51" t="s">
        <v>23</v>
      </c>
      <c r="C952" s="51" t="s">
        <v>5342</v>
      </c>
      <c r="D952" s="51">
        <v>100028175</v>
      </c>
      <c r="E952" s="53" t="s">
        <v>5343</v>
      </c>
      <c r="F952" s="124">
        <v>250</v>
      </c>
      <c r="G952" s="124">
        <v>15000</v>
      </c>
      <c r="H952" s="369">
        <v>27.52</v>
      </c>
      <c r="I952" s="215" t="s">
        <v>346</v>
      </c>
      <c r="J952" s="215" t="s">
        <v>102</v>
      </c>
      <c r="K952" s="266">
        <v>49081159948</v>
      </c>
      <c r="L952" s="215">
        <v>49081659943</v>
      </c>
      <c r="M952" s="266">
        <v>40049081159946</v>
      </c>
      <c r="N952" s="264">
        <v>9.6000000000000002E-2</v>
      </c>
      <c r="O952" s="265">
        <v>10</v>
      </c>
      <c r="P952" s="265">
        <v>28.46</v>
      </c>
      <c r="Q952" s="265">
        <v>1.25</v>
      </c>
    </row>
    <row r="953" spans="1:17" ht="15" customHeight="1">
      <c r="A953" s="147">
        <v>970</v>
      </c>
      <c r="B953" s="51" t="s">
        <v>23</v>
      </c>
      <c r="C953" s="51" t="s">
        <v>5344</v>
      </c>
      <c r="D953" s="51">
        <v>100028176</v>
      </c>
      <c r="E953" s="53" t="s">
        <v>5345</v>
      </c>
      <c r="F953" s="124">
        <v>100</v>
      </c>
      <c r="G953" s="124">
        <v>7500</v>
      </c>
      <c r="H953" s="369">
        <v>33.130000000000003</v>
      </c>
      <c r="I953" s="215" t="s">
        <v>346</v>
      </c>
      <c r="J953" s="215" t="s">
        <v>102</v>
      </c>
      <c r="K953" s="266">
        <v>49081159962</v>
      </c>
      <c r="L953" s="215">
        <v>49081659967</v>
      </c>
      <c r="M953" s="266">
        <v>40049081159960</v>
      </c>
      <c r="N953" s="264">
        <v>0.21</v>
      </c>
      <c r="O953" s="265">
        <v>10</v>
      </c>
      <c r="P953" s="265">
        <v>17.54</v>
      </c>
      <c r="Q953" s="265">
        <v>0.95</v>
      </c>
    </row>
    <row r="954" spans="1:17" ht="15" customHeight="1">
      <c r="A954" s="147">
        <v>971</v>
      </c>
      <c r="B954" s="51" t="s">
        <v>23</v>
      </c>
      <c r="C954" s="51" t="s">
        <v>5346</v>
      </c>
      <c r="D954" s="51">
        <v>100028177</v>
      </c>
      <c r="E954" s="53" t="s">
        <v>5347</v>
      </c>
      <c r="F954" s="124">
        <v>50</v>
      </c>
      <c r="G954" s="124">
        <v>6000</v>
      </c>
      <c r="H954" s="369">
        <v>33.130000000000003</v>
      </c>
      <c r="I954" s="215" t="s">
        <v>346</v>
      </c>
      <c r="J954" s="215" t="s">
        <v>102</v>
      </c>
      <c r="K954" s="266">
        <v>49081159986</v>
      </c>
      <c r="L954" s="215">
        <v>49081659981</v>
      </c>
      <c r="M954" s="266">
        <v>40049081159984</v>
      </c>
      <c r="N954" s="264">
        <v>0.249</v>
      </c>
      <c r="O954" s="265">
        <v>5</v>
      </c>
      <c r="P954" s="265">
        <v>12.99</v>
      </c>
      <c r="Q954" s="265">
        <v>0.65</v>
      </c>
    </row>
    <row r="955" spans="1:17" ht="15" customHeight="1">
      <c r="A955" s="147">
        <v>972</v>
      </c>
      <c r="B955" s="51" t="s">
        <v>23</v>
      </c>
      <c r="C955" s="51" t="s">
        <v>5348</v>
      </c>
      <c r="D955" s="51">
        <v>100023709</v>
      </c>
      <c r="E955" s="53" t="s">
        <v>5349</v>
      </c>
      <c r="F955" s="124">
        <v>50</v>
      </c>
      <c r="G955" s="124">
        <v>4500</v>
      </c>
      <c r="H955" s="369">
        <v>65.44</v>
      </c>
      <c r="I955" s="215" t="s">
        <v>76</v>
      </c>
      <c r="J955" s="215" t="s">
        <v>102</v>
      </c>
      <c r="K955" s="266">
        <v>49081160005</v>
      </c>
      <c r="L955" s="215">
        <v>49081660000</v>
      </c>
      <c r="M955" s="266">
        <v>40049081160003</v>
      </c>
      <c r="N955" s="264">
        <v>0.26400000000000001</v>
      </c>
      <c r="O955" s="265">
        <v>5</v>
      </c>
      <c r="P955" s="265">
        <v>17.600000000000001</v>
      </c>
      <c r="Q955" s="265">
        <v>0.8</v>
      </c>
    </row>
    <row r="956" spans="1:17" ht="15" customHeight="1">
      <c r="A956" s="147">
        <v>973</v>
      </c>
      <c r="B956" s="51" t="s">
        <v>23</v>
      </c>
      <c r="C956" s="51" t="s">
        <v>5350</v>
      </c>
      <c r="D956" s="51">
        <v>100023710</v>
      </c>
      <c r="E956" s="53" t="s">
        <v>5351</v>
      </c>
      <c r="F956" s="124">
        <v>25</v>
      </c>
      <c r="G956" s="124">
        <v>3000</v>
      </c>
      <c r="H956" s="369">
        <v>133.62</v>
      </c>
      <c r="I956" s="215" t="s">
        <v>346</v>
      </c>
      <c r="J956" s="215" t="s">
        <v>102</v>
      </c>
      <c r="K956" s="266">
        <v>49081160029</v>
      </c>
      <c r="L956" s="215">
        <v>49081660024</v>
      </c>
      <c r="M956" s="266">
        <v>40049081160027</v>
      </c>
      <c r="N956" s="264">
        <v>0.46200000000000002</v>
      </c>
      <c r="O956" s="265">
        <v>5</v>
      </c>
      <c r="P956" s="265">
        <v>13.6</v>
      </c>
      <c r="Q956" s="265">
        <v>0.65</v>
      </c>
    </row>
    <row r="957" spans="1:17" ht="15" customHeight="1">
      <c r="A957" s="147">
        <v>974</v>
      </c>
      <c r="B957" s="51" t="s">
        <v>23</v>
      </c>
      <c r="C957" s="51" t="s">
        <v>5352</v>
      </c>
      <c r="D957" s="51">
        <v>100023711</v>
      </c>
      <c r="E957" s="53" t="s">
        <v>5353</v>
      </c>
      <c r="F957" s="124">
        <v>25</v>
      </c>
      <c r="G957" s="124">
        <v>1875</v>
      </c>
      <c r="H957" s="369">
        <v>156.35</v>
      </c>
      <c r="I957" s="215" t="s">
        <v>76</v>
      </c>
      <c r="J957" s="215" t="s">
        <v>102</v>
      </c>
      <c r="K957" s="266">
        <v>49081160043</v>
      </c>
      <c r="L957" s="215">
        <v>49081660048</v>
      </c>
      <c r="M957" s="266">
        <v>40049081160041</v>
      </c>
      <c r="N957" s="264">
        <v>0.69199999999999995</v>
      </c>
      <c r="O957" s="265">
        <v>5</v>
      </c>
      <c r="P957" s="265">
        <v>17.07</v>
      </c>
      <c r="Q957" s="265">
        <v>0.95</v>
      </c>
    </row>
    <row r="958" spans="1:17" ht="15" customHeight="1">
      <c r="A958" s="147">
        <v>975</v>
      </c>
      <c r="B958" s="51" t="s">
        <v>23</v>
      </c>
      <c r="C958" s="51" t="s">
        <v>5354</v>
      </c>
      <c r="D958" s="51">
        <v>100023712</v>
      </c>
      <c r="E958" s="53" t="s">
        <v>5355</v>
      </c>
      <c r="F958" s="124">
        <v>10</v>
      </c>
      <c r="G958" s="124">
        <v>900</v>
      </c>
      <c r="H958" s="369">
        <v>263.64</v>
      </c>
      <c r="I958" s="215" t="s">
        <v>76</v>
      </c>
      <c r="J958" s="215" t="s">
        <v>102</v>
      </c>
      <c r="K958" s="266">
        <v>49081160067</v>
      </c>
      <c r="L958" s="215">
        <v>49081660062</v>
      </c>
      <c r="M958" s="266">
        <v>40049081160065</v>
      </c>
      <c r="N958" s="264">
        <v>1.34</v>
      </c>
      <c r="O958" s="265">
        <v>2</v>
      </c>
      <c r="P958" s="265">
        <v>13.72</v>
      </c>
      <c r="Q958" s="265">
        <v>0.8</v>
      </c>
    </row>
    <row r="959" spans="1:17" ht="15" customHeight="1">
      <c r="A959" s="147">
        <v>976</v>
      </c>
      <c r="B959" s="51" t="s">
        <v>23</v>
      </c>
      <c r="C959" s="51" t="s">
        <v>5356</v>
      </c>
      <c r="D959" s="51">
        <v>100023713</v>
      </c>
      <c r="E959" s="53" t="s">
        <v>5357</v>
      </c>
      <c r="F959" s="124">
        <v>5</v>
      </c>
      <c r="G959" s="124">
        <v>300</v>
      </c>
      <c r="H959" s="369">
        <v>655.76</v>
      </c>
      <c r="I959" s="215" t="s">
        <v>76</v>
      </c>
      <c r="J959" s="215" t="s">
        <v>102</v>
      </c>
      <c r="K959" s="266">
        <v>49081160104</v>
      </c>
      <c r="L959" s="265" t="s">
        <v>649</v>
      </c>
      <c r="M959" s="266">
        <v>40049081160102</v>
      </c>
      <c r="N959" s="264">
        <v>4.2</v>
      </c>
      <c r="O959" s="265" t="s">
        <v>649</v>
      </c>
      <c r="P959" s="265">
        <v>22.85</v>
      </c>
      <c r="Q959" s="265">
        <v>1.41</v>
      </c>
    </row>
    <row r="960" spans="1:17" ht="15" customHeight="1">
      <c r="A960" s="147">
        <v>977</v>
      </c>
      <c r="B960" s="51" t="s">
        <v>23</v>
      </c>
      <c r="C960" s="51" t="s">
        <v>5358</v>
      </c>
      <c r="D960" s="51">
        <v>100023714</v>
      </c>
      <c r="E960" s="53" t="s">
        <v>5359</v>
      </c>
      <c r="F960" s="124">
        <v>250</v>
      </c>
      <c r="G960" s="124">
        <v>67500</v>
      </c>
      <c r="H960" s="369">
        <v>18.38</v>
      </c>
      <c r="I960" s="215" t="s">
        <v>76</v>
      </c>
      <c r="J960" s="215" t="s">
        <v>102</v>
      </c>
      <c r="K960" s="266">
        <v>49081160265</v>
      </c>
      <c r="L960" s="265" t="s">
        <v>649</v>
      </c>
      <c r="M960" s="266">
        <v>40049081160263</v>
      </c>
      <c r="N960" s="264">
        <v>0.02</v>
      </c>
      <c r="O960" s="265">
        <v>10</v>
      </c>
      <c r="P960" s="265">
        <v>5.15</v>
      </c>
      <c r="Q960" s="265">
        <v>0.27</v>
      </c>
    </row>
    <row r="961" spans="1:17" ht="15" customHeight="1">
      <c r="A961" s="147">
        <v>978</v>
      </c>
      <c r="B961" s="51" t="s">
        <v>23</v>
      </c>
      <c r="C961" s="51" t="s">
        <v>5360</v>
      </c>
      <c r="D961" s="51">
        <v>100023715</v>
      </c>
      <c r="E961" s="53" t="s">
        <v>5361</v>
      </c>
      <c r="F961" s="124">
        <v>250</v>
      </c>
      <c r="G961" s="124">
        <v>67500</v>
      </c>
      <c r="H961" s="369">
        <v>18.38</v>
      </c>
      <c r="I961" s="215" t="s">
        <v>346</v>
      </c>
      <c r="J961" s="215" t="s">
        <v>102</v>
      </c>
      <c r="K961" s="266">
        <v>49081160289</v>
      </c>
      <c r="L961" s="215">
        <v>49081660284</v>
      </c>
      <c r="M961" s="266">
        <v>40049081160287</v>
      </c>
      <c r="N961" s="264">
        <v>0.03</v>
      </c>
      <c r="O961" s="265">
        <v>10</v>
      </c>
      <c r="P961" s="265">
        <v>14.68</v>
      </c>
      <c r="Q961" s="265">
        <v>0.31</v>
      </c>
    </row>
    <row r="962" spans="1:17" ht="15" customHeight="1">
      <c r="A962" s="147">
        <v>979</v>
      </c>
      <c r="B962" s="51" t="s">
        <v>23</v>
      </c>
      <c r="C962" s="51" t="s">
        <v>5362</v>
      </c>
      <c r="D962" s="51">
        <v>100023716</v>
      </c>
      <c r="E962" s="53" t="s">
        <v>5363</v>
      </c>
      <c r="F962" s="124">
        <v>250</v>
      </c>
      <c r="G962" s="124">
        <v>37500</v>
      </c>
      <c r="H962" s="369">
        <v>18.38</v>
      </c>
      <c r="I962" s="215" t="s">
        <v>76</v>
      </c>
      <c r="J962" s="215" t="s">
        <v>102</v>
      </c>
      <c r="K962" s="266">
        <v>49081160302</v>
      </c>
      <c r="L962" s="215">
        <v>49081660307</v>
      </c>
      <c r="M962" s="266">
        <v>40049081160300</v>
      </c>
      <c r="N962" s="264">
        <v>5.5E-2</v>
      </c>
      <c r="O962" s="265">
        <v>10</v>
      </c>
      <c r="P962" s="265">
        <v>13.84</v>
      </c>
      <c r="Q962" s="265">
        <v>0.5</v>
      </c>
    </row>
    <row r="963" spans="1:17" ht="15" customHeight="1">
      <c r="A963" s="147">
        <v>980</v>
      </c>
      <c r="B963" s="51" t="s">
        <v>23</v>
      </c>
      <c r="C963" s="51" t="s">
        <v>5364</v>
      </c>
      <c r="D963" s="51">
        <v>100023717</v>
      </c>
      <c r="E963" s="53" t="s">
        <v>5365</v>
      </c>
      <c r="F963" s="124">
        <v>250</v>
      </c>
      <c r="G963" s="124">
        <v>30000</v>
      </c>
      <c r="H963" s="369">
        <v>20.54</v>
      </c>
      <c r="I963" s="215" t="s">
        <v>346</v>
      </c>
      <c r="J963" s="215" t="s">
        <v>102</v>
      </c>
      <c r="K963" s="266">
        <v>49081160326</v>
      </c>
      <c r="L963" s="215">
        <v>49081660321</v>
      </c>
      <c r="M963" s="266">
        <v>40049081160324</v>
      </c>
      <c r="N963" s="264">
        <v>6.6000000000000003E-2</v>
      </c>
      <c r="O963" s="265">
        <v>10</v>
      </c>
      <c r="P963" s="265">
        <v>17.59</v>
      </c>
      <c r="Q963" s="265">
        <v>0.65</v>
      </c>
    </row>
    <row r="964" spans="1:17" ht="15" customHeight="1">
      <c r="A964" s="147">
        <v>981</v>
      </c>
      <c r="B964" s="51" t="s">
        <v>23</v>
      </c>
      <c r="C964" s="51" t="s">
        <v>5366</v>
      </c>
      <c r="D964" s="51">
        <v>100028178</v>
      </c>
      <c r="E964" s="53" t="s">
        <v>5367</v>
      </c>
      <c r="F964" s="124">
        <v>100</v>
      </c>
      <c r="G964" s="124">
        <v>15000</v>
      </c>
      <c r="H964" s="369">
        <v>25.86</v>
      </c>
      <c r="I964" s="215" t="s">
        <v>346</v>
      </c>
      <c r="J964" s="215" t="s">
        <v>102</v>
      </c>
      <c r="K964" s="266">
        <v>49081160340</v>
      </c>
      <c r="L964" s="215">
        <v>49081660345</v>
      </c>
      <c r="M964" s="266">
        <v>40049081160348</v>
      </c>
      <c r="N964" s="264">
        <v>0.15</v>
      </c>
      <c r="O964" s="265">
        <v>10</v>
      </c>
      <c r="P964" s="265">
        <v>13.19</v>
      </c>
      <c r="Q964" s="265">
        <v>0.5</v>
      </c>
    </row>
    <row r="965" spans="1:17" ht="15" customHeight="1">
      <c r="A965" s="147">
        <v>982</v>
      </c>
      <c r="B965" s="51" t="s">
        <v>23</v>
      </c>
      <c r="C965" s="51" t="s">
        <v>5368</v>
      </c>
      <c r="D965" s="51">
        <v>100028179</v>
      </c>
      <c r="E965" s="53" t="s">
        <v>5369</v>
      </c>
      <c r="F965" s="124">
        <v>100</v>
      </c>
      <c r="G965" s="124">
        <v>12000</v>
      </c>
      <c r="H965" s="369">
        <v>30.85</v>
      </c>
      <c r="I965" s="215" t="s">
        <v>346</v>
      </c>
      <c r="J965" s="215" t="s">
        <v>102</v>
      </c>
      <c r="K965" s="266">
        <v>49081160364</v>
      </c>
      <c r="L965" s="265" t="s">
        <v>649</v>
      </c>
      <c r="M965" s="266">
        <v>40049081160362</v>
      </c>
      <c r="N965" s="264">
        <v>0.188</v>
      </c>
      <c r="O965" s="265">
        <v>10</v>
      </c>
      <c r="P965" s="265">
        <v>19.79</v>
      </c>
      <c r="Q965" s="265">
        <v>0.65</v>
      </c>
    </row>
    <row r="966" spans="1:17" ht="15" customHeight="1">
      <c r="A966" s="147">
        <v>983</v>
      </c>
      <c r="B966" s="51" t="s">
        <v>23</v>
      </c>
      <c r="C966" s="51" t="s">
        <v>5370</v>
      </c>
      <c r="D966" s="51">
        <v>100028180</v>
      </c>
      <c r="E966" s="53" t="s">
        <v>5371</v>
      </c>
      <c r="F966" s="124">
        <v>50</v>
      </c>
      <c r="G966" s="124">
        <v>7500</v>
      </c>
      <c r="H966" s="369">
        <v>35.22</v>
      </c>
      <c r="I966" s="215" t="s">
        <v>346</v>
      </c>
      <c r="J966" s="215" t="s">
        <v>102</v>
      </c>
      <c r="K966" s="266">
        <v>49081160388</v>
      </c>
      <c r="L966" s="215">
        <v>49081660383</v>
      </c>
      <c r="M966" s="266">
        <v>40049081160386</v>
      </c>
      <c r="N966" s="264">
        <v>0.248</v>
      </c>
      <c r="O966" s="265">
        <v>5</v>
      </c>
      <c r="P966" s="265">
        <v>12.17</v>
      </c>
      <c r="Q966" s="265">
        <v>0.5</v>
      </c>
    </row>
    <row r="967" spans="1:17" ht="15" customHeight="1">
      <c r="A967" s="147">
        <v>984</v>
      </c>
      <c r="B967" s="51" t="s">
        <v>23</v>
      </c>
      <c r="C967" s="51" t="s">
        <v>5372</v>
      </c>
      <c r="D967" s="51">
        <v>100023718</v>
      </c>
      <c r="E967" s="53" t="s">
        <v>5373</v>
      </c>
      <c r="F967" s="124">
        <v>50</v>
      </c>
      <c r="G967" s="124">
        <v>4500</v>
      </c>
      <c r="H967" s="369">
        <v>69.150000000000006</v>
      </c>
      <c r="I967" s="215" t="s">
        <v>346</v>
      </c>
      <c r="J967" s="215" t="s">
        <v>102</v>
      </c>
      <c r="K967" s="266">
        <v>49081160401</v>
      </c>
      <c r="L967" s="215">
        <v>49081660406</v>
      </c>
      <c r="M967" s="266">
        <v>40049081160409</v>
      </c>
      <c r="N967" s="264">
        <v>0.29099999999999998</v>
      </c>
      <c r="O967" s="265">
        <v>5</v>
      </c>
      <c r="P967" s="265">
        <v>14.55</v>
      </c>
      <c r="Q967" s="265">
        <v>0.8</v>
      </c>
    </row>
    <row r="968" spans="1:17" ht="15" customHeight="1">
      <c r="A968" s="147">
        <v>985</v>
      </c>
      <c r="B968" s="51" t="s">
        <v>23</v>
      </c>
      <c r="C968" s="51" t="s">
        <v>5374</v>
      </c>
      <c r="D968" s="51">
        <v>100023726</v>
      </c>
      <c r="E968" s="53" t="s">
        <v>5375</v>
      </c>
      <c r="F968" s="124">
        <v>500</v>
      </c>
      <c r="G968" s="124">
        <v>75000</v>
      </c>
      <c r="H968" s="369">
        <v>15.85</v>
      </c>
      <c r="I968" s="215" t="s">
        <v>76</v>
      </c>
      <c r="J968" s="215" t="s">
        <v>102</v>
      </c>
      <c r="K968" s="266">
        <v>49081165765</v>
      </c>
      <c r="L968" s="215">
        <v>49081665760</v>
      </c>
      <c r="M968" s="266">
        <v>40049081165763</v>
      </c>
      <c r="N968" s="264">
        <v>1.7999999999999999E-2</v>
      </c>
      <c r="O968" s="265">
        <v>10</v>
      </c>
      <c r="P968" s="265">
        <v>9.02</v>
      </c>
      <c r="Q968" s="265">
        <v>0.5</v>
      </c>
    </row>
    <row r="969" spans="1:17" ht="15" customHeight="1">
      <c r="A969" s="147">
        <v>986</v>
      </c>
      <c r="B969" s="51" t="s">
        <v>23</v>
      </c>
      <c r="C969" s="51" t="s">
        <v>5376</v>
      </c>
      <c r="D969" s="51">
        <v>100023727</v>
      </c>
      <c r="E969" s="53" t="s">
        <v>5377</v>
      </c>
      <c r="F969" s="124">
        <v>500</v>
      </c>
      <c r="G969" s="124">
        <v>75000</v>
      </c>
      <c r="H969" s="369">
        <v>15.85</v>
      </c>
      <c r="I969" s="215" t="s">
        <v>346</v>
      </c>
      <c r="J969" s="215" t="s">
        <v>102</v>
      </c>
      <c r="K969" s="266">
        <v>49081165789</v>
      </c>
      <c r="L969" s="265" t="s">
        <v>649</v>
      </c>
      <c r="M969" s="266">
        <v>40049081165787</v>
      </c>
      <c r="N969" s="264">
        <v>2.4E-2</v>
      </c>
      <c r="O969" s="265">
        <v>10</v>
      </c>
      <c r="P969" s="265">
        <v>12.9</v>
      </c>
      <c r="Q969" s="265">
        <v>0.5</v>
      </c>
    </row>
    <row r="970" spans="1:17" ht="15" customHeight="1">
      <c r="A970" s="147">
        <v>987</v>
      </c>
      <c r="B970" s="51" t="s">
        <v>23</v>
      </c>
      <c r="C970" s="51" t="s">
        <v>5378</v>
      </c>
      <c r="D970" s="51">
        <v>100023728</v>
      </c>
      <c r="E970" s="53" t="s">
        <v>5379</v>
      </c>
      <c r="F970" s="124">
        <v>500</v>
      </c>
      <c r="G970" s="124">
        <v>75000</v>
      </c>
      <c r="H970" s="369">
        <v>14.12</v>
      </c>
      <c r="I970" s="215" t="s">
        <v>76</v>
      </c>
      <c r="J970" s="215" t="s">
        <v>102</v>
      </c>
      <c r="K970" s="266">
        <v>49081165802</v>
      </c>
      <c r="L970" s="215">
        <v>49081665807</v>
      </c>
      <c r="M970" s="266">
        <v>40049081165800</v>
      </c>
      <c r="N970" s="264">
        <v>2.4E-2</v>
      </c>
      <c r="O970" s="265">
        <v>10</v>
      </c>
      <c r="P970" s="265">
        <v>12.59</v>
      </c>
      <c r="Q970" s="265">
        <v>0.5</v>
      </c>
    </row>
    <row r="971" spans="1:17" ht="15" customHeight="1">
      <c r="A971" s="147">
        <v>988</v>
      </c>
      <c r="B971" s="51" t="s">
        <v>23</v>
      </c>
      <c r="C971" s="51" t="s">
        <v>5380</v>
      </c>
      <c r="D971" s="51">
        <v>100023729</v>
      </c>
      <c r="E971" s="53" t="s">
        <v>5381</v>
      </c>
      <c r="F971" s="124">
        <v>500</v>
      </c>
      <c r="G971" s="124">
        <v>45000</v>
      </c>
      <c r="H971" s="369">
        <v>14.65</v>
      </c>
      <c r="I971" s="215" t="s">
        <v>76</v>
      </c>
      <c r="J971" s="215" t="s">
        <v>102</v>
      </c>
      <c r="K971" s="266">
        <v>49081165826</v>
      </c>
      <c r="L971" s="215">
        <v>49081665821</v>
      </c>
      <c r="M971" s="266">
        <v>40049081165824</v>
      </c>
      <c r="N971" s="264">
        <v>0.03</v>
      </c>
      <c r="O971" s="265">
        <v>10</v>
      </c>
      <c r="P971" s="265">
        <v>25.38</v>
      </c>
      <c r="Q971" s="265">
        <v>0.8</v>
      </c>
    </row>
    <row r="972" spans="1:17" ht="15" customHeight="1">
      <c r="A972" s="147">
        <v>989</v>
      </c>
      <c r="B972" s="51" t="s">
        <v>23</v>
      </c>
      <c r="C972" s="51" t="s">
        <v>5382</v>
      </c>
      <c r="D972" s="51">
        <v>100023730</v>
      </c>
      <c r="E972" s="53" t="s">
        <v>5383</v>
      </c>
      <c r="F972" s="124">
        <v>250</v>
      </c>
      <c r="G972" s="124">
        <v>22500</v>
      </c>
      <c r="H972" s="369">
        <v>17.98</v>
      </c>
      <c r="I972" s="215" t="s">
        <v>346</v>
      </c>
      <c r="J972" s="215" t="s">
        <v>102</v>
      </c>
      <c r="K972" s="266">
        <v>49081165840</v>
      </c>
      <c r="L972" s="215">
        <v>49081665845</v>
      </c>
      <c r="M972" s="266">
        <v>40049081165848</v>
      </c>
      <c r="N972" s="264">
        <v>3.6999999999999998E-2</v>
      </c>
      <c r="O972" s="265">
        <v>10</v>
      </c>
      <c r="P972" s="265">
        <v>13.9</v>
      </c>
      <c r="Q972" s="265">
        <v>0.8</v>
      </c>
    </row>
    <row r="973" spans="1:17" ht="15" customHeight="1">
      <c r="A973" s="147">
        <v>990</v>
      </c>
      <c r="B973" s="51" t="s">
        <v>23</v>
      </c>
      <c r="C973" s="51" t="s">
        <v>5384</v>
      </c>
      <c r="D973" s="51">
        <v>100023731</v>
      </c>
      <c r="E973" s="53" t="s">
        <v>5385</v>
      </c>
      <c r="F973" s="124">
        <v>100</v>
      </c>
      <c r="G973" s="124">
        <v>15000</v>
      </c>
      <c r="H973" s="369">
        <v>26.51</v>
      </c>
      <c r="I973" s="215" t="s">
        <v>346</v>
      </c>
      <c r="J973" s="215" t="s">
        <v>102</v>
      </c>
      <c r="K973" s="266">
        <v>49081165864</v>
      </c>
      <c r="L973" s="215">
        <v>49081665869</v>
      </c>
      <c r="M973" s="266">
        <v>40049081165862</v>
      </c>
      <c r="N973" s="264">
        <v>7.4999999999999997E-2</v>
      </c>
      <c r="O973" s="265">
        <v>10</v>
      </c>
      <c r="P973" s="265">
        <v>8.39</v>
      </c>
      <c r="Q973" s="265">
        <v>0.5</v>
      </c>
    </row>
    <row r="974" spans="1:17" ht="15" customHeight="1">
      <c r="A974" s="147">
        <v>991</v>
      </c>
      <c r="B974" s="51" t="s">
        <v>23</v>
      </c>
      <c r="C974" s="51" t="s">
        <v>5386</v>
      </c>
      <c r="D974" s="51">
        <v>100023732</v>
      </c>
      <c r="E974" s="53" t="s">
        <v>5387</v>
      </c>
      <c r="F974" s="124">
        <v>100</v>
      </c>
      <c r="G974" s="124">
        <v>15000</v>
      </c>
      <c r="H974" s="369">
        <v>32.200000000000003</v>
      </c>
      <c r="I974" s="215" t="s">
        <v>76</v>
      </c>
      <c r="J974" s="215" t="s">
        <v>102</v>
      </c>
      <c r="K974" s="266">
        <v>49081165888</v>
      </c>
      <c r="L974" s="265" t="s">
        <v>649</v>
      </c>
      <c r="M974" s="266">
        <v>40049081165886</v>
      </c>
      <c r="N974" s="264">
        <v>0.1</v>
      </c>
      <c r="O974" s="265">
        <v>10</v>
      </c>
      <c r="P974" s="265">
        <v>10.199999999999999</v>
      </c>
      <c r="Q974" s="265">
        <v>0.5</v>
      </c>
    </row>
    <row r="975" spans="1:17" ht="15" customHeight="1">
      <c r="A975" s="147">
        <v>992</v>
      </c>
      <c r="B975" s="51" t="s">
        <v>23</v>
      </c>
      <c r="C975" s="51" t="s">
        <v>5388</v>
      </c>
      <c r="D975" s="51">
        <v>100023733</v>
      </c>
      <c r="E975" s="53" t="s">
        <v>5389</v>
      </c>
      <c r="F975" s="124">
        <v>50</v>
      </c>
      <c r="G975" s="124">
        <v>7500</v>
      </c>
      <c r="H975" s="369">
        <v>33.08</v>
      </c>
      <c r="I975" s="215" t="s">
        <v>346</v>
      </c>
      <c r="J975" s="215" t="s">
        <v>102</v>
      </c>
      <c r="K975" s="266">
        <v>49081165901</v>
      </c>
      <c r="L975" s="215">
        <v>49081665906</v>
      </c>
      <c r="M975" s="266">
        <v>40049081165909</v>
      </c>
      <c r="N975" s="264">
        <v>0.152</v>
      </c>
      <c r="O975" s="265">
        <v>5</v>
      </c>
      <c r="P975" s="265">
        <v>8.4600000000000009</v>
      </c>
      <c r="Q975" s="265">
        <v>0.5</v>
      </c>
    </row>
    <row r="976" spans="1:17" ht="15" customHeight="1">
      <c r="A976" s="147">
        <v>993</v>
      </c>
      <c r="B976" s="51" t="s">
        <v>23</v>
      </c>
      <c r="C976" s="51" t="s">
        <v>5390</v>
      </c>
      <c r="D976" s="51">
        <v>100023735</v>
      </c>
      <c r="E976" s="53" t="s">
        <v>5391</v>
      </c>
      <c r="F976" s="124">
        <v>25</v>
      </c>
      <c r="G976" s="124">
        <v>3000</v>
      </c>
      <c r="H976" s="369">
        <v>107.73</v>
      </c>
      <c r="I976" s="215" t="s">
        <v>346</v>
      </c>
      <c r="J976" s="215" t="s">
        <v>102</v>
      </c>
      <c r="K976" s="266">
        <v>49081165949</v>
      </c>
      <c r="L976" s="215">
        <v>49081665944</v>
      </c>
      <c r="M976" s="266">
        <v>40049081165947</v>
      </c>
      <c r="N976" s="264">
        <v>0.46</v>
      </c>
      <c r="O976" s="265">
        <v>5</v>
      </c>
      <c r="P976" s="265">
        <v>11.5</v>
      </c>
      <c r="Q976" s="265">
        <v>0.65</v>
      </c>
    </row>
    <row r="977" spans="1:17" ht="15" customHeight="1">
      <c r="A977" s="147">
        <v>994</v>
      </c>
      <c r="B977" s="51" t="s">
        <v>23</v>
      </c>
      <c r="C977" s="51" t="s">
        <v>5392</v>
      </c>
      <c r="D977" s="51">
        <v>100023739</v>
      </c>
      <c r="E977" s="53" t="s">
        <v>5393</v>
      </c>
      <c r="F977" s="124">
        <v>1</v>
      </c>
      <c r="G977" s="124">
        <v>60</v>
      </c>
      <c r="H977" s="369">
        <v>1379.96</v>
      </c>
      <c r="I977" s="215" t="s">
        <v>76</v>
      </c>
      <c r="J977" s="215" t="s">
        <v>102</v>
      </c>
      <c r="K977" s="266">
        <v>49081350635</v>
      </c>
      <c r="L977" s="265" t="s">
        <v>649</v>
      </c>
      <c r="M977" s="266">
        <v>40049081350633</v>
      </c>
      <c r="N977" s="264">
        <v>11.38</v>
      </c>
      <c r="O977" s="265" t="s">
        <v>649</v>
      </c>
      <c r="P977" s="265">
        <v>12.65</v>
      </c>
      <c r="Q977" s="265">
        <v>1.25</v>
      </c>
    </row>
    <row r="978" spans="1:17" ht="15" customHeight="1">
      <c r="A978" s="147">
        <v>995</v>
      </c>
      <c r="B978" s="51" t="s">
        <v>23</v>
      </c>
      <c r="C978" s="51" t="s">
        <v>5394</v>
      </c>
      <c r="D978" s="51">
        <v>100023741</v>
      </c>
      <c r="E978" s="53" t="s">
        <v>5395</v>
      </c>
      <c r="F978" s="124">
        <v>250</v>
      </c>
      <c r="G978" s="124">
        <v>18750</v>
      </c>
      <c r="H978" s="369">
        <v>26.03</v>
      </c>
      <c r="I978" s="215" t="s">
        <v>76</v>
      </c>
      <c r="J978" s="215" t="s">
        <v>102</v>
      </c>
      <c r="K978" s="266">
        <v>49081150082</v>
      </c>
      <c r="L978" s="215">
        <v>49081650087</v>
      </c>
      <c r="M978" s="266">
        <v>40049081150080</v>
      </c>
      <c r="N978" s="264">
        <v>8.3000000000000004E-2</v>
      </c>
      <c r="O978" s="265">
        <v>10</v>
      </c>
      <c r="P978" s="265">
        <v>20.99</v>
      </c>
      <c r="Q978" s="265">
        <v>0.95</v>
      </c>
    </row>
    <row r="979" spans="1:17" ht="15" customHeight="1">
      <c r="A979" s="147">
        <v>996</v>
      </c>
      <c r="B979" s="51" t="s">
        <v>23</v>
      </c>
      <c r="C979" s="51" t="s">
        <v>5396</v>
      </c>
      <c r="D979" s="51">
        <v>100023743</v>
      </c>
      <c r="E979" s="53" t="s">
        <v>5397</v>
      </c>
      <c r="F979" s="124">
        <v>25</v>
      </c>
      <c r="G979" s="124">
        <v>3750</v>
      </c>
      <c r="H979" s="369">
        <v>133.35</v>
      </c>
      <c r="I979" s="215" t="s">
        <v>346</v>
      </c>
      <c r="J979" s="215" t="s">
        <v>102</v>
      </c>
      <c r="K979" s="266">
        <v>49081150129</v>
      </c>
      <c r="L979" s="215">
        <v>49081650124</v>
      </c>
      <c r="M979" s="266">
        <v>40049081150127</v>
      </c>
      <c r="N979" s="264">
        <v>0.31900000000000001</v>
      </c>
      <c r="O979" s="265">
        <v>5</v>
      </c>
      <c r="P979" s="265">
        <v>8.19</v>
      </c>
      <c r="Q979" s="265">
        <v>0.5</v>
      </c>
    </row>
    <row r="980" spans="1:17" ht="15" customHeight="1">
      <c r="A980" s="147">
        <v>997</v>
      </c>
      <c r="B980" s="51" t="s">
        <v>23</v>
      </c>
      <c r="C980" s="51" t="s">
        <v>5398</v>
      </c>
      <c r="D980" s="51">
        <v>100028184</v>
      </c>
      <c r="E980" s="53" t="s">
        <v>5399</v>
      </c>
      <c r="F980" s="124">
        <v>100</v>
      </c>
      <c r="G980" s="124">
        <v>15000</v>
      </c>
      <c r="H980" s="369">
        <v>70.849999999999994</v>
      </c>
      <c r="I980" s="215" t="s">
        <v>346</v>
      </c>
      <c r="J980" s="215" t="s">
        <v>102</v>
      </c>
      <c r="K980" s="266">
        <v>49081170943</v>
      </c>
      <c r="L980" s="215">
        <v>49081670948</v>
      </c>
      <c r="M980" s="266">
        <v>40049081170941</v>
      </c>
      <c r="N980" s="264">
        <v>9.4E-2</v>
      </c>
      <c r="O980" s="265">
        <v>5</v>
      </c>
      <c r="P980" s="265">
        <v>12</v>
      </c>
      <c r="Q980" s="265">
        <v>0.5</v>
      </c>
    </row>
    <row r="981" spans="1:17" ht="15" customHeight="1">
      <c r="A981" s="147">
        <v>998</v>
      </c>
      <c r="B981" s="51" t="s">
        <v>23</v>
      </c>
      <c r="C981" s="51" t="s">
        <v>5400</v>
      </c>
      <c r="D981" s="51">
        <v>100028185</v>
      </c>
      <c r="E981" s="53" t="s">
        <v>5401</v>
      </c>
      <c r="F981" s="124">
        <v>100</v>
      </c>
      <c r="G981" s="124">
        <v>9000</v>
      </c>
      <c r="H981" s="369">
        <v>70.849999999999994</v>
      </c>
      <c r="I981" s="215" t="s">
        <v>346</v>
      </c>
      <c r="J981" s="215" t="s">
        <v>102</v>
      </c>
      <c r="K981" s="266">
        <v>49081170950</v>
      </c>
      <c r="L981" s="215">
        <v>49081670955</v>
      </c>
      <c r="M981" s="266">
        <v>40049081170958</v>
      </c>
      <c r="N981" s="264">
        <v>0.16200000000000001</v>
      </c>
      <c r="O981" s="265">
        <v>5</v>
      </c>
      <c r="P981" s="265">
        <v>16.2</v>
      </c>
      <c r="Q981" s="265">
        <v>0.8</v>
      </c>
    </row>
    <row r="982" spans="1:17" ht="15" customHeight="1">
      <c r="A982" s="147">
        <v>999</v>
      </c>
      <c r="B982" s="51" t="s">
        <v>23</v>
      </c>
      <c r="C982" s="51" t="s">
        <v>5402</v>
      </c>
      <c r="D982" s="51">
        <v>100028186</v>
      </c>
      <c r="E982" s="53" t="s">
        <v>5403</v>
      </c>
      <c r="F982" s="124">
        <v>50</v>
      </c>
      <c r="G982" s="124">
        <v>13500</v>
      </c>
      <c r="H982" s="369">
        <v>37.86</v>
      </c>
      <c r="I982" s="215" t="s">
        <v>76</v>
      </c>
      <c r="J982" s="215" t="s">
        <v>102</v>
      </c>
      <c r="K982" s="266">
        <v>49081170967</v>
      </c>
      <c r="L982" s="265" t="s">
        <v>649</v>
      </c>
      <c r="M982" s="266">
        <v>40049081170965</v>
      </c>
      <c r="N982" s="264">
        <v>0.124</v>
      </c>
      <c r="O982" s="265" t="s">
        <v>649</v>
      </c>
      <c r="P982" s="265">
        <v>8.07</v>
      </c>
      <c r="Q982" s="265">
        <v>0.31</v>
      </c>
    </row>
    <row r="983" spans="1:17" ht="15" customHeight="1">
      <c r="A983" s="147">
        <v>1000</v>
      </c>
      <c r="B983" s="51" t="s">
        <v>23</v>
      </c>
      <c r="C983" s="51" t="s">
        <v>5404</v>
      </c>
      <c r="D983" s="51">
        <v>100028187</v>
      </c>
      <c r="E983" s="53" t="s">
        <v>5405</v>
      </c>
      <c r="F983" s="124">
        <v>50</v>
      </c>
      <c r="G983" s="124">
        <v>7500</v>
      </c>
      <c r="H983" s="369">
        <v>48.18</v>
      </c>
      <c r="I983" s="215" t="s">
        <v>76</v>
      </c>
      <c r="J983" s="215" t="s">
        <v>102</v>
      </c>
      <c r="K983" s="266">
        <v>49081171001</v>
      </c>
      <c r="L983" s="265" t="s">
        <v>649</v>
      </c>
      <c r="M983" s="266">
        <v>40049081171009</v>
      </c>
      <c r="N983" s="264">
        <v>0.19400000000000001</v>
      </c>
      <c r="O983" s="265" t="s">
        <v>649</v>
      </c>
      <c r="P983" s="265">
        <v>12.63</v>
      </c>
      <c r="Q983" s="265">
        <v>0.5</v>
      </c>
    </row>
    <row r="984" spans="1:17" ht="15" customHeight="1">
      <c r="A984" s="147">
        <v>1001</v>
      </c>
      <c r="B984" s="51" t="s">
        <v>23</v>
      </c>
      <c r="C984" s="51" t="s">
        <v>5406</v>
      </c>
      <c r="D984" s="51">
        <v>100028188</v>
      </c>
      <c r="E984" s="53" t="s">
        <v>5407</v>
      </c>
      <c r="F984" s="124">
        <v>18</v>
      </c>
      <c r="G984" s="124">
        <v>2700</v>
      </c>
      <c r="H984" s="369">
        <v>55.17</v>
      </c>
      <c r="I984" s="215" t="s">
        <v>76</v>
      </c>
      <c r="J984" s="215" t="s">
        <v>102</v>
      </c>
      <c r="K984" s="266">
        <v>49081171025</v>
      </c>
      <c r="L984" s="265" t="s">
        <v>649</v>
      </c>
      <c r="M984" s="266">
        <v>40049081171023</v>
      </c>
      <c r="N984" s="264">
        <v>0.30599999999999999</v>
      </c>
      <c r="O984" s="265" t="s">
        <v>649</v>
      </c>
      <c r="P984" s="265">
        <v>6.25</v>
      </c>
      <c r="Q984" s="265">
        <v>0.5</v>
      </c>
    </row>
    <row r="985" spans="1:17" ht="15" customHeight="1">
      <c r="A985" s="147">
        <v>1002</v>
      </c>
      <c r="B985" s="51" t="s">
        <v>23</v>
      </c>
      <c r="C985" s="51" t="s">
        <v>5408</v>
      </c>
      <c r="D985" s="51">
        <v>100028189</v>
      </c>
      <c r="E985" s="53" t="s">
        <v>5409</v>
      </c>
      <c r="F985" s="124">
        <v>10</v>
      </c>
      <c r="G985" s="124">
        <v>2700</v>
      </c>
      <c r="H985" s="369">
        <v>109.29</v>
      </c>
      <c r="I985" s="215" t="s">
        <v>76</v>
      </c>
      <c r="J985" s="215" t="s">
        <v>102</v>
      </c>
      <c r="K985" s="266">
        <v>49081171049</v>
      </c>
      <c r="L985" s="265" t="s">
        <v>649</v>
      </c>
      <c r="M985" s="266">
        <v>40049081171047</v>
      </c>
      <c r="N985" s="264">
        <v>0.53500000000000003</v>
      </c>
      <c r="O985" s="265" t="s">
        <v>649</v>
      </c>
      <c r="P985" s="265">
        <v>4.76</v>
      </c>
      <c r="Q985" s="265">
        <v>0.31</v>
      </c>
    </row>
    <row r="986" spans="1:17" ht="15" customHeight="1">
      <c r="A986" s="147">
        <v>1003</v>
      </c>
      <c r="B986" s="51" t="s">
        <v>23</v>
      </c>
      <c r="C986" s="51" t="s">
        <v>5410</v>
      </c>
      <c r="D986" s="51">
        <v>100028190</v>
      </c>
      <c r="E986" s="53" t="s">
        <v>5411</v>
      </c>
      <c r="F986" s="124">
        <v>10</v>
      </c>
      <c r="G986" s="124">
        <v>1500</v>
      </c>
      <c r="H986" s="369">
        <v>123.66</v>
      </c>
      <c r="I986" s="215" t="s">
        <v>76</v>
      </c>
      <c r="J986" s="215" t="s">
        <v>102</v>
      </c>
      <c r="K986" s="266">
        <v>49081171063</v>
      </c>
      <c r="L986" s="265" t="s">
        <v>649</v>
      </c>
      <c r="M986" s="266">
        <v>40049081171061</v>
      </c>
      <c r="N986" s="264">
        <v>0.82499999999999996</v>
      </c>
      <c r="O986" s="265" t="s">
        <v>649</v>
      </c>
      <c r="P986" s="265">
        <v>6.54</v>
      </c>
      <c r="Q986" s="265">
        <v>0.5</v>
      </c>
    </row>
    <row r="987" spans="1:17" ht="15" customHeight="1">
      <c r="A987" s="147">
        <v>1004</v>
      </c>
      <c r="B987" s="51" t="s">
        <v>23</v>
      </c>
      <c r="C987" s="51" t="s">
        <v>5412</v>
      </c>
      <c r="D987" s="51">
        <v>100028191</v>
      </c>
      <c r="E987" s="53" t="s">
        <v>5413</v>
      </c>
      <c r="F987" s="124">
        <v>16</v>
      </c>
      <c r="G987" s="124">
        <v>1200</v>
      </c>
      <c r="H987" s="369">
        <v>167.83</v>
      </c>
      <c r="I987" s="215" t="s">
        <v>76</v>
      </c>
      <c r="J987" s="215" t="s">
        <v>102</v>
      </c>
      <c r="K987" s="266">
        <v>49081171087</v>
      </c>
      <c r="L987" s="265" t="s">
        <v>649</v>
      </c>
      <c r="M987" s="266">
        <v>40049081171085</v>
      </c>
      <c r="N987" s="264">
        <v>1.325</v>
      </c>
      <c r="O987" s="265" t="s">
        <v>649</v>
      </c>
      <c r="P987" s="265">
        <v>21.15</v>
      </c>
      <c r="Q987" s="265">
        <v>1.1000000000000001</v>
      </c>
    </row>
    <row r="988" spans="1:17" ht="15" customHeight="1">
      <c r="A988" s="147">
        <v>1005</v>
      </c>
      <c r="B988" s="51" t="s">
        <v>23</v>
      </c>
      <c r="C988" s="51" t="s">
        <v>5414</v>
      </c>
      <c r="D988" s="51">
        <v>100028192</v>
      </c>
      <c r="E988" s="53" t="s">
        <v>5415</v>
      </c>
      <c r="F988" s="124">
        <v>3</v>
      </c>
      <c r="G988" s="124">
        <v>450</v>
      </c>
      <c r="H988" s="369">
        <v>266.77999999999997</v>
      </c>
      <c r="I988" s="215" t="s">
        <v>76</v>
      </c>
      <c r="J988" s="215" t="s">
        <v>102</v>
      </c>
      <c r="K988" s="266">
        <v>49081171124</v>
      </c>
      <c r="L988" s="265" t="s">
        <v>649</v>
      </c>
      <c r="M988" s="266">
        <v>40049081171122</v>
      </c>
      <c r="N988" s="264">
        <v>2.0329999999999999</v>
      </c>
      <c r="O988" s="265" t="s">
        <v>649</v>
      </c>
      <c r="P988" s="265">
        <v>5.72</v>
      </c>
      <c r="Q988" s="265">
        <v>0.5</v>
      </c>
    </row>
    <row r="989" spans="1:17" ht="15" customHeight="1">
      <c r="A989" s="147">
        <v>1006</v>
      </c>
      <c r="B989" s="51" t="s">
        <v>23</v>
      </c>
      <c r="C989" s="51" t="s">
        <v>5416</v>
      </c>
      <c r="D989" s="51">
        <v>100028193</v>
      </c>
      <c r="E989" s="53" t="s">
        <v>5417</v>
      </c>
      <c r="F989" s="124">
        <v>3</v>
      </c>
      <c r="G989" s="124">
        <v>450</v>
      </c>
      <c r="H989" s="369">
        <v>312.25</v>
      </c>
      <c r="I989" s="215" t="s">
        <v>76</v>
      </c>
      <c r="J989" s="215" t="s">
        <v>102</v>
      </c>
      <c r="K989" s="266">
        <v>49081171100</v>
      </c>
      <c r="L989" s="265" t="s">
        <v>649</v>
      </c>
      <c r="M989" s="266">
        <v>40049081171108</v>
      </c>
      <c r="N989" s="264">
        <v>3</v>
      </c>
      <c r="O989" s="265" t="s">
        <v>649</v>
      </c>
      <c r="P989" s="265">
        <v>7.84</v>
      </c>
      <c r="Q989" s="265">
        <v>0.5</v>
      </c>
    </row>
    <row r="990" spans="1:17" ht="15" customHeight="1">
      <c r="A990" s="147">
        <v>1007</v>
      </c>
      <c r="B990" s="51" t="s">
        <v>23</v>
      </c>
      <c r="C990" s="51" t="s">
        <v>5418</v>
      </c>
      <c r="D990" s="51">
        <v>100028194</v>
      </c>
      <c r="E990" s="53" t="s">
        <v>5419</v>
      </c>
      <c r="F990" s="124">
        <v>2</v>
      </c>
      <c r="G990" s="124">
        <v>180</v>
      </c>
      <c r="H990" s="369">
        <v>431.91</v>
      </c>
      <c r="I990" s="215" t="s">
        <v>76</v>
      </c>
      <c r="J990" s="215" t="s">
        <v>102</v>
      </c>
      <c r="K990" s="266">
        <v>49081171117</v>
      </c>
      <c r="L990" s="265" t="s">
        <v>649</v>
      </c>
      <c r="M990" s="266">
        <v>40049081171115</v>
      </c>
      <c r="N990" s="264">
        <v>7.4249999999999998</v>
      </c>
      <c r="O990" s="265" t="s">
        <v>649</v>
      </c>
      <c r="P990" s="265">
        <v>14.65</v>
      </c>
      <c r="Q990" s="265">
        <v>0.8</v>
      </c>
    </row>
    <row r="991" spans="1:17" ht="15" customHeight="1">
      <c r="A991" s="147">
        <v>1008</v>
      </c>
      <c r="B991" s="51" t="s">
        <v>23</v>
      </c>
      <c r="C991" s="51" t="s">
        <v>5420</v>
      </c>
      <c r="D991" s="51">
        <v>100028195</v>
      </c>
      <c r="E991" s="53" t="s">
        <v>5421</v>
      </c>
      <c r="F991" s="124">
        <v>100</v>
      </c>
      <c r="G991" s="124">
        <v>15000</v>
      </c>
      <c r="H991" s="369">
        <v>76.36</v>
      </c>
      <c r="I991" s="215" t="s">
        <v>346</v>
      </c>
      <c r="J991" s="215" t="s">
        <v>102</v>
      </c>
      <c r="K991" s="266">
        <v>49081171186</v>
      </c>
      <c r="L991" s="215">
        <v>49081671181</v>
      </c>
      <c r="M991" s="266">
        <v>40049081171184</v>
      </c>
      <c r="N991" s="264">
        <v>0.123</v>
      </c>
      <c r="O991" s="265">
        <v>5</v>
      </c>
      <c r="P991" s="265">
        <v>12.03</v>
      </c>
      <c r="Q991" s="265">
        <v>0.5</v>
      </c>
    </row>
    <row r="992" spans="1:17" ht="15" customHeight="1">
      <c r="A992" s="147">
        <v>1009</v>
      </c>
      <c r="B992" s="51" t="s">
        <v>23</v>
      </c>
      <c r="C992" s="51" t="s">
        <v>5422</v>
      </c>
      <c r="D992" s="51">
        <v>100028196</v>
      </c>
      <c r="E992" s="53" t="s">
        <v>5423</v>
      </c>
      <c r="F992" s="124">
        <v>100</v>
      </c>
      <c r="G992" s="124">
        <v>9000</v>
      </c>
      <c r="H992" s="369">
        <v>76.36</v>
      </c>
      <c r="I992" s="215" t="s">
        <v>347</v>
      </c>
      <c r="J992" s="215" t="s">
        <v>102</v>
      </c>
      <c r="K992" s="266">
        <v>49081171193</v>
      </c>
      <c r="L992" s="265" t="s">
        <v>649</v>
      </c>
      <c r="M992" s="266">
        <v>40049081171191</v>
      </c>
      <c r="N992" s="264">
        <v>0.17</v>
      </c>
      <c r="O992" s="265">
        <v>5</v>
      </c>
      <c r="P992" s="265">
        <v>17</v>
      </c>
      <c r="Q992" s="265">
        <v>0.8</v>
      </c>
    </row>
    <row r="993" spans="1:17" ht="15" customHeight="1">
      <c r="A993" s="147">
        <v>1010</v>
      </c>
      <c r="B993" s="51" t="s">
        <v>23</v>
      </c>
      <c r="C993" s="51" t="s">
        <v>5424</v>
      </c>
      <c r="D993" s="51">
        <v>100028197</v>
      </c>
      <c r="E993" s="53" t="s">
        <v>5425</v>
      </c>
      <c r="F993" s="124">
        <v>50</v>
      </c>
      <c r="G993" s="124">
        <v>13500</v>
      </c>
      <c r="H993" s="369">
        <v>43.96</v>
      </c>
      <c r="I993" s="215" t="s">
        <v>346</v>
      </c>
      <c r="J993" s="215" t="s">
        <v>102</v>
      </c>
      <c r="K993" s="266">
        <v>49081171209</v>
      </c>
      <c r="L993" s="265" t="s">
        <v>649</v>
      </c>
      <c r="M993" s="266">
        <v>40049081171207</v>
      </c>
      <c r="N993" s="264">
        <v>0.128</v>
      </c>
      <c r="O993" s="265" t="s">
        <v>649</v>
      </c>
      <c r="P993" s="265">
        <v>8.49</v>
      </c>
      <c r="Q993" s="265">
        <v>0.31</v>
      </c>
    </row>
    <row r="994" spans="1:17" ht="15" customHeight="1">
      <c r="A994" s="147">
        <v>1011</v>
      </c>
      <c r="B994" s="51" t="s">
        <v>23</v>
      </c>
      <c r="C994" s="51" t="s">
        <v>5426</v>
      </c>
      <c r="D994" s="51">
        <v>100028198</v>
      </c>
      <c r="E994" s="53" t="s">
        <v>5427</v>
      </c>
      <c r="F994" s="124">
        <v>50</v>
      </c>
      <c r="G994" s="124">
        <v>7500</v>
      </c>
      <c r="H994" s="369">
        <v>61.55</v>
      </c>
      <c r="I994" s="215" t="s">
        <v>346</v>
      </c>
      <c r="J994" s="215" t="s">
        <v>102</v>
      </c>
      <c r="K994" s="266">
        <v>49081171223</v>
      </c>
      <c r="L994" s="265" t="s">
        <v>649</v>
      </c>
      <c r="M994" s="266">
        <v>40049081171221</v>
      </c>
      <c r="N994" s="264">
        <v>0.2</v>
      </c>
      <c r="O994" s="265" t="s">
        <v>649</v>
      </c>
      <c r="P994" s="265">
        <v>13.36</v>
      </c>
      <c r="Q994" s="265">
        <v>0.5</v>
      </c>
    </row>
    <row r="995" spans="1:17" ht="15" customHeight="1">
      <c r="A995" s="147">
        <v>1012</v>
      </c>
      <c r="B995" s="51" t="s">
        <v>23</v>
      </c>
      <c r="C995" s="51" t="s">
        <v>5428</v>
      </c>
      <c r="D995" s="51">
        <v>100028199</v>
      </c>
      <c r="E995" s="53" t="s">
        <v>5429</v>
      </c>
      <c r="F995" s="124">
        <v>18</v>
      </c>
      <c r="G995" s="124">
        <v>4860</v>
      </c>
      <c r="H995" s="369">
        <v>81.96</v>
      </c>
      <c r="I995" s="215" t="s">
        <v>76</v>
      </c>
      <c r="J995" s="215" t="s">
        <v>102</v>
      </c>
      <c r="K995" s="266">
        <v>49081171247</v>
      </c>
      <c r="L995" s="265" t="s">
        <v>649</v>
      </c>
      <c r="M995" s="266">
        <v>40049081171245</v>
      </c>
      <c r="N995" s="264">
        <v>0.31900000000000001</v>
      </c>
      <c r="O995" s="265" t="s">
        <v>649</v>
      </c>
      <c r="P995" s="265">
        <v>7.04</v>
      </c>
      <c r="Q995" s="265">
        <v>0.31</v>
      </c>
    </row>
    <row r="996" spans="1:17" ht="15" customHeight="1">
      <c r="A996" s="147">
        <v>1013</v>
      </c>
      <c r="B996" s="51" t="s">
        <v>23</v>
      </c>
      <c r="C996" s="51" t="s">
        <v>5430</v>
      </c>
      <c r="D996" s="51">
        <v>100028200</v>
      </c>
      <c r="E996" s="53" t="s">
        <v>5431</v>
      </c>
      <c r="F996" s="124">
        <v>10</v>
      </c>
      <c r="G996" s="124">
        <v>2700</v>
      </c>
      <c r="H996" s="369">
        <v>156.26</v>
      </c>
      <c r="I996" s="215" t="s">
        <v>76</v>
      </c>
      <c r="J996" s="215" t="s">
        <v>102</v>
      </c>
      <c r="K996" s="266">
        <v>49081171261</v>
      </c>
      <c r="L996" s="265" t="s">
        <v>649</v>
      </c>
      <c r="M996" s="266">
        <v>40049081171269</v>
      </c>
      <c r="N996" s="264">
        <v>0.5</v>
      </c>
      <c r="O996" s="265" t="s">
        <v>649</v>
      </c>
      <c r="P996" s="265">
        <v>5</v>
      </c>
      <c r="Q996" s="265">
        <v>0.31</v>
      </c>
    </row>
    <row r="997" spans="1:17" ht="15" customHeight="1">
      <c r="A997" s="147">
        <v>1014</v>
      </c>
      <c r="B997" s="51" t="s">
        <v>23</v>
      </c>
      <c r="C997" s="51" t="s">
        <v>5432</v>
      </c>
      <c r="D997" s="51">
        <v>100028201</v>
      </c>
      <c r="E997" s="53" t="s">
        <v>5433</v>
      </c>
      <c r="F997" s="124">
        <v>10</v>
      </c>
      <c r="G997" s="124">
        <v>1500</v>
      </c>
      <c r="H997" s="369">
        <v>193.51</v>
      </c>
      <c r="I997" s="215" t="s">
        <v>346</v>
      </c>
      <c r="J997" s="215" t="s">
        <v>102</v>
      </c>
      <c r="K997" s="266">
        <v>49081171285</v>
      </c>
      <c r="L997" s="265" t="s">
        <v>649</v>
      </c>
      <c r="M997" s="266">
        <v>40049081171283</v>
      </c>
      <c r="N997" s="264">
        <v>0.86499999999999999</v>
      </c>
      <c r="O997" s="265" t="s">
        <v>649</v>
      </c>
      <c r="P997" s="265">
        <v>6.92</v>
      </c>
      <c r="Q997" s="265">
        <v>0.5</v>
      </c>
    </row>
    <row r="998" spans="1:17" ht="15" customHeight="1">
      <c r="A998" s="147">
        <v>1015</v>
      </c>
      <c r="B998" s="51" t="s">
        <v>23</v>
      </c>
      <c r="C998" s="51" t="s">
        <v>5434</v>
      </c>
      <c r="D998" s="51">
        <v>100028202</v>
      </c>
      <c r="E998" s="53" t="s">
        <v>5435</v>
      </c>
      <c r="F998" s="124">
        <v>16</v>
      </c>
      <c r="G998" s="124">
        <v>1200</v>
      </c>
      <c r="H998" s="369">
        <v>297.79000000000002</v>
      </c>
      <c r="I998" s="215" t="s">
        <v>346</v>
      </c>
      <c r="J998" s="215" t="s">
        <v>102</v>
      </c>
      <c r="K998" s="266">
        <v>49081171308</v>
      </c>
      <c r="L998" s="265" t="s">
        <v>649</v>
      </c>
      <c r="M998" s="266">
        <v>40049081171306</v>
      </c>
      <c r="N998" s="264">
        <v>1.8140000000000001</v>
      </c>
      <c r="O998" s="265" t="s">
        <v>649</v>
      </c>
      <c r="P998" s="265">
        <v>14.15</v>
      </c>
      <c r="Q998" s="265">
        <v>1.1000000000000001</v>
      </c>
    </row>
    <row r="999" spans="1:17" ht="15" customHeight="1">
      <c r="A999" s="147">
        <v>1016</v>
      </c>
      <c r="B999" s="51" t="s">
        <v>23</v>
      </c>
      <c r="C999" s="51" t="s">
        <v>5436</v>
      </c>
      <c r="D999" s="51">
        <v>100028204</v>
      </c>
      <c r="E999" s="53" t="s">
        <v>5437</v>
      </c>
      <c r="F999" s="124">
        <v>3</v>
      </c>
      <c r="G999" s="124">
        <v>450</v>
      </c>
      <c r="H999" s="369">
        <v>755.39</v>
      </c>
      <c r="I999" s="215" t="s">
        <v>76</v>
      </c>
      <c r="J999" s="215" t="s">
        <v>102</v>
      </c>
      <c r="K999" s="266">
        <v>49081171322</v>
      </c>
      <c r="L999" s="265" t="s">
        <v>649</v>
      </c>
      <c r="M999" s="266">
        <v>40049081171320</v>
      </c>
      <c r="N999" s="264">
        <v>3.1829999999999998</v>
      </c>
      <c r="O999" s="265" t="s">
        <v>649</v>
      </c>
      <c r="P999" s="265">
        <v>7.84</v>
      </c>
      <c r="Q999" s="265">
        <v>0.5</v>
      </c>
    </row>
    <row r="1000" spans="1:17" ht="15" customHeight="1">
      <c r="A1000" s="147">
        <v>1017</v>
      </c>
      <c r="B1000" s="51" t="s">
        <v>23</v>
      </c>
      <c r="C1000" s="51" t="s">
        <v>5438</v>
      </c>
      <c r="D1000" s="51">
        <v>100028205</v>
      </c>
      <c r="E1000" s="53" t="s">
        <v>5439</v>
      </c>
      <c r="F1000" s="124">
        <v>2</v>
      </c>
      <c r="G1000" s="124">
        <v>180</v>
      </c>
      <c r="H1000" s="369">
        <v>883.53</v>
      </c>
      <c r="I1000" s="215" t="s">
        <v>76</v>
      </c>
      <c r="J1000" s="215" t="s">
        <v>102</v>
      </c>
      <c r="K1000" s="266">
        <v>49081171216</v>
      </c>
      <c r="L1000" s="265" t="s">
        <v>649</v>
      </c>
      <c r="M1000" s="266">
        <v>40049081171214</v>
      </c>
      <c r="N1000" s="264">
        <v>7.48</v>
      </c>
      <c r="O1000" s="265" t="s">
        <v>649</v>
      </c>
      <c r="P1000" s="265">
        <v>14.98</v>
      </c>
      <c r="Q1000" s="265">
        <v>0.8</v>
      </c>
    </row>
    <row r="1001" spans="1:17" ht="15" customHeight="1">
      <c r="A1001" s="147">
        <v>1018</v>
      </c>
      <c r="B1001" s="51" t="s">
        <v>24</v>
      </c>
      <c r="C1001" s="51" t="s">
        <v>5440</v>
      </c>
      <c r="D1001" s="51">
        <v>100028011</v>
      </c>
      <c r="E1001" s="53" t="s">
        <v>5441</v>
      </c>
      <c r="F1001" s="124">
        <v>75</v>
      </c>
      <c r="G1001" s="124">
        <v>0</v>
      </c>
      <c r="H1001" s="369">
        <v>63.65</v>
      </c>
      <c r="I1001" s="215" t="s">
        <v>346</v>
      </c>
      <c r="J1001" s="215" t="s">
        <v>102</v>
      </c>
      <c r="K1001" s="265" t="s">
        <v>649</v>
      </c>
      <c r="L1001" s="265" t="s">
        <v>649</v>
      </c>
      <c r="M1001" s="266">
        <v>40049081164124</v>
      </c>
      <c r="N1001" s="264">
        <v>0.27600000000000002</v>
      </c>
      <c r="O1001" s="265" t="s">
        <v>649</v>
      </c>
      <c r="P1001" s="265">
        <v>20.663</v>
      </c>
      <c r="Q1001" s="265" t="s">
        <v>649</v>
      </c>
    </row>
    <row r="1002" spans="1:17" ht="15" customHeight="1">
      <c r="A1002" s="147">
        <v>1019</v>
      </c>
      <c r="B1002" s="51" t="s">
        <v>24</v>
      </c>
      <c r="C1002" s="51" t="s">
        <v>5442</v>
      </c>
      <c r="D1002" s="51">
        <v>100028012</v>
      </c>
      <c r="E1002" s="53" t="s">
        <v>5443</v>
      </c>
      <c r="F1002" s="124">
        <v>50</v>
      </c>
      <c r="G1002" s="124">
        <v>0</v>
      </c>
      <c r="H1002" s="369">
        <v>69.69</v>
      </c>
      <c r="I1002" s="215" t="s">
        <v>346</v>
      </c>
      <c r="J1002" s="215" t="s">
        <v>102</v>
      </c>
      <c r="K1002" s="266">
        <v>49081164140</v>
      </c>
      <c r="L1002" s="265" t="s">
        <v>649</v>
      </c>
      <c r="M1002" s="266">
        <v>40049081164148</v>
      </c>
      <c r="N1002" s="264">
        <v>0.41</v>
      </c>
      <c r="O1002" s="265" t="s">
        <v>649</v>
      </c>
      <c r="P1002" s="265">
        <v>20.5</v>
      </c>
      <c r="Q1002" s="265" t="s">
        <v>649</v>
      </c>
    </row>
    <row r="1003" spans="1:17" ht="15" customHeight="1">
      <c r="A1003" s="147">
        <v>1020</v>
      </c>
      <c r="B1003" s="51" t="s">
        <v>24</v>
      </c>
      <c r="C1003" s="51" t="s">
        <v>5444</v>
      </c>
      <c r="D1003" s="51">
        <v>100028013</v>
      </c>
      <c r="E1003" s="53" t="s">
        <v>5445</v>
      </c>
      <c r="F1003" s="124">
        <v>20</v>
      </c>
      <c r="G1003" s="124">
        <v>0</v>
      </c>
      <c r="H1003" s="369">
        <v>96.1</v>
      </c>
      <c r="I1003" s="215" t="s">
        <v>346</v>
      </c>
      <c r="J1003" s="215" t="s">
        <v>102</v>
      </c>
      <c r="K1003" s="266">
        <v>49081164164</v>
      </c>
      <c r="L1003" s="265" t="s">
        <v>649</v>
      </c>
      <c r="M1003" s="266">
        <v>40049081164162</v>
      </c>
      <c r="N1003" s="264">
        <v>0.53100000000000003</v>
      </c>
      <c r="O1003" s="265" t="s">
        <v>649</v>
      </c>
      <c r="P1003" s="265">
        <v>10.625999999999999</v>
      </c>
      <c r="Q1003" s="265" t="s">
        <v>649</v>
      </c>
    </row>
    <row r="1004" spans="1:17" ht="15" customHeight="1">
      <c r="A1004" s="147">
        <v>1021</v>
      </c>
      <c r="B1004" s="51" t="s">
        <v>24</v>
      </c>
      <c r="C1004" s="51" t="s">
        <v>5446</v>
      </c>
      <c r="D1004" s="51">
        <v>100028014</v>
      </c>
      <c r="E1004" s="53" t="s">
        <v>5447</v>
      </c>
      <c r="F1004" s="124">
        <v>30</v>
      </c>
      <c r="G1004" s="124">
        <v>0</v>
      </c>
      <c r="H1004" s="369">
        <v>104.87</v>
      </c>
      <c r="I1004" s="215" t="s">
        <v>346</v>
      </c>
      <c r="J1004" s="215" t="s">
        <v>102</v>
      </c>
      <c r="K1004" s="266">
        <v>49081164188</v>
      </c>
      <c r="L1004" s="265" t="s">
        <v>649</v>
      </c>
      <c r="M1004" s="266">
        <v>40049081164186</v>
      </c>
      <c r="N1004" s="264">
        <v>0.65300000000000002</v>
      </c>
      <c r="O1004" s="265" t="s">
        <v>649</v>
      </c>
      <c r="P1004" s="265">
        <v>19.574999999999999</v>
      </c>
      <c r="Q1004" s="265" t="s">
        <v>649</v>
      </c>
    </row>
    <row r="1005" spans="1:17" ht="15" customHeight="1">
      <c r="A1005" s="147">
        <v>1022</v>
      </c>
      <c r="B1005" s="51" t="s">
        <v>24</v>
      </c>
      <c r="C1005" s="51" t="s">
        <v>5448</v>
      </c>
      <c r="D1005" s="51">
        <v>100028015</v>
      </c>
      <c r="E1005" s="53" t="s">
        <v>5449</v>
      </c>
      <c r="F1005" s="124">
        <v>20</v>
      </c>
      <c r="G1005" s="124">
        <v>0</v>
      </c>
      <c r="H1005" s="369">
        <v>107.24</v>
      </c>
      <c r="I1005" s="215" t="s">
        <v>76</v>
      </c>
      <c r="J1005" s="215" t="s">
        <v>102</v>
      </c>
      <c r="K1005" s="265" t="s">
        <v>649</v>
      </c>
      <c r="L1005" s="265" t="s">
        <v>649</v>
      </c>
      <c r="M1005" s="266">
        <v>40049081164209</v>
      </c>
      <c r="N1005" s="264">
        <v>1.1419999999999999</v>
      </c>
      <c r="O1005" s="265" t="s">
        <v>649</v>
      </c>
      <c r="P1005" s="265">
        <v>22.84</v>
      </c>
      <c r="Q1005" s="265" t="s">
        <v>649</v>
      </c>
    </row>
    <row r="1006" spans="1:17" ht="15" customHeight="1">
      <c r="A1006" s="147">
        <v>1023</v>
      </c>
      <c r="B1006" s="51" t="s">
        <v>24</v>
      </c>
      <c r="C1006" s="51" t="s">
        <v>5450</v>
      </c>
      <c r="D1006" s="51">
        <v>100028016</v>
      </c>
      <c r="E1006" s="53" t="s">
        <v>5451</v>
      </c>
      <c r="F1006" s="124">
        <v>10</v>
      </c>
      <c r="G1006" s="124">
        <v>0</v>
      </c>
      <c r="H1006" s="369">
        <v>246.5</v>
      </c>
      <c r="I1006" s="215" t="s">
        <v>346</v>
      </c>
      <c r="J1006" s="215" t="s">
        <v>102</v>
      </c>
      <c r="K1006" s="266">
        <v>49081164225</v>
      </c>
      <c r="L1006" s="265" t="s">
        <v>649</v>
      </c>
      <c r="M1006" s="266">
        <v>40049081164223</v>
      </c>
      <c r="N1006" s="264">
        <v>1.484</v>
      </c>
      <c r="O1006" s="265" t="s">
        <v>649</v>
      </c>
      <c r="P1006" s="265">
        <v>14.837</v>
      </c>
      <c r="Q1006" s="265" t="s">
        <v>649</v>
      </c>
    </row>
    <row r="1007" spans="1:17" ht="15" customHeight="1">
      <c r="A1007" s="147">
        <v>1024</v>
      </c>
      <c r="B1007" s="51" t="s">
        <v>24</v>
      </c>
      <c r="C1007" s="51" t="s">
        <v>5452</v>
      </c>
      <c r="D1007" s="51">
        <v>100028017</v>
      </c>
      <c r="E1007" s="53" t="s">
        <v>5453</v>
      </c>
      <c r="F1007" s="124">
        <v>10</v>
      </c>
      <c r="G1007" s="124">
        <v>0</v>
      </c>
      <c r="H1007" s="369">
        <v>253.75</v>
      </c>
      <c r="I1007" s="215" t="s">
        <v>346</v>
      </c>
      <c r="J1007" s="215" t="s">
        <v>102</v>
      </c>
      <c r="K1007" s="266">
        <v>49081164201</v>
      </c>
      <c r="L1007" s="265" t="s">
        <v>649</v>
      </c>
      <c r="M1007" s="266">
        <v>40049081164247</v>
      </c>
      <c r="N1007" s="264">
        <v>1.9419999999999999</v>
      </c>
      <c r="O1007" s="265" t="s">
        <v>649</v>
      </c>
      <c r="P1007" s="265">
        <v>19.422000000000001</v>
      </c>
      <c r="Q1007" s="265" t="s">
        <v>649</v>
      </c>
    </row>
    <row r="1008" spans="1:17" ht="15" customHeight="1">
      <c r="A1008" s="147">
        <v>1025</v>
      </c>
      <c r="B1008" s="51" t="s">
        <v>24</v>
      </c>
      <c r="C1008" s="51" t="s">
        <v>5454</v>
      </c>
      <c r="D1008" s="51">
        <v>100028018</v>
      </c>
      <c r="E1008" s="53" t="s">
        <v>5455</v>
      </c>
      <c r="F1008" s="124">
        <v>5</v>
      </c>
      <c r="G1008" s="124">
        <v>0</v>
      </c>
      <c r="H1008" s="369">
        <v>476.69</v>
      </c>
      <c r="I1008" s="215" t="s">
        <v>346</v>
      </c>
      <c r="J1008" s="215" t="s">
        <v>102</v>
      </c>
      <c r="K1008" s="266">
        <v>49081164263</v>
      </c>
      <c r="L1008" s="265" t="s">
        <v>649</v>
      </c>
      <c r="M1008" s="266">
        <v>40049081164261</v>
      </c>
      <c r="N1008" s="264">
        <v>2.8620000000000001</v>
      </c>
      <c r="O1008" s="265" t="s">
        <v>649</v>
      </c>
      <c r="P1008" s="265">
        <v>14.308</v>
      </c>
      <c r="Q1008" s="265" t="s">
        <v>649</v>
      </c>
    </row>
    <row r="1009" spans="1:17" ht="15" customHeight="1">
      <c r="A1009" s="147">
        <v>1026</v>
      </c>
      <c r="B1009" s="51" t="s">
        <v>24</v>
      </c>
      <c r="C1009" s="51" t="s">
        <v>5456</v>
      </c>
      <c r="D1009" s="51">
        <v>100028019</v>
      </c>
      <c r="E1009" s="53" t="s">
        <v>5457</v>
      </c>
      <c r="F1009" s="124">
        <v>25</v>
      </c>
      <c r="G1009" s="124">
        <v>3750</v>
      </c>
      <c r="H1009" s="369">
        <v>127.04</v>
      </c>
      <c r="I1009" s="215" t="s">
        <v>76</v>
      </c>
      <c r="J1009" s="215" t="s">
        <v>102</v>
      </c>
      <c r="K1009" s="266">
        <v>49081164447</v>
      </c>
      <c r="L1009" s="265" t="s">
        <v>649</v>
      </c>
      <c r="M1009" s="266">
        <v>40049081164445</v>
      </c>
      <c r="N1009" s="264">
        <v>0.51500000000000001</v>
      </c>
      <c r="O1009" s="265" t="s">
        <v>649</v>
      </c>
      <c r="P1009" s="265">
        <v>13.97</v>
      </c>
      <c r="Q1009" s="265">
        <v>0.5</v>
      </c>
    </row>
    <row r="1010" spans="1:17" ht="15" customHeight="1">
      <c r="A1010" s="147">
        <v>1027</v>
      </c>
      <c r="B1010" s="51" t="s">
        <v>24</v>
      </c>
      <c r="C1010" s="51" t="s">
        <v>5458</v>
      </c>
      <c r="D1010" s="51">
        <v>100023467</v>
      </c>
      <c r="E1010" s="53" t="s">
        <v>5459</v>
      </c>
      <c r="F1010" s="124">
        <v>25</v>
      </c>
      <c r="G1010" s="124">
        <v>3000</v>
      </c>
      <c r="H1010" s="369">
        <v>189.8</v>
      </c>
      <c r="I1010" s="215" t="s">
        <v>346</v>
      </c>
      <c r="J1010" s="215" t="s">
        <v>102</v>
      </c>
      <c r="K1010" s="266">
        <v>49081164461</v>
      </c>
      <c r="L1010" s="265" t="s">
        <v>649</v>
      </c>
      <c r="M1010" s="266">
        <v>40049081164469</v>
      </c>
      <c r="N1010" s="264">
        <v>0.78</v>
      </c>
      <c r="O1010" s="265" t="s">
        <v>649</v>
      </c>
      <c r="P1010" s="265">
        <v>20.52</v>
      </c>
      <c r="Q1010" s="265">
        <v>0.65</v>
      </c>
    </row>
    <row r="1011" spans="1:17" ht="15" customHeight="1">
      <c r="A1011" s="147">
        <v>1028</v>
      </c>
      <c r="B1011" s="51" t="s">
        <v>24</v>
      </c>
      <c r="C1011" s="51" t="s">
        <v>5460</v>
      </c>
      <c r="D1011" s="51">
        <v>100028020</v>
      </c>
      <c r="E1011" s="53" t="s">
        <v>5461</v>
      </c>
      <c r="F1011" s="124">
        <v>25</v>
      </c>
      <c r="G1011" s="124">
        <v>3000</v>
      </c>
      <c r="H1011" s="369">
        <v>189.8</v>
      </c>
      <c r="I1011" s="215" t="s">
        <v>816</v>
      </c>
      <c r="J1011" s="215" t="s">
        <v>77</v>
      </c>
      <c r="K1011" s="266">
        <v>49081164379</v>
      </c>
      <c r="L1011" s="265" t="s">
        <v>649</v>
      </c>
      <c r="M1011" s="266">
        <v>40049081164377</v>
      </c>
      <c r="N1011" s="264">
        <v>0.82899999999999996</v>
      </c>
      <c r="O1011" s="265" t="s">
        <v>649</v>
      </c>
      <c r="P1011" s="265">
        <v>20.3</v>
      </c>
      <c r="Q1011" s="265">
        <v>0.65</v>
      </c>
    </row>
    <row r="1012" spans="1:17" ht="15" customHeight="1">
      <c r="A1012" s="147">
        <v>1029</v>
      </c>
      <c r="B1012" s="51" t="s">
        <v>24</v>
      </c>
      <c r="C1012" s="51" t="s">
        <v>5462</v>
      </c>
      <c r="D1012" s="51">
        <v>100028021</v>
      </c>
      <c r="E1012" s="53" t="s">
        <v>5463</v>
      </c>
      <c r="F1012" s="124">
        <v>15</v>
      </c>
      <c r="G1012" s="124">
        <v>1800</v>
      </c>
      <c r="H1012" s="369">
        <v>309.20999999999998</v>
      </c>
      <c r="I1012" s="215" t="s">
        <v>76</v>
      </c>
      <c r="J1012" s="215" t="s">
        <v>102</v>
      </c>
      <c r="K1012" s="266">
        <v>49081164485</v>
      </c>
      <c r="L1012" s="265" t="s">
        <v>649</v>
      </c>
      <c r="M1012" s="266">
        <v>40049081164483</v>
      </c>
      <c r="N1012" s="264">
        <v>1.2350000000000001</v>
      </c>
      <c r="O1012" s="265" t="s">
        <v>649</v>
      </c>
      <c r="P1012" s="265">
        <v>18.48</v>
      </c>
      <c r="Q1012" s="265">
        <v>0.65</v>
      </c>
    </row>
    <row r="1013" spans="1:17" ht="15" customHeight="1">
      <c r="A1013" s="147">
        <v>1030</v>
      </c>
      <c r="B1013" s="51" t="s">
        <v>24</v>
      </c>
      <c r="C1013" s="51" t="s">
        <v>5464</v>
      </c>
      <c r="D1013" s="51">
        <v>100028022</v>
      </c>
      <c r="E1013" s="53" t="s">
        <v>5465</v>
      </c>
      <c r="F1013" s="124">
        <v>15</v>
      </c>
      <c r="G1013" s="124">
        <v>1800</v>
      </c>
      <c r="H1013" s="369">
        <v>309.20999999999998</v>
      </c>
      <c r="I1013" s="215" t="s">
        <v>816</v>
      </c>
      <c r="J1013" s="215" t="s">
        <v>77</v>
      </c>
      <c r="K1013" s="266">
        <v>49081164393</v>
      </c>
      <c r="L1013" s="265" t="s">
        <v>649</v>
      </c>
      <c r="M1013" s="266">
        <v>40049081164391</v>
      </c>
      <c r="N1013" s="264">
        <v>1.254</v>
      </c>
      <c r="O1013" s="265" t="s">
        <v>649</v>
      </c>
      <c r="P1013" s="265">
        <v>18.63</v>
      </c>
      <c r="Q1013" s="265">
        <v>0.65</v>
      </c>
    </row>
    <row r="1014" spans="1:17" ht="15" customHeight="1">
      <c r="A1014" s="147">
        <v>1031</v>
      </c>
      <c r="B1014" s="51" t="s">
        <v>24</v>
      </c>
      <c r="C1014" s="51" t="s">
        <v>5466</v>
      </c>
      <c r="D1014" s="51">
        <v>100023468</v>
      </c>
      <c r="E1014" s="53" t="s">
        <v>5467</v>
      </c>
      <c r="F1014" s="124">
        <v>13</v>
      </c>
      <c r="G1014" s="124">
        <v>1560</v>
      </c>
      <c r="H1014" s="369">
        <v>373.11</v>
      </c>
      <c r="I1014" s="215" t="s">
        <v>76</v>
      </c>
      <c r="J1014" s="215" t="s">
        <v>102</v>
      </c>
      <c r="K1014" s="266">
        <v>49081164508</v>
      </c>
      <c r="L1014" s="265" t="s">
        <v>649</v>
      </c>
      <c r="M1014" s="266">
        <v>40049081164506</v>
      </c>
      <c r="N1014" s="264">
        <v>1.575</v>
      </c>
      <c r="O1014" s="265" t="s">
        <v>649</v>
      </c>
      <c r="P1014" s="265">
        <v>21.66</v>
      </c>
      <c r="Q1014" s="265">
        <v>0.65</v>
      </c>
    </row>
    <row r="1015" spans="1:17" ht="15" customHeight="1">
      <c r="A1015" s="147">
        <v>1032</v>
      </c>
      <c r="B1015" s="51" t="s">
        <v>24</v>
      </c>
      <c r="C1015" s="51" t="s">
        <v>5468</v>
      </c>
      <c r="D1015" s="51">
        <v>100028023</v>
      </c>
      <c r="E1015" s="53" t="s">
        <v>5469</v>
      </c>
      <c r="F1015" s="124">
        <v>13</v>
      </c>
      <c r="G1015" s="124">
        <v>1560</v>
      </c>
      <c r="H1015" s="369">
        <v>373.11</v>
      </c>
      <c r="I1015" s="215" t="s">
        <v>816</v>
      </c>
      <c r="J1015" s="215" t="s">
        <v>77</v>
      </c>
      <c r="K1015" s="266">
        <v>49081164416</v>
      </c>
      <c r="L1015" s="265" t="s">
        <v>649</v>
      </c>
      <c r="M1015" s="266">
        <v>40049081164414</v>
      </c>
      <c r="N1015" s="264">
        <v>1.623</v>
      </c>
      <c r="O1015" s="265" t="s">
        <v>649</v>
      </c>
      <c r="P1015" s="265">
        <v>21.1</v>
      </c>
      <c r="Q1015" s="265">
        <v>0.65</v>
      </c>
    </row>
    <row r="1016" spans="1:17" ht="15" customHeight="1">
      <c r="A1016" s="147">
        <v>1033</v>
      </c>
      <c r="B1016" s="51" t="s">
        <v>24</v>
      </c>
      <c r="C1016" s="51" t="s">
        <v>5470</v>
      </c>
      <c r="D1016" s="51">
        <v>100023453</v>
      </c>
      <c r="E1016" s="53" t="s">
        <v>5471</v>
      </c>
      <c r="F1016" s="124">
        <v>6</v>
      </c>
      <c r="G1016" s="124">
        <v>540</v>
      </c>
      <c r="H1016" s="369">
        <v>464.82</v>
      </c>
      <c r="I1016" s="215" t="s">
        <v>76</v>
      </c>
      <c r="J1016" s="215" t="s">
        <v>102</v>
      </c>
      <c r="K1016" s="266">
        <v>49081164522</v>
      </c>
      <c r="L1016" s="265" t="s">
        <v>649</v>
      </c>
      <c r="M1016" s="266">
        <v>40049081164520</v>
      </c>
      <c r="N1016" s="264">
        <v>2.42</v>
      </c>
      <c r="O1016" s="265" t="s">
        <v>649</v>
      </c>
      <c r="P1016" s="265">
        <v>16</v>
      </c>
      <c r="Q1016" s="265">
        <v>0.8</v>
      </c>
    </row>
    <row r="1017" spans="1:17" ht="15" customHeight="1">
      <c r="A1017" s="147">
        <v>1034</v>
      </c>
      <c r="B1017" s="51" t="s">
        <v>24</v>
      </c>
      <c r="C1017" s="51" t="s">
        <v>5472</v>
      </c>
      <c r="D1017" s="51">
        <v>100023454</v>
      </c>
      <c r="E1017" s="53" t="s">
        <v>5473</v>
      </c>
      <c r="F1017" s="124">
        <v>6</v>
      </c>
      <c r="G1017" s="124">
        <v>540</v>
      </c>
      <c r="H1017" s="369">
        <v>464.82</v>
      </c>
      <c r="I1017" s="215" t="s">
        <v>346</v>
      </c>
      <c r="J1017" s="215" t="s">
        <v>102</v>
      </c>
      <c r="K1017" s="266">
        <v>49081164430</v>
      </c>
      <c r="L1017" s="265" t="s">
        <v>649</v>
      </c>
      <c r="M1017" s="266">
        <v>40049081164438</v>
      </c>
      <c r="N1017" s="264">
        <v>2.56</v>
      </c>
      <c r="O1017" s="265" t="s">
        <v>649</v>
      </c>
      <c r="P1017" s="265">
        <v>15.54</v>
      </c>
      <c r="Q1017" s="265">
        <v>0.8</v>
      </c>
    </row>
    <row r="1018" spans="1:17" ht="15" customHeight="1">
      <c r="A1018" s="147">
        <v>1035</v>
      </c>
      <c r="B1018" s="51" t="s">
        <v>24</v>
      </c>
      <c r="C1018" s="51" t="s">
        <v>5474</v>
      </c>
      <c r="D1018" s="51">
        <v>100023469</v>
      </c>
      <c r="E1018" s="53" t="s">
        <v>5475</v>
      </c>
      <c r="F1018" s="124">
        <v>5</v>
      </c>
      <c r="G1018" s="124">
        <v>375</v>
      </c>
      <c r="H1018" s="369">
        <v>564.86</v>
      </c>
      <c r="I1018" s="215" t="s">
        <v>346</v>
      </c>
      <c r="J1018" s="215" t="s">
        <v>102</v>
      </c>
      <c r="K1018" s="266">
        <v>49081164546</v>
      </c>
      <c r="L1018" s="265" t="s">
        <v>649</v>
      </c>
      <c r="M1018" s="266">
        <v>40049081164544</v>
      </c>
      <c r="N1018" s="264">
        <v>3.97</v>
      </c>
      <c r="O1018" s="265" t="s">
        <v>649</v>
      </c>
      <c r="P1018" s="265">
        <v>20.98</v>
      </c>
      <c r="Q1018" s="265">
        <v>0.95</v>
      </c>
    </row>
    <row r="1019" spans="1:17" ht="15" customHeight="1">
      <c r="A1019" s="147">
        <v>1036</v>
      </c>
      <c r="B1019" s="51" t="s">
        <v>24</v>
      </c>
      <c r="C1019" s="51" t="s">
        <v>5476</v>
      </c>
      <c r="D1019" s="51">
        <v>100028029</v>
      </c>
      <c r="E1019" s="53" t="s">
        <v>5477</v>
      </c>
      <c r="F1019" s="124">
        <v>5</v>
      </c>
      <c r="G1019" s="124">
        <v>375</v>
      </c>
      <c r="H1019" s="369">
        <v>564.86</v>
      </c>
      <c r="I1019" s="215" t="s">
        <v>816</v>
      </c>
      <c r="J1019" s="215" t="s">
        <v>77</v>
      </c>
      <c r="K1019" s="266">
        <v>49081164478</v>
      </c>
      <c r="L1019" s="265" t="s">
        <v>649</v>
      </c>
      <c r="M1019" s="266">
        <v>40049081164476</v>
      </c>
      <c r="N1019" s="264">
        <v>4.33</v>
      </c>
      <c r="O1019" s="265" t="s">
        <v>649</v>
      </c>
      <c r="P1019" s="265">
        <v>20.6</v>
      </c>
      <c r="Q1019" s="265">
        <v>1.1000000000000001</v>
      </c>
    </row>
    <row r="1020" spans="1:17" ht="15" customHeight="1">
      <c r="A1020" s="147">
        <v>1037</v>
      </c>
      <c r="B1020" s="51" t="s">
        <v>24</v>
      </c>
      <c r="C1020" s="51" t="s">
        <v>5478</v>
      </c>
      <c r="D1020" s="51">
        <v>100028030</v>
      </c>
      <c r="E1020" s="53" t="s">
        <v>5479</v>
      </c>
      <c r="F1020" s="124">
        <v>3</v>
      </c>
      <c r="G1020" s="124">
        <v>225</v>
      </c>
      <c r="H1020" s="369">
        <v>707.01</v>
      </c>
      <c r="I1020" s="215" t="s">
        <v>816</v>
      </c>
      <c r="J1020" s="215" t="s">
        <v>77</v>
      </c>
      <c r="K1020" s="266">
        <v>49081164492</v>
      </c>
      <c r="L1020" s="265" t="s">
        <v>649</v>
      </c>
      <c r="M1020" s="266">
        <v>40049081164490</v>
      </c>
      <c r="N1020" s="264">
        <v>7.5069999999999997</v>
      </c>
      <c r="O1020" s="265" t="s">
        <v>649</v>
      </c>
      <c r="P1020" s="265">
        <v>22.96</v>
      </c>
      <c r="Q1020" s="265">
        <v>1.1000000000000001</v>
      </c>
    </row>
    <row r="1021" spans="1:17" ht="15" customHeight="1">
      <c r="A1021" s="147">
        <v>1038</v>
      </c>
      <c r="B1021" s="51" t="s">
        <v>24</v>
      </c>
      <c r="C1021" s="51" t="s">
        <v>5480</v>
      </c>
      <c r="D1021" s="51">
        <v>100028032</v>
      </c>
      <c r="E1021" s="53" t="s">
        <v>5481</v>
      </c>
      <c r="F1021" s="124">
        <v>5</v>
      </c>
      <c r="G1021" s="124">
        <v>1350</v>
      </c>
      <c r="H1021" s="369">
        <v>75.59</v>
      </c>
      <c r="I1021" s="215" t="s">
        <v>346</v>
      </c>
      <c r="J1021" s="215" t="s">
        <v>102</v>
      </c>
      <c r="K1021" s="266">
        <v>49081164768</v>
      </c>
      <c r="L1021" s="265" t="s">
        <v>649</v>
      </c>
      <c r="M1021" s="266">
        <v>40049081164766</v>
      </c>
      <c r="N1021" s="264">
        <v>0.94799999999999995</v>
      </c>
      <c r="O1021" s="265" t="s">
        <v>649</v>
      </c>
      <c r="P1021" s="265">
        <v>5.32</v>
      </c>
      <c r="Q1021" s="265">
        <v>0.31</v>
      </c>
    </row>
    <row r="1022" spans="1:17" ht="15" customHeight="1">
      <c r="A1022" s="147">
        <v>1039</v>
      </c>
      <c r="B1022" s="51" t="s">
        <v>24</v>
      </c>
      <c r="C1022" s="51" t="s">
        <v>5482</v>
      </c>
      <c r="D1022" s="51">
        <v>100028033</v>
      </c>
      <c r="E1022" s="53" t="s">
        <v>5483</v>
      </c>
      <c r="F1022" s="124">
        <v>5</v>
      </c>
      <c r="G1022" s="124">
        <v>750</v>
      </c>
      <c r="H1022" s="369">
        <v>75.59</v>
      </c>
      <c r="I1022" s="215" t="s">
        <v>76</v>
      </c>
      <c r="J1022" s="215" t="s">
        <v>102</v>
      </c>
      <c r="K1022" s="266">
        <v>49081164676</v>
      </c>
      <c r="L1022" s="265" t="s">
        <v>649</v>
      </c>
      <c r="M1022" s="266">
        <v>40049081164674</v>
      </c>
      <c r="N1022" s="264">
        <v>1.6830000000000001</v>
      </c>
      <c r="O1022" s="265" t="s">
        <v>649</v>
      </c>
      <c r="P1022" s="265">
        <v>5.42</v>
      </c>
      <c r="Q1022" s="265">
        <v>0.5</v>
      </c>
    </row>
    <row r="1023" spans="1:17" ht="15" customHeight="1">
      <c r="A1023" s="147">
        <v>1040</v>
      </c>
      <c r="B1023" s="51" t="s">
        <v>24</v>
      </c>
      <c r="C1023" s="51" t="s">
        <v>5484</v>
      </c>
      <c r="D1023" s="51">
        <v>100028036</v>
      </c>
      <c r="E1023" s="53" t="s">
        <v>5485</v>
      </c>
      <c r="F1023" s="124">
        <v>10</v>
      </c>
      <c r="G1023" s="124">
        <v>750</v>
      </c>
      <c r="H1023" s="369">
        <v>116.67</v>
      </c>
      <c r="I1023" s="215" t="s">
        <v>346</v>
      </c>
      <c r="J1023" s="215" t="s">
        <v>102</v>
      </c>
      <c r="K1023" s="266">
        <v>49081164690</v>
      </c>
      <c r="L1023" s="265" t="s">
        <v>649</v>
      </c>
      <c r="M1023" s="266">
        <v>40049081164698</v>
      </c>
      <c r="N1023" s="264">
        <v>2.3839999999999999</v>
      </c>
      <c r="O1023" s="265" t="s">
        <v>649</v>
      </c>
      <c r="P1023" s="265">
        <v>15.52</v>
      </c>
      <c r="Q1023" s="265">
        <v>0.95</v>
      </c>
    </row>
    <row r="1024" spans="1:17" ht="15" customHeight="1">
      <c r="A1024" s="147">
        <v>1041</v>
      </c>
      <c r="B1024" s="51" t="s">
        <v>24</v>
      </c>
      <c r="C1024" s="51" t="s">
        <v>5486</v>
      </c>
      <c r="D1024" s="51">
        <v>100028038</v>
      </c>
      <c r="E1024" s="53" t="s">
        <v>5487</v>
      </c>
      <c r="F1024" s="124">
        <v>5</v>
      </c>
      <c r="G1024" s="124">
        <v>600</v>
      </c>
      <c r="H1024" s="369">
        <v>128.9</v>
      </c>
      <c r="I1024" s="215" t="s">
        <v>76</v>
      </c>
      <c r="J1024" s="215" t="s">
        <v>102</v>
      </c>
      <c r="K1024" s="266">
        <v>49081164805</v>
      </c>
      <c r="L1024" s="265" t="s">
        <v>649</v>
      </c>
      <c r="M1024" s="266">
        <v>40049081164803</v>
      </c>
      <c r="N1024" s="264">
        <v>1.7949999999999999</v>
      </c>
      <c r="O1024" s="265" t="s">
        <v>649</v>
      </c>
      <c r="P1024" s="265">
        <v>9.75</v>
      </c>
      <c r="Q1024" s="265">
        <v>0.65</v>
      </c>
    </row>
    <row r="1025" spans="1:17" ht="15" customHeight="1">
      <c r="A1025" s="147">
        <v>1042</v>
      </c>
      <c r="B1025" s="51" t="s">
        <v>24</v>
      </c>
      <c r="C1025" s="51" t="s">
        <v>5488</v>
      </c>
      <c r="D1025" s="51">
        <v>100028039</v>
      </c>
      <c r="E1025" s="53" t="s">
        <v>5489</v>
      </c>
      <c r="F1025" s="124">
        <v>5</v>
      </c>
      <c r="G1025" s="124">
        <v>600</v>
      </c>
      <c r="H1025" s="369">
        <v>128.9</v>
      </c>
      <c r="I1025" s="215" t="s">
        <v>76</v>
      </c>
      <c r="J1025" s="215" t="s">
        <v>102</v>
      </c>
      <c r="K1025" s="266">
        <v>49081164713</v>
      </c>
      <c r="L1025" s="265" t="s">
        <v>649</v>
      </c>
      <c r="M1025" s="266">
        <v>40049081164711</v>
      </c>
      <c r="N1025" s="264">
        <v>1.7669999999999999</v>
      </c>
      <c r="O1025" s="265" t="s">
        <v>649</v>
      </c>
      <c r="P1025" s="265">
        <v>7.8</v>
      </c>
      <c r="Q1025" s="265">
        <v>0.65</v>
      </c>
    </row>
    <row r="1026" spans="1:17" ht="15" customHeight="1">
      <c r="A1026" s="147">
        <v>1043</v>
      </c>
      <c r="B1026" s="51" t="s">
        <v>24</v>
      </c>
      <c r="C1026" s="51" t="s">
        <v>5490</v>
      </c>
      <c r="D1026" s="51">
        <v>100028041</v>
      </c>
      <c r="E1026" s="53" t="s">
        <v>5491</v>
      </c>
      <c r="F1026" s="124">
        <v>4</v>
      </c>
      <c r="G1026" s="124">
        <v>360</v>
      </c>
      <c r="H1026" s="369">
        <v>163.13</v>
      </c>
      <c r="I1026" s="215" t="s">
        <v>76</v>
      </c>
      <c r="J1026" s="215" t="s">
        <v>102</v>
      </c>
      <c r="K1026" s="266">
        <v>49081164829</v>
      </c>
      <c r="L1026" s="265" t="s">
        <v>649</v>
      </c>
      <c r="M1026" s="266">
        <v>40049081164827</v>
      </c>
      <c r="N1026" s="264">
        <v>3.032</v>
      </c>
      <c r="O1026" s="265" t="s">
        <v>649</v>
      </c>
      <c r="P1026" s="265">
        <v>12.35</v>
      </c>
      <c r="Q1026" s="265">
        <v>0.8</v>
      </c>
    </row>
    <row r="1027" spans="1:17" ht="15" customHeight="1">
      <c r="A1027" s="147">
        <v>1044</v>
      </c>
      <c r="B1027" s="51" t="s">
        <v>24</v>
      </c>
      <c r="C1027" s="51" t="s">
        <v>5492</v>
      </c>
      <c r="D1027" s="51">
        <v>100028042</v>
      </c>
      <c r="E1027" s="53" t="s">
        <v>5493</v>
      </c>
      <c r="F1027" s="124">
        <v>4</v>
      </c>
      <c r="G1027" s="124">
        <v>360</v>
      </c>
      <c r="H1027" s="369">
        <v>163.13</v>
      </c>
      <c r="I1027" s="215" t="s">
        <v>346</v>
      </c>
      <c r="J1027" s="215" t="s">
        <v>102</v>
      </c>
      <c r="K1027" s="266">
        <v>49081164737</v>
      </c>
      <c r="L1027" s="265" t="s">
        <v>649</v>
      </c>
      <c r="M1027" s="266">
        <v>40049081164735</v>
      </c>
      <c r="N1027" s="264">
        <v>3.0110000000000001</v>
      </c>
      <c r="O1027" s="265" t="s">
        <v>649</v>
      </c>
      <c r="P1027" s="265">
        <v>12</v>
      </c>
      <c r="Q1027" s="265">
        <v>0.8</v>
      </c>
    </row>
    <row r="1028" spans="1:17" ht="15" customHeight="1">
      <c r="A1028" s="147">
        <v>1045</v>
      </c>
      <c r="B1028" s="51" t="s">
        <v>24</v>
      </c>
      <c r="C1028" s="51" t="s">
        <v>5494</v>
      </c>
      <c r="D1028" s="51">
        <v>100028044</v>
      </c>
      <c r="E1028" s="53" t="s">
        <v>5495</v>
      </c>
      <c r="F1028" s="124">
        <v>2</v>
      </c>
      <c r="G1028" s="124">
        <v>180</v>
      </c>
      <c r="H1028" s="369">
        <v>256.57</v>
      </c>
      <c r="I1028" s="215" t="s">
        <v>76</v>
      </c>
      <c r="J1028" s="215" t="s">
        <v>102</v>
      </c>
      <c r="K1028" s="266">
        <v>49081164836</v>
      </c>
      <c r="L1028" s="265" t="s">
        <v>649</v>
      </c>
      <c r="M1028" s="266">
        <v>40049081164834</v>
      </c>
      <c r="N1028" s="264">
        <v>5.7060000000000004</v>
      </c>
      <c r="O1028" s="265" t="s">
        <v>649</v>
      </c>
      <c r="P1028" s="265">
        <v>8.02</v>
      </c>
      <c r="Q1028" s="265">
        <v>0.8</v>
      </c>
    </row>
    <row r="1029" spans="1:17" ht="15" customHeight="1">
      <c r="A1029" s="147">
        <v>1046</v>
      </c>
      <c r="B1029" s="51" t="s">
        <v>24</v>
      </c>
      <c r="C1029" s="51" t="s">
        <v>5496</v>
      </c>
      <c r="D1029" s="51">
        <v>100028045</v>
      </c>
      <c r="E1029" s="53" t="s">
        <v>5497</v>
      </c>
      <c r="F1029" s="124">
        <v>2</v>
      </c>
      <c r="G1029" s="124">
        <v>180</v>
      </c>
      <c r="H1029" s="369">
        <v>256.57</v>
      </c>
      <c r="I1029" s="215" t="s">
        <v>816</v>
      </c>
      <c r="J1029" s="215" t="s">
        <v>77</v>
      </c>
      <c r="K1029" s="266">
        <v>49081164751</v>
      </c>
      <c r="L1029" s="265" t="s">
        <v>649</v>
      </c>
      <c r="M1029" s="266">
        <v>40049081164759</v>
      </c>
      <c r="N1029" s="264">
        <v>3.7250000000000001</v>
      </c>
      <c r="O1029" s="265" t="s">
        <v>649</v>
      </c>
      <c r="P1029" s="265">
        <v>7.45</v>
      </c>
      <c r="Q1029" s="265">
        <v>0.8</v>
      </c>
    </row>
    <row r="1030" spans="1:17" ht="15" customHeight="1">
      <c r="A1030" s="147">
        <v>1047</v>
      </c>
      <c r="B1030" s="51" t="s">
        <v>24</v>
      </c>
      <c r="C1030" s="51" t="s">
        <v>5498</v>
      </c>
      <c r="D1030" s="51">
        <v>100028047</v>
      </c>
      <c r="E1030" s="53" t="s">
        <v>5499</v>
      </c>
      <c r="F1030" s="124">
        <v>2</v>
      </c>
      <c r="G1030" s="124">
        <v>150</v>
      </c>
      <c r="H1030" s="369">
        <v>256.57</v>
      </c>
      <c r="I1030" s="215" t="s">
        <v>76</v>
      </c>
      <c r="J1030" s="215" t="s">
        <v>102</v>
      </c>
      <c r="K1030" s="266">
        <v>49081164843</v>
      </c>
      <c r="L1030" s="265" t="s">
        <v>649</v>
      </c>
      <c r="M1030" s="266">
        <v>40049081164841</v>
      </c>
      <c r="N1030" s="264">
        <v>4.8659999999999997</v>
      </c>
      <c r="O1030" s="265" t="s">
        <v>649</v>
      </c>
      <c r="P1030" s="265">
        <v>10.53</v>
      </c>
      <c r="Q1030" s="265">
        <v>0.95</v>
      </c>
    </row>
    <row r="1031" spans="1:17" ht="15" customHeight="1">
      <c r="A1031" s="147">
        <v>1048</v>
      </c>
      <c r="B1031" s="51" t="s">
        <v>24</v>
      </c>
      <c r="C1031" s="51" t="s">
        <v>5500</v>
      </c>
      <c r="D1031" s="51">
        <v>100028048</v>
      </c>
      <c r="E1031" s="53" t="s">
        <v>5501</v>
      </c>
      <c r="F1031" s="124">
        <v>2</v>
      </c>
      <c r="G1031" s="124">
        <v>150</v>
      </c>
      <c r="H1031" s="369">
        <v>256.57</v>
      </c>
      <c r="I1031" s="215" t="s">
        <v>346</v>
      </c>
      <c r="J1031" s="215" t="s">
        <v>102</v>
      </c>
      <c r="K1031" s="266">
        <v>49081164775</v>
      </c>
      <c r="L1031" s="265" t="s">
        <v>649</v>
      </c>
      <c r="M1031" s="266">
        <v>40049081164773</v>
      </c>
      <c r="N1031" s="264">
        <v>7.6859999999999999</v>
      </c>
      <c r="O1031" s="265" t="s">
        <v>649</v>
      </c>
      <c r="P1031" s="265">
        <v>10.050000000000001</v>
      </c>
      <c r="Q1031" s="265">
        <v>0.95</v>
      </c>
    </row>
    <row r="1032" spans="1:17" ht="15" customHeight="1">
      <c r="A1032" s="147">
        <v>1049</v>
      </c>
      <c r="B1032" s="51" t="s">
        <v>24</v>
      </c>
      <c r="C1032" s="51" t="s">
        <v>5502</v>
      </c>
      <c r="D1032" s="51">
        <v>100028050</v>
      </c>
      <c r="E1032" s="53" t="s">
        <v>5503</v>
      </c>
      <c r="F1032" s="124">
        <v>1</v>
      </c>
      <c r="G1032" s="124">
        <v>75</v>
      </c>
      <c r="H1032" s="369">
        <v>417.68</v>
      </c>
      <c r="I1032" s="215" t="s">
        <v>346</v>
      </c>
      <c r="J1032" s="215" t="s">
        <v>102</v>
      </c>
      <c r="K1032" s="266">
        <v>49081164867</v>
      </c>
      <c r="L1032" s="265" t="s">
        <v>649</v>
      </c>
      <c r="M1032" s="266">
        <v>40049081164865</v>
      </c>
      <c r="N1032" s="264">
        <v>9.7240000000000002</v>
      </c>
      <c r="O1032" s="265" t="s">
        <v>649</v>
      </c>
      <c r="P1032" s="265">
        <v>10.7</v>
      </c>
      <c r="Q1032" s="265">
        <v>1.1000000000000001</v>
      </c>
    </row>
    <row r="1033" spans="1:17" ht="15" customHeight="1">
      <c r="A1033" s="147">
        <v>1050</v>
      </c>
      <c r="B1033" s="51" t="s">
        <v>24</v>
      </c>
      <c r="C1033" s="51" t="s">
        <v>5504</v>
      </c>
      <c r="D1033" s="51">
        <v>100028051</v>
      </c>
      <c r="E1033" s="53" t="s">
        <v>5505</v>
      </c>
      <c r="F1033" s="124">
        <v>1</v>
      </c>
      <c r="G1033" s="124">
        <v>75</v>
      </c>
      <c r="H1033" s="369">
        <v>417.68</v>
      </c>
      <c r="I1033" s="215" t="s">
        <v>346</v>
      </c>
      <c r="J1033" s="215" t="s">
        <v>102</v>
      </c>
      <c r="K1033" s="266">
        <v>49081164799</v>
      </c>
      <c r="L1033" s="265" t="s">
        <v>649</v>
      </c>
      <c r="M1033" s="266">
        <v>40049081164797</v>
      </c>
      <c r="N1033" s="264">
        <v>9.7230000000000008</v>
      </c>
      <c r="O1033" s="265" t="s">
        <v>649</v>
      </c>
      <c r="P1033" s="265">
        <v>10.08</v>
      </c>
      <c r="Q1033" s="265">
        <v>1.1000000000000001</v>
      </c>
    </row>
    <row r="1034" spans="1:17" ht="15" customHeight="1">
      <c r="A1034" s="147">
        <v>1051</v>
      </c>
      <c r="B1034" s="51" t="s">
        <v>24</v>
      </c>
      <c r="C1034" s="51" t="s">
        <v>5506</v>
      </c>
      <c r="D1034" s="51">
        <v>100028054</v>
      </c>
      <c r="E1034" s="53" t="s">
        <v>5507</v>
      </c>
      <c r="F1034" s="124">
        <v>5</v>
      </c>
      <c r="G1034" s="124">
        <v>750</v>
      </c>
      <c r="H1034" s="369">
        <v>75.59</v>
      </c>
      <c r="I1034" s="215" t="s">
        <v>346</v>
      </c>
      <c r="J1034" s="215" t="s">
        <v>102</v>
      </c>
      <c r="K1034" s="266">
        <v>49081160517</v>
      </c>
      <c r="L1034" s="265" t="s">
        <v>649</v>
      </c>
      <c r="M1034" s="266">
        <v>40049081160515</v>
      </c>
      <c r="N1034" s="264">
        <v>1.67</v>
      </c>
      <c r="O1034" s="265" t="s">
        <v>649</v>
      </c>
      <c r="P1034" s="265">
        <v>5.36</v>
      </c>
      <c r="Q1034" s="265">
        <v>0.5</v>
      </c>
    </row>
    <row r="1035" spans="1:17" ht="15" customHeight="1">
      <c r="A1035" s="147">
        <v>1052</v>
      </c>
      <c r="B1035" s="51" t="s">
        <v>24</v>
      </c>
      <c r="C1035" s="51" t="s">
        <v>5508</v>
      </c>
      <c r="D1035" s="51">
        <v>100028057</v>
      </c>
      <c r="E1035" s="53" t="s">
        <v>5509</v>
      </c>
      <c r="F1035" s="124">
        <v>10</v>
      </c>
      <c r="G1035" s="124">
        <v>750</v>
      </c>
      <c r="H1035" s="369">
        <v>116.67</v>
      </c>
      <c r="I1035" s="215" t="s">
        <v>346</v>
      </c>
      <c r="J1035" s="215" t="s">
        <v>102</v>
      </c>
      <c r="K1035" s="266">
        <v>49081160524</v>
      </c>
      <c r="L1035" s="265" t="s">
        <v>649</v>
      </c>
      <c r="M1035" s="266">
        <v>40049081165022</v>
      </c>
      <c r="N1035" s="264">
        <v>2.37</v>
      </c>
      <c r="O1035" s="265" t="s">
        <v>649</v>
      </c>
      <c r="P1035" s="265">
        <v>15.16</v>
      </c>
      <c r="Q1035" s="265">
        <v>0.95</v>
      </c>
    </row>
    <row r="1036" spans="1:17" ht="15" customHeight="1">
      <c r="A1036" s="147">
        <v>1053</v>
      </c>
      <c r="B1036" s="51" t="s">
        <v>24</v>
      </c>
      <c r="C1036" s="51" t="s">
        <v>5510</v>
      </c>
      <c r="D1036" s="51">
        <v>100028060</v>
      </c>
      <c r="E1036" s="53" t="s">
        <v>5511</v>
      </c>
      <c r="F1036" s="124">
        <v>5</v>
      </c>
      <c r="G1036" s="124">
        <v>600</v>
      </c>
      <c r="H1036" s="369">
        <v>128.9</v>
      </c>
      <c r="I1036" s="215" t="s">
        <v>346</v>
      </c>
      <c r="J1036" s="215" t="s">
        <v>102</v>
      </c>
      <c r="K1036" s="266">
        <v>49081160531</v>
      </c>
      <c r="L1036" s="265" t="s">
        <v>649</v>
      </c>
      <c r="M1036" s="266">
        <v>40049081160539</v>
      </c>
      <c r="N1036" s="264">
        <v>3.0880000000000001</v>
      </c>
      <c r="O1036" s="265" t="s">
        <v>649</v>
      </c>
      <c r="P1036" s="265">
        <v>10.130000000000001</v>
      </c>
      <c r="Q1036" s="265">
        <v>0.65</v>
      </c>
    </row>
    <row r="1037" spans="1:17" ht="15" customHeight="1">
      <c r="A1037" s="147">
        <v>1054</v>
      </c>
      <c r="B1037" s="51" t="s">
        <v>24</v>
      </c>
      <c r="C1037" s="51" t="s">
        <v>5512</v>
      </c>
      <c r="D1037" s="51">
        <v>100028063</v>
      </c>
      <c r="E1037" s="53" t="s">
        <v>5513</v>
      </c>
      <c r="F1037" s="124">
        <v>4</v>
      </c>
      <c r="G1037" s="124">
        <v>360</v>
      </c>
      <c r="H1037" s="369">
        <v>163.13</v>
      </c>
      <c r="I1037" s="215" t="s">
        <v>346</v>
      </c>
      <c r="J1037" s="215" t="s">
        <v>102</v>
      </c>
      <c r="K1037" s="266">
        <v>49081160548</v>
      </c>
      <c r="L1037" s="265" t="s">
        <v>649</v>
      </c>
      <c r="M1037" s="266">
        <v>40049081160546</v>
      </c>
      <c r="N1037" s="264">
        <v>3.0129999999999999</v>
      </c>
      <c r="O1037" s="265" t="s">
        <v>649</v>
      </c>
      <c r="P1037" s="265">
        <v>12.06</v>
      </c>
      <c r="Q1037" s="265">
        <v>0.8</v>
      </c>
    </row>
    <row r="1038" spans="1:17" ht="15" customHeight="1">
      <c r="A1038" s="147">
        <v>1055</v>
      </c>
      <c r="B1038" s="51" t="s">
        <v>24</v>
      </c>
      <c r="C1038" s="51" t="s">
        <v>5514</v>
      </c>
      <c r="D1038" s="51">
        <v>100028066</v>
      </c>
      <c r="E1038" s="53" t="s">
        <v>5515</v>
      </c>
      <c r="F1038" s="124">
        <v>2</v>
      </c>
      <c r="G1038" s="124">
        <v>180</v>
      </c>
      <c r="H1038" s="369">
        <v>256.57</v>
      </c>
      <c r="I1038" s="215" t="s">
        <v>346</v>
      </c>
      <c r="J1038" s="215" t="s">
        <v>102</v>
      </c>
      <c r="K1038" s="266">
        <v>49081160555</v>
      </c>
      <c r="L1038" s="265" t="s">
        <v>649</v>
      </c>
      <c r="M1038" s="266">
        <v>40049081160553</v>
      </c>
      <c r="N1038" s="264">
        <v>6.2460000000000004</v>
      </c>
      <c r="O1038" s="265" t="s">
        <v>649</v>
      </c>
      <c r="P1038" s="265">
        <v>8.4499999999999993</v>
      </c>
      <c r="Q1038" s="265">
        <v>0.8</v>
      </c>
    </row>
    <row r="1039" spans="1:17" ht="15" customHeight="1">
      <c r="A1039" s="147">
        <v>1056</v>
      </c>
      <c r="B1039" s="51" t="s">
        <v>24</v>
      </c>
      <c r="C1039" s="51" t="s">
        <v>5516</v>
      </c>
      <c r="D1039" s="51">
        <v>100028068</v>
      </c>
      <c r="E1039" s="53" t="s">
        <v>5517</v>
      </c>
      <c r="F1039" s="124">
        <v>2</v>
      </c>
      <c r="G1039" s="124">
        <v>150</v>
      </c>
      <c r="H1039" s="369">
        <v>256.57</v>
      </c>
      <c r="I1039" s="215" t="s">
        <v>76</v>
      </c>
      <c r="J1039" s="215" t="s">
        <v>102</v>
      </c>
      <c r="K1039" s="266">
        <v>49081165369</v>
      </c>
      <c r="L1039" s="265" t="s">
        <v>649</v>
      </c>
      <c r="M1039" s="266">
        <v>40049081165367</v>
      </c>
      <c r="N1039" s="264">
        <v>4.74</v>
      </c>
      <c r="O1039" s="265" t="s">
        <v>649</v>
      </c>
      <c r="P1039" s="265">
        <v>9.85</v>
      </c>
      <c r="Q1039" s="265">
        <v>0.95</v>
      </c>
    </row>
    <row r="1040" spans="1:17" ht="15" customHeight="1">
      <c r="A1040" s="147">
        <v>1057</v>
      </c>
      <c r="B1040" s="51" t="s">
        <v>24</v>
      </c>
      <c r="C1040" s="51" t="s">
        <v>5518</v>
      </c>
      <c r="D1040" s="51">
        <v>100028069</v>
      </c>
      <c r="E1040" s="53" t="s">
        <v>5519</v>
      </c>
      <c r="F1040" s="124">
        <v>2</v>
      </c>
      <c r="G1040" s="124">
        <v>150</v>
      </c>
      <c r="H1040" s="369">
        <v>256.57</v>
      </c>
      <c r="I1040" s="215" t="s">
        <v>346</v>
      </c>
      <c r="J1040" s="215" t="s">
        <v>102</v>
      </c>
      <c r="K1040" s="266">
        <v>49081160562</v>
      </c>
      <c r="L1040" s="265" t="s">
        <v>649</v>
      </c>
      <c r="M1040" s="266">
        <v>40049081160560</v>
      </c>
      <c r="N1040" s="264">
        <v>4.7110000000000003</v>
      </c>
      <c r="O1040" s="265" t="s">
        <v>649</v>
      </c>
      <c r="P1040" s="265">
        <v>9.92</v>
      </c>
      <c r="Q1040" s="265">
        <v>0.95</v>
      </c>
    </row>
    <row r="1041" spans="1:17" ht="15" customHeight="1">
      <c r="A1041" s="147">
        <v>1058</v>
      </c>
      <c r="B1041" s="51" t="s">
        <v>24</v>
      </c>
      <c r="C1041" s="51" t="s">
        <v>5520</v>
      </c>
      <c r="D1041" s="51">
        <v>100028072</v>
      </c>
      <c r="E1041" s="53" t="s">
        <v>5521</v>
      </c>
      <c r="F1041" s="124">
        <v>1</v>
      </c>
      <c r="G1041" s="124">
        <v>75</v>
      </c>
      <c r="H1041" s="369">
        <v>417.68</v>
      </c>
      <c r="I1041" s="215" t="s">
        <v>346</v>
      </c>
      <c r="J1041" s="215" t="s">
        <v>102</v>
      </c>
      <c r="K1041" s="266">
        <v>49081160579</v>
      </c>
      <c r="L1041" s="265" t="s">
        <v>649</v>
      </c>
      <c r="M1041" s="266">
        <v>40049081160577</v>
      </c>
      <c r="N1041" s="264">
        <v>14.032999999999999</v>
      </c>
      <c r="O1041" s="265" t="s">
        <v>649</v>
      </c>
      <c r="P1041" s="265">
        <v>9.94</v>
      </c>
      <c r="Q1041" s="265">
        <v>1.1000000000000001</v>
      </c>
    </row>
    <row r="1042" spans="1:17" ht="15" customHeight="1">
      <c r="A1042" s="147">
        <v>1059</v>
      </c>
      <c r="B1042" s="51" t="s">
        <v>25</v>
      </c>
      <c r="C1042" s="51" t="s">
        <v>5522</v>
      </c>
      <c r="D1042" s="51">
        <v>100027973</v>
      </c>
      <c r="E1042" s="53" t="s">
        <v>5523</v>
      </c>
      <c r="F1042" s="124">
        <v>2</v>
      </c>
      <c r="G1042" s="124" t="s">
        <v>649</v>
      </c>
      <c r="H1042" s="369">
        <v>1182.25</v>
      </c>
      <c r="I1042" s="215" t="s">
        <v>346</v>
      </c>
      <c r="J1042" s="215" t="s">
        <v>102</v>
      </c>
      <c r="K1042" s="266">
        <v>49081165437</v>
      </c>
      <c r="L1042" s="265" t="s">
        <v>649</v>
      </c>
      <c r="M1042" s="266">
        <v>40049081165435</v>
      </c>
      <c r="N1042" s="264">
        <v>14.025</v>
      </c>
      <c r="O1042" s="265" t="s">
        <v>649</v>
      </c>
      <c r="P1042" s="265">
        <v>28.05</v>
      </c>
      <c r="Q1042" s="265">
        <v>1.25</v>
      </c>
    </row>
    <row r="1043" spans="1:17" ht="15" customHeight="1">
      <c r="A1043" s="147">
        <v>1060</v>
      </c>
      <c r="B1043" s="51" t="s">
        <v>25</v>
      </c>
      <c r="C1043" s="51" t="s">
        <v>5524</v>
      </c>
      <c r="D1043" s="51">
        <v>100023466</v>
      </c>
      <c r="E1043" s="53" t="s">
        <v>5525</v>
      </c>
      <c r="F1043" s="124">
        <v>2</v>
      </c>
      <c r="G1043" s="124" t="s">
        <v>649</v>
      </c>
      <c r="H1043" s="369">
        <v>1841.29</v>
      </c>
      <c r="I1043" s="215" t="s">
        <v>346</v>
      </c>
      <c r="J1043" s="215" t="s">
        <v>102</v>
      </c>
      <c r="K1043" s="266">
        <v>49081164515</v>
      </c>
      <c r="L1043" s="265" t="s">
        <v>649</v>
      </c>
      <c r="M1043" s="266">
        <v>40049081164513</v>
      </c>
      <c r="N1043" s="264">
        <v>20.87</v>
      </c>
      <c r="O1043" s="265" t="s">
        <v>649</v>
      </c>
      <c r="P1043" s="265">
        <v>42.22</v>
      </c>
      <c r="Q1043" s="265">
        <v>3.96</v>
      </c>
    </row>
    <row r="1044" spans="1:17" ht="15" customHeight="1">
      <c r="A1044" s="147">
        <v>1061</v>
      </c>
      <c r="B1044" s="51" t="s">
        <v>25</v>
      </c>
      <c r="C1044" s="51" t="s">
        <v>5526</v>
      </c>
      <c r="D1044" s="51">
        <v>100027974</v>
      </c>
      <c r="E1044" s="53" t="s">
        <v>5527</v>
      </c>
      <c r="F1044" s="124">
        <v>4</v>
      </c>
      <c r="G1044" s="124" t="s">
        <v>649</v>
      </c>
      <c r="H1044" s="369">
        <v>1841.29</v>
      </c>
      <c r="I1044" s="215" t="s">
        <v>346</v>
      </c>
      <c r="J1044" s="215" t="s">
        <v>102</v>
      </c>
      <c r="K1044" s="266">
        <v>49081165444</v>
      </c>
      <c r="L1044" s="265" t="s">
        <v>649</v>
      </c>
      <c r="M1044" s="266">
        <v>40049081165442</v>
      </c>
      <c r="N1044" s="264">
        <v>11.81</v>
      </c>
      <c r="O1044" s="265" t="s">
        <v>649</v>
      </c>
      <c r="P1044" s="265">
        <v>79.3</v>
      </c>
      <c r="Q1044" s="265">
        <v>3.96</v>
      </c>
    </row>
    <row r="1045" spans="1:17" ht="15" customHeight="1">
      <c r="A1045" s="147">
        <v>1062</v>
      </c>
      <c r="B1045" s="51" t="s">
        <v>25</v>
      </c>
      <c r="C1045" s="51" t="s">
        <v>5528</v>
      </c>
      <c r="D1045" s="51">
        <v>100027976</v>
      </c>
      <c r="E1045" s="53" t="s">
        <v>5529</v>
      </c>
      <c r="F1045" s="124">
        <v>1</v>
      </c>
      <c r="G1045" s="124" t="s">
        <v>649</v>
      </c>
      <c r="H1045" s="369">
        <v>540.80999999999995</v>
      </c>
      <c r="I1045" s="215" t="s">
        <v>76</v>
      </c>
      <c r="J1045" s="215" t="s">
        <v>102</v>
      </c>
      <c r="K1045" s="266">
        <v>49081164881</v>
      </c>
      <c r="L1045" s="265" t="s">
        <v>649</v>
      </c>
      <c r="M1045" s="266">
        <v>40049081164889</v>
      </c>
      <c r="N1045" s="264">
        <v>15.010999999999999</v>
      </c>
      <c r="O1045" s="265" t="s">
        <v>649</v>
      </c>
      <c r="P1045" s="265">
        <v>16.34</v>
      </c>
      <c r="Q1045" s="265">
        <v>1.25</v>
      </c>
    </row>
    <row r="1046" spans="1:17" ht="15" customHeight="1">
      <c r="A1046" s="147">
        <v>1063</v>
      </c>
      <c r="B1046" s="51" t="s">
        <v>25</v>
      </c>
      <c r="C1046" s="51" t="s">
        <v>5530</v>
      </c>
      <c r="D1046" s="51">
        <v>100027977</v>
      </c>
      <c r="E1046" s="53" t="s">
        <v>5531</v>
      </c>
      <c r="F1046" s="124">
        <v>1</v>
      </c>
      <c r="G1046" s="124" t="s">
        <v>649</v>
      </c>
      <c r="H1046" s="369">
        <v>540.80999999999995</v>
      </c>
      <c r="I1046" s="215" t="s">
        <v>346</v>
      </c>
      <c r="J1046" s="215" t="s">
        <v>102</v>
      </c>
      <c r="K1046" s="266">
        <v>49081164812</v>
      </c>
      <c r="L1046" s="265" t="s">
        <v>649</v>
      </c>
      <c r="M1046" s="266">
        <v>40049081164810</v>
      </c>
      <c r="N1046" s="264">
        <v>15.93</v>
      </c>
      <c r="O1046" s="265" t="s">
        <v>649</v>
      </c>
      <c r="P1046" s="265">
        <v>16.03</v>
      </c>
      <c r="Q1046" s="265">
        <v>1.25</v>
      </c>
    </row>
    <row r="1047" spans="1:17" ht="15" customHeight="1">
      <c r="A1047" s="147">
        <v>1064</v>
      </c>
      <c r="B1047" s="51" t="s">
        <v>25</v>
      </c>
      <c r="C1047" s="51" t="s">
        <v>5532</v>
      </c>
      <c r="D1047" s="51">
        <v>100027979</v>
      </c>
      <c r="E1047" s="53" t="s">
        <v>5533</v>
      </c>
      <c r="F1047" s="124">
        <v>2</v>
      </c>
      <c r="G1047" s="124" t="s">
        <v>649</v>
      </c>
      <c r="H1047" s="369">
        <v>583.04999999999995</v>
      </c>
      <c r="I1047" s="215" t="s">
        <v>76</v>
      </c>
      <c r="J1047" s="215" t="s">
        <v>102</v>
      </c>
      <c r="K1047" s="266">
        <v>49081164904</v>
      </c>
      <c r="L1047" s="265" t="s">
        <v>649</v>
      </c>
      <c r="M1047" s="266">
        <v>40049081164902</v>
      </c>
      <c r="N1047" s="264">
        <v>20.725999999999999</v>
      </c>
      <c r="O1047" s="265" t="s">
        <v>649</v>
      </c>
      <c r="P1047" s="265">
        <v>44.16</v>
      </c>
      <c r="Q1047" s="265">
        <v>4.38</v>
      </c>
    </row>
    <row r="1048" spans="1:17" ht="15" customHeight="1">
      <c r="A1048" s="147">
        <v>1065</v>
      </c>
      <c r="B1048" s="51" t="s">
        <v>25</v>
      </c>
      <c r="C1048" s="51" t="s">
        <v>5534</v>
      </c>
      <c r="D1048" s="51">
        <v>100027980</v>
      </c>
      <c r="E1048" s="53" t="s">
        <v>5535</v>
      </c>
      <c r="F1048" s="124">
        <v>2</v>
      </c>
      <c r="G1048" s="124" t="s">
        <v>649</v>
      </c>
      <c r="H1048" s="369">
        <v>583.04999999999995</v>
      </c>
      <c r="I1048" s="215" t="s">
        <v>346</v>
      </c>
      <c r="J1048" s="215" t="s">
        <v>102</v>
      </c>
      <c r="K1048" s="266">
        <v>49081164850</v>
      </c>
      <c r="L1048" s="265" t="s">
        <v>649</v>
      </c>
      <c r="M1048" s="266">
        <v>40049081164858</v>
      </c>
      <c r="N1048" s="264">
        <v>20.504000000000001</v>
      </c>
      <c r="O1048" s="265" t="s">
        <v>649</v>
      </c>
      <c r="P1048" s="265">
        <v>42.44</v>
      </c>
      <c r="Q1048" s="265">
        <v>3.96</v>
      </c>
    </row>
    <row r="1049" spans="1:17" ht="15" customHeight="1">
      <c r="A1049" s="147">
        <v>1066</v>
      </c>
      <c r="B1049" s="51" t="s">
        <v>25</v>
      </c>
      <c r="C1049" s="51" t="s">
        <v>5536</v>
      </c>
      <c r="D1049" s="51">
        <v>100027983</v>
      </c>
      <c r="E1049" s="53" t="s">
        <v>5537</v>
      </c>
      <c r="F1049" s="124">
        <v>1</v>
      </c>
      <c r="G1049" s="124" t="s">
        <v>649</v>
      </c>
      <c r="H1049" s="369">
        <v>540.80999999999995</v>
      </c>
      <c r="I1049" s="215" t="s">
        <v>346</v>
      </c>
      <c r="J1049" s="215" t="s">
        <v>102</v>
      </c>
      <c r="K1049" s="266">
        <v>49081160586</v>
      </c>
      <c r="L1049" s="265" t="s">
        <v>649</v>
      </c>
      <c r="M1049" s="266">
        <v>40049081160584</v>
      </c>
      <c r="N1049" s="264">
        <v>20.381</v>
      </c>
      <c r="O1049" s="265" t="s">
        <v>649</v>
      </c>
      <c r="P1049" s="265">
        <v>14.76</v>
      </c>
      <c r="Q1049" s="265">
        <v>1.25</v>
      </c>
    </row>
    <row r="1050" spans="1:17" ht="15" customHeight="1">
      <c r="A1050" s="147">
        <v>1067</v>
      </c>
      <c r="B1050" s="51" t="s">
        <v>25</v>
      </c>
      <c r="C1050" s="51" t="s">
        <v>5538</v>
      </c>
      <c r="D1050" s="51">
        <v>100027986</v>
      </c>
      <c r="E1050" s="53" t="s">
        <v>5539</v>
      </c>
      <c r="F1050" s="124">
        <v>2</v>
      </c>
      <c r="G1050" s="124" t="s">
        <v>649</v>
      </c>
      <c r="H1050" s="369">
        <v>583.04999999999995</v>
      </c>
      <c r="I1050" s="215" t="s">
        <v>346</v>
      </c>
      <c r="J1050" s="215" t="s">
        <v>102</v>
      </c>
      <c r="K1050" s="266">
        <v>49081160593</v>
      </c>
      <c r="L1050" s="265" t="s">
        <v>649</v>
      </c>
      <c r="M1050" s="266">
        <v>40049081160591</v>
      </c>
      <c r="N1050" s="264">
        <v>8.0500000000000007</v>
      </c>
      <c r="O1050" s="265" t="s">
        <v>649</v>
      </c>
      <c r="P1050" s="265">
        <v>22.4</v>
      </c>
      <c r="Q1050" s="265">
        <v>3.96</v>
      </c>
    </row>
    <row r="1051" spans="1:17" ht="15" customHeight="1">
      <c r="A1051" s="147">
        <v>1068</v>
      </c>
      <c r="B1051" s="51" t="s">
        <v>28</v>
      </c>
      <c r="C1051" s="51" t="s">
        <v>5540</v>
      </c>
      <c r="D1051" s="51">
        <v>300006054</v>
      </c>
      <c r="E1051" s="53" t="s">
        <v>5541</v>
      </c>
      <c r="F1051" s="124">
        <v>500</v>
      </c>
      <c r="G1051" s="124" t="s">
        <v>649</v>
      </c>
      <c r="H1051" s="486" t="s">
        <v>5866</v>
      </c>
      <c r="I1051" s="215" t="s">
        <v>5542</v>
      </c>
      <c r="J1051" s="215" t="s">
        <v>77</v>
      </c>
      <c r="K1051" s="266">
        <v>810673012404</v>
      </c>
      <c r="L1051" s="265" t="s">
        <v>649</v>
      </c>
      <c r="M1051" s="266">
        <v>10810673012401</v>
      </c>
      <c r="N1051" s="264">
        <v>3.5000000000000003E-2</v>
      </c>
      <c r="O1051" s="265" t="s">
        <v>649</v>
      </c>
      <c r="P1051" s="265" t="s">
        <v>649</v>
      </c>
      <c r="Q1051" s="265" t="s">
        <v>649</v>
      </c>
    </row>
    <row r="1052" spans="1:17" ht="15" customHeight="1">
      <c r="A1052" s="147">
        <v>1069</v>
      </c>
      <c r="B1052" s="51" t="s">
        <v>28</v>
      </c>
      <c r="C1052" s="51" t="s">
        <v>5543</v>
      </c>
      <c r="D1052" s="51">
        <v>300006053</v>
      </c>
      <c r="E1052" s="53" t="s">
        <v>5544</v>
      </c>
      <c r="F1052" s="124">
        <v>250</v>
      </c>
      <c r="G1052" s="124" t="s">
        <v>649</v>
      </c>
      <c r="H1052" s="486" t="s">
        <v>5866</v>
      </c>
      <c r="I1052" s="215" t="s">
        <v>5542</v>
      </c>
      <c r="J1052" s="215" t="s">
        <v>77</v>
      </c>
      <c r="K1052" s="266">
        <v>810673012411</v>
      </c>
      <c r="L1052" s="265" t="s">
        <v>649</v>
      </c>
      <c r="M1052" s="266">
        <v>10810673012418</v>
      </c>
      <c r="N1052" s="264">
        <v>6.8000000000000005E-2</v>
      </c>
      <c r="O1052" s="265" t="s">
        <v>649</v>
      </c>
      <c r="P1052" s="265" t="s">
        <v>649</v>
      </c>
      <c r="Q1052" s="265" t="s">
        <v>649</v>
      </c>
    </row>
    <row r="1053" spans="1:17" ht="15" customHeight="1">
      <c r="A1053" s="147">
        <v>1070</v>
      </c>
      <c r="B1053" s="51" t="s">
        <v>28</v>
      </c>
      <c r="C1053" s="51" t="s">
        <v>5545</v>
      </c>
      <c r="D1053" s="51">
        <v>300005784</v>
      </c>
      <c r="E1053" s="53" t="s">
        <v>5546</v>
      </c>
      <c r="F1053" s="124">
        <v>100</v>
      </c>
      <c r="G1053" s="124" t="s">
        <v>649</v>
      </c>
      <c r="H1053" s="486" t="s">
        <v>5866</v>
      </c>
      <c r="I1053" s="215" t="s">
        <v>5542</v>
      </c>
      <c r="J1053" s="215" t="s">
        <v>77</v>
      </c>
      <c r="K1053" s="265" t="s">
        <v>649</v>
      </c>
      <c r="L1053" s="265" t="s">
        <v>649</v>
      </c>
      <c r="M1053" s="265" t="s">
        <v>649</v>
      </c>
      <c r="N1053" s="264">
        <v>0.13900000000000001</v>
      </c>
      <c r="O1053" s="265" t="s">
        <v>649</v>
      </c>
      <c r="P1053" s="265" t="s">
        <v>649</v>
      </c>
      <c r="Q1053" s="265" t="s">
        <v>649</v>
      </c>
    </row>
    <row r="1054" spans="1:17" ht="15" customHeight="1">
      <c r="A1054" s="147">
        <v>1071</v>
      </c>
      <c r="B1054" s="51" t="s">
        <v>28</v>
      </c>
      <c r="C1054" s="51" t="s">
        <v>5547</v>
      </c>
      <c r="D1054" s="51">
        <v>300005789</v>
      </c>
      <c r="E1054" s="53" t="s">
        <v>5548</v>
      </c>
      <c r="F1054" s="124">
        <v>100</v>
      </c>
      <c r="G1054" s="124" t="s">
        <v>649</v>
      </c>
      <c r="H1054" s="486" t="s">
        <v>5866</v>
      </c>
      <c r="I1054" s="215" t="s">
        <v>5542</v>
      </c>
      <c r="J1054" s="215" t="s">
        <v>77</v>
      </c>
      <c r="K1054" s="266">
        <v>816842024353</v>
      </c>
      <c r="L1054" s="265" t="s">
        <v>649</v>
      </c>
      <c r="M1054" s="265" t="s">
        <v>649</v>
      </c>
      <c r="N1054" s="264">
        <v>0.19400000000000001</v>
      </c>
      <c r="O1054" s="265" t="s">
        <v>649</v>
      </c>
      <c r="P1054" s="265" t="s">
        <v>649</v>
      </c>
      <c r="Q1054" s="265" t="s">
        <v>649</v>
      </c>
    </row>
    <row r="1055" spans="1:17" ht="15" customHeight="1">
      <c r="A1055" s="147">
        <v>1072</v>
      </c>
      <c r="B1055" s="51" t="s">
        <v>28</v>
      </c>
      <c r="C1055" s="51" t="s">
        <v>5549</v>
      </c>
      <c r="D1055" s="51">
        <v>300005790</v>
      </c>
      <c r="E1055" s="53" t="s">
        <v>5550</v>
      </c>
      <c r="F1055" s="124">
        <v>100</v>
      </c>
      <c r="G1055" s="124" t="s">
        <v>649</v>
      </c>
      <c r="H1055" s="486" t="s">
        <v>5866</v>
      </c>
      <c r="I1055" s="215" t="s">
        <v>5542</v>
      </c>
      <c r="J1055" s="215" t="s">
        <v>77</v>
      </c>
      <c r="K1055" s="266">
        <v>816842024155</v>
      </c>
      <c r="L1055" s="265" t="s">
        <v>649</v>
      </c>
      <c r="M1055" s="265" t="s">
        <v>649</v>
      </c>
      <c r="N1055" s="264">
        <v>0.30599999999999999</v>
      </c>
      <c r="O1055" s="265" t="s">
        <v>649</v>
      </c>
      <c r="P1055" s="265" t="s">
        <v>649</v>
      </c>
      <c r="Q1055" s="265" t="s">
        <v>649</v>
      </c>
    </row>
    <row r="1056" spans="1:17" ht="15" customHeight="1">
      <c r="A1056" s="147">
        <v>1073</v>
      </c>
      <c r="B1056" s="51" t="s">
        <v>28</v>
      </c>
      <c r="C1056" s="51" t="s">
        <v>5551</v>
      </c>
      <c r="D1056" s="51">
        <v>300005783</v>
      </c>
      <c r="E1056" s="53" t="s">
        <v>5552</v>
      </c>
      <c r="F1056" s="124">
        <v>50</v>
      </c>
      <c r="G1056" s="124" t="s">
        <v>649</v>
      </c>
      <c r="H1056" s="486" t="s">
        <v>5866</v>
      </c>
      <c r="I1056" s="215" t="s">
        <v>5542</v>
      </c>
      <c r="J1056" s="215" t="s">
        <v>77</v>
      </c>
      <c r="K1056" s="266">
        <v>816842024018</v>
      </c>
      <c r="L1056" s="265" t="s">
        <v>649</v>
      </c>
      <c r="M1056" s="265" t="s">
        <v>649</v>
      </c>
      <c r="N1056" s="264">
        <v>0.69199999999999995</v>
      </c>
      <c r="O1056" s="265" t="s">
        <v>649</v>
      </c>
      <c r="P1056" s="265" t="s">
        <v>649</v>
      </c>
      <c r="Q1056" s="265" t="s">
        <v>649</v>
      </c>
    </row>
    <row r="1057" spans="1:17" ht="15" customHeight="1">
      <c r="A1057" s="147">
        <v>1074</v>
      </c>
      <c r="B1057" s="51" t="s">
        <v>28</v>
      </c>
      <c r="C1057" s="51" t="s">
        <v>5553</v>
      </c>
      <c r="D1057" s="51">
        <v>300005736</v>
      </c>
      <c r="E1057" s="53" t="s">
        <v>5554</v>
      </c>
      <c r="F1057" s="124">
        <v>320</v>
      </c>
      <c r="G1057" s="124" t="s">
        <v>649</v>
      </c>
      <c r="H1057" s="486" t="s">
        <v>5866</v>
      </c>
      <c r="I1057" s="215" t="s">
        <v>5542</v>
      </c>
      <c r="J1057" s="215" t="s">
        <v>77</v>
      </c>
      <c r="K1057" s="265" t="s">
        <v>649</v>
      </c>
      <c r="L1057" s="265" t="s">
        <v>649</v>
      </c>
      <c r="M1057" s="265" t="s">
        <v>649</v>
      </c>
      <c r="N1057" s="264">
        <v>7.0999999999999994E-2</v>
      </c>
      <c r="O1057" s="265" t="s">
        <v>649</v>
      </c>
      <c r="P1057" s="265" t="s">
        <v>649</v>
      </c>
      <c r="Q1057" s="265" t="s">
        <v>649</v>
      </c>
    </row>
    <row r="1058" spans="1:17" ht="15" customHeight="1">
      <c r="A1058" s="147">
        <v>1075</v>
      </c>
      <c r="B1058" s="51" t="s">
        <v>28</v>
      </c>
      <c r="C1058" s="51" t="s">
        <v>5555</v>
      </c>
      <c r="D1058" s="51">
        <v>300005734</v>
      </c>
      <c r="E1058" s="53" t="s">
        <v>5556</v>
      </c>
      <c r="F1058" s="124">
        <v>100</v>
      </c>
      <c r="G1058" s="124" t="s">
        <v>649</v>
      </c>
      <c r="H1058" s="486" t="s">
        <v>5866</v>
      </c>
      <c r="I1058" s="215" t="s">
        <v>5542</v>
      </c>
      <c r="J1058" s="215" t="s">
        <v>77</v>
      </c>
      <c r="K1058" s="266">
        <v>810673012428</v>
      </c>
      <c r="L1058" s="265" t="s">
        <v>649</v>
      </c>
      <c r="M1058" s="266">
        <v>10810673012425</v>
      </c>
      <c r="N1058" s="264">
        <v>7.0999999999999994E-2</v>
      </c>
      <c r="O1058" s="265" t="s">
        <v>649</v>
      </c>
      <c r="P1058" s="265" t="s">
        <v>649</v>
      </c>
      <c r="Q1058" s="265" t="s">
        <v>649</v>
      </c>
    </row>
    <row r="1059" spans="1:17" ht="15" customHeight="1">
      <c r="A1059" s="147">
        <v>1076</v>
      </c>
      <c r="B1059" s="51" t="s">
        <v>28</v>
      </c>
      <c r="C1059" s="51" t="s">
        <v>5557</v>
      </c>
      <c r="D1059" s="51">
        <v>300005822</v>
      </c>
      <c r="E1059" s="53" t="s">
        <v>5558</v>
      </c>
      <c r="F1059" s="124">
        <v>100</v>
      </c>
      <c r="G1059" s="124" t="s">
        <v>649</v>
      </c>
      <c r="H1059" s="486" t="s">
        <v>5866</v>
      </c>
      <c r="I1059" s="215" t="s">
        <v>5542</v>
      </c>
      <c r="J1059" s="215" t="s">
        <v>77</v>
      </c>
      <c r="K1059" s="265" t="s">
        <v>649</v>
      </c>
      <c r="L1059" s="265" t="s">
        <v>649</v>
      </c>
      <c r="M1059" s="265" t="s">
        <v>649</v>
      </c>
      <c r="N1059" s="264">
        <v>7.0999999999999994E-2</v>
      </c>
      <c r="O1059" s="265" t="s">
        <v>649</v>
      </c>
      <c r="P1059" s="265" t="s">
        <v>649</v>
      </c>
      <c r="Q1059" s="265" t="s">
        <v>649</v>
      </c>
    </row>
    <row r="1060" spans="1:17" ht="15" customHeight="1">
      <c r="A1060" s="147">
        <v>1077</v>
      </c>
      <c r="B1060" s="51" t="s">
        <v>28</v>
      </c>
      <c r="C1060" s="51" t="s">
        <v>5559</v>
      </c>
      <c r="D1060" s="51">
        <v>300005806</v>
      </c>
      <c r="E1060" s="53" t="s">
        <v>5560</v>
      </c>
      <c r="F1060" s="124">
        <v>100</v>
      </c>
      <c r="G1060" s="124" t="s">
        <v>649</v>
      </c>
      <c r="H1060" s="486" t="s">
        <v>5866</v>
      </c>
      <c r="I1060" s="215" t="s">
        <v>5542</v>
      </c>
      <c r="J1060" s="215" t="s">
        <v>77</v>
      </c>
      <c r="K1060" s="265" t="s">
        <v>649</v>
      </c>
      <c r="L1060" s="265" t="s">
        <v>649</v>
      </c>
      <c r="M1060" s="265" t="s">
        <v>649</v>
      </c>
      <c r="N1060" s="264">
        <v>9.9000000000000005E-2</v>
      </c>
      <c r="O1060" s="265" t="s">
        <v>649</v>
      </c>
      <c r="P1060" s="265" t="s">
        <v>649</v>
      </c>
      <c r="Q1060" s="265" t="s">
        <v>649</v>
      </c>
    </row>
    <row r="1061" spans="1:17" ht="15" customHeight="1">
      <c r="A1061" s="147">
        <v>1078</v>
      </c>
      <c r="B1061" s="51" t="s">
        <v>28</v>
      </c>
      <c r="C1061" s="51" t="s">
        <v>5561</v>
      </c>
      <c r="D1061" s="51">
        <v>300005807</v>
      </c>
      <c r="E1061" s="53" t="s">
        <v>5562</v>
      </c>
      <c r="F1061" s="124">
        <v>100</v>
      </c>
      <c r="G1061" s="124" t="s">
        <v>649</v>
      </c>
      <c r="H1061" s="486" t="s">
        <v>5866</v>
      </c>
      <c r="I1061" s="215" t="s">
        <v>5542</v>
      </c>
      <c r="J1061" s="215" t="s">
        <v>77</v>
      </c>
      <c r="K1061" s="265" t="s">
        <v>649</v>
      </c>
      <c r="L1061" s="265" t="s">
        <v>649</v>
      </c>
      <c r="M1061" s="265" t="s">
        <v>649</v>
      </c>
      <c r="N1061" s="264">
        <v>0.11899999999999999</v>
      </c>
      <c r="O1061" s="265" t="s">
        <v>649</v>
      </c>
      <c r="P1061" s="265" t="s">
        <v>649</v>
      </c>
      <c r="Q1061" s="265" t="s">
        <v>649</v>
      </c>
    </row>
    <row r="1062" spans="1:17" ht="15" customHeight="1">
      <c r="A1062" s="147">
        <v>1079</v>
      </c>
      <c r="B1062" s="51" t="s">
        <v>28</v>
      </c>
      <c r="C1062" s="51" t="s">
        <v>5563</v>
      </c>
      <c r="D1062" s="51">
        <v>300005814</v>
      </c>
      <c r="E1062" s="53" t="s">
        <v>5564</v>
      </c>
      <c r="F1062" s="124">
        <v>100</v>
      </c>
      <c r="G1062" s="124" t="s">
        <v>649</v>
      </c>
      <c r="H1062" s="486" t="s">
        <v>5866</v>
      </c>
      <c r="I1062" s="215" t="s">
        <v>5542</v>
      </c>
      <c r="J1062" s="215" t="s">
        <v>77</v>
      </c>
      <c r="K1062" s="265" t="s">
        <v>649</v>
      </c>
      <c r="L1062" s="265" t="s">
        <v>649</v>
      </c>
      <c r="M1062" s="265" t="s">
        <v>649</v>
      </c>
      <c r="N1062" s="264">
        <v>0.16800000000000001</v>
      </c>
      <c r="O1062" s="265" t="s">
        <v>649</v>
      </c>
      <c r="P1062" s="265" t="s">
        <v>649</v>
      </c>
      <c r="Q1062" s="265" t="s">
        <v>649</v>
      </c>
    </row>
    <row r="1063" spans="1:17" ht="15" customHeight="1">
      <c r="A1063" s="147">
        <v>1080</v>
      </c>
      <c r="B1063" s="51" t="s">
        <v>28</v>
      </c>
      <c r="C1063" s="51" t="s">
        <v>5565</v>
      </c>
      <c r="D1063" s="51">
        <v>300005815</v>
      </c>
      <c r="E1063" s="53" t="s">
        <v>5566</v>
      </c>
      <c r="F1063" s="124">
        <v>100</v>
      </c>
      <c r="G1063" s="124" t="s">
        <v>649</v>
      </c>
      <c r="H1063" s="486" t="s">
        <v>5866</v>
      </c>
      <c r="I1063" s="215" t="s">
        <v>5542</v>
      </c>
      <c r="J1063" s="215" t="s">
        <v>77</v>
      </c>
      <c r="K1063" s="265" t="s">
        <v>649</v>
      </c>
      <c r="L1063" s="265" t="s">
        <v>649</v>
      </c>
      <c r="M1063" s="265" t="s">
        <v>649</v>
      </c>
      <c r="N1063" s="264">
        <v>0.24299999999999999</v>
      </c>
      <c r="O1063" s="265" t="s">
        <v>649</v>
      </c>
      <c r="P1063" s="265" t="s">
        <v>649</v>
      </c>
      <c r="Q1063" s="265" t="s">
        <v>649</v>
      </c>
    </row>
    <row r="1064" spans="1:17" ht="15" customHeight="1">
      <c r="A1064" s="147">
        <v>1082</v>
      </c>
      <c r="B1064" s="51" t="s">
        <v>28</v>
      </c>
      <c r="C1064" s="51" t="s">
        <v>5567</v>
      </c>
      <c r="D1064" s="51">
        <v>300005808</v>
      </c>
      <c r="E1064" s="53" t="s">
        <v>5568</v>
      </c>
      <c r="F1064" s="124">
        <v>50</v>
      </c>
      <c r="G1064" s="124" t="s">
        <v>649</v>
      </c>
      <c r="H1064" s="486" t="s">
        <v>5866</v>
      </c>
      <c r="I1064" s="215" t="s">
        <v>5542</v>
      </c>
      <c r="J1064" s="215" t="s">
        <v>77</v>
      </c>
      <c r="K1064" s="265" t="s">
        <v>649</v>
      </c>
      <c r="L1064" s="265" t="s">
        <v>649</v>
      </c>
      <c r="M1064" s="265" t="s">
        <v>649</v>
      </c>
      <c r="N1064" s="264">
        <v>0.47199999999999998</v>
      </c>
      <c r="O1064" s="265" t="s">
        <v>649</v>
      </c>
      <c r="P1064" s="265" t="s">
        <v>649</v>
      </c>
      <c r="Q1064" s="265" t="s">
        <v>649</v>
      </c>
    </row>
    <row r="1065" spans="1:17" ht="15" customHeight="1">
      <c r="A1065" s="147">
        <v>1083</v>
      </c>
      <c r="B1065" s="51" t="s">
        <v>28</v>
      </c>
      <c r="C1065" s="51" t="s">
        <v>5569</v>
      </c>
      <c r="D1065" s="51">
        <v>300006060</v>
      </c>
      <c r="E1065" s="53" t="s">
        <v>5570</v>
      </c>
      <c r="F1065" s="124">
        <v>500</v>
      </c>
      <c r="G1065" s="124" t="s">
        <v>649</v>
      </c>
      <c r="H1065" s="486" t="s">
        <v>5866</v>
      </c>
      <c r="I1065" s="215" t="s">
        <v>5542</v>
      </c>
      <c r="J1065" s="215" t="s">
        <v>77</v>
      </c>
      <c r="K1065" s="266">
        <v>810673012381</v>
      </c>
      <c r="L1065" s="265" t="s">
        <v>649</v>
      </c>
      <c r="M1065" s="266">
        <v>10810673012388</v>
      </c>
      <c r="N1065" s="264">
        <v>2.9000000000000001E-2</v>
      </c>
      <c r="O1065" s="265" t="s">
        <v>649</v>
      </c>
      <c r="P1065" s="265" t="s">
        <v>649</v>
      </c>
      <c r="Q1065" s="265" t="s">
        <v>649</v>
      </c>
    </row>
    <row r="1066" spans="1:17" ht="15" customHeight="1">
      <c r="A1066" s="147">
        <v>1084</v>
      </c>
      <c r="B1066" s="51" t="s">
        <v>28</v>
      </c>
      <c r="C1066" s="51" t="s">
        <v>5571</v>
      </c>
      <c r="D1066" s="51">
        <v>300006059</v>
      </c>
      <c r="E1066" s="53" t="s">
        <v>5572</v>
      </c>
      <c r="F1066" s="124">
        <v>250</v>
      </c>
      <c r="G1066" s="124" t="s">
        <v>649</v>
      </c>
      <c r="H1066" s="486" t="s">
        <v>5866</v>
      </c>
      <c r="I1066" s="215" t="s">
        <v>5542</v>
      </c>
      <c r="J1066" s="215" t="s">
        <v>77</v>
      </c>
      <c r="K1066" s="266">
        <v>810673012398</v>
      </c>
      <c r="L1066" s="265" t="s">
        <v>649</v>
      </c>
      <c r="M1066" s="266">
        <v>10810673012395</v>
      </c>
      <c r="N1066" s="264">
        <v>5.7000000000000002E-2</v>
      </c>
      <c r="O1066" s="265" t="s">
        <v>649</v>
      </c>
      <c r="P1066" s="265" t="s">
        <v>649</v>
      </c>
      <c r="Q1066" s="265" t="s">
        <v>649</v>
      </c>
    </row>
    <row r="1067" spans="1:17" ht="15" customHeight="1">
      <c r="A1067" s="147">
        <v>1085</v>
      </c>
      <c r="B1067" s="51" t="s">
        <v>28</v>
      </c>
      <c r="C1067" s="51" t="s">
        <v>5573</v>
      </c>
      <c r="D1067" s="51">
        <v>300005793</v>
      </c>
      <c r="E1067" s="53" t="s">
        <v>5574</v>
      </c>
      <c r="F1067" s="124">
        <v>100</v>
      </c>
      <c r="G1067" s="124" t="s">
        <v>649</v>
      </c>
      <c r="H1067" s="486" t="s">
        <v>5866</v>
      </c>
      <c r="I1067" s="215" t="s">
        <v>5542</v>
      </c>
      <c r="J1067" s="215" t="s">
        <v>77</v>
      </c>
      <c r="K1067" s="266">
        <v>816842023615</v>
      </c>
      <c r="L1067" s="265" t="s">
        <v>649</v>
      </c>
      <c r="M1067" s="265" t="s">
        <v>649</v>
      </c>
      <c r="N1067" s="264">
        <v>0.108</v>
      </c>
      <c r="O1067" s="265" t="s">
        <v>649</v>
      </c>
      <c r="P1067" s="265" t="s">
        <v>649</v>
      </c>
      <c r="Q1067" s="265" t="s">
        <v>649</v>
      </c>
    </row>
    <row r="1068" spans="1:17" ht="15" customHeight="1">
      <c r="A1068" s="147">
        <v>1086</v>
      </c>
      <c r="B1068" s="51" t="s">
        <v>28</v>
      </c>
      <c r="C1068" s="51" t="s">
        <v>5575</v>
      </c>
      <c r="D1068" s="51">
        <v>300005800</v>
      </c>
      <c r="E1068" s="53" t="s">
        <v>5576</v>
      </c>
      <c r="F1068" s="124">
        <v>100</v>
      </c>
      <c r="G1068" s="124" t="s">
        <v>649</v>
      </c>
      <c r="H1068" s="486" t="s">
        <v>5866</v>
      </c>
      <c r="I1068" s="215" t="s">
        <v>5542</v>
      </c>
      <c r="J1068" s="215" t="s">
        <v>77</v>
      </c>
      <c r="K1068" s="266">
        <v>816842023752</v>
      </c>
      <c r="L1068" s="265" t="s">
        <v>649</v>
      </c>
      <c r="M1068" s="265" t="s">
        <v>649</v>
      </c>
      <c r="N1068" s="264">
        <v>0.17399999999999999</v>
      </c>
      <c r="O1068" s="265" t="s">
        <v>649</v>
      </c>
      <c r="P1068" s="265" t="s">
        <v>649</v>
      </c>
      <c r="Q1068" s="265" t="s">
        <v>649</v>
      </c>
    </row>
    <row r="1069" spans="1:17" ht="15" customHeight="1">
      <c r="A1069" s="147">
        <v>1087</v>
      </c>
      <c r="B1069" s="51" t="s">
        <v>28</v>
      </c>
      <c r="C1069" s="51" t="s">
        <v>5577</v>
      </c>
      <c r="D1069" s="51">
        <v>300005801</v>
      </c>
      <c r="E1069" s="53" t="s">
        <v>5578</v>
      </c>
      <c r="F1069" s="124">
        <v>100</v>
      </c>
      <c r="G1069" s="124" t="s">
        <v>649</v>
      </c>
      <c r="H1069" s="486" t="s">
        <v>5866</v>
      </c>
      <c r="I1069" s="215" t="s">
        <v>5542</v>
      </c>
      <c r="J1069" s="215" t="s">
        <v>77</v>
      </c>
      <c r="K1069" s="265" t="s">
        <v>649</v>
      </c>
      <c r="L1069" s="265" t="s">
        <v>649</v>
      </c>
      <c r="M1069" s="265" t="s">
        <v>649</v>
      </c>
      <c r="N1069" s="264">
        <v>0.27600000000000002</v>
      </c>
      <c r="O1069" s="265" t="s">
        <v>649</v>
      </c>
      <c r="P1069" s="265" t="s">
        <v>649</v>
      </c>
      <c r="Q1069" s="265" t="s">
        <v>649</v>
      </c>
    </row>
    <row r="1070" spans="1:17" ht="15" customHeight="1">
      <c r="A1070" s="147">
        <v>1088</v>
      </c>
      <c r="B1070" s="51" t="s">
        <v>28</v>
      </c>
      <c r="C1070" s="51" t="s">
        <v>5579</v>
      </c>
      <c r="D1070" s="51">
        <v>300005794</v>
      </c>
      <c r="E1070" s="53" t="s">
        <v>5580</v>
      </c>
      <c r="F1070" s="124">
        <v>50</v>
      </c>
      <c r="G1070" s="124" t="s">
        <v>649</v>
      </c>
      <c r="H1070" s="486" t="s">
        <v>5866</v>
      </c>
      <c r="I1070" s="215" t="s">
        <v>5542</v>
      </c>
      <c r="J1070" s="215" t="s">
        <v>77</v>
      </c>
      <c r="K1070" s="265" t="s">
        <v>649</v>
      </c>
      <c r="L1070" s="265" t="s">
        <v>649</v>
      </c>
      <c r="M1070" s="265" t="s">
        <v>649</v>
      </c>
      <c r="N1070" s="264">
        <v>0.6</v>
      </c>
      <c r="O1070" s="265" t="s">
        <v>649</v>
      </c>
      <c r="P1070" s="265" t="s">
        <v>649</v>
      </c>
      <c r="Q1070" s="265" t="s">
        <v>649</v>
      </c>
    </row>
    <row r="1071" spans="1:17" ht="15" customHeight="1">
      <c r="A1071" s="147">
        <v>1089</v>
      </c>
      <c r="B1071" s="51" t="s">
        <v>28</v>
      </c>
      <c r="C1071" s="51" t="s">
        <v>5581</v>
      </c>
      <c r="D1071" s="51">
        <v>300005727</v>
      </c>
      <c r="E1071" s="53" t="s">
        <v>5582</v>
      </c>
      <c r="F1071" s="124">
        <v>500</v>
      </c>
      <c r="G1071" s="124" t="s">
        <v>649</v>
      </c>
      <c r="H1071" s="486" t="s">
        <v>5866</v>
      </c>
      <c r="I1071" s="215" t="s">
        <v>5542</v>
      </c>
      <c r="J1071" s="215" t="s">
        <v>77</v>
      </c>
      <c r="K1071" s="265" t="s">
        <v>649</v>
      </c>
      <c r="L1071" s="265" t="s">
        <v>649</v>
      </c>
      <c r="M1071" s="265" t="s">
        <v>649</v>
      </c>
      <c r="N1071" s="264">
        <v>2.9000000000000001E-2</v>
      </c>
      <c r="O1071" s="265" t="s">
        <v>649</v>
      </c>
      <c r="P1071" s="265" t="s">
        <v>649</v>
      </c>
      <c r="Q1071" s="265" t="s">
        <v>649</v>
      </c>
    </row>
    <row r="1072" spans="1:17" ht="15" customHeight="1">
      <c r="A1072" s="147">
        <v>1090</v>
      </c>
      <c r="B1072" s="51" t="s">
        <v>28</v>
      </c>
      <c r="C1072" s="51" t="s">
        <v>5583</v>
      </c>
      <c r="D1072" s="51">
        <v>300005724</v>
      </c>
      <c r="E1072" s="53" t="s">
        <v>5584</v>
      </c>
      <c r="F1072" s="124">
        <v>250</v>
      </c>
      <c r="G1072" s="124" t="s">
        <v>649</v>
      </c>
      <c r="H1072" s="486" t="s">
        <v>5866</v>
      </c>
      <c r="I1072" s="215" t="s">
        <v>5542</v>
      </c>
      <c r="J1072" s="215" t="s">
        <v>77</v>
      </c>
      <c r="K1072" s="265" t="s">
        <v>649</v>
      </c>
      <c r="L1072" s="265" t="s">
        <v>649</v>
      </c>
      <c r="M1072" s="265" t="s">
        <v>649</v>
      </c>
      <c r="N1072" s="264">
        <v>5.7000000000000002E-2</v>
      </c>
      <c r="O1072" s="265" t="s">
        <v>649</v>
      </c>
      <c r="P1072" s="265" t="s">
        <v>649</v>
      </c>
      <c r="Q1072" s="265" t="s">
        <v>649</v>
      </c>
    </row>
    <row r="1073" spans="1:17" ht="15" customHeight="1">
      <c r="A1073" s="147">
        <v>1091</v>
      </c>
      <c r="B1073" s="51" t="s">
        <v>28</v>
      </c>
      <c r="C1073" s="51" t="s">
        <v>5585</v>
      </c>
      <c r="D1073" s="51">
        <v>300005719</v>
      </c>
      <c r="E1073" s="53" t="s">
        <v>5586</v>
      </c>
      <c r="F1073" s="124">
        <v>100</v>
      </c>
      <c r="G1073" s="124" t="s">
        <v>649</v>
      </c>
      <c r="H1073" s="486" t="s">
        <v>5866</v>
      </c>
      <c r="I1073" s="215" t="s">
        <v>5542</v>
      </c>
      <c r="J1073" s="215" t="s">
        <v>77</v>
      </c>
      <c r="K1073" s="265" t="s">
        <v>649</v>
      </c>
      <c r="L1073" s="265" t="s">
        <v>649</v>
      </c>
      <c r="M1073" s="265" t="s">
        <v>649</v>
      </c>
      <c r="N1073" s="264">
        <v>3.6999999999999998E-2</v>
      </c>
      <c r="O1073" s="265" t="s">
        <v>649</v>
      </c>
      <c r="P1073" s="265" t="s">
        <v>649</v>
      </c>
      <c r="Q1073" s="265" t="s">
        <v>649</v>
      </c>
    </row>
    <row r="1074" spans="1:17" ht="15" customHeight="1">
      <c r="A1074" s="147">
        <v>1092</v>
      </c>
      <c r="B1074" s="51" t="s">
        <v>28</v>
      </c>
      <c r="C1074" s="51" t="s">
        <v>5587</v>
      </c>
      <c r="D1074" s="51">
        <v>300006062</v>
      </c>
      <c r="E1074" s="53" t="s">
        <v>5588</v>
      </c>
      <c r="F1074" s="124">
        <v>500</v>
      </c>
      <c r="G1074" s="124" t="s">
        <v>649</v>
      </c>
      <c r="H1074" s="486" t="s">
        <v>5866</v>
      </c>
      <c r="I1074" s="215" t="s">
        <v>5542</v>
      </c>
      <c r="J1074" s="215" t="s">
        <v>77</v>
      </c>
      <c r="K1074" s="266">
        <v>810673012367</v>
      </c>
      <c r="L1074" s="265" t="s">
        <v>649</v>
      </c>
      <c r="M1074" s="266">
        <v>10810673012364</v>
      </c>
      <c r="N1074" s="264">
        <v>2.4E-2</v>
      </c>
      <c r="O1074" s="265" t="s">
        <v>649</v>
      </c>
      <c r="P1074" s="265" t="s">
        <v>649</v>
      </c>
      <c r="Q1074" s="265" t="s">
        <v>649</v>
      </c>
    </row>
    <row r="1075" spans="1:17" ht="15" customHeight="1">
      <c r="A1075" s="147">
        <v>1093</v>
      </c>
      <c r="B1075" s="51" t="s">
        <v>28</v>
      </c>
      <c r="C1075" s="51" t="s">
        <v>5589</v>
      </c>
      <c r="D1075" s="51">
        <v>300006061</v>
      </c>
      <c r="E1075" s="53" t="s">
        <v>5590</v>
      </c>
      <c r="F1075" s="124">
        <v>250</v>
      </c>
      <c r="G1075" s="124" t="s">
        <v>649</v>
      </c>
      <c r="H1075" s="486" t="s">
        <v>5866</v>
      </c>
      <c r="I1075" s="215" t="s">
        <v>5542</v>
      </c>
      <c r="J1075" s="215" t="s">
        <v>77</v>
      </c>
      <c r="K1075" s="266">
        <v>810673012374</v>
      </c>
      <c r="L1075" s="265" t="s">
        <v>649</v>
      </c>
      <c r="M1075" s="266">
        <v>10810673012371</v>
      </c>
      <c r="N1075" s="264">
        <v>4.9000000000000002E-2</v>
      </c>
      <c r="O1075" s="265" t="s">
        <v>649</v>
      </c>
      <c r="P1075" s="265" t="s">
        <v>649</v>
      </c>
      <c r="Q1075" s="265" t="s">
        <v>649</v>
      </c>
    </row>
    <row r="1076" spans="1:17" ht="15" customHeight="1">
      <c r="A1076" s="147">
        <v>1094</v>
      </c>
      <c r="B1076" s="51" t="s">
        <v>28</v>
      </c>
      <c r="C1076" s="51" t="s">
        <v>5591</v>
      </c>
      <c r="D1076" s="51">
        <v>300005791</v>
      </c>
      <c r="E1076" s="53" t="s">
        <v>5592</v>
      </c>
      <c r="F1076" s="124">
        <v>100</v>
      </c>
      <c r="G1076" s="124" t="s">
        <v>649</v>
      </c>
      <c r="H1076" s="486" t="s">
        <v>5866</v>
      </c>
      <c r="I1076" s="215" t="s">
        <v>5542</v>
      </c>
      <c r="J1076" s="215" t="s">
        <v>77</v>
      </c>
      <c r="K1076" s="266">
        <v>810116843732</v>
      </c>
      <c r="L1076" s="265" t="s">
        <v>649</v>
      </c>
      <c r="M1076" s="265" t="s">
        <v>649</v>
      </c>
      <c r="N1076" s="264">
        <v>7.9000000000000001E-2</v>
      </c>
      <c r="O1076" s="265" t="s">
        <v>649</v>
      </c>
      <c r="P1076" s="265" t="s">
        <v>649</v>
      </c>
      <c r="Q1076" s="265" t="s">
        <v>649</v>
      </c>
    </row>
    <row r="1077" spans="1:17" ht="15" customHeight="1">
      <c r="A1077" s="147">
        <v>1095</v>
      </c>
      <c r="B1077" s="51" t="s">
        <v>28</v>
      </c>
      <c r="C1077" s="51" t="s">
        <v>5593</v>
      </c>
      <c r="D1077" s="51">
        <v>300005804</v>
      </c>
      <c r="E1077" s="53" t="s">
        <v>5594</v>
      </c>
      <c r="F1077" s="124">
        <v>100</v>
      </c>
      <c r="G1077" s="124" t="s">
        <v>649</v>
      </c>
      <c r="H1077" s="486" t="s">
        <v>5866</v>
      </c>
      <c r="I1077" s="215" t="s">
        <v>5542</v>
      </c>
      <c r="J1077" s="215" t="s">
        <v>77</v>
      </c>
      <c r="K1077" s="266">
        <v>810116843695</v>
      </c>
      <c r="L1077" s="265" t="s">
        <v>649</v>
      </c>
      <c r="M1077" s="265" t="s">
        <v>649</v>
      </c>
      <c r="N1077" s="264">
        <v>0.13</v>
      </c>
      <c r="O1077" s="265" t="s">
        <v>649</v>
      </c>
      <c r="P1077" s="265" t="s">
        <v>649</v>
      </c>
      <c r="Q1077" s="265" t="s">
        <v>649</v>
      </c>
    </row>
    <row r="1078" spans="1:17" ht="15" customHeight="1">
      <c r="A1078" s="147">
        <v>1096</v>
      </c>
      <c r="B1078" s="51" t="s">
        <v>28</v>
      </c>
      <c r="C1078" s="51" t="s">
        <v>5595</v>
      </c>
      <c r="D1078" s="51">
        <v>300005799</v>
      </c>
      <c r="E1078" s="53" t="s">
        <v>5596</v>
      </c>
      <c r="F1078" s="124">
        <v>100</v>
      </c>
      <c r="G1078" s="124" t="s">
        <v>649</v>
      </c>
      <c r="H1078" s="486" t="s">
        <v>5866</v>
      </c>
      <c r="I1078" s="215" t="s">
        <v>5542</v>
      </c>
      <c r="J1078" s="215" t="s">
        <v>77</v>
      </c>
      <c r="K1078" s="265" t="s">
        <v>649</v>
      </c>
      <c r="L1078" s="265" t="s">
        <v>649</v>
      </c>
      <c r="M1078" s="265" t="s">
        <v>649</v>
      </c>
      <c r="N1078" s="264">
        <v>0.20499999999999999</v>
      </c>
      <c r="O1078" s="265" t="s">
        <v>649</v>
      </c>
      <c r="P1078" s="265" t="s">
        <v>649</v>
      </c>
      <c r="Q1078" s="265" t="s">
        <v>649</v>
      </c>
    </row>
    <row r="1079" spans="1:17" ht="15" customHeight="1">
      <c r="A1079" s="147">
        <v>1097</v>
      </c>
      <c r="B1079" s="51" t="s">
        <v>28</v>
      </c>
      <c r="C1079" s="51" t="s">
        <v>5597</v>
      </c>
      <c r="D1079" s="51">
        <v>300005792</v>
      </c>
      <c r="E1079" s="53" t="s">
        <v>5598</v>
      </c>
      <c r="F1079" s="124">
        <v>50</v>
      </c>
      <c r="G1079" s="124" t="s">
        <v>649</v>
      </c>
      <c r="H1079" s="486" t="s">
        <v>5866</v>
      </c>
      <c r="I1079" s="215" t="s">
        <v>5542</v>
      </c>
      <c r="J1079" s="215" t="s">
        <v>77</v>
      </c>
      <c r="K1079" s="265" t="s">
        <v>649</v>
      </c>
      <c r="L1079" s="265" t="s">
        <v>649</v>
      </c>
      <c r="M1079" s="265" t="s">
        <v>649</v>
      </c>
      <c r="N1079" s="264">
        <v>0.45600000000000002</v>
      </c>
      <c r="O1079" s="265" t="s">
        <v>649</v>
      </c>
      <c r="P1079" s="265" t="s">
        <v>649</v>
      </c>
      <c r="Q1079" s="265" t="s">
        <v>649</v>
      </c>
    </row>
    <row r="1080" spans="1:17" ht="15" customHeight="1">
      <c r="A1080" s="147">
        <v>1098</v>
      </c>
      <c r="B1080" s="51" t="s">
        <v>28</v>
      </c>
      <c r="C1080" s="51" t="s">
        <v>5599</v>
      </c>
      <c r="D1080" s="51">
        <v>300005725</v>
      </c>
      <c r="E1080" s="53" t="s">
        <v>5600</v>
      </c>
      <c r="F1080" s="124">
        <v>500</v>
      </c>
      <c r="G1080" s="124" t="s">
        <v>649</v>
      </c>
      <c r="H1080" s="486" t="s">
        <v>5866</v>
      </c>
      <c r="I1080" s="215" t="s">
        <v>5542</v>
      </c>
      <c r="J1080" s="215" t="s">
        <v>77</v>
      </c>
      <c r="K1080" s="265" t="s">
        <v>649</v>
      </c>
      <c r="L1080" s="265" t="s">
        <v>649</v>
      </c>
      <c r="M1080" s="265" t="s">
        <v>649</v>
      </c>
      <c r="N1080" s="264">
        <v>7.0000000000000001E-3</v>
      </c>
      <c r="O1080" s="265" t="s">
        <v>649</v>
      </c>
      <c r="P1080" s="265" t="s">
        <v>649</v>
      </c>
      <c r="Q1080" s="265" t="s">
        <v>649</v>
      </c>
    </row>
    <row r="1081" spans="1:17" ht="15" customHeight="1">
      <c r="A1081" s="147">
        <v>1099</v>
      </c>
      <c r="B1081" s="51" t="s">
        <v>28</v>
      </c>
      <c r="C1081" s="51" t="s">
        <v>5601</v>
      </c>
      <c r="D1081" s="51">
        <v>300005726</v>
      </c>
      <c r="E1081" s="53" t="s">
        <v>5602</v>
      </c>
      <c r="F1081" s="124">
        <v>250</v>
      </c>
      <c r="G1081" s="124" t="s">
        <v>649</v>
      </c>
      <c r="H1081" s="486" t="s">
        <v>5866</v>
      </c>
      <c r="I1081" s="215" t="s">
        <v>5542</v>
      </c>
      <c r="J1081" s="215" t="s">
        <v>77</v>
      </c>
      <c r="K1081" s="265" t="s">
        <v>649</v>
      </c>
      <c r="L1081" s="265" t="s">
        <v>649</v>
      </c>
      <c r="M1081" s="265" t="s">
        <v>649</v>
      </c>
      <c r="N1081" s="264">
        <v>1.4E-2</v>
      </c>
      <c r="O1081" s="265" t="s">
        <v>649</v>
      </c>
      <c r="P1081" s="265" t="s">
        <v>649</v>
      </c>
      <c r="Q1081" s="265" t="s">
        <v>649</v>
      </c>
    </row>
    <row r="1082" spans="1:17" ht="15" customHeight="1">
      <c r="A1082" s="147">
        <v>1100</v>
      </c>
      <c r="B1082" s="51" t="s">
        <v>28</v>
      </c>
      <c r="C1082" s="51" t="s">
        <v>5603</v>
      </c>
      <c r="D1082" s="51">
        <v>300005720</v>
      </c>
      <c r="E1082" s="53" t="s">
        <v>5604</v>
      </c>
      <c r="F1082" s="124">
        <v>100</v>
      </c>
      <c r="G1082" s="124" t="s">
        <v>649</v>
      </c>
      <c r="H1082" s="486" t="s">
        <v>5866</v>
      </c>
      <c r="I1082" s="215" t="s">
        <v>5542</v>
      </c>
      <c r="J1082" s="215" t="s">
        <v>77</v>
      </c>
      <c r="K1082" s="265" t="s">
        <v>649</v>
      </c>
      <c r="L1082" s="265" t="s">
        <v>649</v>
      </c>
      <c r="M1082" s="265" t="s">
        <v>649</v>
      </c>
      <c r="N1082" s="264">
        <v>2.8000000000000001E-2</v>
      </c>
      <c r="O1082" s="265" t="s">
        <v>649</v>
      </c>
      <c r="P1082" s="265" t="s">
        <v>649</v>
      </c>
      <c r="Q1082" s="265" t="s">
        <v>649</v>
      </c>
    </row>
    <row r="1083" spans="1:17" ht="15" customHeight="1">
      <c r="A1083" s="147">
        <v>1101</v>
      </c>
      <c r="B1083" s="51" t="s">
        <v>28</v>
      </c>
      <c r="C1083" s="51" t="s">
        <v>5605</v>
      </c>
      <c r="D1083" s="51">
        <v>300006058</v>
      </c>
      <c r="E1083" s="53" t="s">
        <v>5606</v>
      </c>
      <c r="F1083" s="124">
        <v>500</v>
      </c>
      <c r="G1083" s="124" t="s">
        <v>649</v>
      </c>
      <c r="H1083" s="486" t="s">
        <v>5866</v>
      </c>
      <c r="I1083" s="215" t="s">
        <v>5542</v>
      </c>
      <c r="J1083" s="215" t="s">
        <v>77</v>
      </c>
      <c r="K1083" s="266">
        <v>810673012206</v>
      </c>
      <c r="L1083" s="265" t="s">
        <v>649</v>
      </c>
      <c r="M1083" s="266">
        <v>10810673012203</v>
      </c>
      <c r="N1083" s="264">
        <v>1.7999999999999999E-2</v>
      </c>
      <c r="O1083" s="265" t="s">
        <v>649</v>
      </c>
      <c r="P1083" s="265" t="s">
        <v>649</v>
      </c>
      <c r="Q1083" s="265" t="s">
        <v>649</v>
      </c>
    </row>
    <row r="1084" spans="1:17" ht="15" customHeight="1">
      <c r="A1084" s="147">
        <v>1102</v>
      </c>
      <c r="B1084" s="51" t="s">
        <v>28</v>
      </c>
      <c r="C1084" s="51" t="s">
        <v>5607</v>
      </c>
      <c r="D1084" s="51">
        <v>300006057</v>
      </c>
      <c r="E1084" s="53" t="s">
        <v>5608</v>
      </c>
      <c r="F1084" s="124">
        <v>250</v>
      </c>
      <c r="G1084" s="124" t="s">
        <v>649</v>
      </c>
      <c r="H1084" s="486" t="s">
        <v>5866</v>
      </c>
      <c r="I1084" s="215" t="s">
        <v>5542</v>
      </c>
      <c r="J1084" s="215" t="s">
        <v>77</v>
      </c>
      <c r="K1084" s="266">
        <v>810673012213</v>
      </c>
      <c r="L1084" s="265" t="s">
        <v>649</v>
      </c>
      <c r="M1084" s="266">
        <v>10810673012210</v>
      </c>
      <c r="N1084" s="264">
        <v>3.1E-2</v>
      </c>
      <c r="O1084" s="265" t="s">
        <v>649</v>
      </c>
      <c r="P1084" s="265" t="s">
        <v>649</v>
      </c>
      <c r="Q1084" s="265" t="s">
        <v>649</v>
      </c>
    </row>
    <row r="1085" spans="1:17" ht="15" customHeight="1">
      <c r="A1085" s="147">
        <v>1103</v>
      </c>
      <c r="B1085" s="51" t="s">
        <v>28</v>
      </c>
      <c r="C1085" s="51" t="s">
        <v>5609</v>
      </c>
      <c r="D1085" s="51">
        <v>300005795</v>
      </c>
      <c r="E1085" s="53" t="s">
        <v>5610</v>
      </c>
      <c r="F1085" s="124">
        <v>100</v>
      </c>
      <c r="G1085" s="124" t="s">
        <v>649</v>
      </c>
      <c r="H1085" s="486" t="s">
        <v>5866</v>
      </c>
      <c r="I1085" s="215" t="s">
        <v>5542</v>
      </c>
      <c r="J1085" s="215" t="s">
        <v>77</v>
      </c>
      <c r="K1085" s="266">
        <v>810116843749</v>
      </c>
      <c r="L1085" s="265" t="s">
        <v>649</v>
      </c>
      <c r="M1085" s="265" t="s">
        <v>649</v>
      </c>
      <c r="N1085" s="264">
        <v>0.06</v>
      </c>
      <c r="O1085" s="265" t="s">
        <v>649</v>
      </c>
      <c r="P1085" s="265" t="s">
        <v>649</v>
      </c>
      <c r="Q1085" s="265" t="s">
        <v>649</v>
      </c>
    </row>
    <row r="1086" spans="1:17" ht="15" customHeight="1">
      <c r="A1086" s="147">
        <v>1104</v>
      </c>
      <c r="B1086" s="51" t="s">
        <v>28</v>
      </c>
      <c r="C1086" s="51" t="s">
        <v>5611</v>
      </c>
      <c r="D1086" s="51">
        <v>300005802</v>
      </c>
      <c r="E1086" s="53" t="s">
        <v>5612</v>
      </c>
      <c r="F1086" s="124">
        <v>100</v>
      </c>
      <c r="G1086" s="124" t="s">
        <v>649</v>
      </c>
      <c r="H1086" s="486" t="s">
        <v>5866</v>
      </c>
      <c r="I1086" s="215" t="s">
        <v>5542</v>
      </c>
      <c r="J1086" s="215" t="s">
        <v>77</v>
      </c>
      <c r="K1086" s="266">
        <v>810116843657</v>
      </c>
      <c r="L1086" s="265" t="s">
        <v>649</v>
      </c>
      <c r="M1086" s="265" t="s">
        <v>649</v>
      </c>
      <c r="N1086" s="264">
        <v>0.09</v>
      </c>
      <c r="O1086" s="265" t="s">
        <v>649</v>
      </c>
      <c r="P1086" s="265" t="s">
        <v>649</v>
      </c>
      <c r="Q1086" s="265" t="s">
        <v>649</v>
      </c>
    </row>
    <row r="1087" spans="1:17" ht="15" customHeight="1">
      <c r="A1087" s="147">
        <v>1105</v>
      </c>
      <c r="B1087" s="51" t="s">
        <v>28</v>
      </c>
      <c r="C1087" s="51" t="s">
        <v>5613</v>
      </c>
      <c r="D1087" s="51">
        <v>300005803</v>
      </c>
      <c r="E1087" s="53" t="s">
        <v>5614</v>
      </c>
      <c r="F1087" s="124">
        <v>100</v>
      </c>
      <c r="G1087" s="124" t="s">
        <v>649</v>
      </c>
      <c r="H1087" s="486" t="s">
        <v>5866</v>
      </c>
      <c r="I1087" s="215" t="s">
        <v>5542</v>
      </c>
      <c r="J1087" s="215" t="s">
        <v>77</v>
      </c>
      <c r="K1087" s="265" t="s">
        <v>649</v>
      </c>
      <c r="L1087" s="265" t="s">
        <v>649</v>
      </c>
      <c r="M1087" s="265" t="s">
        <v>649</v>
      </c>
      <c r="N1087" s="264">
        <v>0.13400000000000001</v>
      </c>
      <c r="O1087" s="265" t="s">
        <v>649</v>
      </c>
      <c r="P1087" s="265" t="s">
        <v>649</v>
      </c>
      <c r="Q1087" s="265" t="s">
        <v>649</v>
      </c>
    </row>
    <row r="1088" spans="1:17" ht="15" customHeight="1">
      <c r="A1088" s="147">
        <v>1106</v>
      </c>
      <c r="B1088" s="51" t="s">
        <v>28</v>
      </c>
      <c r="C1088" s="51" t="s">
        <v>5615</v>
      </c>
      <c r="D1088" s="51">
        <v>300005796</v>
      </c>
      <c r="E1088" s="53" t="s">
        <v>5616</v>
      </c>
      <c r="F1088" s="124">
        <v>50</v>
      </c>
      <c r="G1088" s="124" t="s">
        <v>649</v>
      </c>
      <c r="H1088" s="486" t="s">
        <v>5866</v>
      </c>
      <c r="I1088" s="215" t="s">
        <v>5542</v>
      </c>
      <c r="J1088" s="215" t="s">
        <v>77</v>
      </c>
      <c r="K1088" s="265" t="s">
        <v>649</v>
      </c>
      <c r="L1088" s="265" t="s">
        <v>649</v>
      </c>
      <c r="M1088" s="265" t="s">
        <v>649</v>
      </c>
      <c r="N1088" s="264">
        <v>0.317</v>
      </c>
      <c r="O1088" s="265" t="s">
        <v>649</v>
      </c>
      <c r="P1088" s="265" t="s">
        <v>649</v>
      </c>
      <c r="Q1088" s="265" t="s">
        <v>649</v>
      </c>
    </row>
    <row r="1089" spans="1:17" ht="15" customHeight="1">
      <c r="A1089" s="147">
        <v>1107</v>
      </c>
      <c r="B1089" s="51" t="s">
        <v>28</v>
      </c>
      <c r="C1089" s="51" t="s">
        <v>5617</v>
      </c>
      <c r="D1089" s="51">
        <v>300005728</v>
      </c>
      <c r="E1089" s="53" t="s">
        <v>5618</v>
      </c>
      <c r="F1089" s="124">
        <v>750</v>
      </c>
      <c r="G1089" s="124" t="s">
        <v>649</v>
      </c>
      <c r="H1089" s="486" t="s">
        <v>5866</v>
      </c>
      <c r="I1089" s="215" t="s">
        <v>5542</v>
      </c>
      <c r="J1089" s="215" t="s">
        <v>77</v>
      </c>
      <c r="K1089" s="265" t="s">
        <v>649</v>
      </c>
      <c r="L1089" s="265" t="s">
        <v>649</v>
      </c>
      <c r="M1089" s="265" t="s">
        <v>649</v>
      </c>
      <c r="N1089" s="264">
        <v>0.01</v>
      </c>
      <c r="O1089" s="265" t="s">
        <v>649</v>
      </c>
      <c r="P1089" s="265" t="s">
        <v>649</v>
      </c>
      <c r="Q1089" s="265" t="s">
        <v>649</v>
      </c>
    </row>
    <row r="1090" spans="1:17" ht="15" customHeight="1">
      <c r="A1090" s="147">
        <v>1108</v>
      </c>
      <c r="B1090" s="51" t="s">
        <v>28</v>
      </c>
      <c r="C1090" s="51" t="s">
        <v>5619</v>
      </c>
      <c r="D1090" s="51">
        <v>300005723</v>
      </c>
      <c r="E1090" s="53" t="s">
        <v>5620</v>
      </c>
      <c r="F1090" s="124">
        <v>350</v>
      </c>
      <c r="G1090" s="124" t="s">
        <v>649</v>
      </c>
      <c r="H1090" s="486" t="s">
        <v>5866</v>
      </c>
      <c r="I1090" s="215" t="s">
        <v>5542</v>
      </c>
      <c r="J1090" s="215" t="s">
        <v>77</v>
      </c>
      <c r="K1090" s="265" t="s">
        <v>649</v>
      </c>
      <c r="L1090" s="265" t="s">
        <v>649</v>
      </c>
      <c r="M1090" s="265" t="s">
        <v>649</v>
      </c>
      <c r="N1090" s="264">
        <v>1.7999999999999999E-2</v>
      </c>
      <c r="O1090" s="265" t="s">
        <v>649</v>
      </c>
      <c r="P1090" s="265" t="s">
        <v>649</v>
      </c>
      <c r="Q1090" s="265" t="s">
        <v>649</v>
      </c>
    </row>
    <row r="1091" spans="1:17" ht="15" customHeight="1">
      <c r="A1091" s="147">
        <v>1109</v>
      </c>
      <c r="B1091" s="51" t="s">
        <v>28</v>
      </c>
      <c r="C1091" s="51" t="s">
        <v>5621</v>
      </c>
      <c r="D1091" s="51">
        <v>300005721</v>
      </c>
      <c r="E1091" s="53" t="s">
        <v>5622</v>
      </c>
      <c r="F1091" s="124">
        <v>500</v>
      </c>
      <c r="G1091" s="124" t="s">
        <v>649</v>
      </c>
      <c r="H1091" s="486" t="s">
        <v>5866</v>
      </c>
      <c r="I1091" s="215" t="s">
        <v>5542</v>
      </c>
      <c r="J1091" s="215" t="s">
        <v>77</v>
      </c>
      <c r="K1091" s="265" t="s">
        <v>649</v>
      </c>
      <c r="L1091" s="265" t="s">
        <v>649</v>
      </c>
      <c r="M1091" s="265" t="s">
        <v>649</v>
      </c>
      <c r="N1091" s="264">
        <v>0.01</v>
      </c>
      <c r="O1091" s="265" t="s">
        <v>649</v>
      </c>
      <c r="P1091" s="265" t="s">
        <v>649</v>
      </c>
      <c r="Q1091" s="265" t="s">
        <v>649</v>
      </c>
    </row>
    <row r="1092" spans="1:17" ht="15" customHeight="1">
      <c r="A1092" s="147">
        <v>1110</v>
      </c>
      <c r="B1092" s="51" t="s">
        <v>28</v>
      </c>
      <c r="C1092" s="51" t="s">
        <v>5623</v>
      </c>
      <c r="D1092" s="51">
        <v>300005722</v>
      </c>
      <c r="E1092" s="53" t="s">
        <v>5624</v>
      </c>
      <c r="F1092" s="124">
        <v>250</v>
      </c>
      <c r="G1092" s="124" t="s">
        <v>649</v>
      </c>
      <c r="H1092" s="486" t="s">
        <v>5866</v>
      </c>
      <c r="I1092" s="215" t="s">
        <v>5542</v>
      </c>
      <c r="J1092" s="215" t="s">
        <v>77</v>
      </c>
      <c r="K1092" s="266">
        <v>810116843701</v>
      </c>
      <c r="L1092" s="265" t="s">
        <v>649</v>
      </c>
      <c r="M1092" s="265" t="s">
        <v>649</v>
      </c>
      <c r="N1092" s="264">
        <v>1.7999999999999999E-2</v>
      </c>
      <c r="O1092" s="265" t="s">
        <v>649</v>
      </c>
      <c r="P1092" s="265" t="s">
        <v>649</v>
      </c>
      <c r="Q1092" s="265" t="s">
        <v>649</v>
      </c>
    </row>
    <row r="1093" spans="1:17" ht="15" customHeight="1">
      <c r="A1093" s="147">
        <v>1111</v>
      </c>
      <c r="B1093" s="51" t="s">
        <v>28</v>
      </c>
      <c r="C1093" s="51" t="s">
        <v>5625</v>
      </c>
      <c r="D1093" s="51">
        <v>300005718</v>
      </c>
      <c r="E1093" s="53" t="s">
        <v>5626</v>
      </c>
      <c r="F1093" s="124">
        <v>100</v>
      </c>
      <c r="G1093" s="124" t="s">
        <v>649</v>
      </c>
      <c r="H1093" s="486" t="s">
        <v>5866</v>
      </c>
      <c r="I1093" s="215" t="s">
        <v>5542</v>
      </c>
      <c r="J1093" s="215" t="s">
        <v>77</v>
      </c>
      <c r="K1093" s="265" t="s">
        <v>649</v>
      </c>
      <c r="L1093" s="265" t="s">
        <v>649</v>
      </c>
      <c r="M1093" s="265" t="s">
        <v>649</v>
      </c>
      <c r="N1093" s="264">
        <v>0.04</v>
      </c>
      <c r="O1093" s="265" t="s">
        <v>649</v>
      </c>
      <c r="P1093" s="265" t="s">
        <v>649</v>
      </c>
      <c r="Q1093" s="265" t="s">
        <v>649</v>
      </c>
    </row>
    <row r="1094" spans="1:17" ht="15" customHeight="1">
      <c r="A1094" s="147">
        <v>1112</v>
      </c>
      <c r="B1094" s="51" t="s">
        <v>28</v>
      </c>
      <c r="C1094" s="51" t="s">
        <v>5627</v>
      </c>
      <c r="D1094" s="51">
        <v>300006056</v>
      </c>
      <c r="E1094" s="53" t="s">
        <v>5628</v>
      </c>
      <c r="F1094" s="124">
        <v>500</v>
      </c>
      <c r="G1094" s="124" t="s">
        <v>649</v>
      </c>
      <c r="H1094" s="486" t="s">
        <v>5866</v>
      </c>
      <c r="I1094" s="215" t="s">
        <v>5542</v>
      </c>
      <c r="J1094" s="215" t="s">
        <v>77</v>
      </c>
      <c r="K1094" s="266">
        <v>810673012268</v>
      </c>
      <c r="L1094" s="265" t="s">
        <v>649</v>
      </c>
      <c r="M1094" s="266">
        <v>10810673012265</v>
      </c>
      <c r="N1094" s="264">
        <v>8.2000000000000003E-2</v>
      </c>
      <c r="O1094" s="265" t="s">
        <v>649</v>
      </c>
      <c r="P1094" s="265" t="s">
        <v>649</v>
      </c>
      <c r="Q1094" s="265" t="s">
        <v>649</v>
      </c>
    </row>
    <row r="1095" spans="1:17" ht="15" customHeight="1">
      <c r="A1095" s="147">
        <v>1113</v>
      </c>
      <c r="B1095" s="51" t="s">
        <v>28</v>
      </c>
      <c r="C1095" s="51" t="s">
        <v>5629</v>
      </c>
      <c r="D1095" s="51">
        <v>300006055</v>
      </c>
      <c r="E1095" s="53" t="s">
        <v>5630</v>
      </c>
      <c r="F1095" s="124">
        <v>250</v>
      </c>
      <c r="G1095" s="124" t="s">
        <v>649</v>
      </c>
      <c r="H1095" s="486" t="s">
        <v>5866</v>
      </c>
      <c r="I1095" s="215" t="s">
        <v>5542</v>
      </c>
      <c r="J1095" s="215" t="s">
        <v>77</v>
      </c>
      <c r="K1095" s="266">
        <v>810673012275</v>
      </c>
      <c r="L1095" s="265" t="s">
        <v>649</v>
      </c>
      <c r="M1095" s="266">
        <v>10810673012272</v>
      </c>
      <c r="N1095" s="264">
        <v>0.126</v>
      </c>
      <c r="O1095" s="265" t="s">
        <v>649</v>
      </c>
      <c r="P1095" s="265" t="s">
        <v>649</v>
      </c>
      <c r="Q1095" s="265" t="s">
        <v>649</v>
      </c>
    </row>
    <row r="1096" spans="1:17" ht="15" customHeight="1">
      <c r="A1096" s="147">
        <v>1114</v>
      </c>
      <c r="B1096" s="51" t="s">
        <v>28</v>
      </c>
      <c r="C1096" s="51" t="s">
        <v>5631</v>
      </c>
      <c r="D1096" s="51">
        <v>300005828</v>
      </c>
      <c r="E1096" s="53" t="s">
        <v>5632</v>
      </c>
      <c r="F1096" s="124">
        <v>100</v>
      </c>
      <c r="G1096" s="124" t="s">
        <v>649</v>
      </c>
      <c r="H1096" s="486" t="s">
        <v>5866</v>
      </c>
      <c r="I1096" s="215" t="s">
        <v>5542</v>
      </c>
      <c r="J1096" s="215" t="s">
        <v>77</v>
      </c>
      <c r="K1096" s="265" t="s">
        <v>649</v>
      </c>
      <c r="L1096" s="265" t="s">
        <v>649</v>
      </c>
      <c r="M1096" s="265" t="s">
        <v>649</v>
      </c>
      <c r="N1096" s="264">
        <v>0.23799999999999999</v>
      </c>
      <c r="O1096" s="265" t="s">
        <v>649</v>
      </c>
      <c r="P1096" s="265" t="s">
        <v>649</v>
      </c>
      <c r="Q1096" s="265" t="s">
        <v>649</v>
      </c>
    </row>
    <row r="1097" spans="1:17" ht="15" customHeight="1">
      <c r="A1097" s="147">
        <v>1115</v>
      </c>
      <c r="B1097" s="51" t="s">
        <v>28</v>
      </c>
      <c r="C1097" s="51" t="s">
        <v>5633</v>
      </c>
      <c r="D1097" s="51">
        <v>300005741</v>
      </c>
      <c r="E1097" s="53" t="s">
        <v>5634</v>
      </c>
      <c r="F1097" s="124">
        <v>100</v>
      </c>
      <c r="G1097" s="124" t="s">
        <v>649</v>
      </c>
      <c r="H1097" s="486" t="s">
        <v>5866</v>
      </c>
      <c r="I1097" s="215" t="s">
        <v>5542</v>
      </c>
      <c r="J1097" s="215" t="s">
        <v>77</v>
      </c>
      <c r="K1097" s="265" t="s">
        <v>649</v>
      </c>
      <c r="L1097" s="265" t="s">
        <v>649</v>
      </c>
      <c r="M1097" s="265" t="s">
        <v>649</v>
      </c>
      <c r="N1097" s="264">
        <v>0.85299999999999998</v>
      </c>
      <c r="O1097" s="265" t="s">
        <v>649</v>
      </c>
      <c r="P1097" s="265" t="s">
        <v>649</v>
      </c>
      <c r="Q1097" s="265" t="s">
        <v>649</v>
      </c>
    </row>
    <row r="1098" spans="1:17" ht="15" customHeight="1">
      <c r="A1098" s="147">
        <v>1116</v>
      </c>
      <c r="B1098" s="51" t="s">
        <v>28</v>
      </c>
      <c r="C1098" s="51" t="s">
        <v>5635</v>
      </c>
      <c r="D1098" s="51">
        <v>300005742</v>
      </c>
      <c r="E1098" s="53" t="s">
        <v>5636</v>
      </c>
      <c r="F1098" s="124">
        <v>100</v>
      </c>
      <c r="G1098" s="124" t="s">
        <v>649</v>
      </c>
      <c r="H1098" s="486" t="s">
        <v>5866</v>
      </c>
      <c r="I1098" s="215" t="s">
        <v>5542</v>
      </c>
      <c r="J1098" s="215" t="s">
        <v>77</v>
      </c>
      <c r="K1098" s="265" t="s">
        <v>649</v>
      </c>
      <c r="L1098" s="265" t="s">
        <v>649</v>
      </c>
      <c r="M1098" s="265" t="s">
        <v>649</v>
      </c>
      <c r="N1098" s="264">
        <v>1.113</v>
      </c>
      <c r="O1098" s="265" t="s">
        <v>649</v>
      </c>
      <c r="P1098" s="265" t="s">
        <v>649</v>
      </c>
      <c r="Q1098" s="265" t="s">
        <v>649</v>
      </c>
    </row>
    <row r="1099" spans="1:17" ht="15" customHeight="1">
      <c r="A1099" s="147">
        <v>1117</v>
      </c>
      <c r="B1099" s="51" t="s">
        <v>28</v>
      </c>
      <c r="C1099" s="51" t="s">
        <v>5637</v>
      </c>
      <c r="D1099" s="51">
        <v>300005738</v>
      </c>
      <c r="E1099" s="53" t="s">
        <v>5638</v>
      </c>
      <c r="F1099" s="124">
        <v>50</v>
      </c>
      <c r="G1099" s="124" t="s">
        <v>649</v>
      </c>
      <c r="H1099" s="486" t="s">
        <v>5866</v>
      </c>
      <c r="I1099" s="215" t="s">
        <v>5542</v>
      </c>
      <c r="J1099" s="215" t="s">
        <v>77</v>
      </c>
      <c r="K1099" s="265" t="s">
        <v>649</v>
      </c>
      <c r="L1099" s="265" t="s">
        <v>649</v>
      </c>
      <c r="M1099" s="265" t="s">
        <v>649</v>
      </c>
      <c r="N1099" s="264">
        <v>1.7789999999999999</v>
      </c>
      <c r="O1099" s="265" t="s">
        <v>649</v>
      </c>
      <c r="P1099" s="265" t="s">
        <v>649</v>
      </c>
      <c r="Q1099" s="265" t="s">
        <v>649</v>
      </c>
    </row>
    <row r="1100" spans="1:17" ht="15" customHeight="1">
      <c r="A1100" s="147">
        <v>1118</v>
      </c>
      <c r="B1100" s="51" t="s">
        <v>28</v>
      </c>
      <c r="C1100" s="51" t="s">
        <v>5639</v>
      </c>
      <c r="D1100" s="51">
        <v>100029325</v>
      </c>
      <c r="E1100" s="53" t="s">
        <v>5640</v>
      </c>
      <c r="F1100" s="124">
        <v>250</v>
      </c>
      <c r="G1100" s="124" t="s">
        <v>649</v>
      </c>
      <c r="H1100" s="369">
        <v>3.42</v>
      </c>
      <c r="I1100" s="215" t="s">
        <v>5542</v>
      </c>
      <c r="J1100" s="215" t="s">
        <v>77</v>
      </c>
      <c r="K1100" s="265" t="s">
        <v>649</v>
      </c>
      <c r="L1100" s="265" t="s">
        <v>649</v>
      </c>
      <c r="M1100" s="265" t="s">
        <v>649</v>
      </c>
      <c r="N1100" s="264">
        <v>2.4E-2</v>
      </c>
      <c r="O1100" s="265" t="s">
        <v>649</v>
      </c>
      <c r="P1100" s="265" t="s">
        <v>649</v>
      </c>
      <c r="Q1100" s="265" t="s">
        <v>649</v>
      </c>
    </row>
    <row r="1101" spans="1:17" ht="15" customHeight="1">
      <c r="A1101" s="147">
        <v>1119</v>
      </c>
      <c r="B1101" s="51" t="s">
        <v>28</v>
      </c>
      <c r="C1101" s="51" t="s">
        <v>5641</v>
      </c>
      <c r="D1101" s="51">
        <v>300005717</v>
      </c>
      <c r="E1101" s="53" t="s">
        <v>5642</v>
      </c>
      <c r="F1101" s="124">
        <v>250</v>
      </c>
      <c r="G1101" s="124" t="s">
        <v>649</v>
      </c>
      <c r="H1101" s="486" t="s">
        <v>5866</v>
      </c>
      <c r="I1101" s="215" t="s">
        <v>5542</v>
      </c>
      <c r="J1101" s="215" t="s">
        <v>77</v>
      </c>
      <c r="K1101" s="266">
        <v>810116843602</v>
      </c>
      <c r="L1101" s="265" t="s">
        <v>649</v>
      </c>
      <c r="M1101" s="265" t="s">
        <v>649</v>
      </c>
      <c r="N1101" s="264">
        <v>0.14000000000000001</v>
      </c>
      <c r="O1101" s="265" t="s">
        <v>649</v>
      </c>
      <c r="P1101" s="265" t="s">
        <v>649</v>
      </c>
      <c r="Q1101" s="265" t="s">
        <v>649</v>
      </c>
    </row>
    <row r="1102" spans="1:17" ht="15" customHeight="1">
      <c r="A1102" s="147">
        <v>1120</v>
      </c>
      <c r="B1102" s="51" t="s">
        <v>28</v>
      </c>
      <c r="C1102" s="51" t="s">
        <v>5643</v>
      </c>
      <c r="D1102" s="51">
        <v>300005950</v>
      </c>
      <c r="E1102" s="53" t="s">
        <v>5642</v>
      </c>
      <c r="F1102" s="124">
        <v>250</v>
      </c>
      <c r="G1102" s="124" t="s">
        <v>649</v>
      </c>
      <c r="H1102" s="486" t="s">
        <v>5866</v>
      </c>
      <c r="I1102" s="215" t="s">
        <v>5542</v>
      </c>
      <c r="J1102" s="215" t="s">
        <v>77</v>
      </c>
      <c r="K1102" s="265" t="s">
        <v>649</v>
      </c>
      <c r="L1102" s="265" t="s">
        <v>649</v>
      </c>
      <c r="M1102" s="265" t="s">
        <v>649</v>
      </c>
      <c r="N1102" s="264">
        <v>1.4E-2</v>
      </c>
      <c r="O1102" s="265" t="s">
        <v>649</v>
      </c>
      <c r="P1102" s="265" t="s">
        <v>649</v>
      </c>
      <c r="Q1102" s="265" t="s">
        <v>649</v>
      </c>
    </row>
    <row r="1103" spans="1:17" ht="15" customHeight="1">
      <c r="A1103" s="147">
        <v>1121</v>
      </c>
      <c r="B1103" s="51" t="s">
        <v>28</v>
      </c>
      <c r="C1103" s="51" t="s">
        <v>5644</v>
      </c>
      <c r="D1103" s="51">
        <v>300005716</v>
      </c>
      <c r="E1103" s="53" t="s">
        <v>5645</v>
      </c>
      <c r="F1103" s="124">
        <v>100</v>
      </c>
      <c r="G1103" s="124" t="s">
        <v>649</v>
      </c>
      <c r="H1103" s="486" t="s">
        <v>5866</v>
      </c>
      <c r="I1103" s="215" t="s">
        <v>5542</v>
      </c>
      <c r="J1103" s="215" t="s">
        <v>77</v>
      </c>
      <c r="K1103" s="266">
        <v>810116843640</v>
      </c>
      <c r="L1103" s="265" t="s">
        <v>649</v>
      </c>
      <c r="M1103" s="265" t="s">
        <v>649</v>
      </c>
      <c r="N1103" s="264">
        <v>2.5999999999999999E-2</v>
      </c>
      <c r="O1103" s="265" t="s">
        <v>649</v>
      </c>
      <c r="P1103" s="265" t="s">
        <v>649</v>
      </c>
      <c r="Q1103" s="265" t="s">
        <v>649</v>
      </c>
    </row>
    <row r="1104" spans="1:17" ht="15" customHeight="1">
      <c r="A1104" s="147">
        <v>1122</v>
      </c>
      <c r="B1104" s="51" t="s">
        <v>28</v>
      </c>
      <c r="C1104" s="51" t="s">
        <v>5646</v>
      </c>
      <c r="D1104" s="51">
        <v>300006064</v>
      </c>
      <c r="E1104" s="53" t="s">
        <v>5647</v>
      </c>
      <c r="F1104" s="124">
        <v>500</v>
      </c>
      <c r="G1104" s="124" t="s">
        <v>649</v>
      </c>
      <c r="H1104" s="486" t="s">
        <v>5866</v>
      </c>
      <c r="I1104" s="215" t="s">
        <v>5542</v>
      </c>
      <c r="J1104" s="215" t="s">
        <v>77</v>
      </c>
      <c r="K1104" s="266">
        <v>810673012282</v>
      </c>
      <c r="L1104" s="265" t="s">
        <v>649</v>
      </c>
      <c r="M1104" s="266">
        <v>10810673012289</v>
      </c>
      <c r="N1104" s="264">
        <v>0.13</v>
      </c>
      <c r="O1104" s="265" t="s">
        <v>649</v>
      </c>
      <c r="P1104" s="265" t="s">
        <v>649</v>
      </c>
      <c r="Q1104" s="265" t="s">
        <v>649</v>
      </c>
    </row>
    <row r="1105" spans="1:17" ht="15" customHeight="1">
      <c r="A1105" s="147">
        <v>1123</v>
      </c>
      <c r="B1105" s="51" t="s">
        <v>28</v>
      </c>
      <c r="C1105" s="51" t="s">
        <v>5648</v>
      </c>
      <c r="D1105" s="51">
        <v>300006063</v>
      </c>
      <c r="E1105" s="53" t="s">
        <v>5649</v>
      </c>
      <c r="F1105" s="124">
        <v>250</v>
      </c>
      <c r="G1105" s="124" t="s">
        <v>649</v>
      </c>
      <c r="H1105" s="486" t="s">
        <v>5866</v>
      </c>
      <c r="I1105" s="215" t="s">
        <v>5542</v>
      </c>
      <c r="J1105" s="215" t="s">
        <v>77</v>
      </c>
      <c r="K1105" s="266">
        <v>810673012350</v>
      </c>
      <c r="L1105" s="265" t="s">
        <v>649</v>
      </c>
      <c r="M1105" s="266">
        <v>10810673012357</v>
      </c>
      <c r="N1105" s="264">
        <v>0.19</v>
      </c>
      <c r="O1105" s="265" t="s">
        <v>649</v>
      </c>
      <c r="P1105" s="265" t="s">
        <v>649</v>
      </c>
      <c r="Q1105" s="265" t="s">
        <v>649</v>
      </c>
    </row>
    <row r="1106" spans="1:17" ht="15" customHeight="1">
      <c r="A1106" s="147">
        <v>1124</v>
      </c>
      <c r="B1106" s="51" t="s">
        <v>28</v>
      </c>
      <c r="C1106" s="51" t="s">
        <v>5650</v>
      </c>
      <c r="D1106" s="51">
        <v>300005825</v>
      </c>
      <c r="E1106" s="53" t="s">
        <v>5651</v>
      </c>
      <c r="F1106" s="124">
        <v>100</v>
      </c>
      <c r="G1106" s="124" t="s">
        <v>649</v>
      </c>
      <c r="H1106" s="486" t="s">
        <v>5866</v>
      </c>
      <c r="I1106" s="215" t="s">
        <v>5542</v>
      </c>
      <c r="J1106" s="215" t="s">
        <v>77</v>
      </c>
      <c r="K1106" s="265" t="s">
        <v>649</v>
      </c>
      <c r="L1106" s="265" t="s">
        <v>649</v>
      </c>
      <c r="M1106" s="265" t="s">
        <v>649</v>
      </c>
      <c r="N1106" s="264">
        <v>0.42799999999999999</v>
      </c>
      <c r="O1106" s="265" t="s">
        <v>649</v>
      </c>
      <c r="P1106" s="265" t="s">
        <v>649</v>
      </c>
      <c r="Q1106" s="265" t="s">
        <v>649</v>
      </c>
    </row>
    <row r="1107" spans="1:17" ht="15" customHeight="1">
      <c r="A1107" s="147">
        <v>1125</v>
      </c>
      <c r="B1107" s="51" t="s">
        <v>28</v>
      </c>
      <c r="C1107" s="51" t="s">
        <v>5652</v>
      </c>
      <c r="D1107" s="51">
        <v>300005739</v>
      </c>
      <c r="E1107" s="53" t="s">
        <v>5653</v>
      </c>
      <c r="F1107" s="124">
        <v>100</v>
      </c>
      <c r="G1107" s="124" t="s">
        <v>649</v>
      </c>
      <c r="H1107" s="486" t="s">
        <v>5866</v>
      </c>
      <c r="I1107" s="215" t="s">
        <v>5542</v>
      </c>
      <c r="J1107" s="215" t="s">
        <v>77</v>
      </c>
      <c r="K1107" s="265" t="s">
        <v>649</v>
      </c>
      <c r="L1107" s="265" t="s">
        <v>649</v>
      </c>
      <c r="M1107" s="265" t="s">
        <v>649</v>
      </c>
      <c r="N1107" s="264">
        <v>9.5000000000000001E-2</v>
      </c>
      <c r="O1107" s="265" t="s">
        <v>649</v>
      </c>
      <c r="P1107" s="265" t="s">
        <v>649</v>
      </c>
      <c r="Q1107" s="265" t="s">
        <v>649</v>
      </c>
    </row>
    <row r="1108" spans="1:17" ht="15" customHeight="1">
      <c r="A1108" s="147">
        <v>1126</v>
      </c>
      <c r="B1108" s="51" t="s">
        <v>28</v>
      </c>
      <c r="C1108" s="51" t="s">
        <v>5654</v>
      </c>
      <c r="D1108" s="51">
        <v>300005740</v>
      </c>
      <c r="E1108" s="53" t="s">
        <v>5655</v>
      </c>
      <c r="F1108" s="124">
        <v>100</v>
      </c>
      <c r="G1108" s="124" t="s">
        <v>649</v>
      </c>
      <c r="H1108" s="486" t="s">
        <v>5866</v>
      </c>
      <c r="I1108" s="215" t="s">
        <v>5542</v>
      </c>
      <c r="J1108" s="215" t="s">
        <v>77</v>
      </c>
      <c r="K1108" s="265" t="s">
        <v>649</v>
      </c>
      <c r="L1108" s="265" t="s">
        <v>649</v>
      </c>
      <c r="M1108" s="265" t="s">
        <v>649</v>
      </c>
      <c r="N1108" s="264">
        <v>0.91900000000000004</v>
      </c>
      <c r="O1108" s="265" t="s">
        <v>649</v>
      </c>
      <c r="P1108" s="265" t="s">
        <v>649</v>
      </c>
      <c r="Q1108" s="265" t="s">
        <v>649</v>
      </c>
    </row>
    <row r="1109" spans="1:17" ht="15" customHeight="1">
      <c r="A1109" s="147">
        <v>1127</v>
      </c>
      <c r="B1109" s="51" t="s">
        <v>28</v>
      </c>
      <c r="C1109" s="51" t="s">
        <v>5656</v>
      </c>
      <c r="D1109" s="51">
        <v>300005737</v>
      </c>
      <c r="E1109" s="53" t="s">
        <v>5657</v>
      </c>
      <c r="F1109" s="124">
        <v>50</v>
      </c>
      <c r="G1109" s="124" t="s">
        <v>649</v>
      </c>
      <c r="H1109" s="486" t="s">
        <v>5866</v>
      </c>
      <c r="I1109" s="215" t="s">
        <v>5542</v>
      </c>
      <c r="J1109" s="215" t="s">
        <v>77</v>
      </c>
      <c r="K1109" s="265" t="s">
        <v>649</v>
      </c>
      <c r="L1109" s="265" t="s">
        <v>649</v>
      </c>
      <c r="M1109" s="265" t="s">
        <v>649</v>
      </c>
      <c r="N1109" s="264">
        <v>0.313</v>
      </c>
      <c r="O1109" s="265" t="s">
        <v>649</v>
      </c>
      <c r="P1109" s="265" t="s">
        <v>649</v>
      </c>
      <c r="Q1109" s="265" t="s">
        <v>649</v>
      </c>
    </row>
    <row r="1110" spans="1:17" ht="15" customHeight="1">
      <c r="A1110" s="147">
        <v>1129</v>
      </c>
      <c r="B1110" s="51" t="s">
        <v>28</v>
      </c>
      <c r="C1110" s="51" t="s">
        <v>5658</v>
      </c>
      <c r="D1110" s="51">
        <v>300006067</v>
      </c>
      <c r="E1110" s="53" t="s">
        <v>5659</v>
      </c>
      <c r="F1110" s="124">
        <v>250</v>
      </c>
      <c r="G1110" s="124" t="s">
        <v>649</v>
      </c>
      <c r="H1110" s="486" t="s">
        <v>5866</v>
      </c>
      <c r="I1110" s="215" t="s">
        <v>5542</v>
      </c>
      <c r="J1110" s="215" t="s">
        <v>77</v>
      </c>
      <c r="K1110" s="266">
        <v>810673012251</v>
      </c>
      <c r="L1110" s="265" t="s">
        <v>649</v>
      </c>
      <c r="M1110" s="266">
        <v>10810673012258</v>
      </c>
      <c r="N1110" s="264">
        <v>1.2999999999999999E-2</v>
      </c>
      <c r="O1110" s="265" t="s">
        <v>649</v>
      </c>
      <c r="P1110" s="265" t="s">
        <v>649</v>
      </c>
      <c r="Q1110" s="265" t="s">
        <v>649</v>
      </c>
    </row>
    <row r="1111" spans="1:17" ht="15" customHeight="1">
      <c r="A1111" s="147">
        <v>1130</v>
      </c>
      <c r="B1111" s="51" t="s">
        <v>28</v>
      </c>
      <c r="C1111" s="51" t="s">
        <v>5660</v>
      </c>
      <c r="D1111" s="51">
        <v>300005812</v>
      </c>
      <c r="E1111" s="53" t="s">
        <v>5661</v>
      </c>
      <c r="F1111" s="124">
        <v>100</v>
      </c>
      <c r="G1111" s="124" t="s">
        <v>649</v>
      </c>
      <c r="H1111" s="486" t="s">
        <v>5866</v>
      </c>
      <c r="I1111" s="215" t="s">
        <v>5542</v>
      </c>
      <c r="J1111" s="215" t="s">
        <v>77</v>
      </c>
      <c r="K1111" s="265" t="s">
        <v>649</v>
      </c>
      <c r="L1111" s="265" t="s">
        <v>649</v>
      </c>
      <c r="M1111" s="265" t="s">
        <v>649</v>
      </c>
      <c r="N1111" s="264">
        <v>3.5000000000000003E-2</v>
      </c>
      <c r="O1111" s="265" t="s">
        <v>649</v>
      </c>
      <c r="P1111" s="265" t="s">
        <v>649</v>
      </c>
      <c r="Q1111" s="265" t="s">
        <v>649</v>
      </c>
    </row>
    <row r="1112" spans="1:17" ht="15" customHeight="1">
      <c r="A1112" s="147">
        <v>1131</v>
      </c>
      <c r="B1112" s="51" t="s">
        <v>28</v>
      </c>
      <c r="C1112" s="51" t="s">
        <v>5662</v>
      </c>
      <c r="D1112" s="51">
        <v>300005813</v>
      </c>
      <c r="E1112" s="53" t="s">
        <v>5663</v>
      </c>
      <c r="F1112" s="124">
        <v>100</v>
      </c>
      <c r="G1112" s="124" t="s">
        <v>649</v>
      </c>
      <c r="H1112" s="486" t="s">
        <v>5866</v>
      </c>
      <c r="I1112" s="215" t="s">
        <v>5542</v>
      </c>
      <c r="J1112" s="215" t="s">
        <v>77</v>
      </c>
      <c r="K1112" s="266">
        <v>810116843718</v>
      </c>
      <c r="L1112" s="265" t="s">
        <v>649</v>
      </c>
      <c r="M1112" s="265" t="s">
        <v>649</v>
      </c>
      <c r="N1112" s="264">
        <v>0.02</v>
      </c>
      <c r="O1112" s="265" t="s">
        <v>649</v>
      </c>
      <c r="P1112" s="265" t="s">
        <v>649</v>
      </c>
      <c r="Q1112" s="265" t="s">
        <v>649</v>
      </c>
    </row>
    <row r="1113" spans="1:17" ht="15" customHeight="1">
      <c r="A1113" s="147">
        <v>1132</v>
      </c>
      <c r="B1113" s="51" t="s">
        <v>28</v>
      </c>
      <c r="C1113" s="51" t="s">
        <v>5664</v>
      </c>
      <c r="D1113" s="51">
        <v>300005823</v>
      </c>
      <c r="E1113" s="53" t="s">
        <v>5665</v>
      </c>
      <c r="F1113" s="124">
        <v>100</v>
      </c>
      <c r="G1113" s="124" t="s">
        <v>649</v>
      </c>
      <c r="H1113" s="486" t="s">
        <v>5866</v>
      </c>
      <c r="I1113" s="215" t="s">
        <v>5542</v>
      </c>
      <c r="J1113" s="215" t="s">
        <v>77</v>
      </c>
      <c r="K1113" s="265" t="s">
        <v>649</v>
      </c>
      <c r="L1113" s="265" t="s">
        <v>649</v>
      </c>
      <c r="M1113" s="265" t="s">
        <v>649</v>
      </c>
      <c r="N1113" s="264">
        <v>0.51600000000000001</v>
      </c>
      <c r="O1113" s="265" t="s">
        <v>649</v>
      </c>
      <c r="P1113" s="265" t="s">
        <v>649</v>
      </c>
      <c r="Q1113" s="265" t="s">
        <v>649</v>
      </c>
    </row>
    <row r="1114" spans="1:17" ht="15" customHeight="1">
      <c r="A1114" s="147">
        <v>1133</v>
      </c>
      <c r="B1114" s="51" t="s">
        <v>28</v>
      </c>
      <c r="C1114" s="51" t="s">
        <v>5666</v>
      </c>
      <c r="D1114" s="51">
        <v>300005826</v>
      </c>
      <c r="E1114" s="53" t="s">
        <v>5667</v>
      </c>
      <c r="F1114" s="124">
        <v>100</v>
      </c>
      <c r="G1114" s="124" t="s">
        <v>649</v>
      </c>
      <c r="H1114" s="486" t="s">
        <v>5866</v>
      </c>
      <c r="I1114" s="215" t="s">
        <v>5542</v>
      </c>
      <c r="J1114" s="215" t="s">
        <v>77</v>
      </c>
      <c r="K1114" s="266">
        <v>810116843725</v>
      </c>
      <c r="L1114" s="265" t="s">
        <v>649</v>
      </c>
      <c r="M1114" s="265" t="s">
        <v>649</v>
      </c>
      <c r="N1114" s="264">
        <v>0.55100000000000005</v>
      </c>
      <c r="O1114" s="265" t="s">
        <v>649</v>
      </c>
      <c r="P1114" s="265" t="s">
        <v>649</v>
      </c>
      <c r="Q1114" s="265" t="s">
        <v>649</v>
      </c>
    </row>
    <row r="1115" spans="1:17" ht="15" customHeight="1">
      <c r="A1115" s="147">
        <v>1134</v>
      </c>
      <c r="B1115" s="51" t="s">
        <v>28</v>
      </c>
      <c r="C1115" s="51" t="s">
        <v>5668</v>
      </c>
      <c r="D1115" s="51">
        <v>300005818</v>
      </c>
      <c r="E1115" s="53" t="s">
        <v>5669</v>
      </c>
      <c r="F1115" s="124">
        <v>100</v>
      </c>
      <c r="G1115" s="124" t="s">
        <v>649</v>
      </c>
      <c r="H1115" s="486" t="s">
        <v>5866</v>
      </c>
      <c r="I1115" s="215" t="s">
        <v>5542</v>
      </c>
      <c r="J1115" s="215" t="s">
        <v>77</v>
      </c>
      <c r="K1115" s="266">
        <v>810116843633</v>
      </c>
      <c r="L1115" s="265" t="s">
        <v>649</v>
      </c>
      <c r="M1115" s="265" t="s">
        <v>649</v>
      </c>
      <c r="N1115" s="264">
        <v>4.2000000000000003E-2</v>
      </c>
      <c r="O1115" s="265" t="s">
        <v>649</v>
      </c>
      <c r="P1115" s="265" t="s">
        <v>649</v>
      </c>
      <c r="Q1115" s="265" t="s">
        <v>649</v>
      </c>
    </row>
    <row r="1116" spans="1:17" ht="15" customHeight="1">
      <c r="A1116" s="147">
        <v>1135</v>
      </c>
      <c r="B1116" s="51" t="s">
        <v>28</v>
      </c>
      <c r="C1116" s="51" t="s">
        <v>5670</v>
      </c>
      <c r="D1116" s="51">
        <v>300005824</v>
      </c>
      <c r="E1116" s="53" t="s">
        <v>5671</v>
      </c>
      <c r="F1116" s="124">
        <v>100</v>
      </c>
      <c r="G1116" s="124" t="s">
        <v>649</v>
      </c>
      <c r="H1116" s="486" t="s">
        <v>5866</v>
      </c>
      <c r="I1116" s="215" t="s">
        <v>5542</v>
      </c>
      <c r="J1116" s="215" t="s">
        <v>77</v>
      </c>
      <c r="K1116" s="265" t="s">
        <v>649</v>
      </c>
      <c r="L1116" s="265" t="s">
        <v>649</v>
      </c>
      <c r="M1116" s="265" t="s">
        <v>649</v>
      </c>
      <c r="N1116" s="264">
        <v>8.5999999999999993E-2</v>
      </c>
      <c r="O1116" s="265" t="s">
        <v>649</v>
      </c>
      <c r="P1116" s="265" t="s">
        <v>649</v>
      </c>
      <c r="Q1116" s="265" t="s">
        <v>649</v>
      </c>
    </row>
    <row r="1117" spans="1:17" ht="15" customHeight="1">
      <c r="A1117" s="147">
        <v>1136</v>
      </c>
      <c r="B1117" s="51" t="s">
        <v>28</v>
      </c>
      <c r="C1117" s="51" t="s">
        <v>5672</v>
      </c>
      <c r="D1117" s="51">
        <v>300005817</v>
      </c>
      <c r="E1117" s="53" t="s">
        <v>5673</v>
      </c>
      <c r="F1117" s="124">
        <v>100</v>
      </c>
      <c r="G1117" s="124" t="s">
        <v>649</v>
      </c>
      <c r="H1117" s="486" t="s">
        <v>5866</v>
      </c>
      <c r="I1117" s="215" t="s">
        <v>5542</v>
      </c>
      <c r="J1117" s="215" t="s">
        <v>77</v>
      </c>
      <c r="K1117" s="265" t="s">
        <v>649</v>
      </c>
      <c r="L1117" s="265" t="s">
        <v>649</v>
      </c>
      <c r="M1117" s="265" t="s">
        <v>649</v>
      </c>
      <c r="N1117" s="264">
        <v>8.4000000000000005E-2</v>
      </c>
      <c r="O1117" s="265" t="s">
        <v>649</v>
      </c>
      <c r="P1117" s="265" t="s">
        <v>649</v>
      </c>
      <c r="Q1117" s="265" t="s">
        <v>649</v>
      </c>
    </row>
    <row r="1118" spans="1:17" ht="15" customHeight="1">
      <c r="A1118" s="147">
        <v>1137</v>
      </c>
      <c r="B1118" s="51" t="s">
        <v>28</v>
      </c>
      <c r="C1118" s="51" t="s">
        <v>5674</v>
      </c>
      <c r="D1118" s="51">
        <v>300005827</v>
      </c>
      <c r="E1118" s="53" t="s">
        <v>5675</v>
      </c>
      <c r="F1118" s="124">
        <v>100</v>
      </c>
      <c r="G1118" s="124" t="s">
        <v>649</v>
      </c>
      <c r="H1118" s="486" t="s">
        <v>5866</v>
      </c>
      <c r="I1118" s="215" t="s">
        <v>5542</v>
      </c>
      <c r="J1118" s="215" t="s">
        <v>77</v>
      </c>
      <c r="K1118" s="265" t="s">
        <v>649</v>
      </c>
      <c r="L1118" s="265" t="s">
        <v>649</v>
      </c>
      <c r="M1118" s="265" t="s">
        <v>649</v>
      </c>
      <c r="N1118" s="264">
        <v>5.5E-2</v>
      </c>
      <c r="O1118" s="265" t="s">
        <v>649</v>
      </c>
      <c r="P1118" s="265" t="s">
        <v>649</v>
      </c>
      <c r="Q1118" s="265" t="s">
        <v>649</v>
      </c>
    </row>
    <row r="1119" spans="1:17" ht="15" customHeight="1">
      <c r="A1119" s="147">
        <v>1138</v>
      </c>
      <c r="B1119" s="51" t="s">
        <v>28</v>
      </c>
      <c r="C1119" s="51" t="s">
        <v>5676</v>
      </c>
      <c r="D1119" s="51">
        <v>300005811</v>
      </c>
      <c r="E1119" s="53" t="s">
        <v>5677</v>
      </c>
      <c r="F1119" s="124">
        <v>50</v>
      </c>
      <c r="G1119" s="124" t="s">
        <v>649</v>
      </c>
      <c r="H1119" s="486" t="s">
        <v>5866</v>
      </c>
      <c r="I1119" s="215" t="s">
        <v>5542</v>
      </c>
      <c r="J1119" s="215" t="s">
        <v>77</v>
      </c>
      <c r="K1119" s="265" t="s">
        <v>649</v>
      </c>
      <c r="L1119" s="265" t="s">
        <v>649</v>
      </c>
      <c r="M1119" s="265" t="s">
        <v>649</v>
      </c>
      <c r="N1119" s="264">
        <v>0.17899999999999999</v>
      </c>
      <c r="O1119" s="265" t="s">
        <v>649</v>
      </c>
      <c r="P1119" s="265" t="s">
        <v>649</v>
      </c>
      <c r="Q1119" s="265" t="s">
        <v>649</v>
      </c>
    </row>
    <row r="1120" spans="1:17" ht="15" customHeight="1">
      <c r="A1120" s="147">
        <v>1139</v>
      </c>
      <c r="B1120" s="51" t="s">
        <v>28</v>
      </c>
      <c r="C1120" s="51" t="s">
        <v>5678</v>
      </c>
      <c r="D1120" s="51">
        <v>300005819</v>
      </c>
      <c r="E1120" s="53" t="s">
        <v>5679</v>
      </c>
      <c r="F1120" s="124">
        <v>50</v>
      </c>
      <c r="G1120" s="124" t="s">
        <v>649</v>
      </c>
      <c r="H1120" s="486" t="s">
        <v>5866</v>
      </c>
      <c r="I1120" s="215" t="s">
        <v>5542</v>
      </c>
      <c r="J1120" s="215" t="s">
        <v>77</v>
      </c>
      <c r="K1120" s="265" t="s">
        <v>649</v>
      </c>
      <c r="L1120" s="265" t="s">
        <v>649</v>
      </c>
      <c r="M1120" s="265" t="s">
        <v>649</v>
      </c>
      <c r="N1120" s="264">
        <v>0.19400000000000001</v>
      </c>
      <c r="O1120" s="265" t="s">
        <v>649</v>
      </c>
      <c r="P1120" s="265" t="s">
        <v>649</v>
      </c>
      <c r="Q1120" s="265" t="s">
        <v>649</v>
      </c>
    </row>
    <row r="1121" spans="1:17" ht="15" customHeight="1">
      <c r="A1121" s="147">
        <v>1140</v>
      </c>
      <c r="B1121" s="51" t="s">
        <v>28</v>
      </c>
      <c r="C1121" s="51" t="s">
        <v>5680</v>
      </c>
      <c r="D1121" s="51">
        <v>300005820</v>
      </c>
      <c r="E1121" s="53" t="s">
        <v>5681</v>
      </c>
      <c r="F1121" s="124">
        <v>50</v>
      </c>
      <c r="G1121" s="124" t="s">
        <v>649</v>
      </c>
      <c r="H1121" s="486" t="s">
        <v>5866</v>
      </c>
      <c r="I1121" s="215" t="s">
        <v>5542</v>
      </c>
      <c r="J1121" s="215" t="s">
        <v>77</v>
      </c>
      <c r="K1121" s="265" t="s">
        <v>649</v>
      </c>
      <c r="L1121" s="265" t="s">
        <v>649</v>
      </c>
      <c r="M1121" s="265" t="s">
        <v>649</v>
      </c>
      <c r="N1121" s="264">
        <v>0.161</v>
      </c>
      <c r="O1121" s="265" t="s">
        <v>649</v>
      </c>
      <c r="P1121" s="265" t="s">
        <v>649</v>
      </c>
      <c r="Q1121" s="265" t="s">
        <v>649</v>
      </c>
    </row>
    <row r="1122" spans="1:17" ht="15" customHeight="1">
      <c r="A1122" s="147">
        <v>1141</v>
      </c>
      <c r="B1122" s="51" t="s">
        <v>28</v>
      </c>
      <c r="C1122" s="51" t="s">
        <v>5682</v>
      </c>
      <c r="D1122" s="51">
        <v>300006066</v>
      </c>
      <c r="E1122" s="53" t="s">
        <v>5683</v>
      </c>
      <c r="F1122" s="124">
        <v>500</v>
      </c>
      <c r="G1122" s="124" t="s">
        <v>649</v>
      </c>
      <c r="H1122" s="486" t="s">
        <v>5866</v>
      </c>
      <c r="I1122" s="215" t="s">
        <v>5542</v>
      </c>
      <c r="J1122" s="215" t="s">
        <v>77</v>
      </c>
      <c r="K1122" s="266">
        <v>810673012220</v>
      </c>
      <c r="L1122" s="265" t="s">
        <v>649</v>
      </c>
      <c r="M1122" s="266">
        <v>10810673012227</v>
      </c>
      <c r="N1122" s="264">
        <v>1.0999999999999999E-2</v>
      </c>
      <c r="O1122" s="265" t="s">
        <v>649</v>
      </c>
      <c r="P1122" s="265" t="s">
        <v>649</v>
      </c>
      <c r="Q1122" s="265" t="s">
        <v>649</v>
      </c>
    </row>
    <row r="1123" spans="1:17" ht="15" customHeight="1">
      <c r="A1123" s="147">
        <v>1142</v>
      </c>
      <c r="B1123" s="51" t="s">
        <v>28</v>
      </c>
      <c r="C1123" s="51" t="s">
        <v>5684</v>
      </c>
      <c r="D1123" s="51">
        <v>300006065</v>
      </c>
      <c r="E1123" s="53" t="s">
        <v>5685</v>
      </c>
      <c r="F1123" s="124">
        <v>250</v>
      </c>
      <c r="G1123" s="124" t="s">
        <v>649</v>
      </c>
      <c r="H1123" s="486" t="s">
        <v>5866</v>
      </c>
      <c r="I1123" s="215" t="s">
        <v>5542</v>
      </c>
      <c r="J1123" s="215" t="s">
        <v>77</v>
      </c>
      <c r="K1123" s="266">
        <v>810673012244</v>
      </c>
      <c r="L1123" s="265" t="s">
        <v>649</v>
      </c>
      <c r="M1123" s="266">
        <v>10810673012241</v>
      </c>
      <c r="N1123" s="264">
        <v>2.4E-2</v>
      </c>
      <c r="O1123" s="265" t="s">
        <v>649</v>
      </c>
      <c r="P1123" s="265" t="s">
        <v>649</v>
      </c>
      <c r="Q1123" s="265" t="s">
        <v>649</v>
      </c>
    </row>
    <row r="1124" spans="1:17" ht="15" customHeight="1">
      <c r="A1124" s="147">
        <v>1143</v>
      </c>
      <c r="B1124" s="51" t="s">
        <v>28</v>
      </c>
      <c r="C1124" s="51" t="s">
        <v>5686</v>
      </c>
      <c r="D1124" s="51">
        <v>300005782</v>
      </c>
      <c r="E1124" s="53" t="s">
        <v>5687</v>
      </c>
      <c r="F1124" s="124">
        <v>100</v>
      </c>
      <c r="G1124" s="124" t="s">
        <v>649</v>
      </c>
      <c r="H1124" s="486" t="s">
        <v>5866</v>
      </c>
      <c r="I1124" s="215" t="s">
        <v>5542</v>
      </c>
      <c r="J1124" s="215" t="s">
        <v>77</v>
      </c>
      <c r="K1124" s="265" t="s">
        <v>649</v>
      </c>
      <c r="L1124" s="265" t="s">
        <v>649</v>
      </c>
      <c r="M1124" s="265" t="s">
        <v>649</v>
      </c>
      <c r="N1124" s="264">
        <v>4.9000000000000002E-2</v>
      </c>
      <c r="O1124" s="265" t="s">
        <v>649</v>
      </c>
      <c r="P1124" s="265" t="s">
        <v>649</v>
      </c>
      <c r="Q1124" s="265" t="s">
        <v>649</v>
      </c>
    </row>
    <row r="1125" spans="1:17" ht="15" customHeight="1">
      <c r="A1125" s="147">
        <v>1144</v>
      </c>
      <c r="B1125" s="51" t="s">
        <v>28</v>
      </c>
      <c r="C1125" s="51" t="s">
        <v>5688</v>
      </c>
      <c r="D1125" s="51">
        <v>300005787</v>
      </c>
      <c r="E1125" s="53" t="s">
        <v>5689</v>
      </c>
      <c r="F1125" s="124">
        <v>100</v>
      </c>
      <c r="G1125" s="124" t="s">
        <v>649</v>
      </c>
      <c r="H1125" s="486" t="s">
        <v>5866</v>
      </c>
      <c r="I1125" s="215" t="s">
        <v>5542</v>
      </c>
      <c r="J1125" s="215" t="s">
        <v>77</v>
      </c>
      <c r="K1125" s="265" t="s">
        <v>649</v>
      </c>
      <c r="L1125" s="265" t="s">
        <v>649</v>
      </c>
      <c r="M1125" s="265" t="s">
        <v>649</v>
      </c>
      <c r="N1125" s="264">
        <v>7.2999999999999995E-2</v>
      </c>
      <c r="O1125" s="265" t="s">
        <v>649</v>
      </c>
      <c r="P1125" s="265" t="s">
        <v>649</v>
      </c>
      <c r="Q1125" s="265" t="s">
        <v>649</v>
      </c>
    </row>
    <row r="1126" spans="1:17" ht="15" customHeight="1">
      <c r="A1126" s="147">
        <v>1145</v>
      </c>
      <c r="B1126" s="51" t="s">
        <v>28</v>
      </c>
      <c r="C1126" s="51" t="s">
        <v>5690</v>
      </c>
      <c r="D1126" s="51">
        <v>300005788</v>
      </c>
      <c r="E1126" s="53" t="s">
        <v>5691</v>
      </c>
      <c r="F1126" s="124">
        <v>100</v>
      </c>
      <c r="G1126" s="124" t="s">
        <v>649</v>
      </c>
      <c r="H1126" s="486" t="s">
        <v>5866</v>
      </c>
      <c r="I1126" s="215" t="s">
        <v>5542</v>
      </c>
      <c r="J1126" s="215" t="s">
        <v>77</v>
      </c>
      <c r="K1126" s="265" t="s">
        <v>649</v>
      </c>
      <c r="L1126" s="265" t="s">
        <v>649</v>
      </c>
      <c r="M1126" s="265" t="s">
        <v>649</v>
      </c>
      <c r="N1126" s="264">
        <v>0.11700000000000001</v>
      </c>
      <c r="O1126" s="265" t="s">
        <v>649</v>
      </c>
      <c r="P1126" s="265" t="s">
        <v>649</v>
      </c>
      <c r="Q1126" s="265" t="s">
        <v>649</v>
      </c>
    </row>
    <row r="1127" spans="1:17" ht="15" customHeight="1">
      <c r="A1127" s="147">
        <v>1146</v>
      </c>
      <c r="B1127" s="51" t="s">
        <v>28</v>
      </c>
      <c r="C1127" s="51" t="s">
        <v>5692</v>
      </c>
      <c r="D1127" s="51">
        <v>300005781</v>
      </c>
      <c r="E1127" s="53" t="s">
        <v>5693</v>
      </c>
      <c r="F1127" s="124">
        <v>50</v>
      </c>
      <c r="G1127" s="124" t="s">
        <v>649</v>
      </c>
      <c r="H1127" s="486" t="s">
        <v>5866</v>
      </c>
      <c r="I1127" s="215" t="s">
        <v>5542</v>
      </c>
      <c r="J1127" s="215" t="s">
        <v>77</v>
      </c>
      <c r="K1127" s="265" t="s">
        <v>649</v>
      </c>
      <c r="L1127" s="265" t="s">
        <v>649</v>
      </c>
      <c r="M1127" s="265" t="s">
        <v>649</v>
      </c>
      <c r="N1127" s="264">
        <v>0.254</v>
      </c>
      <c r="O1127" s="265" t="s">
        <v>649</v>
      </c>
      <c r="P1127" s="265" t="s">
        <v>649</v>
      </c>
      <c r="Q1127" s="265" t="s">
        <v>649</v>
      </c>
    </row>
    <row r="1128" spans="1:17" ht="15" customHeight="1">
      <c r="A1128" s="147">
        <v>1147</v>
      </c>
      <c r="B1128" s="51" t="s">
        <v>28</v>
      </c>
      <c r="C1128" s="51" t="s">
        <v>5694</v>
      </c>
      <c r="D1128" s="51">
        <v>300006052</v>
      </c>
      <c r="E1128" s="53" t="s">
        <v>5695</v>
      </c>
      <c r="F1128" s="124">
        <v>500</v>
      </c>
      <c r="G1128" s="124" t="s">
        <v>649</v>
      </c>
      <c r="H1128" s="486" t="s">
        <v>5866</v>
      </c>
      <c r="I1128" s="215" t="s">
        <v>5542</v>
      </c>
      <c r="J1128" s="215" t="s">
        <v>77</v>
      </c>
      <c r="K1128" s="266">
        <v>810673012435</v>
      </c>
      <c r="L1128" s="265" t="s">
        <v>649</v>
      </c>
      <c r="M1128" s="266">
        <v>10810673012432</v>
      </c>
      <c r="N1128" s="264">
        <v>8.4000000000000005E-2</v>
      </c>
      <c r="O1128" s="265" t="s">
        <v>649</v>
      </c>
      <c r="P1128" s="265" t="s">
        <v>649</v>
      </c>
      <c r="Q1128" s="265" t="s">
        <v>649</v>
      </c>
    </row>
    <row r="1129" spans="1:17" ht="15" customHeight="1">
      <c r="A1129" s="147">
        <v>1148</v>
      </c>
      <c r="B1129" s="51" t="s">
        <v>28</v>
      </c>
      <c r="C1129" s="51" t="s">
        <v>5696</v>
      </c>
      <c r="D1129" s="51">
        <v>300006051</v>
      </c>
      <c r="E1129" s="53" t="s">
        <v>5697</v>
      </c>
      <c r="F1129" s="124">
        <v>250</v>
      </c>
      <c r="G1129" s="124" t="s">
        <v>649</v>
      </c>
      <c r="H1129" s="486" t="s">
        <v>5866</v>
      </c>
      <c r="I1129" s="215" t="s">
        <v>5542</v>
      </c>
      <c r="J1129" s="215" t="s">
        <v>77</v>
      </c>
      <c r="K1129" s="266">
        <v>810673012442</v>
      </c>
      <c r="L1129" s="265" t="s">
        <v>649</v>
      </c>
      <c r="M1129" s="266">
        <v>10810673012449</v>
      </c>
      <c r="N1129" s="264">
        <v>8.7999999999999995E-2</v>
      </c>
      <c r="O1129" s="265" t="s">
        <v>649</v>
      </c>
      <c r="P1129" s="265" t="s">
        <v>649</v>
      </c>
      <c r="Q1129" s="265" t="s">
        <v>649</v>
      </c>
    </row>
    <row r="1130" spans="1:17" ht="15" customHeight="1">
      <c r="A1130" s="147">
        <v>1149</v>
      </c>
      <c r="B1130" s="51" t="s">
        <v>28</v>
      </c>
      <c r="C1130" s="51" t="s">
        <v>5698</v>
      </c>
      <c r="D1130" s="51">
        <v>300005785</v>
      </c>
      <c r="E1130" s="53" t="s">
        <v>5699</v>
      </c>
      <c r="F1130" s="124">
        <v>100</v>
      </c>
      <c r="G1130" s="124" t="s">
        <v>649</v>
      </c>
      <c r="H1130" s="486" t="s">
        <v>5866</v>
      </c>
      <c r="I1130" s="215" t="s">
        <v>5542</v>
      </c>
      <c r="J1130" s="215" t="s">
        <v>77</v>
      </c>
      <c r="K1130" s="266">
        <v>810116843626</v>
      </c>
      <c r="L1130" s="265" t="s">
        <v>649</v>
      </c>
      <c r="M1130" s="265" t="s">
        <v>649</v>
      </c>
      <c r="N1130" s="264">
        <v>0.154</v>
      </c>
      <c r="O1130" s="265" t="s">
        <v>649</v>
      </c>
      <c r="P1130" s="265" t="s">
        <v>649</v>
      </c>
      <c r="Q1130" s="265" t="s">
        <v>649</v>
      </c>
    </row>
    <row r="1131" spans="1:17" ht="15" customHeight="1">
      <c r="A1131" s="147">
        <v>1150</v>
      </c>
      <c r="B1131" s="51" t="s">
        <v>28</v>
      </c>
      <c r="C1131" s="51" t="s">
        <v>5700</v>
      </c>
      <c r="D1131" s="51">
        <v>300005797</v>
      </c>
      <c r="E1131" s="53" t="s">
        <v>5701</v>
      </c>
      <c r="F1131" s="124">
        <v>100</v>
      </c>
      <c r="G1131" s="124" t="s">
        <v>649</v>
      </c>
      <c r="H1131" s="486" t="s">
        <v>5866</v>
      </c>
      <c r="I1131" s="215" t="s">
        <v>5542</v>
      </c>
      <c r="J1131" s="215" t="s">
        <v>77</v>
      </c>
      <c r="K1131" s="265" t="s">
        <v>649</v>
      </c>
      <c r="L1131" s="265" t="s">
        <v>649</v>
      </c>
      <c r="M1131" s="265" t="s">
        <v>649</v>
      </c>
      <c r="N1131" s="264">
        <v>0.32800000000000001</v>
      </c>
      <c r="O1131" s="265" t="s">
        <v>649</v>
      </c>
      <c r="P1131" s="265" t="s">
        <v>649</v>
      </c>
      <c r="Q1131" s="265" t="s">
        <v>649</v>
      </c>
    </row>
    <row r="1132" spans="1:17" ht="15" customHeight="1">
      <c r="A1132" s="147">
        <v>1151</v>
      </c>
      <c r="B1132" s="51" t="s">
        <v>28</v>
      </c>
      <c r="C1132" s="51" t="s">
        <v>5702</v>
      </c>
      <c r="D1132" s="51">
        <v>300005798</v>
      </c>
      <c r="E1132" s="53" t="s">
        <v>5703</v>
      </c>
      <c r="F1132" s="124">
        <v>100</v>
      </c>
      <c r="G1132" s="124" t="s">
        <v>649</v>
      </c>
      <c r="H1132" s="486" t="s">
        <v>5866</v>
      </c>
      <c r="I1132" s="215" t="s">
        <v>5542</v>
      </c>
      <c r="J1132" s="215" t="s">
        <v>77</v>
      </c>
      <c r="K1132" s="265" t="s">
        <v>649</v>
      </c>
      <c r="L1132" s="265" t="s">
        <v>649</v>
      </c>
      <c r="M1132" s="265" t="s">
        <v>649</v>
      </c>
      <c r="N1132" s="264">
        <v>0.51400000000000001</v>
      </c>
      <c r="O1132" s="265" t="s">
        <v>649</v>
      </c>
      <c r="P1132" s="265" t="s">
        <v>649</v>
      </c>
      <c r="Q1132" s="265" t="s">
        <v>649</v>
      </c>
    </row>
    <row r="1133" spans="1:17" ht="15" customHeight="1">
      <c r="A1133" s="147">
        <v>1152</v>
      </c>
      <c r="B1133" s="51" t="s">
        <v>28</v>
      </c>
      <c r="C1133" s="51" t="s">
        <v>5704</v>
      </c>
      <c r="D1133" s="51">
        <v>300005786</v>
      </c>
      <c r="E1133" s="53" t="s">
        <v>5705</v>
      </c>
      <c r="F1133" s="124">
        <v>50</v>
      </c>
      <c r="G1133" s="124" t="s">
        <v>649</v>
      </c>
      <c r="H1133" s="486" t="s">
        <v>5866</v>
      </c>
      <c r="I1133" s="215" t="s">
        <v>5542</v>
      </c>
      <c r="J1133" s="215" t="s">
        <v>77</v>
      </c>
      <c r="K1133" s="265" t="s">
        <v>649</v>
      </c>
      <c r="L1133" s="265" t="s">
        <v>649</v>
      </c>
      <c r="M1133" s="265" t="s">
        <v>649</v>
      </c>
      <c r="N1133" s="264">
        <v>0.51400000000000001</v>
      </c>
      <c r="O1133" s="265" t="s">
        <v>649</v>
      </c>
      <c r="P1133" s="265" t="s">
        <v>649</v>
      </c>
      <c r="Q1133" s="265" t="s">
        <v>649</v>
      </c>
    </row>
    <row r="1134" spans="1:17" ht="15" customHeight="1">
      <c r="A1134" s="147">
        <v>1154</v>
      </c>
      <c r="B1134" s="51" t="s">
        <v>28</v>
      </c>
      <c r="C1134" s="51" t="s">
        <v>5706</v>
      </c>
      <c r="D1134" s="51">
        <v>300005732</v>
      </c>
      <c r="E1134" s="53" t="s">
        <v>5707</v>
      </c>
      <c r="F1134" s="124">
        <v>25</v>
      </c>
      <c r="G1134" s="124" t="s">
        <v>649</v>
      </c>
      <c r="H1134" s="486" t="s">
        <v>5866</v>
      </c>
      <c r="I1134" s="215" t="s">
        <v>5542</v>
      </c>
      <c r="J1134" s="215" t="s">
        <v>77</v>
      </c>
      <c r="K1134" s="265" t="s">
        <v>649</v>
      </c>
      <c r="L1134" s="265" t="s">
        <v>649</v>
      </c>
      <c r="M1134" s="265" t="s">
        <v>649</v>
      </c>
      <c r="N1134" s="264">
        <v>2E-3</v>
      </c>
      <c r="O1134" s="265" t="s">
        <v>649</v>
      </c>
      <c r="P1134" s="265" t="s">
        <v>649</v>
      </c>
      <c r="Q1134" s="265" t="s">
        <v>649</v>
      </c>
    </row>
    <row r="1135" spans="1:17" ht="15" customHeight="1">
      <c r="A1135" s="147">
        <v>1155</v>
      </c>
      <c r="B1135" s="51" t="s">
        <v>28</v>
      </c>
      <c r="C1135" s="51" t="s">
        <v>5708</v>
      </c>
      <c r="D1135" s="51">
        <v>300005733</v>
      </c>
      <c r="E1135" s="53" t="s">
        <v>5709</v>
      </c>
      <c r="F1135" s="124">
        <v>25</v>
      </c>
      <c r="G1135" s="124" t="s">
        <v>649</v>
      </c>
      <c r="H1135" s="486" t="s">
        <v>5866</v>
      </c>
      <c r="I1135" s="215" t="s">
        <v>5542</v>
      </c>
      <c r="J1135" s="215" t="s">
        <v>77</v>
      </c>
      <c r="K1135" s="265" t="s">
        <v>649</v>
      </c>
      <c r="L1135" s="265" t="s">
        <v>649</v>
      </c>
      <c r="M1135" s="265" t="s">
        <v>649</v>
      </c>
      <c r="N1135" s="264">
        <v>2E-3</v>
      </c>
      <c r="O1135" s="265" t="s">
        <v>649</v>
      </c>
      <c r="P1135" s="265" t="s">
        <v>649</v>
      </c>
      <c r="Q1135" s="265" t="s">
        <v>649</v>
      </c>
    </row>
    <row r="1136" spans="1:17" ht="15" customHeight="1">
      <c r="A1136" s="147">
        <v>1156</v>
      </c>
      <c r="B1136" s="51" t="s">
        <v>28</v>
      </c>
      <c r="C1136" s="51" t="s">
        <v>5710</v>
      </c>
      <c r="D1136" s="51">
        <v>300005730</v>
      </c>
      <c r="E1136" s="53" t="s">
        <v>5711</v>
      </c>
      <c r="F1136" s="124">
        <v>100</v>
      </c>
      <c r="G1136" s="124" t="s">
        <v>649</v>
      </c>
      <c r="H1136" s="486" t="s">
        <v>5866</v>
      </c>
      <c r="I1136" s="215" t="s">
        <v>5542</v>
      </c>
      <c r="J1136" s="215" t="s">
        <v>77</v>
      </c>
      <c r="K1136" s="265" t="s">
        <v>649</v>
      </c>
      <c r="L1136" s="265" t="s">
        <v>649</v>
      </c>
      <c r="M1136" s="265" t="s">
        <v>649</v>
      </c>
      <c r="N1136" s="264">
        <v>3.9E-2</v>
      </c>
      <c r="O1136" s="265" t="s">
        <v>649</v>
      </c>
      <c r="P1136" s="265" t="s">
        <v>649</v>
      </c>
      <c r="Q1136" s="265" t="s">
        <v>649</v>
      </c>
    </row>
    <row r="1137" spans="1:17" ht="15" customHeight="1">
      <c r="A1137" s="147">
        <v>1157</v>
      </c>
      <c r="B1137" s="51" t="s">
        <v>28</v>
      </c>
      <c r="C1137" s="51" t="s">
        <v>5712</v>
      </c>
      <c r="D1137" s="51">
        <v>300005809</v>
      </c>
      <c r="E1137" s="53" t="s">
        <v>5713</v>
      </c>
      <c r="F1137" s="124">
        <v>100</v>
      </c>
      <c r="G1137" s="124" t="s">
        <v>649</v>
      </c>
      <c r="H1137" s="486" t="s">
        <v>5866</v>
      </c>
      <c r="I1137" s="215" t="s">
        <v>5542</v>
      </c>
      <c r="J1137" s="215" t="s">
        <v>77</v>
      </c>
      <c r="K1137" s="265" t="s">
        <v>649</v>
      </c>
      <c r="L1137" s="265" t="s">
        <v>649</v>
      </c>
      <c r="M1137" s="265" t="s">
        <v>649</v>
      </c>
      <c r="N1137" s="264">
        <v>9.2999999999999999E-2</v>
      </c>
      <c r="O1137" s="265" t="s">
        <v>649</v>
      </c>
      <c r="P1137" s="265" t="s">
        <v>649</v>
      </c>
      <c r="Q1137" s="265" t="s">
        <v>649</v>
      </c>
    </row>
    <row r="1138" spans="1:17" ht="15" customHeight="1">
      <c r="A1138" s="147">
        <v>1161</v>
      </c>
      <c r="B1138" s="51" t="s">
        <v>29</v>
      </c>
      <c r="C1138" s="51" t="s">
        <v>349</v>
      </c>
      <c r="D1138" s="51">
        <v>100021857</v>
      </c>
      <c r="E1138" s="53" t="s">
        <v>350</v>
      </c>
      <c r="F1138" s="124">
        <v>250</v>
      </c>
      <c r="G1138" s="124">
        <v>9450</v>
      </c>
      <c r="H1138" s="369">
        <v>5.29</v>
      </c>
      <c r="I1138" s="215" t="s">
        <v>76</v>
      </c>
      <c r="J1138" s="215" t="s">
        <v>102</v>
      </c>
      <c r="K1138" s="266">
        <v>49081106331</v>
      </c>
      <c r="L1138" s="215">
        <v>49081606336</v>
      </c>
      <c r="M1138" s="266">
        <v>40049081106339</v>
      </c>
      <c r="N1138" s="264">
        <v>5.8999999999999997E-2</v>
      </c>
      <c r="O1138" s="265">
        <v>10</v>
      </c>
      <c r="P1138" s="265">
        <v>15.59</v>
      </c>
      <c r="Q1138" s="265">
        <v>1.1000000000000001</v>
      </c>
    </row>
    <row r="1139" spans="1:17" ht="15" customHeight="1">
      <c r="A1139" s="147">
        <v>1162</v>
      </c>
      <c r="B1139" s="51" t="s">
        <v>29</v>
      </c>
      <c r="C1139" s="51" t="s">
        <v>351</v>
      </c>
      <c r="D1139" s="51">
        <v>100021859</v>
      </c>
      <c r="E1139" s="53" t="s">
        <v>352</v>
      </c>
      <c r="F1139" s="124">
        <v>200</v>
      </c>
      <c r="G1139" s="124">
        <v>6000</v>
      </c>
      <c r="H1139" s="369">
        <v>5.71</v>
      </c>
      <c r="I1139" s="215" t="s">
        <v>76</v>
      </c>
      <c r="J1139" s="215" t="s">
        <v>102</v>
      </c>
      <c r="K1139" s="266">
        <v>49081106348</v>
      </c>
      <c r="L1139" s="215">
        <v>49081606343</v>
      </c>
      <c r="M1139" s="266">
        <v>40049081106346</v>
      </c>
      <c r="N1139" s="264">
        <v>8.7999999999999995E-2</v>
      </c>
      <c r="O1139" s="265">
        <v>10</v>
      </c>
      <c r="P1139" s="265">
        <v>18.36</v>
      </c>
      <c r="Q1139" s="265">
        <v>1.25</v>
      </c>
    </row>
    <row r="1140" spans="1:17" ht="15" customHeight="1">
      <c r="A1140" s="147">
        <v>1163</v>
      </c>
      <c r="B1140" s="51" t="s">
        <v>29</v>
      </c>
      <c r="C1140" s="51" t="s">
        <v>353</v>
      </c>
      <c r="D1140" s="51">
        <v>100021861</v>
      </c>
      <c r="E1140" s="53" t="s">
        <v>354</v>
      </c>
      <c r="F1140" s="124">
        <v>50</v>
      </c>
      <c r="G1140" s="124">
        <v>4500</v>
      </c>
      <c r="H1140" s="369">
        <v>7.43</v>
      </c>
      <c r="I1140" s="215" t="s">
        <v>76</v>
      </c>
      <c r="J1140" s="215" t="s">
        <v>102</v>
      </c>
      <c r="K1140" s="266">
        <v>49081106355</v>
      </c>
      <c r="L1140" s="215">
        <v>49081606350</v>
      </c>
      <c r="M1140" s="266">
        <v>40049081106353</v>
      </c>
      <c r="N1140" s="264">
        <v>0.13200000000000001</v>
      </c>
      <c r="O1140" s="265">
        <v>10</v>
      </c>
      <c r="P1140" s="265">
        <v>7.27</v>
      </c>
      <c r="Q1140" s="265">
        <v>0.5</v>
      </c>
    </row>
    <row r="1141" spans="1:17" ht="15" customHeight="1">
      <c r="A1141" s="147">
        <v>1164</v>
      </c>
      <c r="B1141" s="51" t="s">
        <v>29</v>
      </c>
      <c r="C1141" s="51" t="s">
        <v>355</v>
      </c>
      <c r="D1141" s="51">
        <v>100021863</v>
      </c>
      <c r="E1141" s="53" t="s">
        <v>356</v>
      </c>
      <c r="F1141" s="124">
        <v>50</v>
      </c>
      <c r="G1141" s="124">
        <v>3000</v>
      </c>
      <c r="H1141" s="369">
        <v>11.66</v>
      </c>
      <c r="I1141" s="215" t="s">
        <v>76</v>
      </c>
      <c r="J1141" s="215" t="s">
        <v>102</v>
      </c>
      <c r="K1141" s="266">
        <v>49081106362</v>
      </c>
      <c r="L1141" s="215">
        <v>49081606367</v>
      </c>
      <c r="M1141" s="266">
        <v>40049081106360</v>
      </c>
      <c r="N1141" s="264">
        <v>0.189</v>
      </c>
      <c r="O1141" s="265">
        <v>10</v>
      </c>
      <c r="P1141" s="265">
        <v>9.56</v>
      </c>
      <c r="Q1141" s="265">
        <v>0.8</v>
      </c>
    </row>
    <row r="1142" spans="1:17" ht="15" customHeight="1">
      <c r="A1142" s="147">
        <v>1165</v>
      </c>
      <c r="B1142" s="51" t="s">
        <v>29</v>
      </c>
      <c r="C1142" s="51" t="s">
        <v>357</v>
      </c>
      <c r="D1142" s="51">
        <v>100021864</v>
      </c>
      <c r="E1142" s="53" t="s">
        <v>358</v>
      </c>
      <c r="F1142" s="124">
        <v>25</v>
      </c>
      <c r="G1142" s="124">
        <v>2250</v>
      </c>
      <c r="H1142" s="369">
        <v>13.19</v>
      </c>
      <c r="I1142" s="215" t="s">
        <v>76</v>
      </c>
      <c r="J1142" s="215" t="s">
        <v>102</v>
      </c>
      <c r="K1142" s="266">
        <v>49081106379</v>
      </c>
      <c r="L1142" s="215">
        <v>49081606374</v>
      </c>
      <c r="M1142" s="266">
        <v>40049081106377</v>
      </c>
      <c r="N1142" s="264">
        <v>0.218</v>
      </c>
      <c r="O1142" s="265">
        <v>5</v>
      </c>
      <c r="P1142" s="265">
        <v>6.12</v>
      </c>
      <c r="Q1142" s="265">
        <v>0.5</v>
      </c>
    </row>
    <row r="1143" spans="1:17" ht="15" customHeight="1">
      <c r="A1143" s="147">
        <v>1166</v>
      </c>
      <c r="B1143" s="51" t="s">
        <v>29</v>
      </c>
      <c r="C1143" s="51" t="s">
        <v>359</v>
      </c>
      <c r="D1143" s="51">
        <v>100021866</v>
      </c>
      <c r="E1143" s="53" t="s">
        <v>360</v>
      </c>
      <c r="F1143" s="124">
        <v>20</v>
      </c>
      <c r="G1143" s="124">
        <v>1200</v>
      </c>
      <c r="H1143" s="369">
        <v>26.04</v>
      </c>
      <c r="I1143" s="215" t="s">
        <v>76</v>
      </c>
      <c r="J1143" s="215" t="s">
        <v>102</v>
      </c>
      <c r="K1143" s="266">
        <v>49081106386</v>
      </c>
      <c r="L1143" s="215">
        <v>49081606381</v>
      </c>
      <c r="M1143" s="266">
        <v>40049081106384</v>
      </c>
      <c r="N1143" s="264">
        <v>0.318</v>
      </c>
      <c r="O1143" s="265">
        <v>5</v>
      </c>
      <c r="P1143" s="265">
        <v>7.22</v>
      </c>
      <c r="Q1143" s="265">
        <v>0.8</v>
      </c>
    </row>
    <row r="1144" spans="1:17" ht="15" customHeight="1">
      <c r="A1144" s="147">
        <v>1167</v>
      </c>
      <c r="B1144" s="51" t="s">
        <v>29</v>
      </c>
      <c r="C1144" s="51" t="s">
        <v>361</v>
      </c>
      <c r="D1144" s="51">
        <v>100021872</v>
      </c>
      <c r="E1144" s="53" t="s">
        <v>362</v>
      </c>
      <c r="F1144" s="124">
        <v>200</v>
      </c>
      <c r="G1144" s="124">
        <v>9000</v>
      </c>
      <c r="H1144" s="369">
        <v>6.49</v>
      </c>
      <c r="I1144" s="215" t="s">
        <v>76</v>
      </c>
      <c r="J1144" s="215" t="s">
        <v>102</v>
      </c>
      <c r="K1144" s="266">
        <v>49081106485</v>
      </c>
      <c r="L1144" s="215">
        <v>49081606480</v>
      </c>
      <c r="M1144" s="266">
        <v>40049081106483</v>
      </c>
      <c r="N1144" s="264">
        <v>7.5999999999999998E-2</v>
      </c>
      <c r="O1144" s="265">
        <v>10</v>
      </c>
      <c r="P1144" s="265">
        <v>16.61</v>
      </c>
      <c r="Q1144" s="265">
        <v>1.1000000000000001</v>
      </c>
    </row>
    <row r="1145" spans="1:17" ht="15" customHeight="1">
      <c r="A1145" s="147">
        <v>1168</v>
      </c>
      <c r="B1145" s="51" t="s">
        <v>29</v>
      </c>
      <c r="C1145" s="51" t="s">
        <v>363</v>
      </c>
      <c r="D1145" s="51">
        <v>100021877</v>
      </c>
      <c r="E1145" s="53" t="s">
        <v>364</v>
      </c>
      <c r="F1145" s="124">
        <v>100</v>
      </c>
      <c r="G1145" s="124">
        <v>6000</v>
      </c>
      <c r="H1145" s="369">
        <v>12.35</v>
      </c>
      <c r="I1145" s="215" t="s">
        <v>346</v>
      </c>
      <c r="J1145" s="215" t="s">
        <v>102</v>
      </c>
      <c r="K1145" s="266">
        <v>49081106669</v>
      </c>
      <c r="L1145" s="215">
        <v>49081606664</v>
      </c>
      <c r="M1145" s="266">
        <v>40049081106667</v>
      </c>
      <c r="N1145" s="264">
        <v>8.6999999999999994E-2</v>
      </c>
      <c r="O1145" s="265">
        <v>10</v>
      </c>
      <c r="P1145" s="265">
        <v>9.44</v>
      </c>
      <c r="Q1145" s="265">
        <v>0.8</v>
      </c>
    </row>
    <row r="1146" spans="1:17" ht="15" customHeight="1">
      <c r="A1146" s="147">
        <v>1169</v>
      </c>
      <c r="B1146" s="51" t="s">
        <v>29</v>
      </c>
      <c r="C1146" s="51" t="s">
        <v>365</v>
      </c>
      <c r="D1146" s="51">
        <v>100021879</v>
      </c>
      <c r="E1146" s="53" t="s">
        <v>366</v>
      </c>
      <c r="F1146" s="124">
        <v>100</v>
      </c>
      <c r="G1146" s="124">
        <v>7500</v>
      </c>
      <c r="H1146" s="369">
        <v>7.61</v>
      </c>
      <c r="I1146" s="215" t="s">
        <v>76</v>
      </c>
      <c r="J1146" s="215" t="s">
        <v>102</v>
      </c>
      <c r="K1146" s="266">
        <v>49081106492</v>
      </c>
      <c r="L1146" s="215">
        <v>49081606497</v>
      </c>
      <c r="M1146" s="266">
        <v>40049081106490</v>
      </c>
      <c r="N1146" s="264">
        <v>0.105</v>
      </c>
      <c r="O1146" s="265">
        <v>10</v>
      </c>
      <c r="P1146" s="265">
        <v>8.9499999999999993</v>
      </c>
      <c r="Q1146" s="265">
        <v>0.65</v>
      </c>
    </row>
    <row r="1147" spans="1:17" ht="15" customHeight="1">
      <c r="A1147" s="147">
        <v>1170</v>
      </c>
      <c r="B1147" s="51" t="s">
        <v>29</v>
      </c>
      <c r="C1147" s="51" t="s">
        <v>367</v>
      </c>
      <c r="D1147" s="51">
        <v>100021881</v>
      </c>
      <c r="E1147" s="53" t="s">
        <v>368</v>
      </c>
      <c r="F1147" s="124">
        <v>100</v>
      </c>
      <c r="G1147" s="124">
        <v>7500</v>
      </c>
      <c r="H1147" s="369">
        <v>7.67</v>
      </c>
      <c r="I1147" s="215" t="s">
        <v>76</v>
      </c>
      <c r="J1147" s="215" t="s">
        <v>102</v>
      </c>
      <c r="K1147" s="266">
        <v>49081106508</v>
      </c>
      <c r="L1147" s="215">
        <v>49081606503</v>
      </c>
      <c r="M1147" s="266">
        <v>40049081106506</v>
      </c>
      <c r="N1147" s="264">
        <v>0.16800000000000001</v>
      </c>
      <c r="O1147" s="265">
        <v>10</v>
      </c>
      <c r="P1147" s="265">
        <v>12.68</v>
      </c>
      <c r="Q1147" s="265">
        <v>0.65</v>
      </c>
    </row>
    <row r="1148" spans="1:17" ht="15" customHeight="1">
      <c r="A1148" s="147">
        <v>1171</v>
      </c>
      <c r="B1148" s="51" t="s">
        <v>29</v>
      </c>
      <c r="C1148" s="51" t="s">
        <v>369</v>
      </c>
      <c r="D1148" s="51">
        <v>100021888</v>
      </c>
      <c r="E1148" s="53" t="s">
        <v>370</v>
      </c>
      <c r="F1148" s="124">
        <v>50</v>
      </c>
      <c r="G1148" s="124">
        <v>3750</v>
      </c>
      <c r="H1148" s="369">
        <v>9.9600000000000009</v>
      </c>
      <c r="I1148" s="215" t="s">
        <v>76</v>
      </c>
      <c r="J1148" s="215" t="s">
        <v>102</v>
      </c>
      <c r="K1148" s="266">
        <v>49081106539</v>
      </c>
      <c r="L1148" s="215">
        <v>49081606534</v>
      </c>
      <c r="M1148" s="266">
        <v>40049081106537</v>
      </c>
      <c r="N1148" s="264">
        <v>0.15</v>
      </c>
      <c r="O1148" s="265">
        <v>10</v>
      </c>
      <c r="P1148" s="265">
        <v>8.3000000000000007</v>
      </c>
      <c r="Q1148" s="265">
        <v>0.65</v>
      </c>
    </row>
    <row r="1149" spans="1:17" ht="15" customHeight="1">
      <c r="A1149" s="147">
        <v>1172</v>
      </c>
      <c r="B1149" s="51" t="s">
        <v>29</v>
      </c>
      <c r="C1149" s="51" t="s">
        <v>371</v>
      </c>
      <c r="D1149" s="51">
        <v>100021894</v>
      </c>
      <c r="E1149" s="53" t="s">
        <v>372</v>
      </c>
      <c r="F1149" s="124">
        <v>50</v>
      </c>
      <c r="G1149" s="124">
        <v>3750</v>
      </c>
      <c r="H1149" s="369">
        <v>17.440000000000001</v>
      </c>
      <c r="I1149" s="215" t="s">
        <v>346</v>
      </c>
      <c r="J1149" s="215" t="s">
        <v>102</v>
      </c>
      <c r="K1149" s="266">
        <v>49081106553</v>
      </c>
      <c r="L1149" s="215">
        <v>49081606558</v>
      </c>
      <c r="M1149" s="266">
        <v>40049081106551</v>
      </c>
      <c r="N1149" s="264">
        <v>0.17199999999999999</v>
      </c>
      <c r="O1149" s="265">
        <v>10</v>
      </c>
      <c r="P1149" s="265">
        <v>8.6199999999999992</v>
      </c>
      <c r="Q1149" s="265">
        <v>0.65</v>
      </c>
    </row>
    <row r="1150" spans="1:17" ht="15" customHeight="1">
      <c r="A1150" s="147">
        <v>1173</v>
      </c>
      <c r="B1150" s="51" t="s">
        <v>29</v>
      </c>
      <c r="C1150" s="51" t="s">
        <v>373</v>
      </c>
      <c r="D1150" s="51">
        <v>100021895</v>
      </c>
      <c r="E1150" s="53" t="s">
        <v>374</v>
      </c>
      <c r="F1150" s="124">
        <v>50</v>
      </c>
      <c r="G1150" s="124">
        <v>3000</v>
      </c>
      <c r="H1150" s="369">
        <v>17.440000000000001</v>
      </c>
      <c r="I1150" s="215" t="s">
        <v>76</v>
      </c>
      <c r="J1150" s="215" t="s">
        <v>102</v>
      </c>
      <c r="K1150" s="266">
        <v>49081106560</v>
      </c>
      <c r="L1150" s="215">
        <v>49081606565</v>
      </c>
      <c r="M1150" s="266">
        <v>40049081106568</v>
      </c>
      <c r="N1150" s="264">
        <v>0.17599999999999999</v>
      </c>
      <c r="O1150" s="265">
        <v>10</v>
      </c>
      <c r="P1150" s="265">
        <v>8.86</v>
      </c>
      <c r="Q1150" s="265">
        <v>0.8</v>
      </c>
    </row>
    <row r="1151" spans="1:17" ht="15" customHeight="1">
      <c r="A1151" s="147">
        <v>1174</v>
      </c>
      <c r="B1151" s="51" t="s">
        <v>29</v>
      </c>
      <c r="C1151" s="51" t="s">
        <v>375</v>
      </c>
      <c r="D1151" s="51">
        <v>100021901</v>
      </c>
      <c r="E1151" s="53" t="s">
        <v>376</v>
      </c>
      <c r="F1151" s="124">
        <v>25</v>
      </c>
      <c r="G1151" s="124">
        <v>1875</v>
      </c>
      <c r="H1151" s="369">
        <v>24.76</v>
      </c>
      <c r="I1151" s="215" t="s">
        <v>346</v>
      </c>
      <c r="J1151" s="215" t="s">
        <v>102</v>
      </c>
      <c r="K1151" s="266">
        <v>49081106607</v>
      </c>
      <c r="L1151" s="215">
        <v>49081606602</v>
      </c>
      <c r="M1151" s="266">
        <v>40049081106605</v>
      </c>
      <c r="N1151" s="264">
        <v>0.25600000000000001</v>
      </c>
      <c r="O1151" s="265">
        <v>5</v>
      </c>
      <c r="P1151" s="265">
        <v>6.28</v>
      </c>
      <c r="Q1151" s="265">
        <v>0.65</v>
      </c>
    </row>
    <row r="1152" spans="1:17" ht="15" customHeight="1">
      <c r="A1152" s="147">
        <v>1175</v>
      </c>
      <c r="B1152" s="51" t="s">
        <v>29</v>
      </c>
      <c r="C1152" s="51" t="s">
        <v>377</v>
      </c>
      <c r="D1152" s="51">
        <v>100021885</v>
      </c>
      <c r="E1152" s="53" t="s">
        <v>378</v>
      </c>
      <c r="F1152" s="124">
        <v>50</v>
      </c>
      <c r="G1152" s="124">
        <v>4500</v>
      </c>
      <c r="H1152" s="369">
        <v>14.2</v>
      </c>
      <c r="I1152" s="215" t="s">
        <v>76</v>
      </c>
      <c r="J1152" s="215" t="s">
        <v>102</v>
      </c>
      <c r="K1152" s="266">
        <v>49081106690</v>
      </c>
      <c r="L1152" s="265" t="s">
        <v>649</v>
      </c>
      <c r="M1152" s="266">
        <v>40049081106698</v>
      </c>
      <c r="N1152" s="264">
        <v>0.14799999999999999</v>
      </c>
      <c r="O1152" s="265" t="s">
        <v>649</v>
      </c>
      <c r="P1152" s="265">
        <v>7.67</v>
      </c>
      <c r="Q1152" s="265">
        <v>0.5</v>
      </c>
    </row>
    <row r="1153" spans="1:17" ht="15" customHeight="1">
      <c r="A1153" s="147">
        <v>1176</v>
      </c>
      <c r="B1153" s="51" t="s">
        <v>29</v>
      </c>
      <c r="C1153" s="51" t="s">
        <v>379</v>
      </c>
      <c r="D1153" s="51">
        <v>100021868</v>
      </c>
      <c r="E1153" s="53" t="s">
        <v>380</v>
      </c>
      <c r="F1153" s="124">
        <v>250</v>
      </c>
      <c r="G1153" s="124">
        <v>11250</v>
      </c>
      <c r="H1153" s="369">
        <v>14.31</v>
      </c>
      <c r="I1153" s="215" t="s">
        <v>76</v>
      </c>
      <c r="J1153" s="215" t="s">
        <v>102</v>
      </c>
      <c r="K1153" s="266">
        <v>49081106744</v>
      </c>
      <c r="L1153" s="215">
        <v>49081606749</v>
      </c>
      <c r="M1153" s="266">
        <v>40049081106742</v>
      </c>
      <c r="N1153" s="264">
        <v>5.6000000000000001E-2</v>
      </c>
      <c r="O1153" s="265">
        <v>10</v>
      </c>
      <c r="P1153" s="265">
        <v>13.75</v>
      </c>
      <c r="Q1153" s="265">
        <v>0.95</v>
      </c>
    </row>
    <row r="1154" spans="1:17" ht="15" customHeight="1">
      <c r="A1154" s="147">
        <v>1177</v>
      </c>
      <c r="B1154" s="51" t="s">
        <v>29</v>
      </c>
      <c r="C1154" s="51" t="s">
        <v>381</v>
      </c>
      <c r="D1154" s="51">
        <v>100021874</v>
      </c>
      <c r="E1154" s="53" t="s">
        <v>382</v>
      </c>
      <c r="F1154" s="124">
        <v>100</v>
      </c>
      <c r="G1154" s="124">
        <v>72000</v>
      </c>
      <c r="H1154" s="369">
        <v>16.43</v>
      </c>
      <c r="I1154" s="215" t="s">
        <v>76</v>
      </c>
      <c r="J1154" s="215" t="s">
        <v>102</v>
      </c>
      <c r="K1154" s="266">
        <v>49081106751</v>
      </c>
      <c r="L1154" s="215">
        <v>49081606756</v>
      </c>
      <c r="M1154" s="266">
        <v>40049081106759</v>
      </c>
      <c r="N1154" s="264">
        <v>8.5999999999999993E-2</v>
      </c>
      <c r="O1154" s="265">
        <v>10</v>
      </c>
      <c r="P1154" s="265">
        <v>9.2799999999999994</v>
      </c>
      <c r="Q1154" s="265">
        <v>0.65</v>
      </c>
    </row>
    <row r="1155" spans="1:17" ht="15" customHeight="1">
      <c r="A1155" s="147">
        <v>1178</v>
      </c>
      <c r="B1155" s="51" t="s">
        <v>29</v>
      </c>
      <c r="C1155" s="51" t="s">
        <v>383</v>
      </c>
      <c r="D1155" s="51">
        <v>100021882</v>
      </c>
      <c r="E1155" s="53" t="s">
        <v>384</v>
      </c>
      <c r="F1155" s="124">
        <v>50</v>
      </c>
      <c r="G1155" s="124">
        <v>3750</v>
      </c>
      <c r="H1155" s="369">
        <v>22.95</v>
      </c>
      <c r="I1155" s="215" t="s">
        <v>76</v>
      </c>
      <c r="J1155" s="215" t="s">
        <v>102</v>
      </c>
      <c r="K1155" s="266">
        <v>49081106768</v>
      </c>
      <c r="L1155" s="215">
        <v>49081606763</v>
      </c>
      <c r="M1155" s="266">
        <v>40049081106766</v>
      </c>
      <c r="N1155" s="264">
        <v>0.13</v>
      </c>
      <c r="O1155" s="265">
        <v>10</v>
      </c>
      <c r="P1155" s="265">
        <v>7.22</v>
      </c>
      <c r="Q1155" s="265">
        <v>0.65</v>
      </c>
    </row>
    <row r="1156" spans="1:17" ht="15" customHeight="1">
      <c r="A1156" s="147">
        <v>1179</v>
      </c>
      <c r="B1156" s="51" t="s">
        <v>29</v>
      </c>
      <c r="C1156" s="51" t="s">
        <v>385</v>
      </c>
      <c r="D1156" s="51">
        <v>100026295</v>
      </c>
      <c r="E1156" s="53" t="s">
        <v>386</v>
      </c>
      <c r="F1156" s="124">
        <v>100</v>
      </c>
      <c r="G1156" s="124">
        <v>9000</v>
      </c>
      <c r="H1156" s="369">
        <v>8.2200000000000006</v>
      </c>
      <c r="I1156" s="215" t="s">
        <v>76</v>
      </c>
      <c r="J1156" s="215" t="s">
        <v>102</v>
      </c>
      <c r="K1156" s="266">
        <v>49081106638</v>
      </c>
      <c r="L1156" s="215">
        <v>49081606633</v>
      </c>
      <c r="M1156" s="266">
        <v>40049081106636</v>
      </c>
      <c r="N1156" s="264">
        <v>7.5999999999999998E-2</v>
      </c>
      <c r="O1156" s="265">
        <v>10</v>
      </c>
      <c r="P1156" s="265">
        <v>8.57</v>
      </c>
      <c r="Q1156" s="265">
        <v>0.5</v>
      </c>
    </row>
    <row r="1157" spans="1:17" ht="15" customHeight="1">
      <c r="A1157" s="147">
        <v>1180</v>
      </c>
      <c r="B1157" s="51" t="s">
        <v>29</v>
      </c>
      <c r="C1157" s="51" t="s">
        <v>387</v>
      </c>
      <c r="D1157" s="51">
        <v>100026296</v>
      </c>
      <c r="E1157" s="53" t="s">
        <v>388</v>
      </c>
      <c r="F1157" s="124">
        <v>100</v>
      </c>
      <c r="G1157" s="124">
        <v>6000</v>
      </c>
      <c r="H1157" s="369">
        <v>8.9700000000000006</v>
      </c>
      <c r="I1157" s="215" t="s">
        <v>76</v>
      </c>
      <c r="J1157" s="215" t="s">
        <v>102</v>
      </c>
      <c r="K1157" s="266">
        <v>49081106737</v>
      </c>
      <c r="L1157" s="215">
        <v>49081606732</v>
      </c>
      <c r="M1157" s="266">
        <v>40049081106735</v>
      </c>
      <c r="N1157" s="264">
        <v>0.107</v>
      </c>
      <c r="O1157" s="265">
        <v>10</v>
      </c>
      <c r="P1157" s="265">
        <v>11.57</v>
      </c>
      <c r="Q1157" s="265">
        <v>0.8</v>
      </c>
    </row>
    <row r="1158" spans="1:17" ht="15" customHeight="1">
      <c r="A1158" s="147">
        <v>1181</v>
      </c>
      <c r="B1158" s="51" t="s">
        <v>29</v>
      </c>
      <c r="C1158" s="51" t="s">
        <v>389</v>
      </c>
      <c r="D1158" s="51">
        <v>100021905</v>
      </c>
      <c r="E1158" s="53" t="s">
        <v>390</v>
      </c>
      <c r="F1158" s="124">
        <v>200</v>
      </c>
      <c r="G1158" s="124">
        <v>12000</v>
      </c>
      <c r="H1158" s="369">
        <v>5.71</v>
      </c>
      <c r="I1158" s="215" t="s">
        <v>76</v>
      </c>
      <c r="J1158" s="215" t="s">
        <v>102</v>
      </c>
      <c r="K1158" s="266">
        <v>49081106782</v>
      </c>
      <c r="L1158" s="215">
        <v>49081606787</v>
      </c>
      <c r="M1158" s="266">
        <v>40049081106780</v>
      </c>
      <c r="N1158" s="264">
        <v>6.2E-2</v>
      </c>
      <c r="O1158" s="265">
        <v>10</v>
      </c>
      <c r="P1158" s="265">
        <v>13.44</v>
      </c>
      <c r="Q1158" s="265">
        <v>0.8</v>
      </c>
    </row>
    <row r="1159" spans="1:17" ht="15" customHeight="1">
      <c r="A1159" s="147">
        <v>1182</v>
      </c>
      <c r="B1159" s="51" t="s">
        <v>29</v>
      </c>
      <c r="C1159" s="51" t="s">
        <v>391</v>
      </c>
      <c r="D1159" s="51">
        <v>100021907</v>
      </c>
      <c r="E1159" s="53" t="s">
        <v>392</v>
      </c>
      <c r="F1159" s="124">
        <v>200</v>
      </c>
      <c r="G1159" s="124">
        <v>9000</v>
      </c>
      <c r="H1159" s="369">
        <v>8.61</v>
      </c>
      <c r="I1159" s="215" t="s">
        <v>76</v>
      </c>
      <c r="J1159" s="215" t="s">
        <v>102</v>
      </c>
      <c r="K1159" s="266">
        <v>49081106805</v>
      </c>
      <c r="L1159" s="215">
        <v>49081606800</v>
      </c>
      <c r="M1159" s="266">
        <v>40049081106803</v>
      </c>
      <c r="N1159" s="264">
        <v>8.4000000000000005E-2</v>
      </c>
      <c r="O1159" s="265">
        <v>10</v>
      </c>
      <c r="P1159" s="265">
        <v>18.18</v>
      </c>
      <c r="Q1159" s="265">
        <v>1.1000000000000001</v>
      </c>
    </row>
    <row r="1160" spans="1:17" ht="15" customHeight="1">
      <c r="A1160" s="147">
        <v>1183</v>
      </c>
      <c r="B1160" s="51" t="s">
        <v>29</v>
      </c>
      <c r="C1160" s="51" t="s">
        <v>393</v>
      </c>
      <c r="D1160" s="51">
        <v>100021909</v>
      </c>
      <c r="E1160" s="53" t="s">
        <v>394</v>
      </c>
      <c r="F1160" s="124">
        <v>50</v>
      </c>
      <c r="G1160" s="124">
        <v>4500</v>
      </c>
      <c r="H1160" s="369">
        <v>10.16</v>
      </c>
      <c r="I1160" s="215" t="s">
        <v>76</v>
      </c>
      <c r="J1160" s="215" t="s">
        <v>102</v>
      </c>
      <c r="K1160" s="266">
        <v>49081106836</v>
      </c>
      <c r="L1160" s="215">
        <v>49081606831</v>
      </c>
      <c r="M1160" s="266">
        <v>40049081106834</v>
      </c>
      <c r="N1160" s="264">
        <v>0.14399999999999999</v>
      </c>
      <c r="O1160" s="265">
        <v>10</v>
      </c>
      <c r="P1160" s="265">
        <v>8.0299999999999994</v>
      </c>
      <c r="Q1160" s="265">
        <v>0.5</v>
      </c>
    </row>
    <row r="1161" spans="1:17" ht="15" customHeight="1">
      <c r="A1161" s="147">
        <v>1184</v>
      </c>
      <c r="B1161" s="51" t="s">
        <v>29</v>
      </c>
      <c r="C1161" s="51" t="s">
        <v>395</v>
      </c>
      <c r="D1161" s="51">
        <v>100021911</v>
      </c>
      <c r="E1161" s="53" t="s">
        <v>396</v>
      </c>
      <c r="F1161" s="124">
        <v>25</v>
      </c>
      <c r="G1161" s="124">
        <v>1875</v>
      </c>
      <c r="H1161" s="369">
        <v>25.88</v>
      </c>
      <c r="I1161" s="215" t="s">
        <v>346</v>
      </c>
      <c r="J1161" s="215" t="s">
        <v>102</v>
      </c>
      <c r="K1161" s="266">
        <v>49081106928</v>
      </c>
      <c r="L1161" s="215">
        <v>49081606923</v>
      </c>
      <c r="M1161" s="266">
        <v>40049081106926</v>
      </c>
      <c r="N1161" s="264">
        <v>0.28000000000000003</v>
      </c>
      <c r="O1161" s="265">
        <v>5</v>
      </c>
      <c r="P1161" s="265">
        <v>7.68</v>
      </c>
      <c r="Q1161" s="265">
        <v>0.65</v>
      </c>
    </row>
    <row r="1162" spans="1:17" ht="15" customHeight="1">
      <c r="A1162" s="147">
        <v>1185</v>
      </c>
      <c r="B1162" s="51" t="s">
        <v>29</v>
      </c>
      <c r="C1162" s="51" t="s">
        <v>397</v>
      </c>
      <c r="D1162" s="51">
        <v>100021912</v>
      </c>
      <c r="E1162" s="53" t="s">
        <v>398</v>
      </c>
      <c r="F1162" s="124">
        <v>20</v>
      </c>
      <c r="G1162" s="124">
        <v>1200</v>
      </c>
      <c r="H1162" s="369">
        <v>32.15</v>
      </c>
      <c r="I1162" s="215" t="s">
        <v>76</v>
      </c>
      <c r="J1162" s="215" t="s">
        <v>102</v>
      </c>
      <c r="K1162" s="266">
        <v>49081106973</v>
      </c>
      <c r="L1162" s="215">
        <v>49081606978</v>
      </c>
      <c r="M1162" s="266">
        <v>40049081106971</v>
      </c>
      <c r="N1162" s="264">
        <v>0.41</v>
      </c>
      <c r="O1162" s="265">
        <v>5</v>
      </c>
      <c r="P1162" s="265">
        <v>9.09</v>
      </c>
      <c r="Q1162" s="265">
        <v>0.8</v>
      </c>
    </row>
    <row r="1163" spans="1:17" ht="15" customHeight="1">
      <c r="A1163" s="147">
        <v>1186</v>
      </c>
      <c r="B1163" s="51" t="s">
        <v>29</v>
      </c>
      <c r="C1163" s="51" t="s">
        <v>399</v>
      </c>
      <c r="D1163" s="51">
        <v>100021917</v>
      </c>
      <c r="E1163" s="53" t="s">
        <v>400</v>
      </c>
      <c r="F1163" s="124">
        <v>200</v>
      </c>
      <c r="G1163" s="124">
        <v>9000</v>
      </c>
      <c r="H1163" s="369">
        <v>7.2</v>
      </c>
      <c r="I1163" s="215" t="s">
        <v>76</v>
      </c>
      <c r="J1163" s="215" t="s">
        <v>102</v>
      </c>
      <c r="K1163" s="266">
        <v>49081106799</v>
      </c>
      <c r="L1163" s="215">
        <v>49081606794</v>
      </c>
      <c r="M1163" s="266">
        <v>40049081106797</v>
      </c>
      <c r="N1163" s="264">
        <v>7.4999999999999997E-2</v>
      </c>
      <c r="O1163" s="265">
        <v>10</v>
      </c>
      <c r="P1163" s="265">
        <v>16.32</v>
      </c>
      <c r="Q1163" s="265">
        <v>1.1000000000000001</v>
      </c>
    </row>
    <row r="1164" spans="1:17" ht="15" customHeight="1">
      <c r="A1164" s="147">
        <v>1187</v>
      </c>
      <c r="B1164" s="51" t="s">
        <v>29</v>
      </c>
      <c r="C1164" s="51" t="s">
        <v>401</v>
      </c>
      <c r="D1164" s="51">
        <v>100021923</v>
      </c>
      <c r="E1164" s="53" t="s">
        <v>402</v>
      </c>
      <c r="F1164" s="124">
        <v>100</v>
      </c>
      <c r="G1164" s="124">
        <v>7500</v>
      </c>
      <c r="H1164" s="369">
        <v>9.4</v>
      </c>
      <c r="I1164" s="215" t="s">
        <v>76</v>
      </c>
      <c r="J1164" s="215" t="s">
        <v>102</v>
      </c>
      <c r="K1164" s="266">
        <v>49081106812</v>
      </c>
      <c r="L1164" s="215">
        <v>49081606817</v>
      </c>
      <c r="M1164" s="266">
        <v>40049081106810</v>
      </c>
      <c r="N1164" s="264">
        <v>9.9000000000000005E-2</v>
      </c>
      <c r="O1164" s="265">
        <v>10</v>
      </c>
      <c r="P1164" s="265">
        <v>10.69</v>
      </c>
      <c r="Q1164" s="265">
        <v>0.65</v>
      </c>
    </row>
    <row r="1165" spans="1:17" ht="15" customHeight="1">
      <c r="A1165" s="147">
        <v>1188</v>
      </c>
      <c r="B1165" s="51" t="s">
        <v>29</v>
      </c>
      <c r="C1165" s="51" t="s">
        <v>403</v>
      </c>
      <c r="D1165" s="51">
        <v>100021925</v>
      </c>
      <c r="E1165" s="53" t="s">
        <v>404</v>
      </c>
      <c r="F1165" s="124">
        <v>100</v>
      </c>
      <c r="G1165" s="124">
        <v>6000</v>
      </c>
      <c r="H1165" s="369">
        <v>9.4</v>
      </c>
      <c r="I1165" s="215" t="s">
        <v>76</v>
      </c>
      <c r="J1165" s="215" t="s">
        <v>102</v>
      </c>
      <c r="K1165" s="266">
        <v>49081106829</v>
      </c>
      <c r="L1165" s="215">
        <v>49081606824</v>
      </c>
      <c r="M1165" s="266">
        <v>40049081106827</v>
      </c>
      <c r="N1165" s="264">
        <v>0.105</v>
      </c>
      <c r="O1165" s="265">
        <v>10</v>
      </c>
      <c r="P1165" s="265">
        <v>11.26</v>
      </c>
      <c r="Q1165" s="265">
        <v>0.8</v>
      </c>
    </row>
    <row r="1166" spans="1:17" ht="15" customHeight="1">
      <c r="A1166" s="147">
        <v>1189</v>
      </c>
      <c r="B1166" s="51" t="s">
        <v>29</v>
      </c>
      <c r="C1166" s="51" t="s">
        <v>405</v>
      </c>
      <c r="D1166" s="51">
        <v>100021928</v>
      </c>
      <c r="E1166" s="53" t="s">
        <v>406</v>
      </c>
      <c r="F1166" s="124">
        <v>50</v>
      </c>
      <c r="G1166" s="124">
        <v>4500</v>
      </c>
      <c r="H1166" s="369">
        <v>12.8</v>
      </c>
      <c r="I1166" s="215" t="s">
        <v>76</v>
      </c>
      <c r="J1166" s="215" t="s">
        <v>102</v>
      </c>
      <c r="K1166" s="266">
        <v>49081106843</v>
      </c>
      <c r="L1166" s="215">
        <v>49081606848</v>
      </c>
      <c r="M1166" s="266">
        <v>40049081106841</v>
      </c>
      <c r="N1166" s="264">
        <v>0.14499999999999999</v>
      </c>
      <c r="O1166" s="265">
        <v>10</v>
      </c>
      <c r="P1166" s="265">
        <v>7.93</v>
      </c>
      <c r="Q1166" s="265">
        <v>0.5</v>
      </c>
    </row>
    <row r="1167" spans="1:17" ht="15" customHeight="1">
      <c r="A1167" s="147">
        <v>1190</v>
      </c>
      <c r="B1167" s="51" t="s">
        <v>29</v>
      </c>
      <c r="C1167" s="51" t="s">
        <v>407</v>
      </c>
      <c r="D1167" s="51">
        <v>100021929</v>
      </c>
      <c r="E1167" s="53" t="s">
        <v>408</v>
      </c>
      <c r="F1167" s="124">
        <v>50</v>
      </c>
      <c r="G1167" s="124">
        <v>3750</v>
      </c>
      <c r="H1167" s="369">
        <v>14.12</v>
      </c>
      <c r="I1167" s="215" t="s">
        <v>76</v>
      </c>
      <c r="J1167" s="215" t="s">
        <v>102</v>
      </c>
      <c r="K1167" s="266">
        <v>49081106850</v>
      </c>
      <c r="L1167" s="215">
        <v>49081606855</v>
      </c>
      <c r="M1167" s="266">
        <v>40049081106858</v>
      </c>
      <c r="N1167" s="264">
        <v>0.16200000000000001</v>
      </c>
      <c r="O1167" s="265">
        <v>10</v>
      </c>
      <c r="P1167" s="265">
        <v>9.18</v>
      </c>
      <c r="Q1167" s="265">
        <v>0.65</v>
      </c>
    </row>
    <row r="1168" spans="1:17" ht="15" customHeight="1">
      <c r="A1168" s="147">
        <v>1191</v>
      </c>
      <c r="B1168" s="51" t="s">
        <v>29</v>
      </c>
      <c r="C1168" s="51" t="s">
        <v>409</v>
      </c>
      <c r="D1168" s="51">
        <v>100021930</v>
      </c>
      <c r="E1168" s="53" t="s">
        <v>410</v>
      </c>
      <c r="F1168" s="124">
        <v>50</v>
      </c>
      <c r="G1168" s="124">
        <v>3750</v>
      </c>
      <c r="H1168" s="369">
        <v>14.95</v>
      </c>
      <c r="I1168" s="215" t="s">
        <v>346</v>
      </c>
      <c r="J1168" s="215" t="s">
        <v>102</v>
      </c>
      <c r="K1168" s="266">
        <v>49081106867</v>
      </c>
      <c r="L1168" s="215">
        <v>49081606862</v>
      </c>
      <c r="M1168" s="266">
        <v>40049081106865</v>
      </c>
      <c r="N1168" s="264">
        <v>0.20200000000000001</v>
      </c>
      <c r="O1168" s="265">
        <v>10</v>
      </c>
      <c r="P1168" s="265">
        <v>10.76</v>
      </c>
      <c r="Q1168" s="265">
        <v>0.65</v>
      </c>
    </row>
    <row r="1169" spans="1:17" ht="15" customHeight="1">
      <c r="A1169" s="147">
        <v>1192</v>
      </c>
      <c r="B1169" s="51" t="s">
        <v>29</v>
      </c>
      <c r="C1169" s="51" t="s">
        <v>411</v>
      </c>
      <c r="D1169" s="51">
        <v>100021934</v>
      </c>
      <c r="E1169" s="53" t="s">
        <v>412</v>
      </c>
      <c r="F1169" s="124">
        <v>50</v>
      </c>
      <c r="G1169" s="124">
        <v>3750</v>
      </c>
      <c r="H1169" s="369">
        <v>19.670000000000002</v>
      </c>
      <c r="I1169" s="215" t="s">
        <v>76</v>
      </c>
      <c r="J1169" s="215" t="s">
        <v>102</v>
      </c>
      <c r="K1169" s="266">
        <v>49081106881</v>
      </c>
      <c r="L1169" s="215">
        <v>49081606886</v>
      </c>
      <c r="M1169" s="266">
        <v>40049081106889</v>
      </c>
      <c r="N1169" s="264">
        <v>0.17199999999999999</v>
      </c>
      <c r="O1169" s="265">
        <v>10</v>
      </c>
      <c r="P1169" s="265">
        <v>9.2200000000000006</v>
      </c>
      <c r="Q1169" s="265">
        <v>0.65</v>
      </c>
    </row>
    <row r="1170" spans="1:17" ht="15" customHeight="1">
      <c r="A1170" s="147">
        <v>1193</v>
      </c>
      <c r="B1170" s="51" t="s">
        <v>29</v>
      </c>
      <c r="C1170" s="51" t="s">
        <v>413</v>
      </c>
      <c r="D1170" s="51">
        <v>100021936</v>
      </c>
      <c r="E1170" s="53" t="s">
        <v>414</v>
      </c>
      <c r="F1170" s="124">
        <v>50</v>
      </c>
      <c r="G1170" s="124">
        <v>3000</v>
      </c>
      <c r="H1170" s="369">
        <v>23.29</v>
      </c>
      <c r="I1170" s="215" t="s">
        <v>76</v>
      </c>
      <c r="J1170" s="215" t="s">
        <v>102</v>
      </c>
      <c r="K1170" s="266">
        <v>49081106898</v>
      </c>
      <c r="L1170" s="215">
        <v>49081606893</v>
      </c>
      <c r="M1170" s="266">
        <v>40049081106896</v>
      </c>
      <c r="N1170" s="264">
        <v>0.193</v>
      </c>
      <c r="O1170" s="265">
        <v>10</v>
      </c>
      <c r="P1170" s="265">
        <v>10.15</v>
      </c>
      <c r="Q1170" s="265">
        <v>0.8</v>
      </c>
    </row>
    <row r="1171" spans="1:17" ht="15" customHeight="1">
      <c r="A1171" s="147">
        <v>1194</v>
      </c>
      <c r="B1171" s="51" t="s">
        <v>29</v>
      </c>
      <c r="C1171" s="51" t="s">
        <v>415</v>
      </c>
      <c r="D1171" s="51">
        <v>100021937</v>
      </c>
      <c r="E1171" s="53" t="s">
        <v>416</v>
      </c>
      <c r="F1171" s="124">
        <v>50</v>
      </c>
      <c r="G1171" s="124">
        <v>2250</v>
      </c>
      <c r="H1171" s="369">
        <v>23.29</v>
      </c>
      <c r="I1171" s="215" t="s">
        <v>76</v>
      </c>
      <c r="J1171" s="215" t="s">
        <v>102</v>
      </c>
      <c r="K1171" s="266">
        <v>49081106904</v>
      </c>
      <c r="L1171" s="215">
        <v>49081606909</v>
      </c>
      <c r="M1171" s="266">
        <v>40049081106902</v>
      </c>
      <c r="N1171" s="264">
        <v>0.222</v>
      </c>
      <c r="O1171" s="265">
        <v>10</v>
      </c>
      <c r="P1171" s="265">
        <v>11.85</v>
      </c>
      <c r="Q1171" s="265">
        <v>0.95</v>
      </c>
    </row>
    <row r="1172" spans="1:17" ht="15" customHeight="1">
      <c r="A1172" s="147">
        <v>1195</v>
      </c>
      <c r="B1172" s="51" t="s">
        <v>29</v>
      </c>
      <c r="C1172" s="51" t="s">
        <v>417</v>
      </c>
      <c r="D1172" s="51">
        <v>100021939</v>
      </c>
      <c r="E1172" s="53" t="s">
        <v>418</v>
      </c>
      <c r="F1172" s="124">
        <v>25</v>
      </c>
      <c r="G1172" s="124">
        <v>1875</v>
      </c>
      <c r="H1172" s="369">
        <v>26.37</v>
      </c>
      <c r="I1172" s="215" t="s">
        <v>346</v>
      </c>
      <c r="J1172" s="215" t="s">
        <v>102</v>
      </c>
      <c r="K1172" s="266">
        <v>49081106935</v>
      </c>
      <c r="L1172" s="215">
        <v>49081606930</v>
      </c>
      <c r="M1172" s="266">
        <v>40049081106933</v>
      </c>
      <c r="N1172" s="264">
        <v>0.22700000000000001</v>
      </c>
      <c r="O1172" s="265">
        <v>5</v>
      </c>
      <c r="P1172" s="265">
        <v>6.25</v>
      </c>
      <c r="Q1172" s="265">
        <v>0.65</v>
      </c>
    </row>
    <row r="1173" spans="1:17" ht="15" customHeight="1">
      <c r="A1173" s="147">
        <v>1196</v>
      </c>
      <c r="B1173" s="51" t="s">
        <v>29</v>
      </c>
      <c r="C1173" s="51" t="s">
        <v>419</v>
      </c>
      <c r="D1173" s="51">
        <v>100021940</v>
      </c>
      <c r="E1173" s="53" t="s">
        <v>420</v>
      </c>
      <c r="F1173" s="124">
        <v>25</v>
      </c>
      <c r="G1173" s="124">
        <v>1875</v>
      </c>
      <c r="H1173" s="369">
        <v>27.91</v>
      </c>
      <c r="I1173" s="215" t="s">
        <v>76</v>
      </c>
      <c r="J1173" s="215" t="s">
        <v>102</v>
      </c>
      <c r="K1173" s="266">
        <v>49081106942</v>
      </c>
      <c r="L1173" s="215">
        <v>49081606947</v>
      </c>
      <c r="M1173" s="266">
        <v>40049081106940</v>
      </c>
      <c r="N1173" s="264">
        <v>0.246</v>
      </c>
      <c r="O1173" s="265">
        <v>5</v>
      </c>
      <c r="P1173" s="265">
        <v>6.84</v>
      </c>
      <c r="Q1173" s="265">
        <v>0.65</v>
      </c>
    </row>
    <row r="1174" spans="1:17" ht="15" customHeight="1">
      <c r="A1174" s="147">
        <v>1197</v>
      </c>
      <c r="B1174" s="51" t="s">
        <v>29</v>
      </c>
      <c r="C1174" s="51" t="s">
        <v>421</v>
      </c>
      <c r="D1174" s="51">
        <v>100021941</v>
      </c>
      <c r="E1174" s="53" t="s">
        <v>422</v>
      </c>
      <c r="F1174" s="124">
        <v>25</v>
      </c>
      <c r="G1174" s="124">
        <v>1875</v>
      </c>
      <c r="H1174" s="369">
        <v>30.66</v>
      </c>
      <c r="I1174" s="215" t="s">
        <v>76</v>
      </c>
      <c r="J1174" s="215" t="s">
        <v>102</v>
      </c>
      <c r="K1174" s="266">
        <v>49081106959</v>
      </c>
      <c r="L1174" s="215">
        <v>49081606954</v>
      </c>
      <c r="M1174" s="266">
        <v>40049081106957</v>
      </c>
      <c r="N1174" s="264">
        <v>0.314</v>
      </c>
      <c r="O1174" s="265">
        <v>5</v>
      </c>
      <c r="P1174" s="265">
        <v>7.79</v>
      </c>
      <c r="Q1174" s="265">
        <v>0.65</v>
      </c>
    </row>
    <row r="1175" spans="1:17" ht="15" customHeight="1">
      <c r="A1175" s="147">
        <v>1198</v>
      </c>
      <c r="B1175" s="51" t="s">
        <v>29</v>
      </c>
      <c r="C1175" s="51" t="s">
        <v>423</v>
      </c>
      <c r="D1175" s="51">
        <v>100021921</v>
      </c>
      <c r="E1175" s="53" t="s">
        <v>424</v>
      </c>
      <c r="F1175" s="124">
        <v>100</v>
      </c>
      <c r="G1175" s="124">
        <v>6000</v>
      </c>
      <c r="H1175" s="369">
        <v>13.92</v>
      </c>
      <c r="I1175" s="215" t="s">
        <v>76</v>
      </c>
      <c r="J1175" s="215" t="s">
        <v>102</v>
      </c>
      <c r="K1175" s="266">
        <v>49081107017</v>
      </c>
      <c r="L1175" s="215">
        <v>49081607012</v>
      </c>
      <c r="M1175" s="266">
        <v>40049081107015</v>
      </c>
      <c r="N1175" s="264">
        <v>0.11799999999999999</v>
      </c>
      <c r="O1175" s="265">
        <v>10</v>
      </c>
      <c r="P1175" s="265">
        <v>12.52</v>
      </c>
      <c r="Q1175" s="265">
        <v>0.8</v>
      </c>
    </row>
    <row r="1176" spans="1:17" ht="15" customHeight="1">
      <c r="A1176" s="147">
        <v>1199</v>
      </c>
      <c r="B1176" s="51" t="s">
        <v>29</v>
      </c>
      <c r="C1176" s="51" t="s">
        <v>425</v>
      </c>
      <c r="D1176" s="51">
        <v>100021944</v>
      </c>
      <c r="E1176" s="53" t="s">
        <v>426</v>
      </c>
      <c r="F1176" s="124">
        <v>200</v>
      </c>
      <c r="G1176" s="124">
        <v>15000</v>
      </c>
      <c r="H1176" s="369">
        <v>7.31</v>
      </c>
      <c r="I1176" s="215" t="s">
        <v>346</v>
      </c>
      <c r="J1176" s="215" t="s">
        <v>102</v>
      </c>
      <c r="K1176" s="266">
        <v>49081107086</v>
      </c>
      <c r="L1176" s="215">
        <v>49081607081</v>
      </c>
      <c r="M1176" s="266">
        <v>40049081107084</v>
      </c>
      <c r="N1176" s="264">
        <v>4.5999999999999999E-2</v>
      </c>
      <c r="O1176" s="265">
        <v>10</v>
      </c>
      <c r="P1176" s="265">
        <v>10.1</v>
      </c>
      <c r="Q1176" s="265">
        <v>0.65</v>
      </c>
    </row>
    <row r="1177" spans="1:17" ht="15" customHeight="1">
      <c r="A1177" s="147">
        <v>1200</v>
      </c>
      <c r="B1177" s="51" t="s">
        <v>29</v>
      </c>
      <c r="C1177" s="51" t="s">
        <v>427</v>
      </c>
      <c r="D1177" s="51">
        <v>100021946</v>
      </c>
      <c r="E1177" s="53" t="s">
        <v>428</v>
      </c>
      <c r="F1177" s="124">
        <v>200</v>
      </c>
      <c r="G1177" s="124">
        <v>9000</v>
      </c>
      <c r="H1177" s="369">
        <v>9.9600000000000009</v>
      </c>
      <c r="I1177" s="215" t="s">
        <v>76</v>
      </c>
      <c r="J1177" s="215" t="s">
        <v>102</v>
      </c>
      <c r="K1177" s="266">
        <v>49081107093</v>
      </c>
      <c r="L1177" s="215">
        <v>49081607098</v>
      </c>
      <c r="M1177" s="266">
        <v>40049081107091</v>
      </c>
      <c r="N1177" s="264">
        <v>7.0999999999999994E-2</v>
      </c>
      <c r="O1177" s="265">
        <v>10</v>
      </c>
      <c r="P1177" s="265">
        <v>15.28</v>
      </c>
      <c r="Q1177" s="265">
        <v>0.95</v>
      </c>
    </row>
    <row r="1178" spans="1:17" ht="15" customHeight="1">
      <c r="A1178" s="147">
        <v>1201</v>
      </c>
      <c r="B1178" s="51" t="s">
        <v>29</v>
      </c>
      <c r="C1178" s="51" t="s">
        <v>429</v>
      </c>
      <c r="D1178" s="51">
        <v>100021948</v>
      </c>
      <c r="E1178" s="53" t="s">
        <v>430</v>
      </c>
      <c r="F1178" s="124">
        <v>50</v>
      </c>
      <c r="G1178" s="124">
        <v>4500</v>
      </c>
      <c r="H1178" s="369">
        <v>12.8</v>
      </c>
      <c r="I1178" s="215" t="s">
        <v>76</v>
      </c>
      <c r="J1178" s="215" t="s">
        <v>102</v>
      </c>
      <c r="K1178" s="266">
        <v>49081107109</v>
      </c>
      <c r="L1178" s="215">
        <v>49081607104</v>
      </c>
      <c r="M1178" s="266">
        <v>40049081107107</v>
      </c>
      <c r="N1178" s="264">
        <v>0.121</v>
      </c>
      <c r="O1178" s="265">
        <v>10</v>
      </c>
      <c r="P1178" s="265">
        <v>6.99</v>
      </c>
      <c r="Q1178" s="265">
        <v>0.5</v>
      </c>
    </row>
    <row r="1179" spans="1:17" ht="15" customHeight="1">
      <c r="A1179" s="147">
        <v>1202</v>
      </c>
      <c r="B1179" s="51" t="s">
        <v>29</v>
      </c>
      <c r="C1179" s="51" t="s">
        <v>431</v>
      </c>
      <c r="D1179" s="51">
        <v>100021949</v>
      </c>
      <c r="E1179" s="53" t="s">
        <v>432</v>
      </c>
      <c r="F1179" s="124">
        <v>50</v>
      </c>
      <c r="G1179" s="124">
        <v>3750</v>
      </c>
      <c r="H1179" s="369">
        <v>16.670000000000002</v>
      </c>
      <c r="I1179" s="215" t="s">
        <v>346</v>
      </c>
      <c r="J1179" s="215" t="s">
        <v>102</v>
      </c>
      <c r="K1179" s="266">
        <v>49081107116</v>
      </c>
      <c r="L1179" s="215">
        <v>49081607111</v>
      </c>
      <c r="M1179" s="266">
        <v>40049081107114</v>
      </c>
      <c r="N1179" s="264">
        <v>0.19400000000000001</v>
      </c>
      <c r="O1179" s="265">
        <v>10</v>
      </c>
      <c r="P1179" s="265">
        <v>9.56</v>
      </c>
      <c r="Q1179" s="265">
        <v>0.65</v>
      </c>
    </row>
    <row r="1180" spans="1:17" ht="15" customHeight="1">
      <c r="A1180" s="147">
        <v>1203</v>
      </c>
      <c r="B1180" s="51" t="s">
        <v>29</v>
      </c>
      <c r="C1180" s="51" t="s">
        <v>433</v>
      </c>
      <c r="D1180" s="51">
        <v>100021953</v>
      </c>
      <c r="E1180" s="53" t="s">
        <v>434</v>
      </c>
      <c r="F1180" s="124">
        <v>250</v>
      </c>
      <c r="G1180" s="124">
        <v>22500</v>
      </c>
      <c r="H1180" s="369">
        <v>4.8499999999999996</v>
      </c>
      <c r="I1180" s="215" t="s">
        <v>76</v>
      </c>
      <c r="J1180" s="215" t="s">
        <v>102</v>
      </c>
      <c r="K1180" s="266">
        <v>49081105747</v>
      </c>
      <c r="L1180" s="215">
        <v>49081605742</v>
      </c>
      <c r="M1180" s="266">
        <v>40049081105745</v>
      </c>
      <c r="N1180" s="264">
        <v>4.2000000000000003E-2</v>
      </c>
      <c r="O1180" s="265">
        <v>10</v>
      </c>
      <c r="P1180" s="265">
        <v>11.3</v>
      </c>
      <c r="Q1180" s="265">
        <v>0.5</v>
      </c>
    </row>
    <row r="1181" spans="1:17" ht="15" customHeight="1">
      <c r="A1181" s="147">
        <v>1204</v>
      </c>
      <c r="B1181" s="51" t="s">
        <v>29</v>
      </c>
      <c r="C1181" s="51" t="s">
        <v>435</v>
      </c>
      <c r="D1181" s="51">
        <v>100021955</v>
      </c>
      <c r="E1181" s="53" t="s">
        <v>436</v>
      </c>
      <c r="F1181" s="124">
        <v>250</v>
      </c>
      <c r="G1181" s="124">
        <v>11250</v>
      </c>
      <c r="H1181" s="369">
        <v>5.96</v>
      </c>
      <c r="I1181" s="215" t="s">
        <v>76</v>
      </c>
      <c r="J1181" s="215" t="s">
        <v>102</v>
      </c>
      <c r="K1181" s="266">
        <v>49081105754</v>
      </c>
      <c r="L1181" s="215">
        <v>49081605759</v>
      </c>
      <c r="M1181" s="266">
        <v>40049081105752</v>
      </c>
      <c r="N1181" s="264">
        <v>0.06</v>
      </c>
      <c r="O1181" s="265">
        <v>10</v>
      </c>
      <c r="P1181" s="265">
        <v>16.21</v>
      </c>
      <c r="Q1181" s="265">
        <v>0.95</v>
      </c>
    </row>
    <row r="1182" spans="1:17" ht="15" customHeight="1">
      <c r="A1182" s="147">
        <v>1205</v>
      </c>
      <c r="B1182" s="51" t="s">
        <v>29</v>
      </c>
      <c r="C1182" s="51" t="s">
        <v>437</v>
      </c>
      <c r="D1182" s="51">
        <v>100021957</v>
      </c>
      <c r="E1182" s="53" t="s">
        <v>438</v>
      </c>
      <c r="F1182" s="124">
        <v>100</v>
      </c>
      <c r="G1182" s="124">
        <v>7500</v>
      </c>
      <c r="H1182" s="369">
        <v>6.55</v>
      </c>
      <c r="I1182" s="215" t="s">
        <v>76</v>
      </c>
      <c r="J1182" s="215" t="s">
        <v>102</v>
      </c>
      <c r="K1182" s="266">
        <v>49081105761</v>
      </c>
      <c r="L1182" s="215">
        <v>49081605766</v>
      </c>
      <c r="M1182" s="266">
        <v>40049081105769</v>
      </c>
      <c r="N1182" s="264">
        <v>9.2999999999999999E-2</v>
      </c>
      <c r="O1182" s="265">
        <v>10</v>
      </c>
      <c r="P1182" s="265">
        <v>10.119999999999999</v>
      </c>
      <c r="Q1182" s="265">
        <v>0.65</v>
      </c>
    </row>
    <row r="1183" spans="1:17" ht="15" customHeight="1">
      <c r="A1183" s="147">
        <v>1206</v>
      </c>
      <c r="B1183" s="51" t="s">
        <v>29</v>
      </c>
      <c r="C1183" s="51" t="s">
        <v>439</v>
      </c>
      <c r="D1183" s="51">
        <v>100021959</v>
      </c>
      <c r="E1183" s="53" t="s">
        <v>440</v>
      </c>
      <c r="F1183" s="124">
        <v>50</v>
      </c>
      <c r="G1183" s="124">
        <v>4500</v>
      </c>
      <c r="H1183" s="369">
        <v>7.31</v>
      </c>
      <c r="I1183" s="215" t="s">
        <v>76</v>
      </c>
      <c r="J1183" s="215" t="s">
        <v>102</v>
      </c>
      <c r="K1183" s="266">
        <v>49081105778</v>
      </c>
      <c r="L1183" s="215">
        <v>49081605773</v>
      </c>
      <c r="M1183" s="266">
        <v>40049081105776</v>
      </c>
      <c r="N1183" s="264">
        <v>0.13600000000000001</v>
      </c>
      <c r="O1183" s="265">
        <v>5</v>
      </c>
      <c r="P1183" s="265">
        <v>7.44</v>
      </c>
      <c r="Q1183" s="265">
        <v>0.5</v>
      </c>
    </row>
    <row r="1184" spans="1:17" ht="15" customHeight="1">
      <c r="A1184" s="147">
        <v>1207</v>
      </c>
      <c r="B1184" s="51" t="s">
        <v>29</v>
      </c>
      <c r="C1184" s="51" t="s">
        <v>441</v>
      </c>
      <c r="D1184" s="51">
        <v>100021961</v>
      </c>
      <c r="E1184" s="53" t="s">
        <v>442</v>
      </c>
      <c r="F1184" s="124">
        <v>50</v>
      </c>
      <c r="G1184" s="124">
        <v>3750</v>
      </c>
      <c r="H1184" s="369">
        <v>8.61</v>
      </c>
      <c r="I1184" s="215" t="s">
        <v>76</v>
      </c>
      <c r="J1184" s="215" t="s">
        <v>102</v>
      </c>
      <c r="K1184" s="266">
        <v>49081105785</v>
      </c>
      <c r="L1184" s="215">
        <v>49081605780</v>
      </c>
      <c r="M1184" s="266">
        <v>40049081105783</v>
      </c>
      <c r="N1184" s="264">
        <v>0.16400000000000001</v>
      </c>
      <c r="O1184" s="265">
        <v>5</v>
      </c>
      <c r="P1184" s="265">
        <v>9.2899999999999991</v>
      </c>
      <c r="Q1184" s="265">
        <v>0.65</v>
      </c>
    </row>
    <row r="1185" spans="1:17" ht="15" customHeight="1">
      <c r="A1185" s="147">
        <v>1208</v>
      </c>
      <c r="B1185" s="51" t="s">
        <v>29</v>
      </c>
      <c r="C1185" s="51" t="s">
        <v>443</v>
      </c>
      <c r="D1185" s="51">
        <v>100021963</v>
      </c>
      <c r="E1185" s="53" t="s">
        <v>444</v>
      </c>
      <c r="F1185" s="124">
        <v>25</v>
      </c>
      <c r="G1185" s="124">
        <v>1875</v>
      </c>
      <c r="H1185" s="369">
        <v>12.04</v>
      </c>
      <c r="I1185" s="215" t="s">
        <v>76</v>
      </c>
      <c r="J1185" s="215" t="s">
        <v>102</v>
      </c>
      <c r="K1185" s="266">
        <v>49081105792</v>
      </c>
      <c r="L1185" s="215">
        <v>49081605797</v>
      </c>
      <c r="M1185" s="266">
        <v>40049081105790</v>
      </c>
      <c r="N1185" s="264">
        <v>0.25600000000000001</v>
      </c>
      <c r="O1185" s="265">
        <v>5</v>
      </c>
      <c r="P1185" s="265">
        <v>7.25</v>
      </c>
      <c r="Q1185" s="265">
        <v>0.65</v>
      </c>
    </row>
    <row r="1186" spans="1:17" ht="15" customHeight="1">
      <c r="A1186" s="147">
        <v>1209</v>
      </c>
      <c r="B1186" s="51" t="s">
        <v>29</v>
      </c>
      <c r="C1186" s="51" t="s">
        <v>445</v>
      </c>
      <c r="D1186" s="51">
        <v>100021967</v>
      </c>
      <c r="E1186" s="53" t="s">
        <v>446</v>
      </c>
      <c r="F1186" s="124">
        <v>100</v>
      </c>
      <c r="G1186" s="124">
        <v>9000</v>
      </c>
      <c r="H1186" s="369">
        <v>6.89</v>
      </c>
      <c r="I1186" s="215" t="s">
        <v>346</v>
      </c>
      <c r="J1186" s="215" t="s">
        <v>102</v>
      </c>
      <c r="K1186" s="266">
        <v>49081105518</v>
      </c>
      <c r="L1186" s="215">
        <v>49081605513</v>
      </c>
      <c r="M1186" s="266">
        <v>40049081105516</v>
      </c>
      <c r="N1186" s="264">
        <v>9.2999999999999999E-2</v>
      </c>
      <c r="O1186" s="265">
        <v>10</v>
      </c>
      <c r="P1186" s="265">
        <v>9.33</v>
      </c>
      <c r="Q1186" s="265">
        <v>0.5</v>
      </c>
    </row>
    <row r="1187" spans="1:17" ht="15" customHeight="1">
      <c r="A1187" s="147">
        <v>1210</v>
      </c>
      <c r="B1187" s="51" t="s">
        <v>29</v>
      </c>
      <c r="C1187" s="51" t="s">
        <v>447</v>
      </c>
      <c r="D1187" s="51">
        <v>100021966</v>
      </c>
      <c r="E1187" s="53" t="s">
        <v>448</v>
      </c>
      <c r="F1187" s="124">
        <v>250</v>
      </c>
      <c r="G1187" s="124">
        <v>18750</v>
      </c>
      <c r="H1187" s="369">
        <v>5.58</v>
      </c>
      <c r="I1187" s="215" t="s">
        <v>346</v>
      </c>
      <c r="J1187" s="215" t="s">
        <v>102</v>
      </c>
      <c r="K1187" s="266">
        <v>49081105907</v>
      </c>
      <c r="L1187" s="215">
        <v>49081605902</v>
      </c>
      <c r="M1187" s="266">
        <v>40049081105905</v>
      </c>
      <c r="N1187" s="264">
        <v>4.2999999999999997E-2</v>
      </c>
      <c r="O1187" s="265">
        <v>10</v>
      </c>
      <c r="P1187" s="265">
        <v>10.41</v>
      </c>
      <c r="Q1187" s="265">
        <v>0.65</v>
      </c>
    </row>
    <row r="1188" spans="1:17" ht="15" customHeight="1">
      <c r="A1188" s="147">
        <v>1211</v>
      </c>
      <c r="B1188" s="51" t="s">
        <v>29</v>
      </c>
      <c r="C1188" s="51" t="s">
        <v>449</v>
      </c>
      <c r="D1188" s="51">
        <v>100021969</v>
      </c>
      <c r="E1188" s="53" t="s">
        <v>450</v>
      </c>
      <c r="F1188" s="124">
        <v>100</v>
      </c>
      <c r="G1188" s="124">
        <v>9000</v>
      </c>
      <c r="H1188" s="369">
        <v>6.89</v>
      </c>
      <c r="I1188" s="215" t="s">
        <v>76</v>
      </c>
      <c r="J1188" s="215" t="s">
        <v>102</v>
      </c>
      <c r="K1188" s="266">
        <v>49081105914</v>
      </c>
      <c r="L1188" s="215">
        <v>49081605919</v>
      </c>
      <c r="M1188" s="266">
        <v>40049081105912</v>
      </c>
      <c r="N1188" s="264">
        <v>6.7000000000000004E-2</v>
      </c>
      <c r="O1188" s="265">
        <v>10</v>
      </c>
      <c r="P1188" s="265">
        <v>7.02</v>
      </c>
      <c r="Q1188" s="265">
        <v>0.5</v>
      </c>
    </row>
    <row r="1189" spans="1:17" ht="15" customHeight="1">
      <c r="A1189" s="147">
        <v>1212</v>
      </c>
      <c r="B1189" s="51" t="s">
        <v>29</v>
      </c>
      <c r="C1189" s="51" t="s">
        <v>451</v>
      </c>
      <c r="D1189" s="51">
        <v>100021974</v>
      </c>
      <c r="E1189" s="53" t="s">
        <v>452</v>
      </c>
      <c r="F1189" s="124">
        <v>250</v>
      </c>
      <c r="G1189" s="124">
        <v>15000</v>
      </c>
      <c r="H1189" s="369">
        <v>5.44</v>
      </c>
      <c r="I1189" s="215" t="s">
        <v>76</v>
      </c>
      <c r="J1189" s="215" t="s">
        <v>102</v>
      </c>
      <c r="K1189" s="266">
        <v>49081105952</v>
      </c>
      <c r="L1189" s="215">
        <v>49081605957</v>
      </c>
      <c r="M1189" s="266">
        <v>40049081105950</v>
      </c>
      <c r="N1189" s="264">
        <v>6.2E-2</v>
      </c>
      <c r="O1189" s="265">
        <v>10</v>
      </c>
      <c r="P1189" s="265">
        <v>16.59</v>
      </c>
      <c r="Q1189" s="265">
        <v>0.65</v>
      </c>
    </row>
    <row r="1190" spans="1:17" ht="15" customHeight="1">
      <c r="A1190" s="147">
        <v>1213</v>
      </c>
      <c r="B1190" s="51" t="s">
        <v>29</v>
      </c>
      <c r="C1190" s="51" t="s">
        <v>453</v>
      </c>
      <c r="D1190" s="51">
        <v>100021976</v>
      </c>
      <c r="E1190" s="53" t="s">
        <v>454</v>
      </c>
      <c r="F1190" s="124">
        <v>250</v>
      </c>
      <c r="G1190" s="124">
        <v>11250</v>
      </c>
      <c r="H1190" s="369">
        <v>5.96</v>
      </c>
      <c r="I1190" s="215" t="s">
        <v>76</v>
      </c>
      <c r="J1190" s="215" t="s">
        <v>102</v>
      </c>
      <c r="K1190" s="266">
        <v>49081105976</v>
      </c>
      <c r="L1190" s="215">
        <v>49081605971</v>
      </c>
      <c r="M1190" s="266">
        <v>40049081105974</v>
      </c>
      <c r="N1190" s="264">
        <v>8.2000000000000003E-2</v>
      </c>
      <c r="O1190" s="265">
        <v>10</v>
      </c>
      <c r="P1190" s="265">
        <v>22.79</v>
      </c>
      <c r="Q1190" s="265">
        <v>0.95</v>
      </c>
    </row>
    <row r="1191" spans="1:17" ht="15" customHeight="1">
      <c r="A1191" s="147">
        <v>1214</v>
      </c>
      <c r="B1191" s="51" t="s">
        <v>29</v>
      </c>
      <c r="C1191" s="51" t="s">
        <v>455</v>
      </c>
      <c r="D1191" s="51">
        <v>100021978</v>
      </c>
      <c r="E1191" s="53" t="s">
        <v>456</v>
      </c>
      <c r="F1191" s="124">
        <v>100</v>
      </c>
      <c r="G1191" s="124">
        <v>6000</v>
      </c>
      <c r="H1191" s="369">
        <v>7.61</v>
      </c>
      <c r="I1191" s="215" t="s">
        <v>76</v>
      </c>
      <c r="J1191" s="215" t="s">
        <v>102</v>
      </c>
      <c r="K1191" s="266">
        <v>49081106003</v>
      </c>
      <c r="L1191" s="215">
        <v>49081606008</v>
      </c>
      <c r="M1191" s="266">
        <v>40049081106001</v>
      </c>
      <c r="N1191" s="264">
        <v>0.154</v>
      </c>
      <c r="O1191" s="265">
        <v>10</v>
      </c>
      <c r="P1191" s="265">
        <v>15.85</v>
      </c>
      <c r="Q1191" s="265">
        <v>0.8</v>
      </c>
    </row>
    <row r="1192" spans="1:17" ht="15" customHeight="1">
      <c r="A1192" s="147">
        <v>1215</v>
      </c>
      <c r="B1192" s="51" t="s">
        <v>29</v>
      </c>
      <c r="C1192" s="51" t="s">
        <v>457</v>
      </c>
      <c r="D1192" s="51">
        <v>100021979</v>
      </c>
      <c r="E1192" s="53" t="s">
        <v>458</v>
      </c>
      <c r="F1192" s="124">
        <v>50</v>
      </c>
      <c r="G1192" s="124">
        <v>3750</v>
      </c>
      <c r="H1192" s="369">
        <v>11.24</v>
      </c>
      <c r="I1192" s="215" t="s">
        <v>346</v>
      </c>
      <c r="J1192" s="215" t="s">
        <v>102</v>
      </c>
      <c r="K1192" s="266">
        <v>49081106041</v>
      </c>
      <c r="L1192" s="215">
        <v>49081606046</v>
      </c>
      <c r="M1192" s="266">
        <v>40049081106049</v>
      </c>
      <c r="N1192" s="264">
        <v>0.17899999999999999</v>
      </c>
      <c r="O1192" s="265">
        <v>5</v>
      </c>
      <c r="P1192" s="265">
        <v>10.130000000000001</v>
      </c>
      <c r="Q1192" s="265">
        <v>0.65</v>
      </c>
    </row>
    <row r="1193" spans="1:17" ht="15" customHeight="1">
      <c r="A1193" s="147">
        <v>1216</v>
      </c>
      <c r="B1193" s="51" t="s">
        <v>29</v>
      </c>
      <c r="C1193" s="51" t="s">
        <v>459</v>
      </c>
      <c r="D1193" s="51">
        <v>100021980</v>
      </c>
      <c r="E1193" s="53" t="s">
        <v>460</v>
      </c>
      <c r="F1193" s="124">
        <v>50</v>
      </c>
      <c r="G1193" s="124">
        <v>3000</v>
      </c>
      <c r="H1193" s="369">
        <v>12.8</v>
      </c>
      <c r="I1193" s="215" t="s">
        <v>76</v>
      </c>
      <c r="J1193" s="215" t="s">
        <v>102</v>
      </c>
      <c r="K1193" s="266">
        <v>49081106072</v>
      </c>
      <c r="L1193" s="215">
        <v>49081606077</v>
      </c>
      <c r="M1193" s="266">
        <v>40049081106070</v>
      </c>
      <c r="N1193" s="264">
        <v>0.23</v>
      </c>
      <c r="O1193" s="265">
        <v>5</v>
      </c>
      <c r="P1193" s="265">
        <v>12.29</v>
      </c>
      <c r="Q1193" s="265">
        <v>0.8</v>
      </c>
    </row>
    <row r="1194" spans="1:17" ht="15" customHeight="1">
      <c r="A1194" s="147">
        <v>1217</v>
      </c>
      <c r="B1194" s="51" t="s">
        <v>29</v>
      </c>
      <c r="C1194" s="51" t="s">
        <v>461</v>
      </c>
      <c r="D1194" s="51">
        <v>100021981</v>
      </c>
      <c r="E1194" s="53" t="s">
        <v>462</v>
      </c>
      <c r="F1194" s="124">
        <v>25</v>
      </c>
      <c r="G1194" s="124">
        <v>1500</v>
      </c>
      <c r="H1194" s="369">
        <v>21.6</v>
      </c>
      <c r="I1194" s="215" t="s">
        <v>76</v>
      </c>
      <c r="J1194" s="215" t="s">
        <v>102</v>
      </c>
      <c r="K1194" s="266">
        <v>49081106096</v>
      </c>
      <c r="L1194" s="215">
        <v>49081606091</v>
      </c>
      <c r="M1194" s="266">
        <v>40049081106094</v>
      </c>
      <c r="N1194" s="264">
        <v>0.375</v>
      </c>
      <c r="O1194" s="265">
        <v>5</v>
      </c>
      <c r="P1194" s="265">
        <v>9.4</v>
      </c>
      <c r="Q1194" s="265">
        <v>0.8</v>
      </c>
    </row>
    <row r="1195" spans="1:17" ht="15" customHeight="1">
      <c r="A1195" s="147">
        <v>1218</v>
      </c>
      <c r="B1195" s="51" t="s">
        <v>29</v>
      </c>
      <c r="C1195" s="51" t="s">
        <v>463</v>
      </c>
      <c r="D1195" s="51">
        <v>100021984</v>
      </c>
      <c r="E1195" s="53" t="s">
        <v>464</v>
      </c>
      <c r="F1195" s="124">
        <v>250</v>
      </c>
      <c r="G1195" s="124">
        <v>15000</v>
      </c>
      <c r="H1195" s="369">
        <v>5.58</v>
      </c>
      <c r="I1195" s="215" t="s">
        <v>76</v>
      </c>
      <c r="J1195" s="215" t="s">
        <v>102</v>
      </c>
      <c r="K1195" s="266">
        <v>49081105969</v>
      </c>
      <c r="L1195" s="215">
        <v>49081605964</v>
      </c>
      <c r="M1195" s="266">
        <v>40049081105967</v>
      </c>
      <c r="N1195" s="264">
        <v>6.3E-2</v>
      </c>
      <c r="O1195" s="265">
        <v>10</v>
      </c>
      <c r="P1195" s="265">
        <v>17.440000000000001</v>
      </c>
      <c r="Q1195" s="265">
        <v>0.8</v>
      </c>
    </row>
    <row r="1196" spans="1:17" ht="15" customHeight="1">
      <c r="A1196" s="147">
        <v>1219</v>
      </c>
      <c r="B1196" s="51" t="s">
        <v>29</v>
      </c>
      <c r="C1196" s="51" t="s">
        <v>465</v>
      </c>
      <c r="D1196" s="51">
        <v>100021986</v>
      </c>
      <c r="E1196" s="53" t="s">
        <v>466</v>
      </c>
      <c r="F1196" s="124">
        <v>100</v>
      </c>
      <c r="G1196" s="124">
        <v>9000</v>
      </c>
      <c r="H1196" s="369">
        <v>5.96</v>
      </c>
      <c r="I1196" s="215" t="s">
        <v>76</v>
      </c>
      <c r="J1196" s="215" t="s">
        <v>102</v>
      </c>
      <c r="K1196" s="266">
        <v>49081105983</v>
      </c>
      <c r="L1196" s="215">
        <v>49081605988</v>
      </c>
      <c r="M1196" s="266">
        <v>40049081105981</v>
      </c>
      <c r="N1196" s="264">
        <v>7.0999999999999994E-2</v>
      </c>
      <c r="O1196" s="265">
        <v>10</v>
      </c>
      <c r="P1196" s="265">
        <v>7.91</v>
      </c>
      <c r="Q1196" s="265">
        <v>0.5</v>
      </c>
    </row>
    <row r="1197" spans="1:17" ht="15" customHeight="1">
      <c r="A1197" s="147">
        <v>1220</v>
      </c>
      <c r="B1197" s="51" t="s">
        <v>29</v>
      </c>
      <c r="C1197" s="51" t="s">
        <v>467</v>
      </c>
      <c r="D1197" s="51">
        <v>100021988</v>
      </c>
      <c r="E1197" s="53" t="s">
        <v>468</v>
      </c>
      <c r="F1197" s="124">
        <v>100</v>
      </c>
      <c r="G1197" s="124">
        <v>9000</v>
      </c>
      <c r="H1197" s="369">
        <v>6.89</v>
      </c>
      <c r="I1197" s="215" t="s">
        <v>76</v>
      </c>
      <c r="J1197" s="215" t="s">
        <v>102</v>
      </c>
      <c r="K1197" s="266">
        <v>49081105990</v>
      </c>
      <c r="L1197" s="215">
        <v>49081605995</v>
      </c>
      <c r="M1197" s="266">
        <v>40049081105998</v>
      </c>
      <c r="N1197" s="264">
        <v>8.5000000000000006E-2</v>
      </c>
      <c r="O1197" s="265">
        <v>10</v>
      </c>
      <c r="P1197" s="265">
        <v>9.36</v>
      </c>
      <c r="Q1197" s="265">
        <v>0.5</v>
      </c>
    </row>
    <row r="1198" spans="1:17" ht="15" customHeight="1">
      <c r="A1198" s="147">
        <v>1221</v>
      </c>
      <c r="B1198" s="51" t="s">
        <v>29</v>
      </c>
      <c r="C1198" s="51" t="s">
        <v>469</v>
      </c>
      <c r="D1198" s="51">
        <v>100021989</v>
      </c>
      <c r="E1198" s="53" t="s">
        <v>470</v>
      </c>
      <c r="F1198" s="124">
        <v>100</v>
      </c>
      <c r="G1198" s="124">
        <v>7500</v>
      </c>
      <c r="H1198" s="369">
        <v>10.16</v>
      </c>
      <c r="I1198" s="215" t="s">
        <v>76</v>
      </c>
      <c r="J1198" s="215" t="s">
        <v>102</v>
      </c>
      <c r="K1198" s="266">
        <v>49081106010</v>
      </c>
      <c r="L1198" s="215">
        <v>49081606015</v>
      </c>
      <c r="M1198" s="266">
        <v>40049081106018</v>
      </c>
      <c r="N1198" s="264">
        <v>0.112</v>
      </c>
      <c r="O1198" s="265">
        <v>10</v>
      </c>
      <c r="P1198" s="265">
        <v>10.98</v>
      </c>
      <c r="Q1198" s="265">
        <v>0.65</v>
      </c>
    </row>
    <row r="1199" spans="1:17" ht="15" customHeight="1">
      <c r="A1199" s="147">
        <v>1222</v>
      </c>
      <c r="B1199" s="51" t="s">
        <v>29</v>
      </c>
      <c r="C1199" s="51" t="s">
        <v>471</v>
      </c>
      <c r="D1199" s="51">
        <v>100021990</v>
      </c>
      <c r="E1199" s="53" t="s">
        <v>472</v>
      </c>
      <c r="F1199" s="124">
        <v>50</v>
      </c>
      <c r="G1199" s="124">
        <v>4500</v>
      </c>
      <c r="H1199" s="369">
        <v>10.16</v>
      </c>
      <c r="I1199" s="215" t="s">
        <v>346</v>
      </c>
      <c r="J1199" s="215" t="s">
        <v>102</v>
      </c>
      <c r="K1199" s="266">
        <v>49081106027</v>
      </c>
      <c r="L1199" s="215">
        <v>49081606022</v>
      </c>
      <c r="M1199" s="266">
        <v>40049081106025</v>
      </c>
      <c r="N1199" s="264">
        <v>0.127</v>
      </c>
      <c r="O1199" s="265">
        <v>5</v>
      </c>
      <c r="P1199" s="265">
        <v>7.23</v>
      </c>
      <c r="Q1199" s="265">
        <v>0.5</v>
      </c>
    </row>
    <row r="1200" spans="1:17" ht="15" customHeight="1">
      <c r="A1200" s="147">
        <v>1223</v>
      </c>
      <c r="B1200" s="51" t="s">
        <v>29</v>
      </c>
      <c r="C1200" s="51" t="s">
        <v>473</v>
      </c>
      <c r="D1200" s="51">
        <v>100021992</v>
      </c>
      <c r="E1200" s="53" t="s">
        <v>474</v>
      </c>
      <c r="F1200" s="124">
        <v>50</v>
      </c>
      <c r="G1200" s="124">
        <v>4500</v>
      </c>
      <c r="H1200" s="369">
        <v>10.16</v>
      </c>
      <c r="I1200" s="215" t="s">
        <v>346</v>
      </c>
      <c r="J1200" s="215" t="s">
        <v>102</v>
      </c>
      <c r="K1200" s="266">
        <v>49081106034</v>
      </c>
      <c r="L1200" s="215">
        <v>49081606039</v>
      </c>
      <c r="M1200" s="266">
        <v>40049081106032</v>
      </c>
      <c r="N1200" s="264">
        <v>0.151</v>
      </c>
      <c r="O1200" s="265">
        <v>5</v>
      </c>
      <c r="P1200" s="265">
        <v>8.42</v>
      </c>
      <c r="Q1200" s="265">
        <v>0.5</v>
      </c>
    </row>
    <row r="1201" spans="1:17" ht="15" customHeight="1">
      <c r="A1201" s="147">
        <v>1224</v>
      </c>
      <c r="B1201" s="51" t="s">
        <v>29</v>
      </c>
      <c r="C1201" s="51" t="s">
        <v>475</v>
      </c>
      <c r="D1201" s="51">
        <v>100022001</v>
      </c>
      <c r="E1201" s="53" t="s">
        <v>476</v>
      </c>
      <c r="F1201" s="124">
        <v>250</v>
      </c>
      <c r="G1201" s="124">
        <v>22500</v>
      </c>
      <c r="H1201" s="369">
        <v>6.09</v>
      </c>
      <c r="I1201" s="215" t="s">
        <v>76</v>
      </c>
      <c r="J1201" s="215" t="s">
        <v>102</v>
      </c>
      <c r="K1201" s="266">
        <v>49081106119</v>
      </c>
      <c r="L1201" s="215">
        <v>49081606114</v>
      </c>
      <c r="M1201" s="266">
        <v>40049081106117</v>
      </c>
      <c r="N1201" s="264">
        <v>3.3000000000000002E-2</v>
      </c>
      <c r="O1201" s="265">
        <v>10</v>
      </c>
      <c r="P1201" s="265">
        <v>8.5</v>
      </c>
      <c r="Q1201" s="265">
        <v>0.5</v>
      </c>
    </row>
    <row r="1202" spans="1:17" ht="15" customHeight="1">
      <c r="A1202" s="147">
        <v>1225</v>
      </c>
      <c r="B1202" s="51" t="s">
        <v>29</v>
      </c>
      <c r="C1202" s="51" t="s">
        <v>477</v>
      </c>
      <c r="D1202" s="51">
        <v>100022003</v>
      </c>
      <c r="E1202" s="53" t="s">
        <v>478</v>
      </c>
      <c r="F1202" s="124">
        <v>250</v>
      </c>
      <c r="G1202" s="124">
        <v>15000</v>
      </c>
      <c r="H1202" s="369">
        <v>8.44</v>
      </c>
      <c r="I1202" s="215" t="s">
        <v>76</v>
      </c>
      <c r="J1202" s="215" t="s">
        <v>102</v>
      </c>
      <c r="K1202" s="266">
        <v>49081106126</v>
      </c>
      <c r="L1202" s="215">
        <v>49081606121</v>
      </c>
      <c r="M1202" s="266">
        <v>40049081106124</v>
      </c>
      <c r="N1202" s="264">
        <v>5.1999999999999998E-2</v>
      </c>
      <c r="O1202" s="265">
        <v>10</v>
      </c>
      <c r="P1202" s="265">
        <v>14.14</v>
      </c>
      <c r="Q1202" s="265">
        <v>0.8</v>
      </c>
    </row>
    <row r="1203" spans="1:17" ht="15" customHeight="1">
      <c r="A1203" s="147">
        <v>1226</v>
      </c>
      <c r="B1203" s="51" t="s">
        <v>29</v>
      </c>
      <c r="C1203" s="51" t="s">
        <v>479</v>
      </c>
      <c r="D1203" s="51">
        <v>100022005</v>
      </c>
      <c r="E1203" s="53" t="s">
        <v>480</v>
      </c>
      <c r="F1203" s="124">
        <v>100</v>
      </c>
      <c r="G1203" s="124">
        <v>7500</v>
      </c>
      <c r="H1203" s="369">
        <v>11.03</v>
      </c>
      <c r="I1203" s="215" t="s">
        <v>76</v>
      </c>
      <c r="J1203" s="215" t="s">
        <v>102</v>
      </c>
      <c r="K1203" s="266">
        <v>49081106133</v>
      </c>
      <c r="L1203" s="215">
        <v>49081606138</v>
      </c>
      <c r="M1203" s="266">
        <v>40049081106131</v>
      </c>
      <c r="N1203" s="264">
        <v>9.1999999999999998E-2</v>
      </c>
      <c r="O1203" s="265">
        <v>10</v>
      </c>
      <c r="P1203" s="265">
        <v>10.18</v>
      </c>
      <c r="Q1203" s="265">
        <v>0.65</v>
      </c>
    </row>
    <row r="1204" spans="1:17" ht="15" customHeight="1">
      <c r="A1204" s="147">
        <v>1227</v>
      </c>
      <c r="B1204" s="51" t="s">
        <v>29</v>
      </c>
      <c r="C1204" s="51" t="s">
        <v>481</v>
      </c>
      <c r="D1204" s="51">
        <v>100022006</v>
      </c>
      <c r="E1204" s="53" t="s">
        <v>482</v>
      </c>
      <c r="F1204" s="124">
        <v>50</v>
      </c>
      <c r="G1204" s="124">
        <v>4500</v>
      </c>
      <c r="H1204" s="369">
        <v>14.65</v>
      </c>
      <c r="I1204" s="215" t="s">
        <v>346</v>
      </c>
      <c r="J1204" s="215" t="s">
        <v>102</v>
      </c>
      <c r="K1204" s="266">
        <v>49081106140</v>
      </c>
      <c r="L1204" s="215">
        <v>49081606145</v>
      </c>
      <c r="M1204" s="266">
        <v>40049081106148</v>
      </c>
      <c r="N1204" s="264">
        <v>0.14000000000000001</v>
      </c>
      <c r="O1204" s="265">
        <v>5</v>
      </c>
      <c r="P1204" s="265">
        <v>7.95</v>
      </c>
      <c r="Q1204" s="265">
        <v>0.5</v>
      </c>
    </row>
    <row r="1205" spans="1:17" ht="15" customHeight="1">
      <c r="A1205" s="147">
        <v>1228</v>
      </c>
      <c r="B1205" s="51" t="s">
        <v>29</v>
      </c>
      <c r="C1205" s="51" t="s">
        <v>483</v>
      </c>
      <c r="D1205" s="51">
        <v>100022007</v>
      </c>
      <c r="E1205" s="53" t="s">
        <v>484</v>
      </c>
      <c r="F1205" s="124">
        <v>50</v>
      </c>
      <c r="G1205" s="124">
        <v>3750</v>
      </c>
      <c r="H1205" s="369">
        <v>19.48</v>
      </c>
      <c r="I1205" s="215" t="s">
        <v>76</v>
      </c>
      <c r="J1205" s="215" t="s">
        <v>102</v>
      </c>
      <c r="K1205" s="266">
        <v>49081106157</v>
      </c>
      <c r="L1205" s="215">
        <v>49081606152</v>
      </c>
      <c r="M1205" s="266">
        <v>40049081106155</v>
      </c>
      <c r="N1205" s="264">
        <v>0.17699999999999999</v>
      </c>
      <c r="O1205" s="265">
        <v>5</v>
      </c>
      <c r="P1205" s="265">
        <v>9.77</v>
      </c>
      <c r="Q1205" s="265">
        <v>0.65</v>
      </c>
    </row>
    <row r="1206" spans="1:17" ht="15" customHeight="1">
      <c r="A1206" s="147">
        <v>1229</v>
      </c>
      <c r="B1206" s="51" t="s">
        <v>29</v>
      </c>
      <c r="C1206" s="51" t="s">
        <v>485</v>
      </c>
      <c r="D1206" s="51">
        <v>100022008</v>
      </c>
      <c r="E1206" s="53" t="s">
        <v>486</v>
      </c>
      <c r="F1206" s="124">
        <v>25</v>
      </c>
      <c r="G1206" s="124">
        <v>1875</v>
      </c>
      <c r="H1206" s="369">
        <v>30.73</v>
      </c>
      <c r="I1206" s="215" t="s">
        <v>76</v>
      </c>
      <c r="J1206" s="215" t="s">
        <v>102</v>
      </c>
      <c r="K1206" s="266">
        <v>49081106164</v>
      </c>
      <c r="L1206" s="215">
        <v>49081606169</v>
      </c>
      <c r="M1206" s="266">
        <v>40049081106162</v>
      </c>
      <c r="N1206" s="264">
        <v>0.27600000000000002</v>
      </c>
      <c r="O1206" s="265">
        <v>5</v>
      </c>
      <c r="P1206" s="265">
        <v>7.46</v>
      </c>
      <c r="Q1206" s="265">
        <v>0.65</v>
      </c>
    </row>
    <row r="1207" spans="1:17" ht="15" customHeight="1">
      <c r="A1207" s="147">
        <v>1230</v>
      </c>
      <c r="B1207" s="51" t="s">
        <v>29</v>
      </c>
      <c r="C1207" s="51" t="s">
        <v>487</v>
      </c>
      <c r="D1207" s="51">
        <v>100022012</v>
      </c>
      <c r="E1207" s="53" t="s">
        <v>488</v>
      </c>
      <c r="F1207" s="124">
        <v>250</v>
      </c>
      <c r="G1207" s="124">
        <v>18750</v>
      </c>
      <c r="H1207" s="369">
        <v>12.56</v>
      </c>
      <c r="I1207" s="215" t="s">
        <v>76</v>
      </c>
      <c r="J1207" s="215" t="s">
        <v>102</v>
      </c>
      <c r="K1207" s="266">
        <v>49081105730</v>
      </c>
      <c r="L1207" s="215">
        <v>49081605735</v>
      </c>
      <c r="M1207" s="266">
        <v>40049081105738</v>
      </c>
      <c r="N1207" s="264">
        <v>0.04</v>
      </c>
      <c r="O1207" s="265">
        <v>10</v>
      </c>
      <c r="P1207" s="265">
        <v>10.25</v>
      </c>
      <c r="Q1207" s="265">
        <v>0.65</v>
      </c>
    </row>
    <row r="1208" spans="1:17" ht="15" customHeight="1">
      <c r="A1208" s="147">
        <v>1231</v>
      </c>
      <c r="B1208" s="51" t="s">
        <v>29</v>
      </c>
      <c r="C1208" s="51" t="s">
        <v>489</v>
      </c>
      <c r="D1208" s="51">
        <v>100022014</v>
      </c>
      <c r="E1208" s="53" t="s">
        <v>490</v>
      </c>
      <c r="F1208" s="124">
        <v>250</v>
      </c>
      <c r="G1208" s="124">
        <v>15000</v>
      </c>
      <c r="H1208" s="369">
        <v>10.54</v>
      </c>
      <c r="I1208" s="215" t="s">
        <v>76</v>
      </c>
      <c r="J1208" s="215" t="s">
        <v>102</v>
      </c>
      <c r="K1208" s="266">
        <v>49081105945</v>
      </c>
      <c r="L1208" s="215">
        <v>49081605940</v>
      </c>
      <c r="M1208" s="266">
        <v>40049081105943</v>
      </c>
      <c r="N1208" s="264">
        <v>5.8000000000000003E-2</v>
      </c>
      <c r="O1208" s="265">
        <v>10</v>
      </c>
      <c r="P1208" s="265">
        <v>16.2</v>
      </c>
      <c r="Q1208" s="265">
        <v>0.8</v>
      </c>
    </row>
    <row r="1209" spans="1:17" ht="15" customHeight="1">
      <c r="A1209" s="147">
        <v>1232</v>
      </c>
      <c r="B1209" s="51" t="s">
        <v>29</v>
      </c>
      <c r="C1209" s="51" t="s">
        <v>491</v>
      </c>
      <c r="D1209" s="51">
        <v>100022016</v>
      </c>
      <c r="E1209" s="53" t="s">
        <v>492</v>
      </c>
      <c r="F1209" s="124">
        <v>100</v>
      </c>
      <c r="G1209" s="124">
        <v>9000</v>
      </c>
      <c r="H1209" s="369">
        <v>11.94</v>
      </c>
      <c r="I1209" s="215" t="s">
        <v>346</v>
      </c>
      <c r="J1209" s="215" t="s">
        <v>102</v>
      </c>
      <c r="K1209" s="266">
        <v>49081106102</v>
      </c>
      <c r="L1209" s="215">
        <v>49081606107</v>
      </c>
      <c r="M1209" s="266">
        <v>40049081106100</v>
      </c>
      <c r="N1209" s="264">
        <v>7.5999999999999998E-2</v>
      </c>
      <c r="O1209" s="265">
        <v>10</v>
      </c>
      <c r="P1209" s="265">
        <v>7.62</v>
      </c>
      <c r="Q1209" s="265">
        <v>0.5</v>
      </c>
    </row>
    <row r="1210" spans="1:17" ht="15" customHeight="1">
      <c r="A1210" s="147">
        <v>1233</v>
      </c>
      <c r="B1210" s="51" t="s">
        <v>29</v>
      </c>
      <c r="C1210" s="51" t="s">
        <v>493</v>
      </c>
      <c r="D1210" s="51">
        <v>100022018</v>
      </c>
      <c r="E1210" s="53" t="s">
        <v>494</v>
      </c>
      <c r="F1210" s="124">
        <v>100</v>
      </c>
      <c r="G1210" s="124">
        <v>9000</v>
      </c>
      <c r="H1210" s="369">
        <v>12.82</v>
      </c>
      <c r="I1210" s="215" t="s">
        <v>76</v>
      </c>
      <c r="J1210" s="215" t="s">
        <v>102</v>
      </c>
      <c r="K1210" s="266">
        <v>49081106171</v>
      </c>
      <c r="L1210" s="215">
        <v>49081606176</v>
      </c>
      <c r="M1210" s="266">
        <v>40049081106179</v>
      </c>
      <c r="N1210" s="264">
        <v>8.5000000000000006E-2</v>
      </c>
      <c r="O1210" s="265">
        <v>10</v>
      </c>
      <c r="P1210" s="265">
        <v>9.4700000000000006</v>
      </c>
      <c r="Q1210" s="265">
        <v>0.5</v>
      </c>
    </row>
    <row r="1211" spans="1:17" ht="15" customHeight="1">
      <c r="A1211" s="147">
        <v>1234</v>
      </c>
      <c r="B1211" s="51" t="s">
        <v>29</v>
      </c>
      <c r="C1211" s="51" t="s">
        <v>495</v>
      </c>
      <c r="D1211" s="51">
        <v>100026313</v>
      </c>
      <c r="E1211" s="53" t="s">
        <v>496</v>
      </c>
      <c r="F1211" s="124">
        <v>50</v>
      </c>
      <c r="G1211" s="124">
        <v>4500</v>
      </c>
      <c r="H1211" s="369">
        <v>13.92</v>
      </c>
      <c r="I1211" s="215" t="s">
        <v>346</v>
      </c>
      <c r="J1211" s="215" t="s">
        <v>102</v>
      </c>
      <c r="K1211" s="266">
        <v>49081104436</v>
      </c>
      <c r="L1211" s="215">
        <v>49081604431</v>
      </c>
      <c r="M1211" s="266">
        <v>40049081104434</v>
      </c>
      <c r="N1211" s="264">
        <v>0.1</v>
      </c>
      <c r="O1211" s="265">
        <v>5</v>
      </c>
      <c r="P1211" s="265">
        <v>5.86</v>
      </c>
      <c r="Q1211" s="265">
        <v>0.5</v>
      </c>
    </row>
    <row r="1212" spans="1:17" ht="15" customHeight="1">
      <c r="A1212" s="147">
        <v>1235</v>
      </c>
      <c r="B1212" s="51" t="s">
        <v>29</v>
      </c>
      <c r="C1212" s="51" t="s">
        <v>497</v>
      </c>
      <c r="D1212" s="51">
        <v>100026314</v>
      </c>
      <c r="E1212" s="53" t="s">
        <v>498</v>
      </c>
      <c r="F1212" s="124">
        <v>50</v>
      </c>
      <c r="G1212" s="124">
        <v>4500</v>
      </c>
      <c r="H1212" s="369">
        <v>13.92</v>
      </c>
      <c r="I1212" s="215" t="s">
        <v>76</v>
      </c>
      <c r="J1212" s="215" t="s">
        <v>102</v>
      </c>
      <c r="K1212" s="266">
        <v>49081104443</v>
      </c>
      <c r="L1212" s="215">
        <v>49081604448</v>
      </c>
      <c r="M1212" s="266">
        <v>40049081104441</v>
      </c>
      <c r="N1212" s="264">
        <v>0.104</v>
      </c>
      <c r="O1212" s="265">
        <v>5</v>
      </c>
      <c r="P1212" s="265">
        <v>5.23</v>
      </c>
      <c r="Q1212" s="265">
        <v>0.5</v>
      </c>
    </row>
    <row r="1213" spans="1:17" ht="15" customHeight="1">
      <c r="A1213" s="147">
        <v>1236</v>
      </c>
      <c r="B1213" s="51" t="s">
        <v>29</v>
      </c>
      <c r="C1213" s="51" t="s">
        <v>499</v>
      </c>
      <c r="D1213" s="51">
        <v>100026315</v>
      </c>
      <c r="E1213" s="53" t="s">
        <v>500</v>
      </c>
      <c r="F1213" s="124">
        <v>50</v>
      </c>
      <c r="G1213" s="124">
        <v>4500</v>
      </c>
      <c r="H1213" s="369">
        <v>14.98</v>
      </c>
      <c r="I1213" s="215" t="s">
        <v>346</v>
      </c>
      <c r="J1213" s="215" t="s">
        <v>102</v>
      </c>
      <c r="K1213" s="266">
        <v>49081104412</v>
      </c>
      <c r="L1213" s="215">
        <v>49081604417</v>
      </c>
      <c r="M1213" s="266">
        <v>40049081104410</v>
      </c>
      <c r="N1213" s="264">
        <v>0.13200000000000001</v>
      </c>
      <c r="O1213" s="265">
        <v>5</v>
      </c>
      <c r="P1213" s="265">
        <v>6.64</v>
      </c>
      <c r="Q1213" s="265">
        <v>0.5</v>
      </c>
    </row>
    <row r="1214" spans="1:17" ht="15" customHeight="1">
      <c r="A1214" s="147">
        <v>1237</v>
      </c>
      <c r="B1214" s="51" t="s">
        <v>29</v>
      </c>
      <c r="C1214" s="51" t="s">
        <v>501</v>
      </c>
      <c r="D1214" s="51">
        <v>100026316</v>
      </c>
      <c r="E1214" s="53" t="s">
        <v>502</v>
      </c>
      <c r="F1214" s="124">
        <v>50</v>
      </c>
      <c r="G1214" s="124">
        <v>4500</v>
      </c>
      <c r="H1214" s="369">
        <v>14.98</v>
      </c>
      <c r="I1214" s="215" t="s">
        <v>346</v>
      </c>
      <c r="J1214" s="215" t="s">
        <v>102</v>
      </c>
      <c r="K1214" s="266">
        <v>49081104429</v>
      </c>
      <c r="L1214" s="215">
        <v>49081604424</v>
      </c>
      <c r="M1214" s="266">
        <v>40049081104427</v>
      </c>
      <c r="N1214" s="264">
        <v>0.13</v>
      </c>
      <c r="O1214" s="265">
        <v>5</v>
      </c>
      <c r="P1214" s="265">
        <v>7.84</v>
      </c>
      <c r="Q1214" s="265">
        <v>0.5</v>
      </c>
    </row>
    <row r="1215" spans="1:17" ht="15" customHeight="1">
      <c r="A1215" s="147">
        <v>1238</v>
      </c>
      <c r="B1215" s="51" t="s">
        <v>29</v>
      </c>
      <c r="C1215" s="51" t="s">
        <v>503</v>
      </c>
      <c r="D1215" s="51">
        <v>100026318</v>
      </c>
      <c r="E1215" s="53" t="s">
        <v>504</v>
      </c>
      <c r="F1215" s="124">
        <v>50</v>
      </c>
      <c r="G1215" s="124">
        <v>4500</v>
      </c>
      <c r="H1215" s="369">
        <v>17.97</v>
      </c>
      <c r="I1215" s="215" t="s">
        <v>76</v>
      </c>
      <c r="J1215" s="215" t="s">
        <v>102</v>
      </c>
      <c r="K1215" s="266">
        <v>49081104474</v>
      </c>
      <c r="L1215" s="215">
        <v>49081604479</v>
      </c>
      <c r="M1215" s="266">
        <v>40049081104472</v>
      </c>
      <c r="N1215" s="264">
        <v>0.124</v>
      </c>
      <c r="O1215" s="265">
        <v>5</v>
      </c>
      <c r="P1215" s="265">
        <v>6.22</v>
      </c>
      <c r="Q1215" s="265">
        <v>0.5</v>
      </c>
    </row>
    <row r="1216" spans="1:17" ht="15" customHeight="1">
      <c r="A1216" s="147">
        <v>1239</v>
      </c>
      <c r="B1216" s="51" t="s">
        <v>29</v>
      </c>
      <c r="C1216" s="51" t="s">
        <v>505</v>
      </c>
      <c r="D1216" s="51">
        <v>100026319</v>
      </c>
      <c r="E1216" s="53" t="s">
        <v>506</v>
      </c>
      <c r="F1216" s="124">
        <v>50</v>
      </c>
      <c r="G1216" s="124">
        <v>3750</v>
      </c>
      <c r="H1216" s="369">
        <v>19.12</v>
      </c>
      <c r="I1216" s="215" t="s">
        <v>76</v>
      </c>
      <c r="J1216" s="215" t="s">
        <v>102</v>
      </c>
      <c r="K1216" s="266">
        <v>49081104481</v>
      </c>
      <c r="L1216" s="215">
        <v>49081604486</v>
      </c>
      <c r="M1216" s="266">
        <v>40049081104489</v>
      </c>
      <c r="N1216" s="264">
        <v>0.16600000000000001</v>
      </c>
      <c r="O1216" s="265">
        <v>5</v>
      </c>
      <c r="P1216" s="265">
        <v>8.34</v>
      </c>
      <c r="Q1216" s="265">
        <v>0.65</v>
      </c>
    </row>
    <row r="1217" spans="1:17" ht="15" customHeight="1">
      <c r="A1217" s="147">
        <v>1240</v>
      </c>
      <c r="B1217" s="51" t="s">
        <v>29</v>
      </c>
      <c r="C1217" s="51" t="s">
        <v>507</v>
      </c>
      <c r="D1217" s="51">
        <v>100026320</v>
      </c>
      <c r="E1217" s="53" t="s">
        <v>508</v>
      </c>
      <c r="F1217" s="124">
        <v>50</v>
      </c>
      <c r="G1217" s="124">
        <v>3750</v>
      </c>
      <c r="H1217" s="369">
        <v>19.12</v>
      </c>
      <c r="I1217" s="215" t="s">
        <v>76</v>
      </c>
      <c r="J1217" s="215" t="s">
        <v>102</v>
      </c>
      <c r="K1217" s="266">
        <v>49081104498</v>
      </c>
      <c r="L1217" s="215">
        <v>49081604493</v>
      </c>
      <c r="M1217" s="266">
        <v>40049081104496</v>
      </c>
      <c r="N1217" s="264">
        <v>0.17299999999999999</v>
      </c>
      <c r="O1217" s="265">
        <v>5</v>
      </c>
      <c r="P1217" s="265">
        <v>8.69</v>
      </c>
      <c r="Q1217" s="265">
        <v>0.65</v>
      </c>
    </row>
    <row r="1218" spans="1:17" ht="15" customHeight="1">
      <c r="A1218" s="147">
        <v>1241</v>
      </c>
      <c r="B1218" s="51" t="s">
        <v>29</v>
      </c>
      <c r="C1218" s="51" t="s">
        <v>509</v>
      </c>
      <c r="D1218" s="51">
        <v>100022020</v>
      </c>
      <c r="E1218" s="53" t="s">
        <v>510</v>
      </c>
      <c r="F1218" s="124">
        <v>100</v>
      </c>
      <c r="G1218" s="124">
        <v>9000</v>
      </c>
      <c r="H1218" s="369">
        <v>13.89</v>
      </c>
      <c r="I1218" s="215" t="s">
        <v>76</v>
      </c>
      <c r="J1218" s="215" t="s">
        <v>102</v>
      </c>
      <c r="K1218" s="266">
        <v>49081105709</v>
      </c>
      <c r="L1218" s="215">
        <v>49081605704</v>
      </c>
      <c r="M1218" s="266">
        <v>40049081105707</v>
      </c>
      <c r="N1218" s="264">
        <v>5.3999999999999999E-2</v>
      </c>
      <c r="O1218" s="265">
        <v>10</v>
      </c>
      <c r="P1218" s="265">
        <v>6.26</v>
      </c>
      <c r="Q1218" s="265">
        <v>0.5</v>
      </c>
    </row>
    <row r="1219" spans="1:17" ht="15" customHeight="1">
      <c r="A1219" s="147">
        <v>1242</v>
      </c>
      <c r="B1219" s="51" t="s">
        <v>29</v>
      </c>
      <c r="C1219" s="51" t="s">
        <v>511</v>
      </c>
      <c r="D1219" s="51">
        <v>100022022</v>
      </c>
      <c r="E1219" s="53" t="s">
        <v>512</v>
      </c>
      <c r="F1219" s="124">
        <v>100</v>
      </c>
      <c r="G1219" s="124">
        <v>6000</v>
      </c>
      <c r="H1219" s="369">
        <v>13.89</v>
      </c>
      <c r="I1219" s="215" t="s">
        <v>76</v>
      </c>
      <c r="J1219" s="215" t="s">
        <v>102</v>
      </c>
      <c r="K1219" s="266">
        <v>49081105716</v>
      </c>
      <c r="L1219" s="215">
        <v>49081605711</v>
      </c>
      <c r="M1219" s="266">
        <v>40049081105714</v>
      </c>
      <c r="N1219" s="264">
        <v>8.1000000000000003E-2</v>
      </c>
      <c r="O1219" s="265">
        <v>10</v>
      </c>
      <c r="P1219" s="265">
        <v>9.36</v>
      </c>
      <c r="Q1219" s="265">
        <v>0.8</v>
      </c>
    </row>
    <row r="1220" spans="1:17" ht="15" customHeight="1">
      <c r="A1220" s="147">
        <v>1243</v>
      </c>
      <c r="B1220" s="51" t="s">
        <v>29</v>
      </c>
      <c r="C1220" s="51" t="s">
        <v>513</v>
      </c>
      <c r="D1220" s="51">
        <v>100022024</v>
      </c>
      <c r="E1220" s="53" t="s">
        <v>514</v>
      </c>
      <c r="F1220" s="124">
        <v>50</v>
      </c>
      <c r="G1220" s="124">
        <v>3750</v>
      </c>
      <c r="H1220" s="369">
        <v>17.190000000000001</v>
      </c>
      <c r="I1220" s="215" t="s">
        <v>76</v>
      </c>
      <c r="J1220" s="215" t="s">
        <v>102</v>
      </c>
      <c r="K1220" s="266">
        <v>49081105723</v>
      </c>
      <c r="L1220" s="265" t="s">
        <v>649</v>
      </c>
      <c r="M1220" s="266">
        <v>40049081105721</v>
      </c>
      <c r="N1220" s="264">
        <v>0.14299999999999999</v>
      </c>
      <c r="O1220" s="265" t="s">
        <v>649</v>
      </c>
      <c r="P1220" s="265">
        <v>8.0299999999999994</v>
      </c>
      <c r="Q1220" s="265">
        <v>0.65</v>
      </c>
    </row>
    <row r="1221" spans="1:17" ht="15" customHeight="1">
      <c r="A1221" s="147">
        <v>1244</v>
      </c>
      <c r="B1221" s="51" t="s">
        <v>29</v>
      </c>
      <c r="C1221" s="51" t="s">
        <v>515</v>
      </c>
      <c r="D1221" s="51">
        <v>100022031</v>
      </c>
      <c r="E1221" s="53" t="s">
        <v>516</v>
      </c>
      <c r="F1221" s="124">
        <v>50</v>
      </c>
      <c r="G1221" s="124">
        <v>4500</v>
      </c>
      <c r="H1221" s="369">
        <v>25.64</v>
      </c>
      <c r="I1221" s="215" t="s">
        <v>346</v>
      </c>
      <c r="J1221" s="215" t="s">
        <v>102</v>
      </c>
      <c r="K1221" s="266">
        <v>49081104535</v>
      </c>
      <c r="L1221" s="265" t="s">
        <v>649</v>
      </c>
      <c r="M1221" s="266">
        <v>40049081104533</v>
      </c>
      <c r="N1221" s="264">
        <v>0.108</v>
      </c>
      <c r="O1221" s="265" t="s">
        <v>649</v>
      </c>
      <c r="P1221" s="265">
        <v>6.08</v>
      </c>
      <c r="Q1221" s="265">
        <v>0.5</v>
      </c>
    </row>
    <row r="1222" spans="1:17" ht="15" customHeight="1">
      <c r="A1222" s="147">
        <v>1245</v>
      </c>
      <c r="B1222" s="51" t="s">
        <v>29</v>
      </c>
      <c r="C1222" s="51" t="s">
        <v>517</v>
      </c>
      <c r="D1222" s="51">
        <v>100022047</v>
      </c>
      <c r="E1222" s="53" t="s">
        <v>518</v>
      </c>
      <c r="F1222" s="124">
        <v>250</v>
      </c>
      <c r="G1222" s="124">
        <v>22500</v>
      </c>
      <c r="H1222" s="369">
        <v>2.4500000000000002</v>
      </c>
      <c r="I1222" s="215" t="s">
        <v>76</v>
      </c>
      <c r="J1222" s="215" t="s">
        <v>102</v>
      </c>
      <c r="K1222" s="266">
        <v>49081105426</v>
      </c>
      <c r="L1222" s="215">
        <v>49081605421</v>
      </c>
      <c r="M1222" s="266">
        <v>40049081105424</v>
      </c>
      <c r="N1222" s="264">
        <v>2.1999999999999999E-2</v>
      </c>
      <c r="O1222" s="265">
        <v>10</v>
      </c>
      <c r="P1222" s="265">
        <v>7.86</v>
      </c>
      <c r="Q1222" s="265">
        <v>0.5</v>
      </c>
    </row>
    <row r="1223" spans="1:17" ht="15" customHeight="1">
      <c r="A1223" s="147">
        <v>1246</v>
      </c>
      <c r="B1223" s="51" t="s">
        <v>29</v>
      </c>
      <c r="C1223" s="51" t="s">
        <v>519</v>
      </c>
      <c r="D1223" s="51">
        <v>100022049</v>
      </c>
      <c r="E1223" s="53" t="s">
        <v>520</v>
      </c>
      <c r="F1223" s="124">
        <v>250</v>
      </c>
      <c r="G1223" s="124">
        <v>18750</v>
      </c>
      <c r="H1223" s="369">
        <v>2.97</v>
      </c>
      <c r="I1223" s="215" t="s">
        <v>76</v>
      </c>
      <c r="J1223" s="215" t="s">
        <v>102</v>
      </c>
      <c r="K1223" s="266">
        <v>49081105433</v>
      </c>
      <c r="L1223" s="215">
        <v>49081605438</v>
      </c>
      <c r="M1223" s="266">
        <v>40049081105431</v>
      </c>
      <c r="N1223" s="264">
        <v>3.5000000000000003E-2</v>
      </c>
      <c r="O1223" s="265">
        <v>10</v>
      </c>
      <c r="P1223" s="265">
        <v>10.48</v>
      </c>
      <c r="Q1223" s="265">
        <v>0.65</v>
      </c>
    </row>
    <row r="1224" spans="1:17" ht="15" customHeight="1">
      <c r="A1224" s="147">
        <v>1247</v>
      </c>
      <c r="B1224" s="51" t="s">
        <v>29</v>
      </c>
      <c r="C1224" s="51" t="s">
        <v>521</v>
      </c>
      <c r="D1224" s="51">
        <v>100022051</v>
      </c>
      <c r="E1224" s="53" t="s">
        <v>522</v>
      </c>
      <c r="F1224" s="124">
        <v>100</v>
      </c>
      <c r="G1224" s="124">
        <v>9000</v>
      </c>
      <c r="H1224" s="369">
        <v>3.09</v>
      </c>
      <c r="I1224" s="215" t="s">
        <v>76</v>
      </c>
      <c r="J1224" s="215" t="s">
        <v>102</v>
      </c>
      <c r="K1224" s="266">
        <v>49081105457</v>
      </c>
      <c r="L1224" s="215">
        <v>49081605452</v>
      </c>
      <c r="M1224" s="266">
        <v>40049081105455</v>
      </c>
      <c r="N1224" s="264">
        <v>5.3999999999999999E-2</v>
      </c>
      <c r="O1224" s="265">
        <v>10</v>
      </c>
      <c r="P1224" s="265">
        <v>6.05</v>
      </c>
      <c r="Q1224" s="265">
        <v>0.5</v>
      </c>
    </row>
    <row r="1225" spans="1:17" ht="15" customHeight="1">
      <c r="A1225" s="147">
        <v>1248</v>
      </c>
      <c r="B1225" s="51" t="s">
        <v>29</v>
      </c>
      <c r="C1225" s="51" t="s">
        <v>523</v>
      </c>
      <c r="D1225" s="51">
        <v>100022053</v>
      </c>
      <c r="E1225" s="53" t="s">
        <v>524</v>
      </c>
      <c r="F1225" s="124">
        <v>100</v>
      </c>
      <c r="G1225" s="124">
        <v>6000</v>
      </c>
      <c r="H1225" s="369">
        <v>4.57</v>
      </c>
      <c r="I1225" s="215" t="s">
        <v>76</v>
      </c>
      <c r="J1225" s="215" t="s">
        <v>102</v>
      </c>
      <c r="K1225" s="266">
        <v>49081105464</v>
      </c>
      <c r="L1225" s="215">
        <v>49081605469</v>
      </c>
      <c r="M1225" s="266">
        <v>40049081105462</v>
      </c>
      <c r="N1225" s="264">
        <v>0.108</v>
      </c>
      <c r="O1225" s="265">
        <v>10</v>
      </c>
      <c r="P1225" s="265">
        <v>9.66</v>
      </c>
      <c r="Q1225" s="265">
        <v>0.8</v>
      </c>
    </row>
    <row r="1226" spans="1:17" ht="15" customHeight="1">
      <c r="A1226" s="147">
        <v>1249</v>
      </c>
      <c r="B1226" s="51" t="s">
        <v>29</v>
      </c>
      <c r="C1226" s="51" t="s">
        <v>525</v>
      </c>
      <c r="D1226" s="51">
        <v>100022055</v>
      </c>
      <c r="E1226" s="53" t="s">
        <v>526</v>
      </c>
      <c r="F1226" s="124">
        <v>50</v>
      </c>
      <c r="G1226" s="124">
        <v>3750</v>
      </c>
      <c r="H1226" s="369">
        <v>5.41</v>
      </c>
      <c r="I1226" s="215" t="s">
        <v>76</v>
      </c>
      <c r="J1226" s="215" t="s">
        <v>102</v>
      </c>
      <c r="K1226" s="266">
        <v>49081105471</v>
      </c>
      <c r="L1226" s="215">
        <v>49081605476</v>
      </c>
      <c r="M1226" s="266">
        <v>40049081105479</v>
      </c>
      <c r="N1226" s="264">
        <v>0.13200000000000001</v>
      </c>
      <c r="O1226" s="265">
        <v>10</v>
      </c>
      <c r="P1226" s="265">
        <v>7.59</v>
      </c>
      <c r="Q1226" s="265">
        <v>0.65</v>
      </c>
    </row>
    <row r="1227" spans="1:17" ht="15" customHeight="1">
      <c r="A1227" s="147">
        <v>1250</v>
      </c>
      <c r="B1227" s="51" t="s">
        <v>29</v>
      </c>
      <c r="C1227" s="51" t="s">
        <v>527</v>
      </c>
      <c r="D1227" s="51">
        <v>100022057</v>
      </c>
      <c r="E1227" s="53" t="s">
        <v>528</v>
      </c>
      <c r="F1227" s="124">
        <v>25</v>
      </c>
      <c r="G1227" s="124">
        <v>2250</v>
      </c>
      <c r="H1227" s="369">
        <v>10.23</v>
      </c>
      <c r="I1227" s="215" t="s">
        <v>76</v>
      </c>
      <c r="J1227" s="215" t="s">
        <v>102</v>
      </c>
      <c r="K1227" s="266">
        <v>49081105488</v>
      </c>
      <c r="L1227" s="215">
        <v>49081605483</v>
      </c>
      <c r="M1227" s="266">
        <v>40049081105486</v>
      </c>
      <c r="N1227" s="264">
        <v>0.156</v>
      </c>
      <c r="O1227" s="265">
        <v>5</v>
      </c>
      <c r="P1227" s="265">
        <v>4.6100000000000003</v>
      </c>
      <c r="Q1227" s="265">
        <v>0.5</v>
      </c>
    </row>
    <row r="1228" spans="1:17" ht="15" customHeight="1">
      <c r="A1228" s="147">
        <v>1251</v>
      </c>
      <c r="B1228" s="51" t="s">
        <v>29</v>
      </c>
      <c r="C1228" s="51" t="s">
        <v>529</v>
      </c>
      <c r="D1228" s="51">
        <v>100022060</v>
      </c>
      <c r="E1228" s="53" t="s">
        <v>530</v>
      </c>
      <c r="F1228" s="124">
        <v>250</v>
      </c>
      <c r="G1228" s="124">
        <v>15000</v>
      </c>
      <c r="H1228" s="369">
        <v>3.98</v>
      </c>
      <c r="I1228" s="215" t="s">
        <v>346</v>
      </c>
      <c r="J1228" s="215" t="s">
        <v>102</v>
      </c>
      <c r="K1228" s="266">
        <v>49081105594</v>
      </c>
      <c r="L1228" s="215">
        <v>49081605599</v>
      </c>
      <c r="M1228" s="266">
        <v>40049081105592</v>
      </c>
      <c r="N1228" s="264">
        <v>3.2000000000000001E-2</v>
      </c>
      <c r="O1228" s="265">
        <v>10</v>
      </c>
      <c r="P1228" s="265">
        <v>11.8</v>
      </c>
      <c r="Q1228" s="265">
        <v>0.8</v>
      </c>
    </row>
    <row r="1229" spans="1:17" ht="15" customHeight="1">
      <c r="A1229" s="147">
        <v>1252</v>
      </c>
      <c r="B1229" s="51" t="s">
        <v>29</v>
      </c>
      <c r="C1229" s="51" t="s">
        <v>531</v>
      </c>
      <c r="D1229" s="51">
        <v>100022064</v>
      </c>
      <c r="E1229" s="53" t="s">
        <v>532</v>
      </c>
      <c r="F1229" s="124">
        <v>100</v>
      </c>
      <c r="G1229" s="124">
        <v>9000</v>
      </c>
      <c r="H1229" s="369">
        <v>5.53</v>
      </c>
      <c r="I1229" s="215" t="s">
        <v>346</v>
      </c>
      <c r="J1229" s="215" t="s">
        <v>102</v>
      </c>
      <c r="K1229" s="266">
        <v>49081105600</v>
      </c>
      <c r="L1229" s="215">
        <v>49081605605</v>
      </c>
      <c r="M1229" s="266">
        <v>40049081105608</v>
      </c>
      <c r="N1229" s="264">
        <v>4.8000000000000001E-2</v>
      </c>
      <c r="O1229" s="265">
        <v>10</v>
      </c>
      <c r="P1229" s="265">
        <v>6.85</v>
      </c>
      <c r="Q1229" s="265">
        <v>0.5</v>
      </c>
    </row>
    <row r="1230" spans="1:17" ht="15" customHeight="1">
      <c r="A1230" s="147">
        <v>1253</v>
      </c>
      <c r="B1230" s="51" t="s">
        <v>29</v>
      </c>
      <c r="C1230" s="51" t="s">
        <v>533</v>
      </c>
      <c r="D1230" s="51">
        <v>100022066</v>
      </c>
      <c r="E1230" s="53" t="s">
        <v>534</v>
      </c>
      <c r="F1230" s="124">
        <v>100</v>
      </c>
      <c r="G1230" s="124">
        <v>9000</v>
      </c>
      <c r="H1230" s="369">
        <v>4.12</v>
      </c>
      <c r="I1230" s="215" t="s">
        <v>76</v>
      </c>
      <c r="J1230" s="215" t="s">
        <v>102</v>
      </c>
      <c r="K1230" s="266">
        <v>49081105617</v>
      </c>
      <c r="L1230" s="215">
        <v>49081605612</v>
      </c>
      <c r="M1230" s="266">
        <v>40049081105615</v>
      </c>
      <c r="N1230" s="264">
        <v>4.3999999999999997E-2</v>
      </c>
      <c r="O1230" s="265">
        <v>10</v>
      </c>
      <c r="P1230" s="265">
        <v>7.46</v>
      </c>
      <c r="Q1230" s="265">
        <v>0.5</v>
      </c>
    </row>
    <row r="1231" spans="1:17" ht="15" customHeight="1">
      <c r="A1231" s="147">
        <v>1254</v>
      </c>
      <c r="B1231" s="51" t="s">
        <v>29</v>
      </c>
      <c r="C1231" s="51" t="s">
        <v>535</v>
      </c>
      <c r="D1231" s="51">
        <v>100022070</v>
      </c>
      <c r="E1231" s="53" t="s">
        <v>536</v>
      </c>
      <c r="F1231" s="124">
        <v>100</v>
      </c>
      <c r="G1231" s="124">
        <v>7500</v>
      </c>
      <c r="H1231" s="369">
        <v>6.55</v>
      </c>
      <c r="I1231" s="215" t="s">
        <v>76</v>
      </c>
      <c r="J1231" s="215" t="s">
        <v>102</v>
      </c>
      <c r="K1231" s="266">
        <v>49081105631</v>
      </c>
      <c r="L1231" s="215">
        <v>49081605636</v>
      </c>
      <c r="M1231" s="266">
        <v>40049081105639</v>
      </c>
      <c r="N1231" s="264">
        <v>0.1</v>
      </c>
      <c r="O1231" s="265">
        <v>10</v>
      </c>
      <c r="P1231" s="265">
        <v>8.6</v>
      </c>
      <c r="Q1231" s="265">
        <v>0.65</v>
      </c>
    </row>
    <row r="1232" spans="1:17" ht="15" customHeight="1">
      <c r="A1232" s="147">
        <v>1255</v>
      </c>
      <c r="B1232" s="51" t="s">
        <v>29</v>
      </c>
      <c r="C1232" s="51" t="s">
        <v>537</v>
      </c>
      <c r="D1232" s="51">
        <v>100022071</v>
      </c>
      <c r="E1232" s="53" t="s">
        <v>538</v>
      </c>
      <c r="F1232" s="124">
        <v>100</v>
      </c>
      <c r="G1232" s="124">
        <v>7500</v>
      </c>
      <c r="H1232" s="369">
        <v>10.23</v>
      </c>
      <c r="I1232" s="215" t="s">
        <v>346</v>
      </c>
      <c r="J1232" s="215" t="s">
        <v>102</v>
      </c>
      <c r="K1232" s="266">
        <v>49081105648</v>
      </c>
      <c r="L1232" s="215">
        <v>49081605643</v>
      </c>
      <c r="M1232" s="266">
        <v>40049081105646</v>
      </c>
      <c r="N1232" s="264">
        <v>9.5000000000000001E-2</v>
      </c>
      <c r="O1232" s="265">
        <v>10</v>
      </c>
      <c r="P1232" s="265">
        <v>12.1</v>
      </c>
      <c r="Q1232" s="265">
        <v>0.65</v>
      </c>
    </row>
    <row r="1233" spans="1:17" ht="15" customHeight="1">
      <c r="A1233" s="147">
        <v>1256</v>
      </c>
      <c r="B1233" s="51" t="s">
        <v>29</v>
      </c>
      <c r="C1233" s="51" t="s">
        <v>539</v>
      </c>
      <c r="D1233" s="51">
        <v>100022072</v>
      </c>
      <c r="E1233" s="53" t="s">
        <v>540</v>
      </c>
      <c r="F1233" s="124">
        <v>50</v>
      </c>
      <c r="G1233" s="124">
        <v>4500</v>
      </c>
      <c r="H1233" s="369">
        <v>9.8699999999999992</v>
      </c>
      <c r="I1233" s="215" t="s">
        <v>76</v>
      </c>
      <c r="J1233" s="215" t="s">
        <v>102</v>
      </c>
      <c r="K1233" s="266">
        <v>49081105655</v>
      </c>
      <c r="L1233" s="215">
        <v>49081605650</v>
      </c>
      <c r="M1233" s="266">
        <v>40049081105653</v>
      </c>
      <c r="N1233" s="264">
        <v>0.13500000000000001</v>
      </c>
      <c r="O1233" s="265">
        <v>5</v>
      </c>
      <c r="P1233" s="265">
        <v>6.78</v>
      </c>
      <c r="Q1233" s="265">
        <v>0.5</v>
      </c>
    </row>
    <row r="1234" spans="1:17" ht="15" customHeight="1">
      <c r="A1234" s="147">
        <v>1257</v>
      </c>
      <c r="B1234" s="51" t="s">
        <v>29</v>
      </c>
      <c r="C1234" s="51" t="s">
        <v>541</v>
      </c>
      <c r="D1234" s="51">
        <v>100022074</v>
      </c>
      <c r="E1234" s="53" t="s">
        <v>542</v>
      </c>
      <c r="F1234" s="124">
        <v>50</v>
      </c>
      <c r="G1234" s="124">
        <v>4500</v>
      </c>
      <c r="H1234" s="369">
        <v>7.67</v>
      </c>
      <c r="I1234" s="215" t="s">
        <v>346</v>
      </c>
      <c r="J1234" s="215" t="s">
        <v>102</v>
      </c>
      <c r="K1234" s="266">
        <v>49081105662</v>
      </c>
      <c r="L1234" s="215">
        <v>49081605667</v>
      </c>
      <c r="M1234" s="266">
        <v>40049081105660</v>
      </c>
      <c r="N1234" s="264">
        <v>0.125</v>
      </c>
      <c r="O1234" s="265">
        <v>5</v>
      </c>
      <c r="P1234" s="265">
        <v>7.27</v>
      </c>
      <c r="Q1234" s="265">
        <v>0.5</v>
      </c>
    </row>
    <row r="1235" spans="1:17" ht="15" customHeight="1">
      <c r="A1235" s="147">
        <v>1258</v>
      </c>
      <c r="B1235" s="51" t="s">
        <v>29</v>
      </c>
      <c r="C1235" s="51" t="s">
        <v>543</v>
      </c>
      <c r="D1235" s="51">
        <v>100022078</v>
      </c>
      <c r="E1235" s="53" t="s">
        <v>544</v>
      </c>
      <c r="F1235" s="124">
        <v>50</v>
      </c>
      <c r="G1235" s="124">
        <v>3750</v>
      </c>
      <c r="H1235" s="369">
        <v>12.34</v>
      </c>
      <c r="I1235" s="215" t="s">
        <v>346</v>
      </c>
      <c r="J1235" s="215" t="s">
        <v>102</v>
      </c>
      <c r="K1235" s="266">
        <v>49081105693</v>
      </c>
      <c r="L1235" s="215">
        <v>49081605698</v>
      </c>
      <c r="M1235" s="266">
        <v>40049081105691</v>
      </c>
      <c r="N1235" s="264">
        <v>0.14599999999999999</v>
      </c>
      <c r="O1235" s="265">
        <v>5</v>
      </c>
      <c r="P1235" s="265">
        <v>7.94</v>
      </c>
      <c r="Q1235" s="265">
        <v>0.65</v>
      </c>
    </row>
    <row r="1236" spans="1:17" ht="15" customHeight="1">
      <c r="A1236" s="147">
        <v>1259</v>
      </c>
      <c r="B1236" s="51" t="s">
        <v>29</v>
      </c>
      <c r="C1236" s="51" t="s">
        <v>545</v>
      </c>
      <c r="D1236" s="51">
        <v>100022067</v>
      </c>
      <c r="E1236" s="53" t="s">
        <v>546</v>
      </c>
      <c r="F1236" s="124">
        <v>100</v>
      </c>
      <c r="G1236" s="124">
        <v>9000</v>
      </c>
      <c r="H1236" s="369">
        <v>40.83</v>
      </c>
      <c r="I1236" s="215" t="s">
        <v>76</v>
      </c>
      <c r="J1236" s="215" t="s">
        <v>102</v>
      </c>
      <c r="K1236" s="266">
        <v>49081402532</v>
      </c>
      <c r="L1236" s="215">
        <v>49081602536</v>
      </c>
      <c r="M1236" s="266">
        <v>40049081402530</v>
      </c>
      <c r="N1236" s="264">
        <v>7.5999999999999998E-2</v>
      </c>
      <c r="O1236" s="265">
        <v>10</v>
      </c>
      <c r="P1236" s="265" t="s">
        <v>649</v>
      </c>
      <c r="Q1236" s="265">
        <v>0.5</v>
      </c>
    </row>
    <row r="1237" spans="1:17" ht="15" customHeight="1">
      <c r="A1237" s="147">
        <v>1260</v>
      </c>
      <c r="B1237" s="51" t="s">
        <v>29</v>
      </c>
      <c r="C1237" s="51" t="s">
        <v>547</v>
      </c>
      <c r="D1237" s="51">
        <v>100022058</v>
      </c>
      <c r="E1237" s="53" t="s">
        <v>548</v>
      </c>
      <c r="F1237" s="124">
        <v>250</v>
      </c>
      <c r="G1237" s="124">
        <v>22500</v>
      </c>
      <c r="H1237" s="369">
        <v>5.35</v>
      </c>
      <c r="I1237" s="215" t="s">
        <v>76</v>
      </c>
      <c r="J1237" s="215" t="s">
        <v>102</v>
      </c>
      <c r="K1237" s="266">
        <v>49081402501</v>
      </c>
      <c r="L1237" s="215">
        <v>49081602505</v>
      </c>
      <c r="M1237" s="266">
        <v>40049081402509</v>
      </c>
      <c r="N1237" s="264">
        <v>2.5999999999999999E-2</v>
      </c>
      <c r="O1237" s="265">
        <v>10</v>
      </c>
      <c r="P1237" s="265">
        <v>7.43</v>
      </c>
      <c r="Q1237" s="265">
        <v>0.5</v>
      </c>
    </row>
    <row r="1238" spans="1:17" ht="15" customHeight="1">
      <c r="A1238" s="147">
        <v>1261</v>
      </c>
      <c r="B1238" s="51" t="s">
        <v>29</v>
      </c>
      <c r="C1238" s="51" t="s">
        <v>549</v>
      </c>
      <c r="D1238" s="51">
        <v>100022062</v>
      </c>
      <c r="E1238" s="53" t="s">
        <v>550</v>
      </c>
      <c r="F1238" s="124">
        <v>100</v>
      </c>
      <c r="G1238" s="124">
        <v>15000</v>
      </c>
      <c r="H1238" s="369">
        <v>5.7</v>
      </c>
      <c r="I1238" s="215" t="s">
        <v>76</v>
      </c>
      <c r="J1238" s="215" t="s">
        <v>102</v>
      </c>
      <c r="K1238" s="266">
        <v>49081402518</v>
      </c>
      <c r="L1238" s="215">
        <v>49081602512</v>
      </c>
      <c r="M1238" s="266">
        <v>40049081402516</v>
      </c>
      <c r="N1238" s="264">
        <v>3.6999999999999998E-2</v>
      </c>
      <c r="O1238" s="265">
        <v>10</v>
      </c>
      <c r="P1238" s="265">
        <v>4.4000000000000004</v>
      </c>
      <c r="Q1238" s="265">
        <v>0.31</v>
      </c>
    </row>
    <row r="1239" spans="1:17" ht="15" customHeight="1">
      <c r="A1239" s="147">
        <v>1262</v>
      </c>
      <c r="B1239" s="51" t="s">
        <v>29</v>
      </c>
      <c r="C1239" s="51" t="s">
        <v>551</v>
      </c>
      <c r="D1239" s="51">
        <v>100022080</v>
      </c>
      <c r="E1239" s="53" t="s">
        <v>552</v>
      </c>
      <c r="F1239" s="124">
        <v>250</v>
      </c>
      <c r="G1239" s="124">
        <v>22500</v>
      </c>
      <c r="H1239" s="369">
        <v>5.67</v>
      </c>
      <c r="I1239" s="215" t="s">
        <v>76</v>
      </c>
      <c r="J1239" s="215" t="s">
        <v>102</v>
      </c>
      <c r="K1239" s="266">
        <v>49081104504</v>
      </c>
      <c r="L1239" s="215">
        <v>49081604509</v>
      </c>
      <c r="M1239" s="266">
        <v>40049081104502</v>
      </c>
      <c r="N1239" s="264">
        <v>2.4E-2</v>
      </c>
      <c r="O1239" s="265">
        <v>10</v>
      </c>
      <c r="P1239" s="265">
        <v>7.5</v>
      </c>
      <c r="Q1239" s="265">
        <v>0.5</v>
      </c>
    </row>
    <row r="1240" spans="1:17" ht="15" customHeight="1">
      <c r="A1240" s="147">
        <v>1263</v>
      </c>
      <c r="B1240" s="51" t="s">
        <v>29</v>
      </c>
      <c r="C1240" s="51" t="s">
        <v>553</v>
      </c>
      <c r="D1240" s="51">
        <v>100022082</v>
      </c>
      <c r="E1240" s="53" t="s">
        <v>554</v>
      </c>
      <c r="F1240" s="124">
        <v>250</v>
      </c>
      <c r="G1240" s="124">
        <v>18750</v>
      </c>
      <c r="H1240" s="369">
        <v>7.43</v>
      </c>
      <c r="I1240" s="215" t="s">
        <v>76</v>
      </c>
      <c r="J1240" s="215" t="s">
        <v>102</v>
      </c>
      <c r="K1240" s="266">
        <v>49081104528</v>
      </c>
      <c r="L1240" s="215">
        <v>49081604523</v>
      </c>
      <c r="M1240" s="266">
        <v>40049081104526</v>
      </c>
      <c r="N1240" s="264">
        <v>3.7999999999999999E-2</v>
      </c>
      <c r="O1240" s="265">
        <v>10</v>
      </c>
      <c r="P1240" s="265">
        <v>11.16</v>
      </c>
      <c r="Q1240" s="265">
        <v>0.65</v>
      </c>
    </row>
    <row r="1241" spans="1:17" ht="15" customHeight="1">
      <c r="A1241" s="147">
        <v>1264</v>
      </c>
      <c r="B1241" s="51" t="s">
        <v>29</v>
      </c>
      <c r="C1241" s="51" t="s">
        <v>555</v>
      </c>
      <c r="D1241" s="51">
        <v>100022084</v>
      </c>
      <c r="E1241" s="53" t="s">
        <v>556</v>
      </c>
      <c r="F1241" s="124">
        <v>100</v>
      </c>
      <c r="G1241" s="124">
        <v>9000</v>
      </c>
      <c r="H1241" s="369">
        <v>7.77</v>
      </c>
      <c r="I1241" s="215" t="s">
        <v>76</v>
      </c>
      <c r="J1241" s="215" t="s">
        <v>102</v>
      </c>
      <c r="K1241" s="266">
        <v>49081104542</v>
      </c>
      <c r="L1241" s="215">
        <v>49081604547</v>
      </c>
      <c r="M1241" s="266">
        <v>40049081104540</v>
      </c>
      <c r="N1241" s="264">
        <v>0.06</v>
      </c>
      <c r="O1241" s="265">
        <v>10</v>
      </c>
      <c r="P1241" s="265">
        <v>7.52</v>
      </c>
      <c r="Q1241" s="265">
        <v>0.5</v>
      </c>
    </row>
    <row r="1242" spans="1:17" ht="15" customHeight="1">
      <c r="A1242" s="147">
        <v>1265</v>
      </c>
      <c r="B1242" s="51" t="s">
        <v>29</v>
      </c>
      <c r="C1242" s="51" t="s">
        <v>557</v>
      </c>
      <c r="D1242" s="51">
        <v>100022085</v>
      </c>
      <c r="E1242" s="53" t="s">
        <v>558</v>
      </c>
      <c r="F1242" s="124">
        <v>50</v>
      </c>
      <c r="G1242" s="124">
        <v>4500</v>
      </c>
      <c r="H1242" s="369">
        <v>8.0500000000000007</v>
      </c>
      <c r="I1242" s="215" t="s">
        <v>76</v>
      </c>
      <c r="J1242" s="215" t="s">
        <v>102</v>
      </c>
      <c r="K1242" s="266">
        <v>49081104566</v>
      </c>
      <c r="L1242" s="215">
        <v>49081604561</v>
      </c>
      <c r="M1242" s="266">
        <v>40049081104564</v>
      </c>
      <c r="N1242" s="264">
        <v>0.12</v>
      </c>
      <c r="O1242" s="265">
        <v>5</v>
      </c>
      <c r="P1242" s="265">
        <v>6.13</v>
      </c>
      <c r="Q1242" s="265">
        <v>0.5</v>
      </c>
    </row>
    <row r="1243" spans="1:17" ht="15" customHeight="1">
      <c r="A1243" s="147">
        <v>1266</v>
      </c>
      <c r="B1243" s="51" t="s">
        <v>29</v>
      </c>
      <c r="C1243" s="51" t="s">
        <v>559</v>
      </c>
      <c r="D1243" s="51">
        <v>100022086</v>
      </c>
      <c r="E1243" s="53" t="s">
        <v>560</v>
      </c>
      <c r="F1243" s="124">
        <v>50</v>
      </c>
      <c r="G1243" s="124">
        <v>3750</v>
      </c>
      <c r="H1243" s="369">
        <v>8.61</v>
      </c>
      <c r="I1243" s="215" t="s">
        <v>76</v>
      </c>
      <c r="J1243" s="215" t="s">
        <v>102</v>
      </c>
      <c r="K1243" s="266">
        <v>49081104580</v>
      </c>
      <c r="L1243" s="215">
        <v>49081604585</v>
      </c>
      <c r="M1243" s="266">
        <v>40049081104588</v>
      </c>
      <c r="N1243" s="264">
        <v>0.11799999999999999</v>
      </c>
      <c r="O1243" s="265">
        <v>5</v>
      </c>
      <c r="P1243" s="265">
        <v>6.85</v>
      </c>
      <c r="Q1243" s="265">
        <v>0.65</v>
      </c>
    </row>
    <row r="1244" spans="1:17" ht="15" customHeight="1">
      <c r="A1244" s="147">
        <v>1267</v>
      </c>
      <c r="B1244" s="51" t="s">
        <v>29</v>
      </c>
      <c r="C1244" s="51" t="s">
        <v>561</v>
      </c>
      <c r="D1244" s="51">
        <v>100022088</v>
      </c>
      <c r="E1244" s="53" t="s">
        <v>562</v>
      </c>
      <c r="F1244" s="124">
        <v>25</v>
      </c>
      <c r="G1244" s="124">
        <v>2250</v>
      </c>
      <c r="H1244" s="369">
        <v>14.33</v>
      </c>
      <c r="I1244" s="215" t="s">
        <v>76</v>
      </c>
      <c r="J1244" s="215" t="s">
        <v>102</v>
      </c>
      <c r="K1244" s="266">
        <v>49081104603</v>
      </c>
      <c r="L1244" s="215">
        <v>49081604608</v>
      </c>
      <c r="M1244" s="266">
        <v>40049081104601</v>
      </c>
      <c r="N1244" s="264">
        <v>0.19600000000000001</v>
      </c>
      <c r="O1244" s="265">
        <v>5</v>
      </c>
      <c r="P1244" s="265">
        <v>5.0999999999999996</v>
      </c>
      <c r="Q1244" s="265">
        <v>0.5</v>
      </c>
    </row>
    <row r="1245" spans="1:17" ht="15" customHeight="1">
      <c r="A1245" s="147">
        <v>1268</v>
      </c>
      <c r="B1245" s="51" t="s">
        <v>29</v>
      </c>
      <c r="C1245" s="51" t="s">
        <v>563</v>
      </c>
      <c r="D1245" s="51">
        <v>100022090</v>
      </c>
      <c r="E1245" s="53" t="s">
        <v>564</v>
      </c>
      <c r="F1245" s="124">
        <v>10</v>
      </c>
      <c r="G1245" s="124">
        <v>750</v>
      </c>
      <c r="H1245" s="369">
        <v>48.46</v>
      </c>
      <c r="I1245" s="215" t="s">
        <v>76</v>
      </c>
      <c r="J1245" s="215" t="s">
        <v>102</v>
      </c>
      <c r="K1245" s="266">
        <v>49081104641</v>
      </c>
      <c r="L1245" s="265" t="s">
        <v>649</v>
      </c>
      <c r="M1245" s="266">
        <v>40049081104649</v>
      </c>
      <c r="N1245" s="264">
        <v>0.55200000000000005</v>
      </c>
      <c r="O1245" s="265" t="s">
        <v>649</v>
      </c>
      <c r="P1245" s="265">
        <v>5.54</v>
      </c>
      <c r="Q1245" s="265">
        <v>0.65</v>
      </c>
    </row>
    <row r="1246" spans="1:17" ht="15" customHeight="1">
      <c r="A1246" s="147">
        <v>1269</v>
      </c>
      <c r="B1246" s="51" t="s">
        <v>29</v>
      </c>
      <c r="C1246" s="51" t="s">
        <v>565</v>
      </c>
      <c r="D1246" s="51">
        <v>100022092</v>
      </c>
      <c r="E1246" s="53" t="s">
        <v>566</v>
      </c>
      <c r="F1246" s="124">
        <v>100</v>
      </c>
      <c r="G1246" s="124">
        <v>15000</v>
      </c>
      <c r="H1246" s="369">
        <v>7.43</v>
      </c>
      <c r="I1246" s="215" t="s">
        <v>76</v>
      </c>
      <c r="J1246" s="215" t="s">
        <v>102</v>
      </c>
      <c r="K1246" s="266">
        <v>49081104702</v>
      </c>
      <c r="L1246" s="215">
        <v>49081604707</v>
      </c>
      <c r="M1246" s="266">
        <v>40049081104700</v>
      </c>
      <c r="N1246" s="264">
        <v>3.2000000000000001E-2</v>
      </c>
      <c r="O1246" s="265">
        <v>10</v>
      </c>
      <c r="P1246" s="265">
        <v>4.24</v>
      </c>
      <c r="Q1246" s="265">
        <v>0.31</v>
      </c>
    </row>
    <row r="1247" spans="1:17" ht="15" customHeight="1">
      <c r="A1247" s="147">
        <v>1270</v>
      </c>
      <c r="B1247" s="51" t="s">
        <v>29</v>
      </c>
      <c r="C1247" s="51" t="s">
        <v>567</v>
      </c>
      <c r="D1247" s="51">
        <v>100022094</v>
      </c>
      <c r="E1247" s="53" t="s">
        <v>568</v>
      </c>
      <c r="F1247" s="124">
        <v>100</v>
      </c>
      <c r="G1247" s="124">
        <v>9000</v>
      </c>
      <c r="H1247" s="369">
        <v>8.66</v>
      </c>
      <c r="I1247" s="215" t="s">
        <v>76</v>
      </c>
      <c r="J1247" s="215" t="s">
        <v>102</v>
      </c>
      <c r="K1247" s="266">
        <v>49081104726</v>
      </c>
      <c r="L1247" s="215">
        <v>49081604721</v>
      </c>
      <c r="M1247" s="266">
        <v>40049081104724</v>
      </c>
      <c r="N1247" s="264">
        <v>5.1999999999999998E-2</v>
      </c>
      <c r="O1247" s="265">
        <v>10</v>
      </c>
      <c r="P1247" s="265">
        <v>5.85</v>
      </c>
      <c r="Q1247" s="265">
        <v>0.5</v>
      </c>
    </row>
    <row r="1248" spans="1:17" ht="15" customHeight="1">
      <c r="A1248" s="147">
        <v>1271</v>
      </c>
      <c r="B1248" s="51" t="s">
        <v>29</v>
      </c>
      <c r="C1248" s="51" t="s">
        <v>569</v>
      </c>
      <c r="D1248" s="51">
        <v>100022095</v>
      </c>
      <c r="E1248" s="53" t="s">
        <v>570</v>
      </c>
      <c r="F1248" s="124">
        <v>100</v>
      </c>
      <c r="G1248" s="124">
        <v>9000</v>
      </c>
      <c r="H1248" s="369">
        <v>8.66</v>
      </c>
      <c r="I1248" s="215" t="s">
        <v>76</v>
      </c>
      <c r="J1248" s="215" t="s">
        <v>102</v>
      </c>
      <c r="K1248" s="266">
        <v>49081104740</v>
      </c>
      <c r="L1248" s="215">
        <v>49081604745</v>
      </c>
      <c r="M1248" s="266">
        <v>40049081104748</v>
      </c>
      <c r="N1248" s="264">
        <v>0.05</v>
      </c>
      <c r="O1248" s="265">
        <v>10</v>
      </c>
      <c r="P1248" s="265">
        <v>5.93</v>
      </c>
      <c r="Q1248" s="265">
        <v>0.5</v>
      </c>
    </row>
    <row r="1249" spans="1:17" ht="15" customHeight="1">
      <c r="A1249" s="147">
        <v>1272</v>
      </c>
      <c r="B1249" s="51" t="s">
        <v>29</v>
      </c>
      <c r="C1249" s="51" t="s">
        <v>571</v>
      </c>
      <c r="D1249" s="51">
        <v>100022096</v>
      </c>
      <c r="E1249" s="53" t="s">
        <v>572</v>
      </c>
      <c r="F1249" s="124">
        <v>100</v>
      </c>
      <c r="G1249" s="124">
        <v>7500</v>
      </c>
      <c r="H1249" s="369">
        <v>10.38</v>
      </c>
      <c r="I1249" s="215" t="s">
        <v>346</v>
      </c>
      <c r="J1249" s="215" t="s">
        <v>102</v>
      </c>
      <c r="K1249" s="266">
        <v>49081104764</v>
      </c>
      <c r="L1249" s="215">
        <v>49081604769</v>
      </c>
      <c r="M1249" s="266">
        <v>40049081104762</v>
      </c>
      <c r="N1249" s="264">
        <v>8.8999999999999996E-2</v>
      </c>
      <c r="O1249" s="265">
        <v>10</v>
      </c>
      <c r="P1249" s="265">
        <v>8.9</v>
      </c>
      <c r="Q1249" s="265">
        <v>0.65</v>
      </c>
    </row>
    <row r="1250" spans="1:17" ht="15" customHeight="1">
      <c r="A1250" s="147">
        <v>1273</v>
      </c>
      <c r="B1250" s="51" t="s">
        <v>29</v>
      </c>
      <c r="C1250" s="51" t="s">
        <v>573</v>
      </c>
      <c r="D1250" s="51">
        <v>100022097</v>
      </c>
      <c r="E1250" s="53" t="s">
        <v>574</v>
      </c>
      <c r="F1250" s="124">
        <v>100</v>
      </c>
      <c r="G1250" s="124">
        <v>7500</v>
      </c>
      <c r="H1250" s="369">
        <v>10.38</v>
      </c>
      <c r="I1250" s="215" t="s">
        <v>76</v>
      </c>
      <c r="J1250" s="215" t="s">
        <v>102</v>
      </c>
      <c r="K1250" s="266">
        <v>49081104788</v>
      </c>
      <c r="L1250" s="215">
        <v>49081604783</v>
      </c>
      <c r="M1250" s="266">
        <v>40049081104786</v>
      </c>
      <c r="N1250" s="264">
        <v>9.4E-2</v>
      </c>
      <c r="O1250" s="265">
        <v>10</v>
      </c>
      <c r="P1250" s="265">
        <v>9.25</v>
      </c>
      <c r="Q1250" s="265">
        <v>0.65</v>
      </c>
    </row>
    <row r="1251" spans="1:17" ht="15" customHeight="1">
      <c r="A1251" s="147">
        <v>1274</v>
      </c>
      <c r="B1251" s="51" t="s">
        <v>29</v>
      </c>
      <c r="C1251" s="51" t="s">
        <v>575</v>
      </c>
      <c r="D1251" s="51">
        <v>100022098</v>
      </c>
      <c r="E1251" s="53" t="s">
        <v>576</v>
      </c>
      <c r="F1251" s="124">
        <v>100</v>
      </c>
      <c r="G1251" s="124">
        <v>7500</v>
      </c>
      <c r="H1251" s="369">
        <v>10.38</v>
      </c>
      <c r="I1251" s="215" t="s">
        <v>346</v>
      </c>
      <c r="J1251" s="215" t="s">
        <v>102</v>
      </c>
      <c r="K1251" s="266">
        <v>49081104801</v>
      </c>
      <c r="L1251" s="215">
        <v>49081604806</v>
      </c>
      <c r="M1251" s="266">
        <v>40049081104809</v>
      </c>
      <c r="N1251" s="264">
        <v>9.9000000000000005E-2</v>
      </c>
      <c r="O1251" s="265">
        <v>10</v>
      </c>
      <c r="P1251" s="265">
        <v>10.31</v>
      </c>
      <c r="Q1251" s="265">
        <v>0.65</v>
      </c>
    </row>
    <row r="1252" spans="1:17" ht="15" customHeight="1">
      <c r="A1252" s="147">
        <v>1275</v>
      </c>
      <c r="B1252" s="51" t="s">
        <v>29</v>
      </c>
      <c r="C1252" s="51" t="s">
        <v>577</v>
      </c>
      <c r="D1252" s="51">
        <v>100022101</v>
      </c>
      <c r="E1252" s="53" t="s">
        <v>578</v>
      </c>
      <c r="F1252" s="124">
        <v>50</v>
      </c>
      <c r="G1252" s="124">
        <v>4500</v>
      </c>
      <c r="H1252" s="369">
        <v>11.88</v>
      </c>
      <c r="I1252" s="215" t="s">
        <v>76</v>
      </c>
      <c r="J1252" s="215" t="s">
        <v>102</v>
      </c>
      <c r="K1252" s="266">
        <v>49081104863</v>
      </c>
      <c r="L1252" s="215">
        <v>49081604868</v>
      </c>
      <c r="M1252" s="266">
        <v>40049081104861</v>
      </c>
      <c r="N1252" s="264">
        <v>0.114</v>
      </c>
      <c r="O1252" s="265">
        <v>5</v>
      </c>
      <c r="P1252" s="265">
        <v>5.61</v>
      </c>
      <c r="Q1252" s="265">
        <v>0.5</v>
      </c>
    </row>
    <row r="1253" spans="1:17" ht="15" customHeight="1">
      <c r="A1253" s="147">
        <v>1276</v>
      </c>
      <c r="B1253" s="51" t="s">
        <v>29</v>
      </c>
      <c r="C1253" s="51" t="s">
        <v>579</v>
      </c>
      <c r="D1253" s="51">
        <v>100022102</v>
      </c>
      <c r="E1253" s="53" t="s">
        <v>580</v>
      </c>
      <c r="F1253" s="124">
        <v>50</v>
      </c>
      <c r="G1253" s="124">
        <v>4500</v>
      </c>
      <c r="H1253" s="369">
        <v>11.88</v>
      </c>
      <c r="I1253" s="215" t="s">
        <v>76</v>
      </c>
      <c r="J1253" s="215" t="s">
        <v>102</v>
      </c>
      <c r="K1253" s="266">
        <v>49081104887</v>
      </c>
      <c r="L1253" s="215">
        <v>49081604882</v>
      </c>
      <c r="M1253" s="266">
        <v>40049081104885</v>
      </c>
      <c r="N1253" s="264">
        <v>0.11</v>
      </c>
      <c r="O1253" s="265">
        <v>5</v>
      </c>
      <c r="P1253" s="265">
        <v>6.3</v>
      </c>
      <c r="Q1253" s="265">
        <v>0.5</v>
      </c>
    </row>
    <row r="1254" spans="1:17" ht="15" customHeight="1">
      <c r="A1254" s="147">
        <v>1277</v>
      </c>
      <c r="B1254" s="51" t="s">
        <v>29</v>
      </c>
      <c r="C1254" s="51" t="s">
        <v>581</v>
      </c>
      <c r="D1254" s="51">
        <v>100022104</v>
      </c>
      <c r="E1254" s="53" t="s">
        <v>582</v>
      </c>
      <c r="F1254" s="124">
        <v>250</v>
      </c>
      <c r="G1254" s="124">
        <v>33000</v>
      </c>
      <c r="H1254" s="369">
        <v>10.74</v>
      </c>
      <c r="I1254" s="215" t="s">
        <v>76</v>
      </c>
      <c r="J1254" s="215" t="s">
        <v>102</v>
      </c>
      <c r="K1254" s="266">
        <v>49081105006</v>
      </c>
      <c r="L1254" s="215">
        <v>49081605001</v>
      </c>
      <c r="M1254" s="266">
        <v>40049081105004</v>
      </c>
      <c r="N1254" s="264">
        <v>3.5000000000000003E-2</v>
      </c>
      <c r="O1254" s="265">
        <v>10</v>
      </c>
      <c r="P1254" s="265">
        <v>9.43</v>
      </c>
      <c r="Q1254" s="265">
        <v>0.5</v>
      </c>
    </row>
    <row r="1255" spans="1:17" ht="15" customHeight="1">
      <c r="A1255" s="147">
        <v>1278</v>
      </c>
      <c r="B1255" s="51" t="s">
        <v>29</v>
      </c>
      <c r="C1255" s="51" t="s">
        <v>583</v>
      </c>
      <c r="D1255" s="51">
        <v>100022106</v>
      </c>
      <c r="E1255" s="53" t="s">
        <v>584</v>
      </c>
      <c r="F1255" s="124">
        <v>250</v>
      </c>
      <c r="G1255" s="124">
        <v>21000</v>
      </c>
      <c r="H1255" s="369">
        <v>11.67</v>
      </c>
      <c r="I1255" s="215" t="s">
        <v>76</v>
      </c>
      <c r="J1255" s="215" t="s">
        <v>102</v>
      </c>
      <c r="K1255" s="266">
        <v>49081105013</v>
      </c>
      <c r="L1255" s="215">
        <v>49081605018</v>
      </c>
      <c r="M1255" s="266">
        <v>40049081105011</v>
      </c>
      <c r="N1255" s="264">
        <v>4.9000000000000002E-2</v>
      </c>
      <c r="O1255" s="265">
        <v>10</v>
      </c>
      <c r="P1255" s="265">
        <v>12.32</v>
      </c>
      <c r="Q1255" s="265">
        <v>0.8</v>
      </c>
    </row>
    <row r="1256" spans="1:17" ht="15" customHeight="1">
      <c r="A1256" s="147">
        <v>1279</v>
      </c>
      <c r="B1256" s="51" t="s">
        <v>29</v>
      </c>
      <c r="C1256" s="51" t="s">
        <v>585</v>
      </c>
      <c r="D1256" s="51">
        <v>100022108</v>
      </c>
      <c r="E1256" s="53" t="s">
        <v>586</v>
      </c>
      <c r="F1256" s="124">
        <v>100</v>
      </c>
      <c r="G1256" s="124">
        <v>7500</v>
      </c>
      <c r="H1256" s="369">
        <v>12.98</v>
      </c>
      <c r="I1256" s="215" t="s">
        <v>76</v>
      </c>
      <c r="J1256" s="215" t="s">
        <v>102</v>
      </c>
      <c r="K1256" s="266">
        <v>49081105020</v>
      </c>
      <c r="L1256" s="215">
        <v>49081605025</v>
      </c>
      <c r="M1256" s="266">
        <v>40049081105028</v>
      </c>
      <c r="N1256" s="264">
        <v>8.6999999999999994E-2</v>
      </c>
      <c r="O1256" s="265">
        <v>10</v>
      </c>
      <c r="P1256" s="265">
        <v>9.15</v>
      </c>
      <c r="Q1256" s="265">
        <v>0.65</v>
      </c>
    </row>
    <row r="1257" spans="1:17" ht="15" customHeight="1">
      <c r="A1257" s="147">
        <v>1280</v>
      </c>
      <c r="B1257" s="51" t="s">
        <v>29</v>
      </c>
      <c r="C1257" s="51" t="s">
        <v>587</v>
      </c>
      <c r="D1257" s="51">
        <v>100022109</v>
      </c>
      <c r="E1257" s="53" t="s">
        <v>588</v>
      </c>
      <c r="F1257" s="124">
        <v>50</v>
      </c>
      <c r="G1257" s="124">
        <v>4500</v>
      </c>
      <c r="H1257" s="369">
        <v>15.9</v>
      </c>
      <c r="I1257" s="215" t="s">
        <v>346</v>
      </c>
      <c r="J1257" s="215" t="s">
        <v>102</v>
      </c>
      <c r="K1257" s="266">
        <v>49081105037</v>
      </c>
      <c r="L1257" s="215">
        <v>49081605032</v>
      </c>
      <c r="M1257" s="266">
        <v>40049081105035</v>
      </c>
      <c r="N1257" s="264">
        <v>0.11600000000000001</v>
      </c>
      <c r="O1257" s="265">
        <v>5</v>
      </c>
      <c r="P1257" s="265">
        <v>6.66</v>
      </c>
      <c r="Q1257" s="265">
        <v>0.5</v>
      </c>
    </row>
    <row r="1258" spans="1:17" ht="15" customHeight="1">
      <c r="A1258" s="147">
        <v>1281</v>
      </c>
      <c r="B1258" s="51" t="s">
        <v>29</v>
      </c>
      <c r="C1258" s="51" t="s">
        <v>589</v>
      </c>
      <c r="D1258" s="51">
        <v>100022110</v>
      </c>
      <c r="E1258" s="53" t="s">
        <v>590</v>
      </c>
      <c r="F1258" s="124">
        <v>50</v>
      </c>
      <c r="G1258" s="124">
        <v>3750</v>
      </c>
      <c r="H1258" s="369">
        <v>20.21</v>
      </c>
      <c r="I1258" s="215" t="s">
        <v>76</v>
      </c>
      <c r="J1258" s="215" t="s">
        <v>102</v>
      </c>
      <c r="K1258" s="266">
        <v>49081105044</v>
      </c>
      <c r="L1258" s="215">
        <v>49081605049</v>
      </c>
      <c r="M1258" s="266">
        <v>40049081105042</v>
      </c>
      <c r="N1258" s="264">
        <v>0.14199999999999999</v>
      </c>
      <c r="O1258" s="265">
        <v>5</v>
      </c>
      <c r="P1258" s="265">
        <v>7.92</v>
      </c>
      <c r="Q1258" s="265">
        <v>0.65</v>
      </c>
    </row>
    <row r="1259" spans="1:17" ht="15" customHeight="1">
      <c r="A1259" s="147">
        <v>1282</v>
      </c>
      <c r="B1259" s="51" t="s">
        <v>29</v>
      </c>
      <c r="C1259" s="51" t="s">
        <v>591</v>
      </c>
      <c r="D1259" s="51">
        <v>100022111</v>
      </c>
      <c r="E1259" s="53" t="s">
        <v>592</v>
      </c>
      <c r="F1259" s="124">
        <v>25</v>
      </c>
      <c r="G1259" s="124">
        <v>2250</v>
      </c>
      <c r="H1259" s="369">
        <v>34.130000000000003</v>
      </c>
      <c r="I1259" s="215" t="s">
        <v>76</v>
      </c>
      <c r="J1259" s="215" t="s">
        <v>102</v>
      </c>
      <c r="K1259" s="266">
        <v>49081105051</v>
      </c>
      <c r="L1259" s="215">
        <v>49081605056</v>
      </c>
      <c r="M1259" s="266">
        <v>40049081105059</v>
      </c>
      <c r="N1259" s="264">
        <v>0.189</v>
      </c>
      <c r="O1259" s="265">
        <v>5</v>
      </c>
      <c r="P1259" s="265">
        <v>5.39</v>
      </c>
      <c r="Q1259" s="265">
        <v>0.5</v>
      </c>
    </row>
    <row r="1260" spans="1:17" ht="15" customHeight="1">
      <c r="A1260" s="147">
        <v>1283</v>
      </c>
      <c r="B1260" s="51" t="s">
        <v>29</v>
      </c>
      <c r="C1260" s="51" t="s">
        <v>593</v>
      </c>
      <c r="D1260" s="51">
        <v>100022113</v>
      </c>
      <c r="E1260" s="53" t="s">
        <v>594</v>
      </c>
      <c r="F1260" s="124">
        <v>250</v>
      </c>
      <c r="G1260" s="124">
        <v>22500</v>
      </c>
      <c r="H1260" s="369">
        <v>2.42</v>
      </c>
      <c r="I1260" s="215" t="s">
        <v>76</v>
      </c>
      <c r="J1260" s="215" t="s">
        <v>102</v>
      </c>
      <c r="K1260" s="266">
        <v>49081105075</v>
      </c>
      <c r="L1260" s="215">
        <v>49081605070</v>
      </c>
      <c r="M1260" s="266">
        <v>40049081105073</v>
      </c>
      <c r="N1260" s="264">
        <v>2.4E-2</v>
      </c>
      <c r="O1260" s="265">
        <v>10</v>
      </c>
      <c r="P1260" s="265">
        <v>8.6300000000000008</v>
      </c>
      <c r="Q1260" s="265">
        <v>0.5</v>
      </c>
    </row>
    <row r="1261" spans="1:17" ht="15" customHeight="1">
      <c r="A1261" s="147">
        <v>1284</v>
      </c>
      <c r="B1261" s="51" t="s">
        <v>29</v>
      </c>
      <c r="C1261" s="51" t="s">
        <v>595</v>
      </c>
      <c r="D1261" s="51">
        <v>100022115</v>
      </c>
      <c r="E1261" s="53" t="s">
        <v>596</v>
      </c>
      <c r="F1261" s="124">
        <v>200</v>
      </c>
      <c r="G1261" s="124">
        <v>15000</v>
      </c>
      <c r="H1261" s="369">
        <v>2.97</v>
      </c>
      <c r="I1261" s="215" t="s">
        <v>76</v>
      </c>
      <c r="J1261" s="215" t="s">
        <v>102</v>
      </c>
      <c r="K1261" s="266">
        <v>49081105082</v>
      </c>
      <c r="L1261" s="215">
        <v>49081605087</v>
      </c>
      <c r="M1261" s="266">
        <v>40049081105080</v>
      </c>
      <c r="N1261" s="264">
        <v>3.3000000000000002E-2</v>
      </c>
      <c r="O1261" s="265">
        <v>10</v>
      </c>
      <c r="P1261" s="265">
        <v>7.74</v>
      </c>
      <c r="Q1261" s="265">
        <v>0.65</v>
      </c>
    </row>
    <row r="1262" spans="1:17" ht="15" customHeight="1">
      <c r="A1262" s="147">
        <v>1285</v>
      </c>
      <c r="B1262" s="51" t="s">
        <v>29</v>
      </c>
      <c r="C1262" s="51" t="s">
        <v>597</v>
      </c>
      <c r="D1262" s="51">
        <v>100022117</v>
      </c>
      <c r="E1262" s="53" t="s">
        <v>598</v>
      </c>
      <c r="F1262" s="124">
        <v>100</v>
      </c>
      <c r="G1262" s="124">
        <v>9000</v>
      </c>
      <c r="H1262" s="369">
        <v>3.06</v>
      </c>
      <c r="I1262" s="215" t="s">
        <v>76</v>
      </c>
      <c r="J1262" s="215" t="s">
        <v>102</v>
      </c>
      <c r="K1262" s="266">
        <v>49081105099</v>
      </c>
      <c r="L1262" s="215">
        <v>49081605094</v>
      </c>
      <c r="M1262" s="266">
        <v>40049081105097</v>
      </c>
      <c r="N1262" s="264">
        <v>0.05</v>
      </c>
      <c r="O1262" s="265">
        <v>10</v>
      </c>
      <c r="P1262" s="265">
        <v>7.36</v>
      </c>
      <c r="Q1262" s="265">
        <v>0.5</v>
      </c>
    </row>
    <row r="1263" spans="1:17" ht="15" customHeight="1">
      <c r="A1263" s="147">
        <v>1286</v>
      </c>
      <c r="B1263" s="51" t="s">
        <v>29</v>
      </c>
      <c r="C1263" s="51" t="s">
        <v>599</v>
      </c>
      <c r="D1263" s="51">
        <v>100022119</v>
      </c>
      <c r="E1263" s="53" t="s">
        <v>600</v>
      </c>
      <c r="F1263" s="124">
        <v>50</v>
      </c>
      <c r="G1263" s="124">
        <v>4500</v>
      </c>
      <c r="H1263" s="369">
        <v>4.8499999999999996</v>
      </c>
      <c r="I1263" s="215" t="s">
        <v>76</v>
      </c>
      <c r="J1263" s="215" t="s">
        <v>102</v>
      </c>
      <c r="K1263" s="266">
        <v>49081105105</v>
      </c>
      <c r="L1263" s="215">
        <v>49081605100</v>
      </c>
      <c r="M1263" s="266">
        <v>40049081105103</v>
      </c>
      <c r="N1263" s="264">
        <v>0.09</v>
      </c>
      <c r="O1263" s="265">
        <v>5</v>
      </c>
      <c r="P1263" s="265">
        <v>5.3</v>
      </c>
      <c r="Q1263" s="265">
        <v>0.5</v>
      </c>
    </row>
    <row r="1264" spans="1:17" ht="15" customHeight="1">
      <c r="A1264" s="147">
        <v>1287</v>
      </c>
      <c r="B1264" s="51" t="s">
        <v>29</v>
      </c>
      <c r="C1264" s="51" t="s">
        <v>601</v>
      </c>
      <c r="D1264" s="51">
        <v>100022121</v>
      </c>
      <c r="E1264" s="53" t="s">
        <v>602</v>
      </c>
      <c r="F1264" s="124">
        <v>50</v>
      </c>
      <c r="G1264" s="124">
        <v>4500</v>
      </c>
      <c r="H1264" s="369">
        <v>5.41</v>
      </c>
      <c r="I1264" s="215" t="s">
        <v>76</v>
      </c>
      <c r="J1264" s="215" t="s">
        <v>102</v>
      </c>
      <c r="K1264" s="266">
        <v>49081105112</v>
      </c>
      <c r="L1264" s="215">
        <v>49081605117</v>
      </c>
      <c r="M1264" s="266">
        <v>40049081105110</v>
      </c>
      <c r="N1264" s="264">
        <v>0.111</v>
      </c>
      <c r="O1264" s="265">
        <v>5</v>
      </c>
      <c r="P1264" s="265">
        <v>6.47</v>
      </c>
      <c r="Q1264" s="265">
        <v>0.5</v>
      </c>
    </row>
    <row r="1265" spans="1:17" ht="15" customHeight="1">
      <c r="A1265" s="147">
        <v>1288</v>
      </c>
      <c r="B1265" s="51" t="s">
        <v>29</v>
      </c>
      <c r="C1265" s="51" t="s">
        <v>603</v>
      </c>
      <c r="D1265" s="51">
        <v>100022123</v>
      </c>
      <c r="E1265" s="53" t="s">
        <v>604</v>
      </c>
      <c r="F1265" s="124">
        <v>25</v>
      </c>
      <c r="G1265" s="124">
        <v>2250</v>
      </c>
      <c r="H1265" s="369">
        <v>10.38</v>
      </c>
      <c r="I1265" s="215" t="s">
        <v>76</v>
      </c>
      <c r="J1265" s="215" t="s">
        <v>102</v>
      </c>
      <c r="K1265" s="266">
        <v>49081105129</v>
      </c>
      <c r="L1265" s="215">
        <v>49081605124</v>
      </c>
      <c r="M1265" s="266">
        <v>40049081105127</v>
      </c>
      <c r="N1265" s="264">
        <v>0.17599999999999999</v>
      </c>
      <c r="O1265" s="265">
        <v>5</v>
      </c>
      <c r="P1265" s="265">
        <v>5.26</v>
      </c>
      <c r="Q1265" s="265">
        <v>0.5</v>
      </c>
    </row>
    <row r="1266" spans="1:17" ht="15" customHeight="1">
      <c r="A1266" s="147">
        <v>1289</v>
      </c>
      <c r="B1266" s="51" t="s">
        <v>29</v>
      </c>
      <c r="C1266" s="51" t="s">
        <v>605</v>
      </c>
      <c r="D1266" s="51">
        <v>100022127</v>
      </c>
      <c r="E1266" s="53" t="s">
        <v>606</v>
      </c>
      <c r="F1266" s="124">
        <v>100</v>
      </c>
      <c r="G1266" s="124">
        <v>15000</v>
      </c>
      <c r="H1266" s="369">
        <v>7.67</v>
      </c>
      <c r="I1266" s="215" t="s">
        <v>76</v>
      </c>
      <c r="J1266" s="215" t="s">
        <v>102</v>
      </c>
      <c r="K1266" s="266">
        <v>49081105266</v>
      </c>
      <c r="L1266" s="215">
        <v>49081605261</v>
      </c>
      <c r="M1266" s="266">
        <v>40049081105264</v>
      </c>
      <c r="N1266" s="264">
        <v>4.9000000000000002E-2</v>
      </c>
      <c r="O1266" s="265">
        <v>10</v>
      </c>
      <c r="P1266" s="265">
        <v>5.04</v>
      </c>
      <c r="Q1266" s="265">
        <v>0.31</v>
      </c>
    </row>
    <row r="1267" spans="1:17" ht="15" customHeight="1">
      <c r="A1267" s="147">
        <v>1290</v>
      </c>
      <c r="B1267" s="51" t="s">
        <v>29</v>
      </c>
      <c r="C1267" s="51" t="s">
        <v>607</v>
      </c>
      <c r="D1267" s="51">
        <v>100022129</v>
      </c>
      <c r="E1267" s="53" t="s">
        <v>608</v>
      </c>
      <c r="F1267" s="124">
        <v>100</v>
      </c>
      <c r="G1267" s="124">
        <v>9000</v>
      </c>
      <c r="H1267" s="369">
        <v>8</v>
      </c>
      <c r="I1267" s="215" t="s">
        <v>76</v>
      </c>
      <c r="J1267" s="215" t="s">
        <v>102</v>
      </c>
      <c r="K1267" s="266">
        <v>49081105273</v>
      </c>
      <c r="L1267" s="215">
        <v>49081605278</v>
      </c>
      <c r="M1267" s="266">
        <v>40049081105271</v>
      </c>
      <c r="N1267" s="264">
        <v>6.7000000000000004E-2</v>
      </c>
      <c r="O1267" s="265">
        <v>10</v>
      </c>
      <c r="P1267" s="265">
        <v>6.62</v>
      </c>
      <c r="Q1267" s="265">
        <v>0.5</v>
      </c>
    </row>
    <row r="1268" spans="1:17" ht="15" customHeight="1">
      <c r="A1268" s="147">
        <v>1291</v>
      </c>
      <c r="B1268" s="51" t="s">
        <v>29</v>
      </c>
      <c r="C1268" s="51" t="s">
        <v>609</v>
      </c>
      <c r="D1268" s="51">
        <v>100022133</v>
      </c>
      <c r="E1268" s="53" t="s">
        <v>610</v>
      </c>
      <c r="F1268" s="124">
        <v>100</v>
      </c>
      <c r="G1268" s="124">
        <v>9000</v>
      </c>
      <c r="H1268" s="369">
        <v>8</v>
      </c>
      <c r="I1268" s="215" t="s">
        <v>76</v>
      </c>
      <c r="J1268" s="215" t="s">
        <v>102</v>
      </c>
      <c r="K1268" s="266">
        <v>49081105280</v>
      </c>
      <c r="L1268" s="215">
        <v>49081605285</v>
      </c>
      <c r="M1268" s="266">
        <v>40049081105288</v>
      </c>
      <c r="N1268" s="264">
        <v>4.2000000000000003E-2</v>
      </c>
      <c r="O1268" s="265">
        <v>10</v>
      </c>
      <c r="P1268" s="265">
        <v>4.79</v>
      </c>
      <c r="Q1268" s="265">
        <v>0.5</v>
      </c>
    </row>
    <row r="1269" spans="1:17" ht="15" customHeight="1">
      <c r="A1269" s="147">
        <v>1292</v>
      </c>
      <c r="B1269" s="51" t="s">
        <v>29</v>
      </c>
      <c r="C1269" s="51" t="s">
        <v>611</v>
      </c>
      <c r="D1269" s="51">
        <v>100022139</v>
      </c>
      <c r="E1269" s="53" t="s">
        <v>612</v>
      </c>
      <c r="F1269" s="124">
        <v>100</v>
      </c>
      <c r="G1269" s="124">
        <v>7500</v>
      </c>
      <c r="H1269" s="369">
        <v>9.65</v>
      </c>
      <c r="I1269" s="215" t="s">
        <v>76</v>
      </c>
      <c r="J1269" s="215" t="s">
        <v>102</v>
      </c>
      <c r="K1269" s="266">
        <v>49081105297</v>
      </c>
      <c r="L1269" s="215">
        <v>49081605292</v>
      </c>
      <c r="M1269" s="266">
        <v>40049081105295</v>
      </c>
      <c r="N1269" s="264">
        <v>8.7999999999999995E-2</v>
      </c>
      <c r="O1269" s="265">
        <v>5</v>
      </c>
      <c r="P1269" s="265">
        <v>9.8800000000000008</v>
      </c>
      <c r="Q1269" s="265">
        <v>0.65</v>
      </c>
    </row>
    <row r="1270" spans="1:17" ht="15" customHeight="1">
      <c r="A1270" s="147">
        <v>1293</v>
      </c>
      <c r="B1270" s="51" t="s">
        <v>29</v>
      </c>
      <c r="C1270" s="51" t="s">
        <v>613</v>
      </c>
      <c r="D1270" s="51">
        <v>100022140</v>
      </c>
      <c r="E1270" s="53" t="s">
        <v>614</v>
      </c>
      <c r="F1270" s="124">
        <v>50</v>
      </c>
      <c r="G1270" s="124">
        <v>4500</v>
      </c>
      <c r="H1270" s="369">
        <v>14.58</v>
      </c>
      <c r="I1270" s="215" t="s">
        <v>76</v>
      </c>
      <c r="J1270" s="215" t="s">
        <v>102</v>
      </c>
      <c r="K1270" s="266">
        <v>49081105303</v>
      </c>
      <c r="L1270" s="215">
        <v>49081605308</v>
      </c>
      <c r="M1270" s="266">
        <v>40049081105301</v>
      </c>
      <c r="N1270" s="264">
        <v>0.11700000000000001</v>
      </c>
      <c r="O1270" s="265">
        <v>5</v>
      </c>
      <c r="P1270" s="265">
        <v>5.98</v>
      </c>
      <c r="Q1270" s="265">
        <v>0.5</v>
      </c>
    </row>
    <row r="1271" spans="1:17" ht="15" customHeight="1">
      <c r="A1271" s="147">
        <v>1294</v>
      </c>
      <c r="B1271" s="51" t="s">
        <v>29</v>
      </c>
      <c r="C1271" s="51" t="s">
        <v>615</v>
      </c>
      <c r="D1271" s="51">
        <v>100022150</v>
      </c>
      <c r="E1271" s="53" t="s">
        <v>616</v>
      </c>
      <c r="F1271" s="124">
        <v>50</v>
      </c>
      <c r="G1271" s="124">
        <v>3750</v>
      </c>
      <c r="H1271" s="369">
        <v>18.690000000000001</v>
      </c>
      <c r="I1271" s="215" t="s">
        <v>346</v>
      </c>
      <c r="J1271" s="215" t="s">
        <v>102</v>
      </c>
      <c r="K1271" s="266">
        <v>49081105327</v>
      </c>
      <c r="L1271" s="215">
        <v>49081605322</v>
      </c>
      <c r="M1271" s="266">
        <v>40049081105325</v>
      </c>
      <c r="N1271" s="264">
        <v>0.158</v>
      </c>
      <c r="O1271" s="265">
        <v>5</v>
      </c>
      <c r="P1271" s="265">
        <v>8.57</v>
      </c>
      <c r="Q1271" s="265">
        <v>0.65</v>
      </c>
    </row>
    <row r="1272" spans="1:17" ht="15" customHeight="1">
      <c r="A1272" s="147">
        <v>1295</v>
      </c>
      <c r="B1272" s="51" t="s">
        <v>29</v>
      </c>
      <c r="C1272" s="51" t="s">
        <v>617</v>
      </c>
      <c r="D1272" s="51">
        <v>100022125</v>
      </c>
      <c r="E1272" s="53" t="s">
        <v>618</v>
      </c>
      <c r="F1272" s="124">
        <v>250</v>
      </c>
      <c r="G1272" s="124">
        <v>22500</v>
      </c>
      <c r="H1272" s="369">
        <v>6.09</v>
      </c>
      <c r="I1272" s="215" t="s">
        <v>76</v>
      </c>
      <c r="J1272" s="215" t="s">
        <v>102</v>
      </c>
      <c r="K1272" s="266">
        <v>49081105334</v>
      </c>
      <c r="L1272" s="215">
        <v>49081605339</v>
      </c>
      <c r="M1272" s="266">
        <v>40049081105332</v>
      </c>
      <c r="N1272" s="264">
        <v>1.9E-2</v>
      </c>
      <c r="O1272" s="265">
        <v>10</v>
      </c>
      <c r="P1272" s="265">
        <v>5.44</v>
      </c>
      <c r="Q1272" s="265">
        <v>0.5</v>
      </c>
    </row>
    <row r="1273" spans="1:17" ht="15" customHeight="1">
      <c r="A1273" s="147">
        <v>1296</v>
      </c>
      <c r="B1273" s="51" t="s">
        <v>29</v>
      </c>
      <c r="C1273" s="51" t="s">
        <v>619</v>
      </c>
      <c r="D1273" s="51">
        <v>100022131</v>
      </c>
      <c r="E1273" s="53" t="s">
        <v>620</v>
      </c>
      <c r="F1273" s="124">
        <v>250</v>
      </c>
      <c r="G1273" s="124">
        <v>18750</v>
      </c>
      <c r="H1273" s="369">
        <v>6.93</v>
      </c>
      <c r="I1273" s="215" t="s">
        <v>76</v>
      </c>
      <c r="J1273" s="215" t="s">
        <v>102</v>
      </c>
      <c r="K1273" s="266">
        <v>49081105341</v>
      </c>
      <c r="L1273" s="215">
        <v>49081605346</v>
      </c>
      <c r="M1273" s="266">
        <v>40049081105349</v>
      </c>
      <c r="N1273" s="264">
        <v>3.7999999999999999E-2</v>
      </c>
      <c r="O1273" s="265">
        <v>10</v>
      </c>
      <c r="P1273" s="265">
        <v>10.4</v>
      </c>
      <c r="Q1273" s="265">
        <v>0.65</v>
      </c>
    </row>
    <row r="1274" spans="1:17" ht="15" customHeight="1">
      <c r="A1274" s="147">
        <v>1297</v>
      </c>
      <c r="B1274" s="51" t="s">
        <v>29</v>
      </c>
      <c r="C1274" s="51" t="s">
        <v>621</v>
      </c>
      <c r="D1274" s="51">
        <v>100022135</v>
      </c>
      <c r="E1274" s="53" t="s">
        <v>622</v>
      </c>
      <c r="F1274" s="124">
        <v>100</v>
      </c>
      <c r="G1274" s="124">
        <v>9000</v>
      </c>
      <c r="H1274" s="369">
        <v>9.65</v>
      </c>
      <c r="I1274" s="215" t="s">
        <v>76</v>
      </c>
      <c r="J1274" s="215" t="s">
        <v>102</v>
      </c>
      <c r="K1274" s="266">
        <v>49081105419</v>
      </c>
      <c r="L1274" s="215">
        <v>49081605414</v>
      </c>
      <c r="M1274" s="266">
        <v>40049081105417</v>
      </c>
      <c r="N1274" s="264">
        <v>6.0999999999999999E-2</v>
      </c>
      <c r="O1274" s="265">
        <v>10</v>
      </c>
      <c r="P1274" s="265">
        <v>6.16</v>
      </c>
      <c r="Q1274" s="265">
        <v>0.5</v>
      </c>
    </row>
    <row r="1275" spans="1:17" ht="15" customHeight="1">
      <c r="A1275" s="147">
        <v>1298</v>
      </c>
      <c r="B1275" s="51" t="s">
        <v>29</v>
      </c>
      <c r="C1275" s="51" t="s">
        <v>623</v>
      </c>
      <c r="D1275" s="51">
        <v>100022137</v>
      </c>
      <c r="E1275" s="53" t="s">
        <v>624</v>
      </c>
      <c r="F1275" s="124">
        <v>100</v>
      </c>
      <c r="G1275" s="124">
        <v>9000</v>
      </c>
      <c r="H1275" s="369">
        <v>7.2</v>
      </c>
      <c r="I1275" s="215" t="s">
        <v>76</v>
      </c>
      <c r="J1275" s="215" t="s">
        <v>102</v>
      </c>
      <c r="K1275" s="266">
        <v>49081105358</v>
      </c>
      <c r="L1275" s="215">
        <v>49081605353</v>
      </c>
      <c r="M1275" s="266">
        <v>40049081105356</v>
      </c>
      <c r="N1275" s="264">
        <v>5.1999999999999998E-2</v>
      </c>
      <c r="O1275" s="265">
        <v>10</v>
      </c>
      <c r="P1275" s="265">
        <v>6.34</v>
      </c>
      <c r="Q1275" s="265">
        <v>0.5</v>
      </c>
    </row>
    <row r="1276" spans="1:17" ht="15" customHeight="1">
      <c r="A1276" s="147">
        <v>1299</v>
      </c>
      <c r="B1276" s="51" t="s">
        <v>29</v>
      </c>
      <c r="C1276" s="51" t="s">
        <v>625</v>
      </c>
      <c r="D1276" s="51">
        <v>100022143</v>
      </c>
      <c r="E1276" s="53" t="s">
        <v>626</v>
      </c>
      <c r="F1276" s="124">
        <v>100</v>
      </c>
      <c r="G1276" s="124">
        <v>7500</v>
      </c>
      <c r="H1276" s="369">
        <v>9.0500000000000007</v>
      </c>
      <c r="I1276" s="215" t="s">
        <v>346</v>
      </c>
      <c r="J1276" s="215" t="s">
        <v>102</v>
      </c>
      <c r="K1276" s="266">
        <v>49081105372</v>
      </c>
      <c r="L1276" s="215">
        <v>49081605377</v>
      </c>
      <c r="M1276" s="266">
        <v>40049081105370</v>
      </c>
      <c r="N1276" s="264">
        <v>9.0999999999999998E-2</v>
      </c>
      <c r="O1276" s="265">
        <v>10</v>
      </c>
      <c r="P1276" s="265">
        <v>9.4</v>
      </c>
      <c r="Q1276" s="265">
        <v>0.65</v>
      </c>
    </row>
    <row r="1277" spans="1:17" ht="15" customHeight="1">
      <c r="A1277" s="147">
        <v>1300</v>
      </c>
      <c r="B1277" s="51" t="s">
        <v>29</v>
      </c>
      <c r="C1277" s="51" t="s">
        <v>627</v>
      </c>
      <c r="D1277" s="51">
        <v>100022147</v>
      </c>
      <c r="E1277" s="53" t="s">
        <v>628</v>
      </c>
      <c r="F1277" s="124">
        <v>50</v>
      </c>
      <c r="G1277" s="124">
        <v>4500</v>
      </c>
      <c r="H1277" s="369">
        <v>11.03</v>
      </c>
      <c r="I1277" s="215" t="s">
        <v>76</v>
      </c>
      <c r="J1277" s="215" t="s">
        <v>102</v>
      </c>
      <c r="K1277" s="266">
        <v>49081105389</v>
      </c>
      <c r="L1277" s="215">
        <v>49081605384</v>
      </c>
      <c r="M1277" s="266">
        <v>40049081105387</v>
      </c>
      <c r="N1277" s="264">
        <v>0.10199999999999999</v>
      </c>
      <c r="O1277" s="265">
        <v>10</v>
      </c>
      <c r="P1277" s="265">
        <v>5.79</v>
      </c>
      <c r="Q1277" s="265">
        <v>0.5</v>
      </c>
    </row>
    <row r="1278" spans="1:17" ht="15" customHeight="1">
      <c r="A1278" s="147">
        <v>1301</v>
      </c>
      <c r="B1278" s="51" t="s">
        <v>29</v>
      </c>
      <c r="C1278" s="51" t="s">
        <v>629</v>
      </c>
      <c r="D1278" s="51">
        <v>100022148</v>
      </c>
      <c r="E1278" s="53" t="s">
        <v>630</v>
      </c>
      <c r="F1278" s="124">
        <v>50</v>
      </c>
      <c r="G1278" s="124">
        <v>4500</v>
      </c>
      <c r="H1278" s="369">
        <v>11.03</v>
      </c>
      <c r="I1278" s="215" t="s">
        <v>76</v>
      </c>
      <c r="J1278" s="215" t="s">
        <v>102</v>
      </c>
      <c r="K1278" s="266">
        <v>49081105396</v>
      </c>
      <c r="L1278" s="215">
        <v>49081605391</v>
      </c>
      <c r="M1278" s="266">
        <v>40049081105394</v>
      </c>
      <c r="N1278" s="264">
        <v>0.11</v>
      </c>
      <c r="O1278" s="265">
        <v>10</v>
      </c>
      <c r="P1278" s="265">
        <v>6.12</v>
      </c>
      <c r="Q1278" s="265">
        <v>0.5</v>
      </c>
    </row>
    <row r="1279" spans="1:17" ht="15" customHeight="1">
      <c r="A1279" s="147">
        <v>1302</v>
      </c>
      <c r="B1279" s="51" t="s">
        <v>29</v>
      </c>
      <c r="C1279" s="51" t="s">
        <v>631</v>
      </c>
      <c r="D1279" s="51">
        <v>100022152</v>
      </c>
      <c r="E1279" s="53" t="s">
        <v>632</v>
      </c>
      <c r="F1279" s="124">
        <v>25</v>
      </c>
      <c r="G1279" s="124">
        <v>2250</v>
      </c>
      <c r="H1279" s="369">
        <v>18.54</v>
      </c>
      <c r="I1279" s="215" t="s">
        <v>76</v>
      </c>
      <c r="J1279" s="215" t="s">
        <v>102</v>
      </c>
      <c r="K1279" s="266">
        <v>49081105402</v>
      </c>
      <c r="L1279" s="215">
        <v>49081605407</v>
      </c>
      <c r="M1279" s="266">
        <v>40049081105400</v>
      </c>
      <c r="N1279" s="264">
        <v>0.20200000000000001</v>
      </c>
      <c r="O1279" s="265">
        <v>5</v>
      </c>
      <c r="P1279" s="265">
        <v>4.95</v>
      </c>
      <c r="Q1279" s="265">
        <v>0.5</v>
      </c>
    </row>
    <row r="1280" spans="1:17" ht="15" customHeight="1">
      <c r="A1280" s="147">
        <v>1303</v>
      </c>
      <c r="B1280" s="51" t="s">
        <v>29</v>
      </c>
      <c r="C1280" s="51" t="s">
        <v>633</v>
      </c>
      <c r="D1280" s="51">
        <v>100022154</v>
      </c>
      <c r="E1280" s="53" t="s">
        <v>634</v>
      </c>
      <c r="F1280" s="124">
        <v>500</v>
      </c>
      <c r="G1280" s="124">
        <v>37500</v>
      </c>
      <c r="H1280" s="369">
        <v>4.3899999999999997</v>
      </c>
      <c r="I1280" s="215" t="s">
        <v>76</v>
      </c>
      <c r="J1280" s="215" t="s">
        <v>102</v>
      </c>
      <c r="K1280" s="266">
        <v>49081106263</v>
      </c>
      <c r="L1280" s="215">
        <v>49081606268</v>
      </c>
      <c r="M1280" s="266">
        <v>40049081106261</v>
      </c>
      <c r="N1280" s="264">
        <v>1.4E-2</v>
      </c>
      <c r="O1280" s="265">
        <v>10</v>
      </c>
      <c r="P1280" s="265">
        <v>7.82</v>
      </c>
      <c r="Q1280" s="265">
        <v>0.65</v>
      </c>
    </row>
    <row r="1281" spans="1:17" ht="15" customHeight="1">
      <c r="A1281" s="147">
        <v>1304</v>
      </c>
      <c r="B1281" s="51" t="s">
        <v>29</v>
      </c>
      <c r="C1281" s="51" t="s">
        <v>635</v>
      </c>
      <c r="D1281" s="51">
        <v>100022156</v>
      </c>
      <c r="E1281" s="53" t="s">
        <v>636</v>
      </c>
      <c r="F1281" s="124">
        <v>500</v>
      </c>
      <c r="G1281" s="124">
        <v>22500</v>
      </c>
      <c r="H1281" s="369">
        <v>4.57</v>
      </c>
      <c r="I1281" s="215" t="s">
        <v>76</v>
      </c>
      <c r="J1281" s="215" t="s">
        <v>102</v>
      </c>
      <c r="K1281" s="266">
        <v>49081106270</v>
      </c>
      <c r="L1281" s="215">
        <v>49081606275</v>
      </c>
      <c r="M1281" s="266">
        <v>40049081106278</v>
      </c>
      <c r="N1281" s="264">
        <v>0.02</v>
      </c>
      <c r="O1281" s="265">
        <v>10</v>
      </c>
      <c r="P1281" s="265">
        <v>11.76</v>
      </c>
      <c r="Q1281" s="265">
        <v>0.95</v>
      </c>
    </row>
    <row r="1282" spans="1:17" ht="15" customHeight="1">
      <c r="A1282" s="147">
        <v>1305</v>
      </c>
      <c r="B1282" s="51" t="s">
        <v>29</v>
      </c>
      <c r="C1282" s="51" t="s">
        <v>637</v>
      </c>
      <c r="D1282" s="51">
        <v>100022158</v>
      </c>
      <c r="E1282" s="53" t="s">
        <v>638</v>
      </c>
      <c r="F1282" s="124">
        <v>250</v>
      </c>
      <c r="G1282" s="124">
        <v>22500</v>
      </c>
      <c r="H1282" s="369">
        <v>6.18</v>
      </c>
      <c r="I1282" s="215" t="s">
        <v>76</v>
      </c>
      <c r="J1282" s="215" t="s">
        <v>102</v>
      </c>
      <c r="K1282" s="266">
        <v>49081106287</v>
      </c>
      <c r="L1282" s="215">
        <v>49081606282</v>
      </c>
      <c r="M1282" s="266">
        <v>40049081106285</v>
      </c>
      <c r="N1282" s="264">
        <v>3.3000000000000002E-2</v>
      </c>
      <c r="O1282" s="265">
        <v>10</v>
      </c>
      <c r="P1282" s="265">
        <v>14.33</v>
      </c>
      <c r="Q1282" s="265">
        <v>0.5</v>
      </c>
    </row>
    <row r="1283" spans="1:17" ht="15" customHeight="1">
      <c r="A1283" s="147">
        <v>1306</v>
      </c>
      <c r="B1283" s="51" t="s">
        <v>29</v>
      </c>
      <c r="C1283" s="51" t="s">
        <v>639</v>
      </c>
      <c r="D1283" s="51">
        <v>100022159</v>
      </c>
      <c r="E1283" s="53" t="s">
        <v>640</v>
      </c>
      <c r="F1283" s="124">
        <v>125</v>
      </c>
      <c r="G1283" s="124">
        <v>15000</v>
      </c>
      <c r="H1283" s="369">
        <v>7.82</v>
      </c>
      <c r="I1283" s="215" t="s">
        <v>76</v>
      </c>
      <c r="J1283" s="215" t="s">
        <v>102</v>
      </c>
      <c r="K1283" s="266">
        <v>49081106294</v>
      </c>
      <c r="L1283" s="215">
        <v>49081606299</v>
      </c>
      <c r="M1283" s="266">
        <v>40049081106292</v>
      </c>
      <c r="N1283" s="264">
        <v>0.05</v>
      </c>
      <c r="O1283" s="265">
        <v>5</v>
      </c>
      <c r="P1283" s="265">
        <v>7.56</v>
      </c>
      <c r="Q1283" s="265">
        <v>0.65</v>
      </c>
    </row>
    <row r="1284" spans="1:17" ht="15" customHeight="1">
      <c r="A1284" s="147">
        <v>1307</v>
      </c>
      <c r="B1284" s="51" t="s">
        <v>29</v>
      </c>
      <c r="C1284" s="51" t="s">
        <v>641</v>
      </c>
      <c r="D1284" s="51">
        <v>100022161</v>
      </c>
      <c r="E1284" s="53" t="s">
        <v>642</v>
      </c>
      <c r="F1284" s="124">
        <v>125</v>
      </c>
      <c r="G1284" s="124">
        <v>11250</v>
      </c>
      <c r="H1284" s="369">
        <v>8.5299999999999994</v>
      </c>
      <c r="I1284" s="215" t="s">
        <v>76</v>
      </c>
      <c r="J1284" s="215" t="s">
        <v>102</v>
      </c>
      <c r="K1284" s="266">
        <v>49081106300</v>
      </c>
      <c r="L1284" s="215">
        <v>49081606305</v>
      </c>
      <c r="M1284" s="266">
        <v>40049081106308</v>
      </c>
      <c r="N1284" s="264">
        <v>6.2E-2</v>
      </c>
      <c r="O1284" s="265">
        <v>5</v>
      </c>
      <c r="P1284" s="265">
        <v>9.08</v>
      </c>
      <c r="Q1284" s="265">
        <v>0.8</v>
      </c>
    </row>
    <row r="1285" spans="1:17" ht="15" customHeight="1">
      <c r="A1285" s="147">
        <v>1308</v>
      </c>
      <c r="B1285" s="51" t="s">
        <v>29</v>
      </c>
      <c r="C1285" s="51" t="s">
        <v>643</v>
      </c>
      <c r="D1285" s="51">
        <v>100022162</v>
      </c>
      <c r="E1285" s="53" t="s">
        <v>644</v>
      </c>
      <c r="F1285" s="124">
        <v>50</v>
      </c>
      <c r="G1285" s="124">
        <v>7500</v>
      </c>
      <c r="H1285" s="369">
        <v>15.03</v>
      </c>
      <c r="I1285" s="215" t="s">
        <v>76</v>
      </c>
      <c r="J1285" s="215" t="s">
        <v>102</v>
      </c>
      <c r="K1285" s="266">
        <v>49081106317</v>
      </c>
      <c r="L1285" s="215">
        <v>49081606312</v>
      </c>
      <c r="M1285" s="266">
        <v>40049081106315</v>
      </c>
      <c r="N1285" s="264">
        <v>0.121</v>
      </c>
      <c r="O1285" s="265">
        <v>5</v>
      </c>
      <c r="P1285" s="265">
        <v>5.99</v>
      </c>
      <c r="Q1285" s="265">
        <v>0.5</v>
      </c>
    </row>
    <row r="1286" spans="1:17" ht="15" customHeight="1">
      <c r="A1286" s="147">
        <v>1309</v>
      </c>
      <c r="B1286" s="51" t="s">
        <v>30</v>
      </c>
      <c r="C1286" s="51" t="s">
        <v>647</v>
      </c>
      <c r="D1286" s="51">
        <v>100027228</v>
      </c>
      <c r="E1286" s="53" t="s">
        <v>648</v>
      </c>
      <c r="F1286" s="124">
        <v>100</v>
      </c>
      <c r="G1286" s="265" t="s">
        <v>649</v>
      </c>
      <c r="H1286" s="369">
        <v>12.16</v>
      </c>
      <c r="I1286" s="215" t="s">
        <v>650</v>
      </c>
      <c r="J1286" s="215" t="s">
        <v>77</v>
      </c>
      <c r="K1286" s="266">
        <v>49081350024</v>
      </c>
      <c r="L1286" s="265" t="s">
        <v>649</v>
      </c>
      <c r="M1286" s="266">
        <v>40049081350022</v>
      </c>
      <c r="N1286" s="264">
        <v>0.20799999999999999</v>
      </c>
      <c r="O1286" s="265" t="s">
        <v>649</v>
      </c>
      <c r="P1286" s="265">
        <v>21.59</v>
      </c>
      <c r="Q1286" s="265">
        <v>1</v>
      </c>
    </row>
    <row r="1287" spans="1:17" ht="15" customHeight="1">
      <c r="A1287" s="147">
        <v>1310</v>
      </c>
      <c r="B1287" s="51" t="s">
        <v>30</v>
      </c>
      <c r="C1287" s="51" t="s">
        <v>651</v>
      </c>
      <c r="D1287" s="51">
        <v>100027230</v>
      </c>
      <c r="E1287" s="53" t="s">
        <v>652</v>
      </c>
      <c r="F1287" s="124">
        <v>100</v>
      </c>
      <c r="G1287" s="265" t="s">
        <v>649</v>
      </c>
      <c r="H1287" s="369">
        <v>14.15</v>
      </c>
      <c r="I1287" s="215" t="s">
        <v>347</v>
      </c>
      <c r="J1287" s="215" t="s">
        <v>77</v>
      </c>
      <c r="K1287" s="266">
        <v>49081350062</v>
      </c>
      <c r="L1287" s="265" t="s">
        <v>649</v>
      </c>
      <c r="M1287" s="266">
        <v>40049081350060</v>
      </c>
      <c r="N1287" s="264">
        <v>36.909999999999997</v>
      </c>
      <c r="O1287" s="265" t="s">
        <v>649</v>
      </c>
      <c r="P1287" s="265">
        <v>36.909999999999997</v>
      </c>
      <c r="Q1287" s="265">
        <v>1.7</v>
      </c>
    </row>
    <row r="1288" spans="1:17" ht="15" customHeight="1">
      <c r="A1288" s="147">
        <v>1311</v>
      </c>
      <c r="B1288" s="51" t="s">
        <v>30</v>
      </c>
      <c r="C1288" s="51" t="s">
        <v>653</v>
      </c>
      <c r="D1288" s="51">
        <v>100027232</v>
      </c>
      <c r="E1288" s="53" t="s">
        <v>654</v>
      </c>
      <c r="F1288" s="124">
        <v>100</v>
      </c>
      <c r="G1288" s="265" t="s">
        <v>649</v>
      </c>
      <c r="H1288" s="369">
        <v>20.420000000000002</v>
      </c>
      <c r="I1288" s="215" t="s">
        <v>650</v>
      </c>
      <c r="J1288" s="215" t="s">
        <v>77</v>
      </c>
      <c r="K1288" s="266">
        <v>49081350109</v>
      </c>
      <c r="L1288" s="265" t="s">
        <v>649</v>
      </c>
      <c r="M1288" s="266">
        <v>40049081350107</v>
      </c>
      <c r="N1288" s="264">
        <v>56.7</v>
      </c>
      <c r="O1288" s="265" t="s">
        <v>649</v>
      </c>
      <c r="P1288" s="265">
        <v>56.7</v>
      </c>
      <c r="Q1288" s="265">
        <v>2.6</v>
      </c>
    </row>
    <row r="1289" spans="1:17" ht="15" customHeight="1">
      <c r="A1289" s="147">
        <v>1312</v>
      </c>
      <c r="B1289" s="51" t="s">
        <v>30</v>
      </c>
      <c r="C1289" s="51" t="s">
        <v>655</v>
      </c>
      <c r="D1289" s="51">
        <v>100027234</v>
      </c>
      <c r="E1289" s="53" t="s">
        <v>656</v>
      </c>
      <c r="F1289" s="124">
        <v>100</v>
      </c>
      <c r="G1289" s="265" t="s">
        <v>649</v>
      </c>
      <c r="H1289" s="369">
        <v>24.79</v>
      </c>
      <c r="I1289" s="215" t="s">
        <v>347</v>
      </c>
      <c r="J1289" s="215" t="s">
        <v>77</v>
      </c>
      <c r="K1289" s="266">
        <v>49081350147</v>
      </c>
      <c r="L1289" s="265" t="s">
        <v>649</v>
      </c>
      <c r="M1289" s="266">
        <v>40049081350145</v>
      </c>
      <c r="N1289" s="264">
        <v>73.41</v>
      </c>
      <c r="O1289" s="265" t="s">
        <v>649</v>
      </c>
      <c r="P1289" s="265">
        <v>73.41</v>
      </c>
      <c r="Q1289" s="265">
        <v>3.3</v>
      </c>
    </row>
    <row r="1290" spans="1:17" ht="15" customHeight="1">
      <c r="A1290" s="147">
        <v>1313</v>
      </c>
      <c r="B1290" s="51" t="s">
        <v>30</v>
      </c>
      <c r="C1290" s="51" t="s">
        <v>657</v>
      </c>
      <c r="D1290" s="51">
        <v>100027237</v>
      </c>
      <c r="E1290" s="53" t="s">
        <v>658</v>
      </c>
      <c r="F1290" s="124">
        <v>48</v>
      </c>
      <c r="G1290" s="265" t="s">
        <v>649</v>
      </c>
      <c r="H1290" s="369">
        <v>43.94</v>
      </c>
      <c r="I1290" s="215" t="s">
        <v>650</v>
      </c>
      <c r="J1290" s="215" t="s">
        <v>77</v>
      </c>
      <c r="K1290" s="266">
        <v>49081350185</v>
      </c>
      <c r="L1290" s="265" t="s">
        <v>649</v>
      </c>
      <c r="M1290" s="266">
        <v>40049081350183</v>
      </c>
      <c r="N1290" s="264">
        <v>50.42</v>
      </c>
      <c r="O1290" s="265" t="s">
        <v>649</v>
      </c>
      <c r="P1290" s="265">
        <v>50.42</v>
      </c>
      <c r="Q1290" s="265">
        <v>2.4</v>
      </c>
    </row>
    <row r="1291" spans="1:17" ht="15" customHeight="1">
      <c r="A1291" s="147">
        <v>1314</v>
      </c>
      <c r="B1291" s="51" t="s">
        <v>30</v>
      </c>
      <c r="C1291" s="51" t="s">
        <v>659</v>
      </c>
      <c r="D1291" s="51">
        <v>100027240</v>
      </c>
      <c r="E1291" s="53" t="s">
        <v>660</v>
      </c>
      <c r="F1291" s="124">
        <v>24</v>
      </c>
      <c r="G1291" s="265" t="s">
        <v>649</v>
      </c>
      <c r="H1291" s="369">
        <v>56.51</v>
      </c>
      <c r="I1291" s="215" t="s">
        <v>650</v>
      </c>
      <c r="J1291" s="215" t="s">
        <v>77</v>
      </c>
      <c r="K1291" s="266">
        <v>49081350222</v>
      </c>
      <c r="L1291" s="265" t="s">
        <v>649</v>
      </c>
      <c r="M1291" s="266">
        <v>40049081350220</v>
      </c>
      <c r="N1291" s="264">
        <v>40.51</v>
      </c>
      <c r="O1291" s="265" t="s">
        <v>649</v>
      </c>
      <c r="P1291" s="265">
        <v>40.51</v>
      </c>
      <c r="Q1291" s="265">
        <v>1.9</v>
      </c>
    </row>
    <row r="1292" spans="1:17" ht="15" customHeight="1">
      <c r="A1292" s="147">
        <v>1315</v>
      </c>
      <c r="B1292" s="51" t="s">
        <v>30</v>
      </c>
      <c r="C1292" s="51" t="s">
        <v>661</v>
      </c>
      <c r="D1292" s="51">
        <v>100027242</v>
      </c>
      <c r="E1292" s="53" t="s">
        <v>662</v>
      </c>
      <c r="F1292" s="124">
        <v>12</v>
      </c>
      <c r="G1292" s="124">
        <v>346</v>
      </c>
      <c r="H1292" s="369">
        <v>238.93</v>
      </c>
      <c r="I1292" s="215" t="s">
        <v>650</v>
      </c>
      <c r="J1292" s="215" t="s">
        <v>77</v>
      </c>
      <c r="K1292" s="266">
        <v>49081350260</v>
      </c>
      <c r="L1292" s="265" t="s">
        <v>649</v>
      </c>
      <c r="M1292" s="266">
        <v>40049081350268</v>
      </c>
      <c r="N1292" s="264">
        <v>38.94</v>
      </c>
      <c r="O1292" s="265" t="s">
        <v>649</v>
      </c>
      <c r="P1292" s="265">
        <v>38.94</v>
      </c>
      <c r="Q1292" s="265">
        <v>2.08</v>
      </c>
    </row>
    <row r="1293" spans="1:17" ht="15" customHeight="1">
      <c r="A1293" s="147">
        <v>1316</v>
      </c>
      <c r="B1293" s="51" t="s">
        <v>30</v>
      </c>
      <c r="C1293" s="51" t="s">
        <v>663</v>
      </c>
      <c r="D1293" s="51">
        <v>100027244</v>
      </c>
      <c r="E1293" s="53" t="s">
        <v>664</v>
      </c>
      <c r="F1293" s="124">
        <v>12</v>
      </c>
      <c r="G1293" s="124">
        <v>232</v>
      </c>
      <c r="H1293" s="369">
        <v>314.14</v>
      </c>
      <c r="I1293" s="215" t="s">
        <v>650</v>
      </c>
      <c r="J1293" s="215" t="s">
        <v>77</v>
      </c>
      <c r="K1293" s="266">
        <v>49081350307</v>
      </c>
      <c r="L1293" s="265" t="s">
        <v>649</v>
      </c>
      <c r="M1293" s="266">
        <v>40049081350305</v>
      </c>
      <c r="N1293" s="264">
        <v>50.91</v>
      </c>
      <c r="O1293" s="265" t="s">
        <v>649</v>
      </c>
      <c r="P1293" s="265">
        <v>50.91</v>
      </c>
      <c r="Q1293" s="265">
        <v>3.1</v>
      </c>
    </row>
    <row r="1294" spans="1:17" ht="15" customHeight="1">
      <c r="A1294" s="147">
        <v>1317</v>
      </c>
      <c r="B1294" s="51" t="s">
        <v>30</v>
      </c>
      <c r="C1294" s="51" t="s">
        <v>665</v>
      </c>
      <c r="D1294" s="51">
        <v>100027246</v>
      </c>
      <c r="E1294" s="53" t="s">
        <v>666</v>
      </c>
      <c r="F1294" s="124">
        <v>6</v>
      </c>
      <c r="G1294" s="124">
        <v>103</v>
      </c>
      <c r="H1294" s="369">
        <v>598.1</v>
      </c>
      <c r="I1294" s="215" t="s">
        <v>650</v>
      </c>
      <c r="J1294" s="215" t="s">
        <v>77</v>
      </c>
      <c r="K1294" s="266">
        <v>49081350345</v>
      </c>
      <c r="L1294" s="265" t="s">
        <v>649</v>
      </c>
      <c r="M1294" s="266">
        <v>40049081350343</v>
      </c>
      <c r="N1294" s="264">
        <v>52.3</v>
      </c>
      <c r="O1294" s="265" t="s">
        <v>649</v>
      </c>
      <c r="P1294" s="265">
        <v>52.3</v>
      </c>
      <c r="Q1294" s="265">
        <v>3.51</v>
      </c>
    </row>
    <row r="1295" spans="1:17" ht="15" customHeight="1">
      <c r="A1295" s="147">
        <v>1318</v>
      </c>
      <c r="B1295" s="51" t="s">
        <v>30</v>
      </c>
      <c r="C1295" s="51" t="s">
        <v>667</v>
      </c>
      <c r="D1295" s="51">
        <v>100027227</v>
      </c>
      <c r="E1295" s="53" t="s">
        <v>668</v>
      </c>
      <c r="F1295" s="124">
        <v>100</v>
      </c>
      <c r="G1295" s="124">
        <v>6000</v>
      </c>
      <c r="H1295" s="369">
        <v>12.16</v>
      </c>
      <c r="I1295" s="215" t="s">
        <v>650</v>
      </c>
      <c r="J1295" s="215" t="s">
        <v>77</v>
      </c>
      <c r="K1295" s="266">
        <v>49081350000</v>
      </c>
      <c r="L1295" s="265" t="s">
        <v>649</v>
      </c>
      <c r="M1295" s="266">
        <v>40049081350008</v>
      </c>
      <c r="N1295" s="264">
        <v>21.53</v>
      </c>
      <c r="O1295" s="265" t="s">
        <v>649</v>
      </c>
      <c r="P1295" s="265">
        <v>21.53</v>
      </c>
      <c r="Q1295" s="265">
        <v>1</v>
      </c>
    </row>
    <row r="1296" spans="1:17" ht="15" customHeight="1">
      <c r="A1296" s="147">
        <v>1319</v>
      </c>
      <c r="B1296" s="51" t="s">
        <v>30</v>
      </c>
      <c r="C1296" s="51" t="s">
        <v>669</v>
      </c>
      <c r="D1296" s="51">
        <v>100027229</v>
      </c>
      <c r="E1296" s="53" t="s">
        <v>670</v>
      </c>
      <c r="F1296" s="124">
        <v>100</v>
      </c>
      <c r="G1296" s="124">
        <v>3529</v>
      </c>
      <c r="H1296" s="369">
        <v>14.15</v>
      </c>
      <c r="I1296" s="215" t="s">
        <v>650</v>
      </c>
      <c r="J1296" s="215" t="s">
        <v>77</v>
      </c>
      <c r="K1296" s="266">
        <v>49081350048</v>
      </c>
      <c r="L1296" s="265" t="s">
        <v>649</v>
      </c>
      <c r="M1296" s="266">
        <v>40049081350046</v>
      </c>
      <c r="N1296" s="264">
        <v>36.369999999999997</v>
      </c>
      <c r="O1296" s="265" t="s">
        <v>649</v>
      </c>
      <c r="P1296" s="265">
        <v>36.369999999999997</v>
      </c>
      <c r="Q1296" s="265">
        <v>1.7</v>
      </c>
    </row>
    <row r="1297" spans="1:17" ht="15" customHeight="1">
      <c r="A1297" s="147">
        <v>1320</v>
      </c>
      <c r="B1297" s="51" t="s">
        <v>30</v>
      </c>
      <c r="C1297" s="51" t="s">
        <v>671</v>
      </c>
      <c r="D1297" s="51">
        <v>100027231</v>
      </c>
      <c r="E1297" s="53" t="s">
        <v>672</v>
      </c>
      <c r="F1297" s="124">
        <v>100</v>
      </c>
      <c r="G1297" s="124">
        <v>2308</v>
      </c>
      <c r="H1297" s="369">
        <v>20.420000000000002</v>
      </c>
      <c r="I1297" s="215" t="s">
        <v>650</v>
      </c>
      <c r="J1297" s="215" t="s">
        <v>77</v>
      </c>
      <c r="K1297" s="266">
        <v>49081350086</v>
      </c>
      <c r="L1297" s="265" t="s">
        <v>649</v>
      </c>
      <c r="M1297" s="266">
        <v>40049081350084</v>
      </c>
      <c r="N1297" s="264">
        <v>56</v>
      </c>
      <c r="O1297" s="265" t="s">
        <v>649</v>
      </c>
      <c r="P1297" s="265">
        <v>56</v>
      </c>
      <c r="Q1297" s="265">
        <v>2.6</v>
      </c>
    </row>
    <row r="1298" spans="1:17" ht="15" customHeight="1">
      <c r="A1298" s="147">
        <v>1321</v>
      </c>
      <c r="B1298" s="51" t="s">
        <v>30</v>
      </c>
      <c r="C1298" s="51" t="s">
        <v>673</v>
      </c>
      <c r="D1298" s="51">
        <v>100027233</v>
      </c>
      <c r="E1298" s="53" t="s">
        <v>674</v>
      </c>
      <c r="F1298" s="124">
        <v>100</v>
      </c>
      <c r="G1298" s="124">
        <v>1818</v>
      </c>
      <c r="H1298" s="369">
        <v>24.79</v>
      </c>
      <c r="I1298" s="215" t="s">
        <v>650</v>
      </c>
      <c r="J1298" s="215" t="s">
        <v>77</v>
      </c>
      <c r="K1298" s="266">
        <v>49081350123</v>
      </c>
      <c r="L1298" s="265" t="s">
        <v>649</v>
      </c>
      <c r="M1298" s="266">
        <v>40049081350121</v>
      </c>
      <c r="N1298" s="264">
        <v>73.41</v>
      </c>
      <c r="O1298" s="265" t="s">
        <v>649</v>
      </c>
      <c r="P1298" s="265">
        <v>73.41</v>
      </c>
      <c r="Q1298" s="265">
        <v>3.3</v>
      </c>
    </row>
    <row r="1299" spans="1:17" ht="15" customHeight="1">
      <c r="A1299" s="147">
        <v>1322</v>
      </c>
      <c r="B1299" s="51" t="s">
        <v>30</v>
      </c>
      <c r="C1299" s="51" t="s">
        <v>675</v>
      </c>
      <c r="D1299" s="51">
        <v>100027236</v>
      </c>
      <c r="E1299" s="53" t="s">
        <v>676</v>
      </c>
      <c r="F1299" s="124">
        <v>48</v>
      </c>
      <c r="G1299" s="124">
        <v>1200</v>
      </c>
      <c r="H1299" s="369">
        <v>43.94</v>
      </c>
      <c r="I1299" s="215" t="s">
        <v>650</v>
      </c>
      <c r="J1299" s="215" t="s">
        <v>77</v>
      </c>
      <c r="K1299" s="266">
        <v>49081350161</v>
      </c>
      <c r="L1299" s="265" t="s">
        <v>649</v>
      </c>
      <c r="M1299" s="266">
        <v>40049081350169</v>
      </c>
      <c r="N1299" s="264">
        <v>50.57</v>
      </c>
      <c r="O1299" s="265" t="s">
        <v>649</v>
      </c>
      <c r="P1299" s="265">
        <v>50.57</v>
      </c>
      <c r="Q1299" s="265">
        <v>2.4</v>
      </c>
    </row>
    <row r="1300" spans="1:17" ht="15" customHeight="1">
      <c r="A1300" s="147">
        <v>1323</v>
      </c>
      <c r="B1300" s="51" t="s">
        <v>30</v>
      </c>
      <c r="C1300" s="51" t="s">
        <v>677</v>
      </c>
      <c r="D1300" s="51">
        <v>100027239</v>
      </c>
      <c r="E1300" s="53" t="s">
        <v>678</v>
      </c>
      <c r="F1300" s="124">
        <v>24</v>
      </c>
      <c r="G1300" s="124">
        <v>758</v>
      </c>
      <c r="H1300" s="369">
        <v>56.51</v>
      </c>
      <c r="I1300" s="215" t="s">
        <v>650</v>
      </c>
      <c r="J1300" s="215" t="s">
        <v>77</v>
      </c>
      <c r="K1300" s="266">
        <v>49081350208</v>
      </c>
      <c r="L1300" s="265" t="s">
        <v>649</v>
      </c>
      <c r="M1300" s="266">
        <v>40049081350206</v>
      </c>
      <c r="N1300" s="264">
        <v>40.130000000000003</v>
      </c>
      <c r="O1300" s="265" t="s">
        <v>649</v>
      </c>
      <c r="P1300" s="265">
        <v>40.130000000000003</v>
      </c>
      <c r="Q1300" s="265">
        <v>1.9</v>
      </c>
    </row>
    <row r="1301" spans="1:17" ht="15" customHeight="1">
      <c r="A1301" s="147">
        <v>1324</v>
      </c>
      <c r="B1301" s="51" t="s">
        <v>30</v>
      </c>
      <c r="C1301" s="51" t="s">
        <v>679</v>
      </c>
      <c r="D1301" s="51">
        <v>100027241</v>
      </c>
      <c r="E1301" s="53" t="s">
        <v>680</v>
      </c>
      <c r="F1301" s="124">
        <v>12</v>
      </c>
      <c r="G1301" s="124">
        <v>379</v>
      </c>
      <c r="H1301" s="369">
        <v>238.93</v>
      </c>
      <c r="I1301" s="215" t="s">
        <v>650</v>
      </c>
      <c r="J1301" s="215" t="s">
        <v>77</v>
      </c>
      <c r="K1301" s="266">
        <v>49081350246</v>
      </c>
      <c r="L1301" s="265" t="s">
        <v>649</v>
      </c>
      <c r="M1301" s="266">
        <v>40049081350244</v>
      </c>
      <c r="N1301" s="264">
        <v>37.31</v>
      </c>
      <c r="O1301" s="265" t="s">
        <v>649</v>
      </c>
      <c r="P1301" s="265">
        <v>37.31</v>
      </c>
      <c r="Q1301" s="265">
        <v>1.9</v>
      </c>
    </row>
    <row r="1302" spans="1:17" ht="15" customHeight="1">
      <c r="A1302" s="147">
        <v>1325</v>
      </c>
      <c r="B1302" s="51" t="s">
        <v>30</v>
      </c>
      <c r="C1302" s="51" t="s">
        <v>681</v>
      </c>
      <c r="D1302" s="51">
        <v>100027243</v>
      </c>
      <c r="E1302" s="53" t="s">
        <v>682</v>
      </c>
      <c r="F1302" s="124">
        <v>12</v>
      </c>
      <c r="G1302" s="124">
        <v>232</v>
      </c>
      <c r="H1302" s="369">
        <v>314.14</v>
      </c>
      <c r="I1302" s="215" t="s">
        <v>650</v>
      </c>
      <c r="J1302" s="215" t="s">
        <v>77</v>
      </c>
      <c r="K1302" s="266">
        <v>49081350284</v>
      </c>
      <c r="L1302" s="265" t="s">
        <v>649</v>
      </c>
      <c r="M1302" s="266">
        <v>40049081350282</v>
      </c>
      <c r="N1302" s="264">
        <v>54.13</v>
      </c>
      <c r="O1302" s="265" t="s">
        <v>649</v>
      </c>
      <c r="P1302" s="265">
        <v>54.13</v>
      </c>
      <c r="Q1302" s="265">
        <v>3.1</v>
      </c>
    </row>
    <row r="1303" spans="1:17" ht="15" customHeight="1">
      <c r="A1303" s="147">
        <v>1326</v>
      </c>
      <c r="B1303" s="51" t="s">
        <v>30</v>
      </c>
      <c r="C1303" s="51" t="s">
        <v>683</v>
      </c>
      <c r="D1303" s="51">
        <v>100027245</v>
      </c>
      <c r="E1303" s="53" t="s">
        <v>684</v>
      </c>
      <c r="F1303" s="124">
        <v>6</v>
      </c>
      <c r="G1303" s="124">
        <v>103</v>
      </c>
      <c r="H1303" s="369">
        <v>598.1</v>
      </c>
      <c r="I1303" s="215" t="s">
        <v>650</v>
      </c>
      <c r="J1303" s="215" t="s">
        <v>77</v>
      </c>
      <c r="K1303" s="266">
        <v>49081350321</v>
      </c>
      <c r="L1303" s="265" t="s">
        <v>649</v>
      </c>
      <c r="M1303" s="266">
        <v>40049081350329</v>
      </c>
      <c r="N1303" s="264">
        <v>51.24</v>
      </c>
      <c r="O1303" s="265" t="s">
        <v>649</v>
      </c>
      <c r="P1303" s="265">
        <v>51.24</v>
      </c>
      <c r="Q1303" s="265">
        <v>3.51</v>
      </c>
    </row>
    <row r="1304" spans="1:17" ht="15" customHeight="1">
      <c r="A1304" s="147">
        <v>1327</v>
      </c>
      <c r="B1304" s="51" t="s">
        <v>30</v>
      </c>
      <c r="C1304" s="51" t="s">
        <v>685</v>
      </c>
      <c r="D1304" s="51">
        <v>100027276</v>
      </c>
      <c r="E1304" s="53" t="s">
        <v>686</v>
      </c>
      <c r="F1304" s="124">
        <v>100</v>
      </c>
      <c r="G1304" s="124" t="s">
        <v>649</v>
      </c>
      <c r="H1304" s="369">
        <v>12.16</v>
      </c>
      <c r="I1304" s="215" t="s">
        <v>650</v>
      </c>
      <c r="J1304" s="215" t="s">
        <v>77</v>
      </c>
      <c r="K1304" s="266">
        <v>49081355029</v>
      </c>
      <c r="L1304" s="265" t="s">
        <v>649</v>
      </c>
      <c r="M1304" s="266">
        <v>40049081355027</v>
      </c>
      <c r="N1304" s="264">
        <v>22.47</v>
      </c>
      <c r="O1304" s="265" t="s">
        <v>649</v>
      </c>
      <c r="P1304" s="265">
        <v>22.47</v>
      </c>
      <c r="Q1304" s="265">
        <v>1</v>
      </c>
    </row>
    <row r="1305" spans="1:17" ht="15" customHeight="1">
      <c r="A1305" s="147">
        <v>1328</v>
      </c>
      <c r="B1305" s="51" t="s">
        <v>30</v>
      </c>
      <c r="C1305" s="51" t="s">
        <v>687</v>
      </c>
      <c r="D1305" s="51">
        <v>100027278</v>
      </c>
      <c r="E1305" s="53" t="s">
        <v>688</v>
      </c>
      <c r="F1305" s="124">
        <v>100</v>
      </c>
      <c r="G1305" s="124" t="s">
        <v>649</v>
      </c>
      <c r="H1305" s="369">
        <v>14.15</v>
      </c>
      <c r="I1305" s="215" t="s">
        <v>650</v>
      </c>
      <c r="J1305" s="215" t="s">
        <v>77</v>
      </c>
      <c r="K1305" s="266">
        <v>49081355067</v>
      </c>
      <c r="L1305" s="265" t="s">
        <v>649</v>
      </c>
      <c r="M1305" s="266">
        <v>40049081355065</v>
      </c>
      <c r="N1305" s="264">
        <v>37.83</v>
      </c>
      <c r="O1305" s="265" t="s">
        <v>649</v>
      </c>
      <c r="P1305" s="265">
        <v>37.83</v>
      </c>
      <c r="Q1305" s="265">
        <v>1.7</v>
      </c>
    </row>
    <row r="1306" spans="1:17" ht="15" customHeight="1">
      <c r="A1306" s="147">
        <v>1329</v>
      </c>
      <c r="B1306" s="51" t="s">
        <v>30</v>
      </c>
      <c r="C1306" s="51" t="s">
        <v>689</v>
      </c>
      <c r="D1306" s="51">
        <v>100027280</v>
      </c>
      <c r="E1306" s="53" t="s">
        <v>690</v>
      </c>
      <c r="F1306" s="124">
        <v>100</v>
      </c>
      <c r="G1306" s="124" t="s">
        <v>649</v>
      </c>
      <c r="H1306" s="369">
        <v>20.420000000000002</v>
      </c>
      <c r="I1306" s="215" t="s">
        <v>650</v>
      </c>
      <c r="J1306" s="215" t="s">
        <v>77</v>
      </c>
      <c r="K1306" s="266">
        <v>49081355104</v>
      </c>
      <c r="L1306" s="265" t="s">
        <v>649</v>
      </c>
      <c r="M1306" s="266">
        <v>40049081355102</v>
      </c>
      <c r="N1306" s="264">
        <v>57.84</v>
      </c>
      <c r="O1306" s="265" t="s">
        <v>649</v>
      </c>
      <c r="P1306" s="265">
        <v>57.84</v>
      </c>
      <c r="Q1306" s="265">
        <v>2.6</v>
      </c>
    </row>
    <row r="1307" spans="1:17" ht="15" customHeight="1">
      <c r="A1307" s="147">
        <v>1330</v>
      </c>
      <c r="B1307" s="51" t="s">
        <v>30</v>
      </c>
      <c r="C1307" s="51" t="s">
        <v>691</v>
      </c>
      <c r="D1307" s="51">
        <v>100027282</v>
      </c>
      <c r="E1307" s="53" t="s">
        <v>692</v>
      </c>
      <c r="F1307" s="124">
        <v>100</v>
      </c>
      <c r="G1307" s="124" t="s">
        <v>649</v>
      </c>
      <c r="H1307" s="369">
        <v>24.79</v>
      </c>
      <c r="I1307" s="215" t="s">
        <v>650</v>
      </c>
      <c r="J1307" s="215" t="s">
        <v>77</v>
      </c>
      <c r="K1307" s="266">
        <v>49081355142</v>
      </c>
      <c r="L1307" s="265" t="s">
        <v>649</v>
      </c>
      <c r="M1307" s="266">
        <v>40049081355140</v>
      </c>
      <c r="N1307" s="264">
        <v>72.150000000000006</v>
      </c>
      <c r="O1307" s="265" t="s">
        <v>649</v>
      </c>
      <c r="P1307" s="265">
        <v>72.150000000000006</v>
      </c>
      <c r="Q1307" s="265">
        <v>3.3</v>
      </c>
    </row>
    <row r="1308" spans="1:17" ht="15" customHeight="1">
      <c r="A1308" s="147">
        <v>1331</v>
      </c>
      <c r="B1308" s="51" t="s">
        <v>30</v>
      </c>
      <c r="C1308" s="51" t="s">
        <v>693</v>
      </c>
      <c r="D1308" s="51">
        <v>100027284</v>
      </c>
      <c r="E1308" s="53" t="s">
        <v>694</v>
      </c>
      <c r="F1308" s="124">
        <v>48</v>
      </c>
      <c r="G1308" s="124" t="s">
        <v>649</v>
      </c>
      <c r="H1308" s="369">
        <v>43.94</v>
      </c>
      <c r="I1308" s="215" t="s">
        <v>650</v>
      </c>
      <c r="J1308" s="215" t="s">
        <v>77</v>
      </c>
      <c r="K1308" s="266">
        <v>49081355180</v>
      </c>
      <c r="L1308" s="265" t="s">
        <v>649</v>
      </c>
      <c r="M1308" s="266">
        <v>40049081355188</v>
      </c>
      <c r="N1308" s="264">
        <v>52.21</v>
      </c>
      <c r="O1308" s="265" t="s">
        <v>649</v>
      </c>
      <c r="P1308" s="265">
        <v>52.21</v>
      </c>
      <c r="Q1308" s="265">
        <v>2.4</v>
      </c>
    </row>
    <row r="1309" spans="1:17" ht="15" customHeight="1">
      <c r="A1309" s="147">
        <v>1332</v>
      </c>
      <c r="B1309" s="51" t="s">
        <v>30</v>
      </c>
      <c r="C1309" s="51" t="s">
        <v>695</v>
      </c>
      <c r="D1309" s="51">
        <v>100027286</v>
      </c>
      <c r="E1309" s="53" t="s">
        <v>696</v>
      </c>
      <c r="F1309" s="124">
        <v>24</v>
      </c>
      <c r="G1309" s="124" t="s">
        <v>649</v>
      </c>
      <c r="H1309" s="369">
        <v>56.51</v>
      </c>
      <c r="I1309" s="215" t="s">
        <v>650</v>
      </c>
      <c r="J1309" s="215" t="s">
        <v>77</v>
      </c>
      <c r="K1309" s="266">
        <v>49081355227</v>
      </c>
      <c r="L1309" s="265" t="s">
        <v>649</v>
      </c>
      <c r="M1309" s="266">
        <v>40049081355225</v>
      </c>
      <c r="N1309" s="264">
        <v>42.67</v>
      </c>
      <c r="O1309" s="265" t="s">
        <v>649</v>
      </c>
      <c r="P1309" s="265">
        <v>42.67</v>
      </c>
      <c r="Q1309" s="265">
        <v>1.9</v>
      </c>
    </row>
    <row r="1310" spans="1:17" ht="15" customHeight="1">
      <c r="A1310" s="147">
        <v>1333</v>
      </c>
      <c r="B1310" s="51" t="s">
        <v>30</v>
      </c>
      <c r="C1310" s="51" t="s">
        <v>697</v>
      </c>
      <c r="D1310" s="51">
        <v>100027288</v>
      </c>
      <c r="E1310" s="53" t="s">
        <v>698</v>
      </c>
      <c r="F1310" s="124">
        <v>12</v>
      </c>
      <c r="G1310" s="124">
        <v>346</v>
      </c>
      <c r="H1310" s="369">
        <v>238.93</v>
      </c>
      <c r="I1310" s="215" t="s">
        <v>650</v>
      </c>
      <c r="J1310" s="215" t="s">
        <v>77</v>
      </c>
      <c r="K1310" s="266">
        <v>49081355265</v>
      </c>
      <c r="L1310" s="265" t="s">
        <v>649</v>
      </c>
      <c r="M1310" s="266">
        <v>40049081355263</v>
      </c>
      <c r="N1310" s="264">
        <v>36.799999999999997</v>
      </c>
      <c r="O1310" s="265" t="s">
        <v>649</v>
      </c>
      <c r="P1310" s="265">
        <v>36.799999999999997</v>
      </c>
      <c r="Q1310" s="265">
        <v>2.08</v>
      </c>
    </row>
    <row r="1311" spans="1:17" ht="15" customHeight="1">
      <c r="A1311" s="147">
        <v>1334</v>
      </c>
      <c r="B1311" s="51" t="s">
        <v>30</v>
      </c>
      <c r="C1311" s="51" t="s">
        <v>699</v>
      </c>
      <c r="D1311" s="51">
        <v>100027290</v>
      </c>
      <c r="E1311" s="53" t="s">
        <v>700</v>
      </c>
      <c r="F1311" s="124">
        <v>12</v>
      </c>
      <c r="G1311" s="124">
        <v>232</v>
      </c>
      <c r="H1311" s="369">
        <v>314.14</v>
      </c>
      <c r="I1311" s="215" t="s">
        <v>347</v>
      </c>
      <c r="J1311" s="215" t="s">
        <v>77</v>
      </c>
      <c r="K1311" s="266">
        <v>49081355302</v>
      </c>
      <c r="L1311" s="265" t="s">
        <v>649</v>
      </c>
      <c r="M1311" s="266">
        <v>40049081355300</v>
      </c>
      <c r="N1311" s="264">
        <v>55.6</v>
      </c>
      <c r="O1311" s="265" t="s">
        <v>649</v>
      </c>
      <c r="P1311" s="265">
        <v>55.6</v>
      </c>
      <c r="Q1311" s="265">
        <v>3.1</v>
      </c>
    </row>
    <row r="1312" spans="1:17" ht="15" customHeight="1">
      <c r="A1312" s="147">
        <v>1335</v>
      </c>
      <c r="B1312" s="51" t="s">
        <v>30</v>
      </c>
      <c r="C1312" s="51" t="s">
        <v>701</v>
      </c>
      <c r="D1312" s="51">
        <v>100027292</v>
      </c>
      <c r="E1312" s="53" t="s">
        <v>702</v>
      </c>
      <c r="F1312" s="124">
        <v>6</v>
      </c>
      <c r="G1312" s="124">
        <v>113</v>
      </c>
      <c r="H1312" s="369">
        <v>598.1</v>
      </c>
      <c r="I1312" s="215" t="s">
        <v>650</v>
      </c>
      <c r="J1312" s="215" t="s">
        <v>77</v>
      </c>
      <c r="K1312" s="266">
        <v>49081355340</v>
      </c>
      <c r="L1312" s="265" t="s">
        <v>649</v>
      </c>
      <c r="M1312" s="266">
        <v>40049081355348</v>
      </c>
      <c r="N1312" s="264">
        <v>32.08</v>
      </c>
      <c r="O1312" s="265" t="s">
        <v>649</v>
      </c>
      <c r="P1312" s="265">
        <v>32.08</v>
      </c>
      <c r="Q1312" s="265">
        <v>3.2</v>
      </c>
    </row>
    <row r="1313" spans="1:17" ht="15" customHeight="1">
      <c r="A1313" s="147">
        <v>1336</v>
      </c>
      <c r="B1313" s="51" t="s">
        <v>30</v>
      </c>
      <c r="C1313" s="51" t="s">
        <v>703</v>
      </c>
      <c r="D1313" s="51">
        <v>100027275</v>
      </c>
      <c r="E1313" s="53" t="s">
        <v>704</v>
      </c>
      <c r="F1313" s="124">
        <v>100</v>
      </c>
      <c r="G1313" s="124">
        <v>6000</v>
      </c>
      <c r="H1313" s="369">
        <v>12.15</v>
      </c>
      <c r="I1313" s="215" t="s">
        <v>650</v>
      </c>
      <c r="J1313" s="215" t="s">
        <v>77</v>
      </c>
      <c r="K1313" s="266">
        <v>49081355005</v>
      </c>
      <c r="L1313" s="265" t="s">
        <v>649</v>
      </c>
      <c r="M1313" s="266">
        <v>40049081355003</v>
      </c>
      <c r="N1313" s="264">
        <v>22.26</v>
      </c>
      <c r="O1313" s="265" t="s">
        <v>649</v>
      </c>
      <c r="P1313" s="265">
        <v>22.26</v>
      </c>
      <c r="Q1313" s="265">
        <v>1</v>
      </c>
    </row>
    <row r="1314" spans="1:17" ht="15" customHeight="1">
      <c r="A1314" s="147">
        <v>1337</v>
      </c>
      <c r="B1314" s="51" t="s">
        <v>30</v>
      </c>
      <c r="C1314" s="51" t="s">
        <v>705</v>
      </c>
      <c r="D1314" s="51">
        <v>100027277</v>
      </c>
      <c r="E1314" s="53" t="s">
        <v>706</v>
      </c>
      <c r="F1314" s="124">
        <v>100</v>
      </c>
      <c r="G1314" s="124">
        <v>3529</v>
      </c>
      <c r="H1314" s="369">
        <v>14.15</v>
      </c>
      <c r="I1314" s="215" t="s">
        <v>650</v>
      </c>
      <c r="J1314" s="215" t="s">
        <v>77</v>
      </c>
      <c r="K1314" s="266">
        <v>49081355043</v>
      </c>
      <c r="L1314" s="265" t="s">
        <v>649</v>
      </c>
      <c r="M1314" s="266">
        <v>40049081355041</v>
      </c>
      <c r="N1314" s="264">
        <v>37.869999999999997</v>
      </c>
      <c r="O1314" s="265" t="s">
        <v>649</v>
      </c>
      <c r="P1314" s="265">
        <v>37.869999999999997</v>
      </c>
      <c r="Q1314" s="265">
        <v>1.7</v>
      </c>
    </row>
    <row r="1315" spans="1:17" ht="15" customHeight="1">
      <c r="A1315" s="147">
        <v>1338</v>
      </c>
      <c r="B1315" s="51" t="s">
        <v>30</v>
      </c>
      <c r="C1315" s="51" t="s">
        <v>707</v>
      </c>
      <c r="D1315" s="51">
        <v>100027279</v>
      </c>
      <c r="E1315" s="53" t="s">
        <v>708</v>
      </c>
      <c r="F1315" s="124">
        <v>100</v>
      </c>
      <c r="G1315" s="124">
        <v>2308</v>
      </c>
      <c r="H1315" s="369">
        <v>20.420000000000002</v>
      </c>
      <c r="I1315" s="215" t="s">
        <v>650</v>
      </c>
      <c r="J1315" s="215" t="s">
        <v>77</v>
      </c>
      <c r="K1315" s="266">
        <v>49081355081</v>
      </c>
      <c r="L1315" s="265" t="s">
        <v>649</v>
      </c>
      <c r="M1315" s="266">
        <v>40049081355089</v>
      </c>
      <c r="N1315" s="264">
        <v>58.3</v>
      </c>
      <c r="O1315" s="265" t="s">
        <v>649</v>
      </c>
      <c r="P1315" s="265">
        <v>58.3</v>
      </c>
      <c r="Q1315" s="265">
        <v>2.6</v>
      </c>
    </row>
    <row r="1316" spans="1:17" ht="15" customHeight="1">
      <c r="A1316" s="147">
        <v>1339</v>
      </c>
      <c r="B1316" s="51" t="s">
        <v>30</v>
      </c>
      <c r="C1316" s="51" t="s">
        <v>709</v>
      </c>
      <c r="D1316" s="51">
        <v>100027281</v>
      </c>
      <c r="E1316" s="53" t="s">
        <v>710</v>
      </c>
      <c r="F1316" s="124">
        <v>100</v>
      </c>
      <c r="G1316" s="124">
        <v>1818</v>
      </c>
      <c r="H1316" s="369">
        <v>24.79</v>
      </c>
      <c r="I1316" s="215" t="s">
        <v>650</v>
      </c>
      <c r="J1316" s="215" t="s">
        <v>77</v>
      </c>
      <c r="K1316" s="266">
        <v>49081355128</v>
      </c>
      <c r="L1316" s="265" t="s">
        <v>649</v>
      </c>
      <c r="M1316" s="266">
        <v>40049081355126</v>
      </c>
      <c r="N1316" s="264">
        <v>72.150000000000006</v>
      </c>
      <c r="O1316" s="265" t="s">
        <v>649</v>
      </c>
      <c r="P1316" s="265">
        <v>72.150000000000006</v>
      </c>
      <c r="Q1316" s="265">
        <v>3.3</v>
      </c>
    </row>
    <row r="1317" spans="1:17" ht="15" customHeight="1">
      <c r="A1317" s="147">
        <v>1340</v>
      </c>
      <c r="B1317" s="51" t="s">
        <v>30</v>
      </c>
      <c r="C1317" s="51" t="s">
        <v>711</v>
      </c>
      <c r="D1317" s="51">
        <v>100027283</v>
      </c>
      <c r="E1317" s="53" t="s">
        <v>712</v>
      </c>
      <c r="F1317" s="124">
        <v>48</v>
      </c>
      <c r="G1317" s="124">
        <v>1200</v>
      </c>
      <c r="H1317" s="369">
        <v>43.94</v>
      </c>
      <c r="I1317" s="215" t="s">
        <v>650</v>
      </c>
      <c r="J1317" s="215" t="s">
        <v>77</v>
      </c>
      <c r="K1317" s="266">
        <v>49081355166</v>
      </c>
      <c r="L1317" s="265" t="s">
        <v>649</v>
      </c>
      <c r="M1317" s="266">
        <v>40049081355164</v>
      </c>
      <c r="N1317" s="264">
        <v>52.55</v>
      </c>
      <c r="O1317" s="265" t="s">
        <v>649</v>
      </c>
      <c r="P1317" s="265">
        <v>52.55</v>
      </c>
      <c r="Q1317" s="265">
        <v>2.4</v>
      </c>
    </row>
    <row r="1318" spans="1:17" ht="15" customHeight="1">
      <c r="A1318" s="147">
        <v>1341</v>
      </c>
      <c r="B1318" s="51" t="s">
        <v>30</v>
      </c>
      <c r="C1318" s="51" t="s">
        <v>713</v>
      </c>
      <c r="D1318" s="51">
        <v>100027285</v>
      </c>
      <c r="E1318" s="53" t="s">
        <v>714</v>
      </c>
      <c r="F1318" s="124">
        <v>24</v>
      </c>
      <c r="G1318" s="124">
        <v>758</v>
      </c>
      <c r="H1318" s="369">
        <v>56.51</v>
      </c>
      <c r="I1318" s="215" t="s">
        <v>650</v>
      </c>
      <c r="J1318" s="215" t="s">
        <v>77</v>
      </c>
      <c r="K1318" s="266">
        <v>49081355203</v>
      </c>
      <c r="L1318" s="265" t="s">
        <v>649</v>
      </c>
      <c r="M1318" s="266">
        <v>40049081355201</v>
      </c>
      <c r="N1318" s="264">
        <v>42.04</v>
      </c>
      <c r="O1318" s="265" t="s">
        <v>649</v>
      </c>
      <c r="P1318" s="265">
        <v>42.04</v>
      </c>
      <c r="Q1318" s="265">
        <v>1.9</v>
      </c>
    </row>
    <row r="1319" spans="1:17" ht="15" customHeight="1">
      <c r="A1319" s="147">
        <v>1342</v>
      </c>
      <c r="B1319" s="51" t="s">
        <v>30</v>
      </c>
      <c r="C1319" s="51" t="s">
        <v>715</v>
      </c>
      <c r="D1319" s="51">
        <v>100027287</v>
      </c>
      <c r="E1319" s="53" t="s">
        <v>716</v>
      </c>
      <c r="F1319" s="124">
        <v>12</v>
      </c>
      <c r="G1319" s="124">
        <v>346</v>
      </c>
      <c r="H1319" s="369">
        <v>238.93</v>
      </c>
      <c r="I1319" s="215" t="s">
        <v>347</v>
      </c>
      <c r="J1319" s="215" t="s">
        <v>77</v>
      </c>
      <c r="K1319" s="266">
        <v>49081355241</v>
      </c>
      <c r="L1319" s="265" t="s">
        <v>649</v>
      </c>
      <c r="M1319" s="266">
        <v>40049081355249</v>
      </c>
      <c r="N1319" s="264">
        <v>36.51</v>
      </c>
      <c r="O1319" s="265" t="s">
        <v>649</v>
      </c>
      <c r="P1319" s="265">
        <v>36.51</v>
      </c>
      <c r="Q1319" s="265">
        <v>2.08</v>
      </c>
    </row>
    <row r="1320" spans="1:17" ht="15" customHeight="1">
      <c r="A1320" s="147">
        <v>1343</v>
      </c>
      <c r="B1320" s="51" t="s">
        <v>30</v>
      </c>
      <c r="C1320" s="51" t="s">
        <v>717</v>
      </c>
      <c r="D1320" s="51">
        <v>100027289</v>
      </c>
      <c r="E1320" s="53" t="s">
        <v>718</v>
      </c>
      <c r="F1320" s="124">
        <v>12</v>
      </c>
      <c r="G1320" s="124">
        <v>232</v>
      </c>
      <c r="H1320" s="369">
        <v>314.14</v>
      </c>
      <c r="I1320" s="215" t="s">
        <v>650</v>
      </c>
      <c r="J1320" s="215" t="s">
        <v>77</v>
      </c>
      <c r="K1320" s="266">
        <v>49081355289</v>
      </c>
      <c r="L1320" s="265" t="s">
        <v>649</v>
      </c>
      <c r="M1320" s="266">
        <v>40049081355287</v>
      </c>
      <c r="N1320" s="264">
        <v>56.75</v>
      </c>
      <c r="O1320" s="265" t="s">
        <v>649</v>
      </c>
      <c r="P1320" s="265">
        <v>56.75</v>
      </c>
      <c r="Q1320" s="265">
        <v>3.1</v>
      </c>
    </row>
    <row r="1321" spans="1:17" ht="15" customHeight="1">
      <c r="A1321" s="147">
        <v>1344</v>
      </c>
      <c r="B1321" s="51" t="s">
        <v>30</v>
      </c>
      <c r="C1321" s="51" t="s">
        <v>719</v>
      </c>
      <c r="D1321" s="51">
        <v>100027291</v>
      </c>
      <c r="E1321" s="53" t="s">
        <v>720</v>
      </c>
      <c r="F1321" s="124">
        <v>6</v>
      </c>
      <c r="G1321" s="124">
        <v>113</v>
      </c>
      <c r="H1321" s="369">
        <v>598.1</v>
      </c>
      <c r="I1321" s="215" t="s">
        <v>650</v>
      </c>
      <c r="J1321" s="215" t="s">
        <v>77</v>
      </c>
      <c r="K1321" s="266">
        <v>49081355326</v>
      </c>
      <c r="L1321" s="265" t="s">
        <v>649</v>
      </c>
      <c r="M1321" s="266">
        <v>40049081355324</v>
      </c>
      <c r="N1321" s="264">
        <v>55.2</v>
      </c>
      <c r="O1321" s="265" t="s">
        <v>649</v>
      </c>
      <c r="P1321" s="265">
        <v>55.2</v>
      </c>
      <c r="Q1321" s="265">
        <v>3.2</v>
      </c>
    </row>
    <row r="1322" spans="1:17" ht="15" customHeight="1">
      <c r="A1322" s="147">
        <v>1345</v>
      </c>
      <c r="B1322" s="51" t="s">
        <v>30</v>
      </c>
      <c r="C1322" s="51" t="s">
        <v>721</v>
      </c>
      <c r="D1322" s="51">
        <v>100027207</v>
      </c>
      <c r="E1322" s="53" t="s">
        <v>722</v>
      </c>
      <c r="F1322" s="124">
        <v>100</v>
      </c>
      <c r="G1322" s="124" t="s">
        <v>649</v>
      </c>
      <c r="H1322" s="369">
        <v>32.200000000000003</v>
      </c>
      <c r="I1322" s="215" t="s">
        <v>723</v>
      </c>
      <c r="J1322" s="215" t="s">
        <v>77</v>
      </c>
      <c r="K1322" s="266">
        <v>49081400002</v>
      </c>
      <c r="L1322" s="265" t="s">
        <v>649</v>
      </c>
      <c r="M1322" s="266">
        <v>40049081400000</v>
      </c>
      <c r="N1322" s="264">
        <v>12.54</v>
      </c>
      <c r="O1322" s="265" t="s">
        <v>649</v>
      </c>
      <c r="P1322" s="265">
        <v>12.54</v>
      </c>
      <c r="Q1322" s="265">
        <v>0.65</v>
      </c>
    </row>
    <row r="1323" spans="1:17" ht="15" customHeight="1">
      <c r="A1323" s="147">
        <v>1346</v>
      </c>
      <c r="B1323" s="51" t="s">
        <v>30</v>
      </c>
      <c r="C1323" s="51" t="s">
        <v>724</v>
      </c>
      <c r="D1323" s="51">
        <v>100027208</v>
      </c>
      <c r="E1323" s="53" t="s">
        <v>725</v>
      </c>
      <c r="F1323" s="124">
        <v>100</v>
      </c>
      <c r="G1323" s="124" t="s">
        <v>649</v>
      </c>
      <c r="H1323" s="369">
        <v>39.520000000000003</v>
      </c>
      <c r="I1323" s="215" t="s">
        <v>650</v>
      </c>
      <c r="J1323" s="215" t="s">
        <v>77</v>
      </c>
      <c r="K1323" s="266">
        <v>49081400040</v>
      </c>
      <c r="L1323" s="265" t="s">
        <v>649</v>
      </c>
      <c r="M1323" s="266">
        <v>40049081400048</v>
      </c>
      <c r="N1323" s="264">
        <v>21.27</v>
      </c>
      <c r="O1323" s="265" t="s">
        <v>649</v>
      </c>
      <c r="P1323" s="265">
        <v>21.27</v>
      </c>
      <c r="Q1323" s="265">
        <v>0.97</v>
      </c>
    </row>
    <row r="1324" spans="1:17" ht="15" customHeight="1">
      <c r="A1324" s="147">
        <v>1349</v>
      </c>
      <c r="B1324" s="51" t="s">
        <v>30</v>
      </c>
      <c r="C1324" s="51" t="s">
        <v>726</v>
      </c>
      <c r="D1324" s="51">
        <v>100027267</v>
      </c>
      <c r="E1324" s="53" t="s">
        <v>727</v>
      </c>
      <c r="F1324" s="124">
        <v>36</v>
      </c>
      <c r="G1324" s="124">
        <v>1577</v>
      </c>
      <c r="H1324" s="369">
        <v>63.05</v>
      </c>
      <c r="I1324" s="215" t="s">
        <v>650</v>
      </c>
      <c r="J1324" s="215" t="s">
        <v>77</v>
      </c>
      <c r="K1324" s="266">
        <v>49081358044</v>
      </c>
      <c r="L1324" s="265" t="s">
        <v>649</v>
      </c>
      <c r="M1324" s="266">
        <v>40049081358042</v>
      </c>
      <c r="N1324" s="264">
        <v>27.93</v>
      </c>
      <c r="O1324" s="265" t="s">
        <v>649</v>
      </c>
      <c r="P1324" s="265">
        <v>27.93</v>
      </c>
      <c r="Q1324" s="265">
        <v>1.37</v>
      </c>
    </row>
    <row r="1325" spans="1:17" ht="15" customHeight="1">
      <c r="A1325" s="147">
        <v>1350</v>
      </c>
      <c r="B1325" s="51" t="s">
        <v>30</v>
      </c>
      <c r="C1325" s="51" t="s">
        <v>728</v>
      </c>
      <c r="D1325" s="51">
        <v>100027268</v>
      </c>
      <c r="E1325" s="53" t="s">
        <v>729</v>
      </c>
      <c r="F1325" s="124">
        <v>24</v>
      </c>
      <c r="G1325" s="124">
        <v>1161</v>
      </c>
      <c r="H1325" s="369">
        <v>87.95</v>
      </c>
      <c r="I1325" s="215" t="s">
        <v>650</v>
      </c>
      <c r="J1325" s="215" t="s">
        <v>77</v>
      </c>
      <c r="K1325" s="266">
        <v>49081358082</v>
      </c>
      <c r="L1325" s="265" t="s">
        <v>649</v>
      </c>
      <c r="M1325" s="266">
        <v>40049081358080</v>
      </c>
      <c r="N1325" s="264">
        <v>24.7</v>
      </c>
      <c r="O1325" s="265" t="s">
        <v>649</v>
      </c>
      <c r="P1325" s="265">
        <v>24.7</v>
      </c>
      <c r="Q1325" s="265">
        <v>1.24</v>
      </c>
    </row>
    <row r="1326" spans="1:17" ht="15" customHeight="1">
      <c r="A1326" s="147">
        <v>1351</v>
      </c>
      <c r="B1326" s="51" t="s">
        <v>30</v>
      </c>
      <c r="C1326" s="51" t="s">
        <v>730</v>
      </c>
      <c r="D1326" s="51">
        <v>100027269</v>
      </c>
      <c r="E1326" s="53" t="s">
        <v>731</v>
      </c>
      <c r="F1326" s="124">
        <v>24</v>
      </c>
      <c r="G1326" s="124">
        <v>692</v>
      </c>
      <c r="H1326" s="369">
        <v>118.28</v>
      </c>
      <c r="I1326" s="215" t="s">
        <v>650</v>
      </c>
      <c r="J1326" s="215" t="s">
        <v>77</v>
      </c>
      <c r="K1326" s="266">
        <v>49081358129</v>
      </c>
      <c r="L1326" s="265" t="s">
        <v>649</v>
      </c>
      <c r="M1326" s="266">
        <v>40049081358127</v>
      </c>
      <c r="N1326" s="264">
        <v>39.93</v>
      </c>
      <c r="O1326" s="265" t="s">
        <v>649</v>
      </c>
      <c r="P1326" s="265">
        <v>39.93</v>
      </c>
      <c r="Q1326" s="265">
        <v>2.08</v>
      </c>
    </row>
    <row r="1327" spans="1:17" ht="15" customHeight="1">
      <c r="A1327" s="147">
        <v>1352</v>
      </c>
      <c r="B1327" s="51" t="s">
        <v>30</v>
      </c>
      <c r="C1327" s="51" t="s">
        <v>732</v>
      </c>
      <c r="D1327" s="51">
        <v>100027270</v>
      </c>
      <c r="E1327" s="53" t="s">
        <v>733</v>
      </c>
      <c r="F1327" s="124">
        <v>24</v>
      </c>
      <c r="G1327" s="124">
        <v>588</v>
      </c>
      <c r="H1327" s="369">
        <v>162.24</v>
      </c>
      <c r="I1327" s="215" t="s">
        <v>650</v>
      </c>
      <c r="J1327" s="215" t="s">
        <v>77</v>
      </c>
      <c r="K1327" s="266">
        <v>49081358167</v>
      </c>
      <c r="L1327" s="265" t="s">
        <v>649</v>
      </c>
      <c r="M1327" s="266">
        <v>40049081358165</v>
      </c>
      <c r="N1327" s="264">
        <v>56.24</v>
      </c>
      <c r="O1327" s="265" t="s">
        <v>649</v>
      </c>
      <c r="P1327" s="265">
        <v>56.24</v>
      </c>
      <c r="Q1327" s="265">
        <v>2.4500000000000002</v>
      </c>
    </row>
    <row r="1328" spans="1:17" ht="15" customHeight="1">
      <c r="A1328" s="147">
        <v>1353</v>
      </c>
      <c r="B1328" s="51" t="s">
        <v>30</v>
      </c>
      <c r="C1328" s="51" t="s">
        <v>734</v>
      </c>
      <c r="D1328" s="51">
        <v>100027271</v>
      </c>
      <c r="E1328" s="53" t="s">
        <v>735</v>
      </c>
      <c r="F1328" s="124">
        <v>12</v>
      </c>
      <c r="G1328" s="124">
        <v>294</v>
      </c>
      <c r="H1328" s="369">
        <v>212.22</v>
      </c>
      <c r="I1328" s="215" t="s">
        <v>650</v>
      </c>
      <c r="J1328" s="215" t="s">
        <v>77</v>
      </c>
      <c r="K1328" s="266">
        <v>49081358204</v>
      </c>
      <c r="L1328" s="265" t="s">
        <v>649</v>
      </c>
      <c r="M1328" s="266">
        <v>40049081358202</v>
      </c>
      <c r="N1328" s="264">
        <v>50.71</v>
      </c>
      <c r="O1328" s="265" t="s">
        <v>649</v>
      </c>
      <c r="P1328" s="265">
        <v>50.71</v>
      </c>
      <c r="Q1328" s="265">
        <v>2.4500000000000002</v>
      </c>
    </row>
    <row r="1329" spans="1:17" ht="15" customHeight="1">
      <c r="A1329" s="147">
        <v>1355</v>
      </c>
      <c r="B1329" s="51" t="s">
        <v>30</v>
      </c>
      <c r="C1329" s="51" t="s">
        <v>736</v>
      </c>
      <c r="D1329" s="51">
        <v>100027273</v>
      </c>
      <c r="E1329" s="53" t="s">
        <v>737</v>
      </c>
      <c r="F1329" s="124">
        <v>6</v>
      </c>
      <c r="G1329" s="124">
        <v>96</v>
      </c>
      <c r="H1329" s="369">
        <v>622.55999999999995</v>
      </c>
      <c r="I1329" s="215" t="s">
        <v>650</v>
      </c>
      <c r="J1329" s="215" t="s">
        <v>77</v>
      </c>
      <c r="K1329" s="266">
        <v>49081358280</v>
      </c>
      <c r="L1329" s="265" t="s">
        <v>649</v>
      </c>
      <c r="M1329" s="266">
        <v>40049081358288</v>
      </c>
      <c r="N1329" s="264">
        <v>73.77</v>
      </c>
      <c r="O1329" s="265" t="s">
        <v>649</v>
      </c>
      <c r="P1329" s="265">
        <v>73.77</v>
      </c>
      <c r="Q1329" s="265">
        <v>3.75</v>
      </c>
    </row>
    <row r="1330" spans="1:17" ht="15" customHeight="1">
      <c r="A1330" s="147">
        <v>1356</v>
      </c>
      <c r="B1330" s="51" t="s">
        <v>30</v>
      </c>
      <c r="C1330" s="51" t="s">
        <v>738</v>
      </c>
      <c r="D1330" s="51">
        <v>100027274</v>
      </c>
      <c r="E1330" s="53" t="s">
        <v>739</v>
      </c>
      <c r="F1330" s="124">
        <v>1</v>
      </c>
      <c r="G1330" s="124">
        <v>56</v>
      </c>
      <c r="H1330" s="369">
        <v>1247.24</v>
      </c>
      <c r="I1330" s="215" t="s">
        <v>650</v>
      </c>
      <c r="J1330" s="215" t="s">
        <v>77</v>
      </c>
      <c r="K1330" s="266">
        <v>49081358327</v>
      </c>
      <c r="L1330" s="265" t="s">
        <v>649</v>
      </c>
      <c r="M1330" s="266">
        <v>40049081358325</v>
      </c>
      <c r="N1330" s="264">
        <v>23.37</v>
      </c>
      <c r="O1330" s="265" t="s">
        <v>649</v>
      </c>
      <c r="P1330" s="265">
        <v>23.37</v>
      </c>
      <c r="Q1330" s="265">
        <v>1.07</v>
      </c>
    </row>
    <row r="1331" spans="1:17" ht="15" customHeight="1">
      <c r="A1331" s="147">
        <v>1357</v>
      </c>
      <c r="B1331" s="51" t="s">
        <v>30</v>
      </c>
      <c r="C1331" s="51" t="s">
        <v>740</v>
      </c>
      <c r="D1331" s="51">
        <v>100027306</v>
      </c>
      <c r="E1331" s="53" t="s">
        <v>741</v>
      </c>
      <c r="F1331" s="124">
        <v>24</v>
      </c>
      <c r="G1331" s="124">
        <v>1161</v>
      </c>
      <c r="H1331" s="369">
        <v>150.21</v>
      </c>
      <c r="I1331" s="215" t="s">
        <v>347</v>
      </c>
      <c r="J1331" s="215" t="s">
        <v>77</v>
      </c>
      <c r="K1331" s="266">
        <v>49081358105</v>
      </c>
      <c r="L1331" s="265" t="s">
        <v>649</v>
      </c>
      <c r="M1331" s="266">
        <v>40049081358103</v>
      </c>
      <c r="N1331" s="264">
        <v>24.7</v>
      </c>
      <c r="O1331" s="265" t="s">
        <v>649</v>
      </c>
      <c r="P1331" s="265">
        <v>24.7</v>
      </c>
      <c r="Q1331" s="265">
        <v>1.24</v>
      </c>
    </row>
    <row r="1332" spans="1:17" ht="15" customHeight="1">
      <c r="A1332" s="147">
        <v>1359</v>
      </c>
      <c r="B1332" s="51" t="s">
        <v>30</v>
      </c>
      <c r="C1332" s="51" t="s">
        <v>742</v>
      </c>
      <c r="D1332" s="51">
        <v>100027308</v>
      </c>
      <c r="E1332" s="53" t="s">
        <v>743</v>
      </c>
      <c r="F1332" s="124">
        <v>24</v>
      </c>
      <c r="G1332" s="124">
        <v>548</v>
      </c>
      <c r="H1332" s="369">
        <v>273.47000000000003</v>
      </c>
      <c r="I1332" s="215" t="s">
        <v>723</v>
      </c>
      <c r="J1332" s="215" t="s">
        <v>77</v>
      </c>
      <c r="K1332" s="266">
        <v>49081358181</v>
      </c>
      <c r="L1332" s="265" t="s">
        <v>649</v>
      </c>
      <c r="M1332" s="266">
        <v>40049081358189</v>
      </c>
      <c r="N1332" s="264">
        <v>54.43</v>
      </c>
      <c r="O1332" s="265" t="s">
        <v>649</v>
      </c>
      <c r="P1332" s="265">
        <v>54.43</v>
      </c>
      <c r="Q1332" s="265">
        <v>2.63</v>
      </c>
    </row>
    <row r="1333" spans="1:17" ht="15" customHeight="1">
      <c r="A1333" s="147">
        <v>1364</v>
      </c>
      <c r="B1333" s="51" t="s">
        <v>30</v>
      </c>
      <c r="C1333" s="51" t="s">
        <v>744</v>
      </c>
      <c r="D1333" s="51">
        <v>100027249</v>
      </c>
      <c r="E1333" s="53" t="s">
        <v>745</v>
      </c>
      <c r="F1333" s="124">
        <v>120</v>
      </c>
      <c r="G1333" s="124">
        <v>4022</v>
      </c>
      <c r="H1333" s="369">
        <v>24.51</v>
      </c>
      <c r="I1333" s="215" t="s">
        <v>650</v>
      </c>
      <c r="J1333" s="215" t="s">
        <v>77</v>
      </c>
      <c r="K1333" s="266">
        <v>49081402020</v>
      </c>
      <c r="L1333" s="265" t="s">
        <v>649</v>
      </c>
      <c r="M1333" s="266">
        <v>40049081402028</v>
      </c>
      <c r="N1333" s="264">
        <v>37.25</v>
      </c>
      <c r="O1333" s="265" t="s">
        <v>649</v>
      </c>
      <c r="P1333" s="265">
        <v>37.25</v>
      </c>
      <c r="Q1333" s="265">
        <v>1.79</v>
      </c>
    </row>
    <row r="1334" spans="1:17" ht="15" customHeight="1">
      <c r="A1334" s="147">
        <v>1365</v>
      </c>
      <c r="B1334" s="51" t="s">
        <v>30</v>
      </c>
      <c r="C1334" s="51" t="s">
        <v>746</v>
      </c>
      <c r="D1334" s="51">
        <v>100027250</v>
      </c>
      <c r="E1334" s="53" t="s">
        <v>747</v>
      </c>
      <c r="F1334" s="124">
        <v>80</v>
      </c>
      <c r="G1334" s="124">
        <v>1912</v>
      </c>
      <c r="H1334" s="369">
        <v>35.700000000000003</v>
      </c>
      <c r="I1334" s="215" t="s">
        <v>650</v>
      </c>
      <c r="J1334" s="215" t="s">
        <v>77</v>
      </c>
      <c r="K1334" s="266">
        <v>49081402044</v>
      </c>
      <c r="L1334" s="265" t="s">
        <v>649</v>
      </c>
      <c r="M1334" s="266">
        <v>40049081402042</v>
      </c>
      <c r="N1334" s="264">
        <v>39.909999999999997</v>
      </c>
      <c r="O1334" s="265" t="s">
        <v>649</v>
      </c>
      <c r="P1334" s="265">
        <v>39.909999999999997</v>
      </c>
      <c r="Q1334" s="265">
        <v>2.5099999999999998</v>
      </c>
    </row>
    <row r="1335" spans="1:17" ht="15" customHeight="1">
      <c r="A1335" s="147">
        <v>1366</v>
      </c>
      <c r="B1335" s="51" t="s">
        <v>30</v>
      </c>
      <c r="C1335" s="51" t="s">
        <v>748</v>
      </c>
      <c r="D1335" s="51">
        <v>100027251</v>
      </c>
      <c r="E1335" s="53" t="s">
        <v>749</v>
      </c>
      <c r="F1335" s="124">
        <v>60</v>
      </c>
      <c r="G1335" s="124">
        <v>1071</v>
      </c>
      <c r="H1335" s="369">
        <v>46.3</v>
      </c>
      <c r="I1335" s="215" t="s">
        <v>347</v>
      </c>
      <c r="J1335" s="215" t="s">
        <v>77</v>
      </c>
      <c r="K1335" s="266">
        <v>49081402068</v>
      </c>
      <c r="L1335" s="265" t="s">
        <v>649</v>
      </c>
      <c r="M1335" s="266">
        <v>40049081402066</v>
      </c>
      <c r="N1335" s="264">
        <v>57.54</v>
      </c>
      <c r="O1335" s="265" t="s">
        <v>649</v>
      </c>
      <c r="P1335" s="265">
        <v>57.54</v>
      </c>
      <c r="Q1335" s="265">
        <v>3.36</v>
      </c>
    </row>
    <row r="1336" spans="1:17" ht="15" customHeight="1">
      <c r="A1336" s="147">
        <v>1367</v>
      </c>
      <c r="B1336" s="51" t="s">
        <v>30</v>
      </c>
      <c r="C1336" s="51" t="s">
        <v>750</v>
      </c>
      <c r="D1336" s="51">
        <v>100027252</v>
      </c>
      <c r="E1336" s="53" t="s">
        <v>751</v>
      </c>
      <c r="F1336" s="124">
        <v>60</v>
      </c>
      <c r="G1336" s="124">
        <v>1071</v>
      </c>
      <c r="H1336" s="369">
        <v>46.3</v>
      </c>
      <c r="I1336" s="215" t="s">
        <v>347</v>
      </c>
      <c r="J1336" s="215" t="s">
        <v>77</v>
      </c>
      <c r="K1336" s="266">
        <v>49081402082</v>
      </c>
      <c r="L1336" s="265" t="s">
        <v>649</v>
      </c>
      <c r="M1336" s="266">
        <v>40049081402080</v>
      </c>
      <c r="N1336" s="264">
        <v>63.05</v>
      </c>
      <c r="O1336" s="265" t="s">
        <v>649</v>
      </c>
      <c r="P1336" s="265">
        <v>63.05</v>
      </c>
      <c r="Q1336" s="265">
        <v>3.36</v>
      </c>
    </row>
    <row r="1337" spans="1:17" ht="15" customHeight="1">
      <c r="A1337" s="147">
        <v>1368</v>
      </c>
      <c r="B1337" s="51" t="s">
        <v>30</v>
      </c>
      <c r="C1337" s="51" t="s">
        <v>752</v>
      </c>
      <c r="D1337" s="51">
        <v>100027253</v>
      </c>
      <c r="E1337" s="53" t="s">
        <v>753</v>
      </c>
      <c r="F1337" s="124">
        <v>40</v>
      </c>
      <c r="G1337" s="124">
        <v>670</v>
      </c>
      <c r="H1337" s="369">
        <v>57.07</v>
      </c>
      <c r="I1337" s="215" t="s">
        <v>650</v>
      </c>
      <c r="J1337" s="215" t="s">
        <v>77</v>
      </c>
      <c r="K1337" s="266">
        <v>49081402105</v>
      </c>
      <c r="L1337" s="265" t="s">
        <v>649</v>
      </c>
      <c r="M1337" s="266">
        <v>40049081402103</v>
      </c>
      <c r="N1337" s="264">
        <v>64.73</v>
      </c>
      <c r="O1337" s="265" t="s">
        <v>649</v>
      </c>
      <c r="P1337" s="265">
        <v>64.73</v>
      </c>
      <c r="Q1337" s="265">
        <v>3.58</v>
      </c>
    </row>
    <row r="1338" spans="1:17" ht="15" customHeight="1">
      <c r="A1338" s="147">
        <v>1370</v>
      </c>
      <c r="B1338" s="51" t="s">
        <v>30</v>
      </c>
      <c r="C1338" s="51" t="s">
        <v>754</v>
      </c>
      <c r="D1338" s="51">
        <v>100027255</v>
      </c>
      <c r="E1338" s="53" t="s">
        <v>755</v>
      </c>
      <c r="F1338" s="124">
        <v>30</v>
      </c>
      <c r="G1338" s="124">
        <v>625</v>
      </c>
      <c r="H1338" s="369">
        <v>74.03</v>
      </c>
      <c r="I1338" s="215" t="s">
        <v>347</v>
      </c>
      <c r="J1338" s="215" t="s">
        <v>77</v>
      </c>
      <c r="K1338" s="266">
        <v>49081403065</v>
      </c>
      <c r="L1338" s="265" t="s">
        <v>649</v>
      </c>
      <c r="M1338" s="266">
        <v>40049081403063</v>
      </c>
      <c r="N1338" s="264">
        <v>33.1</v>
      </c>
      <c r="O1338" s="265" t="s">
        <v>649</v>
      </c>
      <c r="P1338" s="265">
        <v>33.1</v>
      </c>
      <c r="Q1338" s="265">
        <v>2.88</v>
      </c>
    </row>
    <row r="1339" spans="1:17" ht="15" customHeight="1">
      <c r="A1339" s="147">
        <v>1371</v>
      </c>
      <c r="B1339" s="51" t="s">
        <v>30</v>
      </c>
      <c r="C1339" s="51" t="s">
        <v>756</v>
      </c>
      <c r="D1339" s="51">
        <v>100027256</v>
      </c>
      <c r="E1339" s="53" t="s">
        <v>757</v>
      </c>
      <c r="F1339" s="124">
        <v>30</v>
      </c>
      <c r="G1339" s="124">
        <v>625</v>
      </c>
      <c r="H1339" s="369">
        <v>91.76</v>
      </c>
      <c r="I1339" s="215" t="s">
        <v>347</v>
      </c>
      <c r="J1339" s="215" t="s">
        <v>77</v>
      </c>
      <c r="K1339" s="266">
        <v>49081403089</v>
      </c>
      <c r="L1339" s="265" t="s">
        <v>649</v>
      </c>
      <c r="M1339" s="266">
        <v>40049081403087</v>
      </c>
      <c r="N1339" s="264">
        <v>30.89</v>
      </c>
      <c r="O1339" s="265" t="s">
        <v>649</v>
      </c>
      <c r="P1339" s="265">
        <v>30.89</v>
      </c>
      <c r="Q1339" s="265">
        <v>2.88</v>
      </c>
    </row>
    <row r="1340" spans="1:17" ht="15" customHeight="1">
      <c r="A1340" s="147">
        <v>1372</v>
      </c>
      <c r="B1340" s="51" t="s">
        <v>30</v>
      </c>
      <c r="C1340" s="51" t="s">
        <v>758</v>
      </c>
      <c r="D1340" s="51">
        <v>100027257</v>
      </c>
      <c r="E1340" s="53" t="s">
        <v>759</v>
      </c>
      <c r="F1340" s="124">
        <v>24</v>
      </c>
      <c r="G1340" s="124">
        <v>429</v>
      </c>
      <c r="H1340" s="369">
        <v>92.37</v>
      </c>
      <c r="I1340" s="215" t="s">
        <v>347</v>
      </c>
      <c r="J1340" s="215" t="s">
        <v>77</v>
      </c>
      <c r="K1340" s="266">
        <v>49081403102</v>
      </c>
      <c r="L1340" s="265" t="s">
        <v>649</v>
      </c>
      <c r="M1340" s="266">
        <v>40049081403100</v>
      </c>
      <c r="N1340" s="264">
        <v>39.25</v>
      </c>
      <c r="O1340" s="265" t="s">
        <v>649</v>
      </c>
      <c r="P1340" s="265">
        <v>39.25</v>
      </c>
      <c r="Q1340" s="265">
        <v>3.36</v>
      </c>
    </row>
    <row r="1341" spans="1:17" ht="15" customHeight="1">
      <c r="A1341" s="147">
        <v>1373</v>
      </c>
      <c r="B1341" s="51" t="s">
        <v>30</v>
      </c>
      <c r="C1341" s="51" t="s">
        <v>760</v>
      </c>
      <c r="D1341" s="51">
        <v>100027247</v>
      </c>
      <c r="E1341" s="53" t="s">
        <v>761</v>
      </c>
      <c r="F1341" s="124">
        <v>8</v>
      </c>
      <c r="G1341" s="124">
        <v>150</v>
      </c>
      <c r="H1341" s="369">
        <v>237.85</v>
      </c>
      <c r="I1341" s="215" t="s">
        <v>650</v>
      </c>
      <c r="J1341" s="215" t="s">
        <v>77</v>
      </c>
      <c r="K1341" s="266">
        <v>49081401146</v>
      </c>
      <c r="L1341" s="265" t="s">
        <v>649</v>
      </c>
      <c r="M1341" s="266">
        <v>40049081401144</v>
      </c>
      <c r="N1341" s="264">
        <v>36.64</v>
      </c>
      <c r="O1341" s="265" t="s">
        <v>649</v>
      </c>
      <c r="P1341" s="265">
        <v>36.64</v>
      </c>
      <c r="Q1341" s="265">
        <v>3.2</v>
      </c>
    </row>
    <row r="1342" spans="1:17" ht="15" customHeight="1">
      <c r="A1342" s="147">
        <v>1374</v>
      </c>
      <c r="B1342" s="51" t="s">
        <v>30</v>
      </c>
      <c r="C1342" s="51" t="s">
        <v>762</v>
      </c>
      <c r="D1342" s="51">
        <v>100027248</v>
      </c>
      <c r="E1342" s="53" t="s">
        <v>763</v>
      </c>
      <c r="F1342" s="124">
        <v>6</v>
      </c>
      <c r="G1342" s="124">
        <v>106</v>
      </c>
      <c r="H1342" s="369">
        <v>309.87</v>
      </c>
      <c r="I1342" s="215" t="s">
        <v>650</v>
      </c>
      <c r="J1342" s="215" t="s">
        <v>77</v>
      </c>
      <c r="K1342" s="266">
        <v>49081401160</v>
      </c>
      <c r="L1342" s="265" t="s">
        <v>649</v>
      </c>
      <c r="M1342" s="266">
        <v>40049081401168</v>
      </c>
      <c r="N1342" s="264">
        <v>36.380000000000003</v>
      </c>
      <c r="O1342" s="265" t="s">
        <v>649</v>
      </c>
      <c r="P1342" s="265">
        <v>36.380000000000003</v>
      </c>
      <c r="Q1342" s="265">
        <v>3.4</v>
      </c>
    </row>
    <row r="1343" spans="1:17" ht="15" customHeight="1">
      <c r="A1343" s="147">
        <v>1375</v>
      </c>
      <c r="B1343" s="51" t="s">
        <v>30</v>
      </c>
      <c r="C1343" s="51" t="s">
        <v>764</v>
      </c>
      <c r="D1343" s="51">
        <v>100027293</v>
      </c>
      <c r="E1343" s="53" t="s">
        <v>765</v>
      </c>
      <c r="F1343" s="124">
        <v>48</v>
      </c>
      <c r="G1343" s="124">
        <v>3789</v>
      </c>
      <c r="H1343" s="369">
        <v>36.6</v>
      </c>
      <c r="I1343" s="215" t="s">
        <v>650</v>
      </c>
      <c r="J1343" s="215" t="s">
        <v>77</v>
      </c>
      <c r="K1343" s="266">
        <v>49081357009</v>
      </c>
      <c r="L1343" s="265" t="s">
        <v>649</v>
      </c>
      <c r="M1343" s="266">
        <v>40049081357007</v>
      </c>
      <c r="N1343" s="264">
        <v>15.99</v>
      </c>
      <c r="O1343" s="265" t="s">
        <v>649</v>
      </c>
      <c r="P1343" s="265">
        <v>15.99</v>
      </c>
      <c r="Q1343" s="265">
        <v>0.76</v>
      </c>
    </row>
    <row r="1344" spans="1:17" ht="15" customHeight="1">
      <c r="A1344" s="147">
        <v>1376</v>
      </c>
      <c r="B1344" s="51" t="s">
        <v>30</v>
      </c>
      <c r="C1344" s="51" t="s">
        <v>766</v>
      </c>
      <c r="D1344" s="51">
        <v>100027294</v>
      </c>
      <c r="E1344" s="53" t="s">
        <v>767</v>
      </c>
      <c r="F1344" s="124">
        <v>36</v>
      </c>
      <c r="G1344" s="124">
        <v>2182</v>
      </c>
      <c r="H1344" s="369">
        <v>43.77</v>
      </c>
      <c r="I1344" s="215" t="s">
        <v>723</v>
      </c>
      <c r="J1344" s="215" t="s">
        <v>77</v>
      </c>
      <c r="K1344" s="266">
        <v>49081357023</v>
      </c>
      <c r="L1344" s="265" t="s">
        <v>649</v>
      </c>
      <c r="M1344" s="266">
        <v>40049081357021</v>
      </c>
      <c r="N1344" s="264">
        <v>19.61</v>
      </c>
      <c r="O1344" s="265" t="s">
        <v>649</v>
      </c>
      <c r="P1344" s="265">
        <v>19.61</v>
      </c>
      <c r="Q1344" s="265">
        <v>0.99</v>
      </c>
    </row>
    <row r="1345" spans="1:17" ht="15" customHeight="1">
      <c r="A1345" s="147">
        <v>1378</v>
      </c>
      <c r="B1345" s="51" t="s">
        <v>30</v>
      </c>
      <c r="C1345" s="51" t="s">
        <v>768</v>
      </c>
      <c r="D1345" s="51">
        <v>100027296</v>
      </c>
      <c r="E1345" s="53" t="s">
        <v>769</v>
      </c>
      <c r="F1345" s="124">
        <v>24</v>
      </c>
      <c r="G1345" s="124">
        <v>993</v>
      </c>
      <c r="H1345" s="369">
        <v>89.2</v>
      </c>
      <c r="I1345" s="215" t="s">
        <v>347</v>
      </c>
      <c r="J1345" s="215" t="s">
        <v>77</v>
      </c>
      <c r="K1345" s="266">
        <v>49081357054</v>
      </c>
      <c r="L1345" s="265" t="s">
        <v>649</v>
      </c>
      <c r="M1345" s="266">
        <v>40049081357052</v>
      </c>
      <c r="N1345" s="264">
        <v>29.98</v>
      </c>
      <c r="O1345" s="265" t="s">
        <v>649</v>
      </c>
      <c r="P1345" s="265">
        <v>29.98</v>
      </c>
      <c r="Q1345" s="265">
        <v>1.45</v>
      </c>
    </row>
    <row r="1346" spans="1:17" ht="15" customHeight="1">
      <c r="A1346" s="147">
        <v>1381</v>
      </c>
      <c r="B1346" s="51" t="s">
        <v>30</v>
      </c>
      <c r="C1346" s="51" t="s">
        <v>770</v>
      </c>
      <c r="D1346" s="51">
        <v>100027258</v>
      </c>
      <c r="E1346" s="53" t="s">
        <v>771</v>
      </c>
      <c r="F1346" s="124">
        <v>48</v>
      </c>
      <c r="G1346" s="124">
        <v>3789</v>
      </c>
      <c r="H1346" s="369">
        <v>36.6</v>
      </c>
      <c r="I1346" s="215" t="s">
        <v>347</v>
      </c>
      <c r="J1346" s="215" t="s">
        <v>77</v>
      </c>
      <c r="K1346" s="266">
        <v>49081356002</v>
      </c>
      <c r="L1346" s="265" t="s">
        <v>649</v>
      </c>
      <c r="M1346" s="266">
        <v>40049081356000</v>
      </c>
      <c r="N1346" s="264">
        <v>15.99</v>
      </c>
      <c r="O1346" s="265" t="s">
        <v>649</v>
      </c>
      <c r="P1346" s="265">
        <v>15.99</v>
      </c>
      <c r="Q1346" s="265">
        <v>0.76</v>
      </c>
    </row>
    <row r="1347" spans="1:17" ht="15" customHeight="1">
      <c r="A1347" s="147">
        <v>1384</v>
      </c>
      <c r="B1347" s="51" t="s">
        <v>30</v>
      </c>
      <c r="C1347" s="51" t="s">
        <v>772</v>
      </c>
      <c r="D1347" s="51">
        <v>100027261</v>
      </c>
      <c r="E1347" s="53" t="s">
        <v>773</v>
      </c>
      <c r="F1347" s="124">
        <v>24</v>
      </c>
      <c r="G1347" s="124">
        <v>993</v>
      </c>
      <c r="H1347" s="369">
        <v>89.2</v>
      </c>
      <c r="I1347" s="215" t="s">
        <v>347</v>
      </c>
      <c r="J1347" s="215" t="s">
        <v>77</v>
      </c>
      <c r="K1347" s="266">
        <v>49081356057</v>
      </c>
      <c r="L1347" s="265" t="s">
        <v>649</v>
      </c>
      <c r="M1347" s="266">
        <v>40049081356055</v>
      </c>
      <c r="N1347" s="264">
        <v>29.2</v>
      </c>
      <c r="O1347" s="265" t="s">
        <v>649</v>
      </c>
      <c r="P1347" s="265">
        <v>29.2</v>
      </c>
      <c r="Q1347" s="265">
        <v>1.45</v>
      </c>
    </row>
    <row r="1348" spans="1:17" ht="15" customHeight="1">
      <c r="A1348" s="147">
        <v>1387</v>
      </c>
      <c r="B1348" s="51" t="s">
        <v>30</v>
      </c>
      <c r="C1348" s="51" t="s">
        <v>774</v>
      </c>
      <c r="D1348" s="51">
        <v>100027223</v>
      </c>
      <c r="E1348" s="53" t="s">
        <v>775</v>
      </c>
      <c r="F1348" s="124">
        <v>48</v>
      </c>
      <c r="G1348" s="124">
        <v>911</v>
      </c>
      <c r="H1348" s="369">
        <v>55.94</v>
      </c>
      <c r="I1348" s="215" t="s">
        <v>650</v>
      </c>
      <c r="J1348" s="215" t="s">
        <v>77</v>
      </c>
      <c r="K1348" s="266">
        <v>49081356071</v>
      </c>
      <c r="L1348" s="265" t="s">
        <v>649</v>
      </c>
      <c r="M1348" s="266">
        <v>40049081356079</v>
      </c>
      <c r="N1348" s="264">
        <v>53.79</v>
      </c>
      <c r="O1348" s="265" t="s">
        <v>649</v>
      </c>
      <c r="P1348" s="265">
        <v>53.79</v>
      </c>
      <c r="Q1348" s="265">
        <v>3.16</v>
      </c>
    </row>
    <row r="1349" spans="1:17" ht="15" customHeight="1">
      <c r="A1349" s="147">
        <v>1388</v>
      </c>
      <c r="B1349" s="51" t="s">
        <v>30</v>
      </c>
      <c r="C1349" s="51" t="s">
        <v>776</v>
      </c>
      <c r="D1349" s="51">
        <v>100027224</v>
      </c>
      <c r="E1349" s="53" t="s">
        <v>777</v>
      </c>
      <c r="F1349" s="124">
        <v>24</v>
      </c>
      <c r="G1349" s="124">
        <v>503</v>
      </c>
      <c r="H1349" s="369">
        <v>76.39</v>
      </c>
      <c r="I1349" s="215" t="s">
        <v>650</v>
      </c>
      <c r="J1349" s="215" t="s">
        <v>77</v>
      </c>
      <c r="K1349" s="266">
        <v>49081356095</v>
      </c>
      <c r="L1349" s="265" t="s">
        <v>649</v>
      </c>
      <c r="M1349" s="266">
        <v>40049081356093</v>
      </c>
      <c r="N1349" s="264">
        <v>37.659999999999997</v>
      </c>
      <c r="O1349" s="265" t="s">
        <v>649</v>
      </c>
      <c r="P1349" s="265">
        <v>37.659999999999997</v>
      </c>
      <c r="Q1349" s="265">
        <v>2.86</v>
      </c>
    </row>
    <row r="1350" spans="1:17" ht="15" customHeight="1">
      <c r="A1350" s="147">
        <v>1393</v>
      </c>
      <c r="B1350" s="51" t="s">
        <v>30</v>
      </c>
      <c r="C1350" s="51" t="s">
        <v>778</v>
      </c>
      <c r="D1350" s="51">
        <v>100027214</v>
      </c>
      <c r="E1350" s="53" t="s">
        <v>779</v>
      </c>
      <c r="F1350" s="124">
        <v>10</v>
      </c>
      <c r="G1350" s="124">
        <v>113</v>
      </c>
      <c r="H1350" s="369">
        <v>481.71</v>
      </c>
      <c r="I1350" s="215" t="s">
        <v>650</v>
      </c>
      <c r="J1350" s="215" t="s">
        <v>77</v>
      </c>
      <c r="K1350" s="266">
        <v>49081310004</v>
      </c>
      <c r="L1350" s="265" t="s">
        <v>649</v>
      </c>
      <c r="M1350" s="266">
        <v>40049081310002</v>
      </c>
      <c r="N1350" s="264">
        <v>17.850000000000001</v>
      </c>
      <c r="O1350" s="265" t="s">
        <v>649</v>
      </c>
      <c r="P1350" s="265">
        <v>17.850000000000001</v>
      </c>
      <c r="Q1350" s="265">
        <v>2.12</v>
      </c>
    </row>
    <row r="1351" spans="1:17" ht="15" customHeight="1">
      <c r="A1351" s="147">
        <v>1395</v>
      </c>
      <c r="B1351" s="51" t="s">
        <v>30</v>
      </c>
      <c r="C1351" s="51" t="s">
        <v>780</v>
      </c>
      <c r="D1351" s="51">
        <v>100027216</v>
      </c>
      <c r="E1351" s="53" t="s">
        <v>781</v>
      </c>
      <c r="F1351" s="124">
        <v>4</v>
      </c>
      <c r="G1351" s="124">
        <v>94</v>
      </c>
      <c r="H1351" s="369">
        <v>550.59</v>
      </c>
      <c r="I1351" s="215" t="s">
        <v>650</v>
      </c>
      <c r="J1351" s="215" t="s">
        <v>77</v>
      </c>
      <c r="K1351" s="266">
        <v>49081310080</v>
      </c>
      <c r="L1351" s="265" t="s">
        <v>649</v>
      </c>
      <c r="M1351" s="266">
        <v>40049081310088</v>
      </c>
      <c r="N1351" s="264">
        <v>22.16</v>
      </c>
      <c r="O1351" s="265" t="s">
        <v>649</v>
      </c>
      <c r="P1351" s="265">
        <v>22.16</v>
      </c>
      <c r="Q1351" s="265">
        <v>2.5499999999999998</v>
      </c>
    </row>
    <row r="1352" spans="1:17" ht="15" customHeight="1">
      <c r="A1352" s="147">
        <v>1396</v>
      </c>
      <c r="B1352" s="51" t="s">
        <v>30</v>
      </c>
      <c r="C1352" s="51" t="s">
        <v>782</v>
      </c>
      <c r="D1352" s="51">
        <v>100027217</v>
      </c>
      <c r="E1352" s="53" t="s">
        <v>783</v>
      </c>
      <c r="F1352" s="124">
        <v>4</v>
      </c>
      <c r="G1352" s="124">
        <v>68</v>
      </c>
      <c r="H1352" s="369">
        <v>624.37</v>
      </c>
      <c r="I1352" s="215" t="s">
        <v>650</v>
      </c>
      <c r="J1352" s="215" t="s">
        <v>77</v>
      </c>
      <c r="K1352" s="266">
        <v>49081310127</v>
      </c>
      <c r="L1352" s="265" t="s">
        <v>649</v>
      </c>
      <c r="M1352" s="266">
        <v>40049081310125</v>
      </c>
      <c r="N1352" s="264">
        <v>31.89</v>
      </c>
      <c r="O1352" s="265" t="s">
        <v>649</v>
      </c>
      <c r="P1352" s="265">
        <v>31.89</v>
      </c>
      <c r="Q1352" s="265">
        <v>3.52</v>
      </c>
    </row>
    <row r="1353" spans="1:17" ht="15" customHeight="1">
      <c r="A1353" s="147">
        <v>1398</v>
      </c>
      <c r="B1353" s="51" t="s">
        <v>30</v>
      </c>
      <c r="C1353" s="51" t="s">
        <v>784</v>
      </c>
      <c r="D1353" s="51">
        <v>100027219</v>
      </c>
      <c r="E1353" s="53" t="s">
        <v>785</v>
      </c>
      <c r="F1353" s="124">
        <v>4</v>
      </c>
      <c r="G1353" s="124">
        <v>45</v>
      </c>
      <c r="H1353" s="369">
        <v>994.24</v>
      </c>
      <c r="I1353" s="215" t="s">
        <v>723</v>
      </c>
      <c r="J1353" s="215" t="s">
        <v>77</v>
      </c>
      <c r="K1353" s="266">
        <v>49081310202</v>
      </c>
      <c r="L1353" s="265" t="s">
        <v>649</v>
      </c>
      <c r="M1353" s="266">
        <v>40049081310200</v>
      </c>
      <c r="N1353" s="264">
        <v>60.53</v>
      </c>
      <c r="O1353" s="265" t="s">
        <v>649</v>
      </c>
      <c r="P1353" s="265">
        <v>60.53</v>
      </c>
      <c r="Q1353" s="265">
        <v>5.39</v>
      </c>
    </row>
    <row r="1354" spans="1:17" ht="15" customHeight="1">
      <c r="A1354" s="147">
        <v>1400</v>
      </c>
      <c r="B1354" s="51" t="s">
        <v>30</v>
      </c>
      <c r="C1354" s="51" t="s">
        <v>786</v>
      </c>
      <c r="D1354" s="51">
        <v>100027302</v>
      </c>
      <c r="E1354" s="53" t="s">
        <v>787</v>
      </c>
      <c r="F1354" s="124">
        <v>4</v>
      </c>
      <c r="G1354" s="124">
        <v>113</v>
      </c>
      <c r="H1354" s="369">
        <v>754.99</v>
      </c>
      <c r="I1354" s="215" t="s">
        <v>723</v>
      </c>
      <c r="J1354" s="215" t="s">
        <v>77</v>
      </c>
      <c r="K1354" s="266">
        <v>49081310028</v>
      </c>
      <c r="L1354" s="265" t="s">
        <v>649</v>
      </c>
      <c r="M1354" s="266">
        <v>40049081310026</v>
      </c>
      <c r="N1354" s="264">
        <v>18.260000000000002</v>
      </c>
      <c r="O1354" s="265" t="s">
        <v>649</v>
      </c>
      <c r="P1354" s="265">
        <v>18.260000000000002</v>
      </c>
      <c r="Q1354" s="265">
        <v>2.12</v>
      </c>
    </row>
    <row r="1355" spans="1:17" ht="15" customHeight="1">
      <c r="A1355" s="147">
        <v>1403</v>
      </c>
      <c r="B1355" s="51" t="s">
        <v>30</v>
      </c>
      <c r="C1355" s="51" t="s">
        <v>788</v>
      </c>
      <c r="D1355" s="51">
        <v>100027305</v>
      </c>
      <c r="E1355" s="53" t="s">
        <v>789</v>
      </c>
      <c r="F1355" s="124">
        <v>4</v>
      </c>
      <c r="G1355" s="124">
        <v>45</v>
      </c>
      <c r="H1355" s="369">
        <v>1746.87</v>
      </c>
      <c r="I1355" s="215" t="s">
        <v>723</v>
      </c>
      <c r="J1355" s="215" t="s">
        <v>77</v>
      </c>
      <c r="K1355" s="266">
        <v>49081310226</v>
      </c>
      <c r="L1355" s="265" t="s">
        <v>649</v>
      </c>
      <c r="M1355" s="266">
        <v>40049081310224</v>
      </c>
      <c r="N1355" s="264">
        <v>63.54</v>
      </c>
      <c r="O1355" s="265" t="s">
        <v>649</v>
      </c>
      <c r="P1355" s="265">
        <v>63.54</v>
      </c>
      <c r="Q1355" s="265">
        <v>5.39</v>
      </c>
    </row>
    <row r="1356" spans="1:17" ht="15" customHeight="1">
      <c r="A1356" s="147">
        <v>1421</v>
      </c>
      <c r="B1356" s="51" t="s">
        <v>30</v>
      </c>
      <c r="C1356" s="51" t="s">
        <v>790</v>
      </c>
      <c r="D1356" s="51">
        <v>100028578</v>
      </c>
      <c r="E1356" s="53" t="s">
        <v>791</v>
      </c>
      <c r="F1356" s="124">
        <v>1</v>
      </c>
      <c r="G1356" s="124">
        <v>0</v>
      </c>
      <c r="H1356" s="369">
        <v>4.51</v>
      </c>
      <c r="I1356" s="215" t="s">
        <v>347</v>
      </c>
      <c r="J1356" s="215" t="s">
        <v>77</v>
      </c>
      <c r="K1356" s="265" t="s">
        <v>649</v>
      </c>
      <c r="L1356" s="265" t="s">
        <v>649</v>
      </c>
      <c r="M1356" s="265" t="s">
        <v>649</v>
      </c>
      <c r="N1356" s="264">
        <v>0.06</v>
      </c>
      <c r="O1356" s="265" t="s">
        <v>649</v>
      </c>
      <c r="P1356" s="265">
        <v>0.06</v>
      </c>
      <c r="Q1356" s="265" t="s">
        <v>649</v>
      </c>
    </row>
    <row r="1357" spans="1:17" ht="15" customHeight="1">
      <c r="A1357" s="147">
        <v>1424</v>
      </c>
      <c r="B1357" s="51" t="s">
        <v>30</v>
      </c>
      <c r="C1357" s="51" t="s">
        <v>792</v>
      </c>
      <c r="D1357" s="51">
        <v>100028581</v>
      </c>
      <c r="E1357" s="53" t="s">
        <v>793</v>
      </c>
      <c r="F1357" s="124">
        <v>10</v>
      </c>
      <c r="G1357" s="124">
        <v>0</v>
      </c>
      <c r="H1357" s="369">
        <v>8.0500000000000007</v>
      </c>
      <c r="I1357" s="215" t="s">
        <v>347</v>
      </c>
      <c r="J1357" s="215" t="s">
        <v>77</v>
      </c>
      <c r="K1357" s="265" t="s">
        <v>649</v>
      </c>
      <c r="L1357" s="265" t="s">
        <v>649</v>
      </c>
      <c r="M1357" s="265" t="s">
        <v>649</v>
      </c>
      <c r="N1357" s="264">
        <v>0.16</v>
      </c>
      <c r="O1357" s="265" t="s">
        <v>649</v>
      </c>
      <c r="P1357" s="265">
        <v>0.16</v>
      </c>
      <c r="Q1357" s="265" t="s">
        <v>649</v>
      </c>
    </row>
    <row r="1358" spans="1:17" ht="15" customHeight="1">
      <c r="A1358" s="147">
        <v>1429</v>
      </c>
      <c r="B1358" s="51" t="s">
        <v>30</v>
      </c>
      <c r="C1358" s="51" t="s">
        <v>794</v>
      </c>
      <c r="D1358" s="51">
        <v>100028571</v>
      </c>
      <c r="E1358" s="53" t="s">
        <v>795</v>
      </c>
      <c r="F1358" s="124">
        <v>1</v>
      </c>
      <c r="G1358" s="124">
        <v>0</v>
      </c>
      <c r="H1358" s="369">
        <v>76.56</v>
      </c>
      <c r="I1358" s="215" t="s">
        <v>347</v>
      </c>
      <c r="J1358" s="215" t="s">
        <v>77</v>
      </c>
      <c r="K1358" s="265" t="s">
        <v>649</v>
      </c>
      <c r="L1358" s="265" t="s">
        <v>649</v>
      </c>
      <c r="M1358" s="265" t="s">
        <v>649</v>
      </c>
      <c r="N1358" s="264">
        <v>0.46</v>
      </c>
      <c r="O1358" s="265" t="s">
        <v>649</v>
      </c>
      <c r="P1358" s="265">
        <v>0.46</v>
      </c>
      <c r="Q1358" s="265" t="s">
        <v>649</v>
      </c>
    </row>
    <row r="1359" spans="1:17" ht="15" customHeight="1">
      <c r="A1359" s="147">
        <v>1433</v>
      </c>
      <c r="B1359" s="51" t="s">
        <v>5714</v>
      </c>
      <c r="C1359" s="51" t="s">
        <v>798</v>
      </c>
      <c r="D1359" s="51">
        <v>100029248</v>
      </c>
      <c r="E1359" s="53" t="s">
        <v>799</v>
      </c>
      <c r="F1359" s="124">
        <v>30</v>
      </c>
      <c r="G1359" s="124">
        <v>1890</v>
      </c>
      <c r="H1359" s="369">
        <v>10.65</v>
      </c>
      <c r="I1359" s="215" t="s">
        <v>723</v>
      </c>
      <c r="J1359" s="215" t="s">
        <v>102</v>
      </c>
      <c r="K1359" s="266">
        <v>810673010851</v>
      </c>
      <c r="L1359" s="265" t="s">
        <v>649</v>
      </c>
      <c r="M1359" s="266">
        <v>10810673010858</v>
      </c>
      <c r="N1359" s="264">
        <v>0.123</v>
      </c>
      <c r="O1359" s="265" t="s">
        <v>649</v>
      </c>
      <c r="P1359" s="265">
        <v>4.95</v>
      </c>
      <c r="Q1359" s="265">
        <v>0.66940792428507967</v>
      </c>
    </row>
    <row r="1360" spans="1:17" ht="15" customHeight="1">
      <c r="A1360" s="147">
        <v>1434</v>
      </c>
      <c r="B1360" s="51" t="s">
        <v>5714</v>
      </c>
      <c r="C1360" s="51" t="s">
        <v>800</v>
      </c>
      <c r="D1360" s="51">
        <v>100029137</v>
      </c>
      <c r="E1360" s="53" t="s">
        <v>801</v>
      </c>
      <c r="F1360" s="124">
        <v>24</v>
      </c>
      <c r="G1360" s="124">
        <v>1512</v>
      </c>
      <c r="H1360" s="369">
        <v>13.77</v>
      </c>
      <c r="I1360" s="215" t="s">
        <v>76</v>
      </c>
      <c r="J1360" s="215" t="s">
        <v>102</v>
      </c>
      <c r="K1360" s="266">
        <v>816842022595</v>
      </c>
      <c r="L1360" s="265" t="s">
        <v>649</v>
      </c>
      <c r="M1360" s="266">
        <v>816842022601</v>
      </c>
      <c r="N1360" s="264">
        <v>0.26400000000000001</v>
      </c>
      <c r="O1360" s="265" t="s">
        <v>649</v>
      </c>
      <c r="P1360" s="265">
        <v>7.6080000000000005</v>
      </c>
      <c r="Q1360" s="265">
        <v>0.66940792428507967</v>
      </c>
    </row>
    <row r="1361" spans="1:17" ht="15" customHeight="1">
      <c r="A1361" s="147">
        <v>1435</v>
      </c>
      <c r="B1361" s="51" t="s">
        <v>5714</v>
      </c>
      <c r="C1361" s="51" t="s">
        <v>802</v>
      </c>
      <c r="D1361" s="51">
        <v>100029250</v>
      </c>
      <c r="E1361" s="53" t="s">
        <v>803</v>
      </c>
      <c r="F1361" s="124">
        <v>24</v>
      </c>
      <c r="G1361" s="124">
        <v>432</v>
      </c>
      <c r="H1361" s="369">
        <v>50.42</v>
      </c>
      <c r="I1361" s="215" t="s">
        <v>76</v>
      </c>
      <c r="J1361" s="215" t="s">
        <v>102</v>
      </c>
      <c r="K1361" s="266">
        <v>816842022533</v>
      </c>
      <c r="L1361" s="265" t="s">
        <v>649</v>
      </c>
      <c r="M1361" s="266">
        <v>816842022540</v>
      </c>
      <c r="N1361" s="264">
        <v>0.91600000000000004</v>
      </c>
      <c r="O1361" s="265" t="s">
        <v>649</v>
      </c>
      <c r="P1361" s="265">
        <v>23.856000000000002</v>
      </c>
      <c r="Q1361" s="265">
        <v>2.361325291407383</v>
      </c>
    </row>
    <row r="1362" spans="1:17" ht="15" customHeight="1">
      <c r="A1362" s="147">
        <v>1436</v>
      </c>
      <c r="B1362" s="51" t="s">
        <v>5714</v>
      </c>
      <c r="C1362" s="51" t="s">
        <v>804</v>
      </c>
      <c r="D1362" s="51">
        <v>100029249</v>
      </c>
      <c r="E1362" s="53" t="s">
        <v>805</v>
      </c>
      <c r="F1362" s="124">
        <v>6</v>
      </c>
      <c r="G1362" s="124">
        <v>144</v>
      </c>
      <c r="H1362" s="369">
        <v>165.09</v>
      </c>
      <c r="I1362" s="215" t="s">
        <v>76</v>
      </c>
      <c r="J1362" s="215" t="s">
        <v>102</v>
      </c>
      <c r="K1362" s="266">
        <v>812361010334</v>
      </c>
      <c r="L1362" s="265" t="s">
        <v>649</v>
      </c>
      <c r="M1362" s="266">
        <v>812361010341</v>
      </c>
      <c r="N1362" s="264">
        <v>2.2679999999999998</v>
      </c>
      <c r="O1362" s="265" t="s">
        <v>649</v>
      </c>
      <c r="P1362" s="265">
        <v>15.785999999999998</v>
      </c>
      <c r="Q1362" s="265">
        <v>1.8803145838984718</v>
      </c>
    </row>
    <row r="1363" spans="1:17" ht="15" customHeight="1">
      <c r="A1363" s="147">
        <v>1437</v>
      </c>
      <c r="B1363" s="51" t="s">
        <v>5714</v>
      </c>
      <c r="C1363" s="51" t="s">
        <v>806</v>
      </c>
      <c r="D1363" s="51">
        <v>100030865</v>
      </c>
      <c r="E1363" s="53" t="s">
        <v>807</v>
      </c>
      <c r="F1363" s="124">
        <v>30</v>
      </c>
      <c r="G1363" s="124">
        <v>960</v>
      </c>
      <c r="H1363" s="369">
        <v>23.11</v>
      </c>
      <c r="I1363" s="215" t="s">
        <v>346</v>
      </c>
      <c r="J1363" s="215" t="s">
        <v>102</v>
      </c>
      <c r="K1363" s="266">
        <v>816842023011</v>
      </c>
      <c r="L1363" s="265" t="s">
        <v>649</v>
      </c>
      <c r="M1363" s="266">
        <v>816842023028</v>
      </c>
      <c r="N1363" s="264">
        <v>0.47599999999999998</v>
      </c>
      <c r="O1363" s="265" t="s">
        <v>649</v>
      </c>
      <c r="P1363" s="265">
        <v>16.170000000000002</v>
      </c>
      <c r="Q1363" s="265">
        <v>2.7986077527791204</v>
      </c>
    </row>
    <row r="1364" spans="1:17" ht="15" customHeight="1">
      <c r="A1364" s="147">
        <v>1438</v>
      </c>
      <c r="B1364" s="51" t="s">
        <v>5714</v>
      </c>
      <c r="C1364" s="51" t="s">
        <v>808</v>
      </c>
      <c r="D1364" s="51">
        <v>100029319</v>
      </c>
      <c r="E1364" s="53" t="s">
        <v>809</v>
      </c>
      <c r="F1364" s="124">
        <v>20</v>
      </c>
      <c r="G1364" s="124">
        <v>240</v>
      </c>
      <c r="H1364" s="369">
        <v>31.29</v>
      </c>
      <c r="I1364" s="215" t="s">
        <v>76</v>
      </c>
      <c r="J1364" s="215" t="s">
        <v>102</v>
      </c>
      <c r="K1364" s="266">
        <v>816842022373</v>
      </c>
      <c r="L1364" s="265" t="s">
        <v>649</v>
      </c>
      <c r="M1364" s="266">
        <v>816842022380</v>
      </c>
      <c r="N1364" s="264">
        <v>0.85399999999999998</v>
      </c>
      <c r="O1364" s="265" t="s">
        <v>649</v>
      </c>
      <c r="P1364" s="265">
        <v>18.98</v>
      </c>
      <c r="Q1364" s="265">
        <v>2.7986077527791204</v>
      </c>
    </row>
    <row r="1365" spans="1:17" ht="15" customHeight="1">
      <c r="A1365" s="147">
        <v>1439</v>
      </c>
      <c r="B1365" s="51" t="s">
        <v>5714</v>
      </c>
      <c r="C1365" s="51" t="s">
        <v>810</v>
      </c>
      <c r="D1365" s="51">
        <v>100029359</v>
      </c>
      <c r="E1365" s="53" t="s">
        <v>811</v>
      </c>
      <c r="F1365" s="124">
        <v>4</v>
      </c>
      <c r="G1365" s="124">
        <v>96</v>
      </c>
      <c r="H1365" s="369">
        <v>127.57</v>
      </c>
      <c r="I1365" s="215" t="s">
        <v>76</v>
      </c>
      <c r="J1365" s="215" t="s">
        <v>102</v>
      </c>
      <c r="K1365" s="266">
        <v>810673019458</v>
      </c>
      <c r="L1365" s="265" t="s">
        <v>649</v>
      </c>
      <c r="M1365" s="266">
        <v>10810673019455</v>
      </c>
      <c r="N1365" s="264">
        <v>2.3039999999999998</v>
      </c>
      <c r="O1365" s="265" t="s">
        <v>649</v>
      </c>
      <c r="P1365" s="265">
        <v>11.388</v>
      </c>
      <c r="Q1365" s="265">
        <v>1.8803145838984718</v>
      </c>
    </row>
    <row r="1366" spans="1:17" ht="15" customHeight="1">
      <c r="A1366" s="147">
        <v>1440</v>
      </c>
      <c r="B1366" s="51" t="s">
        <v>5714</v>
      </c>
      <c r="C1366" s="51" t="s">
        <v>812</v>
      </c>
      <c r="D1366" s="51">
        <v>100029321</v>
      </c>
      <c r="E1366" s="53" t="s">
        <v>813</v>
      </c>
      <c r="F1366" s="124">
        <v>6</v>
      </c>
      <c r="G1366" s="124">
        <v>72</v>
      </c>
      <c r="H1366" s="369">
        <v>130.32</v>
      </c>
      <c r="I1366" s="215" t="s">
        <v>76</v>
      </c>
      <c r="J1366" s="215" t="s">
        <v>102</v>
      </c>
      <c r="K1366" s="266">
        <v>810673019472</v>
      </c>
      <c r="L1366" s="265" t="s">
        <v>649</v>
      </c>
      <c r="M1366" s="266">
        <v>10810673019479</v>
      </c>
      <c r="N1366" s="264">
        <v>3.0819999999999999</v>
      </c>
      <c r="O1366" s="265" t="s">
        <v>649</v>
      </c>
      <c r="P1366" s="265">
        <v>21.509999999999998</v>
      </c>
      <c r="Q1366" s="265">
        <v>3.6731726755225957</v>
      </c>
    </row>
    <row r="1367" spans="1:17" ht="15" customHeight="1">
      <c r="A1367" s="147">
        <v>1441</v>
      </c>
      <c r="B1367" s="51" t="s">
        <v>5714</v>
      </c>
      <c r="C1367" s="51" t="s">
        <v>814</v>
      </c>
      <c r="D1367" s="51">
        <v>300005878</v>
      </c>
      <c r="E1367" s="53" t="s">
        <v>815</v>
      </c>
      <c r="F1367" s="124">
        <v>4</v>
      </c>
      <c r="G1367" s="124">
        <v>48</v>
      </c>
      <c r="H1367" s="486" t="s">
        <v>5866</v>
      </c>
      <c r="I1367" s="215" t="s">
        <v>816</v>
      </c>
      <c r="J1367" s="215" t="s">
        <v>77</v>
      </c>
      <c r="K1367" s="266">
        <v>810673019496</v>
      </c>
      <c r="L1367" s="265" t="s">
        <v>649</v>
      </c>
      <c r="M1367" s="265" t="s">
        <v>649</v>
      </c>
      <c r="N1367" s="264">
        <v>4.83</v>
      </c>
      <c r="O1367" s="265" t="s">
        <v>649</v>
      </c>
      <c r="P1367" s="265">
        <v>19.32</v>
      </c>
      <c r="Q1367" s="265" t="s">
        <v>649</v>
      </c>
    </row>
    <row r="1368" spans="1:17" ht="15" customHeight="1">
      <c r="A1368" s="147">
        <v>1442</v>
      </c>
      <c r="B1368" s="51" t="s">
        <v>5714</v>
      </c>
      <c r="C1368" s="51" t="s">
        <v>817</v>
      </c>
      <c r="D1368" s="51">
        <v>100029322</v>
      </c>
      <c r="E1368" s="53" t="s">
        <v>818</v>
      </c>
      <c r="F1368" s="124">
        <v>2</v>
      </c>
      <c r="G1368" s="124">
        <v>24</v>
      </c>
      <c r="H1368" s="369">
        <v>532.15</v>
      </c>
      <c r="I1368" s="215" t="s">
        <v>346</v>
      </c>
      <c r="J1368" s="215" t="s">
        <v>102</v>
      </c>
      <c r="K1368" s="266">
        <v>810673019533</v>
      </c>
      <c r="L1368" s="265" t="s">
        <v>649</v>
      </c>
      <c r="M1368" s="266">
        <v>812361011997</v>
      </c>
      <c r="N1368" s="264">
        <v>6.74</v>
      </c>
      <c r="O1368" s="265" t="s">
        <v>649</v>
      </c>
      <c r="P1368" s="265">
        <v>16.494</v>
      </c>
      <c r="Q1368" s="265">
        <v>3.6731726755225957</v>
      </c>
    </row>
    <row r="1369" spans="1:17" ht="15" customHeight="1">
      <c r="A1369" s="147">
        <v>1443</v>
      </c>
      <c r="B1369" s="51" t="s">
        <v>5714</v>
      </c>
      <c r="C1369" s="51" t="s">
        <v>819</v>
      </c>
      <c r="D1369" s="51">
        <v>100030866</v>
      </c>
      <c r="E1369" s="53" t="s">
        <v>820</v>
      </c>
      <c r="F1369" s="124">
        <v>24</v>
      </c>
      <c r="G1369" s="124">
        <v>768</v>
      </c>
      <c r="H1369" s="369">
        <v>49.01</v>
      </c>
      <c r="I1369" s="215" t="s">
        <v>346</v>
      </c>
      <c r="J1369" s="215" t="s">
        <v>102</v>
      </c>
      <c r="K1369" s="266">
        <v>816842022793</v>
      </c>
      <c r="L1369" s="265" t="s">
        <v>649</v>
      </c>
      <c r="M1369" s="266">
        <v>816842022809</v>
      </c>
      <c r="N1369" s="264">
        <v>0.58599999999999997</v>
      </c>
      <c r="O1369" s="265" t="s">
        <v>649</v>
      </c>
      <c r="P1369" s="265">
        <v>15.984000000000002</v>
      </c>
      <c r="Q1369" s="265">
        <v>2.7986077527791204</v>
      </c>
    </row>
    <row r="1370" spans="1:17" ht="15" customHeight="1">
      <c r="A1370" s="147">
        <v>1444</v>
      </c>
      <c r="B1370" s="51" t="s">
        <v>5714</v>
      </c>
      <c r="C1370" s="51" t="s">
        <v>821</v>
      </c>
      <c r="D1370" s="51">
        <v>100029382</v>
      </c>
      <c r="E1370" s="53" t="s">
        <v>822</v>
      </c>
      <c r="F1370" s="124">
        <v>18</v>
      </c>
      <c r="G1370" s="124">
        <v>216</v>
      </c>
      <c r="H1370" s="369">
        <v>50.3</v>
      </c>
      <c r="I1370" s="215" t="s">
        <v>76</v>
      </c>
      <c r="J1370" s="215" t="s">
        <v>102</v>
      </c>
      <c r="K1370" s="266">
        <v>816842022410</v>
      </c>
      <c r="L1370" s="265" t="s">
        <v>649</v>
      </c>
      <c r="M1370" s="266">
        <v>816842022427</v>
      </c>
      <c r="N1370" s="264">
        <v>1.077</v>
      </c>
      <c r="O1370" s="265" t="s">
        <v>649</v>
      </c>
      <c r="P1370" s="265">
        <v>22.428000000000001</v>
      </c>
      <c r="Q1370" s="265">
        <v>3.6731726755225957</v>
      </c>
    </row>
    <row r="1371" spans="1:17" ht="15" customHeight="1">
      <c r="A1371" s="147">
        <v>1445</v>
      </c>
      <c r="B1371" s="51" t="s">
        <v>5714</v>
      </c>
      <c r="C1371" s="51" t="s">
        <v>823</v>
      </c>
      <c r="D1371" s="51">
        <v>300005528</v>
      </c>
      <c r="E1371" s="53" t="s">
        <v>824</v>
      </c>
      <c r="F1371" s="124">
        <v>5</v>
      </c>
      <c r="G1371" s="124">
        <v>60</v>
      </c>
      <c r="H1371" s="486" t="s">
        <v>5866</v>
      </c>
      <c r="I1371" s="215" t="s">
        <v>816</v>
      </c>
      <c r="J1371" s="215" t="s">
        <v>77</v>
      </c>
      <c r="K1371" s="266">
        <v>812361014271</v>
      </c>
      <c r="L1371" s="265" t="s">
        <v>649</v>
      </c>
      <c r="M1371" s="265" t="s">
        <v>649</v>
      </c>
      <c r="N1371" s="264">
        <v>3.12</v>
      </c>
      <c r="O1371" s="265" t="s">
        <v>649</v>
      </c>
      <c r="P1371" s="265">
        <v>15.600000000000001</v>
      </c>
      <c r="Q1371" s="265" t="s">
        <v>649</v>
      </c>
    </row>
    <row r="1372" spans="1:17" ht="15" customHeight="1">
      <c r="A1372" s="147">
        <v>1446</v>
      </c>
      <c r="B1372" s="51" t="s">
        <v>5714</v>
      </c>
      <c r="C1372" s="51" t="s">
        <v>825</v>
      </c>
      <c r="D1372" s="51">
        <v>100029389</v>
      </c>
      <c r="E1372" s="53" t="s">
        <v>826</v>
      </c>
      <c r="F1372" s="124">
        <v>2</v>
      </c>
      <c r="G1372" s="124">
        <v>36</v>
      </c>
      <c r="H1372" s="369">
        <v>344.78</v>
      </c>
      <c r="I1372" s="215" t="s">
        <v>76</v>
      </c>
      <c r="J1372" s="215" t="s">
        <v>102</v>
      </c>
      <c r="K1372" s="266">
        <v>812361014257</v>
      </c>
      <c r="L1372" s="265" t="s">
        <v>649</v>
      </c>
      <c r="M1372" s="266">
        <v>10812361014254</v>
      </c>
      <c r="N1372" s="264">
        <v>3.6760000000000002</v>
      </c>
      <c r="O1372" s="265" t="s">
        <v>649</v>
      </c>
      <c r="P1372" s="265">
        <v>9.2040000000000006</v>
      </c>
      <c r="Q1372" s="265">
        <v>2.361325291407383</v>
      </c>
    </row>
    <row r="1373" spans="1:17" ht="15" customHeight="1">
      <c r="A1373" s="147">
        <v>1447</v>
      </c>
      <c r="B1373" s="51" t="s">
        <v>5714</v>
      </c>
      <c r="C1373" s="51" t="s">
        <v>827</v>
      </c>
      <c r="D1373" s="51">
        <v>300005564</v>
      </c>
      <c r="E1373" s="53" t="s">
        <v>828</v>
      </c>
      <c r="F1373" s="124">
        <v>4</v>
      </c>
      <c r="G1373" s="124">
        <v>30</v>
      </c>
      <c r="H1373" s="486" t="s">
        <v>5866</v>
      </c>
      <c r="I1373" s="215" t="s">
        <v>816</v>
      </c>
      <c r="J1373" s="215" t="s">
        <v>77</v>
      </c>
      <c r="K1373" s="266">
        <v>812361014707</v>
      </c>
      <c r="L1373" s="265" t="s">
        <v>649</v>
      </c>
      <c r="M1373" s="265" t="s">
        <v>649</v>
      </c>
      <c r="N1373" s="264">
        <v>5.8</v>
      </c>
      <c r="O1373" s="265" t="s">
        <v>649</v>
      </c>
      <c r="P1373" s="265">
        <v>23.2</v>
      </c>
      <c r="Q1373" s="265" t="s">
        <v>649</v>
      </c>
    </row>
    <row r="1374" spans="1:17" ht="15" customHeight="1">
      <c r="A1374" s="147">
        <v>1448</v>
      </c>
      <c r="B1374" s="51" t="s">
        <v>5714</v>
      </c>
      <c r="C1374" s="51" t="s">
        <v>829</v>
      </c>
      <c r="D1374" s="51">
        <v>300005574</v>
      </c>
      <c r="E1374" s="53" t="s">
        <v>830</v>
      </c>
      <c r="F1374" s="124">
        <v>2</v>
      </c>
      <c r="G1374" s="124" t="s">
        <v>649</v>
      </c>
      <c r="H1374" s="486" t="s">
        <v>5866</v>
      </c>
      <c r="I1374" s="215" t="s">
        <v>816</v>
      </c>
      <c r="J1374" s="215" t="s">
        <v>77</v>
      </c>
      <c r="K1374" s="266">
        <v>812361014721</v>
      </c>
      <c r="L1374" s="265" t="s">
        <v>649</v>
      </c>
      <c r="M1374" s="265" t="s">
        <v>649</v>
      </c>
      <c r="N1374" s="264">
        <v>7.54</v>
      </c>
      <c r="O1374" s="265" t="s">
        <v>649</v>
      </c>
      <c r="P1374" s="265">
        <v>15.08</v>
      </c>
      <c r="Q1374" s="265" t="s">
        <v>649</v>
      </c>
    </row>
    <row r="1375" spans="1:17" ht="15" customHeight="1">
      <c r="A1375" s="147">
        <v>1449</v>
      </c>
      <c r="B1375" s="51" t="s">
        <v>5714</v>
      </c>
      <c r="C1375" s="51" t="s">
        <v>831</v>
      </c>
      <c r="D1375" s="51">
        <v>300005549</v>
      </c>
      <c r="E1375" s="53" t="s">
        <v>832</v>
      </c>
      <c r="F1375" s="124">
        <v>2</v>
      </c>
      <c r="G1375" s="124" t="s">
        <v>649</v>
      </c>
      <c r="H1375" s="486" t="s">
        <v>5866</v>
      </c>
      <c r="I1375" s="215" t="s">
        <v>816</v>
      </c>
      <c r="J1375" s="215" t="s">
        <v>77</v>
      </c>
      <c r="K1375" s="266">
        <v>812361014684</v>
      </c>
      <c r="L1375" s="265" t="s">
        <v>649</v>
      </c>
      <c r="M1375" s="265" t="s">
        <v>649</v>
      </c>
      <c r="N1375" s="264">
        <v>9.6</v>
      </c>
      <c r="O1375" s="265" t="s">
        <v>649</v>
      </c>
      <c r="P1375" s="265">
        <v>19.2</v>
      </c>
      <c r="Q1375" s="265" t="s">
        <v>649</v>
      </c>
    </row>
    <row r="1376" spans="1:17" ht="15" customHeight="1">
      <c r="A1376" s="147">
        <v>1450</v>
      </c>
      <c r="B1376" s="51" t="s">
        <v>5714</v>
      </c>
      <c r="C1376" s="51" t="s">
        <v>833</v>
      </c>
      <c r="D1376" s="51">
        <v>100029381</v>
      </c>
      <c r="E1376" s="53" t="s">
        <v>834</v>
      </c>
      <c r="F1376" s="124">
        <v>12</v>
      </c>
      <c r="G1376" s="124">
        <v>216</v>
      </c>
      <c r="H1376" s="369">
        <v>92.12</v>
      </c>
      <c r="I1376" s="215" t="s">
        <v>76</v>
      </c>
      <c r="J1376" s="215" t="s">
        <v>102</v>
      </c>
      <c r="K1376" s="266">
        <v>810673019557</v>
      </c>
      <c r="L1376" s="265" t="s">
        <v>649</v>
      </c>
      <c r="M1376" s="266">
        <v>10810673019554</v>
      </c>
      <c r="N1376" s="264">
        <v>0.97599999999999998</v>
      </c>
      <c r="O1376" s="265" t="s">
        <v>649</v>
      </c>
      <c r="P1376" s="265">
        <v>13.559999999999999</v>
      </c>
      <c r="Q1376" s="265">
        <v>2.361325291407383</v>
      </c>
    </row>
    <row r="1377" spans="1:17" ht="15" customHeight="1">
      <c r="A1377" s="147">
        <v>1451</v>
      </c>
      <c r="B1377" s="51" t="s">
        <v>5714</v>
      </c>
      <c r="C1377" s="51" t="s">
        <v>835</v>
      </c>
      <c r="D1377" s="51">
        <v>100029136</v>
      </c>
      <c r="E1377" s="53" t="s">
        <v>836</v>
      </c>
      <c r="F1377" s="124">
        <v>16</v>
      </c>
      <c r="G1377" s="124">
        <v>192</v>
      </c>
      <c r="H1377" s="369">
        <v>43.42</v>
      </c>
      <c r="I1377" s="215" t="s">
        <v>76</v>
      </c>
      <c r="J1377" s="215" t="s">
        <v>102</v>
      </c>
      <c r="K1377" s="266">
        <v>816842022397</v>
      </c>
      <c r="L1377" s="265" t="s">
        <v>649</v>
      </c>
      <c r="M1377" s="266">
        <v>816842022403</v>
      </c>
      <c r="N1377" s="264">
        <v>1.1879999999999999</v>
      </c>
      <c r="O1377" s="265" t="s">
        <v>649</v>
      </c>
      <c r="P1377" s="265">
        <v>22.047999999999998</v>
      </c>
      <c r="Q1377" s="265">
        <v>3.6731726755225957</v>
      </c>
    </row>
    <row r="1378" spans="1:17" ht="15" customHeight="1">
      <c r="A1378" s="147">
        <v>1452</v>
      </c>
      <c r="B1378" s="51" t="s">
        <v>5714</v>
      </c>
      <c r="C1378" s="51" t="s">
        <v>837</v>
      </c>
      <c r="D1378" s="51">
        <v>100029358</v>
      </c>
      <c r="E1378" s="53" t="s">
        <v>838</v>
      </c>
      <c r="F1378" s="124">
        <v>7</v>
      </c>
      <c r="G1378" s="124">
        <v>84</v>
      </c>
      <c r="H1378" s="369">
        <v>160.61000000000001</v>
      </c>
      <c r="I1378" s="215" t="s">
        <v>76</v>
      </c>
      <c r="J1378" s="215" t="s">
        <v>102</v>
      </c>
      <c r="K1378" s="266">
        <v>816842022557</v>
      </c>
      <c r="L1378" s="265" t="s">
        <v>649</v>
      </c>
      <c r="M1378" s="266">
        <v>816842022564</v>
      </c>
      <c r="N1378" s="264">
        <v>3.09</v>
      </c>
      <c r="O1378" s="265" t="s">
        <v>649</v>
      </c>
      <c r="P1378" s="265">
        <v>24.646999999999998</v>
      </c>
      <c r="Q1378" s="265">
        <v>3.6731726755225957</v>
      </c>
    </row>
    <row r="1379" spans="1:17" ht="15" customHeight="1">
      <c r="A1379" s="147">
        <v>1453</v>
      </c>
      <c r="B1379" s="51" t="s">
        <v>5714</v>
      </c>
      <c r="C1379" s="51" t="s">
        <v>839</v>
      </c>
      <c r="D1379" s="51">
        <v>100029320</v>
      </c>
      <c r="E1379" s="53" t="s">
        <v>840</v>
      </c>
      <c r="F1379" s="124">
        <v>4</v>
      </c>
      <c r="G1379" s="124">
        <v>48</v>
      </c>
      <c r="H1379" s="369">
        <v>184.24</v>
      </c>
      <c r="I1379" s="215" t="s">
        <v>76</v>
      </c>
      <c r="J1379" s="215" t="s">
        <v>102</v>
      </c>
      <c r="K1379" s="266">
        <v>816842022496</v>
      </c>
      <c r="L1379" s="265" t="s">
        <v>649</v>
      </c>
      <c r="M1379" s="266">
        <v>816842022502</v>
      </c>
      <c r="N1379" s="264">
        <v>4.4420000000000002</v>
      </c>
      <c r="O1379" s="265" t="s">
        <v>649</v>
      </c>
      <c r="P1379" s="265">
        <v>20.783999999999999</v>
      </c>
      <c r="Q1379" s="265">
        <v>3.6731726755225957</v>
      </c>
    </row>
    <row r="1380" spans="1:17" ht="15" customHeight="1">
      <c r="A1380" s="147">
        <v>1454</v>
      </c>
      <c r="B1380" s="51" t="s">
        <v>5714</v>
      </c>
      <c r="C1380" s="51" t="s">
        <v>841</v>
      </c>
      <c r="D1380" s="51">
        <v>300005879</v>
      </c>
      <c r="E1380" s="53" t="s">
        <v>842</v>
      </c>
      <c r="F1380" s="124">
        <v>3</v>
      </c>
      <c r="G1380" s="124">
        <v>36</v>
      </c>
      <c r="H1380" s="486" t="s">
        <v>5866</v>
      </c>
      <c r="I1380" s="215" t="s">
        <v>816</v>
      </c>
      <c r="J1380" s="215" t="s">
        <v>77</v>
      </c>
      <c r="K1380" s="266">
        <v>810673019373</v>
      </c>
      <c r="L1380" s="265" t="s">
        <v>649</v>
      </c>
      <c r="M1380" s="265" t="s">
        <v>649</v>
      </c>
      <c r="N1380" s="264">
        <v>6.3</v>
      </c>
      <c r="O1380" s="265" t="s">
        <v>649</v>
      </c>
      <c r="P1380" s="265">
        <v>18.899999999999999</v>
      </c>
      <c r="Q1380" s="265" t="s">
        <v>649</v>
      </c>
    </row>
    <row r="1381" spans="1:17" ht="15" customHeight="1">
      <c r="A1381" s="147">
        <v>1455</v>
      </c>
      <c r="B1381" s="51" t="s">
        <v>5714</v>
      </c>
      <c r="C1381" s="51" t="s">
        <v>843</v>
      </c>
      <c r="D1381" s="51">
        <v>300005881</v>
      </c>
      <c r="E1381" s="53" t="s">
        <v>844</v>
      </c>
      <c r="F1381" s="124">
        <v>2</v>
      </c>
      <c r="G1381" s="124">
        <v>24</v>
      </c>
      <c r="H1381" s="486" t="s">
        <v>5866</v>
      </c>
      <c r="I1381" s="215" t="s">
        <v>816</v>
      </c>
      <c r="J1381" s="215" t="s">
        <v>77</v>
      </c>
      <c r="K1381" s="266">
        <v>810673019397</v>
      </c>
      <c r="L1381" s="265" t="s">
        <v>649</v>
      </c>
      <c r="M1381" s="265" t="s">
        <v>649</v>
      </c>
      <c r="N1381" s="264">
        <v>7.04</v>
      </c>
      <c r="O1381" s="265" t="s">
        <v>649</v>
      </c>
      <c r="P1381" s="265">
        <v>14.08</v>
      </c>
      <c r="Q1381" s="265" t="s">
        <v>649</v>
      </c>
    </row>
    <row r="1382" spans="1:17" ht="15" customHeight="1">
      <c r="A1382" s="147">
        <v>1456</v>
      </c>
      <c r="B1382" s="51" t="s">
        <v>5714</v>
      </c>
      <c r="C1382" s="51" t="s">
        <v>845</v>
      </c>
      <c r="D1382" s="51">
        <v>300005552</v>
      </c>
      <c r="E1382" s="53" t="s">
        <v>846</v>
      </c>
      <c r="F1382" s="124">
        <v>2</v>
      </c>
      <c r="G1382" s="124" t="s">
        <v>649</v>
      </c>
      <c r="H1382" s="486" t="s">
        <v>5866</v>
      </c>
      <c r="I1382" s="215" t="s">
        <v>816</v>
      </c>
      <c r="J1382" s="215" t="s">
        <v>77</v>
      </c>
      <c r="K1382" s="266">
        <v>812361014745</v>
      </c>
      <c r="L1382" s="265" t="s">
        <v>649</v>
      </c>
      <c r="M1382" s="265" t="s">
        <v>649</v>
      </c>
      <c r="N1382" s="264">
        <v>11.84</v>
      </c>
      <c r="O1382" s="265" t="s">
        <v>649</v>
      </c>
      <c r="P1382" s="265">
        <v>23.68</v>
      </c>
      <c r="Q1382" s="265" t="s">
        <v>649</v>
      </c>
    </row>
    <row r="1383" spans="1:17" ht="15" customHeight="1">
      <c r="A1383" s="147">
        <v>1457</v>
      </c>
      <c r="B1383" s="51" t="s">
        <v>5714</v>
      </c>
      <c r="C1383" s="51" t="s">
        <v>847</v>
      </c>
      <c r="D1383" s="51">
        <v>300005876</v>
      </c>
      <c r="E1383" s="53" t="s">
        <v>848</v>
      </c>
      <c r="F1383" s="124">
        <v>4</v>
      </c>
      <c r="G1383" s="124">
        <v>48</v>
      </c>
      <c r="H1383" s="486" t="s">
        <v>5866</v>
      </c>
      <c r="I1383" s="215" t="s">
        <v>816</v>
      </c>
      <c r="J1383" s="215" t="s">
        <v>77</v>
      </c>
      <c r="K1383" s="266">
        <v>812361015346</v>
      </c>
      <c r="L1383" s="265" t="s">
        <v>649</v>
      </c>
      <c r="M1383" s="265" t="s">
        <v>649</v>
      </c>
      <c r="N1383" s="264">
        <v>4.4000000000000004</v>
      </c>
      <c r="O1383" s="265" t="s">
        <v>649</v>
      </c>
      <c r="P1383" s="265">
        <v>17.600000000000001</v>
      </c>
      <c r="Q1383" s="265" t="s">
        <v>649</v>
      </c>
    </row>
    <row r="1384" spans="1:17" ht="15" customHeight="1">
      <c r="A1384" s="147">
        <v>1458</v>
      </c>
      <c r="B1384" s="51" t="s">
        <v>5714</v>
      </c>
      <c r="C1384" s="51" t="s">
        <v>849</v>
      </c>
      <c r="D1384" s="51">
        <v>300005777</v>
      </c>
      <c r="E1384" s="53" t="s">
        <v>850</v>
      </c>
      <c r="F1384" s="124">
        <v>3</v>
      </c>
      <c r="G1384" s="124">
        <v>54</v>
      </c>
      <c r="H1384" s="486" t="s">
        <v>5866</v>
      </c>
      <c r="I1384" s="215" t="s">
        <v>816</v>
      </c>
      <c r="J1384" s="215" t="s">
        <v>77</v>
      </c>
      <c r="K1384" s="266">
        <v>816842021161</v>
      </c>
      <c r="L1384" s="265" t="s">
        <v>649</v>
      </c>
      <c r="M1384" s="265" t="s">
        <v>649</v>
      </c>
      <c r="N1384" s="264">
        <v>3.45</v>
      </c>
      <c r="O1384" s="265" t="s">
        <v>649</v>
      </c>
      <c r="P1384" s="265">
        <v>10.350000000000001</v>
      </c>
      <c r="Q1384" s="265" t="s">
        <v>649</v>
      </c>
    </row>
    <row r="1385" spans="1:17" ht="15" customHeight="1">
      <c r="A1385" s="147">
        <v>1459</v>
      </c>
      <c r="B1385" s="51" t="s">
        <v>5714</v>
      </c>
      <c r="C1385" s="51" t="s">
        <v>851</v>
      </c>
      <c r="D1385" s="51">
        <v>300005779</v>
      </c>
      <c r="E1385" s="53" t="s">
        <v>852</v>
      </c>
      <c r="F1385" s="124">
        <v>3</v>
      </c>
      <c r="G1385" s="124">
        <v>54</v>
      </c>
      <c r="H1385" s="486" t="s">
        <v>5866</v>
      </c>
      <c r="I1385" s="215" t="s">
        <v>816</v>
      </c>
      <c r="J1385" s="215" t="s">
        <v>77</v>
      </c>
      <c r="K1385" s="266">
        <v>812361015629</v>
      </c>
      <c r="L1385" s="265" t="s">
        <v>649</v>
      </c>
      <c r="M1385" s="265" t="s">
        <v>649</v>
      </c>
      <c r="N1385" s="264">
        <v>2.88</v>
      </c>
      <c r="O1385" s="265" t="s">
        <v>649</v>
      </c>
      <c r="P1385" s="265">
        <v>8.64</v>
      </c>
      <c r="Q1385" s="265" t="s">
        <v>649</v>
      </c>
    </row>
    <row r="1386" spans="1:17" ht="15" customHeight="1">
      <c r="A1386" s="147">
        <v>1460</v>
      </c>
      <c r="B1386" s="51" t="s">
        <v>5714</v>
      </c>
      <c r="C1386" s="51" t="s">
        <v>853</v>
      </c>
      <c r="D1386" s="51">
        <v>100029419</v>
      </c>
      <c r="E1386" s="53" t="s">
        <v>854</v>
      </c>
      <c r="F1386" s="124">
        <v>10</v>
      </c>
      <c r="G1386" s="124">
        <v>180</v>
      </c>
      <c r="H1386" s="369">
        <v>89.86</v>
      </c>
      <c r="I1386" s="215" t="s">
        <v>76</v>
      </c>
      <c r="J1386" s="215" t="s">
        <v>102</v>
      </c>
      <c r="K1386" s="266">
        <v>812361010600</v>
      </c>
      <c r="L1386" s="265" t="s">
        <v>649</v>
      </c>
      <c r="M1386" s="266">
        <v>10812361010607</v>
      </c>
      <c r="N1386" s="264">
        <v>1.226</v>
      </c>
      <c r="O1386" s="265" t="s">
        <v>649</v>
      </c>
      <c r="P1386" s="265">
        <v>14.030000000000001</v>
      </c>
      <c r="Q1386" s="265">
        <v>2.361325291407383</v>
      </c>
    </row>
    <row r="1387" spans="1:17" ht="15" customHeight="1">
      <c r="A1387" s="147">
        <v>1461</v>
      </c>
      <c r="B1387" s="51" t="s">
        <v>5714</v>
      </c>
      <c r="C1387" s="51" t="s">
        <v>855</v>
      </c>
      <c r="D1387" s="51">
        <v>300005515</v>
      </c>
      <c r="E1387" s="53" t="s">
        <v>856</v>
      </c>
      <c r="F1387" s="124">
        <v>3</v>
      </c>
      <c r="G1387" s="124" t="s">
        <v>649</v>
      </c>
      <c r="H1387" s="486" t="s">
        <v>5866</v>
      </c>
      <c r="I1387" s="215" t="s">
        <v>816</v>
      </c>
      <c r="J1387" s="215" t="s">
        <v>77</v>
      </c>
      <c r="K1387" s="265" t="s">
        <v>649</v>
      </c>
      <c r="L1387" s="265" t="s">
        <v>649</v>
      </c>
      <c r="M1387" s="265" t="s">
        <v>649</v>
      </c>
      <c r="N1387" s="264">
        <v>4.68</v>
      </c>
      <c r="O1387" s="265" t="s">
        <v>649</v>
      </c>
      <c r="P1387" s="265">
        <v>14.04</v>
      </c>
      <c r="Q1387" s="265" t="s">
        <v>649</v>
      </c>
    </row>
    <row r="1388" spans="1:17" ht="15" customHeight="1">
      <c r="A1388" s="147">
        <v>1462</v>
      </c>
      <c r="B1388" s="51" t="s">
        <v>5714</v>
      </c>
      <c r="C1388" s="51" t="s">
        <v>857</v>
      </c>
      <c r="D1388" s="51">
        <v>300005743</v>
      </c>
      <c r="E1388" s="53" t="s">
        <v>858</v>
      </c>
      <c r="F1388" s="124">
        <v>30</v>
      </c>
      <c r="G1388" s="124">
        <v>480</v>
      </c>
      <c r="H1388" s="486" t="s">
        <v>5866</v>
      </c>
      <c r="I1388" s="215" t="s">
        <v>346</v>
      </c>
      <c r="J1388" s="215" t="s">
        <v>77</v>
      </c>
      <c r="K1388" s="265" t="s">
        <v>649</v>
      </c>
      <c r="L1388" s="265" t="s">
        <v>649</v>
      </c>
      <c r="M1388" s="265" t="s">
        <v>649</v>
      </c>
      <c r="N1388" s="264">
        <v>2.54</v>
      </c>
      <c r="O1388" s="265" t="s">
        <v>649</v>
      </c>
      <c r="P1388" s="265">
        <v>76.2</v>
      </c>
      <c r="Q1388" s="265" t="s">
        <v>649</v>
      </c>
    </row>
    <row r="1389" spans="1:17" ht="15" customHeight="1">
      <c r="A1389" s="147">
        <v>1463</v>
      </c>
      <c r="B1389" s="51" t="s">
        <v>5714</v>
      </c>
      <c r="C1389" s="51" t="s">
        <v>859</v>
      </c>
      <c r="D1389" s="51">
        <v>100030934</v>
      </c>
      <c r="E1389" s="53" t="s">
        <v>860</v>
      </c>
      <c r="F1389" s="124">
        <v>24</v>
      </c>
      <c r="G1389" s="124">
        <v>576</v>
      </c>
      <c r="H1389" s="369">
        <v>79</v>
      </c>
      <c r="I1389" s="215" t="s">
        <v>76</v>
      </c>
      <c r="J1389" s="215" t="s">
        <v>102</v>
      </c>
      <c r="K1389" s="266">
        <v>816842021147</v>
      </c>
      <c r="L1389" s="265" t="s">
        <v>649</v>
      </c>
      <c r="M1389" s="266">
        <v>10816842021144</v>
      </c>
      <c r="N1389" s="264">
        <v>1</v>
      </c>
      <c r="O1389" s="265" t="s">
        <v>649</v>
      </c>
      <c r="P1389" s="265">
        <v>26.208000000000002</v>
      </c>
      <c r="Q1389" s="265">
        <v>1.8803145838984718</v>
      </c>
    </row>
    <row r="1390" spans="1:17" ht="15" customHeight="1">
      <c r="A1390" s="147">
        <v>1464</v>
      </c>
      <c r="B1390" s="51" t="s">
        <v>5714</v>
      </c>
      <c r="C1390" s="51" t="s">
        <v>861</v>
      </c>
      <c r="D1390" s="51">
        <v>100030936</v>
      </c>
      <c r="E1390" s="53" t="s">
        <v>862</v>
      </c>
      <c r="F1390" s="124">
        <v>16</v>
      </c>
      <c r="G1390" s="124">
        <v>192</v>
      </c>
      <c r="H1390" s="369">
        <v>273.19</v>
      </c>
      <c r="I1390" s="215" t="s">
        <v>76</v>
      </c>
      <c r="J1390" s="215" t="s">
        <v>102</v>
      </c>
      <c r="K1390" s="266">
        <v>816842021154</v>
      </c>
      <c r="L1390" s="265" t="s">
        <v>649</v>
      </c>
      <c r="M1390" s="266">
        <v>812361015957</v>
      </c>
      <c r="N1390" s="264">
        <v>2.0539999999999998</v>
      </c>
      <c r="O1390" s="265" t="s">
        <v>649</v>
      </c>
      <c r="P1390" s="265">
        <v>35.904000000000003</v>
      </c>
      <c r="Q1390" s="265">
        <v>3.6731726755225957</v>
      </c>
    </row>
    <row r="1391" spans="1:17" ht="15" customHeight="1">
      <c r="A1391" s="147">
        <v>1465</v>
      </c>
      <c r="B1391" s="51" t="s">
        <v>5714</v>
      </c>
      <c r="C1391" s="51" t="s">
        <v>863</v>
      </c>
      <c r="D1391" s="51">
        <v>300005480</v>
      </c>
      <c r="E1391" s="53" t="s">
        <v>864</v>
      </c>
      <c r="F1391" s="124">
        <v>24</v>
      </c>
      <c r="G1391" s="124" t="s">
        <v>649</v>
      </c>
      <c r="H1391" s="486" t="s">
        <v>5866</v>
      </c>
      <c r="I1391" s="215" t="s">
        <v>816</v>
      </c>
      <c r="J1391" s="215" t="s">
        <v>77</v>
      </c>
      <c r="K1391" s="266">
        <v>816842022083</v>
      </c>
      <c r="L1391" s="265" t="s">
        <v>649</v>
      </c>
      <c r="M1391" s="265" t="s">
        <v>649</v>
      </c>
      <c r="N1391" s="264">
        <v>0.34</v>
      </c>
      <c r="O1391" s="265" t="s">
        <v>649</v>
      </c>
      <c r="P1391" s="265">
        <v>8.16</v>
      </c>
      <c r="Q1391" s="265" t="s">
        <v>649</v>
      </c>
    </row>
    <row r="1392" spans="1:17" ht="15" customHeight="1">
      <c r="A1392" s="147">
        <v>1466</v>
      </c>
      <c r="B1392" s="51" t="s">
        <v>5714</v>
      </c>
      <c r="C1392" s="51" t="s">
        <v>865</v>
      </c>
      <c r="D1392" s="51">
        <v>300005752</v>
      </c>
      <c r="E1392" s="53" t="s">
        <v>866</v>
      </c>
      <c r="F1392" s="124">
        <v>25</v>
      </c>
      <c r="G1392" s="124">
        <v>2400</v>
      </c>
      <c r="H1392" s="486" t="s">
        <v>5866</v>
      </c>
      <c r="I1392" s="215" t="s">
        <v>816</v>
      </c>
      <c r="J1392" s="215" t="s">
        <v>77</v>
      </c>
      <c r="K1392" s="266">
        <v>810673012480</v>
      </c>
      <c r="L1392" s="265" t="s">
        <v>649</v>
      </c>
      <c r="M1392" s="266">
        <v>10810673012487</v>
      </c>
      <c r="N1392" s="264">
        <v>0.33</v>
      </c>
      <c r="O1392" s="265" t="s">
        <v>649</v>
      </c>
      <c r="P1392" s="265">
        <v>8.25</v>
      </c>
      <c r="Q1392" s="265" t="s">
        <v>649</v>
      </c>
    </row>
    <row r="1393" spans="1:17" ht="15" customHeight="1">
      <c r="A1393" s="147">
        <v>1467</v>
      </c>
      <c r="B1393" s="51" t="s">
        <v>5714</v>
      </c>
      <c r="C1393" s="51" t="s">
        <v>867</v>
      </c>
      <c r="D1393" s="51">
        <v>100030860</v>
      </c>
      <c r="E1393" s="53" t="s">
        <v>868</v>
      </c>
      <c r="F1393" s="124">
        <v>25</v>
      </c>
      <c r="G1393" s="124">
        <v>1800</v>
      </c>
      <c r="H1393" s="369">
        <v>29.94</v>
      </c>
      <c r="I1393" s="215" t="s">
        <v>76</v>
      </c>
      <c r="J1393" s="215" t="s">
        <v>102</v>
      </c>
      <c r="K1393" s="266">
        <v>812361012079</v>
      </c>
      <c r="L1393" s="265" t="s">
        <v>649</v>
      </c>
      <c r="M1393" s="266">
        <v>816842020102</v>
      </c>
      <c r="N1393" s="264">
        <v>0.216</v>
      </c>
      <c r="O1393" s="265" t="s">
        <v>649</v>
      </c>
      <c r="P1393" s="265">
        <v>6.6000000000000005</v>
      </c>
      <c r="Q1393" s="265">
        <v>0.98955954024750914</v>
      </c>
    </row>
    <row r="1394" spans="1:17" ht="15" customHeight="1">
      <c r="A1394" s="147">
        <v>1468</v>
      </c>
      <c r="B1394" s="51" t="s">
        <v>5714</v>
      </c>
      <c r="C1394" s="51" t="s">
        <v>869</v>
      </c>
      <c r="D1394" s="51">
        <v>300005499</v>
      </c>
      <c r="E1394" s="53" t="s">
        <v>870</v>
      </c>
      <c r="F1394" s="124">
        <v>10</v>
      </c>
      <c r="G1394" s="124">
        <v>400</v>
      </c>
      <c r="H1394" s="486" t="s">
        <v>5866</v>
      </c>
      <c r="I1394" s="215" t="s">
        <v>346</v>
      </c>
      <c r="J1394" s="215" t="s">
        <v>77</v>
      </c>
      <c r="K1394" s="266">
        <v>810116843404</v>
      </c>
      <c r="L1394" s="265" t="s">
        <v>649</v>
      </c>
      <c r="M1394" s="265" t="s">
        <v>649</v>
      </c>
      <c r="N1394" s="264">
        <v>1.5920000000000001</v>
      </c>
      <c r="O1394" s="265" t="s">
        <v>649</v>
      </c>
      <c r="P1394" s="265">
        <v>15.920000000000002</v>
      </c>
      <c r="Q1394" s="265" t="s">
        <v>649</v>
      </c>
    </row>
    <row r="1395" spans="1:17" ht="15" customHeight="1">
      <c r="A1395" s="147">
        <v>1469</v>
      </c>
      <c r="B1395" s="51" t="s">
        <v>5714</v>
      </c>
      <c r="C1395" s="51" t="s">
        <v>871</v>
      </c>
      <c r="D1395" s="51">
        <v>100029436</v>
      </c>
      <c r="E1395" s="53" t="s">
        <v>872</v>
      </c>
      <c r="F1395" s="124">
        <v>24</v>
      </c>
      <c r="G1395" s="124">
        <v>768</v>
      </c>
      <c r="H1395" s="369">
        <v>24.54</v>
      </c>
      <c r="I1395" s="215" t="s">
        <v>76</v>
      </c>
      <c r="J1395" s="215" t="s">
        <v>102</v>
      </c>
      <c r="K1395" s="266">
        <v>816842022632</v>
      </c>
      <c r="L1395" s="265" t="s">
        <v>649</v>
      </c>
      <c r="M1395" s="266">
        <v>816842022649</v>
      </c>
      <c r="N1395" s="264">
        <v>0.59399999999999997</v>
      </c>
      <c r="O1395" s="265" t="s">
        <v>649</v>
      </c>
      <c r="P1395" s="265">
        <v>16.344000000000001</v>
      </c>
      <c r="Q1395" s="265">
        <v>1.3788503419060438</v>
      </c>
    </row>
    <row r="1396" spans="1:17" ht="15" customHeight="1">
      <c r="A1396" s="147">
        <v>1470</v>
      </c>
      <c r="B1396" s="51" t="s">
        <v>5714</v>
      </c>
      <c r="C1396" s="51" t="s">
        <v>873</v>
      </c>
      <c r="D1396" s="51">
        <v>300005634</v>
      </c>
      <c r="E1396" s="53" t="s">
        <v>874</v>
      </c>
      <c r="F1396" s="124">
        <v>20</v>
      </c>
      <c r="G1396" s="124">
        <v>360</v>
      </c>
      <c r="H1396" s="486" t="s">
        <v>5866</v>
      </c>
      <c r="I1396" s="215" t="s">
        <v>816</v>
      </c>
      <c r="J1396" s="215" t="s">
        <v>77</v>
      </c>
      <c r="K1396" s="266">
        <v>812361011119</v>
      </c>
      <c r="L1396" s="265" t="s">
        <v>649</v>
      </c>
      <c r="M1396" s="266">
        <v>10812361011116</v>
      </c>
      <c r="N1396" s="264">
        <v>1.1850000000000001</v>
      </c>
      <c r="O1396" s="265" t="s">
        <v>649</v>
      </c>
      <c r="P1396" s="265">
        <v>23.700000000000003</v>
      </c>
      <c r="Q1396" s="265" t="s">
        <v>649</v>
      </c>
    </row>
    <row r="1397" spans="1:17" ht="15" customHeight="1">
      <c r="A1397" s="147">
        <v>1471</v>
      </c>
      <c r="B1397" s="51" t="s">
        <v>5714</v>
      </c>
      <c r="C1397" s="51" t="s">
        <v>875</v>
      </c>
      <c r="D1397" s="51">
        <v>300005547</v>
      </c>
      <c r="E1397" s="53" t="s">
        <v>876</v>
      </c>
      <c r="F1397" s="124">
        <v>8</v>
      </c>
      <c r="G1397" s="124" t="s">
        <v>649</v>
      </c>
      <c r="H1397" s="486" t="s">
        <v>5866</v>
      </c>
      <c r="I1397" s="215" t="s">
        <v>816</v>
      </c>
      <c r="J1397" s="215" t="s">
        <v>77</v>
      </c>
      <c r="K1397" s="266">
        <v>812361010884</v>
      </c>
      <c r="L1397" s="265" t="s">
        <v>649</v>
      </c>
      <c r="M1397" s="265" t="s">
        <v>649</v>
      </c>
      <c r="N1397" s="264">
        <v>4.63</v>
      </c>
      <c r="O1397" s="265" t="s">
        <v>649</v>
      </c>
      <c r="P1397" s="265">
        <v>37.04</v>
      </c>
      <c r="Q1397" s="265" t="s">
        <v>649</v>
      </c>
    </row>
    <row r="1398" spans="1:17" ht="15" customHeight="1">
      <c r="A1398" s="147">
        <v>1472</v>
      </c>
      <c r="B1398" s="51" t="s">
        <v>5714</v>
      </c>
      <c r="C1398" s="51" t="s">
        <v>877</v>
      </c>
      <c r="D1398" s="51">
        <v>100029139</v>
      </c>
      <c r="E1398" s="53" t="s">
        <v>878</v>
      </c>
      <c r="F1398" s="124">
        <v>24</v>
      </c>
      <c r="G1398" s="124">
        <v>768</v>
      </c>
      <c r="H1398" s="369">
        <v>31.29</v>
      </c>
      <c r="I1398" s="215" t="s">
        <v>76</v>
      </c>
      <c r="J1398" s="215" t="s">
        <v>102</v>
      </c>
      <c r="K1398" s="266">
        <v>812361010419</v>
      </c>
      <c r="L1398" s="265" t="s">
        <v>649</v>
      </c>
      <c r="M1398" s="266">
        <v>10812361010416</v>
      </c>
      <c r="N1398" s="264">
        <v>0.59299999999999997</v>
      </c>
      <c r="O1398" s="265" t="s">
        <v>649</v>
      </c>
      <c r="P1398" s="265">
        <v>16.295999999999999</v>
      </c>
      <c r="Q1398" s="265">
        <v>1.3788503419060438</v>
      </c>
    </row>
    <row r="1399" spans="1:17" ht="15" customHeight="1">
      <c r="A1399" s="147">
        <v>1473</v>
      </c>
      <c r="B1399" s="51" t="s">
        <v>5714</v>
      </c>
      <c r="C1399" s="51" t="s">
        <v>879</v>
      </c>
      <c r="D1399" s="51">
        <v>100029418</v>
      </c>
      <c r="E1399" s="53" t="s">
        <v>880</v>
      </c>
      <c r="F1399" s="124">
        <v>16</v>
      </c>
      <c r="G1399" s="124">
        <v>288</v>
      </c>
      <c r="H1399" s="369">
        <v>147.84</v>
      </c>
      <c r="I1399" s="215" t="s">
        <v>76</v>
      </c>
      <c r="J1399" s="215" t="s">
        <v>102</v>
      </c>
      <c r="K1399" s="266">
        <v>816842022656</v>
      </c>
      <c r="L1399" s="265" t="s">
        <v>649</v>
      </c>
      <c r="M1399" s="266">
        <v>816842022663</v>
      </c>
      <c r="N1399" s="264">
        <v>1.2689999999999999</v>
      </c>
      <c r="O1399" s="265" t="s">
        <v>649</v>
      </c>
      <c r="P1399" s="265">
        <v>21.968</v>
      </c>
      <c r="Q1399" s="265">
        <v>2.361325291407383</v>
      </c>
    </row>
    <row r="1400" spans="1:17" ht="15" customHeight="1">
      <c r="A1400" s="147">
        <v>1474</v>
      </c>
      <c r="B1400" s="51" t="s">
        <v>5714</v>
      </c>
      <c r="C1400" s="51" t="s">
        <v>881</v>
      </c>
      <c r="D1400" s="51">
        <v>300005546</v>
      </c>
      <c r="E1400" s="53" t="s">
        <v>882</v>
      </c>
      <c r="F1400" s="124">
        <v>8</v>
      </c>
      <c r="G1400" s="124" t="s">
        <v>649</v>
      </c>
      <c r="H1400" s="486" t="s">
        <v>5866</v>
      </c>
      <c r="I1400" s="215" t="s">
        <v>816</v>
      </c>
      <c r="J1400" s="215" t="s">
        <v>77</v>
      </c>
      <c r="K1400" s="266">
        <v>812361010860</v>
      </c>
      <c r="L1400" s="265" t="s">
        <v>649</v>
      </c>
      <c r="M1400" s="265" t="s">
        <v>649</v>
      </c>
      <c r="N1400" s="264">
        <v>2.2599999999999998</v>
      </c>
      <c r="O1400" s="265" t="s">
        <v>649</v>
      </c>
      <c r="P1400" s="265">
        <v>18.079999999999998</v>
      </c>
      <c r="Q1400" s="265" t="s">
        <v>649</v>
      </c>
    </row>
    <row r="1401" spans="1:17" ht="15" customHeight="1">
      <c r="A1401" s="147">
        <v>1475</v>
      </c>
      <c r="B1401" s="51" t="s">
        <v>5714</v>
      </c>
      <c r="C1401" s="51" t="s">
        <v>883</v>
      </c>
      <c r="D1401" s="51">
        <v>300005744</v>
      </c>
      <c r="E1401" s="53" t="s">
        <v>884</v>
      </c>
      <c r="F1401" s="124">
        <v>30</v>
      </c>
      <c r="G1401" s="124" t="s">
        <v>649</v>
      </c>
      <c r="H1401" s="486" t="s">
        <v>5866</v>
      </c>
      <c r="I1401" s="215" t="s">
        <v>816</v>
      </c>
      <c r="J1401" s="215" t="s">
        <v>77</v>
      </c>
      <c r="K1401" s="266">
        <v>812361010952</v>
      </c>
      <c r="L1401" s="265" t="s">
        <v>649</v>
      </c>
      <c r="M1401" s="265" t="s">
        <v>649</v>
      </c>
      <c r="N1401" s="264">
        <v>0.86</v>
      </c>
      <c r="O1401" s="265" t="s">
        <v>649</v>
      </c>
      <c r="P1401" s="265">
        <v>25.8</v>
      </c>
      <c r="Q1401" s="265" t="s">
        <v>649</v>
      </c>
    </row>
    <row r="1402" spans="1:17" ht="15" customHeight="1">
      <c r="A1402" s="147">
        <v>1476</v>
      </c>
      <c r="B1402" s="51" t="s">
        <v>5714</v>
      </c>
      <c r="C1402" s="51" t="s">
        <v>885</v>
      </c>
      <c r="D1402" s="51">
        <v>300005513</v>
      </c>
      <c r="E1402" s="53" t="s">
        <v>886</v>
      </c>
      <c r="F1402" s="124">
        <v>3</v>
      </c>
      <c r="G1402" s="124" t="s">
        <v>649</v>
      </c>
      <c r="H1402" s="486" t="s">
        <v>5866</v>
      </c>
      <c r="I1402" s="215" t="s">
        <v>816</v>
      </c>
      <c r="J1402" s="215" t="s">
        <v>77</v>
      </c>
      <c r="K1402" s="266">
        <v>812361010976</v>
      </c>
      <c r="L1402" s="265" t="s">
        <v>649</v>
      </c>
      <c r="M1402" s="265" t="s">
        <v>649</v>
      </c>
      <c r="N1402" s="264">
        <v>2.601</v>
      </c>
      <c r="O1402" s="265" t="s">
        <v>649</v>
      </c>
      <c r="P1402" s="265">
        <v>7.8029999999999999</v>
      </c>
      <c r="Q1402" s="265" t="s">
        <v>649</v>
      </c>
    </row>
    <row r="1403" spans="1:17" ht="15" customHeight="1">
      <c r="A1403" s="147">
        <v>1477</v>
      </c>
      <c r="B1403" s="51" t="s">
        <v>5714</v>
      </c>
      <c r="C1403" s="51" t="s">
        <v>887</v>
      </c>
      <c r="D1403" s="51">
        <v>300005746</v>
      </c>
      <c r="E1403" s="53" t="s">
        <v>888</v>
      </c>
      <c r="F1403" s="124">
        <v>50</v>
      </c>
      <c r="G1403" s="124">
        <v>4800</v>
      </c>
      <c r="H1403" s="486" t="s">
        <v>5866</v>
      </c>
      <c r="I1403" s="215" t="s">
        <v>816</v>
      </c>
      <c r="J1403" s="215" t="s">
        <v>77</v>
      </c>
      <c r="K1403" s="265" t="s">
        <v>649</v>
      </c>
      <c r="L1403" s="265" t="s">
        <v>649</v>
      </c>
      <c r="M1403" s="265" t="s">
        <v>649</v>
      </c>
      <c r="N1403" s="264">
        <v>0.37</v>
      </c>
      <c r="O1403" s="265" t="s">
        <v>649</v>
      </c>
      <c r="P1403" s="265">
        <v>18.5</v>
      </c>
      <c r="Q1403" s="265" t="s">
        <v>649</v>
      </c>
    </row>
    <row r="1404" spans="1:17" ht="15" customHeight="1">
      <c r="A1404" s="147">
        <v>1478</v>
      </c>
      <c r="B1404" s="51" t="s">
        <v>5714</v>
      </c>
      <c r="C1404" s="51" t="s">
        <v>889</v>
      </c>
      <c r="D1404" s="51">
        <v>100030874</v>
      </c>
      <c r="E1404" s="53" t="s">
        <v>890</v>
      </c>
      <c r="F1404" s="124">
        <v>40</v>
      </c>
      <c r="G1404" s="124">
        <v>2880</v>
      </c>
      <c r="H1404" s="369">
        <v>25.93</v>
      </c>
      <c r="I1404" s="215" t="s">
        <v>346</v>
      </c>
      <c r="J1404" s="215" t="s">
        <v>102</v>
      </c>
      <c r="K1404" s="266">
        <v>810673012190</v>
      </c>
      <c r="L1404" s="265" t="s">
        <v>649</v>
      </c>
      <c r="M1404" s="266">
        <v>10810673012197</v>
      </c>
      <c r="N1404" s="264">
        <v>0.32</v>
      </c>
      <c r="O1404" s="265" t="s">
        <v>649</v>
      </c>
      <c r="P1404" s="265">
        <v>14</v>
      </c>
      <c r="Q1404" s="265">
        <v>0.98955954024750914</v>
      </c>
    </row>
    <row r="1405" spans="1:17" ht="15" customHeight="1">
      <c r="A1405" s="147">
        <v>1479</v>
      </c>
      <c r="B1405" s="51" t="s">
        <v>5714</v>
      </c>
      <c r="C1405" s="51" t="s">
        <v>891</v>
      </c>
      <c r="D1405" s="51">
        <v>300005506</v>
      </c>
      <c r="E1405" s="53" t="s">
        <v>892</v>
      </c>
      <c r="F1405" s="124">
        <v>30</v>
      </c>
      <c r="G1405" s="124">
        <v>1350</v>
      </c>
      <c r="H1405" s="486" t="s">
        <v>5866</v>
      </c>
      <c r="I1405" s="215" t="s">
        <v>816</v>
      </c>
      <c r="J1405" s="215" t="s">
        <v>77</v>
      </c>
      <c r="K1405" s="266">
        <v>810116843428</v>
      </c>
      <c r="L1405" s="265" t="s">
        <v>649</v>
      </c>
      <c r="M1405" s="265" t="s">
        <v>649</v>
      </c>
      <c r="N1405" s="264">
        <v>1.33</v>
      </c>
      <c r="O1405" s="265" t="s">
        <v>649</v>
      </c>
      <c r="P1405" s="265">
        <v>39.900000000000006</v>
      </c>
      <c r="Q1405" s="265" t="s">
        <v>649</v>
      </c>
    </row>
    <row r="1406" spans="1:17" ht="15" customHeight="1">
      <c r="A1406" s="147">
        <v>1480</v>
      </c>
      <c r="B1406" s="51" t="s">
        <v>5714</v>
      </c>
      <c r="C1406" s="51" t="s">
        <v>893</v>
      </c>
      <c r="D1406" s="51">
        <v>300005749</v>
      </c>
      <c r="E1406" s="53" t="s">
        <v>894</v>
      </c>
      <c r="F1406" s="124">
        <v>36</v>
      </c>
      <c r="G1406" s="124" t="s">
        <v>649</v>
      </c>
      <c r="H1406" s="486" t="s">
        <v>5866</v>
      </c>
      <c r="I1406" s="215" t="s">
        <v>816</v>
      </c>
      <c r="J1406" s="215" t="s">
        <v>77</v>
      </c>
      <c r="K1406" s="266">
        <v>812361014387</v>
      </c>
      <c r="L1406" s="265" t="s">
        <v>649</v>
      </c>
      <c r="M1406" s="265" t="s">
        <v>649</v>
      </c>
      <c r="N1406" s="264">
        <v>0.2</v>
      </c>
      <c r="O1406" s="265" t="s">
        <v>649</v>
      </c>
      <c r="P1406" s="265">
        <v>7.2</v>
      </c>
      <c r="Q1406" s="265" t="s">
        <v>649</v>
      </c>
    </row>
    <row r="1407" spans="1:17" ht="15" customHeight="1">
      <c r="A1407" s="147">
        <v>1481</v>
      </c>
      <c r="B1407" s="51" t="s">
        <v>5714</v>
      </c>
      <c r="C1407" s="51" t="s">
        <v>895</v>
      </c>
      <c r="D1407" s="51">
        <v>100029462</v>
      </c>
      <c r="E1407" s="53" t="s">
        <v>896</v>
      </c>
      <c r="F1407" s="124">
        <v>25</v>
      </c>
      <c r="G1407" s="124">
        <v>1800</v>
      </c>
      <c r="H1407" s="369">
        <v>24.43</v>
      </c>
      <c r="I1407" s="215" t="s">
        <v>76</v>
      </c>
      <c r="J1407" s="215" t="s">
        <v>102</v>
      </c>
      <c r="K1407" s="266">
        <v>816842022892</v>
      </c>
      <c r="L1407" s="265" t="s">
        <v>649</v>
      </c>
      <c r="M1407" s="266">
        <v>816842022908</v>
      </c>
      <c r="N1407" s="264">
        <v>0.38600000000000001</v>
      </c>
      <c r="O1407" s="265" t="s">
        <v>649</v>
      </c>
      <c r="P1407" s="265">
        <v>11.824999999999999</v>
      </c>
      <c r="Q1407" s="265">
        <v>1.8803145838984718</v>
      </c>
    </row>
    <row r="1408" spans="1:17" ht="15" customHeight="1">
      <c r="A1408" s="147">
        <v>1482</v>
      </c>
      <c r="B1408" s="51" t="s">
        <v>5714</v>
      </c>
      <c r="C1408" s="51" t="s">
        <v>897</v>
      </c>
      <c r="D1408" s="51">
        <v>100029542</v>
      </c>
      <c r="E1408" s="53" t="s">
        <v>898</v>
      </c>
      <c r="F1408" s="124">
        <v>25</v>
      </c>
      <c r="G1408" s="124">
        <v>1000</v>
      </c>
      <c r="H1408" s="369">
        <v>43.8</v>
      </c>
      <c r="I1408" s="215" t="s">
        <v>76</v>
      </c>
      <c r="J1408" s="215" t="s">
        <v>102</v>
      </c>
      <c r="K1408" s="266">
        <v>816842022830</v>
      </c>
      <c r="L1408" s="265" t="s">
        <v>649</v>
      </c>
      <c r="M1408" s="266">
        <v>816842022847</v>
      </c>
      <c r="N1408" s="264">
        <v>0.47399999999999998</v>
      </c>
      <c r="O1408" s="265" t="s">
        <v>649</v>
      </c>
      <c r="P1408" s="265">
        <v>14.025000000000002</v>
      </c>
      <c r="Q1408" s="265">
        <v>1.8803145838984718</v>
      </c>
    </row>
    <row r="1409" spans="1:17" ht="15" customHeight="1">
      <c r="A1409" s="147">
        <v>1483</v>
      </c>
      <c r="B1409" s="51" t="s">
        <v>5714</v>
      </c>
      <c r="C1409" s="51" t="s">
        <v>899</v>
      </c>
      <c r="D1409" s="51">
        <v>300005588</v>
      </c>
      <c r="E1409" s="53" t="s">
        <v>900</v>
      </c>
      <c r="F1409" s="124">
        <v>15</v>
      </c>
      <c r="G1409" s="124">
        <v>675</v>
      </c>
      <c r="H1409" s="486" t="s">
        <v>5866</v>
      </c>
      <c r="I1409" s="215" t="s">
        <v>346</v>
      </c>
      <c r="J1409" s="215" t="s">
        <v>77</v>
      </c>
      <c r="K1409" s="266">
        <v>812361014073</v>
      </c>
      <c r="L1409" s="265" t="s">
        <v>649</v>
      </c>
      <c r="M1409" s="265" t="s">
        <v>649</v>
      </c>
      <c r="N1409" s="264">
        <v>1.2</v>
      </c>
      <c r="O1409" s="265" t="s">
        <v>649</v>
      </c>
      <c r="P1409" s="265">
        <v>18</v>
      </c>
      <c r="Q1409" s="265" t="s">
        <v>649</v>
      </c>
    </row>
    <row r="1410" spans="1:17" ht="15" customHeight="1">
      <c r="A1410" s="147">
        <v>1484</v>
      </c>
      <c r="B1410" s="51" t="s">
        <v>5714</v>
      </c>
      <c r="C1410" s="51" t="s">
        <v>901</v>
      </c>
      <c r="D1410" s="51">
        <v>300005748</v>
      </c>
      <c r="E1410" s="53" t="s">
        <v>902</v>
      </c>
      <c r="F1410" s="124">
        <v>50</v>
      </c>
      <c r="G1410" s="124">
        <v>2000</v>
      </c>
      <c r="H1410" s="486" t="s">
        <v>5866</v>
      </c>
      <c r="I1410" s="215" t="s">
        <v>346</v>
      </c>
      <c r="J1410" s="215" t="s">
        <v>77</v>
      </c>
      <c r="K1410" s="266">
        <v>812361014448</v>
      </c>
      <c r="L1410" s="265" t="s">
        <v>649</v>
      </c>
      <c r="M1410" s="266">
        <v>10812361014445</v>
      </c>
      <c r="N1410" s="264">
        <v>0.2</v>
      </c>
      <c r="O1410" s="265" t="s">
        <v>649</v>
      </c>
      <c r="P1410" s="265">
        <v>10</v>
      </c>
      <c r="Q1410" s="265" t="s">
        <v>649</v>
      </c>
    </row>
    <row r="1411" spans="1:17" ht="15" customHeight="1">
      <c r="A1411" s="147">
        <v>1485</v>
      </c>
      <c r="B1411" s="51" t="s">
        <v>5714</v>
      </c>
      <c r="C1411" s="51" t="s">
        <v>903</v>
      </c>
      <c r="D1411" s="51">
        <v>100030862</v>
      </c>
      <c r="E1411" s="53" t="s">
        <v>904</v>
      </c>
      <c r="F1411" s="124">
        <v>50</v>
      </c>
      <c r="G1411" s="124">
        <v>2000</v>
      </c>
      <c r="H1411" s="369">
        <v>32.450000000000003</v>
      </c>
      <c r="I1411" s="215" t="s">
        <v>76</v>
      </c>
      <c r="J1411" s="215" t="s">
        <v>102</v>
      </c>
      <c r="K1411" s="266">
        <v>812361014462</v>
      </c>
      <c r="L1411" s="265" t="s">
        <v>649</v>
      </c>
      <c r="M1411" s="266">
        <v>10812361014469</v>
      </c>
      <c r="N1411" s="264">
        <v>0.371</v>
      </c>
      <c r="O1411" s="265" t="s">
        <v>649</v>
      </c>
      <c r="P1411" s="265">
        <v>20.45</v>
      </c>
      <c r="Q1411" s="265">
        <v>2.7986077527791204</v>
      </c>
    </row>
    <row r="1412" spans="1:17" ht="15" customHeight="1">
      <c r="A1412" s="147">
        <v>1486</v>
      </c>
      <c r="B1412" s="51" t="s">
        <v>5714</v>
      </c>
      <c r="C1412" s="51" t="s">
        <v>905</v>
      </c>
      <c r="D1412" s="51">
        <v>300005478</v>
      </c>
      <c r="E1412" s="53" t="s">
        <v>906</v>
      </c>
      <c r="F1412" s="124">
        <v>65</v>
      </c>
      <c r="G1412" s="124" t="s">
        <v>649</v>
      </c>
      <c r="H1412" s="486" t="s">
        <v>5866</v>
      </c>
      <c r="I1412" s="215" t="s">
        <v>816</v>
      </c>
      <c r="J1412" s="215" t="s">
        <v>77</v>
      </c>
      <c r="K1412" s="266">
        <v>812361014486</v>
      </c>
      <c r="L1412" s="265" t="s">
        <v>649</v>
      </c>
      <c r="M1412" s="265" t="s">
        <v>649</v>
      </c>
      <c r="N1412" s="264">
        <v>0.5</v>
      </c>
      <c r="O1412" s="265" t="s">
        <v>649</v>
      </c>
      <c r="P1412" s="265">
        <v>32.5</v>
      </c>
      <c r="Q1412" s="265" t="s">
        <v>649</v>
      </c>
    </row>
    <row r="1413" spans="1:17" ht="15" customHeight="1">
      <c r="A1413" s="147">
        <v>1487</v>
      </c>
      <c r="B1413" s="51" t="s">
        <v>5714</v>
      </c>
      <c r="C1413" s="51" t="s">
        <v>907</v>
      </c>
      <c r="D1413" s="51">
        <v>100029445</v>
      </c>
      <c r="E1413" s="53" t="s">
        <v>908</v>
      </c>
      <c r="F1413" s="124">
        <v>25</v>
      </c>
      <c r="G1413" s="124">
        <v>1000</v>
      </c>
      <c r="H1413" s="369">
        <v>51.3</v>
      </c>
      <c r="I1413" s="215" t="s">
        <v>76</v>
      </c>
      <c r="J1413" s="215" t="s">
        <v>102</v>
      </c>
      <c r="K1413" s="266">
        <v>812361014509</v>
      </c>
      <c r="L1413" s="265" t="s">
        <v>649</v>
      </c>
      <c r="M1413" s="266">
        <v>10812361014506</v>
      </c>
      <c r="N1413" s="264">
        <v>0.39</v>
      </c>
      <c r="O1413" s="265" t="s">
        <v>649</v>
      </c>
      <c r="P1413" s="265">
        <v>11.600000000000001</v>
      </c>
      <c r="Q1413" s="265">
        <v>2.361325291407383</v>
      </c>
    </row>
    <row r="1414" spans="1:17" ht="15" customHeight="1">
      <c r="A1414" s="147">
        <v>1488</v>
      </c>
      <c r="B1414" s="51" t="s">
        <v>5714</v>
      </c>
      <c r="C1414" s="51" t="s">
        <v>909</v>
      </c>
      <c r="D1414" s="51">
        <v>300005488</v>
      </c>
      <c r="E1414" s="53" t="s">
        <v>910</v>
      </c>
      <c r="F1414" s="124">
        <v>30</v>
      </c>
      <c r="G1414" s="124">
        <v>1200</v>
      </c>
      <c r="H1414" s="486" t="s">
        <v>5866</v>
      </c>
      <c r="I1414" s="215" t="s">
        <v>816</v>
      </c>
      <c r="J1414" s="215" t="s">
        <v>77</v>
      </c>
      <c r="K1414" s="266">
        <v>812361018620</v>
      </c>
      <c r="L1414" s="265" t="s">
        <v>649</v>
      </c>
      <c r="M1414" s="265" t="s">
        <v>649</v>
      </c>
      <c r="N1414" s="264">
        <v>0.74099999999999999</v>
      </c>
      <c r="O1414" s="265" t="s">
        <v>649</v>
      </c>
      <c r="P1414" s="265">
        <v>22.23</v>
      </c>
      <c r="Q1414" s="265" t="s">
        <v>649</v>
      </c>
    </row>
    <row r="1415" spans="1:17" ht="15" customHeight="1">
      <c r="A1415" s="147">
        <v>1489</v>
      </c>
      <c r="B1415" s="51" t="s">
        <v>5714</v>
      </c>
      <c r="C1415" s="51" t="s">
        <v>911</v>
      </c>
      <c r="D1415" s="51">
        <v>100030932</v>
      </c>
      <c r="E1415" s="53" t="s">
        <v>912</v>
      </c>
      <c r="F1415" s="124">
        <v>22</v>
      </c>
      <c r="G1415" s="124">
        <v>528</v>
      </c>
      <c r="H1415" s="369">
        <v>32.22</v>
      </c>
      <c r="I1415" s="215" t="s">
        <v>76</v>
      </c>
      <c r="J1415" s="215" t="s">
        <v>102</v>
      </c>
      <c r="K1415" s="266">
        <v>810673019830</v>
      </c>
      <c r="L1415" s="265" t="s">
        <v>649</v>
      </c>
      <c r="M1415" s="266">
        <v>810673019847</v>
      </c>
      <c r="N1415" s="264">
        <v>0.41599999999999998</v>
      </c>
      <c r="O1415" s="265" t="s">
        <v>649</v>
      </c>
      <c r="P1415" s="265">
        <v>11.308</v>
      </c>
      <c r="Q1415" s="265">
        <v>1.8803145838984718</v>
      </c>
    </row>
    <row r="1416" spans="1:17" ht="15" customHeight="1">
      <c r="A1416" s="147">
        <v>1490</v>
      </c>
      <c r="B1416" s="51" t="s">
        <v>5714</v>
      </c>
      <c r="C1416" s="51" t="s">
        <v>913</v>
      </c>
      <c r="D1416" s="51">
        <v>100029391</v>
      </c>
      <c r="E1416" s="53" t="s">
        <v>914</v>
      </c>
      <c r="F1416" s="124">
        <v>12</v>
      </c>
      <c r="G1416" s="124">
        <v>144</v>
      </c>
      <c r="H1416" s="369">
        <v>133.43</v>
      </c>
      <c r="I1416" s="215" t="s">
        <v>76</v>
      </c>
      <c r="J1416" s="215" t="s">
        <v>102</v>
      </c>
      <c r="K1416" s="266">
        <v>810673019854</v>
      </c>
      <c r="L1416" s="265" t="s">
        <v>649</v>
      </c>
      <c r="M1416" s="266">
        <v>810673019861</v>
      </c>
      <c r="N1416" s="264">
        <v>1.5</v>
      </c>
      <c r="O1416" s="265" t="s">
        <v>649</v>
      </c>
      <c r="P1416" s="265">
        <v>21</v>
      </c>
      <c r="Q1416" s="265">
        <v>3.6731726755225957</v>
      </c>
    </row>
    <row r="1417" spans="1:17" ht="15" customHeight="1">
      <c r="A1417" s="147">
        <v>1491</v>
      </c>
      <c r="B1417" s="51" t="s">
        <v>5714</v>
      </c>
      <c r="C1417" s="51" t="s">
        <v>915</v>
      </c>
      <c r="D1417" s="51">
        <v>300005539</v>
      </c>
      <c r="E1417" s="53" t="s">
        <v>916</v>
      </c>
      <c r="F1417" s="124">
        <v>4</v>
      </c>
      <c r="G1417" s="124" t="s">
        <v>649</v>
      </c>
      <c r="H1417" s="486" t="s">
        <v>5866</v>
      </c>
      <c r="I1417" s="215" t="s">
        <v>816</v>
      </c>
      <c r="J1417" s="215" t="s">
        <v>77</v>
      </c>
      <c r="K1417" s="266">
        <v>812361014363</v>
      </c>
      <c r="L1417" s="265" t="s">
        <v>649</v>
      </c>
      <c r="M1417" s="265" t="s">
        <v>649</v>
      </c>
      <c r="N1417" s="264">
        <v>7.8019999999999996</v>
      </c>
      <c r="O1417" s="265" t="s">
        <v>649</v>
      </c>
      <c r="P1417" s="265">
        <v>31.207999999999998</v>
      </c>
      <c r="Q1417" s="265" t="s">
        <v>649</v>
      </c>
    </row>
    <row r="1418" spans="1:17" ht="15" customHeight="1">
      <c r="A1418" s="147">
        <v>1492</v>
      </c>
      <c r="B1418" s="51" t="s">
        <v>5714</v>
      </c>
      <c r="C1418" s="51" t="s">
        <v>917</v>
      </c>
      <c r="D1418" s="51">
        <v>300005745</v>
      </c>
      <c r="E1418" s="53" t="s">
        <v>918</v>
      </c>
      <c r="F1418" s="124">
        <v>25</v>
      </c>
      <c r="G1418" s="124">
        <v>1800</v>
      </c>
      <c r="H1418" s="486" t="s">
        <v>5866</v>
      </c>
      <c r="I1418" s="215" t="s">
        <v>346</v>
      </c>
      <c r="J1418" s="215" t="s">
        <v>77</v>
      </c>
      <c r="K1418" s="265" t="s">
        <v>649</v>
      </c>
      <c r="L1418" s="265" t="s">
        <v>649</v>
      </c>
      <c r="M1418" s="265" t="s">
        <v>649</v>
      </c>
      <c r="N1418" s="264">
        <v>1</v>
      </c>
      <c r="O1418" s="265" t="s">
        <v>649</v>
      </c>
      <c r="P1418" s="265">
        <v>25</v>
      </c>
      <c r="Q1418" s="265" t="s">
        <v>649</v>
      </c>
    </row>
    <row r="1419" spans="1:17" ht="15" customHeight="1">
      <c r="A1419" s="147">
        <v>1493</v>
      </c>
      <c r="B1419" s="51" t="s">
        <v>5714</v>
      </c>
      <c r="C1419" s="51" t="s">
        <v>919</v>
      </c>
      <c r="D1419" s="51">
        <v>100030873</v>
      </c>
      <c r="E1419" s="53" t="s">
        <v>920</v>
      </c>
      <c r="F1419" s="124">
        <v>48</v>
      </c>
      <c r="G1419" s="124">
        <v>576</v>
      </c>
      <c r="H1419" s="369">
        <v>26.13</v>
      </c>
      <c r="I1419" s="215" t="s">
        <v>76</v>
      </c>
      <c r="J1419" s="215" t="s">
        <v>102</v>
      </c>
      <c r="K1419" s="266">
        <v>816842022519</v>
      </c>
      <c r="L1419" s="265" t="s">
        <v>649</v>
      </c>
      <c r="M1419" s="266">
        <v>816842022526</v>
      </c>
      <c r="N1419" s="264">
        <v>0.41199999999999998</v>
      </c>
      <c r="O1419" s="265" t="s">
        <v>649</v>
      </c>
      <c r="P1419" s="265">
        <v>22.799999999999997</v>
      </c>
      <c r="Q1419" s="265">
        <v>3.6731726755225957</v>
      </c>
    </row>
    <row r="1420" spans="1:17" ht="15" customHeight="1">
      <c r="A1420" s="147">
        <v>1494</v>
      </c>
      <c r="B1420" s="51" t="s">
        <v>5714</v>
      </c>
      <c r="C1420" s="51" t="s">
        <v>921</v>
      </c>
      <c r="D1420" s="51">
        <v>100029390</v>
      </c>
      <c r="E1420" s="53" t="s">
        <v>922</v>
      </c>
      <c r="F1420" s="124">
        <v>10</v>
      </c>
      <c r="G1420" s="124">
        <v>180</v>
      </c>
      <c r="H1420" s="369">
        <v>114.37</v>
      </c>
      <c r="I1420" s="215" t="s">
        <v>76</v>
      </c>
      <c r="J1420" s="215" t="s">
        <v>102</v>
      </c>
      <c r="K1420" s="266">
        <v>810673019816</v>
      </c>
      <c r="L1420" s="265" t="s">
        <v>649</v>
      </c>
      <c r="M1420" s="266">
        <v>10810673019813</v>
      </c>
      <c r="N1420" s="264">
        <v>1.5880000000000001</v>
      </c>
      <c r="O1420" s="265" t="s">
        <v>649</v>
      </c>
      <c r="P1420" s="265">
        <v>17.73</v>
      </c>
      <c r="Q1420" s="265">
        <v>2.361325291407383</v>
      </c>
    </row>
    <row r="1421" spans="1:17" ht="15" customHeight="1">
      <c r="A1421" s="147">
        <v>1495</v>
      </c>
      <c r="B1421" s="51" t="s">
        <v>5714</v>
      </c>
      <c r="C1421" s="51" t="s">
        <v>923</v>
      </c>
      <c r="D1421" s="51">
        <v>300005538</v>
      </c>
      <c r="E1421" s="53" t="s">
        <v>924</v>
      </c>
      <c r="F1421" s="124">
        <v>4</v>
      </c>
      <c r="G1421" s="124" t="s">
        <v>649</v>
      </c>
      <c r="H1421" s="486" t="s">
        <v>5866</v>
      </c>
      <c r="I1421" s="215" t="s">
        <v>816</v>
      </c>
      <c r="J1421" s="215" t="s">
        <v>77</v>
      </c>
      <c r="K1421" s="266">
        <v>812361014349</v>
      </c>
      <c r="L1421" s="265" t="s">
        <v>649</v>
      </c>
      <c r="M1421" s="265" t="s">
        <v>649</v>
      </c>
      <c r="N1421" s="264">
        <v>3.56</v>
      </c>
      <c r="O1421" s="265" t="s">
        <v>649</v>
      </c>
      <c r="P1421" s="265">
        <v>14.24</v>
      </c>
      <c r="Q1421" s="265" t="s">
        <v>649</v>
      </c>
    </row>
    <row r="1422" spans="1:17" ht="15" customHeight="1">
      <c r="A1422" s="147">
        <v>1496</v>
      </c>
      <c r="B1422" s="51" t="s">
        <v>5714</v>
      </c>
      <c r="C1422" s="51" t="s">
        <v>925</v>
      </c>
      <c r="D1422" s="51">
        <v>100029135</v>
      </c>
      <c r="E1422" s="53" t="s">
        <v>926</v>
      </c>
      <c r="F1422" s="124">
        <v>30</v>
      </c>
      <c r="G1422" s="124">
        <v>360</v>
      </c>
      <c r="H1422" s="369">
        <v>23.78</v>
      </c>
      <c r="I1422" s="215" t="s">
        <v>76</v>
      </c>
      <c r="J1422" s="215" t="s">
        <v>102</v>
      </c>
      <c r="K1422" s="266">
        <v>816842022359</v>
      </c>
      <c r="L1422" s="265" t="s">
        <v>649</v>
      </c>
      <c r="M1422" s="266">
        <v>816842022366</v>
      </c>
      <c r="N1422" s="264">
        <v>0.52200000000000002</v>
      </c>
      <c r="O1422" s="265" t="s">
        <v>649</v>
      </c>
      <c r="P1422" s="265">
        <v>17.549999999999997</v>
      </c>
      <c r="Q1422" s="265">
        <v>2.7986077527791204</v>
      </c>
    </row>
    <row r="1423" spans="1:17" ht="15" customHeight="1">
      <c r="A1423" s="147">
        <v>1497</v>
      </c>
      <c r="B1423" s="51" t="s">
        <v>5714</v>
      </c>
      <c r="C1423" s="51" t="s">
        <v>927</v>
      </c>
      <c r="D1423" s="51">
        <v>100029370</v>
      </c>
      <c r="E1423" s="53" t="s">
        <v>928</v>
      </c>
      <c r="F1423" s="124">
        <v>12</v>
      </c>
      <c r="G1423" s="124">
        <v>144</v>
      </c>
      <c r="H1423" s="369">
        <v>93.84</v>
      </c>
      <c r="I1423" s="215" t="s">
        <v>76</v>
      </c>
      <c r="J1423" s="215" t="s">
        <v>102</v>
      </c>
      <c r="K1423" s="266">
        <v>816842022472</v>
      </c>
      <c r="L1423" s="265" t="s">
        <v>649</v>
      </c>
      <c r="M1423" s="266">
        <v>816842022489</v>
      </c>
      <c r="N1423" s="264">
        <v>1.9179999999999999</v>
      </c>
      <c r="O1423" s="265" t="s">
        <v>649</v>
      </c>
      <c r="P1423" s="265">
        <v>26.016000000000002</v>
      </c>
      <c r="Q1423" s="265">
        <v>3.6731726755225957</v>
      </c>
    </row>
    <row r="1424" spans="1:17" ht="15" customHeight="1">
      <c r="A1424" s="147">
        <v>1498</v>
      </c>
      <c r="B1424" s="51" t="s">
        <v>5714</v>
      </c>
      <c r="C1424" s="51" t="s">
        <v>929</v>
      </c>
      <c r="D1424" s="51">
        <v>300005542</v>
      </c>
      <c r="E1424" s="53" t="s">
        <v>930</v>
      </c>
      <c r="F1424" s="124">
        <v>4</v>
      </c>
      <c r="G1424" s="124" t="s">
        <v>649</v>
      </c>
      <c r="H1424" s="486" t="s">
        <v>5866</v>
      </c>
      <c r="I1424" s="215" t="s">
        <v>816</v>
      </c>
      <c r="J1424" s="215" t="s">
        <v>77</v>
      </c>
      <c r="K1424" s="266">
        <v>812361014301</v>
      </c>
      <c r="L1424" s="265" t="s">
        <v>649</v>
      </c>
      <c r="M1424" s="265" t="s">
        <v>649</v>
      </c>
      <c r="N1424" s="264">
        <v>4.0999999999999996</v>
      </c>
      <c r="O1424" s="265" t="s">
        <v>649</v>
      </c>
      <c r="P1424" s="265">
        <v>16.399999999999999</v>
      </c>
      <c r="Q1424" s="265" t="s">
        <v>649</v>
      </c>
    </row>
    <row r="1425" spans="1:17" ht="15" customHeight="1">
      <c r="A1425" s="147">
        <v>1499</v>
      </c>
      <c r="B1425" s="51" t="s">
        <v>5714</v>
      </c>
      <c r="C1425" s="51" t="s">
        <v>931</v>
      </c>
      <c r="D1425" s="51">
        <v>300005195</v>
      </c>
      <c r="E1425" s="53" t="s">
        <v>932</v>
      </c>
      <c r="F1425" s="124">
        <v>30</v>
      </c>
      <c r="G1425" s="124">
        <v>1200</v>
      </c>
      <c r="H1425" s="486" t="s">
        <v>5866</v>
      </c>
      <c r="I1425" s="215" t="s">
        <v>816</v>
      </c>
      <c r="J1425" s="215" t="s">
        <v>77</v>
      </c>
      <c r="K1425" s="266">
        <v>810673011391</v>
      </c>
      <c r="L1425" s="265" t="s">
        <v>649</v>
      </c>
      <c r="M1425" s="266">
        <v>10810673011398</v>
      </c>
      <c r="N1425" s="264">
        <v>1</v>
      </c>
      <c r="O1425" s="265" t="s">
        <v>649</v>
      </c>
      <c r="P1425" s="265">
        <v>30</v>
      </c>
      <c r="Q1425" s="265" t="s">
        <v>649</v>
      </c>
    </row>
    <row r="1426" spans="1:17" ht="15" customHeight="1">
      <c r="A1426" s="147">
        <v>1500</v>
      </c>
      <c r="B1426" s="51" t="s">
        <v>5714</v>
      </c>
      <c r="C1426" s="51" t="s">
        <v>933</v>
      </c>
      <c r="D1426" s="51">
        <v>100030933</v>
      </c>
      <c r="E1426" s="53" t="s">
        <v>934</v>
      </c>
      <c r="F1426" s="124">
        <v>30</v>
      </c>
      <c r="G1426" s="124">
        <v>360</v>
      </c>
      <c r="H1426" s="369">
        <v>32.22</v>
      </c>
      <c r="I1426" s="215" t="s">
        <v>76</v>
      </c>
      <c r="J1426" s="215" t="s">
        <v>102</v>
      </c>
      <c r="K1426" s="266">
        <v>816842022458</v>
      </c>
      <c r="L1426" s="265" t="s">
        <v>649</v>
      </c>
      <c r="M1426" s="266">
        <v>816842022465</v>
      </c>
      <c r="N1426" s="264">
        <v>0.48</v>
      </c>
      <c r="O1426" s="265" t="s">
        <v>649</v>
      </c>
      <c r="P1426" s="265">
        <v>16.290000000000003</v>
      </c>
      <c r="Q1426" s="265">
        <v>2.7986077527791204</v>
      </c>
    </row>
    <row r="1427" spans="1:17" ht="15" customHeight="1">
      <c r="A1427" s="147">
        <v>1501</v>
      </c>
      <c r="B1427" s="51" t="s">
        <v>5714</v>
      </c>
      <c r="C1427" s="51" t="s">
        <v>935</v>
      </c>
      <c r="D1427" s="51">
        <v>100029371</v>
      </c>
      <c r="E1427" s="53" t="s">
        <v>936</v>
      </c>
      <c r="F1427" s="124">
        <v>12</v>
      </c>
      <c r="G1427" s="124">
        <v>144</v>
      </c>
      <c r="H1427" s="369">
        <v>119.79</v>
      </c>
      <c r="I1427" s="215" t="s">
        <v>346</v>
      </c>
      <c r="J1427" s="215" t="s">
        <v>102</v>
      </c>
      <c r="K1427" s="266">
        <v>816842022618</v>
      </c>
      <c r="L1427" s="265" t="s">
        <v>649</v>
      </c>
      <c r="M1427" s="266">
        <v>816842022625</v>
      </c>
      <c r="N1427" s="264">
        <v>2.1</v>
      </c>
      <c r="O1427" s="265" t="s">
        <v>649</v>
      </c>
      <c r="P1427" s="265">
        <v>28.200000000000003</v>
      </c>
      <c r="Q1427" s="265">
        <v>3.6731726755225957</v>
      </c>
    </row>
    <row r="1428" spans="1:17" ht="15" customHeight="1">
      <c r="A1428" s="147">
        <v>1502</v>
      </c>
      <c r="B1428" s="51" t="s">
        <v>5714</v>
      </c>
      <c r="C1428" s="51" t="s">
        <v>937</v>
      </c>
      <c r="D1428" s="51">
        <v>300005543</v>
      </c>
      <c r="E1428" s="53" t="s">
        <v>938</v>
      </c>
      <c r="F1428" s="124">
        <v>4</v>
      </c>
      <c r="G1428" s="124" t="s">
        <v>649</v>
      </c>
      <c r="H1428" s="486" t="s">
        <v>5866</v>
      </c>
      <c r="I1428" s="215" t="s">
        <v>816</v>
      </c>
      <c r="J1428" s="215" t="s">
        <v>77</v>
      </c>
      <c r="K1428" s="266">
        <v>812361014325</v>
      </c>
      <c r="L1428" s="265" t="s">
        <v>649</v>
      </c>
      <c r="M1428" s="265" t="s">
        <v>649</v>
      </c>
      <c r="N1428" s="264">
        <v>6.2759999999999998</v>
      </c>
      <c r="O1428" s="265" t="s">
        <v>649</v>
      </c>
      <c r="P1428" s="265">
        <v>25.103999999999999</v>
      </c>
      <c r="Q1428" s="265" t="s">
        <v>649</v>
      </c>
    </row>
    <row r="1429" spans="1:17" ht="15" customHeight="1">
      <c r="A1429" s="147">
        <v>1503</v>
      </c>
      <c r="B1429" s="51" t="s">
        <v>5714</v>
      </c>
      <c r="C1429" s="51" t="s">
        <v>939</v>
      </c>
      <c r="D1429" s="51">
        <v>100030764</v>
      </c>
      <c r="E1429" s="53" t="s">
        <v>940</v>
      </c>
      <c r="F1429" s="124">
        <v>25</v>
      </c>
      <c r="G1429" s="124">
        <v>480</v>
      </c>
      <c r="H1429" s="369">
        <v>25.1</v>
      </c>
      <c r="I1429" s="215" t="s">
        <v>346</v>
      </c>
      <c r="J1429" s="215" t="s">
        <v>102</v>
      </c>
      <c r="K1429" s="266">
        <v>816842022939</v>
      </c>
      <c r="L1429" s="265" t="s">
        <v>649</v>
      </c>
      <c r="M1429" s="266">
        <v>816842022946</v>
      </c>
      <c r="N1429" s="264">
        <v>0.49099999999999999</v>
      </c>
      <c r="O1429" s="265" t="s">
        <v>649</v>
      </c>
      <c r="P1429" s="265">
        <v>14.45</v>
      </c>
      <c r="Q1429" s="265">
        <v>1.8803145838984718</v>
      </c>
    </row>
    <row r="1430" spans="1:17" ht="15" customHeight="1">
      <c r="A1430" s="147">
        <v>1504</v>
      </c>
      <c r="B1430" s="51" t="s">
        <v>5714</v>
      </c>
      <c r="C1430" s="51" t="s">
        <v>941</v>
      </c>
      <c r="D1430" s="51">
        <v>100029426</v>
      </c>
      <c r="E1430" s="53" t="s">
        <v>942</v>
      </c>
      <c r="F1430" s="124">
        <v>16</v>
      </c>
      <c r="G1430" s="124">
        <v>288</v>
      </c>
      <c r="H1430" s="369">
        <v>32.68</v>
      </c>
      <c r="I1430" s="215" t="s">
        <v>76</v>
      </c>
      <c r="J1430" s="215" t="s">
        <v>102</v>
      </c>
      <c r="K1430" s="266">
        <v>816842022298</v>
      </c>
      <c r="L1430" s="265" t="s">
        <v>649</v>
      </c>
      <c r="M1430" s="266">
        <v>816842022304</v>
      </c>
      <c r="N1430" s="264">
        <v>0.75700000000000001</v>
      </c>
      <c r="O1430" s="265" t="s">
        <v>649</v>
      </c>
      <c r="P1430" s="265">
        <v>13.984</v>
      </c>
      <c r="Q1430" s="265">
        <v>2.361325291407383</v>
      </c>
    </row>
    <row r="1431" spans="1:17" ht="15" customHeight="1">
      <c r="A1431" s="147">
        <v>1505</v>
      </c>
      <c r="B1431" s="51" t="s">
        <v>5714</v>
      </c>
      <c r="C1431" s="51" t="s">
        <v>943</v>
      </c>
      <c r="D1431" s="51">
        <v>300005511</v>
      </c>
      <c r="E1431" s="53" t="s">
        <v>944</v>
      </c>
      <c r="F1431" s="124">
        <v>8</v>
      </c>
      <c r="G1431" s="124">
        <v>128</v>
      </c>
      <c r="H1431" s="486" t="s">
        <v>5866</v>
      </c>
      <c r="I1431" s="215" t="s">
        <v>816</v>
      </c>
      <c r="J1431" s="215" t="s">
        <v>77</v>
      </c>
      <c r="K1431" s="266">
        <v>812361014097</v>
      </c>
      <c r="L1431" s="265" t="s">
        <v>649</v>
      </c>
      <c r="M1431" s="266">
        <v>10812361014094</v>
      </c>
      <c r="N1431" s="264">
        <v>3</v>
      </c>
      <c r="O1431" s="265" t="s">
        <v>649</v>
      </c>
      <c r="P1431" s="265">
        <v>24</v>
      </c>
      <c r="Q1431" s="265" t="s">
        <v>649</v>
      </c>
    </row>
    <row r="1432" spans="1:17" ht="15" customHeight="1">
      <c r="A1432" s="147">
        <v>1506</v>
      </c>
      <c r="B1432" s="51" t="s">
        <v>5714</v>
      </c>
      <c r="C1432" s="51" t="s">
        <v>945</v>
      </c>
      <c r="D1432" s="51">
        <v>300005544</v>
      </c>
      <c r="E1432" s="53" t="s">
        <v>946</v>
      </c>
      <c r="F1432" s="124">
        <v>2</v>
      </c>
      <c r="G1432" s="124" t="s">
        <v>649</v>
      </c>
      <c r="H1432" s="486" t="s">
        <v>5866</v>
      </c>
      <c r="I1432" s="215" t="s">
        <v>816</v>
      </c>
      <c r="J1432" s="215" t="s">
        <v>77</v>
      </c>
      <c r="K1432" s="266">
        <v>812361014523</v>
      </c>
      <c r="L1432" s="265" t="s">
        <v>649</v>
      </c>
      <c r="M1432" s="265" t="s">
        <v>649</v>
      </c>
      <c r="N1432" s="264">
        <v>6.6</v>
      </c>
      <c r="O1432" s="265" t="s">
        <v>649</v>
      </c>
      <c r="P1432" s="265">
        <v>13.2</v>
      </c>
      <c r="Q1432" s="265" t="s">
        <v>649</v>
      </c>
    </row>
    <row r="1433" spans="1:17" ht="15" customHeight="1">
      <c r="A1433" s="147">
        <v>1507</v>
      </c>
      <c r="B1433" s="51" t="s">
        <v>5714</v>
      </c>
      <c r="C1433" s="51" t="s">
        <v>947</v>
      </c>
      <c r="D1433" s="51">
        <v>100029427</v>
      </c>
      <c r="E1433" s="53" t="s">
        <v>948</v>
      </c>
      <c r="F1433" s="124">
        <v>16</v>
      </c>
      <c r="G1433" s="124">
        <v>288</v>
      </c>
      <c r="H1433" s="369">
        <v>38.25</v>
      </c>
      <c r="I1433" s="215" t="s">
        <v>76</v>
      </c>
      <c r="J1433" s="215" t="s">
        <v>102</v>
      </c>
      <c r="K1433" s="266">
        <v>816842022311</v>
      </c>
      <c r="L1433" s="265" t="s">
        <v>649</v>
      </c>
      <c r="M1433" s="266">
        <v>816842022328</v>
      </c>
      <c r="N1433" s="264">
        <v>0.78400000000000003</v>
      </c>
      <c r="O1433" s="265" t="s">
        <v>649</v>
      </c>
      <c r="P1433" s="265">
        <v>14.416</v>
      </c>
      <c r="Q1433" s="265">
        <v>2.361325291407383</v>
      </c>
    </row>
    <row r="1434" spans="1:17" ht="15" customHeight="1">
      <c r="A1434" s="147">
        <v>1508</v>
      </c>
      <c r="B1434" s="51" t="s">
        <v>5714</v>
      </c>
      <c r="C1434" s="51" t="s">
        <v>949</v>
      </c>
      <c r="D1434" s="51">
        <v>300005512</v>
      </c>
      <c r="E1434" s="53" t="s">
        <v>950</v>
      </c>
      <c r="F1434" s="124">
        <v>8</v>
      </c>
      <c r="G1434" s="124">
        <v>128</v>
      </c>
      <c r="H1434" s="486" t="s">
        <v>5866</v>
      </c>
      <c r="I1434" s="215" t="s">
        <v>816</v>
      </c>
      <c r="J1434" s="215" t="s">
        <v>77</v>
      </c>
      <c r="K1434" s="266">
        <v>812361014110</v>
      </c>
      <c r="L1434" s="265" t="s">
        <v>649</v>
      </c>
      <c r="M1434" s="266">
        <v>10812361014117</v>
      </c>
      <c r="N1434" s="264">
        <v>3</v>
      </c>
      <c r="O1434" s="265" t="s">
        <v>649</v>
      </c>
      <c r="P1434" s="265">
        <v>24</v>
      </c>
      <c r="Q1434" s="265" t="s">
        <v>649</v>
      </c>
    </row>
    <row r="1435" spans="1:17" ht="15" customHeight="1">
      <c r="A1435" s="147">
        <v>1509</v>
      </c>
      <c r="B1435" s="51" t="s">
        <v>5714</v>
      </c>
      <c r="C1435" s="51" t="s">
        <v>951</v>
      </c>
      <c r="D1435" s="51">
        <v>100029530</v>
      </c>
      <c r="E1435" s="53" t="s">
        <v>952</v>
      </c>
      <c r="F1435" s="124">
        <v>24</v>
      </c>
      <c r="G1435" s="124">
        <v>288</v>
      </c>
      <c r="H1435" s="369">
        <v>27.67</v>
      </c>
      <c r="I1435" s="215" t="s">
        <v>76</v>
      </c>
      <c r="J1435" s="215" t="s">
        <v>102</v>
      </c>
      <c r="K1435" s="266">
        <v>816842022335</v>
      </c>
      <c r="L1435" s="265" t="s">
        <v>649</v>
      </c>
      <c r="M1435" s="266">
        <v>816842022342</v>
      </c>
      <c r="N1435" s="264">
        <v>0.70799999999999996</v>
      </c>
      <c r="O1435" s="265" t="s">
        <v>649</v>
      </c>
      <c r="P1435" s="265">
        <v>18.911999999999999</v>
      </c>
      <c r="Q1435" s="265">
        <v>2.7986077527791204</v>
      </c>
    </row>
    <row r="1436" spans="1:17" ht="15" customHeight="1">
      <c r="A1436" s="147">
        <v>1510</v>
      </c>
      <c r="B1436" s="51" t="s">
        <v>5714</v>
      </c>
      <c r="C1436" s="51" t="s">
        <v>953</v>
      </c>
      <c r="D1436" s="51">
        <v>100029369</v>
      </c>
      <c r="E1436" s="53" t="s">
        <v>954</v>
      </c>
      <c r="F1436" s="124">
        <v>8</v>
      </c>
      <c r="G1436" s="124">
        <v>96</v>
      </c>
      <c r="H1436" s="369">
        <v>87.01</v>
      </c>
      <c r="I1436" s="215" t="s">
        <v>76</v>
      </c>
      <c r="J1436" s="215" t="s">
        <v>102</v>
      </c>
      <c r="K1436" s="266">
        <v>816842022434</v>
      </c>
      <c r="L1436" s="265" t="s">
        <v>649</v>
      </c>
      <c r="M1436" s="266">
        <v>816842022441</v>
      </c>
      <c r="N1436" s="264">
        <v>2.3359999999999999</v>
      </c>
      <c r="O1436" s="265" t="s">
        <v>649</v>
      </c>
      <c r="P1436" s="265">
        <v>20.584</v>
      </c>
      <c r="Q1436" s="265">
        <v>2.7986077527791204</v>
      </c>
    </row>
    <row r="1437" spans="1:17" ht="15" customHeight="1">
      <c r="A1437" s="147">
        <v>1511</v>
      </c>
      <c r="B1437" s="51" t="s">
        <v>5714</v>
      </c>
      <c r="C1437" s="51" t="s">
        <v>955</v>
      </c>
      <c r="D1437" s="51">
        <v>100029368</v>
      </c>
      <c r="E1437" s="53" t="s">
        <v>956</v>
      </c>
      <c r="F1437" s="124">
        <v>4</v>
      </c>
      <c r="G1437" s="124">
        <v>48</v>
      </c>
      <c r="H1437" s="369">
        <v>360.96</v>
      </c>
      <c r="I1437" s="215" t="s">
        <v>76</v>
      </c>
      <c r="J1437" s="215" t="s">
        <v>102</v>
      </c>
      <c r="K1437" s="266">
        <v>810673019618</v>
      </c>
      <c r="L1437" s="265" t="s">
        <v>649</v>
      </c>
      <c r="M1437" s="266">
        <v>810673019625</v>
      </c>
      <c r="N1437" s="264">
        <v>5.2359999999999998</v>
      </c>
      <c r="O1437" s="265" t="s">
        <v>649</v>
      </c>
      <c r="P1437" s="265">
        <v>23.96</v>
      </c>
      <c r="Q1437" s="265">
        <v>3.6731726755225957</v>
      </c>
    </row>
    <row r="1438" spans="1:17" ht="15" customHeight="1">
      <c r="A1438" s="147">
        <v>1512</v>
      </c>
      <c r="B1438" s="51" t="s">
        <v>5714</v>
      </c>
      <c r="C1438" s="51" t="s">
        <v>957</v>
      </c>
      <c r="D1438" s="51">
        <v>300005196</v>
      </c>
      <c r="E1438" s="53" t="s">
        <v>958</v>
      </c>
      <c r="F1438" s="124">
        <v>25</v>
      </c>
      <c r="G1438" s="124">
        <v>630</v>
      </c>
      <c r="H1438" s="486" t="s">
        <v>5866</v>
      </c>
      <c r="I1438" s="215" t="s">
        <v>816</v>
      </c>
      <c r="J1438" s="215" t="s">
        <v>77</v>
      </c>
      <c r="K1438" s="266">
        <v>810673010455</v>
      </c>
      <c r="L1438" s="265" t="s">
        <v>649</v>
      </c>
      <c r="M1438" s="266">
        <v>20810673010459</v>
      </c>
      <c r="N1438" s="264">
        <v>1.02</v>
      </c>
      <c r="O1438" s="265" t="s">
        <v>649</v>
      </c>
      <c r="P1438" s="265">
        <v>25.5</v>
      </c>
      <c r="Q1438" s="265" t="s">
        <v>649</v>
      </c>
    </row>
    <row r="1439" spans="1:17" ht="15" customHeight="1">
      <c r="A1439" s="147">
        <v>1513</v>
      </c>
      <c r="B1439" s="51" t="s">
        <v>5714</v>
      </c>
      <c r="C1439" s="51" t="s">
        <v>959</v>
      </c>
      <c r="D1439" s="51">
        <v>300005487</v>
      </c>
      <c r="E1439" s="53" t="s">
        <v>960</v>
      </c>
      <c r="F1439" s="124">
        <v>25</v>
      </c>
      <c r="G1439" s="124">
        <v>320</v>
      </c>
      <c r="H1439" s="486" t="s">
        <v>5866</v>
      </c>
      <c r="I1439" s="215" t="s">
        <v>816</v>
      </c>
      <c r="J1439" s="215" t="s">
        <v>77</v>
      </c>
      <c r="K1439" s="266">
        <v>810673010752</v>
      </c>
      <c r="L1439" s="265" t="s">
        <v>649</v>
      </c>
      <c r="M1439" s="266">
        <v>10810673010759</v>
      </c>
      <c r="N1439" s="264">
        <v>1.53</v>
      </c>
      <c r="O1439" s="265" t="s">
        <v>649</v>
      </c>
      <c r="P1439" s="265">
        <v>38.25</v>
      </c>
      <c r="Q1439" s="265" t="s">
        <v>649</v>
      </c>
    </row>
    <row r="1440" spans="1:17" ht="15" customHeight="1">
      <c r="A1440" s="147">
        <v>1514</v>
      </c>
      <c r="B1440" s="51" t="s">
        <v>5714</v>
      </c>
      <c r="C1440" s="51" t="s">
        <v>961</v>
      </c>
      <c r="D1440" s="51">
        <v>300005778</v>
      </c>
      <c r="E1440" s="53" t="s">
        <v>962</v>
      </c>
      <c r="F1440" s="124">
        <v>8</v>
      </c>
      <c r="G1440" s="124">
        <v>96</v>
      </c>
      <c r="H1440" s="486" t="s">
        <v>5866</v>
      </c>
      <c r="I1440" s="215" t="s">
        <v>346</v>
      </c>
      <c r="J1440" s="215" t="s">
        <v>77</v>
      </c>
      <c r="K1440" s="266">
        <v>810673019632</v>
      </c>
      <c r="L1440" s="265" t="s">
        <v>649</v>
      </c>
      <c r="M1440" s="265" t="s">
        <v>649</v>
      </c>
      <c r="N1440" s="264">
        <v>2.282</v>
      </c>
      <c r="O1440" s="265" t="s">
        <v>649</v>
      </c>
      <c r="P1440" s="265">
        <v>18.256</v>
      </c>
      <c r="Q1440" s="265" t="s">
        <v>649</v>
      </c>
    </row>
    <row r="1441" spans="1:17" ht="15" customHeight="1">
      <c r="A1441" s="147">
        <v>1515</v>
      </c>
      <c r="B1441" s="51" t="s">
        <v>5714</v>
      </c>
      <c r="C1441" s="51" t="s">
        <v>963</v>
      </c>
      <c r="D1441" s="51">
        <v>300005780</v>
      </c>
      <c r="E1441" s="53" t="s">
        <v>964</v>
      </c>
      <c r="F1441" s="124">
        <v>4</v>
      </c>
      <c r="G1441" s="124">
        <v>48</v>
      </c>
      <c r="H1441" s="486" t="s">
        <v>5866</v>
      </c>
      <c r="I1441" s="215" t="s">
        <v>816</v>
      </c>
      <c r="J1441" s="215" t="s">
        <v>77</v>
      </c>
      <c r="K1441" s="266">
        <v>810673019656</v>
      </c>
      <c r="L1441" s="265" t="s">
        <v>649</v>
      </c>
      <c r="M1441" s="265" t="s">
        <v>649</v>
      </c>
      <c r="N1441" s="264">
        <v>5.36</v>
      </c>
      <c r="O1441" s="265" t="s">
        <v>649</v>
      </c>
      <c r="P1441" s="265">
        <v>21.44</v>
      </c>
      <c r="Q1441" s="265" t="s">
        <v>649</v>
      </c>
    </row>
    <row r="1442" spans="1:17" ht="15" customHeight="1">
      <c r="A1442" s="147">
        <v>1516</v>
      </c>
      <c r="B1442" s="51" t="s">
        <v>5714</v>
      </c>
      <c r="C1442" s="51" t="s">
        <v>965</v>
      </c>
      <c r="D1442" s="51">
        <v>100029140</v>
      </c>
      <c r="E1442" s="53" t="s">
        <v>966</v>
      </c>
      <c r="F1442" s="124">
        <v>20</v>
      </c>
      <c r="G1442" s="124">
        <v>900</v>
      </c>
      <c r="H1442" s="369">
        <v>15.78</v>
      </c>
      <c r="I1442" s="215" t="s">
        <v>76</v>
      </c>
      <c r="J1442" s="215" t="s">
        <v>102</v>
      </c>
      <c r="K1442" s="266">
        <v>812361010518</v>
      </c>
      <c r="L1442" s="265" t="s">
        <v>649</v>
      </c>
      <c r="M1442" s="266">
        <v>10812361010515</v>
      </c>
      <c r="N1442" s="264">
        <v>0.36199999999999999</v>
      </c>
      <c r="O1442" s="265" t="s">
        <v>649</v>
      </c>
      <c r="P1442" s="265">
        <v>8.44</v>
      </c>
      <c r="Q1442" s="265">
        <v>0.98955954024750914</v>
      </c>
    </row>
    <row r="1443" spans="1:17" ht="15" customHeight="1">
      <c r="A1443" s="147">
        <v>1517</v>
      </c>
      <c r="B1443" s="51" t="s">
        <v>5714</v>
      </c>
      <c r="C1443" s="51" t="s">
        <v>967</v>
      </c>
      <c r="D1443" s="51">
        <v>100029406</v>
      </c>
      <c r="E1443" s="53" t="s">
        <v>968</v>
      </c>
      <c r="F1443" s="124">
        <v>12</v>
      </c>
      <c r="G1443" s="124">
        <v>216</v>
      </c>
      <c r="H1443" s="369">
        <v>57.61</v>
      </c>
      <c r="I1443" s="215" t="s">
        <v>76</v>
      </c>
      <c r="J1443" s="215" t="s">
        <v>102</v>
      </c>
      <c r="K1443" s="266">
        <v>816842022571</v>
      </c>
      <c r="L1443" s="265" t="s">
        <v>649</v>
      </c>
      <c r="M1443" s="266">
        <v>816842022588</v>
      </c>
      <c r="N1443" s="264">
        <v>1.37</v>
      </c>
      <c r="O1443" s="265" t="s">
        <v>649</v>
      </c>
      <c r="P1443" s="265">
        <v>18.288</v>
      </c>
      <c r="Q1443" s="265">
        <v>2.361325291407383</v>
      </c>
    </row>
    <row r="1444" spans="1:17" ht="15" customHeight="1">
      <c r="A1444" s="147">
        <v>1518</v>
      </c>
      <c r="B1444" s="51" t="s">
        <v>5714</v>
      </c>
      <c r="C1444" s="51" t="s">
        <v>969</v>
      </c>
      <c r="D1444" s="51">
        <v>100029405</v>
      </c>
      <c r="E1444" s="53" t="s">
        <v>970</v>
      </c>
      <c r="F1444" s="124">
        <v>6</v>
      </c>
      <c r="G1444" s="124">
        <v>72</v>
      </c>
      <c r="H1444" s="369">
        <v>179.09</v>
      </c>
      <c r="I1444" s="215" t="s">
        <v>346</v>
      </c>
      <c r="J1444" s="215" t="s">
        <v>102</v>
      </c>
      <c r="K1444" s="266">
        <v>812361010556</v>
      </c>
      <c r="L1444" s="265" t="s">
        <v>649</v>
      </c>
      <c r="M1444" s="266">
        <v>812361010754</v>
      </c>
      <c r="N1444" s="264">
        <v>3.13</v>
      </c>
      <c r="O1444" s="265" t="s">
        <v>649</v>
      </c>
      <c r="P1444" s="265">
        <v>21.798000000000002</v>
      </c>
      <c r="Q1444" s="265">
        <v>3.6731726755225957</v>
      </c>
    </row>
    <row r="1445" spans="1:17" ht="15" customHeight="1">
      <c r="A1445" s="147">
        <v>1519</v>
      </c>
      <c r="B1445" s="51" t="s">
        <v>5714</v>
      </c>
      <c r="C1445" s="51" t="s">
        <v>971</v>
      </c>
      <c r="D1445" s="51">
        <v>300005755</v>
      </c>
      <c r="E1445" s="53" t="s">
        <v>972</v>
      </c>
      <c r="F1445" s="124">
        <v>50</v>
      </c>
      <c r="G1445" s="124">
        <v>4800</v>
      </c>
      <c r="H1445" s="486" t="s">
        <v>5866</v>
      </c>
      <c r="I1445" s="215" t="s">
        <v>816</v>
      </c>
      <c r="J1445" s="215" t="s">
        <v>77</v>
      </c>
      <c r="K1445" s="266">
        <v>810673011353</v>
      </c>
      <c r="L1445" s="265" t="s">
        <v>649</v>
      </c>
      <c r="M1445" s="266">
        <v>10810673011350</v>
      </c>
      <c r="N1445" s="264">
        <v>1</v>
      </c>
      <c r="O1445" s="265" t="s">
        <v>649</v>
      </c>
      <c r="P1445" s="265">
        <v>50</v>
      </c>
      <c r="Q1445" s="265" t="s">
        <v>649</v>
      </c>
    </row>
    <row r="1446" spans="1:17" ht="15" customHeight="1">
      <c r="A1446" s="147">
        <v>1520</v>
      </c>
      <c r="B1446" s="51" t="s">
        <v>5714</v>
      </c>
      <c r="C1446" s="51" t="s">
        <v>973</v>
      </c>
      <c r="D1446" s="51">
        <v>100029428</v>
      </c>
      <c r="E1446" s="53" t="s">
        <v>974</v>
      </c>
      <c r="F1446" s="124">
        <v>40</v>
      </c>
      <c r="G1446" s="124">
        <v>1800</v>
      </c>
      <c r="H1446" s="369">
        <v>18.95</v>
      </c>
      <c r="I1446" s="215" t="s">
        <v>76</v>
      </c>
      <c r="J1446" s="215" t="s">
        <v>102</v>
      </c>
      <c r="K1446" s="266">
        <v>816842022670</v>
      </c>
      <c r="L1446" s="265" t="s">
        <v>649</v>
      </c>
      <c r="M1446" s="266">
        <v>816842022687</v>
      </c>
      <c r="N1446" s="264">
        <v>0.42299999999999999</v>
      </c>
      <c r="O1446" s="265" t="s">
        <v>649</v>
      </c>
      <c r="P1446" s="265">
        <v>18.12</v>
      </c>
      <c r="Q1446" s="265">
        <v>0.98955954024750914</v>
      </c>
    </row>
    <row r="1447" spans="1:17" ht="15" customHeight="1">
      <c r="A1447" s="147">
        <v>1521</v>
      </c>
      <c r="B1447" s="51" t="s">
        <v>5714</v>
      </c>
      <c r="C1447" s="51" t="s">
        <v>975</v>
      </c>
      <c r="D1447" s="51">
        <v>100029429</v>
      </c>
      <c r="E1447" s="53" t="s">
        <v>976</v>
      </c>
      <c r="F1447" s="124">
        <v>35</v>
      </c>
      <c r="G1447" s="124">
        <v>1120</v>
      </c>
      <c r="H1447" s="369">
        <v>95.56</v>
      </c>
      <c r="I1447" s="215" t="s">
        <v>76</v>
      </c>
      <c r="J1447" s="215" t="s">
        <v>102</v>
      </c>
      <c r="K1447" s="266">
        <v>816842022694</v>
      </c>
      <c r="L1447" s="265" t="s">
        <v>649</v>
      </c>
      <c r="M1447" s="266">
        <v>816842022700</v>
      </c>
      <c r="N1447" s="264">
        <v>0.79800000000000004</v>
      </c>
      <c r="O1447" s="265" t="s">
        <v>649</v>
      </c>
      <c r="P1447" s="265">
        <v>29.995000000000001</v>
      </c>
      <c r="Q1447" s="265">
        <v>1.3788503419060438</v>
      </c>
    </row>
    <row r="1448" spans="1:17" ht="15" customHeight="1">
      <c r="A1448" s="147">
        <v>1522</v>
      </c>
      <c r="B1448" s="51" t="s">
        <v>5714</v>
      </c>
      <c r="C1448" s="51" t="s">
        <v>977</v>
      </c>
      <c r="D1448" s="51">
        <v>300005532</v>
      </c>
      <c r="E1448" s="53" t="s">
        <v>978</v>
      </c>
      <c r="F1448" s="124">
        <v>8</v>
      </c>
      <c r="G1448" s="124" t="s">
        <v>649</v>
      </c>
      <c r="H1448" s="486" t="s">
        <v>5866</v>
      </c>
      <c r="I1448" s="215" t="s">
        <v>816</v>
      </c>
      <c r="J1448" s="215" t="s">
        <v>77</v>
      </c>
      <c r="K1448" s="266">
        <v>812361010921</v>
      </c>
      <c r="L1448" s="265" t="s">
        <v>649</v>
      </c>
      <c r="M1448" s="265" t="s">
        <v>649</v>
      </c>
      <c r="N1448" s="264">
        <v>1.18</v>
      </c>
      <c r="O1448" s="265" t="s">
        <v>649</v>
      </c>
      <c r="P1448" s="265">
        <v>9.44</v>
      </c>
      <c r="Q1448" s="265" t="s">
        <v>649</v>
      </c>
    </row>
    <row r="1449" spans="1:17" ht="15" customHeight="1">
      <c r="A1449" s="147">
        <v>1523</v>
      </c>
      <c r="B1449" s="51" t="s">
        <v>5714</v>
      </c>
      <c r="C1449" s="51" t="s">
        <v>979</v>
      </c>
      <c r="D1449" s="51">
        <v>100029433</v>
      </c>
      <c r="E1449" s="53" t="s">
        <v>980</v>
      </c>
      <c r="F1449" s="124">
        <v>36</v>
      </c>
      <c r="G1449" s="124">
        <v>1620</v>
      </c>
      <c r="H1449" s="369">
        <v>112.96</v>
      </c>
      <c r="I1449" s="215" t="s">
        <v>76</v>
      </c>
      <c r="J1449" s="215" t="s">
        <v>102</v>
      </c>
      <c r="K1449" s="266">
        <v>812361010495</v>
      </c>
      <c r="L1449" s="265" t="s">
        <v>649</v>
      </c>
      <c r="M1449" s="266">
        <v>812361012246</v>
      </c>
      <c r="N1449" s="264">
        <v>0.56000000000000005</v>
      </c>
      <c r="O1449" s="265" t="s">
        <v>649</v>
      </c>
      <c r="P1449" s="265">
        <v>22.032</v>
      </c>
      <c r="Q1449" s="265">
        <v>0.98955954024750914</v>
      </c>
    </row>
    <row r="1450" spans="1:17" ht="15" customHeight="1">
      <c r="A1450" s="147">
        <v>1524</v>
      </c>
      <c r="B1450" s="51" t="s">
        <v>5714</v>
      </c>
      <c r="C1450" s="51" t="s">
        <v>981</v>
      </c>
      <c r="D1450" s="51">
        <v>300005585</v>
      </c>
      <c r="E1450" s="53" t="s">
        <v>982</v>
      </c>
      <c r="F1450" s="124">
        <v>4</v>
      </c>
      <c r="G1450" s="124" t="s">
        <v>649</v>
      </c>
      <c r="H1450" s="486" t="s">
        <v>5866</v>
      </c>
      <c r="I1450" s="215" t="s">
        <v>816</v>
      </c>
      <c r="J1450" s="215" t="s">
        <v>77</v>
      </c>
      <c r="K1450" s="265" t="s">
        <v>649</v>
      </c>
      <c r="L1450" s="265" t="s">
        <v>649</v>
      </c>
      <c r="M1450" s="265" t="s">
        <v>649</v>
      </c>
      <c r="N1450" s="264">
        <v>1</v>
      </c>
      <c r="O1450" s="265" t="s">
        <v>649</v>
      </c>
      <c r="P1450" s="265">
        <v>4</v>
      </c>
      <c r="Q1450" s="265" t="s">
        <v>649</v>
      </c>
    </row>
    <row r="1451" spans="1:17" ht="15" customHeight="1">
      <c r="A1451" s="147">
        <v>1525</v>
      </c>
      <c r="B1451" s="51" t="s">
        <v>5714</v>
      </c>
      <c r="C1451" s="51" t="s">
        <v>983</v>
      </c>
      <c r="D1451" s="51">
        <v>100029430</v>
      </c>
      <c r="E1451" s="53" t="s">
        <v>984</v>
      </c>
      <c r="F1451" s="124">
        <v>40</v>
      </c>
      <c r="G1451" s="124">
        <v>1600</v>
      </c>
      <c r="H1451" s="369">
        <v>29.67</v>
      </c>
      <c r="I1451" s="215" t="s">
        <v>76</v>
      </c>
      <c r="J1451" s="215" t="s">
        <v>102</v>
      </c>
      <c r="K1451" s="266">
        <v>816842022977</v>
      </c>
      <c r="L1451" s="265" t="s">
        <v>649</v>
      </c>
      <c r="M1451" s="266">
        <v>816842022984</v>
      </c>
      <c r="N1451" s="264">
        <v>0.315</v>
      </c>
      <c r="O1451" s="265" t="s">
        <v>649</v>
      </c>
      <c r="P1451" s="265">
        <v>14.44</v>
      </c>
      <c r="Q1451" s="265">
        <v>2.361325291407383</v>
      </c>
    </row>
    <row r="1452" spans="1:17" ht="15" customHeight="1">
      <c r="A1452" s="147">
        <v>1526</v>
      </c>
      <c r="B1452" s="51" t="s">
        <v>5714</v>
      </c>
      <c r="C1452" s="51" t="s">
        <v>985</v>
      </c>
      <c r="D1452" s="51">
        <v>100031312</v>
      </c>
      <c r="E1452" s="53" t="s">
        <v>986</v>
      </c>
      <c r="F1452" s="124">
        <v>24</v>
      </c>
      <c r="G1452" s="124">
        <v>1080</v>
      </c>
      <c r="H1452" s="369">
        <v>76.56</v>
      </c>
      <c r="I1452" s="215" t="s">
        <v>76</v>
      </c>
      <c r="J1452" s="215" t="s">
        <v>102</v>
      </c>
      <c r="K1452" s="266">
        <v>816842022854</v>
      </c>
      <c r="L1452" s="265" t="s">
        <v>649</v>
      </c>
      <c r="M1452" s="266">
        <v>816842022861</v>
      </c>
      <c r="N1452" s="264">
        <v>1.083</v>
      </c>
      <c r="O1452" s="265" t="s">
        <v>649</v>
      </c>
      <c r="P1452" s="265">
        <v>29.04</v>
      </c>
      <c r="Q1452" s="265">
        <v>3.6731726755225957</v>
      </c>
    </row>
    <row r="1453" spans="1:17" ht="15" customHeight="1">
      <c r="A1453" s="147">
        <v>1527</v>
      </c>
      <c r="B1453" s="51" t="s">
        <v>5714</v>
      </c>
      <c r="C1453" s="51" t="s">
        <v>987</v>
      </c>
      <c r="D1453" s="51">
        <v>300005498</v>
      </c>
      <c r="E1453" s="53" t="s">
        <v>988</v>
      </c>
      <c r="F1453" s="124">
        <v>8</v>
      </c>
      <c r="G1453" s="124">
        <v>84</v>
      </c>
      <c r="H1453" s="486" t="s">
        <v>5866</v>
      </c>
      <c r="I1453" s="215" t="s">
        <v>816</v>
      </c>
      <c r="J1453" s="215" t="s">
        <v>77</v>
      </c>
      <c r="K1453" s="266">
        <v>812361014646</v>
      </c>
      <c r="L1453" s="265" t="s">
        <v>649</v>
      </c>
      <c r="M1453" s="265" t="s">
        <v>649</v>
      </c>
      <c r="N1453" s="264">
        <v>2.8</v>
      </c>
      <c r="O1453" s="265" t="s">
        <v>649</v>
      </c>
      <c r="P1453" s="265">
        <v>22.4</v>
      </c>
      <c r="Q1453" s="265" t="s">
        <v>649</v>
      </c>
    </row>
    <row r="1454" spans="1:17" ht="15" customHeight="1">
      <c r="A1454" s="147">
        <v>1528</v>
      </c>
      <c r="B1454" s="51" t="s">
        <v>5714</v>
      </c>
      <c r="C1454" s="51" t="s">
        <v>989</v>
      </c>
      <c r="D1454" s="51">
        <v>300005529</v>
      </c>
      <c r="E1454" s="53" t="s">
        <v>990</v>
      </c>
      <c r="F1454" s="124">
        <v>10</v>
      </c>
      <c r="G1454" s="124" t="s">
        <v>649</v>
      </c>
      <c r="H1454" s="486" t="s">
        <v>5866</v>
      </c>
      <c r="I1454" s="215" t="s">
        <v>816</v>
      </c>
      <c r="J1454" s="215" t="s">
        <v>77</v>
      </c>
      <c r="K1454" s="266">
        <v>812361014660</v>
      </c>
      <c r="L1454" s="265" t="s">
        <v>649</v>
      </c>
      <c r="M1454" s="265" t="s">
        <v>649</v>
      </c>
      <c r="N1454" s="264">
        <v>2.48</v>
      </c>
      <c r="O1454" s="265" t="s">
        <v>649</v>
      </c>
      <c r="P1454" s="265">
        <v>24.8</v>
      </c>
      <c r="Q1454" s="265" t="s">
        <v>649</v>
      </c>
    </row>
    <row r="1455" spans="1:17" ht="15" customHeight="1">
      <c r="A1455" s="147">
        <v>1529</v>
      </c>
      <c r="B1455" s="51" t="s">
        <v>5714</v>
      </c>
      <c r="C1455" s="51" t="s">
        <v>991</v>
      </c>
      <c r="D1455" s="51">
        <v>100029407</v>
      </c>
      <c r="E1455" s="53" t="s">
        <v>992</v>
      </c>
      <c r="F1455" s="124">
        <v>36</v>
      </c>
      <c r="G1455" s="124">
        <v>864</v>
      </c>
      <c r="H1455" s="369">
        <v>76.3</v>
      </c>
      <c r="I1455" s="215" t="s">
        <v>76</v>
      </c>
      <c r="J1455" s="215" t="s">
        <v>102</v>
      </c>
      <c r="K1455" s="266">
        <v>812361010624</v>
      </c>
      <c r="L1455" s="265" t="s">
        <v>649</v>
      </c>
      <c r="M1455" s="266">
        <v>10812361010621</v>
      </c>
      <c r="N1455" s="264">
        <v>0.60899999999999999</v>
      </c>
      <c r="O1455" s="265" t="s">
        <v>649</v>
      </c>
      <c r="P1455" s="265">
        <v>24.12</v>
      </c>
      <c r="Q1455" s="265">
        <v>1.8803145838984718</v>
      </c>
    </row>
    <row r="1456" spans="1:17" ht="15" customHeight="1">
      <c r="A1456" s="147">
        <v>1530</v>
      </c>
      <c r="B1456" s="51" t="s">
        <v>5714</v>
      </c>
      <c r="C1456" s="51" t="s">
        <v>993</v>
      </c>
      <c r="D1456" s="51">
        <v>100031010</v>
      </c>
      <c r="E1456" s="53" t="s">
        <v>994</v>
      </c>
      <c r="F1456" s="124">
        <v>25</v>
      </c>
      <c r="G1456" s="124">
        <v>300</v>
      </c>
      <c r="H1456" s="369">
        <v>174.26</v>
      </c>
      <c r="I1456" s="215" t="s">
        <v>76</v>
      </c>
      <c r="J1456" s="215" t="s">
        <v>102</v>
      </c>
      <c r="K1456" s="266">
        <v>812361010648</v>
      </c>
      <c r="L1456" s="265" t="s">
        <v>649</v>
      </c>
      <c r="M1456" s="266">
        <v>812361015551</v>
      </c>
      <c r="N1456" s="264">
        <v>1.78</v>
      </c>
      <c r="O1456" s="265" t="s">
        <v>649</v>
      </c>
      <c r="P1456" s="265">
        <v>47.55</v>
      </c>
      <c r="Q1456" s="265">
        <v>3.6731726755225957</v>
      </c>
    </row>
    <row r="1457" spans="1:17" ht="15" customHeight="1">
      <c r="A1457" s="147">
        <v>1531</v>
      </c>
      <c r="B1457" s="51" t="s">
        <v>5714</v>
      </c>
      <c r="C1457" s="51" t="s">
        <v>995</v>
      </c>
      <c r="D1457" s="51">
        <v>300005491</v>
      </c>
      <c r="E1457" s="53" t="s">
        <v>996</v>
      </c>
      <c r="F1457" s="124">
        <v>25</v>
      </c>
      <c r="G1457" s="124">
        <v>1800</v>
      </c>
      <c r="H1457" s="486" t="s">
        <v>5866</v>
      </c>
      <c r="I1457" s="215" t="s">
        <v>816</v>
      </c>
      <c r="J1457" s="215" t="s">
        <v>77</v>
      </c>
      <c r="K1457" s="266">
        <v>812361017456</v>
      </c>
      <c r="L1457" s="265" t="s">
        <v>649</v>
      </c>
      <c r="M1457" s="266">
        <v>10812361017453</v>
      </c>
      <c r="N1457" s="264">
        <v>0.4</v>
      </c>
      <c r="O1457" s="265" t="s">
        <v>649</v>
      </c>
      <c r="P1457" s="265">
        <v>10</v>
      </c>
      <c r="Q1457" s="265" t="s">
        <v>649</v>
      </c>
    </row>
    <row r="1458" spans="1:17" ht="15" customHeight="1">
      <c r="A1458" s="147">
        <v>1532</v>
      </c>
      <c r="B1458" s="51" t="s">
        <v>5714</v>
      </c>
      <c r="C1458" s="51" t="s">
        <v>997</v>
      </c>
      <c r="D1458" s="51">
        <v>300005756</v>
      </c>
      <c r="E1458" s="53" t="s">
        <v>998</v>
      </c>
      <c r="F1458" s="124">
        <v>25</v>
      </c>
      <c r="G1458" s="124">
        <v>1800</v>
      </c>
      <c r="H1458" s="486" t="s">
        <v>5866</v>
      </c>
      <c r="I1458" s="215" t="s">
        <v>346</v>
      </c>
      <c r="J1458" s="215" t="s">
        <v>77</v>
      </c>
      <c r="K1458" s="266">
        <v>812361017470</v>
      </c>
      <c r="L1458" s="265" t="s">
        <v>649</v>
      </c>
      <c r="M1458" s="265" t="s">
        <v>649</v>
      </c>
      <c r="N1458" s="264">
        <v>0.4</v>
      </c>
      <c r="O1458" s="265" t="s">
        <v>649</v>
      </c>
      <c r="P1458" s="265">
        <v>10</v>
      </c>
      <c r="Q1458" s="265" t="s">
        <v>649</v>
      </c>
    </row>
    <row r="1459" spans="1:17" ht="15" customHeight="1">
      <c r="A1459" s="147">
        <v>1533</v>
      </c>
      <c r="B1459" s="51" t="s">
        <v>5714</v>
      </c>
      <c r="C1459" s="51" t="s">
        <v>999</v>
      </c>
      <c r="D1459" s="51">
        <v>300005495</v>
      </c>
      <c r="E1459" s="53" t="s">
        <v>1000</v>
      </c>
      <c r="F1459" s="124">
        <v>15</v>
      </c>
      <c r="G1459" s="124" t="s">
        <v>649</v>
      </c>
      <c r="H1459" s="486" t="s">
        <v>5866</v>
      </c>
      <c r="I1459" s="215" t="s">
        <v>816</v>
      </c>
      <c r="J1459" s="215" t="s">
        <v>77</v>
      </c>
      <c r="K1459" s="266">
        <v>812361011720</v>
      </c>
      <c r="L1459" s="265" t="s">
        <v>649</v>
      </c>
      <c r="M1459" s="265" t="s">
        <v>649</v>
      </c>
      <c r="N1459" s="264">
        <v>0.4</v>
      </c>
      <c r="O1459" s="265" t="s">
        <v>649</v>
      </c>
      <c r="P1459" s="265">
        <v>6</v>
      </c>
      <c r="Q1459" s="265" t="s">
        <v>649</v>
      </c>
    </row>
    <row r="1460" spans="1:17" ht="15" customHeight="1">
      <c r="A1460" s="147">
        <v>1534</v>
      </c>
      <c r="B1460" s="51" t="s">
        <v>5714</v>
      </c>
      <c r="C1460" s="51" t="s">
        <v>1001</v>
      </c>
      <c r="D1460" s="51">
        <v>100031313</v>
      </c>
      <c r="E1460" s="53" t="s">
        <v>1002</v>
      </c>
      <c r="F1460" s="124">
        <v>12</v>
      </c>
      <c r="G1460" s="124">
        <v>480</v>
      </c>
      <c r="H1460" s="369">
        <v>131.69</v>
      </c>
      <c r="I1460" s="215" t="s">
        <v>76</v>
      </c>
      <c r="J1460" s="215" t="s">
        <v>102</v>
      </c>
      <c r="K1460" s="266">
        <v>812361011751</v>
      </c>
      <c r="L1460" s="265" t="s">
        <v>649</v>
      </c>
      <c r="M1460" s="266">
        <v>10812361011758</v>
      </c>
      <c r="N1460" s="264">
        <v>1.234</v>
      </c>
      <c r="O1460" s="265" t="s">
        <v>649</v>
      </c>
      <c r="P1460" s="265">
        <v>16.968</v>
      </c>
      <c r="Q1460" s="265">
        <v>1.8803145838984718</v>
      </c>
    </row>
    <row r="1461" spans="1:17" ht="15" customHeight="1">
      <c r="A1461" s="147">
        <v>1535</v>
      </c>
      <c r="B1461" s="51" t="s">
        <v>5714</v>
      </c>
      <c r="C1461" s="51" t="s">
        <v>1003</v>
      </c>
      <c r="D1461" s="51">
        <v>100029414</v>
      </c>
      <c r="E1461" s="53" t="s">
        <v>1004</v>
      </c>
      <c r="F1461" s="124">
        <v>19</v>
      </c>
      <c r="G1461" s="124">
        <v>855</v>
      </c>
      <c r="H1461" s="369">
        <v>39.94</v>
      </c>
      <c r="I1461" s="215" t="s">
        <v>76</v>
      </c>
      <c r="J1461" s="215" t="s">
        <v>102</v>
      </c>
      <c r="K1461" s="266">
        <v>810116843008</v>
      </c>
      <c r="L1461" s="265" t="s">
        <v>649</v>
      </c>
      <c r="M1461" s="266">
        <v>810116843015</v>
      </c>
      <c r="N1461" s="264">
        <v>0.41199999999999998</v>
      </c>
      <c r="O1461" s="265" t="s">
        <v>649</v>
      </c>
      <c r="P1461" s="265">
        <v>9.8990000000000009</v>
      </c>
      <c r="Q1461" s="265">
        <v>1.3788503419060438</v>
      </c>
    </row>
    <row r="1462" spans="1:17" ht="15" customHeight="1">
      <c r="A1462" s="147">
        <v>1536</v>
      </c>
      <c r="B1462" s="51" t="s">
        <v>5714</v>
      </c>
      <c r="C1462" s="51" t="s">
        <v>1005</v>
      </c>
      <c r="D1462" s="51">
        <v>300005502</v>
      </c>
      <c r="E1462" s="53" t="s">
        <v>1006</v>
      </c>
      <c r="F1462" s="124">
        <v>12</v>
      </c>
      <c r="G1462" s="124">
        <v>540</v>
      </c>
      <c r="H1462" s="486" t="s">
        <v>5866</v>
      </c>
      <c r="I1462" s="215" t="s">
        <v>346</v>
      </c>
      <c r="J1462" s="215" t="s">
        <v>77</v>
      </c>
      <c r="K1462" s="266">
        <v>812361014172</v>
      </c>
      <c r="L1462" s="265" t="s">
        <v>649</v>
      </c>
      <c r="M1462" s="266">
        <v>10812361014179</v>
      </c>
      <c r="N1462" s="264">
        <v>1.2789999999999999</v>
      </c>
      <c r="O1462" s="265" t="s">
        <v>649</v>
      </c>
      <c r="P1462" s="265">
        <v>15.347999999999999</v>
      </c>
      <c r="Q1462" s="265" t="s">
        <v>649</v>
      </c>
    </row>
    <row r="1463" spans="1:17" ht="15" customHeight="1">
      <c r="A1463" s="147">
        <v>1537</v>
      </c>
      <c r="B1463" s="51" t="s">
        <v>5714</v>
      </c>
      <c r="C1463" s="51" t="s">
        <v>1007</v>
      </c>
      <c r="D1463" s="51">
        <v>100029431</v>
      </c>
      <c r="E1463" s="53" t="s">
        <v>1008</v>
      </c>
      <c r="F1463" s="124">
        <v>48</v>
      </c>
      <c r="G1463" s="124">
        <v>1152</v>
      </c>
      <c r="H1463" s="369">
        <v>28.33</v>
      </c>
      <c r="I1463" s="215" t="s">
        <v>76</v>
      </c>
      <c r="J1463" s="215" t="s">
        <v>102</v>
      </c>
      <c r="K1463" s="266">
        <v>812361010563</v>
      </c>
      <c r="L1463" s="265" t="s">
        <v>649</v>
      </c>
      <c r="M1463" s="266">
        <v>812361015384</v>
      </c>
      <c r="N1463" s="264">
        <v>0.39</v>
      </c>
      <c r="O1463" s="265" t="s">
        <v>649</v>
      </c>
      <c r="P1463" s="265">
        <v>20.928000000000001</v>
      </c>
      <c r="Q1463" s="265">
        <v>1.8803145838984718</v>
      </c>
    </row>
    <row r="1464" spans="1:17" ht="15" customHeight="1">
      <c r="A1464" s="147">
        <v>1538</v>
      </c>
      <c r="B1464" s="51" t="s">
        <v>5714</v>
      </c>
      <c r="C1464" s="51" t="s">
        <v>1009</v>
      </c>
      <c r="D1464" s="51">
        <v>100031314</v>
      </c>
      <c r="E1464" s="53" t="s">
        <v>1010</v>
      </c>
      <c r="F1464" s="124">
        <v>24</v>
      </c>
      <c r="G1464" s="124">
        <v>1080</v>
      </c>
      <c r="H1464" s="369">
        <v>109.99</v>
      </c>
      <c r="I1464" s="215" t="s">
        <v>76</v>
      </c>
      <c r="J1464" s="215" t="s">
        <v>102</v>
      </c>
      <c r="K1464" s="266">
        <v>812361019757</v>
      </c>
      <c r="L1464" s="265" t="s">
        <v>649</v>
      </c>
      <c r="M1464" s="266">
        <v>10812361019754</v>
      </c>
      <c r="N1464" s="264">
        <v>1.234</v>
      </c>
      <c r="O1464" s="265" t="s">
        <v>649</v>
      </c>
      <c r="P1464" s="265">
        <v>31.536000000000001</v>
      </c>
      <c r="Q1464" s="265">
        <v>2.7986077527791204</v>
      </c>
    </row>
    <row r="1465" spans="1:17" ht="15" customHeight="1">
      <c r="A1465" s="147">
        <v>1539</v>
      </c>
      <c r="B1465" s="51" t="s">
        <v>5714</v>
      </c>
      <c r="C1465" s="51" t="s">
        <v>1011</v>
      </c>
      <c r="D1465" s="51">
        <v>300005754</v>
      </c>
      <c r="E1465" s="53" t="s">
        <v>1012</v>
      </c>
      <c r="F1465" s="124">
        <v>25</v>
      </c>
      <c r="G1465" s="124">
        <v>1800</v>
      </c>
      <c r="H1465" s="486" t="s">
        <v>5866</v>
      </c>
      <c r="I1465" s="215" t="s">
        <v>346</v>
      </c>
      <c r="J1465" s="215" t="s">
        <v>77</v>
      </c>
      <c r="K1465" s="266">
        <v>816842022755</v>
      </c>
      <c r="L1465" s="265" t="s">
        <v>649</v>
      </c>
      <c r="M1465" s="265" t="s">
        <v>649</v>
      </c>
      <c r="N1465" s="264">
        <v>1.2</v>
      </c>
      <c r="O1465" s="265" t="s">
        <v>649</v>
      </c>
      <c r="P1465" s="265">
        <v>30</v>
      </c>
      <c r="Q1465" s="265" t="s">
        <v>649</v>
      </c>
    </row>
    <row r="1466" spans="1:17" ht="15" customHeight="1">
      <c r="A1466" s="147">
        <v>1540</v>
      </c>
      <c r="B1466" s="51" t="s">
        <v>5714</v>
      </c>
      <c r="C1466" s="51" t="s">
        <v>1013</v>
      </c>
      <c r="D1466" s="51">
        <v>100031315</v>
      </c>
      <c r="E1466" s="53" t="s">
        <v>1014</v>
      </c>
      <c r="F1466" s="124">
        <v>24</v>
      </c>
      <c r="G1466" s="124">
        <v>288</v>
      </c>
      <c r="H1466" s="369">
        <v>74.819999999999993</v>
      </c>
      <c r="I1466" s="215" t="s">
        <v>76</v>
      </c>
      <c r="J1466" s="215" t="s">
        <v>102</v>
      </c>
      <c r="K1466" s="266">
        <v>812361014134</v>
      </c>
      <c r="L1466" s="265" t="s">
        <v>649</v>
      </c>
      <c r="M1466" s="266">
        <v>10812361014131</v>
      </c>
      <c r="N1466" s="264">
        <v>1.044</v>
      </c>
      <c r="O1466" s="265" t="s">
        <v>649</v>
      </c>
      <c r="P1466" s="265">
        <v>28.103999999999999</v>
      </c>
      <c r="Q1466" s="265">
        <v>3.6731726755225957</v>
      </c>
    </row>
    <row r="1467" spans="1:17" ht="15" customHeight="1">
      <c r="A1467" s="147">
        <v>1541</v>
      </c>
      <c r="B1467" s="51" t="s">
        <v>5714</v>
      </c>
      <c r="C1467" s="51" t="s">
        <v>1015</v>
      </c>
      <c r="D1467" s="51">
        <v>300005560</v>
      </c>
      <c r="E1467" s="53" t="s">
        <v>1016</v>
      </c>
      <c r="F1467" s="124">
        <v>8</v>
      </c>
      <c r="G1467" s="124" t="s">
        <v>649</v>
      </c>
      <c r="H1467" s="486" t="s">
        <v>5866</v>
      </c>
      <c r="I1467" s="215" t="s">
        <v>816</v>
      </c>
      <c r="J1467" s="215" t="s">
        <v>77</v>
      </c>
      <c r="K1467" s="266">
        <v>812361014585</v>
      </c>
      <c r="L1467" s="265" t="s">
        <v>649</v>
      </c>
      <c r="M1467" s="265" t="s">
        <v>649</v>
      </c>
      <c r="N1467" s="264">
        <v>2.8</v>
      </c>
      <c r="O1467" s="265" t="s">
        <v>649</v>
      </c>
      <c r="P1467" s="265">
        <v>22.4</v>
      </c>
      <c r="Q1467" s="265" t="s">
        <v>649</v>
      </c>
    </row>
    <row r="1468" spans="1:17" ht="15" customHeight="1">
      <c r="A1468" s="147">
        <v>1542</v>
      </c>
      <c r="B1468" s="51" t="s">
        <v>5714</v>
      </c>
      <c r="C1468" s="51" t="s">
        <v>1017</v>
      </c>
      <c r="D1468" s="51">
        <v>300005570</v>
      </c>
      <c r="E1468" s="53" t="s">
        <v>1018</v>
      </c>
      <c r="F1468" s="124">
        <v>9</v>
      </c>
      <c r="G1468" s="124" t="s">
        <v>649</v>
      </c>
      <c r="H1468" s="486" t="s">
        <v>5866</v>
      </c>
      <c r="I1468" s="215" t="s">
        <v>816</v>
      </c>
      <c r="J1468" s="215" t="s">
        <v>77</v>
      </c>
      <c r="K1468" s="266">
        <v>812361014608</v>
      </c>
      <c r="L1468" s="265" t="s">
        <v>649</v>
      </c>
      <c r="M1468" s="265" t="s">
        <v>649</v>
      </c>
      <c r="N1468" s="264">
        <v>2.48</v>
      </c>
      <c r="O1468" s="265" t="s">
        <v>649</v>
      </c>
      <c r="P1468" s="265">
        <v>22.32</v>
      </c>
      <c r="Q1468" s="265" t="s">
        <v>649</v>
      </c>
    </row>
    <row r="1469" spans="1:17" ht="15" customHeight="1">
      <c r="A1469" s="147">
        <v>1543</v>
      </c>
      <c r="B1469" s="51" t="s">
        <v>5714</v>
      </c>
      <c r="C1469" s="51" t="s">
        <v>1019</v>
      </c>
      <c r="D1469" s="51">
        <v>300005835</v>
      </c>
      <c r="E1469" s="53" t="s">
        <v>1020</v>
      </c>
      <c r="F1469" s="124">
        <v>20</v>
      </c>
      <c r="G1469" s="124">
        <v>360</v>
      </c>
      <c r="H1469" s="486" t="s">
        <v>5866</v>
      </c>
      <c r="I1469" s="215" t="s">
        <v>346</v>
      </c>
      <c r="J1469" s="215" t="s">
        <v>77</v>
      </c>
      <c r="K1469" s="266">
        <v>812361010358</v>
      </c>
      <c r="L1469" s="265" t="s">
        <v>649</v>
      </c>
      <c r="M1469" s="265" t="s">
        <v>649</v>
      </c>
      <c r="N1469" s="264">
        <v>1.19</v>
      </c>
      <c r="O1469" s="265" t="s">
        <v>649</v>
      </c>
      <c r="P1469" s="265">
        <v>23.799999999999997</v>
      </c>
      <c r="Q1469" s="265" t="s">
        <v>649</v>
      </c>
    </row>
    <row r="1470" spans="1:17" ht="15" customHeight="1">
      <c r="A1470" s="147">
        <v>1544</v>
      </c>
      <c r="B1470" s="51" t="s">
        <v>5714</v>
      </c>
      <c r="C1470" s="51" t="s">
        <v>1021</v>
      </c>
      <c r="D1470" s="51">
        <v>300005877</v>
      </c>
      <c r="E1470" s="53" t="s">
        <v>1022</v>
      </c>
      <c r="F1470" s="124">
        <v>8</v>
      </c>
      <c r="G1470" s="124">
        <v>96</v>
      </c>
      <c r="H1470" s="486" t="s">
        <v>5866</v>
      </c>
      <c r="I1470" s="215" t="s">
        <v>816</v>
      </c>
      <c r="J1470" s="215" t="s">
        <v>77</v>
      </c>
      <c r="K1470" s="266">
        <v>812361010372</v>
      </c>
      <c r="L1470" s="265" t="s">
        <v>649</v>
      </c>
      <c r="M1470" s="265" t="s">
        <v>649</v>
      </c>
      <c r="N1470" s="264">
        <v>2.75</v>
      </c>
      <c r="O1470" s="265" t="s">
        <v>649</v>
      </c>
      <c r="P1470" s="265">
        <v>22</v>
      </c>
      <c r="Q1470" s="265" t="s">
        <v>649</v>
      </c>
    </row>
    <row r="1471" spans="1:17" ht="15" customHeight="1">
      <c r="A1471" s="147">
        <v>1545</v>
      </c>
      <c r="B1471" s="51" t="s">
        <v>5714</v>
      </c>
      <c r="C1471" s="51" t="s">
        <v>1023</v>
      </c>
      <c r="D1471" s="51">
        <v>300005880</v>
      </c>
      <c r="E1471" s="53" t="s">
        <v>1024</v>
      </c>
      <c r="F1471" s="124">
        <v>8</v>
      </c>
      <c r="G1471" s="124">
        <v>96</v>
      </c>
      <c r="H1471" s="486" t="s">
        <v>5866</v>
      </c>
      <c r="I1471" s="215" t="s">
        <v>816</v>
      </c>
      <c r="J1471" s="215" t="s">
        <v>77</v>
      </c>
      <c r="K1471" s="266">
        <v>812361010396</v>
      </c>
      <c r="L1471" s="265" t="s">
        <v>649</v>
      </c>
      <c r="M1471" s="265" t="s">
        <v>649</v>
      </c>
      <c r="N1471" s="264">
        <v>2.93</v>
      </c>
      <c r="O1471" s="265" t="s">
        <v>649</v>
      </c>
      <c r="P1471" s="265">
        <v>23.44</v>
      </c>
      <c r="Q1471" s="265" t="s">
        <v>649</v>
      </c>
    </row>
    <row r="1472" spans="1:17" ht="15" customHeight="1">
      <c r="A1472" s="147">
        <v>1546</v>
      </c>
      <c r="B1472" s="51" t="s">
        <v>5714</v>
      </c>
      <c r="C1472" s="51" t="s">
        <v>1025</v>
      </c>
      <c r="D1472" s="51">
        <v>300005561</v>
      </c>
      <c r="E1472" s="53" t="s">
        <v>1026</v>
      </c>
      <c r="F1472" s="124">
        <v>6</v>
      </c>
      <c r="G1472" s="124" t="s">
        <v>649</v>
      </c>
      <c r="H1472" s="486" t="s">
        <v>5866</v>
      </c>
      <c r="I1472" s="215" t="s">
        <v>346</v>
      </c>
      <c r="J1472" s="215" t="s">
        <v>77</v>
      </c>
      <c r="K1472" s="266">
        <v>812361011034</v>
      </c>
      <c r="L1472" s="265" t="s">
        <v>649</v>
      </c>
      <c r="M1472" s="265" t="s">
        <v>649</v>
      </c>
      <c r="N1472" s="264">
        <v>5.2910000000000004</v>
      </c>
      <c r="O1472" s="265" t="s">
        <v>649</v>
      </c>
      <c r="P1472" s="265">
        <v>31.746000000000002</v>
      </c>
      <c r="Q1472" s="265" t="s">
        <v>649</v>
      </c>
    </row>
    <row r="1473" spans="1:17" ht="15" customHeight="1">
      <c r="A1473" s="147">
        <v>1547</v>
      </c>
      <c r="B1473" s="51" t="s">
        <v>5714</v>
      </c>
      <c r="C1473" s="51" t="s">
        <v>1027</v>
      </c>
      <c r="D1473" s="51">
        <v>300005526</v>
      </c>
      <c r="E1473" s="53" t="s">
        <v>1028</v>
      </c>
      <c r="F1473" s="124">
        <v>6</v>
      </c>
      <c r="G1473" s="124" t="s">
        <v>649</v>
      </c>
      <c r="H1473" s="486" t="s">
        <v>5866</v>
      </c>
      <c r="I1473" s="215" t="s">
        <v>816</v>
      </c>
      <c r="J1473" s="215" t="s">
        <v>77</v>
      </c>
      <c r="K1473" s="266">
        <v>812361014196</v>
      </c>
      <c r="L1473" s="265" t="s">
        <v>649</v>
      </c>
      <c r="M1473" s="265" t="s">
        <v>649</v>
      </c>
      <c r="N1473" s="264">
        <v>1.5</v>
      </c>
      <c r="O1473" s="265" t="s">
        <v>649</v>
      </c>
      <c r="P1473" s="265">
        <v>9</v>
      </c>
      <c r="Q1473" s="265" t="s">
        <v>649</v>
      </c>
    </row>
    <row r="1474" spans="1:17" ht="15" customHeight="1">
      <c r="A1474" s="147">
        <v>1548</v>
      </c>
      <c r="B1474" s="51" t="s">
        <v>5714</v>
      </c>
      <c r="C1474" s="51" t="s">
        <v>1029</v>
      </c>
      <c r="D1474" s="51">
        <v>300005562</v>
      </c>
      <c r="E1474" s="53" t="s">
        <v>1030</v>
      </c>
      <c r="F1474" s="124">
        <v>6</v>
      </c>
      <c r="G1474" s="124" t="s">
        <v>649</v>
      </c>
      <c r="H1474" s="486" t="s">
        <v>5866</v>
      </c>
      <c r="I1474" s="215" t="s">
        <v>816</v>
      </c>
      <c r="J1474" s="215" t="s">
        <v>77</v>
      </c>
      <c r="K1474" s="266">
        <v>812361014219</v>
      </c>
      <c r="L1474" s="265" t="s">
        <v>649</v>
      </c>
      <c r="M1474" s="265" t="s">
        <v>649</v>
      </c>
      <c r="N1474" s="264">
        <v>3</v>
      </c>
      <c r="O1474" s="265" t="s">
        <v>649</v>
      </c>
      <c r="P1474" s="265">
        <v>18</v>
      </c>
      <c r="Q1474" s="265" t="s">
        <v>649</v>
      </c>
    </row>
    <row r="1475" spans="1:17" ht="15" customHeight="1">
      <c r="A1475" s="147">
        <v>1549</v>
      </c>
      <c r="B1475" s="51" t="s">
        <v>5715</v>
      </c>
      <c r="C1475" s="51" t="s">
        <v>1033</v>
      </c>
      <c r="D1475" s="51">
        <v>300004428</v>
      </c>
      <c r="E1475" s="53" t="s">
        <v>1034</v>
      </c>
      <c r="F1475" s="124">
        <v>6</v>
      </c>
      <c r="G1475" s="124" t="s">
        <v>649</v>
      </c>
      <c r="H1475" s="486" t="s">
        <v>5866</v>
      </c>
      <c r="I1475" s="215" t="s">
        <v>816</v>
      </c>
      <c r="J1475" s="215" t="s">
        <v>77</v>
      </c>
      <c r="K1475" s="266">
        <v>812361011645</v>
      </c>
      <c r="L1475" s="265" t="s">
        <v>649</v>
      </c>
      <c r="M1475" s="265" t="s">
        <v>649</v>
      </c>
      <c r="N1475" s="264">
        <v>0.4</v>
      </c>
      <c r="O1475" s="265" t="s">
        <v>649</v>
      </c>
      <c r="P1475" s="265">
        <v>2.4000000000000004</v>
      </c>
      <c r="Q1475" s="265" t="s">
        <v>649</v>
      </c>
    </row>
    <row r="1476" spans="1:17" ht="15" customHeight="1">
      <c r="A1476" s="147">
        <v>1550</v>
      </c>
      <c r="B1476" s="51" t="s">
        <v>5715</v>
      </c>
      <c r="C1476" s="51" t="s">
        <v>1035</v>
      </c>
      <c r="D1476" s="51">
        <v>300004426</v>
      </c>
      <c r="E1476" s="53" t="s">
        <v>1036</v>
      </c>
      <c r="F1476" s="124">
        <v>6</v>
      </c>
      <c r="G1476" s="124" t="s">
        <v>649</v>
      </c>
      <c r="H1476" s="486" t="s">
        <v>5866</v>
      </c>
      <c r="I1476" s="215" t="s">
        <v>816</v>
      </c>
      <c r="J1476" s="215" t="s">
        <v>77</v>
      </c>
      <c r="K1476" s="266">
        <v>812361013953</v>
      </c>
      <c r="L1476" s="265" t="s">
        <v>649</v>
      </c>
      <c r="M1476" s="265" t="s">
        <v>649</v>
      </c>
      <c r="N1476" s="264">
        <v>0.4</v>
      </c>
      <c r="O1476" s="265" t="s">
        <v>649</v>
      </c>
      <c r="P1476" s="265">
        <v>2.4000000000000004</v>
      </c>
      <c r="Q1476" s="265" t="s">
        <v>649</v>
      </c>
    </row>
    <row r="1477" spans="1:17" ht="15" customHeight="1">
      <c r="A1477" s="147">
        <v>1551</v>
      </c>
      <c r="B1477" s="51" t="s">
        <v>5715</v>
      </c>
      <c r="C1477" s="51" t="s">
        <v>1037</v>
      </c>
      <c r="D1477" s="51">
        <v>300004444</v>
      </c>
      <c r="E1477" s="53" t="s">
        <v>1038</v>
      </c>
      <c r="F1477" s="124">
        <v>4</v>
      </c>
      <c r="G1477" s="124" t="s">
        <v>649</v>
      </c>
      <c r="H1477" s="486" t="s">
        <v>5866</v>
      </c>
      <c r="I1477" s="215" t="s">
        <v>816</v>
      </c>
      <c r="J1477" s="215" t="s">
        <v>77</v>
      </c>
      <c r="K1477" s="266">
        <v>812361013977</v>
      </c>
      <c r="L1477" s="265" t="s">
        <v>649</v>
      </c>
      <c r="M1477" s="265" t="s">
        <v>649</v>
      </c>
      <c r="N1477" s="264">
        <v>1</v>
      </c>
      <c r="O1477" s="265" t="s">
        <v>649</v>
      </c>
      <c r="P1477" s="265">
        <v>4</v>
      </c>
      <c r="Q1477" s="265" t="s">
        <v>649</v>
      </c>
    </row>
    <row r="1478" spans="1:17" ht="15" customHeight="1">
      <c r="A1478" s="147">
        <v>1552</v>
      </c>
      <c r="B1478" s="51" t="s">
        <v>5715</v>
      </c>
      <c r="C1478" s="51" t="s">
        <v>1039</v>
      </c>
      <c r="D1478" s="51">
        <v>100029268</v>
      </c>
      <c r="E1478" s="53" t="s">
        <v>1040</v>
      </c>
      <c r="F1478" s="124">
        <v>10</v>
      </c>
      <c r="G1478" s="124">
        <v>120</v>
      </c>
      <c r="H1478" s="369">
        <v>112.49</v>
      </c>
      <c r="I1478" s="215" t="s">
        <v>76</v>
      </c>
      <c r="J1478" s="215" t="s">
        <v>102</v>
      </c>
      <c r="K1478" s="266">
        <v>810673016112</v>
      </c>
      <c r="L1478" s="265" t="s">
        <v>649</v>
      </c>
      <c r="M1478" s="266">
        <v>810673016136</v>
      </c>
      <c r="N1478" s="264">
        <v>2.3439999999999999</v>
      </c>
      <c r="O1478" s="265" t="s">
        <v>649</v>
      </c>
      <c r="P1478" s="265">
        <v>25.339999999999996</v>
      </c>
      <c r="Q1478" s="265">
        <v>2.7986077527791204</v>
      </c>
    </row>
    <row r="1479" spans="1:17" ht="15" customHeight="1">
      <c r="A1479" s="147">
        <v>1553</v>
      </c>
      <c r="B1479" s="51" t="s">
        <v>5715</v>
      </c>
      <c r="C1479" s="51" t="s">
        <v>1041</v>
      </c>
      <c r="D1479" s="51">
        <v>100029285</v>
      </c>
      <c r="E1479" s="53" t="s">
        <v>1042</v>
      </c>
      <c r="F1479" s="124">
        <v>1</v>
      </c>
      <c r="G1479" s="124">
        <v>75</v>
      </c>
      <c r="H1479" s="369">
        <v>228.11</v>
      </c>
      <c r="I1479" s="215" t="s">
        <v>76</v>
      </c>
      <c r="J1479" s="215" t="s">
        <v>102</v>
      </c>
      <c r="K1479" s="266">
        <v>810673016143</v>
      </c>
      <c r="L1479" s="265" t="s">
        <v>649</v>
      </c>
      <c r="M1479" s="266">
        <v>812361016381</v>
      </c>
      <c r="N1479" s="264">
        <v>4.4480000000000004</v>
      </c>
      <c r="O1479" s="265" t="s">
        <v>649</v>
      </c>
      <c r="P1479" s="265">
        <v>444.375</v>
      </c>
      <c r="Q1479" s="265">
        <v>53.333269333358928</v>
      </c>
    </row>
    <row r="1480" spans="1:17" ht="15" customHeight="1">
      <c r="A1480" s="147">
        <v>1554</v>
      </c>
      <c r="B1480" s="51" t="s">
        <v>5715</v>
      </c>
      <c r="C1480" s="51" t="s">
        <v>1043</v>
      </c>
      <c r="D1480" s="51">
        <v>100031306</v>
      </c>
      <c r="E1480" s="53" t="s">
        <v>1044</v>
      </c>
      <c r="F1480" s="124">
        <v>1</v>
      </c>
      <c r="G1480" s="124">
        <v>50</v>
      </c>
      <c r="H1480" s="369">
        <v>258.25</v>
      </c>
      <c r="I1480" s="215" t="s">
        <v>76</v>
      </c>
      <c r="J1480" s="215" t="s">
        <v>102</v>
      </c>
      <c r="K1480" s="266">
        <v>810673016167</v>
      </c>
      <c r="L1480" s="265" t="s">
        <v>649</v>
      </c>
      <c r="M1480" s="266">
        <v>812361016473</v>
      </c>
      <c r="N1480" s="264">
        <v>6.33</v>
      </c>
      <c r="O1480" s="265" t="s">
        <v>649</v>
      </c>
      <c r="P1480" s="265">
        <v>319.20000000000005</v>
      </c>
      <c r="Q1480" s="265">
        <v>53.333269333358928</v>
      </c>
    </row>
    <row r="1481" spans="1:17" ht="15" customHeight="1">
      <c r="A1481" s="147">
        <v>1555</v>
      </c>
      <c r="B1481" s="51" t="s">
        <v>5715</v>
      </c>
      <c r="C1481" s="51" t="s">
        <v>1045</v>
      </c>
      <c r="D1481" s="51">
        <v>100031307</v>
      </c>
      <c r="E1481" s="53" t="s">
        <v>1046</v>
      </c>
      <c r="F1481" s="124">
        <v>1</v>
      </c>
      <c r="G1481" s="124">
        <v>45</v>
      </c>
      <c r="H1481" s="369">
        <v>340.33</v>
      </c>
      <c r="I1481" s="215" t="s">
        <v>76</v>
      </c>
      <c r="J1481" s="215" t="s">
        <v>102</v>
      </c>
      <c r="K1481" s="266">
        <v>810673016181</v>
      </c>
      <c r="L1481" s="265" t="s">
        <v>649</v>
      </c>
      <c r="M1481" s="266">
        <v>812361019863</v>
      </c>
      <c r="N1481" s="264">
        <v>8.3659999999999997</v>
      </c>
      <c r="O1481" s="265" t="s">
        <v>649</v>
      </c>
      <c r="P1481" s="265">
        <v>488.88000000000005</v>
      </c>
      <c r="Q1481" s="265">
        <v>53.333269333358928</v>
      </c>
    </row>
    <row r="1482" spans="1:17" ht="15" customHeight="1">
      <c r="A1482" s="147">
        <v>1556</v>
      </c>
      <c r="B1482" s="51" t="s">
        <v>5715</v>
      </c>
      <c r="C1482" s="51" t="s">
        <v>1047</v>
      </c>
      <c r="D1482" s="51">
        <v>100029288</v>
      </c>
      <c r="E1482" s="53" t="s">
        <v>1048</v>
      </c>
      <c r="F1482" s="124">
        <v>1</v>
      </c>
      <c r="G1482" s="124">
        <v>34</v>
      </c>
      <c r="H1482" s="369">
        <v>405.82</v>
      </c>
      <c r="I1482" s="215" t="s">
        <v>76</v>
      </c>
      <c r="J1482" s="215" t="s">
        <v>102</v>
      </c>
      <c r="K1482" s="266">
        <v>810673016204</v>
      </c>
      <c r="L1482" s="265" t="s">
        <v>649</v>
      </c>
      <c r="M1482" s="266">
        <v>812361019894</v>
      </c>
      <c r="N1482" s="264">
        <v>10.571999999999999</v>
      </c>
      <c r="O1482" s="265" t="s">
        <v>649</v>
      </c>
      <c r="P1482" s="265">
        <v>364.548</v>
      </c>
      <c r="Q1482" s="265">
        <v>53.333269333358928</v>
      </c>
    </row>
    <row r="1483" spans="1:17" ht="15" customHeight="1">
      <c r="A1483" s="147">
        <v>1557</v>
      </c>
      <c r="B1483" s="51" t="s">
        <v>5715</v>
      </c>
      <c r="C1483" s="51" t="s">
        <v>1049</v>
      </c>
      <c r="D1483" s="51">
        <v>100029266</v>
      </c>
      <c r="E1483" s="53" t="s">
        <v>1050</v>
      </c>
      <c r="F1483" s="124">
        <v>1</v>
      </c>
      <c r="G1483" s="124">
        <v>24</v>
      </c>
      <c r="H1483" s="369">
        <v>707.59</v>
      </c>
      <c r="I1483" s="215" t="s">
        <v>76</v>
      </c>
      <c r="J1483" s="215" t="s">
        <v>102</v>
      </c>
      <c r="K1483" s="266">
        <v>810673016228</v>
      </c>
      <c r="L1483" s="265" t="s">
        <v>649</v>
      </c>
      <c r="M1483" s="266">
        <v>812361016992</v>
      </c>
      <c r="N1483" s="264">
        <v>10.256</v>
      </c>
      <c r="O1483" s="265" t="s">
        <v>649</v>
      </c>
      <c r="P1483" s="265">
        <v>246.14400000000001</v>
      </c>
      <c r="Q1483" s="265">
        <v>53.333269333358928</v>
      </c>
    </row>
    <row r="1484" spans="1:17" ht="15" customHeight="1">
      <c r="A1484" s="147">
        <v>1558</v>
      </c>
      <c r="B1484" s="51" t="s">
        <v>5715</v>
      </c>
      <c r="C1484" s="51" t="s">
        <v>1051</v>
      </c>
      <c r="D1484" s="51">
        <v>100029318</v>
      </c>
      <c r="E1484" s="53" t="s">
        <v>1052</v>
      </c>
      <c r="F1484" s="124">
        <v>1</v>
      </c>
      <c r="G1484" s="124">
        <v>33</v>
      </c>
      <c r="H1484" s="369">
        <v>1035.2</v>
      </c>
      <c r="I1484" s="215" t="s">
        <v>346</v>
      </c>
      <c r="J1484" s="215" t="s">
        <v>102</v>
      </c>
      <c r="K1484" s="266">
        <v>810673016242</v>
      </c>
      <c r="L1484" s="265" t="s">
        <v>649</v>
      </c>
      <c r="M1484" s="266">
        <v>812361016749</v>
      </c>
      <c r="N1484" s="264">
        <v>11.08</v>
      </c>
      <c r="O1484" s="265" t="s">
        <v>649</v>
      </c>
      <c r="P1484" s="265">
        <v>365.64</v>
      </c>
      <c r="Q1484" s="265">
        <v>53.333269333358928</v>
      </c>
    </row>
    <row r="1485" spans="1:17" ht="15" customHeight="1">
      <c r="A1485" s="147">
        <v>1559</v>
      </c>
      <c r="B1485" s="51" t="s">
        <v>5715</v>
      </c>
      <c r="C1485" s="51" t="s">
        <v>1053</v>
      </c>
      <c r="D1485" s="51">
        <v>100029307</v>
      </c>
      <c r="E1485" s="53" t="s">
        <v>1054</v>
      </c>
      <c r="F1485" s="124">
        <v>1</v>
      </c>
      <c r="G1485" s="124">
        <v>22</v>
      </c>
      <c r="H1485" s="369">
        <v>1052.3399999999999</v>
      </c>
      <c r="I1485" s="215" t="s">
        <v>76</v>
      </c>
      <c r="J1485" s="215" t="s">
        <v>102</v>
      </c>
      <c r="K1485" s="266">
        <v>810673016259</v>
      </c>
      <c r="L1485" s="265" t="s">
        <v>649</v>
      </c>
      <c r="M1485" s="266">
        <v>812361016756</v>
      </c>
      <c r="N1485" s="264">
        <v>16.096</v>
      </c>
      <c r="O1485" s="265" t="s">
        <v>649</v>
      </c>
      <c r="P1485" s="265">
        <v>466.51</v>
      </c>
      <c r="Q1485" s="265">
        <v>53.333269333358928</v>
      </c>
    </row>
    <row r="1486" spans="1:17" ht="15" customHeight="1">
      <c r="A1486" s="147">
        <v>1560</v>
      </c>
      <c r="B1486" s="51" t="s">
        <v>5715</v>
      </c>
      <c r="C1486" s="51" t="s">
        <v>1055</v>
      </c>
      <c r="D1486" s="51">
        <v>300003477</v>
      </c>
      <c r="E1486" s="53" t="s">
        <v>1056</v>
      </c>
      <c r="F1486" s="124">
        <v>1</v>
      </c>
      <c r="G1486" s="124">
        <v>10</v>
      </c>
      <c r="H1486" s="486" t="s">
        <v>5866</v>
      </c>
      <c r="I1486" s="215" t="s">
        <v>816</v>
      </c>
      <c r="J1486" s="215" t="s">
        <v>77</v>
      </c>
      <c r="K1486" s="266">
        <v>816842021055</v>
      </c>
      <c r="L1486" s="265" t="s">
        <v>649</v>
      </c>
      <c r="M1486" s="265" t="s">
        <v>649</v>
      </c>
      <c r="N1486" s="264">
        <v>20.48</v>
      </c>
      <c r="O1486" s="265" t="s">
        <v>649</v>
      </c>
      <c r="P1486" s="265">
        <v>20.48</v>
      </c>
      <c r="Q1486" s="265" t="s">
        <v>649</v>
      </c>
    </row>
    <row r="1487" spans="1:17" ht="15" customHeight="1">
      <c r="A1487" s="147">
        <v>1561</v>
      </c>
      <c r="B1487" s="51" t="s">
        <v>5715</v>
      </c>
      <c r="C1487" s="51" t="s">
        <v>1057</v>
      </c>
      <c r="D1487" s="51">
        <v>300005853</v>
      </c>
      <c r="E1487" s="53" t="s">
        <v>1058</v>
      </c>
      <c r="F1487" s="124">
        <v>1</v>
      </c>
      <c r="G1487" s="124">
        <v>16</v>
      </c>
      <c r="H1487" s="486" t="s">
        <v>5866</v>
      </c>
      <c r="I1487" s="215" t="s">
        <v>816</v>
      </c>
      <c r="J1487" s="215" t="s">
        <v>77</v>
      </c>
      <c r="K1487" s="266">
        <v>810673016266</v>
      </c>
      <c r="L1487" s="265" t="s">
        <v>649</v>
      </c>
      <c r="M1487" s="265" t="s">
        <v>649</v>
      </c>
      <c r="N1487" s="264">
        <v>19.100000000000001</v>
      </c>
      <c r="O1487" s="265" t="s">
        <v>649</v>
      </c>
      <c r="P1487" s="265">
        <v>19.100000000000001</v>
      </c>
      <c r="Q1487" s="265" t="s">
        <v>649</v>
      </c>
    </row>
    <row r="1488" spans="1:17" ht="15" customHeight="1">
      <c r="A1488" s="147">
        <v>1562</v>
      </c>
      <c r="B1488" s="51" t="s">
        <v>5715</v>
      </c>
      <c r="C1488" s="51" t="s">
        <v>1059</v>
      </c>
      <c r="D1488" s="51">
        <v>100029308</v>
      </c>
      <c r="E1488" s="53" t="s">
        <v>1060</v>
      </c>
      <c r="F1488" s="124">
        <v>1</v>
      </c>
      <c r="G1488" s="124">
        <v>16</v>
      </c>
      <c r="H1488" s="369">
        <v>1537.03</v>
      </c>
      <c r="I1488" s="215" t="s">
        <v>76</v>
      </c>
      <c r="J1488" s="215" t="s">
        <v>102</v>
      </c>
      <c r="K1488" s="266">
        <v>810673016273</v>
      </c>
      <c r="L1488" s="265" t="s">
        <v>649</v>
      </c>
      <c r="M1488" s="266">
        <v>812361016763</v>
      </c>
      <c r="N1488" s="264">
        <v>26.521999999999998</v>
      </c>
      <c r="O1488" s="265" t="s">
        <v>649</v>
      </c>
      <c r="P1488" s="265">
        <v>424.35199999999998</v>
      </c>
      <c r="Q1488" s="265">
        <v>53.333269333358928</v>
      </c>
    </row>
    <row r="1489" spans="1:17" ht="15" customHeight="1">
      <c r="A1489" s="147">
        <v>1563</v>
      </c>
      <c r="B1489" s="51" t="s">
        <v>5715</v>
      </c>
      <c r="C1489" s="51" t="s">
        <v>1061</v>
      </c>
      <c r="D1489" s="51">
        <v>300003535</v>
      </c>
      <c r="E1489" s="53" t="s">
        <v>1062</v>
      </c>
      <c r="F1489" s="124">
        <v>1</v>
      </c>
      <c r="G1489" s="124">
        <v>6</v>
      </c>
      <c r="H1489" s="486" t="s">
        <v>5866</v>
      </c>
      <c r="I1489" s="215" t="s">
        <v>816</v>
      </c>
      <c r="J1489" s="215" t="s">
        <v>77</v>
      </c>
      <c r="K1489" s="266">
        <v>816842021062</v>
      </c>
      <c r="L1489" s="265" t="s">
        <v>649</v>
      </c>
      <c r="M1489" s="265" t="s">
        <v>649</v>
      </c>
      <c r="N1489" s="264">
        <v>37.619999999999997</v>
      </c>
      <c r="O1489" s="265" t="s">
        <v>649</v>
      </c>
      <c r="P1489" s="265">
        <v>37.619999999999997</v>
      </c>
      <c r="Q1489" s="265" t="s">
        <v>649</v>
      </c>
    </row>
    <row r="1490" spans="1:17" ht="15" customHeight="1">
      <c r="A1490" s="147">
        <v>1564</v>
      </c>
      <c r="B1490" s="51" t="s">
        <v>5715</v>
      </c>
      <c r="C1490" s="51" t="s">
        <v>1063</v>
      </c>
      <c r="D1490" s="51">
        <v>300005769</v>
      </c>
      <c r="E1490" s="53" t="s">
        <v>1064</v>
      </c>
      <c r="F1490" s="124">
        <v>10</v>
      </c>
      <c r="G1490" s="124">
        <v>120</v>
      </c>
      <c r="H1490" s="486" t="s">
        <v>5866</v>
      </c>
      <c r="I1490" s="215" t="s">
        <v>346</v>
      </c>
      <c r="J1490" s="215" t="s">
        <v>77</v>
      </c>
      <c r="K1490" s="266">
        <v>810673016280</v>
      </c>
      <c r="L1490" s="265" t="s">
        <v>649</v>
      </c>
      <c r="M1490" s="265" t="s">
        <v>649</v>
      </c>
      <c r="N1490" s="264">
        <v>1.466</v>
      </c>
      <c r="O1490" s="265" t="s">
        <v>649</v>
      </c>
      <c r="P1490" s="265">
        <v>14.66</v>
      </c>
      <c r="Q1490" s="265" t="s">
        <v>649</v>
      </c>
    </row>
    <row r="1491" spans="1:17" ht="15" customHeight="1">
      <c r="A1491" s="147">
        <v>1565</v>
      </c>
      <c r="B1491" s="51" t="s">
        <v>5715</v>
      </c>
      <c r="C1491" s="51" t="s">
        <v>1065</v>
      </c>
      <c r="D1491" s="51">
        <v>300005868</v>
      </c>
      <c r="E1491" s="53" t="s">
        <v>1066</v>
      </c>
      <c r="F1491" s="124">
        <v>1</v>
      </c>
      <c r="G1491" s="124">
        <v>75</v>
      </c>
      <c r="H1491" s="486" t="s">
        <v>5866</v>
      </c>
      <c r="I1491" s="215" t="s">
        <v>816</v>
      </c>
      <c r="J1491" s="215" t="s">
        <v>77</v>
      </c>
      <c r="K1491" s="266">
        <v>810673016303</v>
      </c>
      <c r="L1491" s="265" t="s">
        <v>649</v>
      </c>
      <c r="M1491" s="265" t="s">
        <v>649</v>
      </c>
      <c r="N1491" s="264">
        <v>3.355</v>
      </c>
      <c r="O1491" s="265" t="s">
        <v>649</v>
      </c>
      <c r="P1491" s="265">
        <v>3.355</v>
      </c>
      <c r="Q1491" s="265" t="s">
        <v>649</v>
      </c>
    </row>
    <row r="1492" spans="1:17" ht="15" customHeight="1">
      <c r="A1492" s="147">
        <v>1566</v>
      </c>
      <c r="B1492" s="51" t="s">
        <v>5715</v>
      </c>
      <c r="C1492" s="51" t="s">
        <v>1067</v>
      </c>
      <c r="D1492" s="51">
        <v>300005771</v>
      </c>
      <c r="E1492" s="53" t="s">
        <v>1068</v>
      </c>
      <c r="F1492" s="124">
        <v>1</v>
      </c>
      <c r="G1492" s="124">
        <v>50</v>
      </c>
      <c r="H1492" s="486" t="s">
        <v>5866</v>
      </c>
      <c r="I1492" s="215" t="s">
        <v>816</v>
      </c>
      <c r="J1492" s="215" t="s">
        <v>77</v>
      </c>
      <c r="K1492" s="266">
        <v>810673016327</v>
      </c>
      <c r="L1492" s="265" t="s">
        <v>649</v>
      </c>
      <c r="M1492" s="265" t="s">
        <v>649</v>
      </c>
      <c r="N1492" s="264">
        <v>4.5460000000000003</v>
      </c>
      <c r="O1492" s="265" t="s">
        <v>649</v>
      </c>
      <c r="P1492" s="265">
        <v>4.5460000000000003</v>
      </c>
      <c r="Q1492" s="265" t="s">
        <v>649</v>
      </c>
    </row>
    <row r="1493" spans="1:17" ht="15" customHeight="1">
      <c r="A1493" s="147">
        <v>1567</v>
      </c>
      <c r="B1493" s="51" t="s">
        <v>5715</v>
      </c>
      <c r="C1493" s="51" t="s">
        <v>1069</v>
      </c>
      <c r="D1493" s="51">
        <v>300005773</v>
      </c>
      <c r="E1493" s="53" t="s">
        <v>1070</v>
      </c>
      <c r="F1493" s="124">
        <v>1</v>
      </c>
      <c r="G1493" s="124">
        <v>45</v>
      </c>
      <c r="H1493" s="486" t="s">
        <v>5866</v>
      </c>
      <c r="I1493" s="215" t="s">
        <v>816</v>
      </c>
      <c r="J1493" s="215" t="s">
        <v>77</v>
      </c>
      <c r="K1493" s="266">
        <v>810673016341</v>
      </c>
      <c r="L1493" s="265" t="s">
        <v>649</v>
      </c>
      <c r="M1493" s="265" t="s">
        <v>649</v>
      </c>
      <c r="N1493" s="264">
        <v>6.21</v>
      </c>
      <c r="O1493" s="265" t="s">
        <v>649</v>
      </c>
      <c r="P1493" s="265">
        <v>6.21</v>
      </c>
      <c r="Q1493" s="265" t="s">
        <v>649</v>
      </c>
    </row>
    <row r="1494" spans="1:17" ht="15" customHeight="1">
      <c r="A1494" s="147">
        <v>1568</v>
      </c>
      <c r="B1494" s="51" t="s">
        <v>5715</v>
      </c>
      <c r="C1494" s="51" t="s">
        <v>1071</v>
      </c>
      <c r="D1494" s="51">
        <v>300005776</v>
      </c>
      <c r="E1494" s="53" t="s">
        <v>1072</v>
      </c>
      <c r="F1494" s="124">
        <v>1</v>
      </c>
      <c r="G1494" s="124">
        <v>34</v>
      </c>
      <c r="H1494" s="486" t="s">
        <v>5866</v>
      </c>
      <c r="I1494" s="215" t="s">
        <v>816</v>
      </c>
      <c r="J1494" s="215" t="s">
        <v>77</v>
      </c>
      <c r="K1494" s="266">
        <v>810673016365</v>
      </c>
      <c r="L1494" s="265" t="s">
        <v>649</v>
      </c>
      <c r="M1494" s="265" t="s">
        <v>649</v>
      </c>
      <c r="N1494" s="264">
        <v>8.5839999999999996</v>
      </c>
      <c r="O1494" s="265" t="s">
        <v>649</v>
      </c>
      <c r="P1494" s="265">
        <v>8.5839999999999996</v>
      </c>
      <c r="Q1494" s="265" t="s">
        <v>649</v>
      </c>
    </row>
    <row r="1495" spans="1:17" ht="15" customHeight="1">
      <c r="A1495" s="147">
        <v>1569</v>
      </c>
      <c r="B1495" s="51" t="s">
        <v>5715</v>
      </c>
      <c r="C1495" s="51" t="s">
        <v>1073</v>
      </c>
      <c r="D1495" s="51">
        <v>100029403</v>
      </c>
      <c r="E1495" s="53" t="s">
        <v>1074</v>
      </c>
      <c r="F1495" s="124">
        <v>1</v>
      </c>
      <c r="G1495" s="124">
        <v>60</v>
      </c>
      <c r="H1495" s="369">
        <v>317.74</v>
      </c>
      <c r="I1495" s="215" t="s">
        <v>76</v>
      </c>
      <c r="J1495" s="215" t="s">
        <v>102</v>
      </c>
      <c r="K1495" s="266">
        <v>810673016389</v>
      </c>
      <c r="L1495" s="265" t="s">
        <v>649</v>
      </c>
      <c r="M1495" s="266">
        <v>816842021543</v>
      </c>
      <c r="N1495" s="264">
        <v>4.1639999999999997</v>
      </c>
      <c r="O1495" s="265" t="s">
        <v>649</v>
      </c>
      <c r="P1495" s="265">
        <v>249.83999999999997</v>
      </c>
      <c r="Q1495" s="265">
        <v>53.333269333358928</v>
      </c>
    </row>
    <row r="1496" spans="1:17" ht="15" customHeight="1">
      <c r="A1496" s="147">
        <v>1570</v>
      </c>
      <c r="B1496" s="51" t="s">
        <v>5715</v>
      </c>
      <c r="C1496" s="51" t="s">
        <v>1075</v>
      </c>
      <c r="D1496" s="51">
        <v>300005866</v>
      </c>
      <c r="E1496" s="53" t="s">
        <v>1076</v>
      </c>
      <c r="F1496" s="124">
        <v>1</v>
      </c>
      <c r="G1496" s="124">
        <v>34</v>
      </c>
      <c r="H1496" s="486" t="s">
        <v>5866</v>
      </c>
      <c r="I1496" s="215" t="s">
        <v>816</v>
      </c>
      <c r="J1496" s="215" t="s">
        <v>77</v>
      </c>
      <c r="K1496" s="266">
        <v>810673016402</v>
      </c>
      <c r="L1496" s="265" t="s">
        <v>649</v>
      </c>
      <c r="M1496" s="265" t="s">
        <v>649</v>
      </c>
      <c r="N1496" s="264">
        <v>5.92</v>
      </c>
      <c r="O1496" s="265" t="s">
        <v>649</v>
      </c>
      <c r="P1496" s="265">
        <v>5.92</v>
      </c>
      <c r="Q1496" s="265" t="s">
        <v>649</v>
      </c>
    </row>
    <row r="1497" spans="1:17" ht="15" customHeight="1">
      <c r="A1497" s="147">
        <v>1571</v>
      </c>
      <c r="B1497" s="51" t="s">
        <v>5715</v>
      </c>
      <c r="C1497" s="51" t="s">
        <v>1077</v>
      </c>
      <c r="D1497" s="51">
        <v>300005874</v>
      </c>
      <c r="E1497" s="53" t="s">
        <v>1078</v>
      </c>
      <c r="F1497" s="124">
        <v>1</v>
      </c>
      <c r="G1497" s="124">
        <v>26</v>
      </c>
      <c r="H1497" s="486" t="s">
        <v>5866</v>
      </c>
      <c r="I1497" s="215" t="s">
        <v>816</v>
      </c>
      <c r="J1497" s="215" t="s">
        <v>77</v>
      </c>
      <c r="K1497" s="266">
        <v>810673016433</v>
      </c>
      <c r="L1497" s="265" t="s">
        <v>649</v>
      </c>
      <c r="M1497" s="265" t="s">
        <v>649</v>
      </c>
      <c r="N1497" s="264">
        <v>7.65</v>
      </c>
      <c r="O1497" s="265" t="s">
        <v>649</v>
      </c>
      <c r="P1497" s="265">
        <v>7.65</v>
      </c>
      <c r="Q1497" s="265" t="s">
        <v>649</v>
      </c>
    </row>
    <row r="1498" spans="1:17" ht="15" customHeight="1">
      <c r="A1498" s="147">
        <v>1572</v>
      </c>
      <c r="B1498" s="51" t="s">
        <v>5715</v>
      </c>
      <c r="C1498" s="51" t="s">
        <v>1079</v>
      </c>
      <c r="D1498" s="51">
        <v>100029270</v>
      </c>
      <c r="E1498" s="53" t="s">
        <v>1080</v>
      </c>
      <c r="F1498" s="124">
        <v>10</v>
      </c>
      <c r="G1498" s="124">
        <v>180</v>
      </c>
      <c r="H1498" s="369">
        <v>105.73</v>
      </c>
      <c r="I1498" s="215" t="s">
        <v>76</v>
      </c>
      <c r="J1498" s="215" t="s">
        <v>102</v>
      </c>
      <c r="K1498" s="266">
        <v>810673016440</v>
      </c>
      <c r="L1498" s="265" t="s">
        <v>649</v>
      </c>
      <c r="M1498" s="266">
        <v>812361019870</v>
      </c>
      <c r="N1498" s="264">
        <v>1.8260000000000001</v>
      </c>
      <c r="O1498" s="265" t="s">
        <v>649</v>
      </c>
      <c r="P1498" s="265">
        <v>20.11</v>
      </c>
      <c r="Q1498" s="265">
        <v>2.361325291407383</v>
      </c>
    </row>
    <row r="1499" spans="1:17" ht="15" customHeight="1">
      <c r="A1499" s="147">
        <v>1573</v>
      </c>
      <c r="B1499" s="51" t="s">
        <v>5715</v>
      </c>
      <c r="C1499" s="51" t="s">
        <v>1081</v>
      </c>
      <c r="D1499" s="51">
        <v>100029286</v>
      </c>
      <c r="E1499" s="53" t="s">
        <v>1082</v>
      </c>
      <c r="F1499" s="124">
        <v>1</v>
      </c>
      <c r="G1499" s="124">
        <v>100</v>
      </c>
      <c r="H1499" s="369">
        <v>221.5</v>
      </c>
      <c r="I1499" s="215" t="s">
        <v>346</v>
      </c>
      <c r="J1499" s="215" t="s">
        <v>102</v>
      </c>
      <c r="K1499" s="266">
        <v>810673016464</v>
      </c>
      <c r="L1499" s="265" t="s">
        <v>649</v>
      </c>
      <c r="M1499" s="266">
        <v>812361016152</v>
      </c>
      <c r="N1499" s="264">
        <v>2.8620000000000001</v>
      </c>
      <c r="O1499" s="265" t="s">
        <v>649</v>
      </c>
      <c r="P1499" s="265">
        <v>286.2</v>
      </c>
      <c r="Q1499" s="265">
        <v>53.333269333358928</v>
      </c>
    </row>
    <row r="1500" spans="1:17" ht="15" customHeight="1">
      <c r="A1500" s="147">
        <v>1574</v>
      </c>
      <c r="B1500" s="51" t="s">
        <v>5715</v>
      </c>
      <c r="C1500" s="51" t="s">
        <v>1083</v>
      </c>
      <c r="D1500" s="51">
        <v>100029267</v>
      </c>
      <c r="E1500" s="53" t="s">
        <v>1084</v>
      </c>
      <c r="F1500" s="124">
        <v>1</v>
      </c>
      <c r="G1500" s="124">
        <v>75</v>
      </c>
      <c r="H1500" s="369">
        <v>226.43</v>
      </c>
      <c r="I1500" s="215" t="s">
        <v>76</v>
      </c>
      <c r="J1500" s="215" t="s">
        <v>102</v>
      </c>
      <c r="K1500" s="266">
        <v>810673016488</v>
      </c>
      <c r="L1500" s="265" t="s">
        <v>649</v>
      </c>
      <c r="M1500" s="266">
        <v>812361016497</v>
      </c>
      <c r="N1500" s="264">
        <v>4.8140000000000001</v>
      </c>
      <c r="O1500" s="265" t="s">
        <v>649</v>
      </c>
      <c r="P1500" s="265">
        <v>471.82500000000005</v>
      </c>
      <c r="Q1500" s="265">
        <v>53.333269333358928</v>
      </c>
    </row>
    <row r="1501" spans="1:17" ht="15" customHeight="1">
      <c r="A1501" s="147">
        <v>1575</v>
      </c>
      <c r="B1501" s="51" t="s">
        <v>5715</v>
      </c>
      <c r="C1501" s="51" t="s">
        <v>1085</v>
      </c>
      <c r="D1501" s="51">
        <v>100029282</v>
      </c>
      <c r="E1501" s="53" t="s">
        <v>1086</v>
      </c>
      <c r="F1501" s="124">
        <v>1</v>
      </c>
      <c r="G1501" s="124">
        <v>60</v>
      </c>
      <c r="H1501" s="369">
        <v>342.18</v>
      </c>
      <c r="I1501" s="215" t="s">
        <v>76</v>
      </c>
      <c r="J1501" s="215" t="s">
        <v>102</v>
      </c>
      <c r="K1501" s="266">
        <v>810673016501</v>
      </c>
      <c r="L1501" s="265" t="s">
        <v>649</v>
      </c>
      <c r="M1501" s="266">
        <v>816842027491</v>
      </c>
      <c r="N1501" s="264">
        <v>7.55</v>
      </c>
      <c r="O1501" s="265" t="s">
        <v>649</v>
      </c>
      <c r="P1501" s="265">
        <v>314.06</v>
      </c>
      <c r="Q1501" s="265">
        <v>53.333269333358928</v>
      </c>
    </row>
    <row r="1502" spans="1:17" ht="15" customHeight="1">
      <c r="A1502" s="147">
        <v>1576</v>
      </c>
      <c r="B1502" s="51" t="s">
        <v>5715</v>
      </c>
      <c r="C1502" s="51" t="s">
        <v>1087</v>
      </c>
      <c r="D1502" s="51">
        <v>100029283</v>
      </c>
      <c r="E1502" s="53" t="s">
        <v>1088</v>
      </c>
      <c r="F1502" s="124">
        <v>1</v>
      </c>
      <c r="G1502" s="124">
        <v>48</v>
      </c>
      <c r="H1502" s="369">
        <v>354.04</v>
      </c>
      <c r="I1502" s="215" t="s">
        <v>76</v>
      </c>
      <c r="J1502" s="215" t="s">
        <v>102</v>
      </c>
      <c r="K1502" s="266">
        <v>810673016549</v>
      </c>
      <c r="L1502" s="265" t="s">
        <v>649</v>
      </c>
      <c r="M1502" s="266">
        <v>816842027293</v>
      </c>
      <c r="N1502" s="264">
        <v>9.02</v>
      </c>
      <c r="O1502" s="265" t="s">
        <v>649</v>
      </c>
      <c r="P1502" s="265">
        <v>481.54499999999996</v>
      </c>
      <c r="Q1502" s="265">
        <v>53.333269333358928</v>
      </c>
    </row>
    <row r="1503" spans="1:17" ht="15" customHeight="1">
      <c r="A1503" s="147">
        <v>1577</v>
      </c>
      <c r="B1503" s="51" t="s">
        <v>5715</v>
      </c>
      <c r="C1503" s="51" t="s">
        <v>1089</v>
      </c>
      <c r="D1503" s="51">
        <v>100031304</v>
      </c>
      <c r="E1503" s="53" t="s">
        <v>1090</v>
      </c>
      <c r="F1503" s="124">
        <v>1</v>
      </c>
      <c r="G1503" s="124">
        <v>38</v>
      </c>
      <c r="H1503" s="369">
        <v>502.42</v>
      </c>
      <c r="I1503" s="215" t="s">
        <v>76</v>
      </c>
      <c r="J1503" s="215" t="s">
        <v>102</v>
      </c>
      <c r="K1503" s="266">
        <v>810673016563</v>
      </c>
      <c r="L1503" s="265" t="s">
        <v>649</v>
      </c>
      <c r="M1503" s="266">
        <v>812361016589</v>
      </c>
      <c r="N1503" s="264">
        <v>7.3659999999999997</v>
      </c>
      <c r="O1503" s="265" t="s">
        <v>649</v>
      </c>
      <c r="P1503" s="265">
        <v>279.90800000000002</v>
      </c>
      <c r="Q1503" s="265">
        <v>53.333269333358928</v>
      </c>
    </row>
    <row r="1504" spans="1:17" ht="15" customHeight="1">
      <c r="A1504" s="147">
        <v>1578</v>
      </c>
      <c r="B1504" s="51" t="s">
        <v>5715</v>
      </c>
      <c r="C1504" s="51" t="s">
        <v>1091</v>
      </c>
      <c r="D1504" s="51">
        <v>300003479</v>
      </c>
      <c r="E1504" s="53" t="s">
        <v>1092</v>
      </c>
      <c r="F1504" s="124">
        <v>2</v>
      </c>
      <c r="G1504" s="124">
        <v>12</v>
      </c>
      <c r="H1504" s="486" t="s">
        <v>5866</v>
      </c>
      <c r="I1504" s="215" t="s">
        <v>816</v>
      </c>
      <c r="J1504" s="215" t="s">
        <v>77</v>
      </c>
      <c r="K1504" s="266">
        <v>812361013687</v>
      </c>
      <c r="L1504" s="265" t="s">
        <v>649</v>
      </c>
      <c r="M1504" s="265" t="s">
        <v>649</v>
      </c>
      <c r="N1504" s="264">
        <v>12.579000000000001</v>
      </c>
      <c r="O1504" s="265" t="s">
        <v>649</v>
      </c>
      <c r="P1504" s="265">
        <v>25.158000000000001</v>
      </c>
      <c r="Q1504" s="265" t="s">
        <v>649</v>
      </c>
    </row>
    <row r="1505" spans="1:17" ht="15" customHeight="1">
      <c r="A1505" s="147">
        <v>1579</v>
      </c>
      <c r="B1505" s="51" t="s">
        <v>5715</v>
      </c>
      <c r="C1505" s="51" t="s">
        <v>1093</v>
      </c>
      <c r="D1505" s="51">
        <v>300005848</v>
      </c>
      <c r="E1505" s="53" t="s">
        <v>1094</v>
      </c>
      <c r="F1505" s="124">
        <v>1</v>
      </c>
      <c r="G1505" s="124">
        <v>31</v>
      </c>
      <c r="H1505" s="486" t="s">
        <v>5866</v>
      </c>
      <c r="I1505" s="215" t="s">
        <v>816</v>
      </c>
      <c r="J1505" s="215" t="s">
        <v>77</v>
      </c>
      <c r="K1505" s="266">
        <v>810673016587</v>
      </c>
      <c r="L1505" s="265" t="s">
        <v>649</v>
      </c>
      <c r="M1505" s="265" t="s">
        <v>649</v>
      </c>
      <c r="N1505" s="264">
        <v>13.54</v>
      </c>
      <c r="O1505" s="265" t="s">
        <v>649</v>
      </c>
      <c r="P1505" s="265">
        <v>13.54</v>
      </c>
      <c r="Q1505" s="265" t="s">
        <v>649</v>
      </c>
    </row>
    <row r="1506" spans="1:17" ht="15" customHeight="1">
      <c r="A1506" s="147">
        <v>1580</v>
      </c>
      <c r="B1506" s="51" t="s">
        <v>5715</v>
      </c>
      <c r="C1506" s="51" t="s">
        <v>1095</v>
      </c>
      <c r="D1506" s="51">
        <v>300003472</v>
      </c>
      <c r="E1506" s="53" t="s">
        <v>1096</v>
      </c>
      <c r="F1506" s="124">
        <v>1</v>
      </c>
      <c r="G1506" s="124">
        <v>14</v>
      </c>
      <c r="H1506" s="486" t="s">
        <v>5866</v>
      </c>
      <c r="I1506" s="215" t="s">
        <v>816</v>
      </c>
      <c r="J1506" s="215" t="s">
        <v>77</v>
      </c>
      <c r="K1506" s="266">
        <v>816842021048</v>
      </c>
      <c r="L1506" s="265" t="s">
        <v>649</v>
      </c>
      <c r="M1506" s="265" t="s">
        <v>649</v>
      </c>
      <c r="N1506" s="264">
        <v>16.920000000000002</v>
      </c>
      <c r="O1506" s="265" t="s">
        <v>649</v>
      </c>
      <c r="P1506" s="265">
        <v>16.920000000000002</v>
      </c>
      <c r="Q1506" s="265" t="s">
        <v>649</v>
      </c>
    </row>
    <row r="1507" spans="1:17" ht="15" customHeight="1">
      <c r="A1507" s="147">
        <v>1581</v>
      </c>
      <c r="B1507" s="51" t="s">
        <v>5715</v>
      </c>
      <c r="C1507" s="51" t="s">
        <v>1097</v>
      </c>
      <c r="D1507" s="51">
        <v>300003537</v>
      </c>
      <c r="E1507" s="53" t="s">
        <v>1098</v>
      </c>
      <c r="F1507" s="124">
        <v>1</v>
      </c>
      <c r="G1507" s="124">
        <v>8</v>
      </c>
      <c r="H1507" s="486" t="s">
        <v>5866</v>
      </c>
      <c r="I1507" s="215" t="s">
        <v>816</v>
      </c>
      <c r="J1507" s="215" t="s">
        <v>77</v>
      </c>
      <c r="K1507" s="266">
        <v>812361013694</v>
      </c>
      <c r="L1507" s="265" t="s">
        <v>649</v>
      </c>
      <c r="M1507" s="265" t="s">
        <v>649</v>
      </c>
      <c r="N1507" s="264">
        <v>20.530999999999999</v>
      </c>
      <c r="O1507" s="265" t="s">
        <v>649</v>
      </c>
      <c r="P1507" s="265">
        <v>20.530999999999999</v>
      </c>
      <c r="Q1507" s="265" t="s">
        <v>649</v>
      </c>
    </row>
    <row r="1508" spans="1:17" ht="15" customHeight="1">
      <c r="A1508" s="147">
        <v>1582</v>
      </c>
      <c r="B1508" s="51" t="s">
        <v>5715</v>
      </c>
      <c r="C1508" s="51" t="s">
        <v>1099</v>
      </c>
      <c r="D1508" s="51">
        <v>300005855</v>
      </c>
      <c r="E1508" s="53" t="s">
        <v>1100</v>
      </c>
      <c r="F1508" s="124">
        <v>1</v>
      </c>
      <c r="G1508" s="124">
        <v>16</v>
      </c>
      <c r="H1508" s="486" t="s">
        <v>5866</v>
      </c>
      <c r="I1508" s="215" t="s">
        <v>816</v>
      </c>
      <c r="J1508" s="215" t="s">
        <v>77</v>
      </c>
      <c r="K1508" s="266">
        <v>810673016594</v>
      </c>
      <c r="L1508" s="265" t="s">
        <v>649</v>
      </c>
      <c r="M1508" s="265" t="s">
        <v>649</v>
      </c>
      <c r="N1508" s="264">
        <v>21.12</v>
      </c>
      <c r="O1508" s="265" t="s">
        <v>649</v>
      </c>
      <c r="P1508" s="265">
        <v>21.12</v>
      </c>
      <c r="Q1508" s="265" t="s">
        <v>649</v>
      </c>
    </row>
    <row r="1509" spans="1:17" ht="15" customHeight="1">
      <c r="A1509" s="147">
        <v>1583</v>
      </c>
      <c r="B1509" s="51" t="s">
        <v>5715</v>
      </c>
      <c r="C1509" s="51" t="s">
        <v>1101</v>
      </c>
      <c r="D1509" s="51">
        <v>300003530</v>
      </c>
      <c r="E1509" s="53" t="s">
        <v>1102</v>
      </c>
      <c r="F1509" s="124">
        <v>1</v>
      </c>
      <c r="G1509" s="124">
        <v>6</v>
      </c>
      <c r="H1509" s="486" t="s">
        <v>5866</v>
      </c>
      <c r="I1509" s="215" t="s">
        <v>816</v>
      </c>
      <c r="J1509" s="215" t="s">
        <v>77</v>
      </c>
      <c r="K1509" s="266">
        <v>812361010839</v>
      </c>
      <c r="L1509" s="265" t="s">
        <v>649</v>
      </c>
      <c r="M1509" s="265" t="s">
        <v>649</v>
      </c>
      <c r="N1509" s="264">
        <v>29.6</v>
      </c>
      <c r="O1509" s="265" t="s">
        <v>649</v>
      </c>
      <c r="P1509" s="265">
        <v>29.6</v>
      </c>
      <c r="Q1509" s="265" t="s">
        <v>649</v>
      </c>
    </row>
    <row r="1510" spans="1:17" ht="15" customHeight="1">
      <c r="A1510" s="147">
        <v>1584</v>
      </c>
      <c r="B1510" s="51" t="s">
        <v>5715</v>
      </c>
      <c r="C1510" s="51" t="s">
        <v>1103</v>
      </c>
      <c r="D1510" s="51">
        <v>100029386</v>
      </c>
      <c r="E1510" s="53" t="s">
        <v>1104</v>
      </c>
      <c r="F1510" s="124">
        <v>20</v>
      </c>
      <c r="G1510" s="124">
        <v>480</v>
      </c>
      <c r="H1510" s="369">
        <v>80.62</v>
      </c>
      <c r="I1510" s="215" t="s">
        <v>76</v>
      </c>
      <c r="J1510" s="215" t="s">
        <v>102</v>
      </c>
      <c r="K1510" s="266">
        <v>810673016600</v>
      </c>
      <c r="L1510" s="265" t="s">
        <v>649</v>
      </c>
      <c r="M1510" s="266">
        <v>812361012185</v>
      </c>
      <c r="N1510" s="264">
        <v>1.1519999999999999</v>
      </c>
      <c r="O1510" s="265" t="s">
        <v>649</v>
      </c>
      <c r="P1510" s="265">
        <v>25.22</v>
      </c>
      <c r="Q1510" s="265">
        <v>1.8803145838984718</v>
      </c>
    </row>
    <row r="1511" spans="1:17" ht="15" customHeight="1">
      <c r="A1511" s="147">
        <v>1585</v>
      </c>
      <c r="B1511" s="51" t="s">
        <v>5715</v>
      </c>
      <c r="C1511" s="51" t="s">
        <v>1105</v>
      </c>
      <c r="D1511" s="51">
        <v>100029387</v>
      </c>
      <c r="E1511" s="53" t="s">
        <v>1106</v>
      </c>
      <c r="F1511" s="124">
        <v>1</v>
      </c>
      <c r="G1511" s="124">
        <v>150</v>
      </c>
      <c r="H1511" s="369">
        <v>160.93</v>
      </c>
      <c r="I1511" s="215" t="s">
        <v>346</v>
      </c>
      <c r="J1511" s="215" t="s">
        <v>102</v>
      </c>
      <c r="K1511" s="266">
        <v>810673016624</v>
      </c>
      <c r="L1511" s="265" t="s">
        <v>649</v>
      </c>
      <c r="M1511" s="266">
        <v>812361016626</v>
      </c>
      <c r="N1511" s="264">
        <v>2.6680000000000001</v>
      </c>
      <c r="O1511" s="265" t="s">
        <v>649</v>
      </c>
      <c r="P1511" s="265">
        <v>400.20000000000005</v>
      </c>
      <c r="Q1511" s="265">
        <v>53.333269333358928</v>
      </c>
    </row>
    <row r="1512" spans="1:17" ht="15" customHeight="1">
      <c r="A1512" s="147">
        <v>1586</v>
      </c>
      <c r="B1512" s="51" t="s">
        <v>5715</v>
      </c>
      <c r="C1512" s="51" t="s">
        <v>1107</v>
      </c>
      <c r="D1512" s="51">
        <v>100029388</v>
      </c>
      <c r="E1512" s="53" t="s">
        <v>1108</v>
      </c>
      <c r="F1512" s="124">
        <v>1</v>
      </c>
      <c r="G1512" s="124">
        <v>80</v>
      </c>
      <c r="H1512" s="369">
        <v>273.38</v>
      </c>
      <c r="I1512" s="215" t="s">
        <v>346</v>
      </c>
      <c r="J1512" s="215" t="s">
        <v>102</v>
      </c>
      <c r="K1512" s="266">
        <v>810673016648</v>
      </c>
      <c r="L1512" s="265" t="s">
        <v>649</v>
      </c>
      <c r="M1512" s="266">
        <v>812361016442</v>
      </c>
      <c r="N1512" s="264">
        <v>4.3499999999999996</v>
      </c>
      <c r="O1512" s="265" t="s">
        <v>649</v>
      </c>
      <c r="P1512" s="265">
        <v>348</v>
      </c>
      <c r="Q1512" s="265">
        <v>53.333269333358928</v>
      </c>
    </row>
    <row r="1513" spans="1:17" ht="15" customHeight="1">
      <c r="A1513" s="147">
        <v>1587</v>
      </c>
      <c r="B1513" s="51" t="s">
        <v>5715</v>
      </c>
      <c r="C1513" s="51" t="s">
        <v>1109</v>
      </c>
      <c r="D1513" s="51">
        <v>300005845</v>
      </c>
      <c r="E1513" s="53" t="s">
        <v>1110</v>
      </c>
      <c r="F1513" s="124">
        <v>1</v>
      </c>
      <c r="G1513" s="124">
        <v>36</v>
      </c>
      <c r="H1513" s="486" t="s">
        <v>5866</v>
      </c>
      <c r="I1513" s="215" t="s">
        <v>816</v>
      </c>
      <c r="J1513" s="215" t="s">
        <v>77</v>
      </c>
      <c r="K1513" s="266">
        <v>810673016662</v>
      </c>
      <c r="L1513" s="265" t="s">
        <v>649</v>
      </c>
      <c r="M1513" s="265" t="s">
        <v>649</v>
      </c>
      <c r="N1513" s="264">
        <v>6.64</v>
      </c>
      <c r="O1513" s="265" t="s">
        <v>649</v>
      </c>
      <c r="P1513" s="265">
        <v>6.64</v>
      </c>
      <c r="Q1513" s="265" t="s">
        <v>649</v>
      </c>
    </row>
    <row r="1514" spans="1:17" ht="15" customHeight="1">
      <c r="A1514" s="147">
        <v>1588</v>
      </c>
      <c r="B1514" s="51" t="s">
        <v>5715</v>
      </c>
      <c r="C1514" s="51" t="s">
        <v>1111</v>
      </c>
      <c r="D1514" s="51">
        <v>300005851</v>
      </c>
      <c r="E1514" s="53" t="s">
        <v>1112</v>
      </c>
      <c r="F1514" s="124">
        <v>1</v>
      </c>
      <c r="G1514" s="124">
        <v>18</v>
      </c>
      <c r="H1514" s="486" t="s">
        <v>5866</v>
      </c>
      <c r="I1514" s="215" t="s">
        <v>816</v>
      </c>
      <c r="J1514" s="215" t="s">
        <v>77</v>
      </c>
      <c r="K1514" s="266">
        <v>810673016686</v>
      </c>
      <c r="L1514" s="265" t="s">
        <v>649</v>
      </c>
      <c r="M1514" s="265" t="s">
        <v>649</v>
      </c>
      <c r="N1514" s="264">
        <v>12.316000000000001</v>
      </c>
      <c r="O1514" s="265" t="s">
        <v>649</v>
      </c>
      <c r="P1514" s="265">
        <v>12.316000000000001</v>
      </c>
      <c r="Q1514" s="265" t="s">
        <v>649</v>
      </c>
    </row>
    <row r="1515" spans="1:17" ht="15" customHeight="1">
      <c r="A1515" s="147">
        <v>1589</v>
      </c>
      <c r="B1515" s="51" t="s">
        <v>5715</v>
      </c>
      <c r="C1515" s="51" t="s">
        <v>1113</v>
      </c>
      <c r="D1515" s="51">
        <v>100029395</v>
      </c>
      <c r="E1515" s="53" t="s">
        <v>1114</v>
      </c>
      <c r="F1515" s="124">
        <v>20</v>
      </c>
      <c r="G1515" s="124">
        <v>480</v>
      </c>
      <c r="H1515" s="369">
        <v>80.62</v>
      </c>
      <c r="I1515" s="215" t="s">
        <v>76</v>
      </c>
      <c r="J1515" s="215" t="s">
        <v>102</v>
      </c>
      <c r="K1515" s="266">
        <v>810673016693</v>
      </c>
      <c r="L1515" s="265" t="s">
        <v>649</v>
      </c>
      <c r="M1515" s="266">
        <v>812361012192</v>
      </c>
      <c r="N1515" s="264">
        <v>1.1299999999999999</v>
      </c>
      <c r="O1515" s="265" t="s">
        <v>649</v>
      </c>
      <c r="P1515" s="265">
        <v>24.78</v>
      </c>
      <c r="Q1515" s="265">
        <v>1.8803145838984718</v>
      </c>
    </row>
    <row r="1516" spans="1:17" ht="15" customHeight="1">
      <c r="A1516" s="147">
        <v>1590</v>
      </c>
      <c r="B1516" s="51" t="s">
        <v>5715</v>
      </c>
      <c r="C1516" s="51" t="s">
        <v>1115</v>
      </c>
      <c r="D1516" s="51">
        <v>100029396</v>
      </c>
      <c r="E1516" s="53" t="s">
        <v>1116</v>
      </c>
      <c r="F1516" s="124">
        <v>1</v>
      </c>
      <c r="G1516" s="124">
        <v>150</v>
      </c>
      <c r="H1516" s="369">
        <v>160.93</v>
      </c>
      <c r="I1516" s="215" t="s">
        <v>76</v>
      </c>
      <c r="J1516" s="215" t="s">
        <v>102</v>
      </c>
      <c r="K1516" s="266">
        <v>810673016716</v>
      </c>
      <c r="L1516" s="265" t="s">
        <v>649</v>
      </c>
      <c r="M1516" s="266">
        <v>812361016848</v>
      </c>
      <c r="N1516" s="264">
        <v>2.5979999999999999</v>
      </c>
      <c r="O1516" s="265" t="s">
        <v>649</v>
      </c>
      <c r="P1516" s="265">
        <v>510.74999999999994</v>
      </c>
      <c r="Q1516" s="265">
        <v>53.333269333358928</v>
      </c>
    </row>
    <row r="1517" spans="1:17" ht="15" customHeight="1">
      <c r="A1517" s="147">
        <v>1591</v>
      </c>
      <c r="B1517" s="51" t="s">
        <v>5715</v>
      </c>
      <c r="C1517" s="51" t="s">
        <v>1117</v>
      </c>
      <c r="D1517" s="51">
        <v>100029397</v>
      </c>
      <c r="E1517" s="53" t="s">
        <v>1118</v>
      </c>
      <c r="F1517" s="124">
        <v>1</v>
      </c>
      <c r="G1517" s="124">
        <v>80</v>
      </c>
      <c r="H1517" s="369">
        <v>273.38</v>
      </c>
      <c r="I1517" s="215" t="s">
        <v>76</v>
      </c>
      <c r="J1517" s="215" t="s">
        <v>102</v>
      </c>
      <c r="K1517" s="266">
        <v>810673016730</v>
      </c>
      <c r="L1517" s="265" t="s">
        <v>649</v>
      </c>
      <c r="M1517" s="266">
        <v>812361016176</v>
      </c>
      <c r="N1517" s="264">
        <v>4.1859999999999999</v>
      </c>
      <c r="O1517" s="265" t="s">
        <v>649</v>
      </c>
      <c r="P1517" s="265">
        <v>453.84000000000003</v>
      </c>
      <c r="Q1517" s="265">
        <v>53.333269333358928</v>
      </c>
    </row>
    <row r="1518" spans="1:17" ht="15" customHeight="1">
      <c r="A1518" s="147">
        <v>1592</v>
      </c>
      <c r="B1518" s="51" t="s">
        <v>5715</v>
      </c>
      <c r="C1518" s="51" t="s">
        <v>1119</v>
      </c>
      <c r="D1518" s="51">
        <v>100029404</v>
      </c>
      <c r="E1518" s="53" t="s">
        <v>1120</v>
      </c>
      <c r="F1518" s="124">
        <v>1</v>
      </c>
      <c r="G1518" s="124">
        <v>36</v>
      </c>
      <c r="H1518" s="369">
        <v>606.71</v>
      </c>
      <c r="I1518" s="215" t="s">
        <v>76</v>
      </c>
      <c r="J1518" s="215" t="s">
        <v>102</v>
      </c>
      <c r="K1518" s="266">
        <v>810673016754</v>
      </c>
      <c r="L1518" s="265" t="s">
        <v>649</v>
      </c>
      <c r="M1518" s="266">
        <v>812361016855</v>
      </c>
      <c r="N1518" s="264">
        <v>7.6520000000000001</v>
      </c>
      <c r="O1518" s="265" t="s">
        <v>649</v>
      </c>
      <c r="P1518" s="265">
        <v>389.84400000000005</v>
      </c>
      <c r="Q1518" s="265">
        <v>53.333269333358928</v>
      </c>
    </row>
    <row r="1519" spans="1:17" ht="15" customHeight="1">
      <c r="A1519" s="147">
        <v>1593</v>
      </c>
      <c r="B1519" s="51" t="s">
        <v>5715</v>
      </c>
      <c r="C1519" s="51" t="s">
        <v>1121</v>
      </c>
      <c r="D1519" s="51">
        <v>300005850</v>
      </c>
      <c r="E1519" s="53" t="s">
        <v>1122</v>
      </c>
      <c r="F1519" s="124">
        <v>1</v>
      </c>
      <c r="G1519" s="124">
        <v>18</v>
      </c>
      <c r="H1519" s="486" t="s">
        <v>5866</v>
      </c>
      <c r="I1519" s="215" t="s">
        <v>816</v>
      </c>
      <c r="J1519" s="215" t="s">
        <v>77</v>
      </c>
      <c r="K1519" s="266">
        <v>810673016778</v>
      </c>
      <c r="L1519" s="265" t="s">
        <v>649</v>
      </c>
      <c r="M1519" s="265" t="s">
        <v>649</v>
      </c>
      <c r="N1519" s="264">
        <v>11.98</v>
      </c>
      <c r="O1519" s="265" t="s">
        <v>649</v>
      </c>
      <c r="P1519" s="265">
        <v>11.98</v>
      </c>
      <c r="Q1519" s="265" t="s">
        <v>649</v>
      </c>
    </row>
    <row r="1520" spans="1:17" ht="15" customHeight="1">
      <c r="A1520" s="147">
        <v>1594</v>
      </c>
      <c r="B1520" s="51" t="s">
        <v>5715</v>
      </c>
      <c r="C1520" s="51" t="s">
        <v>1123</v>
      </c>
      <c r="D1520" s="51">
        <v>300004436</v>
      </c>
      <c r="E1520" s="53" t="s">
        <v>1124</v>
      </c>
      <c r="F1520" s="124">
        <v>6</v>
      </c>
      <c r="G1520" s="124">
        <v>192</v>
      </c>
      <c r="H1520" s="486" t="s">
        <v>5866</v>
      </c>
      <c r="I1520" s="215" t="s">
        <v>816</v>
      </c>
      <c r="J1520" s="215" t="s">
        <v>77</v>
      </c>
      <c r="K1520" s="266">
        <v>810673017317</v>
      </c>
      <c r="L1520" s="265" t="s">
        <v>649</v>
      </c>
      <c r="M1520" s="265" t="s">
        <v>649</v>
      </c>
      <c r="N1520" s="264">
        <v>1.38</v>
      </c>
      <c r="O1520" s="265" t="s">
        <v>649</v>
      </c>
      <c r="P1520" s="265">
        <v>8.2799999999999994</v>
      </c>
      <c r="Q1520" s="265" t="s">
        <v>649</v>
      </c>
    </row>
    <row r="1521" spans="1:17" ht="15" customHeight="1">
      <c r="A1521" s="147">
        <v>1595</v>
      </c>
      <c r="B1521" s="51" t="s">
        <v>5715</v>
      </c>
      <c r="C1521" s="51" t="s">
        <v>1125</v>
      </c>
      <c r="D1521" s="51">
        <v>300004454</v>
      </c>
      <c r="E1521" s="53" t="s">
        <v>1126</v>
      </c>
      <c r="F1521" s="124">
        <v>4</v>
      </c>
      <c r="G1521" s="124">
        <v>24</v>
      </c>
      <c r="H1521" s="486" t="s">
        <v>5866</v>
      </c>
      <c r="I1521" s="215" t="s">
        <v>816</v>
      </c>
      <c r="J1521" s="215" t="s">
        <v>77</v>
      </c>
      <c r="K1521" s="266">
        <v>812361013878</v>
      </c>
      <c r="L1521" s="265" t="s">
        <v>649</v>
      </c>
      <c r="M1521" s="265" t="s">
        <v>649</v>
      </c>
      <c r="N1521" s="264">
        <v>1</v>
      </c>
      <c r="O1521" s="265" t="s">
        <v>649</v>
      </c>
      <c r="P1521" s="265">
        <v>4</v>
      </c>
      <c r="Q1521" s="265" t="s">
        <v>649</v>
      </c>
    </row>
    <row r="1522" spans="1:17" ht="15" customHeight="1">
      <c r="A1522" s="147">
        <v>1596</v>
      </c>
      <c r="B1522" s="51" t="s">
        <v>5715</v>
      </c>
      <c r="C1522" s="51" t="s">
        <v>1127</v>
      </c>
      <c r="D1522" s="51">
        <v>300004479</v>
      </c>
      <c r="E1522" s="53" t="s">
        <v>1128</v>
      </c>
      <c r="F1522" s="124">
        <v>2</v>
      </c>
      <c r="G1522" s="124">
        <v>12</v>
      </c>
      <c r="H1522" s="486" t="s">
        <v>5866</v>
      </c>
      <c r="I1522" s="215" t="s">
        <v>816</v>
      </c>
      <c r="J1522" s="215" t="s">
        <v>77</v>
      </c>
      <c r="K1522" s="266">
        <v>812361013892</v>
      </c>
      <c r="L1522" s="265" t="s">
        <v>649</v>
      </c>
      <c r="M1522" s="265" t="s">
        <v>649</v>
      </c>
      <c r="N1522" s="264">
        <v>1</v>
      </c>
      <c r="O1522" s="265" t="s">
        <v>649</v>
      </c>
      <c r="P1522" s="265">
        <v>2</v>
      </c>
      <c r="Q1522" s="265" t="s">
        <v>649</v>
      </c>
    </row>
    <row r="1523" spans="1:17" ht="15" customHeight="1">
      <c r="A1523" s="147">
        <v>1597</v>
      </c>
      <c r="B1523" s="51" t="s">
        <v>5715</v>
      </c>
      <c r="C1523" s="51" t="s">
        <v>1129</v>
      </c>
      <c r="D1523" s="51">
        <v>300004437</v>
      </c>
      <c r="E1523" s="53" t="s">
        <v>1130</v>
      </c>
      <c r="F1523" s="124">
        <v>6</v>
      </c>
      <c r="G1523" s="124">
        <v>192</v>
      </c>
      <c r="H1523" s="486" t="s">
        <v>5866</v>
      </c>
      <c r="I1523" s="215" t="s">
        <v>816</v>
      </c>
      <c r="J1523" s="215" t="s">
        <v>77</v>
      </c>
      <c r="K1523" s="266">
        <v>810673017331</v>
      </c>
      <c r="L1523" s="265" t="s">
        <v>649</v>
      </c>
      <c r="M1523" s="265" t="s">
        <v>649</v>
      </c>
      <c r="N1523" s="264">
        <v>1.274</v>
      </c>
      <c r="O1523" s="265" t="s">
        <v>649</v>
      </c>
      <c r="P1523" s="265">
        <v>7.6440000000000001</v>
      </c>
      <c r="Q1523" s="265" t="s">
        <v>649</v>
      </c>
    </row>
    <row r="1524" spans="1:17" ht="15" customHeight="1">
      <c r="A1524" s="147">
        <v>1598</v>
      </c>
      <c r="B1524" s="51" t="s">
        <v>5715</v>
      </c>
      <c r="C1524" s="51" t="s">
        <v>1131</v>
      </c>
      <c r="D1524" s="51">
        <v>300004455</v>
      </c>
      <c r="E1524" s="53" t="s">
        <v>1132</v>
      </c>
      <c r="F1524" s="124">
        <v>4</v>
      </c>
      <c r="G1524" s="124">
        <v>24</v>
      </c>
      <c r="H1524" s="486" t="s">
        <v>5866</v>
      </c>
      <c r="I1524" s="215" t="s">
        <v>816</v>
      </c>
      <c r="J1524" s="215" t="s">
        <v>77</v>
      </c>
      <c r="K1524" s="266">
        <v>812361013915</v>
      </c>
      <c r="L1524" s="265" t="s">
        <v>649</v>
      </c>
      <c r="M1524" s="265" t="s">
        <v>649</v>
      </c>
      <c r="N1524" s="264">
        <v>1</v>
      </c>
      <c r="O1524" s="265" t="s">
        <v>649</v>
      </c>
      <c r="P1524" s="265">
        <v>4</v>
      </c>
      <c r="Q1524" s="265" t="s">
        <v>649</v>
      </c>
    </row>
    <row r="1525" spans="1:17" ht="15" customHeight="1">
      <c r="A1525" s="147">
        <v>1599</v>
      </c>
      <c r="B1525" s="51" t="s">
        <v>5715</v>
      </c>
      <c r="C1525" s="51" t="s">
        <v>1133</v>
      </c>
      <c r="D1525" s="51">
        <v>100029305</v>
      </c>
      <c r="E1525" s="53" t="s">
        <v>1134</v>
      </c>
      <c r="F1525" s="124">
        <v>10</v>
      </c>
      <c r="G1525" s="124">
        <v>240</v>
      </c>
      <c r="H1525" s="369">
        <v>82.07</v>
      </c>
      <c r="I1525" s="215" t="s">
        <v>76</v>
      </c>
      <c r="J1525" s="215" t="s">
        <v>102</v>
      </c>
      <c r="K1525" s="266">
        <v>810673017355</v>
      </c>
      <c r="L1525" s="265" t="s">
        <v>649</v>
      </c>
      <c r="M1525" s="266">
        <v>810673017362</v>
      </c>
      <c r="N1525" s="264">
        <v>1.4319999999999999</v>
      </c>
      <c r="O1525" s="265" t="s">
        <v>649</v>
      </c>
      <c r="P1525" s="265">
        <v>16.490000000000002</v>
      </c>
      <c r="Q1525" s="265">
        <v>1.8803145838984718</v>
      </c>
    </row>
    <row r="1526" spans="1:17" ht="15" customHeight="1">
      <c r="A1526" s="147">
        <v>1600</v>
      </c>
      <c r="B1526" s="51" t="s">
        <v>5715</v>
      </c>
      <c r="C1526" s="51" t="s">
        <v>1135</v>
      </c>
      <c r="D1526" s="51">
        <v>100029317</v>
      </c>
      <c r="E1526" s="53" t="s">
        <v>1136</v>
      </c>
      <c r="F1526" s="124">
        <v>1</v>
      </c>
      <c r="G1526" s="124">
        <v>100</v>
      </c>
      <c r="H1526" s="369">
        <v>151.02000000000001</v>
      </c>
      <c r="I1526" s="215" t="s">
        <v>76</v>
      </c>
      <c r="J1526" s="215" t="s">
        <v>102</v>
      </c>
      <c r="K1526" s="266">
        <v>810673017379</v>
      </c>
      <c r="L1526" s="265" t="s">
        <v>649</v>
      </c>
      <c r="M1526" s="266">
        <v>812361016459</v>
      </c>
      <c r="N1526" s="264">
        <v>3.7480000000000002</v>
      </c>
      <c r="O1526" s="265" t="s">
        <v>649</v>
      </c>
      <c r="P1526" s="265">
        <v>489.29999999999995</v>
      </c>
      <c r="Q1526" s="265">
        <v>53.333269333358928</v>
      </c>
    </row>
    <row r="1527" spans="1:17" ht="15" customHeight="1">
      <c r="A1527" s="147">
        <v>1601</v>
      </c>
      <c r="B1527" s="51" t="s">
        <v>5715</v>
      </c>
      <c r="C1527" s="51" t="s">
        <v>1137</v>
      </c>
      <c r="D1527" s="51">
        <v>100029306</v>
      </c>
      <c r="E1527" s="53" t="s">
        <v>1138</v>
      </c>
      <c r="F1527" s="124">
        <v>1</v>
      </c>
      <c r="G1527" s="124">
        <v>54</v>
      </c>
      <c r="H1527" s="369">
        <v>417.67</v>
      </c>
      <c r="I1527" s="215" t="s">
        <v>76</v>
      </c>
      <c r="J1527" s="215" t="s">
        <v>102</v>
      </c>
      <c r="K1527" s="266">
        <v>810673017393</v>
      </c>
      <c r="L1527" s="265" t="s">
        <v>649</v>
      </c>
      <c r="M1527" s="266">
        <v>812361016701</v>
      </c>
      <c r="N1527" s="264">
        <v>5.3259999999999996</v>
      </c>
      <c r="O1527" s="265" t="s">
        <v>649</v>
      </c>
      <c r="P1527" s="265">
        <v>404.02800000000002</v>
      </c>
      <c r="Q1527" s="265">
        <v>53.333269333358928</v>
      </c>
    </row>
    <row r="1528" spans="1:17" ht="15" customHeight="1">
      <c r="A1528" s="147">
        <v>1602</v>
      </c>
      <c r="B1528" s="51" t="s">
        <v>5715</v>
      </c>
      <c r="C1528" s="51" t="s">
        <v>1139</v>
      </c>
      <c r="D1528" s="51">
        <v>100029329</v>
      </c>
      <c r="E1528" s="53" t="s">
        <v>1140</v>
      </c>
      <c r="F1528" s="124">
        <v>1</v>
      </c>
      <c r="G1528" s="124">
        <v>24</v>
      </c>
      <c r="H1528" s="369">
        <v>1404.71</v>
      </c>
      <c r="I1528" s="215" t="s">
        <v>76</v>
      </c>
      <c r="J1528" s="215" t="s">
        <v>102</v>
      </c>
      <c r="K1528" s="266">
        <v>810673017416</v>
      </c>
      <c r="L1528" s="265" t="s">
        <v>649</v>
      </c>
      <c r="M1528" s="266">
        <v>812361016718</v>
      </c>
      <c r="N1528" s="264">
        <v>11.148</v>
      </c>
      <c r="O1528" s="265" t="s">
        <v>649</v>
      </c>
      <c r="P1528" s="265">
        <v>267.55200000000002</v>
      </c>
      <c r="Q1528" s="265">
        <v>53.333269333358928</v>
      </c>
    </row>
    <row r="1529" spans="1:17" ht="15" customHeight="1">
      <c r="A1529" s="147">
        <v>1603</v>
      </c>
      <c r="B1529" s="51" t="s">
        <v>5715</v>
      </c>
      <c r="C1529" s="51" t="s">
        <v>1141</v>
      </c>
      <c r="D1529" s="51">
        <v>100029330</v>
      </c>
      <c r="E1529" s="53" t="s">
        <v>1142</v>
      </c>
      <c r="F1529" s="124">
        <v>1</v>
      </c>
      <c r="G1529" s="124">
        <v>18</v>
      </c>
      <c r="H1529" s="369">
        <v>1817.73</v>
      </c>
      <c r="I1529" s="215" t="s">
        <v>76</v>
      </c>
      <c r="J1529" s="215" t="s">
        <v>102</v>
      </c>
      <c r="K1529" s="266">
        <v>810673017423</v>
      </c>
      <c r="L1529" s="265" t="s">
        <v>649</v>
      </c>
      <c r="M1529" s="266">
        <v>812361016466</v>
      </c>
      <c r="N1529" s="264">
        <v>18.068000000000001</v>
      </c>
      <c r="O1529" s="265" t="s">
        <v>649</v>
      </c>
      <c r="P1529" s="265">
        <v>325.22400000000005</v>
      </c>
      <c r="Q1529" s="265">
        <v>53.333269333358928</v>
      </c>
    </row>
    <row r="1530" spans="1:17" ht="15" customHeight="1">
      <c r="A1530" s="147">
        <v>1604</v>
      </c>
      <c r="B1530" s="51" t="s">
        <v>5715</v>
      </c>
      <c r="C1530" s="51" t="s">
        <v>1143</v>
      </c>
      <c r="D1530" s="51">
        <v>100029303</v>
      </c>
      <c r="E1530" s="53" t="s">
        <v>1144</v>
      </c>
      <c r="F1530" s="124">
        <v>10</v>
      </c>
      <c r="G1530" s="124">
        <v>240</v>
      </c>
      <c r="H1530" s="369">
        <v>75.47</v>
      </c>
      <c r="I1530" s="215" t="s">
        <v>76</v>
      </c>
      <c r="J1530" s="215" t="s">
        <v>102</v>
      </c>
      <c r="K1530" s="266">
        <v>810673017430</v>
      </c>
      <c r="L1530" s="265" t="s">
        <v>649</v>
      </c>
      <c r="M1530" s="266">
        <v>812361015544</v>
      </c>
      <c r="N1530" s="264">
        <v>1.276</v>
      </c>
      <c r="O1530" s="265" t="s">
        <v>649</v>
      </c>
      <c r="P1530" s="265">
        <v>14.930000000000001</v>
      </c>
      <c r="Q1530" s="265">
        <v>1.8803145838984718</v>
      </c>
    </row>
    <row r="1531" spans="1:17" ht="15" customHeight="1">
      <c r="A1531" s="147">
        <v>1605</v>
      </c>
      <c r="B1531" s="51" t="s">
        <v>5715</v>
      </c>
      <c r="C1531" s="51" t="s">
        <v>1145</v>
      </c>
      <c r="D1531" s="51">
        <v>100029313</v>
      </c>
      <c r="E1531" s="53" t="s">
        <v>1146</v>
      </c>
      <c r="F1531" s="124">
        <v>1</v>
      </c>
      <c r="G1531" s="124">
        <v>100</v>
      </c>
      <c r="H1531" s="369">
        <v>159.61000000000001</v>
      </c>
      <c r="I1531" s="215" t="s">
        <v>346</v>
      </c>
      <c r="J1531" s="215" t="s">
        <v>102</v>
      </c>
      <c r="K1531" s="266">
        <v>810673017454</v>
      </c>
      <c r="L1531" s="265" t="s">
        <v>649</v>
      </c>
      <c r="M1531" s="266">
        <v>812361016435</v>
      </c>
      <c r="N1531" s="264">
        <v>3.4780000000000002</v>
      </c>
      <c r="O1531" s="265" t="s">
        <v>649</v>
      </c>
      <c r="P1531" s="265">
        <v>347.8</v>
      </c>
      <c r="Q1531" s="265">
        <v>53.333269333358928</v>
      </c>
    </row>
    <row r="1532" spans="1:17" ht="15" customHeight="1">
      <c r="A1532" s="147">
        <v>1606</v>
      </c>
      <c r="B1532" s="51" t="s">
        <v>5715</v>
      </c>
      <c r="C1532" s="51" t="s">
        <v>1147</v>
      </c>
      <c r="D1532" s="51">
        <v>100029304</v>
      </c>
      <c r="E1532" s="53" t="s">
        <v>1148</v>
      </c>
      <c r="F1532" s="124">
        <v>1</v>
      </c>
      <c r="G1532" s="124">
        <v>54</v>
      </c>
      <c r="H1532" s="369">
        <v>431.02</v>
      </c>
      <c r="I1532" s="215" t="s">
        <v>346</v>
      </c>
      <c r="J1532" s="215" t="s">
        <v>102</v>
      </c>
      <c r="K1532" s="266">
        <v>810673017478</v>
      </c>
      <c r="L1532" s="265" t="s">
        <v>649</v>
      </c>
      <c r="M1532" s="266">
        <v>812361016541</v>
      </c>
      <c r="N1532" s="264">
        <v>5.298</v>
      </c>
      <c r="O1532" s="265" t="s">
        <v>649</v>
      </c>
      <c r="P1532" s="265">
        <v>402.51599999999996</v>
      </c>
      <c r="Q1532" s="265">
        <v>53.333269333358928</v>
      </c>
    </row>
    <row r="1533" spans="1:17" ht="15" customHeight="1">
      <c r="A1533" s="147">
        <v>1607</v>
      </c>
      <c r="B1533" s="51" t="s">
        <v>5715</v>
      </c>
      <c r="C1533" s="51" t="s">
        <v>1149</v>
      </c>
      <c r="D1533" s="51">
        <v>100029314</v>
      </c>
      <c r="E1533" s="53" t="s">
        <v>1150</v>
      </c>
      <c r="F1533" s="124">
        <v>16</v>
      </c>
      <c r="G1533" s="124">
        <v>384</v>
      </c>
      <c r="H1533" s="369">
        <v>65.22</v>
      </c>
      <c r="I1533" s="215" t="s">
        <v>76</v>
      </c>
      <c r="J1533" s="215" t="s">
        <v>102</v>
      </c>
      <c r="K1533" s="266">
        <v>810673017492</v>
      </c>
      <c r="L1533" s="265" t="s">
        <v>649</v>
      </c>
      <c r="M1533" s="266">
        <v>810673017492</v>
      </c>
      <c r="N1533" s="264">
        <v>1.1200000000000001</v>
      </c>
      <c r="O1533" s="265" t="s">
        <v>649</v>
      </c>
      <c r="P1533" s="265">
        <v>20.111999999999998</v>
      </c>
      <c r="Q1533" s="265">
        <v>1.8803145838984718</v>
      </c>
    </row>
    <row r="1534" spans="1:17" ht="15" customHeight="1">
      <c r="A1534" s="147">
        <v>1608</v>
      </c>
      <c r="B1534" s="51" t="s">
        <v>5715</v>
      </c>
      <c r="C1534" s="51" t="s">
        <v>1151</v>
      </c>
      <c r="D1534" s="51">
        <v>100030903</v>
      </c>
      <c r="E1534" s="53" t="s">
        <v>1152</v>
      </c>
      <c r="F1534" s="124">
        <v>1</v>
      </c>
      <c r="G1534" s="124">
        <v>136</v>
      </c>
      <c r="H1534" s="369">
        <v>137.78</v>
      </c>
      <c r="I1534" s="215" t="s">
        <v>346</v>
      </c>
      <c r="J1534" s="215" t="s">
        <v>102</v>
      </c>
      <c r="K1534" s="266">
        <v>810673017515</v>
      </c>
      <c r="L1534" s="265" t="s">
        <v>649</v>
      </c>
      <c r="M1534" s="266">
        <v>812361016084</v>
      </c>
      <c r="N1534" s="264">
        <v>2.5840000000000001</v>
      </c>
      <c r="O1534" s="265" t="s">
        <v>649</v>
      </c>
      <c r="P1534" s="265">
        <v>351.42400000000004</v>
      </c>
      <c r="Q1534" s="265">
        <v>53.333269333358928</v>
      </c>
    </row>
    <row r="1535" spans="1:17" ht="15" customHeight="1">
      <c r="A1535" s="147">
        <v>1609</v>
      </c>
      <c r="B1535" s="51" t="s">
        <v>5715</v>
      </c>
      <c r="C1535" s="51" t="s">
        <v>1153</v>
      </c>
      <c r="D1535" s="51">
        <v>100031305</v>
      </c>
      <c r="E1535" s="53" t="s">
        <v>1154</v>
      </c>
      <c r="F1535" s="124">
        <v>1</v>
      </c>
      <c r="G1535" s="124">
        <v>110</v>
      </c>
      <c r="H1535" s="369">
        <v>132.38999999999999</v>
      </c>
      <c r="I1535" s="215" t="s">
        <v>76</v>
      </c>
      <c r="J1535" s="215" t="s">
        <v>102</v>
      </c>
      <c r="K1535" s="266">
        <v>810673017539</v>
      </c>
      <c r="L1535" s="265" t="s">
        <v>649</v>
      </c>
      <c r="M1535" s="266">
        <v>812361017135</v>
      </c>
      <c r="N1535" s="264">
        <v>3.1360000000000001</v>
      </c>
      <c r="O1535" s="265" t="s">
        <v>649</v>
      </c>
      <c r="P1535" s="265">
        <v>344.96000000000004</v>
      </c>
      <c r="Q1535" s="265">
        <v>53.333269333358928</v>
      </c>
    </row>
    <row r="1536" spans="1:17" ht="15" customHeight="1">
      <c r="A1536" s="147">
        <v>1610</v>
      </c>
      <c r="B1536" s="51" t="s">
        <v>5715</v>
      </c>
      <c r="C1536" s="51" t="s">
        <v>1155</v>
      </c>
      <c r="D1536" s="51">
        <v>100029316</v>
      </c>
      <c r="E1536" s="53" t="s">
        <v>1156</v>
      </c>
      <c r="F1536" s="124">
        <v>1</v>
      </c>
      <c r="G1536" s="124">
        <v>50</v>
      </c>
      <c r="H1536" s="369">
        <v>370.61</v>
      </c>
      <c r="I1536" s="215" t="s">
        <v>76</v>
      </c>
      <c r="J1536" s="215" t="s">
        <v>102</v>
      </c>
      <c r="K1536" s="266">
        <v>810673017553</v>
      </c>
      <c r="L1536" s="265" t="s">
        <v>649</v>
      </c>
      <c r="M1536" s="266">
        <v>812361016657</v>
      </c>
      <c r="N1536" s="264">
        <v>6.766</v>
      </c>
      <c r="O1536" s="265" t="s">
        <v>649</v>
      </c>
      <c r="P1536" s="265">
        <v>338.3</v>
      </c>
      <c r="Q1536" s="265">
        <v>53.333269333358928</v>
      </c>
    </row>
    <row r="1537" spans="1:17" ht="15" customHeight="1">
      <c r="A1537" s="147">
        <v>1611</v>
      </c>
      <c r="B1537" s="51" t="s">
        <v>5715</v>
      </c>
      <c r="C1537" s="51" t="s">
        <v>1157</v>
      </c>
      <c r="D1537" s="51">
        <v>100029333</v>
      </c>
      <c r="E1537" s="53" t="s">
        <v>1158</v>
      </c>
      <c r="F1537" s="124">
        <v>1</v>
      </c>
      <c r="G1537" s="124">
        <v>35</v>
      </c>
      <c r="H1537" s="369">
        <v>961.49</v>
      </c>
      <c r="I1537" s="215" t="s">
        <v>76</v>
      </c>
      <c r="J1537" s="215" t="s">
        <v>102</v>
      </c>
      <c r="K1537" s="266">
        <v>810673017577</v>
      </c>
      <c r="L1537" s="265" t="s">
        <v>649</v>
      </c>
      <c r="M1537" s="266">
        <v>812361016794</v>
      </c>
      <c r="N1537" s="264">
        <v>7.798</v>
      </c>
      <c r="O1537" s="265" t="s">
        <v>649</v>
      </c>
      <c r="P1537" s="265">
        <v>283.64</v>
      </c>
      <c r="Q1537" s="265">
        <v>53.333269333358928</v>
      </c>
    </row>
    <row r="1538" spans="1:17" ht="15" customHeight="1">
      <c r="A1538" s="147">
        <v>1612</v>
      </c>
      <c r="B1538" s="51" t="s">
        <v>5715</v>
      </c>
      <c r="C1538" s="51" t="s">
        <v>1159</v>
      </c>
      <c r="D1538" s="51">
        <v>100029332</v>
      </c>
      <c r="E1538" s="53" t="s">
        <v>1160</v>
      </c>
      <c r="F1538" s="124">
        <v>1</v>
      </c>
      <c r="G1538" s="124">
        <v>18</v>
      </c>
      <c r="H1538" s="369">
        <v>1396.56</v>
      </c>
      <c r="I1538" s="215" t="s">
        <v>76</v>
      </c>
      <c r="J1538" s="215" t="s">
        <v>102</v>
      </c>
      <c r="K1538" s="266">
        <v>810673017584</v>
      </c>
      <c r="L1538" s="265" t="s">
        <v>649</v>
      </c>
      <c r="M1538" s="266">
        <v>812361016480</v>
      </c>
      <c r="N1538" s="264">
        <v>14.096</v>
      </c>
      <c r="O1538" s="265" t="s">
        <v>649</v>
      </c>
      <c r="P1538" s="265">
        <v>253.72800000000001</v>
      </c>
      <c r="Q1538" s="265">
        <v>53.333269333358928</v>
      </c>
    </row>
    <row r="1539" spans="1:17" ht="15" customHeight="1">
      <c r="A1539" s="147">
        <v>1613</v>
      </c>
      <c r="B1539" s="51" t="s">
        <v>5715</v>
      </c>
      <c r="C1539" s="51" t="s">
        <v>1161</v>
      </c>
      <c r="D1539" s="51">
        <v>100029310</v>
      </c>
      <c r="E1539" s="53" t="s">
        <v>1162</v>
      </c>
      <c r="F1539" s="124">
        <v>16</v>
      </c>
      <c r="G1539" s="124">
        <v>384</v>
      </c>
      <c r="H1539" s="369">
        <v>58.7</v>
      </c>
      <c r="I1539" s="215" t="s">
        <v>76</v>
      </c>
      <c r="J1539" s="215" t="s">
        <v>102</v>
      </c>
      <c r="K1539" s="266">
        <v>810673017591</v>
      </c>
      <c r="L1539" s="265" t="s">
        <v>649</v>
      </c>
      <c r="M1539" s="266">
        <v>810673017591</v>
      </c>
      <c r="N1539" s="264">
        <v>0.98199999999999998</v>
      </c>
      <c r="O1539" s="265" t="s">
        <v>649</v>
      </c>
      <c r="P1539" s="265">
        <v>17.904</v>
      </c>
      <c r="Q1539" s="265">
        <v>1.8803145838984718</v>
      </c>
    </row>
    <row r="1540" spans="1:17" ht="15" customHeight="1">
      <c r="A1540" s="147">
        <v>1614</v>
      </c>
      <c r="B1540" s="51" t="s">
        <v>5715</v>
      </c>
      <c r="C1540" s="51" t="s">
        <v>1163</v>
      </c>
      <c r="D1540" s="51">
        <v>100030904</v>
      </c>
      <c r="E1540" s="53" t="s">
        <v>1164</v>
      </c>
      <c r="F1540" s="124">
        <v>6</v>
      </c>
      <c r="G1540" s="124">
        <v>136</v>
      </c>
      <c r="H1540" s="369">
        <v>121.11</v>
      </c>
      <c r="I1540" s="215" t="s">
        <v>76</v>
      </c>
      <c r="J1540" s="215" t="s">
        <v>102</v>
      </c>
      <c r="K1540" s="266">
        <v>810673017614</v>
      </c>
      <c r="L1540" s="265" t="s">
        <v>649</v>
      </c>
      <c r="M1540" s="266">
        <v>812361016183</v>
      </c>
      <c r="N1540" s="264">
        <v>2.1379999999999999</v>
      </c>
      <c r="O1540" s="265" t="s">
        <v>649</v>
      </c>
      <c r="P1540" s="265">
        <v>290.76799999999997</v>
      </c>
      <c r="Q1540" s="265">
        <v>53.333269333358928</v>
      </c>
    </row>
    <row r="1541" spans="1:17" ht="15" customHeight="1">
      <c r="A1541" s="147">
        <v>1615</v>
      </c>
      <c r="B1541" s="51" t="s">
        <v>5715</v>
      </c>
      <c r="C1541" s="51" t="s">
        <v>1165</v>
      </c>
      <c r="D1541" s="51">
        <v>100029311</v>
      </c>
      <c r="E1541" s="53" t="s">
        <v>1166</v>
      </c>
      <c r="F1541" s="124">
        <v>1</v>
      </c>
      <c r="G1541" s="124">
        <v>120</v>
      </c>
      <c r="H1541" s="369">
        <v>117.32</v>
      </c>
      <c r="I1541" s="215" t="s">
        <v>76</v>
      </c>
      <c r="J1541" s="215" t="s">
        <v>102</v>
      </c>
      <c r="K1541" s="266">
        <v>810673017638</v>
      </c>
      <c r="L1541" s="265" t="s">
        <v>649</v>
      </c>
      <c r="M1541" s="266">
        <v>812361016503</v>
      </c>
      <c r="N1541" s="264">
        <v>2.85</v>
      </c>
      <c r="O1541" s="265" t="s">
        <v>649</v>
      </c>
      <c r="P1541" s="265">
        <v>452.03999999999996</v>
      </c>
      <c r="Q1541" s="265">
        <v>53.333269333358928</v>
      </c>
    </row>
    <row r="1542" spans="1:17" ht="15" customHeight="1">
      <c r="A1542" s="147">
        <v>1616</v>
      </c>
      <c r="B1542" s="51" t="s">
        <v>5715</v>
      </c>
      <c r="C1542" s="51" t="s">
        <v>1167</v>
      </c>
      <c r="D1542" s="51">
        <v>100029312</v>
      </c>
      <c r="E1542" s="53" t="s">
        <v>1168</v>
      </c>
      <c r="F1542" s="124">
        <v>1</v>
      </c>
      <c r="G1542" s="124">
        <v>50</v>
      </c>
      <c r="H1542" s="369">
        <v>354.04</v>
      </c>
      <c r="I1542" s="215" t="s">
        <v>76</v>
      </c>
      <c r="J1542" s="215" t="s">
        <v>102</v>
      </c>
      <c r="K1542" s="266">
        <v>810673017652</v>
      </c>
      <c r="L1542" s="265" t="s">
        <v>649</v>
      </c>
      <c r="M1542" s="266">
        <v>812361016510</v>
      </c>
      <c r="N1542" s="264">
        <v>6.056</v>
      </c>
      <c r="O1542" s="265" t="s">
        <v>649</v>
      </c>
      <c r="P1542" s="265">
        <v>416.3</v>
      </c>
      <c r="Q1542" s="265">
        <v>53.333269333358928</v>
      </c>
    </row>
    <row r="1543" spans="1:17" ht="15" customHeight="1">
      <c r="A1543" s="147">
        <v>1617</v>
      </c>
      <c r="B1543" s="51" t="s">
        <v>5715</v>
      </c>
      <c r="C1543" s="51" t="s">
        <v>1169</v>
      </c>
      <c r="D1543" s="51">
        <v>300005767</v>
      </c>
      <c r="E1543" s="53" t="s">
        <v>1170</v>
      </c>
      <c r="F1543" s="124">
        <v>1</v>
      </c>
      <c r="G1543" s="124">
        <v>27</v>
      </c>
      <c r="H1543" s="486" t="s">
        <v>5866</v>
      </c>
      <c r="I1543" s="215" t="s">
        <v>816</v>
      </c>
      <c r="J1543" s="215" t="s">
        <v>77</v>
      </c>
      <c r="K1543" s="266">
        <v>810673017683</v>
      </c>
      <c r="L1543" s="265" t="s">
        <v>649</v>
      </c>
      <c r="M1543" s="265" t="s">
        <v>649</v>
      </c>
      <c r="N1543" s="264">
        <v>15.58</v>
      </c>
      <c r="O1543" s="265" t="s">
        <v>649</v>
      </c>
      <c r="P1543" s="265">
        <v>15.58</v>
      </c>
      <c r="Q1543" s="265" t="s">
        <v>649</v>
      </c>
    </row>
    <row r="1544" spans="1:17" ht="15" customHeight="1">
      <c r="A1544" s="147">
        <v>1618</v>
      </c>
      <c r="B1544" s="51" t="s">
        <v>5715</v>
      </c>
      <c r="C1544" s="51" t="s">
        <v>1171</v>
      </c>
      <c r="D1544" s="51">
        <v>100029357</v>
      </c>
      <c r="E1544" s="53" t="s">
        <v>1172</v>
      </c>
      <c r="F1544" s="124">
        <v>18</v>
      </c>
      <c r="G1544" s="124">
        <v>432</v>
      </c>
      <c r="H1544" s="369">
        <v>65.17</v>
      </c>
      <c r="I1544" s="215" t="s">
        <v>76</v>
      </c>
      <c r="J1544" s="215" t="s">
        <v>102</v>
      </c>
      <c r="K1544" s="266">
        <v>810673017690</v>
      </c>
      <c r="L1544" s="265" t="s">
        <v>649</v>
      </c>
      <c r="M1544" s="266">
        <v>810673017690</v>
      </c>
      <c r="N1544" s="264">
        <v>1.042</v>
      </c>
      <c r="O1544" s="265" t="s">
        <v>649</v>
      </c>
      <c r="P1544" s="265">
        <v>20.951999999999998</v>
      </c>
      <c r="Q1544" s="265">
        <v>1.8803145838984718</v>
      </c>
    </row>
    <row r="1545" spans="1:17" ht="15" customHeight="1">
      <c r="A1545" s="147">
        <v>1619</v>
      </c>
      <c r="B1545" s="51" t="s">
        <v>5715</v>
      </c>
      <c r="C1545" s="51" t="s">
        <v>1173</v>
      </c>
      <c r="D1545" s="51">
        <v>100030901</v>
      </c>
      <c r="E1545" s="53" t="s">
        <v>1174</v>
      </c>
      <c r="F1545" s="124">
        <v>1</v>
      </c>
      <c r="G1545" s="124">
        <v>160</v>
      </c>
      <c r="H1545" s="369">
        <v>136.25</v>
      </c>
      <c r="I1545" s="215" t="s">
        <v>346</v>
      </c>
      <c r="J1545" s="215" t="s">
        <v>102</v>
      </c>
      <c r="K1545" s="266">
        <v>810673017713</v>
      </c>
      <c r="L1545" s="265" t="s">
        <v>649</v>
      </c>
      <c r="M1545" s="266">
        <v>812361016091</v>
      </c>
      <c r="N1545" s="264">
        <v>2.34</v>
      </c>
      <c r="O1545" s="265" t="s">
        <v>649</v>
      </c>
      <c r="P1545" s="265">
        <v>374.4</v>
      </c>
      <c r="Q1545" s="265">
        <v>53.333269333358928</v>
      </c>
    </row>
    <row r="1546" spans="1:17" ht="15" customHeight="1">
      <c r="A1546" s="147">
        <v>1620</v>
      </c>
      <c r="B1546" s="51" t="s">
        <v>5715</v>
      </c>
      <c r="C1546" s="51" t="s">
        <v>1175</v>
      </c>
      <c r="D1546" s="51">
        <v>100029356</v>
      </c>
      <c r="E1546" s="53" t="s">
        <v>1176</v>
      </c>
      <c r="F1546" s="124">
        <v>1</v>
      </c>
      <c r="G1546" s="124">
        <v>140</v>
      </c>
      <c r="H1546" s="369">
        <v>128.33000000000001</v>
      </c>
      <c r="I1546" s="215" t="s">
        <v>76</v>
      </c>
      <c r="J1546" s="215" t="s">
        <v>102</v>
      </c>
      <c r="K1546" s="266">
        <v>810673017737</v>
      </c>
      <c r="L1546" s="265" t="s">
        <v>649</v>
      </c>
      <c r="M1546" s="266">
        <v>812361016671</v>
      </c>
      <c r="N1546" s="264">
        <v>2.8559999999999999</v>
      </c>
      <c r="O1546" s="265" t="s">
        <v>649</v>
      </c>
      <c r="P1546" s="265">
        <v>401.52</v>
      </c>
      <c r="Q1546" s="265">
        <v>53.333269333358928</v>
      </c>
    </row>
    <row r="1547" spans="1:17" ht="15" customHeight="1">
      <c r="A1547" s="147">
        <v>1621</v>
      </c>
      <c r="B1547" s="51" t="s">
        <v>5715</v>
      </c>
      <c r="C1547" s="51" t="s">
        <v>1177</v>
      </c>
      <c r="D1547" s="51">
        <v>100029351</v>
      </c>
      <c r="E1547" s="53" t="s">
        <v>1178</v>
      </c>
      <c r="F1547" s="124">
        <v>1</v>
      </c>
      <c r="G1547" s="124">
        <v>80</v>
      </c>
      <c r="H1547" s="369">
        <v>373.88</v>
      </c>
      <c r="I1547" s="215" t="s">
        <v>76</v>
      </c>
      <c r="J1547" s="215" t="s">
        <v>102</v>
      </c>
      <c r="K1547" s="266">
        <v>810673017751</v>
      </c>
      <c r="L1547" s="265" t="s">
        <v>649</v>
      </c>
      <c r="M1547" s="266">
        <v>812361016688</v>
      </c>
      <c r="N1547" s="264">
        <v>3.8639999999999999</v>
      </c>
      <c r="O1547" s="265" t="s">
        <v>649</v>
      </c>
      <c r="P1547" s="265">
        <v>309.12</v>
      </c>
      <c r="Q1547" s="265">
        <v>53.333269333358928</v>
      </c>
    </row>
    <row r="1548" spans="1:17" ht="15" customHeight="1">
      <c r="A1548" s="147">
        <v>1622</v>
      </c>
      <c r="B1548" s="51" t="s">
        <v>5715</v>
      </c>
      <c r="C1548" s="51" t="s">
        <v>1179</v>
      </c>
      <c r="D1548" s="51">
        <v>300003467</v>
      </c>
      <c r="E1548" s="53" t="s">
        <v>1180</v>
      </c>
      <c r="F1548" s="124">
        <v>1</v>
      </c>
      <c r="G1548" s="124">
        <v>36</v>
      </c>
      <c r="H1548" s="486" t="s">
        <v>5866</v>
      </c>
      <c r="I1548" s="215" t="s">
        <v>816</v>
      </c>
      <c r="J1548" s="215" t="s">
        <v>77</v>
      </c>
      <c r="K1548" s="266">
        <v>816842021116</v>
      </c>
      <c r="L1548" s="265" t="s">
        <v>649</v>
      </c>
      <c r="M1548" s="265" t="s">
        <v>649</v>
      </c>
      <c r="N1548" s="264">
        <v>8.86</v>
      </c>
      <c r="O1548" s="265" t="s">
        <v>649</v>
      </c>
      <c r="P1548" s="265">
        <v>8.86</v>
      </c>
      <c r="Q1548" s="265" t="s">
        <v>649</v>
      </c>
    </row>
    <row r="1549" spans="1:17" ht="15" customHeight="1">
      <c r="A1549" s="147">
        <v>1623</v>
      </c>
      <c r="B1549" s="51" t="s">
        <v>5715</v>
      </c>
      <c r="C1549" s="51" t="s">
        <v>1181</v>
      </c>
      <c r="D1549" s="51">
        <v>300003525</v>
      </c>
      <c r="E1549" s="53" t="s">
        <v>1182</v>
      </c>
      <c r="F1549" s="124">
        <v>1</v>
      </c>
      <c r="G1549" s="124">
        <v>16</v>
      </c>
      <c r="H1549" s="486" t="s">
        <v>5866</v>
      </c>
      <c r="I1549" s="215" t="s">
        <v>816</v>
      </c>
      <c r="J1549" s="215" t="s">
        <v>77</v>
      </c>
      <c r="K1549" s="266">
        <v>812361019276</v>
      </c>
      <c r="L1549" s="265" t="s">
        <v>649</v>
      </c>
      <c r="M1549" s="265" t="s">
        <v>649</v>
      </c>
      <c r="N1549" s="264">
        <v>15.86</v>
      </c>
      <c r="O1549" s="265" t="s">
        <v>649</v>
      </c>
      <c r="P1549" s="265">
        <v>15.86</v>
      </c>
      <c r="Q1549" s="265" t="s">
        <v>649</v>
      </c>
    </row>
    <row r="1550" spans="1:17" ht="15" customHeight="1">
      <c r="A1550" s="147">
        <v>1624</v>
      </c>
      <c r="B1550" s="51" t="s">
        <v>5715</v>
      </c>
      <c r="C1550" s="51" t="s">
        <v>1183</v>
      </c>
      <c r="D1550" s="51">
        <v>100029349</v>
      </c>
      <c r="E1550" s="53" t="s">
        <v>1184</v>
      </c>
      <c r="F1550" s="124">
        <v>18</v>
      </c>
      <c r="G1550" s="124">
        <v>432</v>
      </c>
      <c r="H1550" s="369">
        <v>61.95</v>
      </c>
      <c r="I1550" s="215" t="s">
        <v>76</v>
      </c>
      <c r="J1550" s="215" t="s">
        <v>102</v>
      </c>
      <c r="K1550" s="266">
        <v>810673017775</v>
      </c>
      <c r="L1550" s="265" t="s">
        <v>649</v>
      </c>
      <c r="M1550" s="266">
        <v>810673017775</v>
      </c>
      <c r="N1550" s="264">
        <v>0.86199999999999999</v>
      </c>
      <c r="O1550" s="265" t="s">
        <v>649</v>
      </c>
      <c r="P1550" s="265">
        <v>17.712</v>
      </c>
      <c r="Q1550" s="265">
        <v>1.8803145838984718</v>
      </c>
    </row>
    <row r="1551" spans="1:17" ht="15" customHeight="1">
      <c r="A1551" s="147">
        <v>1625</v>
      </c>
      <c r="B1551" s="51" t="s">
        <v>5715</v>
      </c>
      <c r="C1551" s="51" t="s">
        <v>1185</v>
      </c>
      <c r="D1551" s="51">
        <v>100029352</v>
      </c>
      <c r="E1551" s="53" t="s">
        <v>1186</v>
      </c>
      <c r="F1551" s="124">
        <v>1</v>
      </c>
      <c r="G1551" s="124">
        <v>140</v>
      </c>
      <c r="H1551" s="369">
        <v>121.83</v>
      </c>
      <c r="I1551" s="215" t="s">
        <v>76</v>
      </c>
      <c r="J1551" s="215" t="s">
        <v>102</v>
      </c>
      <c r="K1551" s="266">
        <v>810673017812</v>
      </c>
      <c r="L1551" s="265" t="s">
        <v>649</v>
      </c>
      <c r="M1551" s="266">
        <v>812361016527</v>
      </c>
      <c r="N1551" s="264">
        <v>2.536</v>
      </c>
      <c r="O1551" s="265" t="s">
        <v>649</v>
      </c>
      <c r="P1551" s="265">
        <v>355.32</v>
      </c>
      <c r="Q1551" s="265">
        <v>53.333269333358928</v>
      </c>
    </row>
    <row r="1552" spans="1:17" ht="15" customHeight="1">
      <c r="A1552" s="147">
        <v>1626</v>
      </c>
      <c r="B1552" s="51" t="s">
        <v>5715</v>
      </c>
      <c r="C1552" s="51" t="s">
        <v>1187</v>
      </c>
      <c r="D1552" s="51">
        <v>100029350</v>
      </c>
      <c r="E1552" s="53" t="s">
        <v>1188</v>
      </c>
      <c r="F1552" s="124">
        <v>1</v>
      </c>
      <c r="G1552" s="124">
        <v>80</v>
      </c>
      <c r="H1552" s="369">
        <v>390.72</v>
      </c>
      <c r="I1552" s="215" t="s">
        <v>346</v>
      </c>
      <c r="J1552" s="215" t="s">
        <v>102</v>
      </c>
      <c r="K1552" s="266">
        <v>810673017836</v>
      </c>
      <c r="L1552" s="265" t="s">
        <v>649</v>
      </c>
      <c r="M1552" s="266">
        <v>812361016534</v>
      </c>
      <c r="N1552" s="264">
        <v>3.3820000000000001</v>
      </c>
      <c r="O1552" s="265" t="s">
        <v>649</v>
      </c>
      <c r="P1552" s="265">
        <v>270.56</v>
      </c>
      <c r="Q1552" s="265">
        <v>53.333269333358928</v>
      </c>
    </row>
    <row r="1553" spans="1:17" ht="15" customHeight="1">
      <c r="A1553" s="147">
        <v>1627</v>
      </c>
      <c r="B1553" s="51" t="s">
        <v>5715</v>
      </c>
      <c r="C1553" s="51" t="s">
        <v>1189</v>
      </c>
      <c r="D1553" s="51">
        <v>300005897</v>
      </c>
      <c r="E1553" s="53" t="s">
        <v>1190</v>
      </c>
      <c r="F1553" s="124">
        <v>1</v>
      </c>
      <c r="G1553" s="124">
        <v>180</v>
      </c>
      <c r="H1553" s="486" t="s">
        <v>5866</v>
      </c>
      <c r="I1553" s="215" t="s">
        <v>816</v>
      </c>
      <c r="J1553" s="215" t="s">
        <v>77</v>
      </c>
      <c r="K1553" s="266">
        <v>810673017850</v>
      </c>
      <c r="L1553" s="265" t="s">
        <v>649</v>
      </c>
      <c r="M1553" s="265" t="s">
        <v>649</v>
      </c>
      <c r="N1553" s="264">
        <v>2.2000000000000002</v>
      </c>
      <c r="O1553" s="265" t="s">
        <v>649</v>
      </c>
      <c r="P1553" s="265">
        <v>2.2000000000000002</v>
      </c>
      <c r="Q1553" s="265" t="s">
        <v>649</v>
      </c>
    </row>
    <row r="1554" spans="1:17" ht="15" customHeight="1">
      <c r="A1554" s="147">
        <v>1628</v>
      </c>
      <c r="B1554" s="51" t="s">
        <v>5715</v>
      </c>
      <c r="C1554" s="51" t="s">
        <v>1191</v>
      </c>
      <c r="D1554" s="51">
        <v>300005898</v>
      </c>
      <c r="E1554" s="53" t="s">
        <v>1192</v>
      </c>
      <c r="F1554" s="124">
        <v>1</v>
      </c>
      <c r="G1554" s="124">
        <v>120</v>
      </c>
      <c r="H1554" s="486" t="s">
        <v>5866</v>
      </c>
      <c r="I1554" s="215" t="s">
        <v>816</v>
      </c>
      <c r="J1554" s="215" t="s">
        <v>77</v>
      </c>
      <c r="K1554" s="266">
        <v>810673017867</v>
      </c>
      <c r="L1554" s="265" t="s">
        <v>649</v>
      </c>
      <c r="M1554" s="265" t="s">
        <v>649</v>
      </c>
      <c r="N1554" s="264">
        <v>112.83</v>
      </c>
      <c r="O1554" s="265" t="s">
        <v>649</v>
      </c>
      <c r="P1554" s="265">
        <v>112.83</v>
      </c>
      <c r="Q1554" s="265" t="s">
        <v>649</v>
      </c>
    </row>
    <row r="1555" spans="1:17" ht="15" customHeight="1">
      <c r="A1555" s="147">
        <v>1629</v>
      </c>
      <c r="B1555" s="51" t="s">
        <v>5715</v>
      </c>
      <c r="C1555" s="51" t="s">
        <v>1193</v>
      </c>
      <c r="D1555" s="51">
        <v>300005899</v>
      </c>
      <c r="E1555" s="53" t="s">
        <v>1194</v>
      </c>
      <c r="F1555" s="124">
        <v>1</v>
      </c>
      <c r="G1555" s="124">
        <v>60</v>
      </c>
      <c r="H1555" s="486" t="s">
        <v>5866</v>
      </c>
      <c r="I1555" s="215" t="s">
        <v>816</v>
      </c>
      <c r="J1555" s="215" t="s">
        <v>77</v>
      </c>
      <c r="K1555" s="266">
        <v>810673017874</v>
      </c>
      <c r="L1555" s="265" t="s">
        <v>649</v>
      </c>
      <c r="M1555" s="265" t="s">
        <v>649</v>
      </c>
      <c r="N1555" s="264">
        <v>115.12</v>
      </c>
      <c r="O1555" s="265" t="s">
        <v>649</v>
      </c>
      <c r="P1555" s="265">
        <v>115.12</v>
      </c>
      <c r="Q1555" s="265" t="s">
        <v>649</v>
      </c>
    </row>
    <row r="1556" spans="1:17" ht="15" customHeight="1">
      <c r="A1556" s="147">
        <v>1630</v>
      </c>
      <c r="B1556" s="51" t="s">
        <v>5715</v>
      </c>
      <c r="C1556" s="51" t="s">
        <v>1195</v>
      </c>
      <c r="D1556" s="51">
        <v>300005900</v>
      </c>
      <c r="E1556" s="53" t="s">
        <v>1196</v>
      </c>
      <c r="F1556" s="124">
        <v>1</v>
      </c>
      <c r="G1556" s="124">
        <v>36</v>
      </c>
      <c r="H1556" s="486" t="s">
        <v>5866</v>
      </c>
      <c r="I1556" s="215" t="s">
        <v>816</v>
      </c>
      <c r="J1556" s="215" t="s">
        <v>77</v>
      </c>
      <c r="K1556" s="266">
        <v>810673017881</v>
      </c>
      <c r="L1556" s="265" t="s">
        <v>649</v>
      </c>
      <c r="M1556" s="265" t="s">
        <v>649</v>
      </c>
      <c r="N1556" s="264">
        <v>7.5</v>
      </c>
      <c r="O1556" s="265" t="s">
        <v>649</v>
      </c>
      <c r="P1556" s="265">
        <v>7.5</v>
      </c>
      <c r="Q1556" s="265" t="s">
        <v>649</v>
      </c>
    </row>
    <row r="1557" spans="1:17" ht="15" customHeight="1">
      <c r="A1557" s="147">
        <v>1631</v>
      </c>
      <c r="B1557" s="51" t="s">
        <v>5715</v>
      </c>
      <c r="C1557" s="51" t="s">
        <v>1197</v>
      </c>
      <c r="D1557" s="51">
        <v>300004438</v>
      </c>
      <c r="E1557" s="53" t="s">
        <v>1198</v>
      </c>
      <c r="F1557" s="124">
        <v>36</v>
      </c>
      <c r="G1557" s="124">
        <v>2250</v>
      </c>
      <c r="H1557" s="486" t="s">
        <v>5866</v>
      </c>
      <c r="I1557" s="215" t="s">
        <v>816</v>
      </c>
      <c r="J1557" s="215" t="s">
        <v>77</v>
      </c>
      <c r="K1557" s="266">
        <v>810673017898</v>
      </c>
      <c r="L1557" s="265" t="s">
        <v>649</v>
      </c>
      <c r="M1557" s="265" t="s">
        <v>649</v>
      </c>
      <c r="N1557" s="264">
        <v>0.15</v>
      </c>
      <c r="O1557" s="265" t="s">
        <v>649</v>
      </c>
      <c r="P1557" s="265">
        <v>5.3999999999999995</v>
      </c>
      <c r="Q1557" s="265" t="s">
        <v>649</v>
      </c>
    </row>
    <row r="1558" spans="1:17" ht="15" customHeight="1">
      <c r="A1558" s="147">
        <v>1632</v>
      </c>
      <c r="B1558" s="51" t="s">
        <v>5715</v>
      </c>
      <c r="C1558" s="51" t="s">
        <v>1199</v>
      </c>
      <c r="D1558" s="51">
        <v>100029353</v>
      </c>
      <c r="E1558" s="53" t="s">
        <v>1200</v>
      </c>
      <c r="F1558" s="124">
        <v>24</v>
      </c>
      <c r="G1558" s="124">
        <v>1080</v>
      </c>
      <c r="H1558" s="369">
        <v>31.82</v>
      </c>
      <c r="I1558" s="215" t="s">
        <v>76</v>
      </c>
      <c r="J1558" s="215" t="s">
        <v>102</v>
      </c>
      <c r="K1558" s="266">
        <v>810673018338</v>
      </c>
      <c r="L1558" s="265" t="s">
        <v>649</v>
      </c>
      <c r="M1558" s="266">
        <v>810673018345</v>
      </c>
      <c r="N1558" s="264">
        <v>0.36099999999999999</v>
      </c>
      <c r="O1558" s="265" t="s">
        <v>649</v>
      </c>
      <c r="P1558" s="265">
        <v>9.863999999999999</v>
      </c>
      <c r="Q1558" s="265">
        <v>0.98955954024750914</v>
      </c>
    </row>
    <row r="1559" spans="1:17" ht="15" customHeight="1">
      <c r="A1559" s="147">
        <v>1633</v>
      </c>
      <c r="B1559" s="51" t="s">
        <v>5715</v>
      </c>
      <c r="C1559" s="51" t="s">
        <v>1201</v>
      </c>
      <c r="D1559" s="51">
        <v>100029354</v>
      </c>
      <c r="E1559" s="53" t="s">
        <v>1202</v>
      </c>
      <c r="F1559" s="124">
        <v>18</v>
      </c>
      <c r="G1559" s="124">
        <v>432</v>
      </c>
      <c r="H1559" s="369">
        <v>48.77</v>
      </c>
      <c r="I1559" s="215" t="s">
        <v>76</v>
      </c>
      <c r="J1559" s="215" t="s">
        <v>102</v>
      </c>
      <c r="K1559" s="266">
        <v>810673018352</v>
      </c>
      <c r="L1559" s="265" t="s">
        <v>649</v>
      </c>
      <c r="M1559" s="266">
        <v>812361012277</v>
      </c>
      <c r="N1559" s="264">
        <v>1.0469999999999999</v>
      </c>
      <c r="O1559" s="265" t="s">
        <v>649</v>
      </c>
      <c r="P1559" s="265">
        <v>21.042000000000002</v>
      </c>
      <c r="Q1559" s="265">
        <v>1.8803145838984718</v>
      </c>
    </row>
    <row r="1560" spans="1:17" ht="15" customHeight="1">
      <c r="A1560" s="147">
        <v>1634</v>
      </c>
      <c r="B1560" s="51" t="s">
        <v>5715</v>
      </c>
      <c r="C1560" s="51" t="s">
        <v>1203</v>
      </c>
      <c r="D1560" s="51">
        <v>100029355</v>
      </c>
      <c r="E1560" s="53" t="s">
        <v>1204</v>
      </c>
      <c r="F1560" s="124">
        <v>9</v>
      </c>
      <c r="G1560" s="124">
        <v>162</v>
      </c>
      <c r="H1560" s="369">
        <v>172.85</v>
      </c>
      <c r="I1560" s="215" t="s">
        <v>346</v>
      </c>
      <c r="J1560" s="215" t="s">
        <v>102</v>
      </c>
      <c r="K1560" s="266">
        <v>810673018376</v>
      </c>
      <c r="L1560" s="265" t="s">
        <v>649</v>
      </c>
      <c r="M1560" s="266">
        <v>812361012376</v>
      </c>
      <c r="N1560" s="264">
        <v>2.17</v>
      </c>
      <c r="O1560" s="265" t="s">
        <v>649</v>
      </c>
      <c r="P1560" s="265">
        <v>21.384</v>
      </c>
      <c r="Q1560" s="265">
        <v>2.361325291407383</v>
      </c>
    </row>
    <row r="1561" spans="1:17" ht="15" customHeight="1">
      <c r="A1561" s="147">
        <v>1635</v>
      </c>
      <c r="B1561" s="51" t="s">
        <v>5715</v>
      </c>
      <c r="C1561" s="51" t="s">
        <v>1205</v>
      </c>
      <c r="D1561" s="51">
        <v>300005844</v>
      </c>
      <c r="E1561" s="53" t="s">
        <v>1206</v>
      </c>
      <c r="F1561" s="124">
        <v>1</v>
      </c>
      <c r="G1561" s="124">
        <v>72</v>
      </c>
      <c r="H1561" s="486" t="s">
        <v>5866</v>
      </c>
      <c r="I1561" s="215" t="s">
        <v>816</v>
      </c>
      <c r="J1561" s="215" t="s">
        <v>77</v>
      </c>
      <c r="K1561" s="266">
        <v>810673018390</v>
      </c>
      <c r="L1561" s="265" t="s">
        <v>649</v>
      </c>
      <c r="M1561" s="265" t="s">
        <v>649</v>
      </c>
      <c r="N1561" s="264">
        <v>4.4000000000000004</v>
      </c>
      <c r="O1561" s="265" t="s">
        <v>649</v>
      </c>
      <c r="P1561" s="265">
        <v>4.4000000000000004</v>
      </c>
      <c r="Q1561" s="265" t="s">
        <v>649</v>
      </c>
    </row>
    <row r="1562" spans="1:17" ht="15" customHeight="1">
      <c r="A1562" s="147">
        <v>1636</v>
      </c>
      <c r="B1562" s="51" t="s">
        <v>5715</v>
      </c>
      <c r="C1562" s="51" t="s">
        <v>1207</v>
      </c>
      <c r="D1562" s="51">
        <v>300005849</v>
      </c>
      <c r="E1562" s="53" t="s">
        <v>1208</v>
      </c>
      <c r="F1562" s="124">
        <v>2</v>
      </c>
      <c r="G1562" s="124">
        <v>36</v>
      </c>
      <c r="H1562" s="486" t="s">
        <v>5866</v>
      </c>
      <c r="I1562" s="215" t="s">
        <v>816</v>
      </c>
      <c r="J1562" s="215" t="s">
        <v>77</v>
      </c>
      <c r="K1562" s="266">
        <v>810673018413</v>
      </c>
      <c r="L1562" s="265" t="s">
        <v>649</v>
      </c>
      <c r="M1562" s="265" t="s">
        <v>649</v>
      </c>
      <c r="N1562" s="264">
        <v>8.57</v>
      </c>
      <c r="O1562" s="265" t="s">
        <v>649</v>
      </c>
      <c r="P1562" s="265">
        <v>17.14</v>
      </c>
      <c r="Q1562" s="265" t="s">
        <v>649</v>
      </c>
    </row>
    <row r="1563" spans="1:17" ht="15" customHeight="1">
      <c r="A1563" s="147">
        <v>1637</v>
      </c>
      <c r="B1563" s="51" t="s">
        <v>5715</v>
      </c>
      <c r="C1563" s="51" t="s">
        <v>1209</v>
      </c>
      <c r="D1563" s="51">
        <v>100029246</v>
      </c>
      <c r="E1563" s="53" t="s">
        <v>1210</v>
      </c>
      <c r="F1563" s="124">
        <v>25</v>
      </c>
      <c r="G1563" s="124">
        <v>1125</v>
      </c>
      <c r="H1563" s="369">
        <v>42.08</v>
      </c>
      <c r="I1563" s="215" t="s">
        <v>76</v>
      </c>
      <c r="J1563" s="215" t="s">
        <v>102</v>
      </c>
      <c r="K1563" s="266">
        <v>810673018437</v>
      </c>
      <c r="L1563" s="265" t="s">
        <v>649</v>
      </c>
      <c r="M1563" s="266">
        <v>812361019825</v>
      </c>
      <c r="N1563" s="264">
        <v>0.46300000000000002</v>
      </c>
      <c r="O1563" s="265" t="s">
        <v>649</v>
      </c>
      <c r="P1563" s="265">
        <v>12.775</v>
      </c>
      <c r="Q1563" s="265">
        <v>0.98955954024750914</v>
      </c>
    </row>
    <row r="1564" spans="1:17" ht="15" customHeight="1">
      <c r="A1564" s="147">
        <v>1638</v>
      </c>
      <c r="B1564" s="51" t="s">
        <v>5715</v>
      </c>
      <c r="C1564" s="51" t="s">
        <v>1211</v>
      </c>
      <c r="D1564" s="51">
        <v>100029247</v>
      </c>
      <c r="E1564" s="53" t="s">
        <v>1212</v>
      </c>
      <c r="F1564" s="124">
        <v>15</v>
      </c>
      <c r="G1564" s="124">
        <v>360</v>
      </c>
      <c r="H1564" s="369">
        <v>78.959999999999994</v>
      </c>
      <c r="I1564" s="215" t="s">
        <v>76</v>
      </c>
      <c r="J1564" s="215" t="s">
        <v>102</v>
      </c>
      <c r="K1564" s="266">
        <v>810673018451</v>
      </c>
      <c r="L1564" s="265" t="s">
        <v>649</v>
      </c>
      <c r="M1564" s="266">
        <v>812361019801</v>
      </c>
      <c r="N1564" s="264">
        <v>1.202</v>
      </c>
      <c r="O1564" s="265" t="s">
        <v>649</v>
      </c>
      <c r="P1564" s="265">
        <v>20.220000000000002</v>
      </c>
      <c r="Q1564" s="265">
        <v>1.8803145838984718</v>
      </c>
    </row>
    <row r="1565" spans="1:17" ht="15" customHeight="1">
      <c r="A1565" s="147">
        <v>1639</v>
      </c>
      <c r="B1565" s="51" t="s">
        <v>5715</v>
      </c>
      <c r="C1565" s="51" t="s">
        <v>1213</v>
      </c>
      <c r="D1565" s="51">
        <v>100029245</v>
      </c>
      <c r="E1565" s="53" t="s">
        <v>1214</v>
      </c>
      <c r="F1565" s="124">
        <v>8</v>
      </c>
      <c r="G1565" s="124">
        <v>192</v>
      </c>
      <c r="H1565" s="369">
        <v>213.04</v>
      </c>
      <c r="I1565" s="215" t="s">
        <v>76</v>
      </c>
      <c r="J1565" s="215" t="s">
        <v>102</v>
      </c>
      <c r="K1565" s="266">
        <v>810673018475</v>
      </c>
      <c r="L1565" s="265" t="s">
        <v>649</v>
      </c>
      <c r="M1565" s="266">
        <v>810673018482</v>
      </c>
      <c r="N1565" s="264">
        <v>2.2959999999999998</v>
      </c>
      <c r="O1565" s="265" t="s">
        <v>649</v>
      </c>
      <c r="P1565" s="265">
        <v>20.544</v>
      </c>
      <c r="Q1565" s="265">
        <v>1.8803145838984718</v>
      </c>
    </row>
    <row r="1566" spans="1:17" ht="15" customHeight="1">
      <c r="A1566" s="147">
        <v>1640</v>
      </c>
      <c r="B1566" s="51" t="s">
        <v>5715</v>
      </c>
      <c r="C1566" s="51" t="s">
        <v>1215</v>
      </c>
      <c r="D1566" s="51">
        <v>300003461</v>
      </c>
      <c r="E1566" s="53" t="s">
        <v>1216</v>
      </c>
      <c r="F1566" s="124">
        <v>1</v>
      </c>
      <c r="G1566" s="124">
        <v>72</v>
      </c>
      <c r="H1566" s="486" t="s">
        <v>5866</v>
      </c>
      <c r="I1566" s="215" t="s">
        <v>816</v>
      </c>
      <c r="J1566" s="215" t="s">
        <v>77</v>
      </c>
      <c r="K1566" s="266">
        <v>816842021109</v>
      </c>
      <c r="L1566" s="265" t="s">
        <v>649</v>
      </c>
      <c r="M1566" s="265" t="s">
        <v>649</v>
      </c>
      <c r="N1566" s="264">
        <v>4.72</v>
      </c>
      <c r="O1566" s="265" t="s">
        <v>649</v>
      </c>
      <c r="P1566" s="265">
        <v>4.72</v>
      </c>
      <c r="Q1566" s="265" t="s">
        <v>649</v>
      </c>
    </row>
    <row r="1567" spans="1:17" ht="15" customHeight="1">
      <c r="A1567" s="147">
        <v>1641</v>
      </c>
      <c r="B1567" s="51" t="s">
        <v>5715</v>
      </c>
      <c r="C1567" s="51" t="s">
        <v>1217</v>
      </c>
      <c r="D1567" s="51">
        <v>300003519</v>
      </c>
      <c r="E1567" s="53" t="s">
        <v>1218</v>
      </c>
      <c r="F1567" s="124">
        <v>1</v>
      </c>
      <c r="G1567" s="124">
        <v>40</v>
      </c>
      <c r="H1567" s="486" t="s">
        <v>5866</v>
      </c>
      <c r="I1567" s="215" t="s">
        <v>816</v>
      </c>
      <c r="J1567" s="215" t="s">
        <v>77</v>
      </c>
      <c r="K1567" s="266">
        <v>812361011966</v>
      </c>
      <c r="L1567" s="265" t="s">
        <v>649</v>
      </c>
      <c r="M1567" s="265" t="s">
        <v>649</v>
      </c>
      <c r="N1567" s="264">
        <v>8.3000000000000007</v>
      </c>
      <c r="O1567" s="265" t="s">
        <v>649</v>
      </c>
      <c r="P1567" s="265">
        <v>8.3000000000000007</v>
      </c>
      <c r="Q1567" s="265" t="s">
        <v>649</v>
      </c>
    </row>
    <row r="1568" spans="1:17" ht="15" customHeight="1">
      <c r="A1568" s="147">
        <v>1642</v>
      </c>
      <c r="B1568" s="51" t="s">
        <v>5715</v>
      </c>
      <c r="C1568" s="51" t="s">
        <v>1219</v>
      </c>
      <c r="D1568" s="51">
        <v>300005772</v>
      </c>
      <c r="E1568" s="53" t="s">
        <v>1220</v>
      </c>
      <c r="F1568" s="124">
        <v>16</v>
      </c>
      <c r="G1568" s="124">
        <v>192</v>
      </c>
      <c r="H1568" s="486" t="s">
        <v>5866</v>
      </c>
      <c r="I1568" s="215" t="s">
        <v>816</v>
      </c>
      <c r="J1568" s="215" t="s">
        <v>77</v>
      </c>
      <c r="K1568" s="266">
        <v>810673018086</v>
      </c>
      <c r="L1568" s="265" t="s">
        <v>649</v>
      </c>
      <c r="M1568" s="265" t="s">
        <v>649</v>
      </c>
      <c r="N1568" s="264">
        <v>1.64</v>
      </c>
      <c r="O1568" s="265" t="s">
        <v>649</v>
      </c>
      <c r="P1568" s="265">
        <v>26.24</v>
      </c>
      <c r="Q1568" s="265" t="s">
        <v>649</v>
      </c>
    </row>
    <row r="1569" spans="1:17" ht="15" customHeight="1">
      <c r="A1569" s="147">
        <v>1643</v>
      </c>
      <c r="B1569" s="51" t="s">
        <v>5715</v>
      </c>
      <c r="C1569" s="51" t="s">
        <v>1221</v>
      </c>
      <c r="D1569" s="51">
        <v>100029425</v>
      </c>
      <c r="E1569" s="53" t="s">
        <v>1222</v>
      </c>
      <c r="F1569" s="124">
        <v>16</v>
      </c>
      <c r="G1569" s="124">
        <v>288</v>
      </c>
      <c r="H1569" s="369">
        <v>123.3</v>
      </c>
      <c r="I1569" s="215" t="s">
        <v>76</v>
      </c>
      <c r="J1569" s="215" t="s">
        <v>102</v>
      </c>
      <c r="K1569" s="266">
        <v>810673018024</v>
      </c>
      <c r="L1569" s="265" t="s">
        <v>649</v>
      </c>
      <c r="M1569" s="266">
        <v>812361019917</v>
      </c>
      <c r="N1569" s="264">
        <v>1.65</v>
      </c>
      <c r="O1569" s="265" t="s">
        <v>649</v>
      </c>
      <c r="P1569" s="265">
        <v>28.271999999999998</v>
      </c>
      <c r="Q1569" s="265">
        <v>2.361325291407383</v>
      </c>
    </row>
    <row r="1570" spans="1:17" ht="15" customHeight="1">
      <c r="A1570" s="147">
        <v>1644</v>
      </c>
      <c r="B1570" s="51" t="s">
        <v>5715</v>
      </c>
      <c r="C1570" s="51" t="s">
        <v>1223</v>
      </c>
      <c r="D1570" s="51">
        <v>300005873</v>
      </c>
      <c r="E1570" s="53" t="s">
        <v>1224</v>
      </c>
      <c r="F1570" s="124">
        <v>5</v>
      </c>
      <c r="G1570" s="124">
        <v>120</v>
      </c>
      <c r="H1570" s="486" t="s">
        <v>5866</v>
      </c>
      <c r="I1570" s="215" t="s">
        <v>816</v>
      </c>
      <c r="J1570" s="215" t="s">
        <v>77</v>
      </c>
      <c r="K1570" s="266">
        <v>810673018048</v>
      </c>
      <c r="L1570" s="265" t="s">
        <v>649</v>
      </c>
      <c r="M1570" s="265" t="s">
        <v>649</v>
      </c>
      <c r="N1570" s="264">
        <v>2.9289999999999998</v>
      </c>
      <c r="O1570" s="265" t="s">
        <v>649</v>
      </c>
      <c r="P1570" s="265">
        <v>14.645</v>
      </c>
      <c r="Q1570" s="265" t="s">
        <v>649</v>
      </c>
    </row>
    <row r="1571" spans="1:17" ht="15" customHeight="1">
      <c r="A1571" s="147">
        <v>1645</v>
      </c>
      <c r="B1571" s="51" t="s">
        <v>5715</v>
      </c>
      <c r="C1571" s="51" t="s">
        <v>1225</v>
      </c>
      <c r="D1571" s="51">
        <v>100029424</v>
      </c>
      <c r="E1571" s="53" t="s">
        <v>1226</v>
      </c>
      <c r="F1571" s="124">
        <v>4</v>
      </c>
      <c r="G1571" s="124">
        <v>96</v>
      </c>
      <c r="H1571" s="369">
        <v>351.61</v>
      </c>
      <c r="I1571" s="215" t="s">
        <v>346</v>
      </c>
      <c r="J1571" s="215" t="s">
        <v>102</v>
      </c>
      <c r="K1571" s="266">
        <v>810673018062</v>
      </c>
      <c r="L1571" s="265" t="s">
        <v>649</v>
      </c>
      <c r="M1571" s="266">
        <v>812361016596</v>
      </c>
      <c r="N1571" s="264">
        <v>3.0960000000000001</v>
      </c>
      <c r="O1571" s="265" t="s">
        <v>649</v>
      </c>
      <c r="P1571" s="265">
        <v>18.556000000000001</v>
      </c>
      <c r="Q1571" s="265">
        <v>1.8803145838984718</v>
      </c>
    </row>
    <row r="1572" spans="1:17" ht="15" customHeight="1">
      <c r="A1572" s="147">
        <v>1646</v>
      </c>
      <c r="B1572" s="51" t="s">
        <v>5715</v>
      </c>
      <c r="C1572" s="51" t="s">
        <v>1227</v>
      </c>
      <c r="D1572" s="51">
        <v>300004468</v>
      </c>
      <c r="E1572" s="53" t="s">
        <v>1228</v>
      </c>
      <c r="F1572" s="124">
        <v>10</v>
      </c>
      <c r="G1572" s="124" t="s">
        <v>649</v>
      </c>
      <c r="H1572" s="486" t="s">
        <v>5866</v>
      </c>
      <c r="I1572" s="215" t="s">
        <v>816</v>
      </c>
      <c r="J1572" s="215" t="s">
        <v>77</v>
      </c>
      <c r="K1572" s="266">
        <v>812361013816</v>
      </c>
      <c r="L1572" s="265" t="s">
        <v>649</v>
      </c>
      <c r="M1572" s="265" t="s">
        <v>649</v>
      </c>
      <c r="N1572" s="264">
        <v>1.3</v>
      </c>
      <c r="O1572" s="265" t="s">
        <v>649</v>
      </c>
      <c r="P1572" s="265">
        <v>13</v>
      </c>
      <c r="Q1572" s="265" t="s">
        <v>649</v>
      </c>
    </row>
    <row r="1573" spans="1:17" ht="15" customHeight="1">
      <c r="A1573" s="147">
        <v>1647</v>
      </c>
      <c r="B1573" s="51" t="s">
        <v>5715</v>
      </c>
      <c r="C1573" s="51" t="s">
        <v>1229</v>
      </c>
      <c r="D1573" s="51">
        <v>300004490</v>
      </c>
      <c r="E1573" s="53" t="s">
        <v>1230</v>
      </c>
      <c r="F1573" s="124">
        <v>5</v>
      </c>
      <c r="G1573" s="124" t="s">
        <v>649</v>
      </c>
      <c r="H1573" s="486" t="s">
        <v>5866</v>
      </c>
      <c r="I1573" s="215" t="s">
        <v>816</v>
      </c>
      <c r="J1573" s="215" t="s">
        <v>77</v>
      </c>
      <c r="K1573" s="266">
        <v>812361013830</v>
      </c>
      <c r="L1573" s="265" t="s">
        <v>649</v>
      </c>
      <c r="M1573" s="265" t="s">
        <v>649</v>
      </c>
      <c r="N1573" s="264">
        <v>3.5</v>
      </c>
      <c r="O1573" s="265" t="s">
        <v>649</v>
      </c>
      <c r="P1573" s="265">
        <v>17.5</v>
      </c>
      <c r="Q1573" s="265" t="s">
        <v>649</v>
      </c>
    </row>
    <row r="1574" spans="1:17" ht="15" customHeight="1">
      <c r="A1574" s="147">
        <v>1648</v>
      </c>
      <c r="B1574" s="51" t="s">
        <v>5715</v>
      </c>
      <c r="C1574" s="51" t="s">
        <v>1231</v>
      </c>
      <c r="D1574" s="51">
        <v>300004500</v>
      </c>
      <c r="E1574" s="53" t="s">
        <v>1232</v>
      </c>
      <c r="F1574" s="124">
        <v>5</v>
      </c>
      <c r="G1574" s="124" t="s">
        <v>649</v>
      </c>
      <c r="H1574" s="486" t="s">
        <v>5866</v>
      </c>
      <c r="I1574" s="215" t="s">
        <v>816</v>
      </c>
      <c r="J1574" s="215" t="s">
        <v>77</v>
      </c>
      <c r="K1574" s="266">
        <v>812361013854</v>
      </c>
      <c r="L1574" s="265" t="s">
        <v>649</v>
      </c>
      <c r="M1574" s="265" t="s">
        <v>649</v>
      </c>
      <c r="N1574" s="264">
        <v>2.66</v>
      </c>
      <c r="O1574" s="265" t="s">
        <v>649</v>
      </c>
      <c r="P1574" s="265">
        <v>13.3</v>
      </c>
      <c r="Q1574" s="265" t="s">
        <v>649</v>
      </c>
    </row>
    <row r="1575" spans="1:17" ht="15" customHeight="1">
      <c r="A1575" s="147">
        <v>1649</v>
      </c>
      <c r="B1575" s="51" t="s">
        <v>5715</v>
      </c>
      <c r="C1575" s="51" t="s">
        <v>1233</v>
      </c>
      <c r="D1575" s="51">
        <v>300003485</v>
      </c>
      <c r="E1575" s="53" t="s">
        <v>1234</v>
      </c>
      <c r="F1575" s="124">
        <v>2</v>
      </c>
      <c r="G1575" s="124">
        <v>36</v>
      </c>
      <c r="H1575" s="486" t="s">
        <v>5866</v>
      </c>
      <c r="I1575" s="215" t="s">
        <v>816</v>
      </c>
      <c r="J1575" s="215" t="s">
        <v>77</v>
      </c>
      <c r="K1575" s="266">
        <v>812361012055</v>
      </c>
      <c r="L1575" s="265" t="s">
        <v>649</v>
      </c>
      <c r="M1575" s="265" t="s">
        <v>649</v>
      </c>
      <c r="N1575" s="264">
        <v>4.55</v>
      </c>
      <c r="O1575" s="265" t="s">
        <v>649</v>
      </c>
      <c r="P1575" s="265">
        <v>9.1</v>
      </c>
      <c r="Q1575" s="265" t="s">
        <v>649</v>
      </c>
    </row>
    <row r="1576" spans="1:17" ht="15" customHeight="1">
      <c r="A1576" s="147">
        <v>1650</v>
      </c>
      <c r="B1576" s="51" t="s">
        <v>5715</v>
      </c>
      <c r="C1576" s="51" t="s">
        <v>1235</v>
      </c>
      <c r="D1576" s="51">
        <v>300004467</v>
      </c>
      <c r="E1576" s="53" t="s">
        <v>1236</v>
      </c>
      <c r="F1576" s="124">
        <v>8</v>
      </c>
      <c r="G1576" s="124" t="s">
        <v>649</v>
      </c>
      <c r="H1576" s="486" t="s">
        <v>5866</v>
      </c>
      <c r="I1576" s="215" t="s">
        <v>816</v>
      </c>
      <c r="J1576" s="215" t="s">
        <v>77</v>
      </c>
      <c r="K1576" s="266">
        <v>810116843435</v>
      </c>
      <c r="L1576" s="265" t="s">
        <v>649</v>
      </c>
      <c r="M1576" s="265" t="s">
        <v>649</v>
      </c>
      <c r="N1576" s="264">
        <v>1.54</v>
      </c>
      <c r="O1576" s="265" t="s">
        <v>649</v>
      </c>
      <c r="P1576" s="265">
        <v>12.32</v>
      </c>
      <c r="Q1576" s="265" t="s">
        <v>649</v>
      </c>
    </row>
    <row r="1577" spans="1:17" ht="15" customHeight="1">
      <c r="A1577" s="147">
        <v>1651</v>
      </c>
      <c r="B1577" s="51" t="s">
        <v>5715</v>
      </c>
      <c r="C1577" s="51" t="s">
        <v>1237</v>
      </c>
      <c r="D1577" s="51">
        <v>300004488</v>
      </c>
      <c r="E1577" s="53" t="s">
        <v>1238</v>
      </c>
      <c r="F1577" s="124">
        <v>8</v>
      </c>
      <c r="G1577" s="124" t="s">
        <v>649</v>
      </c>
      <c r="H1577" s="486" t="s">
        <v>5866</v>
      </c>
      <c r="I1577" s="215" t="s">
        <v>816</v>
      </c>
      <c r="J1577" s="215" t="s">
        <v>77</v>
      </c>
      <c r="K1577" s="265" t="s">
        <v>649</v>
      </c>
      <c r="L1577" s="265" t="s">
        <v>649</v>
      </c>
      <c r="M1577" s="265" t="s">
        <v>649</v>
      </c>
      <c r="N1577" s="264">
        <v>3.5</v>
      </c>
      <c r="O1577" s="265" t="s">
        <v>649</v>
      </c>
      <c r="P1577" s="265">
        <v>28</v>
      </c>
      <c r="Q1577" s="265" t="s">
        <v>649</v>
      </c>
    </row>
    <row r="1578" spans="1:17" ht="15" customHeight="1">
      <c r="A1578" s="147">
        <v>1652</v>
      </c>
      <c r="B1578" s="51" t="s">
        <v>5715</v>
      </c>
      <c r="C1578" s="51" t="s">
        <v>1239</v>
      </c>
      <c r="D1578" s="51">
        <v>300004498</v>
      </c>
      <c r="E1578" s="53" t="s">
        <v>1240</v>
      </c>
      <c r="F1578" s="124">
        <v>4</v>
      </c>
      <c r="G1578" s="124" t="s">
        <v>649</v>
      </c>
      <c r="H1578" s="486" t="s">
        <v>5866</v>
      </c>
      <c r="I1578" s="215" t="s">
        <v>816</v>
      </c>
      <c r="J1578" s="215" t="s">
        <v>77</v>
      </c>
      <c r="K1578" s="265" t="s">
        <v>649</v>
      </c>
      <c r="L1578" s="265" t="s">
        <v>649</v>
      </c>
      <c r="M1578" s="265" t="s">
        <v>649</v>
      </c>
      <c r="N1578" s="264">
        <v>7.3</v>
      </c>
      <c r="O1578" s="265" t="s">
        <v>649</v>
      </c>
      <c r="P1578" s="265">
        <v>29.2</v>
      </c>
      <c r="Q1578" s="265" t="s">
        <v>649</v>
      </c>
    </row>
    <row r="1579" spans="1:17" ht="15" customHeight="1">
      <c r="A1579" s="147">
        <v>1653</v>
      </c>
      <c r="B1579" s="51" t="s">
        <v>5715</v>
      </c>
      <c r="C1579" s="51" t="s">
        <v>1241</v>
      </c>
      <c r="D1579" s="51">
        <v>300004421</v>
      </c>
      <c r="E1579" s="53" t="s">
        <v>1242</v>
      </c>
      <c r="F1579" s="124">
        <v>6</v>
      </c>
      <c r="G1579" s="124" t="s">
        <v>649</v>
      </c>
      <c r="H1579" s="486" t="s">
        <v>5866</v>
      </c>
      <c r="I1579" s="215" t="s">
        <v>816</v>
      </c>
      <c r="J1579" s="215" t="s">
        <v>77</v>
      </c>
      <c r="K1579" s="266">
        <v>812361013731</v>
      </c>
      <c r="L1579" s="265" t="s">
        <v>649</v>
      </c>
      <c r="M1579" s="265" t="s">
        <v>649</v>
      </c>
      <c r="N1579" s="264">
        <v>2.2400000000000002</v>
      </c>
      <c r="O1579" s="265" t="s">
        <v>649</v>
      </c>
      <c r="P1579" s="265">
        <v>13.440000000000001</v>
      </c>
      <c r="Q1579" s="265" t="s">
        <v>649</v>
      </c>
    </row>
    <row r="1580" spans="1:17" ht="15" customHeight="1">
      <c r="A1580" s="147">
        <v>1654</v>
      </c>
      <c r="B1580" s="51" t="s">
        <v>5715</v>
      </c>
      <c r="C1580" s="51" t="s">
        <v>1243</v>
      </c>
      <c r="D1580" s="51">
        <v>100029398</v>
      </c>
      <c r="E1580" s="53" t="s">
        <v>1244</v>
      </c>
      <c r="F1580" s="124">
        <v>3</v>
      </c>
      <c r="G1580" s="124">
        <v>21</v>
      </c>
      <c r="H1580" s="369">
        <v>1502.29</v>
      </c>
      <c r="I1580" s="215" t="s">
        <v>76</v>
      </c>
      <c r="J1580" s="215" t="s">
        <v>102</v>
      </c>
      <c r="K1580" s="266">
        <v>812361013793</v>
      </c>
      <c r="L1580" s="265" t="s">
        <v>649</v>
      </c>
      <c r="M1580" s="266">
        <v>816842027361</v>
      </c>
      <c r="N1580" s="264">
        <v>6.96</v>
      </c>
      <c r="O1580" s="265" t="s">
        <v>649</v>
      </c>
      <c r="P1580" s="265">
        <v>278.39999999999998</v>
      </c>
      <c r="Q1580" s="265">
        <v>53.333269333358928</v>
      </c>
    </row>
    <row r="1581" spans="1:17" ht="15" customHeight="1">
      <c r="A1581" s="147">
        <v>1655</v>
      </c>
      <c r="B1581" s="51" t="s">
        <v>5715</v>
      </c>
      <c r="C1581" s="51" t="s">
        <v>1245</v>
      </c>
      <c r="D1581" s="51">
        <v>300004419</v>
      </c>
      <c r="E1581" s="53" t="s">
        <v>1246</v>
      </c>
      <c r="F1581" s="124">
        <v>1</v>
      </c>
      <c r="G1581" s="124" t="s">
        <v>649</v>
      </c>
      <c r="H1581" s="486" t="s">
        <v>5866</v>
      </c>
      <c r="I1581" s="215" t="s">
        <v>816</v>
      </c>
      <c r="J1581" s="215" t="s">
        <v>77</v>
      </c>
      <c r="K1581" s="266">
        <v>812361013779</v>
      </c>
      <c r="L1581" s="265" t="s">
        <v>649</v>
      </c>
      <c r="M1581" s="265" t="s">
        <v>649</v>
      </c>
      <c r="N1581" s="264">
        <v>1</v>
      </c>
      <c r="O1581" s="265" t="s">
        <v>649</v>
      </c>
      <c r="P1581" s="265">
        <v>1</v>
      </c>
      <c r="Q1581" s="265" t="s">
        <v>649</v>
      </c>
    </row>
    <row r="1582" spans="1:17" ht="15" customHeight="1">
      <c r="A1582" s="147">
        <v>1656</v>
      </c>
      <c r="B1582" s="51" t="s">
        <v>5715</v>
      </c>
      <c r="C1582" s="51" t="s">
        <v>1247</v>
      </c>
      <c r="D1582" s="51">
        <v>300005859</v>
      </c>
      <c r="E1582" s="53" t="s">
        <v>1248</v>
      </c>
      <c r="F1582" s="124">
        <v>22</v>
      </c>
      <c r="G1582" s="124">
        <v>528</v>
      </c>
      <c r="H1582" s="486" t="s">
        <v>5866</v>
      </c>
      <c r="I1582" s="215" t="s">
        <v>816</v>
      </c>
      <c r="J1582" s="215" t="s">
        <v>77</v>
      </c>
      <c r="K1582" s="266">
        <v>810673018185</v>
      </c>
      <c r="L1582" s="265" t="s">
        <v>649</v>
      </c>
      <c r="M1582" s="265" t="s">
        <v>649</v>
      </c>
      <c r="N1582" s="264">
        <v>0.58499999999999996</v>
      </c>
      <c r="O1582" s="265" t="s">
        <v>649</v>
      </c>
      <c r="P1582" s="265">
        <v>12.87</v>
      </c>
      <c r="Q1582" s="265" t="s">
        <v>649</v>
      </c>
    </row>
    <row r="1583" spans="1:17" ht="15" customHeight="1">
      <c r="A1583" s="147">
        <v>1657</v>
      </c>
      <c r="B1583" s="51" t="s">
        <v>5715</v>
      </c>
      <c r="C1583" s="51" t="s">
        <v>1249</v>
      </c>
      <c r="D1583" s="51">
        <v>300004440</v>
      </c>
      <c r="E1583" s="53" t="s">
        <v>1250</v>
      </c>
      <c r="F1583" s="124">
        <v>8</v>
      </c>
      <c r="G1583" s="124" t="s">
        <v>649</v>
      </c>
      <c r="H1583" s="486" t="s">
        <v>5866</v>
      </c>
      <c r="I1583" s="215" t="s">
        <v>816</v>
      </c>
      <c r="J1583" s="215" t="s">
        <v>77</v>
      </c>
      <c r="K1583" s="266">
        <v>812361014059</v>
      </c>
      <c r="L1583" s="265" t="s">
        <v>649</v>
      </c>
      <c r="M1583" s="265" t="s">
        <v>649</v>
      </c>
      <c r="N1583" s="264">
        <v>1</v>
      </c>
      <c r="O1583" s="265" t="s">
        <v>649</v>
      </c>
      <c r="P1583" s="265">
        <v>8</v>
      </c>
      <c r="Q1583" s="265" t="s">
        <v>649</v>
      </c>
    </row>
    <row r="1584" spans="1:17" ht="15" customHeight="1">
      <c r="A1584" s="147">
        <v>1658</v>
      </c>
      <c r="B1584" s="51" t="s">
        <v>5715</v>
      </c>
      <c r="C1584" s="51" t="s">
        <v>1251</v>
      </c>
      <c r="D1584" s="51">
        <v>300004495</v>
      </c>
      <c r="E1584" s="53" t="s">
        <v>1252</v>
      </c>
      <c r="F1584" s="124">
        <v>2</v>
      </c>
      <c r="G1584" s="124">
        <v>14</v>
      </c>
      <c r="H1584" s="486" t="s">
        <v>5866</v>
      </c>
      <c r="I1584" s="215" t="s">
        <v>816</v>
      </c>
      <c r="J1584" s="215" t="s">
        <v>77</v>
      </c>
      <c r="K1584" s="265" t="s">
        <v>649</v>
      </c>
      <c r="L1584" s="265" t="s">
        <v>649</v>
      </c>
      <c r="M1584" s="265" t="s">
        <v>649</v>
      </c>
      <c r="N1584" s="264">
        <v>25.251999999999999</v>
      </c>
      <c r="O1584" s="265" t="s">
        <v>649</v>
      </c>
      <c r="P1584" s="265">
        <v>50.503999999999998</v>
      </c>
      <c r="Q1584" s="265" t="s">
        <v>649</v>
      </c>
    </row>
    <row r="1585" spans="1:17" ht="15" customHeight="1">
      <c r="A1585" s="147">
        <v>1659</v>
      </c>
      <c r="B1585" s="51" t="s">
        <v>5715</v>
      </c>
      <c r="C1585" s="51" t="s">
        <v>1253</v>
      </c>
      <c r="D1585" s="51">
        <v>100029331</v>
      </c>
      <c r="E1585" s="53" t="s">
        <v>1254</v>
      </c>
      <c r="F1585" s="124">
        <v>10</v>
      </c>
      <c r="G1585" s="124">
        <v>180</v>
      </c>
      <c r="H1585" s="369">
        <v>125.56</v>
      </c>
      <c r="I1585" s="215" t="s">
        <v>76</v>
      </c>
      <c r="J1585" s="215" t="s">
        <v>102</v>
      </c>
      <c r="K1585" s="266">
        <v>810673016785</v>
      </c>
      <c r="L1585" s="265" t="s">
        <v>649</v>
      </c>
      <c r="M1585" s="266">
        <v>810673016792</v>
      </c>
      <c r="N1585" s="264">
        <v>1.8280000000000001</v>
      </c>
      <c r="O1585" s="265" t="s">
        <v>649</v>
      </c>
      <c r="P1585" s="265">
        <v>20.13</v>
      </c>
      <c r="Q1585" s="265">
        <v>2.361325291407383</v>
      </c>
    </row>
    <row r="1586" spans="1:17" ht="15" customHeight="1">
      <c r="A1586" s="147">
        <v>1660</v>
      </c>
      <c r="B1586" s="51" t="s">
        <v>5715</v>
      </c>
      <c r="C1586" s="51" t="s">
        <v>1255</v>
      </c>
      <c r="D1586" s="51">
        <v>100029365</v>
      </c>
      <c r="E1586" s="53" t="s">
        <v>1256</v>
      </c>
      <c r="F1586" s="124">
        <v>1</v>
      </c>
      <c r="G1586" s="124">
        <v>110</v>
      </c>
      <c r="H1586" s="369">
        <v>271.76</v>
      </c>
      <c r="I1586" s="215" t="s">
        <v>76</v>
      </c>
      <c r="J1586" s="215" t="s">
        <v>102</v>
      </c>
      <c r="K1586" s="266">
        <v>810673016808</v>
      </c>
      <c r="L1586" s="265" t="s">
        <v>649</v>
      </c>
      <c r="M1586" s="266">
        <v>812361018743</v>
      </c>
      <c r="N1586" s="264">
        <v>3.1619999999999999</v>
      </c>
      <c r="O1586" s="265" t="s">
        <v>649</v>
      </c>
      <c r="P1586" s="265">
        <v>347.82</v>
      </c>
      <c r="Q1586" s="265">
        <v>53.333269333358928</v>
      </c>
    </row>
    <row r="1587" spans="1:17" ht="15" customHeight="1">
      <c r="A1587" s="147">
        <v>1661</v>
      </c>
      <c r="B1587" s="51" t="s">
        <v>5715</v>
      </c>
      <c r="C1587" s="51" t="s">
        <v>1257</v>
      </c>
      <c r="D1587" s="51">
        <v>100029335</v>
      </c>
      <c r="E1587" s="53" t="s">
        <v>1258</v>
      </c>
      <c r="F1587" s="124">
        <v>1</v>
      </c>
      <c r="G1587" s="124">
        <v>48</v>
      </c>
      <c r="H1587" s="369">
        <v>316.83999999999997</v>
      </c>
      <c r="I1587" s="215" t="s">
        <v>76</v>
      </c>
      <c r="J1587" s="215" t="s">
        <v>102</v>
      </c>
      <c r="K1587" s="266">
        <v>810673016068</v>
      </c>
      <c r="L1587" s="265" t="s">
        <v>649</v>
      </c>
      <c r="M1587" s="266">
        <v>812361018675</v>
      </c>
      <c r="N1587" s="264">
        <v>6.1360000000000001</v>
      </c>
      <c r="O1587" s="265" t="s">
        <v>649</v>
      </c>
      <c r="P1587" s="265">
        <v>408.96</v>
      </c>
      <c r="Q1587" s="265">
        <v>53.333269333358928</v>
      </c>
    </row>
    <row r="1588" spans="1:17" ht="15" customHeight="1">
      <c r="A1588" s="147">
        <v>1662</v>
      </c>
      <c r="B1588" s="51" t="s">
        <v>5715</v>
      </c>
      <c r="C1588" s="51" t="s">
        <v>1259</v>
      </c>
      <c r="D1588" s="51">
        <v>100029366</v>
      </c>
      <c r="E1588" s="53" t="s">
        <v>1260</v>
      </c>
      <c r="F1588" s="124">
        <v>1</v>
      </c>
      <c r="G1588" s="124">
        <v>41</v>
      </c>
      <c r="H1588" s="369">
        <v>344.14</v>
      </c>
      <c r="I1588" s="215" t="s">
        <v>76</v>
      </c>
      <c r="J1588" s="215" t="s">
        <v>102</v>
      </c>
      <c r="K1588" s="266">
        <v>810673016822</v>
      </c>
      <c r="L1588" s="265" t="s">
        <v>649</v>
      </c>
      <c r="M1588" s="266">
        <v>810673016822</v>
      </c>
      <c r="N1588" s="264">
        <v>8.3759999999999994</v>
      </c>
      <c r="O1588" s="265" t="s">
        <v>649</v>
      </c>
      <c r="P1588" s="265">
        <v>455.14100000000002</v>
      </c>
      <c r="Q1588" s="265">
        <v>53.333269333358928</v>
      </c>
    </row>
    <row r="1589" spans="1:17" ht="15" customHeight="1">
      <c r="A1589" s="147">
        <v>1663</v>
      </c>
      <c r="B1589" s="51" t="s">
        <v>5715</v>
      </c>
      <c r="C1589" s="51" t="s">
        <v>1261</v>
      </c>
      <c r="D1589" s="51">
        <v>100029367</v>
      </c>
      <c r="E1589" s="53" t="s">
        <v>1262</v>
      </c>
      <c r="F1589" s="124">
        <v>1</v>
      </c>
      <c r="G1589" s="124">
        <v>40</v>
      </c>
      <c r="H1589" s="369">
        <v>395.83</v>
      </c>
      <c r="I1589" s="215" t="s">
        <v>76</v>
      </c>
      <c r="J1589" s="215" t="s">
        <v>102</v>
      </c>
      <c r="K1589" s="266">
        <v>810673016846</v>
      </c>
      <c r="L1589" s="265" t="s">
        <v>649</v>
      </c>
      <c r="M1589" s="266">
        <v>812361016770</v>
      </c>
      <c r="N1589" s="264">
        <v>9.6240000000000006</v>
      </c>
      <c r="O1589" s="265" t="s">
        <v>649</v>
      </c>
      <c r="P1589" s="265">
        <v>498.48</v>
      </c>
      <c r="Q1589" s="265">
        <v>53.333269333358928</v>
      </c>
    </row>
    <row r="1590" spans="1:17" ht="15" customHeight="1">
      <c r="A1590" s="147">
        <v>1664</v>
      </c>
      <c r="B1590" s="51" t="s">
        <v>5715</v>
      </c>
      <c r="C1590" s="51" t="s">
        <v>1263</v>
      </c>
      <c r="D1590" s="51">
        <v>100029336</v>
      </c>
      <c r="E1590" s="53" t="s">
        <v>1264</v>
      </c>
      <c r="F1590" s="124">
        <v>1</v>
      </c>
      <c r="G1590" s="124">
        <v>24</v>
      </c>
      <c r="H1590" s="369">
        <v>974.26</v>
      </c>
      <c r="I1590" s="215" t="s">
        <v>76</v>
      </c>
      <c r="J1590" s="215" t="s">
        <v>102</v>
      </c>
      <c r="K1590" s="266">
        <v>812361018033</v>
      </c>
      <c r="L1590" s="265" t="s">
        <v>649</v>
      </c>
      <c r="M1590" s="266">
        <v>812361019252</v>
      </c>
      <c r="N1590" s="264">
        <v>10.304</v>
      </c>
      <c r="O1590" s="265" t="s">
        <v>649</v>
      </c>
      <c r="P1590" s="265">
        <v>247.29599999999999</v>
      </c>
      <c r="Q1590" s="265">
        <v>53.333269333358928</v>
      </c>
    </row>
    <row r="1591" spans="1:17" ht="15" customHeight="1">
      <c r="A1591" s="147">
        <v>1665</v>
      </c>
      <c r="B1591" s="51" t="s">
        <v>5715</v>
      </c>
      <c r="C1591" s="51" t="s">
        <v>1265</v>
      </c>
      <c r="D1591" s="51">
        <v>100029380</v>
      </c>
      <c r="E1591" s="53" t="s">
        <v>1266</v>
      </c>
      <c r="F1591" s="124">
        <v>1</v>
      </c>
      <c r="G1591" s="124">
        <v>22</v>
      </c>
      <c r="H1591" s="369">
        <v>1484.31</v>
      </c>
      <c r="I1591" s="215" t="s">
        <v>76</v>
      </c>
      <c r="J1591" s="215" t="s">
        <v>102</v>
      </c>
      <c r="K1591" s="266">
        <v>810673016860</v>
      </c>
      <c r="L1591" s="265" t="s">
        <v>649</v>
      </c>
      <c r="M1591" s="266">
        <v>812361016787</v>
      </c>
      <c r="N1591" s="264">
        <v>11.388</v>
      </c>
      <c r="O1591" s="265" t="s">
        <v>649</v>
      </c>
      <c r="P1591" s="265">
        <v>250.536</v>
      </c>
      <c r="Q1591" s="265">
        <v>53.333269333358928</v>
      </c>
    </row>
    <row r="1592" spans="1:17" ht="15" customHeight="1">
      <c r="A1592" s="147">
        <v>1666</v>
      </c>
      <c r="B1592" s="51" t="s">
        <v>5715</v>
      </c>
      <c r="C1592" s="51" t="s">
        <v>1267</v>
      </c>
      <c r="D1592" s="51">
        <v>300005770</v>
      </c>
      <c r="E1592" s="53" t="s">
        <v>1268</v>
      </c>
      <c r="F1592" s="124">
        <v>1</v>
      </c>
      <c r="G1592" s="124">
        <v>48</v>
      </c>
      <c r="H1592" s="486" t="s">
        <v>5866</v>
      </c>
      <c r="I1592" s="215" t="s">
        <v>816</v>
      </c>
      <c r="J1592" s="215" t="s">
        <v>77</v>
      </c>
      <c r="K1592" s="266">
        <v>812361019115</v>
      </c>
      <c r="L1592" s="265" t="s">
        <v>649</v>
      </c>
      <c r="M1592" s="265" t="s">
        <v>649</v>
      </c>
      <c r="N1592" s="264">
        <v>4.4720000000000004</v>
      </c>
      <c r="O1592" s="265" t="s">
        <v>649</v>
      </c>
      <c r="P1592" s="265">
        <v>4.4720000000000004</v>
      </c>
      <c r="Q1592" s="265" t="s">
        <v>649</v>
      </c>
    </row>
    <row r="1593" spans="1:17" ht="15" customHeight="1">
      <c r="A1593" s="147">
        <v>1667</v>
      </c>
      <c r="B1593" s="51" t="s">
        <v>5715</v>
      </c>
      <c r="C1593" s="51" t="s">
        <v>1269</v>
      </c>
      <c r="D1593" s="51">
        <v>300005775</v>
      </c>
      <c r="E1593" s="53" t="s">
        <v>1270</v>
      </c>
      <c r="F1593" s="124">
        <v>1</v>
      </c>
      <c r="G1593" s="124">
        <v>40</v>
      </c>
      <c r="H1593" s="486" t="s">
        <v>5866</v>
      </c>
      <c r="I1593" s="215" t="s">
        <v>816</v>
      </c>
      <c r="J1593" s="215" t="s">
        <v>77</v>
      </c>
      <c r="K1593" s="266">
        <v>810673016914</v>
      </c>
      <c r="L1593" s="265" t="s">
        <v>649</v>
      </c>
      <c r="M1593" s="265" t="s">
        <v>649</v>
      </c>
      <c r="N1593" s="264">
        <v>6.9850000000000003</v>
      </c>
      <c r="O1593" s="265" t="s">
        <v>649</v>
      </c>
      <c r="P1593" s="265">
        <v>6.9850000000000003</v>
      </c>
      <c r="Q1593" s="265" t="s">
        <v>649</v>
      </c>
    </row>
    <row r="1594" spans="1:17" ht="15" customHeight="1">
      <c r="A1594" s="147">
        <v>1668</v>
      </c>
      <c r="B1594" s="51" t="s">
        <v>5715</v>
      </c>
      <c r="C1594" s="51" t="s">
        <v>1271</v>
      </c>
      <c r="D1594" s="51">
        <v>100030996</v>
      </c>
      <c r="E1594" s="53" t="s">
        <v>1272</v>
      </c>
      <c r="F1594" s="124">
        <v>12</v>
      </c>
      <c r="G1594" s="124">
        <v>384</v>
      </c>
      <c r="H1594" s="369">
        <v>185.56</v>
      </c>
      <c r="I1594" s="215" t="s">
        <v>346</v>
      </c>
      <c r="J1594" s="215" t="s">
        <v>102</v>
      </c>
      <c r="K1594" s="266">
        <v>810673017119</v>
      </c>
      <c r="L1594" s="265" t="s">
        <v>649</v>
      </c>
      <c r="M1594" s="266">
        <v>812361018705</v>
      </c>
      <c r="N1594" s="264">
        <v>0.97799999999999998</v>
      </c>
      <c r="O1594" s="265" t="s">
        <v>649</v>
      </c>
      <c r="P1594" s="265">
        <v>13.776</v>
      </c>
      <c r="Q1594" s="265">
        <v>1.3788503419060438</v>
      </c>
    </row>
    <row r="1595" spans="1:17" ht="15" customHeight="1">
      <c r="A1595" s="147">
        <v>1669</v>
      </c>
      <c r="B1595" s="51" t="s">
        <v>5715</v>
      </c>
      <c r="C1595" s="51" t="s">
        <v>1273</v>
      </c>
      <c r="D1595" s="51">
        <v>100029309</v>
      </c>
      <c r="E1595" s="53" t="s">
        <v>1274</v>
      </c>
      <c r="F1595" s="124">
        <v>10</v>
      </c>
      <c r="G1595" s="124">
        <v>320</v>
      </c>
      <c r="H1595" s="369">
        <v>233.11</v>
      </c>
      <c r="I1595" s="215" t="s">
        <v>76</v>
      </c>
      <c r="J1595" s="215" t="s">
        <v>102</v>
      </c>
      <c r="K1595" s="266">
        <v>810673017133</v>
      </c>
      <c r="L1595" s="265" t="s">
        <v>649</v>
      </c>
      <c r="M1595" s="266">
        <v>810673017133</v>
      </c>
      <c r="N1595" s="264">
        <v>1.1319999999999999</v>
      </c>
      <c r="O1595" s="265" t="s">
        <v>649</v>
      </c>
      <c r="P1595" s="265">
        <v>13.37</v>
      </c>
      <c r="Q1595" s="265">
        <v>1.3788503419060438</v>
      </c>
    </row>
    <row r="1596" spans="1:17" ht="15" customHeight="1">
      <c r="A1596" s="147">
        <v>1670</v>
      </c>
      <c r="B1596" s="51" t="s">
        <v>5715</v>
      </c>
      <c r="C1596" s="51" t="s">
        <v>1275</v>
      </c>
      <c r="D1596" s="51">
        <v>100030926</v>
      </c>
      <c r="E1596" s="53" t="s">
        <v>1276</v>
      </c>
      <c r="F1596" s="124">
        <v>4</v>
      </c>
      <c r="G1596" s="124">
        <v>96</v>
      </c>
      <c r="H1596" s="369">
        <v>267.01</v>
      </c>
      <c r="I1596" s="215" t="s">
        <v>76</v>
      </c>
      <c r="J1596" s="215" t="s">
        <v>102</v>
      </c>
      <c r="K1596" s="266">
        <v>810673017157</v>
      </c>
      <c r="L1596" s="265" t="s">
        <v>649</v>
      </c>
      <c r="M1596" s="266">
        <v>812361016312</v>
      </c>
      <c r="N1596" s="264">
        <v>2.637</v>
      </c>
      <c r="O1596" s="265" t="s">
        <v>649</v>
      </c>
      <c r="P1596" s="265">
        <v>12.72</v>
      </c>
      <c r="Q1596" s="265">
        <v>1.8803145838984718</v>
      </c>
    </row>
    <row r="1597" spans="1:17" ht="15" customHeight="1">
      <c r="A1597" s="147">
        <v>1671</v>
      </c>
      <c r="B1597" s="51" t="s">
        <v>5715</v>
      </c>
      <c r="C1597" s="51" t="s">
        <v>1277</v>
      </c>
      <c r="D1597" s="51">
        <v>100029334</v>
      </c>
      <c r="E1597" s="53" t="s">
        <v>1278</v>
      </c>
      <c r="F1597" s="124">
        <v>6</v>
      </c>
      <c r="G1597" s="124">
        <v>192</v>
      </c>
      <c r="H1597" s="369">
        <v>412.09</v>
      </c>
      <c r="I1597" s="215" t="s">
        <v>346</v>
      </c>
      <c r="J1597" s="215" t="s">
        <v>102</v>
      </c>
      <c r="K1597" s="266">
        <v>810673017171</v>
      </c>
      <c r="L1597" s="265" t="s">
        <v>649</v>
      </c>
      <c r="M1597" s="266">
        <v>812361015520</v>
      </c>
      <c r="N1597" s="264">
        <v>1.6359999999999999</v>
      </c>
      <c r="O1597" s="265" t="s">
        <v>649</v>
      </c>
      <c r="P1597" s="265">
        <v>11.868</v>
      </c>
      <c r="Q1597" s="265">
        <v>1.3788503419060438</v>
      </c>
    </row>
    <row r="1598" spans="1:17" ht="15" customHeight="1">
      <c r="A1598" s="147">
        <v>1672</v>
      </c>
      <c r="B1598" s="51" t="s">
        <v>5715</v>
      </c>
      <c r="C1598" s="51" t="s">
        <v>1279</v>
      </c>
      <c r="D1598" s="51">
        <v>300003499</v>
      </c>
      <c r="E1598" s="53" t="s">
        <v>1280</v>
      </c>
      <c r="F1598" s="124">
        <v>4</v>
      </c>
      <c r="G1598" s="124">
        <v>96</v>
      </c>
      <c r="H1598" s="486" t="s">
        <v>5866</v>
      </c>
      <c r="I1598" s="215" t="s">
        <v>816</v>
      </c>
      <c r="J1598" s="215" t="s">
        <v>77</v>
      </c>
      <c r="K1598" s="266">
        <v>810673017195</v>
      </c>
      <c r="L1598" s="265" t="s">
        <v>649</v>
      </c>
      <c r="M1598" s="265" t="s">
        <v>649</v>
      </c>
      <c r="N1598" s="264">
        <v>3.3330000000000002</v>
      </c>
      <c r="O1598" s="265" t="s">
        <v>649</v>
      </c>
      <c r="P1598" s="265">
        <v>13.332000000000001</v>
      </c>
      <c r="Q1598" s="265" t="s">
        <v>649</v>
      </c>
    </row>
    <row r="1599" spans="1:17" ht="15" customHeight="1">
      <c r="A1599" s="147">
        <v>1673</v>
      </c>
      <c r="B1599" s="51" t="s">
        <v>5715</v>
      </c>
      <c r="C1599" s="51" t="s">
        <v>1281</v>
      </c>
      <c r="D1599" s="51">
        <v>300003556</v>
      </c>
      <c r="E1599" s="53" t="s">
        <v>1282</v>
      </c>
      <c r="F1599" s="124">
        <v>6</v>
      </c>
      <c r="G1599" s="124">
        <v>192</v>
      </c>
      <c r="H1599" s="486" t="s">
        <v>5866</v>
      </c>
      <c r="I1599" s="215" t="s">
        <v>816</v>
      </c>
      <c r="J1599" s="215" t="s">
        <v>77</v>
      </c>
      <c r="K1599" s="266">
        <v>810673017218</v>
      </c>
      <c r="L1599" s="265" t="s">
        <v>649</v>
      </c>
      <c r="M1599" s="265" t="s">
        <v>649</v>
      </c>
      <c r="N1599" s="264">
        <v>1.1399999999999999</v>
      </c>
      <c r="O1599" s="265" t="s">
        <v>649</v>
      </c>
      <c r="P1599" s="265">
        <v>6.84</v>
      </c>
      <c r="Q1599" s="265" t="s">
        <v>649</v>
      </c>
    </row>
    <row r="1600" spans="1:17" ht="15" customHeight="1">
      <c r="A1600" s="147">
        <v>1674</v>
      </c>
      <c r="B1600" s="51" t="s">
        <v>5715</v>
      </c>
      <c r="C1600" s="51" t="s">
        <v>1283</v>
      </c>
      <c r="D1600" s="51">
        <v>300003570</v>
      </c>
      <c r="E1600" s="53" t="s">
        <v>1284</v>
      </c>
      <c r="F1600" s="124">
        <v>4</v>
      </c>
      <c r="G1600" s="124">
        <v>96</v>
      </c>
      <c r="H1600" s="486" t="s">
        <v>5866</v>
      </c>
      <c r="I1600" s="215" t="s">
        <v>816</v>
      </c>
      <c r="J1600" s="215" t="s">
        <v>77</v>
      </c>
      <c r="K1600" s="266">
        <v>810673017232</v>
      </c>
      <c r="L1600" s="265" t="s">
        <v>649</v>
      </c>
      <c r="M1600" s="265" t="s">
        <v>649</v>
      </c>
      <c r="N1600" s="264">
        <v>2.15</v>
      </c>
      <c r="O1600" s="265" t="s">
        <v>649</v>
      </c>
      <c r="P1600" s="265">
        <v>8.6</v>
      </c>
      <c r="Q1600" s="265" t="s">
        <v>649</v>
      </c>
    </row>
    <row r="1601" spans="1:17" ht="15" customHeight="1">
      <c r="A1601" s="147">
        <v>1675</v>
      </c>
      <c r="B1601" s="51" t="s">
        <v>5715</v>
      </c>
      <c r="C1601" s="51" t="s">
        <v>1285</v>
      </c>
      <c r="D1601" s="51">
        <v>300003659</v>
      </c>
      <c r="E1601" s="53" t="s">
        <v>1286</v>
      </c>
      <c r="F1601" s="124">
        <v>4</v>
      </c>
      <c r="G1601" s="124">
        <v>96</v>
      </c>
      <c r="H1601" s="486" t="s">
        <v>5866</v>
      </c>
      <c r="I1601" s="215" t="s">
        <v>816</v>
      </c>
      <c r="J1601" s="215" t="s">
        <v>77</v>
      </c>
      <c r="K1601" s="266">
        <v>810673017270</v>
      </c>
      <c r="L1601" s="265" t="s">
        <v>649</v>
      </c>
      <c r="M1601" s="265" t="s">
        <v>649</v>
      </c>
      <c r="N1601" s="264">
        <v>2.15</v>
      </c>
      <c r="O1601" s="265" t="s">
        <v>649</v>
      </c>
      <c r="P1601" s="265">
        <v>8.6</v>
      </c>
      <c r="Q1601" s="265" t="s">
        <v>649</v>
      </c>
    </row>
    <row r="1602" spans="1:17" ht="15" customHeight="1">
      <c r="A1602" s="147">
        <v>1676</v>
      </c>
      <c r="B1602" s="51" t="s">
        <v>5715</v>
      </c>
      <c r="C1602" s="51" t="s">
        <v>1287</v>
      </c>
      <c r="D1602" s="51">
        <v>300005633</v>
      </c>
      <c r="E1602" s="53" t="s">
        <v>1288</v>
      </c>
      <c r="F1602" s="124">
        <v>6</v>
      </c>
      <c r="G1602" s="124">
        <v>270</v>
      </c>
      <c r="H1602" s="486" t="s">
        <v>5866</v>
      </c>
      <c r="I1602" s="215" t="s">
        <v>816</v>
      </c>
      <c r="J1602" s="215" t="s">
        <v>77</v>
      </c>
      <c r="K1602" s="266">
        <v>810673016938</v>
      </c>
      <c r="L1602" s="265" t="s">
        <v>649</v>
      </c>
      <c r="M1602" s="265" t="s">
        <v>649</v>
      </c>
      <c r="N1602" s="264">
        <v>1.62</v>
      </c>
      <c r="O1602" s="265" t="s">
        <v>649</v>
      </c>
      <c r="P1602" s="265">
        <v>9.7200000000000006</v>
      </c>
      <c r="Q1602" s="265" t="s">
        <v>649</v>
      </c>
    </row>
    <row r="1603" spans="1:17" ht="15" customHeight="1">
      <c r="A1603" s="147">
        <v>1677</v>
      </c>
      <c r="B1603" s="51" t="s">
        <v>5715</v>
      </c>
      <c r="C1603" s="51" t="s">
        <v>1289</v>
      </c>
      <c r="D1603" s="51">
        <v>300005832</v>
      </c>
      <c r="E1603" s="53" t="s">
        <v>1290</v>
      </c>
      <c r="F1603" s="124">
        <v>6</v>
      </c>
      <c r="G1603" s="124">
        <v>270</v>
      </c>
      <c r="H1603" s="486" t="s">
        <v>5866</v>
      </c>
      <c r="I1603" s="215" t="s">
        <v>816</v>
      </c>
      <c r="J1603" s="215" t="s">
        <v>77</v>
      </c>
      <c r="K1603" s="266">
        <v>810673016952</v>
      </c>
      <c r="L1603" s="265" t="s">
        <v>649</v>
      </c>
      <c r="M1603" s="265" t="s">
        <v>649</v>
      </c>
      <c r="N1603" s="264">
        <v>1.62</v>
      </c>
      <c r="O1603" s="265" t="s">
        <v>649</v>
      </c>
      <c r="P1603" s="265">
        <v>9.7200000000000006</v>
      </c>
      <c r="Q1603" s="265" t="s">
        <v>649</v>
      </c>
    </row>
    <row r="1604" spans="1:17" ht="15" customHeight="1">
      <c r="A1604" s="147">
        <v>1678</v>
      </c>
      <c r="B1604" s="51" t="s">
        <v>5715</v>
      </c>
      <c r="C1604" s="51" t="s">
        <v>1291</v>
      </c>
      <c r="D1604" s="51">
        <v>300005774</v>
      </c>
      <c r="E1604" s="53" t="s">
        <v>1292</v>
      </c>
      <c r="F1604" s="124">
        <v>4</v>
      </c>
      <c r="G1604" s="124">
        <v>72</v>
      </c>
      <c r="H1604" s="486" t="s">
        <v>5866</v>
      </c>
      <c r="I1604" s="215" t="s">
        <v>816</v>
      </c>
      <c r="J1604" s="215" t="s">
        <v>77</v>
      </c>
      <c r="K1604" s="266">
        <v>810673016976</v>
      </c>
      <c r="L1604" s="265" t="s">
        <v>649</v>
      </c>
      <c r="M1604" s="265" t="s">
        <v>649</v>
      </c>
      <c r="N1604" s="264">
        <v>2.6720000000000002</v>
      </c>
      <c r="O1604" s="265" t="s">
        <v>649</v>
      </c>
      <c r="P1604" s="265">
        <v>10.688000000000001</v>
      </c>
      <c r="Q1604" s="265" t="s">
        <v>649</v>
      </c>
    </row>
    <row r="1605" spans="1:17" ht="15" customHeight="1">
      <c r="A1605" s="147">
        <v>1679</v>
      </c>
      <c r="B1605" s="51" t="s">
        <v>5715</v>
      </c>
      <c r="C1605" s="51" t="s">
        <v>1293</v>
      </c>
      <c r="D1605" s="51">
        <v>300005846</v>
      </c>
      <c r="E1605" s="53" t="s">
        <v>1294</v>
      </c>
      <c r="F1605" s="124">
        <v>6</v>
      </c>
      <c r="G1605" s="124">
        <v>192</v>
      </c>
      <c r="H1605" s="486" t="s">
        <v>5866</v>
      </c>
      <c r="I1605" s="215" t="s">
        <v>816</v>
      </c>
      <c r="J1605" s="215" t="s">
        <v>77</v>
      </c>
      <c r="K1605" s="266">
        <v>810673016990</v>
      </c>
      <c r="L1605" s="265" t="s">
        <v>649</v>
      </c>
      <c r="M1605" s="265" t="s">
        <v>649</v>
      </c>
      <c r="N1605" s="264">
        <v>1.04</v>
      </c>
      <c r="O1605" s="265" t="s">
        <v>649</v>
      </c>
      <c r="P1605" s="265">
        <v>6.24</v>
      </c>
      <c r="Q1605" s="265" t="s">
        <v>649</v>
      </c>
    </row>
    <row r="1606" spans="1:17" ht="15" customHeight="1">
      <c r="A1606" s="147">
        <v>1680</v>
      </c>
      <c r="B1606" s="51" t="s">
        <v>5715</v>
      </c>
      <c r="C1606" s="51" t="s">
        <v>1295</v>
      </c>
      <c r="D1606" s="51">
        <v>300005847</v>
      </c>
      <c r="E1606" s="53" t="s">
        <v>1296</v>
      </c>
      <c r="F1606" s="124">
        <v>4</v>
      </c>
      <c r="G1606" s="124">
        <v>72</v>
      </c>
      <c r="H1606" s="486" t="s">
        <v>5866</v>
      </c>
      <c r="I1606" s="215" t="s">
        <v>816</v>
      </c>
      <c r="J1606" s="215" t="s">
        <v>77</v>
      </c>
      <c r="K1606" s="266">
        <v>810673017010</v>
      </c>
      <c r="L1606" s="265" t="s">
        <v>649</v>
      </c>
      <c r="M1606" s="265" t="s">
        <v>649</v>
      </c>
      <c r="N1606" s="264">
        <v>3.4</v>
      </c>
      <c r="O1606" s="265" t="s">
        <v>649</v>
      </c>
      <c r="P1606" s="265">
        <v>13.6</v>
      </c>
      <c r="Q1606" s="265" t="s">
        <v>649</v>
      </c>
    </row>
    <row r="1607" spans="1:17" ht="15" customHeight="1">
      <c r="A1607" s="147">
        <v>1681</v>
      </c>
      <c r="B1607" s="51" t="s">
        <v>5715</v>
      </c>
      <c r="C1607" s="51" t="s">
        <v>1297</v>
      </c>
      <c r="D1607" s="51">
        <v>300005852</v>
      </c>
      <c r="E1607" s="53" t="s">
        <v>1298</v>
      </c>
      <c r="F1607" s="124">
        <v>6</v>
      </c>
      <c r="G1607" s="124">
        <v>192</v>
      </c>
      <c r="H1607" s="486" t="s">
        <v>5866</v>
      </c>
      <c r="I1607" s="215" t="s">
        <v>816</v>
      </c>
      <c r="J1607" s="215" t="s">
        <v>77</v>
      </c>
      <c r="K1607" s="266">
        <v>810673017034</v>
      </c>
      <c r="L1607" s="265" t="s">
        <v>649</v>
      </c>
      <c r="M1607" s="265" t="s">
        <v>649</v>
      </c>
      <c r="N1607" s="264">
        <v>1.64</v>
      </c>
      <c r="O1607" s="265" t="s">
        <v>649</v>
      </c>
      <c r="P1607" s="265">
        <v>9.84</v>
      </c>
      <c r="Q1607" s="265" t="s">
        <v>649</v>
      </c>
    </row>
    <row r="1608" spans="1:17" ht="15" customHeight="1">
      <c r="A1608" s="147">
        <v>1682</v>
      </c>
      <c r="B1608" s="51" t="s">
        <v>5715</v>
      </c>
      <c r="C1608" s="51" t="s">
        <v>1299</v>
      </c>
      <c r="D1608" s="51">
        <v>300005854</v>
      </c>
      <c r="E1608" s="53" t="s">
        <v>1300</v>
      </c>
      <c r="F1608" s="124">
        <v>4</v>
      </c>
      <c r="G1608" s="124">
        <v>72</v>
      </c>
      <c r="H1608" s="486" t="s">
        <v>5866</v>
      </c>
      <c r="I1608" s="215" t="s">
        <v>816</v>
      </c>
      <c r="J1608" s="215" t="s">
        <v>77</v>
      </c>
      <c r="K1608" s="266">
        <v>810673017058</v>
      </c>
      <c r="L1608" s="265" t="s">
        <v>649</v>
      </c>
      <c r="M1608" s="265" t="s">
        <v>649</v>
      </c>
      <c r="N1608" s="264">
        <v>3.34</v>
      </c>
      <c r="O1608" s="265" t="s">
        <v>649</v>
      </c>
      <c r="P1608" s="265">
        <v>13.36</v>
      </c>
      <c r="Q1608" s="265" t="s">
        <v>649</v>
      </c>
    </row>
    <row r="1609" spans="1:17" ht="15" customHeight="1">
      <c r="A1609" s="147">
        <v>1683</v>
      </c>
      <c r="B1609" s="51" t="s">
        <v>5715</v>
      </c>
      <c r="C1609" s="51" t="s">
        <v>1301</v>
      </c>
      <c r="D1609" s="51">
        <v>300003746</v>
      </c>
      <c r="E1609" s="53" t="s">
        <v>1302</v>
      </c>
      <c r="F1609" s="124">
        <v>1</v>
      </c>
      <c r="G1609" s="124" t="s">
        <v>649</v>
      </c>
      <c r="H1609" s="486" t="s">
        <v>5866</v>
      </c>
      <c r="I1609" s="215" t="s">
        <v>816</v>
      </c>
      <c r="J1609" s="215" t="s">
        <v>77</v>
      </c>
      <c r="K1609" s="266">
        <v>0</v>
      </c>
      <c r="L1609" s="265" t="s">
        <v>649</v>
      </c>
      <c r="M1609" s="265" t="s">
        <v>649</v>
      </c>
      <c r="N1609" s="264">
        <v>1.849</v>
      </c>
      <c r="O1609" s="265" t="s">
        <v>649</v>
      </c>
      <c r="P1609" s="265">
        <v>1.849</v>
      </c>
      <c r="Q1609" s="265" t="s">
        <v>649</v>
      </c>
    </row>
    <row r="1610" spans="1:17" ht="15" customHeight="1">
      <c r="A1610" s="147">
        <v>1684</v>
      </c>
      <c r="B1610" s="51" t="s">
        <v>5716</v>
      </c>
      <c r="C1610" s="51" t="s">
        <v>1308</v>
      </c>
      <c r="D1610" s="51">
        <v>300003387</v>
      </c>
      <c r="E1610" s="53" t="s">
        <v>1309</v>
      </c>
      <c r="F1610" s="124">
        <v>8</v>
      </c>
      <c r="G1610" s="124">
        <v>140</v>
      </c>
      <c r="H1610" s="486" t="s">
        <v>5866</v>
      </c>
      <c r="I1610" s="215" t="s">
        <v>816</v>
      </c>
      <c r="J1610" s="215" t="s">
        <v>77</v>
      </c>
      <c r="K1610" s="266">
        <v>812361014776</v>
      </c>
      <c r="L1610" s="265" t="s">
        <v>649</v>
      </c>
      <c r="M1610" s="265" t="s">
        <v>649</v>
      </c>
      <c r="N1610" s="264">
        <v>1.516</v>
      </c>
      <c r="O1610" s="265" t="s">
        <v>649</v>
      </c>
      <c r="P1610" s="265">
        <v>12.128</v>
      </c>
      <c r="Q1610" s="265" t="s">
        <v>649</v>
      </c>
    </row>
    <row r="1611" spans="1:17" ht="15" customHeight="1">
      <c r="A1611" s="147">
        <v>1685</v>
      </c>
      <c r="B1611" s="51" t="s">
        <v>5716</v>
      </c>
      <c r="C1611" s="51" t="s">
        <v>1311</v>
      </c>
      <c r="D1611" s="51">
        <v>300003374</v>
      </c>
      <c r="E1611" s="53" t="s">
        <v>1312</v>
      </c>
      <c r="F1611" s="124">
        <v>8</v>
      </c>
      <c r="G1611" s="124" t="s">
        <v>649</v>
      </c>
      <c r="H1611" s="486" t="s">
        <v>5866</v>
      </c>
      <c r="I1611" s="215" t="s">
        <v>816</v>
      </c>
      <c r="J1611" s="215" t="s">
        <v>77</v>
      </c>
      <c r="K1611" s="266">
        <v>812361014936</v>
      </c>
      <c r="L1611" s="265" t="s">
        <v>649</v>
      </c>
      <c r="M1611" s="265" t="s">
        <v>649</v>
      </c>
      <c r="N1611" s="264">
        <v>3.621</v>
      </c>
      <c r="O1611" s="265" t="s">
        <v>649</v>
      </c>
      <c r="P1611" s="265">
        <v>28.968</v>
      </c>
      <c r="Q1611" s="265" t="s">
        <v>649</v>
      </c>
    </row>
    <row r="1612" spans="1:17" ht="15" customHeight="1">
      <c r="A1612" s="147">
        <v>1686</v>
      </c>
      <c r="B1612" s="51" t="s">
        <v>5716</v>
      </c>
      <c r="C1612" s="51" t="s">
        <v>1313</v>
      </c>
      <c r="D1612" s="51">
        <v>300003398</v>
      </c>
      <c r="E1612" s="53" t="s">
        <v>1314</v>
      </c>
      <c r="F1612" s="124">
        <v>4</v>
      </c>
      <c r="G1612" s="124">
        <v>60</v>
      </c>
      <c r="H1612" s="486" t="s">
        <v>5866</v>
      </c>
      <c r="I1612" s="215" t="s">
        <v>816</v>
      </c>
      <c r="J1612" s="215" t="s">
        <v>77</v>
      </c>
      <c r="K1612" s="266">
        <v>812361014950</v>
      </c>
      <c r="L1612" s="265" t="s">
        <v>649</v>
      </c>
      <c r="M1612" s="265" t="s">
        <v>649</v>
      </c>
      <c r="N1612" s="264">
        <v>3.18</v>
      </c>
      <c r="O1612" s="265" t="s">
        <v>649</v>
      </c>
      <c r="P1612" s="265">
        <v>12.72</v>
      </c>
      <c r="Q1612" s="265" t="s">
        <v>649</v>
      </c>
    </row>
    <row r="1613" spans="1:17" ht="15" customHeight="1">
      <c r="A1613" s="147">
        <v>1687</v>
      </c>
      <c r="B1613" s="51" t="s">
        <v>5716</v>
      </c>
      <c r="C1613" s="51" t="s">
        <v>1315</v>
      </c>
      <c r="D1613" s="51">
        <v>300003426</v>
      </c>
      <c r="E1613" s="53" t="s">
        <v>1316</v>
      </c>
      <c r="F1613" s="124">
        <v>4</v>
      </c>
      <c r="G1613" s="124">
        <v>38</v>
      </c>
      <c r="H1613" s="486" t="s">
        <v>5866</v>
      </c>
      <c r="I1613" s="215" t="s">
        <v>816</v>
      </c>
      <c r="J1613" s="215" t="s">
        <v>77</v>
      </c>
      <c r="K1613" s="266">
        <v>812361014974</v>
      </c>
      <c r="L1613" s="265" t="s">
        <v>649</v>
      </c>
      <c r="M1613" s="265" t="s">
        <v>649</v>
      </c>
      <c r="N1613" s="264">
        <v>7.38</v>
      </c>
      <c r="O1613" s="265" t="s">
        <v>649</v>
      </c>
      <c r="P1613" s="265">
        <v>29.52</v>
      </c>
      <c r="Q1613" s="265" t="s">
        <v>649</v>
      </c>
    </row>
    <row r="1614" spans="1:17" ht="15" customHeight="1">
      <c r="A1614" s="147">
        <v>1688</v>
      </c>
      <c r="B1614" s="51" t="s">
        <v>5716</v>
      </c>
      <c r="C1614" s="51" t="s">
        <v>1317</v>
      </c>
      <c r="D1614" s="51">
        <v>300003375</v>
      </c>
      <c r="E1614" s="53" t="s">
        <v>1318</v>
      </c>
      <c r="F1614" s="124">
        <v>8</v>
      </c>
      <c r="G1614" s="124" t="s">
        <v>649</v>
      </c>
      <c r="H1614" s="486" t="s">
        <v>5866</v>
      </c>
      <c r="I1614" s="215" t="s">
        <v>816</v>
      </c>
      <c r="J1614" s="215" t="s">
        <v>77</v>
      </c>
      <c r="K1614" s="266">
        <v>812361014813</v>
      </c>
      <c r="L1614" s="265" t="s">
        <v>649</v>
      </c>
      <c r="M1614" s="265" t="s">
        <v>649</v>
      </c>
      <c r="N1614" s="264">
        <v>6.8769999999999998</v>
      </c>
      <c r="O1614" s="265" t="s">
        <v>649</v>
      </c>
      <c r="P1614" s="265">
        <v>55.015999999999998</v>
      </c>
      <c r="Q1614" s="265" t="s">
        <v>649</v>
      </c>
    </row>
    <row r="1615" spans="1:17" ht="15" customHeight="1">
      <c r="A1615" s="147">
        <v>1689</v>
      </c>
      <c r="B1615" s="51" t="s">
        <v>5716</v>
      </c>
      <c r="C1615" s="51" t="s">
        <v>1319</v>
      </c>
      <c r="D1615" s="51">
        <v>300003399</v>
      </c>
      <c r="E1615" s="53" t="s">
        <v>1320</v>
      </c>
      <c r="F1615" s="124">
        <v>4</v>
      </c>
      <c r="G1615" s="124">
        <v>60</v>
      </c>
      <c r="H1615" s="486" t="s">
        <v>5866</v>
      </c>
      <c r="I1615" s="215" t="s">
        <v>816</v>
      </c>
      <c r="J1615" s="215" t="s">
        <v>77</v>
      </c>
      <c r="K1615" s="266">
        <v>812361014844</v>
      </c>
      <c r="L1615" s="265" t="s">
        <v>649</v>
      </c>
      <c r="M1615" s="265" t="s">
        <v>649</v>
      </c>
      <c r="N1615" s="264">
        <v>2.41</v>
      </c>
      <c r="O1615" s="265" t="s">
        <v>649</v>
      </c>
      <c r="P1615" s="265">
        <v>9.64</v>
      </c>
      <c r="Q1615" s="265" t="s">
        <v>649</v>
      </c>
    </row>
    <row r="1616" spans="1:17" ht="15" customHeight="1">
      <c r="A1616" s="147">
        <v>1690</v>
      </c>
      <c r="B1616" s="51" t="s">
        <v>5716</v>
      </c>
      <c r="C1616" s="51" t="s">
        <v>1321</v>
      </c>
      <c r="D1616" s="51">
        <v>100029347</v>
      </c>
      <c r="E1616" s="53" t="s">
        <v>1322</v>
      </c>
      <c r="F1616" s="124">
        <v>18</v>
      </c>
      <c r="G1616" s="124">
        <v>432</v>
      </c>
      <c r="H1616" s="369">
        <v>166.36</v>
      </c>
      <c r="I1616" s="215" t="s">
        <v>76</v>
      </c>
      <c r="J1616" s="215" t="s">
        <v>102</v>
      </c>
      <c r="K1616" s="266">
        <v>810673019090</v>
      </c>
      <c r="L1616" s="265" t="s">
        <v>649</v>
      </c>
      <c r="M1616" s="266">
        <v>812361018651</v>
      </c>
      <c r="N1616" s="264">
        <v>1.05</v>
      </c>
      <c r="O1616" s="265" t="s">
        <v>649</v>
      </c>
      <c r="P1616" s="265">
        <v>21.311999999999998</v>
      </c>
      <c r="Q1616" s="265">
        <v>1.8803145838984718</v>
      </c>
    </row>
    <row r="1617" spans="1:17" ht="15" customHeight="1">
      <c r="A1617" s="147">
        <v>1691</v>
      </c>
      <c r="B1617" s="51" t="s">
        <v>5716</v>
      </c>
      <c r="C1617" s="51" t="s">
        <v>1323</v>
      </c>
      <c r="D1617" s="51">
        <v>100029348</v>
      </c>
      <c r="E1617" s="53" t="s">
        <v>1324</v>
      </c>
      <c r="F1617" s="124">
        <v>1</v>
      </c>
      <c r="G1617" s="124">
        <v>120</v>
      </c>
      <c r="H1617" s="369">
        <v>313.64</v>
      </c>
      <c r="I1617" s="215" t="s">
        <v>76</v>
      </c>
      <c r="J1617" s="215" t="s">
        <v>102</v>
      </c>
      <c r="K1617" s="266">
        <v>810673019113</v>
      </c>
      <c r="L1617" s="265" t="s">
        <v>649</v>
      </c>
      <c r="M1617" s="266">
        <v>812361015834</v>
      </c>
      <c r="N1617" s="264">
        <v>2.8439999999999999</v>
      </c>
      <c r="O1617" s="265" t="s">
        <v>649</v>
      </c>
      <c r="P1617" s="265">
        <v>341.28</v>
      </c>
      <c r="Q1617" s="265">
        <v>53.333269333358928</v>
      </c>
    </row>
    <row r="1618" spans="1:17" ht="15" customHeight="1">
      <c r="A1618" s="147">
        <v>1692</v>
      </c>
      <c r="B1618" s="51" t="s">
        <v>5716</v>
      </c>
      <c r="C1618" s="51" t="s">
        <v>1325</v>
      </c>
      <c r="D1618" s="51">
        <v>300005761</v>
      </c>
      <c r="E1618" s="53" t="s">
        <v>1326</v>
      </c>
      <c r="F1618" s="124">
        <v>1</v>
      </c>
      <c r="G1618" s="124">
        <v>70</v>
      </c>
      <c r="H1618" s="486" t="s">
        <v>5866</v>
      </c>
      <c r="I1618" s="215" t="s">
        <v>816</v>
      </c>
      <c r="J1618" s="215" t="s">
        <v>77</v>
      </c>
      <c r="K1618" s="266">
        <v>810673019137</v>
      </c>
      <c r="L1618" s="265" t="s">
        <v>649</v>
      </c>
      <c r="M1618" s="265" t="s">
        <v>649</v>
      </c>
      <c r="N1618" s="264">
        <v>5.5</v>
      </c>
      <c r="O1618" s="265" t="s">
        <v>649</v>
      </c>
      <c r="P1618" s="265">
        <v>5.5</v>
      </c>
      <c r="Q1618" s="265" t="s">
        <v>649</v>
      </c>
    </row>
    <row r="1619" spans="1:17" ht="15" customHeight="1">
      <c r="A1619" s="147">
        <v>1693</v>
      </c>
      <c r="B1619" s="51" t="s">
        <v>5716</v>
      </c>
      <c r="C1619" s="51" t="s">
        <v>1327</v>
      </c>
      <c r="D1619" s="51">
        <v>100029345</v>
      </c>
      <c r="E1619" s="53" t="s">
        <v>1328</v>
      </c>
      <c r="F1619" s="124">
        <v>18</v>
      </c>
      <c r="G1619" s="124">
        <v>432</v>
      </c>
      <c r="H1619" s="369">
        <v>159.29</v>
      </c>
      <c r="I1619" s="215" t="s">
        <v>76</v>
      </c>
      <c r="J1619" s="215" t="s">
        <v>102</v>
      </c>
      <c r="K1619" s="266">
        <v>810673019151</v>
      </c>
      <c r="L1619" s="265" t="s">
        <v>649</v>
      </c>
      <c r="M1619" s="266">
        <v>812361018699</v>
      </c>
      <c r="N1619" s="264">
        <v>0.86799999999999999</v>
      </c>
      <c r="O1619" s="265" t="s">
        <v>649</v>
      </c>
      <c r="P1619" s="265">
        <v>17.765999999999998</v>
      </c>
      <c r="Q1619" s="265">
        <v>1.8803145838984718</v>
      </c>
    </row>
    <row r="1620" spans="1:17" ht="15" customHeight="1">
      <c r="A1620" s="147">
        <v>1694</v>
      </c>
      <c r="B1620" s="51" t="s">
        <v>5716</v>
      </c>
      <c r="C1620" s="51" t="s">
        <v>1329</v>
      </c>
      <c r="D1620" s="51">
        <v>100029346</v>
      </c>
      <c r="E1620" s="53" t="s">
        <v>1330</v>
      </c>
      <c r="F1620" s="124">
        <v>1</v>
      </c>
      <c r="G1620" s="124">
        <v>120</v>
      </c>
      <c r="H1620" s="369">
        <v>300.45</v>
      </c>
      <c r="I1620" s="215" t="s">
        <v>76</v>
      </c>
      <c r="J1620" s="215" t="s">
        <v>102</v>
      </c>
      <c r="K1620" s="266">
        <v>810673019175</v>
      </c>
      <c r="L1620" s="265" t="s">
        <v>649</v>
      </c>
      <c r="M1620" s="266">
        <v>812361015643</v>
      </c>
      <c r="N1620" s="264">
        <v>2.5059999999999998</v>
      </c>
      <c r="O1620" s="265" t="s">
        <v>649</v>
      </c>
      <c r="P1620" s="265">
        <v>300.71999999999997</v>
      </c>
      <c r="Q1620" s="265">
        <v>53.333269333358928</v>
      </c>
    </row>
    <row r="1621" spans="1:17" ht="15" customHeight="1">
      <c r="A1621" s="147">
        <v>1695</v>
      </c>
      <c r="B1621" s="51" t="s">
        <v>5716</v>
      </c>
      <c r="C1621" s="51" t="s">
        <v>1331</v>
      </c>
      <c r="D1621" s="51">
        <v>300005762</v>
      </c>
      <c r="E1621" s="53" t="s">
        <v>1332</v>
      </c>
      <c r="F1621" s="124">
        <v>1</v>
      </c>
      <c r="G1621" s="124">
        <v>70</v>
      </c>
      <c r="H1621" s="486" t="s">
        <v>5866</v>
      </c>
      <c r="I1621" s="215" t="s">
        <v>816</v>
      </c>
      <c r="J1621" s="215" t="s">
        <v>77</v>
      </c>
      <c r="K1621" s="266">
        <v>810673019199</v>
      </c>
      <c r="L1621" s="265" t="s">
        <v>649</v>
      </c>
      <c r="M1621" s="265" t="s">
        <v>649</v>
      </c>
      <c r="N1621" s="264">
        <v>5.36</v>
      </c>
      <c r="O1621" s="265" t="s">
        <v>649</v>
      </c>
      <c r="P1621" s="265">
        <v>5.36</v>
      </c>
      <c r="Q1621" s="265" t="s">
        <v>649</v>
      </c>
    </row>
    <row r="1622" spans="1:17" ht="15" customHeight="1">
      <c r="A1622" s="147">
        <v>1696</v>
      </c>
      <c r="B1622" s="51" t="s">
        <v>5716</v>
      </c>
      <c r="C1622" s="51" t="s">
        <v>1333</v>
      </c>
      <c r="D1622" s="51">
        <v>100029299</v>
      </c>
      <c r="E1622" s="53" t="s">
        <v>1334</v>
      </c>
      <c r="F1622" s="124">
        <v>16</v>
      </c>
      <c r="G1622" s="124">
        <v>384</v>
      </c>
      <c r="H1622" s="369">
        <v>125.35</v>
      </c>
      <c r="I1622" s="215" t="s">
        <v>76</v>
      </c>
      <c r="J1622" s="215" t="s">
        <v>102</v>
      </c>
      <c r="K1622" s="266">
        <v>810673018963</v>
      </c>
      <c r="L1622" s="265" t="s">
        <v>649</v>
      </c>
      <c r="M1622" s="266">
        <v>812361018644</v>
      </c>
      <c r="N1622" s="264">
        <v>1.127</v>
      </c>
      <c r="O1622" s="265" t="s">
        <v>649</v>
      </c>
      <c r="P1622" s="265">
        <v>20.224</v>
      </c>
      <c r="Q1622" s="265">
        <v>1.8803145838984718</v>
      </c>
    </row>
    <row r="1623" spans="1:17" ht="15" customHeight="1">
      <c r="A1623" s="147">
        <v>1697</v>
      </c>
      <c r="B1623" s="51" t="s">
        <v>5716</v>
      </c>
      <c r="C1623" s="51" t="s">
        <v>1335</v>
      </c>
      <c r="D1623" s="51">
        <v>100029300</v>
      </c>
      <c r="E1623" s="53" t="s">
        <v>1336</v>
      </c>
      <c r="F1623" s="124">
        <v>1</v>
      </c>
      <c r="G1623" s="124">
        <v>110</v>
      </c>
      <c r="H1623" s="369">
        <v>230.11</v>
      </c>
      <c r="I1623" s="215" t="s">
        <v>76</v>
      </c>
      <c r="J1623" s="215" t="s">
        <v>102</v>
      </c>
      <c r="K1623" s="266">
        <v>810673018987</v>
      </c>
      <c r="L1623" s="265" t="s">
        <v>649</v>
      </c>
      <c r="M1623" s="266">
        <v>812361017128</v>
      </c>
      <c r="N1623" s="264">
        <v>3.181</v>
      </c>
      <c r="O1623" s="265" t="s">
        <v>649</v>
      </c>
      <c r="P1623" s="265">
        <v>349.91</v>
      </c>
      <c r="Q1623" s="265">
        <v>53.333269333358928</v>
      </c>
    </row>
    <row r="1624" spans="1:17" ht="15" customHeight="1">
      <c r="A1624" s="147">
        <v>1698</v>
      </c>
      <c r="B1624" s="51" t="s">
        <v>5716</v>
      </c>
      <c r="C1624" s="51" t="s">
        <v>1337</v>
      </c>
      <c r="D1624" s="51">
        <v>100029301</v>
      </c>
      <c r="E1624" s="53" t="s">
        <v>1338</v>
      </c>
      <c r="F1624" s="124">
        <v>1</v>
      </c>
      <c r="G1624" s="124">
        <v>48</v>
      </c>
      <c r="H1624" s="369">
        <v>571.75</v>
      </c>
      <c r="I1624" s="215" t="s">
        <v>76</v>
      </c>
      <c r="J1624" s="215" t="s">
        <v>102</v>
      </c>
      <c r="K1624" s="266">
        <v>810673019007</v>
      </c>
      <c r="L1624" s="265" t="s">
        <v>649</v>
      </c>
      <c r="M1624" s="266">
        <v>812361015797</v>
      </c>
      <c r="N1624" s="264">
        <v>6.7640000000000002</v>
      </c>
      <c r="O1624" s="265" t="s">
        <v>649</v>
      </c>
      <c r="P1624" s="265">
        <v>324.67200000000003</v>
      </c>
      <c r="Q1624" s="265">
        <v>53.333269333358928</v>
      </c>
    </row>
    <row r="1625" spans="1:17" ht="15" customHeight="1">
      <c r="A1625" s="147">
        <v>1699</v>
      </c>
      <c r="B1625" s="51" t="s">
        <v>5716</v>
      </c>
      <c r="C1625" s="51" t="s">
        <v>1339</v>
      </c>
      <c r="D1625" s="51">
        <v>100029296</v>
      </c>
      <c r="E1625" s="53" t="s">
        <v>1340</v>
      </c>
      <c r="F1625" s="124">
        <v>16</v>
      </c>
      <c r="G1625" s="124">
        <v>384</v>
      </c>
      <c r="H1625" s="369">
        <v>115.73</v>
      </c>
      <c r="I1625" s="215" t="s">
        <v>76</v>
      </c>
      <c r="J1625" s="215" t="s">
        <v>102</v>
      </c>
      <c r="K1625" s="266">
        <v>810673019021</v>
      </c>
      <c r="L1625" s="265" t="s">
        <v>649</v>
      </c>
      <c r="M1625" s="266">
        <v>812361018668</v>
      </c>
      <c r="N1625" s="264">
        <v>1.0409999999999999</v>
      </c>
      <c r="O1625" s="265" t="s">
        <v>649</v>
      </c>
      <c r="P1625" s="265">
        <v>18.847999999999999</v>
      </c>
      <c r="Q1625" s="265">
        <v>1.8803145838984718</v>
      </c>
    </row>
    <row r="1626" spans="1:17" ht="15" customHeight="1">
      <c r="A1626" s="147">
        <v>1700</v>
      </c>
      <c r="B1626" s="51" t="s">
        <v>5716</v>
      </c>
      <c r="C1626" s="51" t="s">
        <v>1341</v>
      </c>
      <c r="D1626" s="51">
        <v>100029297</v>
      </c>
      <c r="E1626" s="53" t="s">
        <v>1342</v>
      </c>
      <c r="F1626" s="124">
        <v>1</v>
      </c>
      <c r="G1626" s="124">
        <v>120</v>
      </c>
      <c r="H1626" s="369">
        <v>169.98</v>
      </c>
      <c r="I1626" s="215" t="s">
        <v>76</v>
      </c>
      <c r="J1626" s="215" t="s">
        <v>102</v>
      </c>
      <c r="K1626" s="266">
        <v>810673019052</v>
      </c>
      <c r="L1626" s="265" t="s">
        <v>649</v>
      </c>
      <c r="M1626" s="266">
        <v>812361015650</v>
      </c>
      <c r="N1626" s="264">
        <v>2.9289999999999998</v>
      </c>
      <c r="O1626" s="265" t="s">
        <v>649</v>
      </c>
      <c r="P1626" s="265">
        <v>351.47999999999996</v>
      </c>
      <c r="Q1626" s="265">
        <v>53.333269333358928</v>
      </c>
    </row>
    <row r="1627" spans="1:17" ht="15" customHeight="1">
      <c r="A1627" s="147">
        <v>1701</v>
      </c>
      <c r="B1627" s="51" t="s">
        <v>5716</v>
      </c>
      <c r="C1627" s="51" t="s">
        <v>1343</v>
      </c>
      <c r="D1627" s="51">
        <v>100029298</v>
      </c>
      <c r="E1627" s="53" t="s">
        <v>1344</v>
      </c>
      <c r="F1627" s="124">
        <v>1</v>
      </c>
      <c r="G1627" s="124">
        <v>48</v>
      </c>
      <c r="H1627" s="369">
        <v>571.75</v>
      </c>
      <c r="I1627" s="215" t="s">
        <v>346</v>
      </c>
      <c r="J1627" s="215" t="s">
        <v>102</v>
      </c>
      <c r="K1627" s="266">
        <v>810673019076</v>
      </c>
      <c r="L1627" s="265" t="s">
        <v>649</v>
      </c>
      <c r="M1627" s="266">
        <v>812361015766</v>
      </c>
      <c r="N1627" s="264">
        <v>6.274</v>
      </c>
      <c r="O1627" s="265" t="s">
        <v>649</v>
      </c>
      <c r="P1627" s="265">
        <v>301.15199999999999</v>
      </c>
      <c r="Q1627" s="265">
        <v>53.333269333358928</v>
      </c>
    </row>
    <row r="1628" spans="1:17" ht="15" customHeight="1">
      <c r="A1628" s="147">
        <v>1702</v>
      </c>
      <c r="B1628" s="51" t="s">
        <v>5716</v>
      </c>
      <c r="C1628" s="51" t="s">
        <v>1345</v>
      </c>
      <c r="D1628" s="51">
        <v>100029295</v>
      </c>
      <c r="E1628" s="53" t="s">
        <v>1346</v>
      </c>
      <c r="F1628" s="124">
        <v>10</v>
      </c>
      <c r="G1628" s="124">
        <v>240</v>
      </c>
      <c r="H1628" s="369">
        <v>222.71</v>
      </c>
      <c r="I1628" s="215" t="s">
        <v>76</v>
      </c>
      <c r="J1628" s="215" t="s">
        <v>102</v>
      </c>
      <c r="K1628" s="266">
        <v>810673018840</v>
      </c>
      <c r="L1628" s="265" t="s">
        <v>649</v>
      </c>
      <c r="M1628" s="266">
        <v>810673018857</v>
      </c>
      <c r="N1628" s="264">
        <v>1.452</v>
      </c>
      <c r="O1628" s="265" t="s">
        <v>649</v>
      </c>
      <c r="P1628" s="265">
        <v>16.690000000000001</v>
      </c>
      <c r="Q1628" s="265">
        <v>1.8803145838984718</v>
      </c>
    </row>
    <row r="1629" spans="1:17" ht="15" customHeight="1">
      <c r="A1629" s="147">
        <v>1703</v>
      </c>
      <c r="B1629" s="51" t="s">
        <v>5716</v>
      </c>
      <c r="C1629" s="51" t="s">
        <v>1347</v>
      </c>
      <c r="D1629" s="51">
        <v>100029302</v>
      </c>
      <c r="E1629" s="53" t="s">
        <v>1348</v>
      </c>
      <c r="F1629" s="124">
        <v>1</v>
      </c>
      <c r="G1629" s="124">
        <v>100</v>
      </c>
      <c r="H1629" s="369">
        <v>244.39</v>
      </c>
      <c r="I1629" s="215" t="s">
        <v>76</v>
      </c>
      <c r="J1629" s="215" t="s">
        <v>102</v>
      </c>
      <c r="K1629" s="266">
        <v>810673018864</v>
      </c>
      <c r="L1629" s="265" t="s">
        <v>649</v>
      </c>
      <c r="M1629" s="266">
        <v>812361015636</v>
      </c>
      <c r="N1629" s="264">
        <v>3.8</v>
      </c>
      <c r="O1629" s="265" t="s">
        <v>649</v>
      </c>
      <c r="P1629" s="265">
        <v>380</v>
      </c>
      <c r="Q1629" s="265">
        <v>53.333269333358928</v>
      </c>
    </row>
    <row r="1630" spans="1:17" ht="15" customHeight="1">
      <c r="A1630" s="147">
        <v>1704</v>
      </c>
      <c r="B1630" s="51" t="s">
        <v>5716</v>
      </c>
      <c r="C1630" s="51" t="s">
        <v>1349</v>
      </c>
      <c r="D1630" s="51">
        <v>300005842</v>
      </c>
      <c r="E1630" s="53" t="s">
        <v>1350</v>
      </c>
      <c r="F1630" s="124">
        <v>1</v>
      </c>
      <c r="G1630" s="124">
        <v>45</v>
      </c>
      <c r="H1630" s="486" t="s">
        <v>5866</v>
      </c>
      <c r="I1630" s="215" t="s">
        <v>816</v>
      </c>
      <c r="J1630" s="215" t="s">
        <v>77</v>
      </c>
      <c r="K1630" s="266">
        <v>810673018888</v>
      </c>
      <c r="L1630" s="265" t="s">
        <v>649</v>
      </c>
      <c r="M1630" s="265" t="s">
        <v>649</v>
      </c>
      <c r="N1630" s="264">
        <v>9.5</v>
      </c>
      <c r="O1630" s="265" t="s">
        <v>649</v>
      </c>
      <c r="P1630" s="265">
        <v>9.5</v>
      </c>
      <c r="Q1630" s="265" t="s">
        <v>649</v>
      </c>
    </row>
    <row r="1631" spans="1:17" ht="15" customHeight="1">
      <c r="A1631" s="147">
        <v>1705</v>
      </c>
      <c r="B1631" s="51" t="s">
        <v>5716</v>
      </c>
      <c r="C1631" s="51" t="s">
        <v>1351</v>
      </c>
      <c r="D1631" s="51">
        <v>300003395</v>
      </c>
      <c r="E1631" s="53" t="s">
        <v>1352</v>
      </c>
      <c r="F1631" s="124">
        <v>4</v>
      </c>
      <c r="G1631" s="124">
        <v>24</v>
      </c>
      <c r="H1631" s="486" t="s">
        <v>5866</v>
      </c>
      <c r="I1631" s="215" t="s">
        <v>816</v>
      </c>
      <c r="J1631" s="215" t="s">
        <v>77</v>
      </c>
      <c r="K1631" s="266">
        <v>810116843671</v>
      </c>
      <c r="L1631" s="265" t="s">
        <v>649</v>
      </c>
      <c r="M1631" s="265" t="s">
        <v>649</v>
      </c>
      <c r="N1631" s="264">
        <v>5.29</v>
      </c>
      <c r="O1631" s="265" t="s">
        <v>649</v>
      </c>
      <c r="P1631" s="265">
        <v>21.16</v>
      </c>
      <c r="Q1631" s="265" t="s">
        <v>649</v>
      </c>
    </row>
    <row r="1632" spans="1:17" ht="15" customHeight="1">
      <c r="A1632" s="147">
        <v>1706</v>
      </c>
      <c r="B1632" s="51" t="s">
        <v>5716</v>
      </c>
      <c r="C1632" s="51" t="s">
        <v>1353</v>
      </c>
      <c r="D1632" s="51">
        <v>300003424</v>
      </c>
      <c r="E1632" s="53" t="s">
        <v>1354</v>
      </c>
      <c r="F1632" s="124">
        <v>2</v>
      </c>
      <c r="G1632" s="124">
        <v>12</v>
      </c>
      <c r="H1632" s="486" t="s">
        <v>5866</v>
      </c>
      <c r="I1632" s="215" t="s">
        <v>816</v>
      </c>
      <c r="J1632" s="215" t="s">
        <v>77</v>
      </c>
      <c r="K1632" s="266">
        <v>812361011249</v>
      </c>
      <c r="L1632" s="265" t="s">
        <v>649</v>
      </c>
      <c r="M1632" s="265" t="s">
        <v>649</v>
      </c>
      <c r="N1632" s="264">
        <v>11.609</v>
      </c>
      <c r="O1632" s="265" t="s">
        <v>649</v>
      </c>
      <c r="P1632" s="265">
        <v>23.218</v>
      </c>
      <c r="Q1632" s="265" t="s">
        <v>649</v>
      </c>
    </row>
    <row r="1633" spans="1:17" ht="15" customHeight="1">
      <c r="A1633" s="147">
        <v>1707</v>
      </c>
      <c r="B1633" s="51" t="s">
        <v>5716</v>
      </c>
      <c r="C1633" s="51" t="s">
        <v>1355</v>
      </c>
      <c r="D1633" s="51">
        <v>300005840</v>
      </c>
      <c r="E1633" s="53" t="s">
        <v>1356</v>
      </c>
      <c r="F1633" s="124">
        <v>10</v>
      </c>
      <c r="G1633" s="124">
        <v>240</v>
      </c>
      <c r="H1633" s="486" t="s">
        <v>5866</v>
      </c>
      <c r="I1633" s="215" t="s">
        <v>816</v>
      </c>
      <c r="J1633" s="215" t="s">
        <v>77</v>
      </c>
      <c r="K1633" s="266">
        <v>810673018901</v>
      </c>
      <c r="L1633" s="265" t="s">
        <v>649</v>
      </c>
      <c r="M1633" s="265" t="s">
        <v>649</v>
      </c>
      <c r="N1633" s="264">
        <v>1.2070000000000001</v>
      </c>
      <c r="O1633" s="265" t="s">
        <v>649</v>
      </c>
      <c r="P1633" s="265">
        <v>12.07</v>
      </c>
      <c r="Q1633" s="265" t="s">
        <v>649</v>
      </c>
    </row>
    <row r="1634" spans="1:17" ht="15" customHeight="1">
      <c r="A1634" s="147">
        <v>1708</v>
      </c>
      <c r="B1634" s="51" t="s">
        <v>5716</v>
      </c>
      <c r="C1634" s="51" t="s">
        <v>1357</v>
      </c>
      <c r="D1634" s="51">
        <v>300005758</v>
      </c>
      <c r="E1634" s="53" t="s">
        <v>1358</v>
      </c>
      <c r="F1634" s="124">
        <v>4</v>
      </c>
      <c r="G1634" s="124">
        <v>100</v>
      </c>
      <c r="H1634" s="486" t="s">
        <v>5866</v>
      </c>
      <c r="I1634" s="215" t="s">
        <v>816</v>
      </c>
      <c r="J1634" s="215" t="s">
        <v>77</v>
      </c>
      <c r="K1634" s="266">
        <v>810673018925</v>
      </c>
      <c r="L1634" s="265" t="s">
        <v>649</v>
      </c>
      <c r="M1634" s="265" t="s">
        <v>649</v>
      </c>
      <c r="N1634" s="264">
        <v>3.4460000000000002</v>
      </c>
      <c r="O1634" s="265" t="s">
        <v>649</v>
      </c>
      <c r="P1634" s="265">
        <v>13.784000000000001</v>
      </c>
      <c r="Q1634" s="265" t="s">
        <v>649</v>
      </c>
    </row>
    <row r="1635" spans="1:17" ht="15" customHeight="1">
      <c r="A1635" s="147">
        <v>1709</v>
      </c>
      <c r="B1635" s="51" t="s">
        <v>5716</v>
      </c>
      <c r="C1635" s="51" t="s">
        <v>1359</v>
      </c>
      <c r="D1635" s="51">
        <v>300005843</v>
      </c>
      <c r="E1635" s="53" t="s">
        <v>1360</v>
      </c>
      <c r="F1635" s="124">
        <v>1</v>
      </c>
      <c r="G1635" s="124">
        <v>45</v>
      </c>
      <c r="H1635" s="486" t="s">
        <v>5866</v>
      </c>
      <c r="I1635" s="215" t="s">
        <v>816</v>
      </c>
      <c r="J1635" s="215" t="s">
        <v>77</v>
      </c>
      <c r="K1635" s="266">
        <v>810673018949</v>
      </c>
      <c r="L1635" s="265" t="s">
        <v>649</v>
      </c>
      <c r="M1635" s="265" t="s">
        <v>649</v>
      </c>
      <c r="N1635" s="264">
        <v>7.3769999999999998</v>
      </c>
      <c r="O1635" s="265" t="s">
        <v>649</v>
      </c>
      <c r="P1635" s="265">
        <v>7.3769999999999998</v>
      </c>
      <c r="Q1635" s="265" t="s">
        <v>649</v>
      </c>
    </row>
    <row r="1636" spans="1:17" ht="15" customHeight="1">
      <c r="A1636" s="147">
        <v>1710</v>
      </c>
      <c r="B1636" s="51" t="s">
        <v>5716</v>
      </c>
      <c r="C1636" s="51" t="s">
        <v>1361</v>
      </c>
      <c r="D1636" s="51">
        <v>300003373</v>
      </c>
      <c r="E1636" s="53" t="s">
        <v>1362</v>
      </c>
      <c r="F1636" s="124">
        <v>6</v>
      </c>
      <c r="G1636" s="124" t="s">
        <v>649</v>
      </c>
      <c r="H1636" s="486" t="s">
        <v>5866</v>
      </c>
      <c r="I1636" s="215" t="s">
        <v>816</v>
      </c>
      <c r="J1636" s="215" t="s">
        <v>77</v>
      </c>
      <c r="K1636" s="266">
        <v>812361011263</v>
      </c>
      <c r="L1636" s="265" t="s">
        <v>649</v>
      </c>
      <c r="M1636" s="265" t="s">
        <v>649</v>
      </c>
      <c r="N1636" s="264">
        <v>1.899</v>
      </c>
      <c r="O1636" s="265" t="s">
        <v>649</v>
      </c>
      <c r="P1636" s="265">
        <v>11.394</v>
      </c>
      <c r="Q1636" s="265" t="s">
        <v>649</v>
      </c>
    </row>
    <row r="1637" spans="1:17" ht="15" customHeight="1">
      <c r="A1637" s="147">
        <v>1711</v>
      </c>
      <c r="B1637" s="51" t="s">
        <v>5716</v>
      </c>
      <c r="C1637" s="51" t="s">
        <v>1363</v>
      </c>
      <c r="D1637" s="51">
        <v>300003407</v>
      </c>
      <c r="E1637" s="53" t="s">
        <v>1364</v>
      </c>
      <c r="F1637" s="124">
        <v>4</v>
      </c>
      <c r="G1637" s="124" t="s">
        <v>649</v>
      </c>
      <c r="H1637" s="486" t="s">
        <v>5866</v>
      </c>
      <c r="I1637" s="215" t="s">
        <v>816</v>
      </c>
      <c r="J1637" s="215" t="s">
        <v>77</v>
      </c>
      <c r="K1637" s="266">
        <v>812361014875</v>
      </c>
      <c r="L1637" s="265" t="s">
        <v>649</v>
      </c>
      <c r="M1637" s="265" t="s">
        <v>649</v>
      </c>
      <c r="N1637" s="264">
        <v>5.4560000000000004</v>
      </c>
      <c r="O1637" s="265" t="s">
        <v>649</v>
      </c>
      <c r="P1637" s="265">
        <v>21.824000000000002</v>
      </c>
      <c r="Q1637" s="265" t="s">
        <v>649</v>
      </c>
    </row>
    <row r="1638" spans="1:17" ht="15" customHeight="1">
      <c r="A1638" s="147">
        <v>1712</v>
      </c>
      <c r="B1638" s="51" t="s">
        <v>5716</v>
      </c>
      <c r="C1638" s="51" t="s">
        <v>1365</v>
      </c>
      <c r="D1638" s="51">
        <v>300003439</v>
      </c>
      <c r="E1638" s="53" t="s">
        <v>1366</v>
      </c>
      <c r="F1638" s="124">
        <v>4</v>
      </c>
      <c r="G1638" s="124" t="s">
        <v>649</v>
      </c>
      <c r="H1638" s="486" t="s">
        <v>5866</v>
      </c>
      <c r="I1638" s="215" t="s">
        <v>816</v>
      </c>
      <c r="J1638" s="215" t="s">
        <v>77</v>
      </c>
      <c r="K1638" s="266">
        <v>812361014899</v>
      </c>
      <c r="L1638" s="265" t="s">
        <v>649</v>
      </c>
      <c r="M1638" s="265" t="s">
        <v>649</v>
      </c>
      <c r="N1638" s="264">
        <v>7.9749999999999996</v>
      </c>
      <c r="O1638" s="265" t="s">
        <v>649</v>
      </c>
      <c r="P1638" s="265">
        <v>31.9</v>
      </c>
      <c r="Q1638" s="265" t="s">
        <v>649</v>
      </c>
    </row>
    <row r="1639" spans="1:17" ht="15" customHeight="1">
      <c r="A1639" s="147">
        <v>1713</v>
      </c>
      <c r="B1639" s="51" t="s">
        <v>5716</v>
      </c>
      <c r="C1639" s="51" t="s">
        <v>1367</v>
      </c>
      <c r="D1639" s="51">
        <v>300003448</v>
      </c>
      <c r="E1639" s="53" t="s">
        <v>1368</v>
      </c>
      <c r="F1639" s="124">
        <v>4</v>
      </c>
      <c r="G1639" s="124" t="s">
        <v>649</v>
      </c>
      <c r="H1639" s="486" t="s">
        <v>5866</v>
      </c>
      <c r="I1639" s="215" t="s">
        <v>816</v>
      </c>
      <c r="J1639" s="215" t="s">
        <v>77</v>
      </c>
      <c r="K1639" s="266">
        <v>812361014912</v>
      </c>
      <c r="L1639" s="265" t="s">
        <v>649</v>
      </c>
      <c r="M1639" s="265" t="s">
        <v>649</v>
      </c>
      <c r="N1639" s="264">
        <v>4.8</v>
      </c>
      <c r="O1639" s="265" t="s">
        <v>649</v>
      </c>
      <c r="P1639" s="265">
        <v>19.2</v>
      </c>
      <c r="Q1639" s="265" t="s">
        <v>649</v>
      </c>
    </row>
    <row r="1640" spans="1:17" ht="15" customHeight="1">
      <c r="A1640" s="147">
        <v>1714</v>
      </c>
      <c r="B1640" s="51" t="s">
        <v>5716</v>
      </c>
      <c r="C1640" s="51" t="s">
        <v>1369</v>
      </c>
      <c r="D1640" s="51">
        <v>300005760</v>
      </c>
      <c r="E1640" s="53" t="s">
        <v>1370</v>
      </c>
      <c r="F1640" s="124">
        <v>16</v>
      </c>
      <c r="G1640" s="124">
        <v>288</v>
      </c>
      <c r="H1640" s="486" t="s">
        <v>5866</v>
      </c>
      <c r="I1640" s="215" t="s">
        <v>816</v>
      </c>
      <c r="J1640" s="215" t="s">
        <v>77</v>
      </c>
      <c r="K1640" s="266">
        <v>812361019993</v>
      </c>
      <c r="L1640" s="265" t="s">
        <v>649</v>
      </c>
      <c r="M1640" s="265" t="s">
        <v>649</v>
      </c>
      <c r="N1640" s="264">
        <v>1.98</v>
      </c>
      <c r="O1640" s="265" t="s">
        <v>649</v>
      </c>
      <c r="P1640" s="265">
        <v>31.68</v>
      </c>
      <c r="Q1640" s="265" t="s">
        <v>649</v>
      </c>
    </row>
    <row r="1641" spans="1:17" ht="15" customHeight="1">
      <c r="A1641" s="147">
        <v>1715</v>
      </c>
      <c r="B1641" s="51" t="s">
        <v>5716</v>
      </c>
      <c r="C1641" s="51" t="s">
        <v>1371</v>
      </c>
      <c r="D1641" s="51">
        <v>100029262</v>
      </c>
      <c r="E1641" s="53" t="s">
        <v>1372</v>
      </c>
      <c r="F1641" s="124">
        <v>10</v>
      </c>
      <c r="G1641" s="124">
        <v>180</v>
      </c>
      <c r="H1641" s="369">
        <v>296.23</v>
      </c>
      <c r="I1641" s="215" t="s">
        <v>346</v>
      </c>
      <c r="J1641" s="215" t="s">
        <v>102</v>
      </c>
      <c r="K1641" s="266">
        <v>812361015117</v>
      </c>
      <c r="L1641" s="265" t="s">
        <v>649</v>
      </c>
      <c r="M1641" s="266">
        <v>816842021680</v>
      </c>
      <c r="N1641" s="264">
        <v>1.94</v>
      </c>
      <c r="O1641" s="265" t="s">
        <v>649</v>
      </c>
      <c r="P1641" s="265">
        <v>21.25</v>
      </c>
      <c r="Q1641" s="265">
        <v>2.361325291407383</v>
      </c>
    </row>
    <row r="1642" spans="1:17" ht="15" customHeight="1">
      <c r="A1642" s="147">
        <v>1716</v>
      </c>
      <c r="B1642" s="51" t="s">
        <v>5716</v>
      </c>
      <c r="C1642" s="51" t="s">
        <v>1373</v>
      </c>
      <c r="D1642" s="51">
        <v>300003409</v>
      </c>
      <c r="E1642" s="53" t="s">
        <v>1374</v>
      </c>
      <c r="F1642" s="124">
        <v>4</v>
      </c>
      <c r="G1642" s="124">
        <v>54</v>
      </c>
      <c r="H1642" s="486" t="s">
        <v>5866</v>
      </c>
      <c r="I1642" s="215" t="s">
        <v>816</v>
      </c>
      <c r="J1642" s="215" t="s">
        <v>77</v>
      </c>
      <c r="K1642" s="266">
        <v>812361015131</v>
      </c>
      <c r="L1642" s="265" t="s">
        <v>649</v>
      </c>
      <c r="M1642" s="265" t="s">
        <v>649</v>
      </c>
      <c r="N1642" s="264">
        <v>5.5979999999999999</v>
      </c>
      <c r="O1642" s="265" t="s">
        <v>649</v>
      </c>
      <c r="P1642" s="265">
        <v>22.391999999999999</v>
      </c>
      <c r="Q1642" s="265" t="s">
        <v>649</v>
      </c>
    </row>
    <row r="1643" spans="1:17" ht="15" customHeight="1">
      <c r="A1643" s="147">
        <v>1717</v>
      </c>
      <c r="B1643" s="51" t="s">
        <v>5716</v>
      </c>
      <c r="C1643" s="51" t="s">
        <v>1375</v>
      </c>
      <c r="D1643" s="51">
        <v>100029261</v>
      </c>
      <c r="E1643" s="53" t="s">
        <v>1376</v>
      </c>
      <c r="F1643" s="124">
        <v>1</v>
      </c>
      <c r="G1643" s="124">
        <v>75</v>
      </c>
      <c r="H1643" s="369">
        <v>405.97</v>
      </c>
      <c r="I1643" s="215" t="s">
        <v>76</v>
      </c>
      <c r="J1643" s="215" t="s">
        <v>102</v>
      </c>
      <c r="K1643" s="266">
        <v>812361015322</v>
      </c>
      <c r="L1643" s="265" t="s">
        <v>649</v>
      </c>
      <c r="M1643" s="266">
        <v>812361015667</v>
      </c>
      <c r="N1643" s="264">
        <v>4.78</v>
      </c>
      <c r="O1643" s="265" t="s">
        <v>649</v>
      </c>
      <c r="P1643" s="265">
        <v>469.27499999999998</v>
      </c>
      <c r="Q1643" s="265">
        <v>53.333269333358928</v>
      </c>
    </row>
    <row r="1644" spans="1:17" ht="15" customHeight="1">
      <c r="A1644" s="147">
        <v>1718</v>
      </c>
      <c r="B1644" s="51" t="s">
        <v>5716</v>
      </c>
      <c r="C1644" s="51" t="s">
        <v>1377</v>
      </c>
      <c r="D1644" s="51">
        <v>100029278</v>
      </c>
      <c r="E1644" s="53" t="s">
        <v>1378</v>
      </c>
      <c r="F1644" s="124">
        <v>1</v>
      </c>
      <c r="G1644" s="124">
        <v>41</v>
      </c>
      <c r="H1644" s="369">
        <v>569.25</v>
      </c>
      <c r="I1644" s="215" t="s">
        <v>346</v>
      </c>
      <c r="J1644" s="215" t="s">
        <v>102</v>
      </c>
      <c r="K1644" s="266">
        <v>810673018789</v>
      </c>
      <c r="L1644" s="265" t="s">
        <v>649</v>
      </c>
      <c r="M1644" s="266">
        <v>812361015896</v>
      </c>
      <c r="N1644" s="264">
        <v>9.43</v>
      </c>
      <c r="O1644" s="265" t="s">
        <v>649</v>
      </c>
      <c r="P1644" s="265">
        <v>386.63</v>
      </c>
      <c r="Q1644" s="265">
        <v>53.333269333358928</v>
      </c>
    </row>
    <row r="1645" spans="1:17" ht="15" customHeight="1">
      <c r="A1645" s="147">
        <v>1719</v>
      </c>
      <c r="B1645" s="51" t="s">
        <v>5716</v>
      </c>
      <c r="C1645" s="51" t="s">
        <v>1379</v>
      </c>
      <c r="D1645" s="51">
        <v>300003428</v>
      </c>
      <c r="E1645" s="53" t="s">
        <v>1380</v>
      </c>
      <c r="F1645" s="124">
        <v>2</v>
      </c>
      <c r="G1645" s="124">
        <v>13</v>
      </c>
      <c r="H1645" s="486" t="s">
        <v>5866</v>
      </c>
      <c r="I1645" s="215" t="s">
        <v>816</v>
      </c>
      <c r="J1645" s="215" t="s">
        <v>77</v>
      </c>
      <c r="K1645" s="266">
        <v>812361014790</v>
      </c>
      <c r="L1645" s="265" t="s">
        <v>649</v>
      </c>
      <c r="M1645" s="265" t="s">
        <v>649</v>
      </c>
      <c r="N1645" s="264">
        <v>14.798</v>
      </c>
      <c r="O1645" s="265" t="s">
        <v>649</v>
      </c>
      <c r="P1645" s="265">
        <v>29.596</v>
      </c>
      <c r="Q1645" s="265" t="s">
        <v>649</v>
      </c>
    </row>
    <row r="1646" spans="1:17" ht="15" customHeight="1">
      <c r="A1646" s="147">
        <v>1720</v>
      </c>
      <c r="B1646" s="51" t="s">
        <v>5716</v>
      </c>
      <c r="C1646" s="51" t="s">
        <v>1381</v>
      </c>
      <c r="D1646" s="51">
        <v>300003378</v>
      </c>
      <c r="E1646" s="53" t="s">
        <v>1382</v>
      </c>
      <c r="F1646" s="124">
        <v>6</v>
      </c>
      <c r="G1646" s="124" t="s">
        <v>649</v>
      </c>
      <c r="H1646" s="486" t="s">
        <v>5866</v>
      </c>
      <c r="I1646" s="215" t="s">
        <v>816</v>
      </c>
      <c r="J1646" s="215" t="s">
        <v>77</v>
      </c>
      <c r="K1646" s="266">
        <v>810116843664</v>
      </c>
      <c r="L1646" s="265" t="s">
        <v>649</v>
      </c>
      <c r="M1646" s="265" t="s">
        <v>649</v>
      </c>
      <c r="N1646" s="264">
        <v>3.22</v>
      </c>
      <c r="O1646" s="265" t="s">
        <v>649</v>
      </c>
      <c r="P1646" s="265">
        <v>19.32</v>
      </c>
      <c r="Q1646" s="265" t="s">
        <v>649</v>
      </c>
    </row>
    <row r="1647" spans="1:17" ht="15" customHeight="1">
      <c r="A1647" s="147">
        <v>1721</v>
      </c>
      <c r="B1647" s="51" t="s">
        <v>5716</v>
      </c>
      <c r="C1647" s="51" t="s">
        <v>1383</v>
      </c>
      <c r="D1647" s="51">
        <v>100029435</v>
      </c>
      <c r="E1647" s="53" t="s">
        <v>1384</v>
      </c>
      <c r="F1647" s="124">
        <v>1</v>
      </c>
      <c r="G1647" s="124">
        <v>40</v>
      </c>
      <c r="H1647" s="369">
        <v>1502.29</v>
      </c>
      <c r="I1647" s="215" t="s">
        <v>76</v>
      </c>
      <c r="J1647" s="215" t="s">
        <v>102</v>
      </c>
      <c r="K1647" s="266">
        <v>816842026050</v>
      </c>
      <c r="L1647" s="265" t="s">
        <v>649</v>
      </c>
      <c r="M1647" s="266">
        <v>816842027378</v>
      </c>
      <c r="N1647" s="264">
        <v>7.17</v>
      </c>
      <c r="O1647" s="265" t="s">
        <v>649</v>
      </c>
      <c r="P1647" s="265">
        <v>286.8</v>
      </c>
      <c r="Q1647" s="265">
        <v>53.333269333358928</v>
      </c>
    </row>
    <row r="1648" spans="1:17" ht="15" customHeight="1">
      <c r="A1648" s="147">
        <v>1722</v>
      </c>
      <c r="B1648" s="51" t="s">
        <v>5716</v>
      </c>
      <c r="C1648" s="51" t="s">
        <v>1385</v>
      </c>
      <c r="D1648" s="51">
        <v>300003411</v>
      </c>
      <c r="E1648" s="53" t="s">
        <v>1386</v>
      </c>
      <c r="F1648" s="124">
        <v>5</v>
      </c>
      <c r="G1648" s="124">
        <v>56</v>
      </c>
      <c r="H1648" s="486" t="s">
        <v>5866</v>
      </c>
      <c r="I1648" s="215" t="s">
        <v>816</v>
      </c>
      <c r="J1648" s="215" t="s">
        <v>77</v>
      </c>
      <c r="K1648" s="266">
        <v>810673019243</v>
      </c>
      <c r="L1648" s="265" t="s">
        <v>649</v>
      </c>
      <c r="M1648" s="265" t="s">
        <v>649</v>
      </c>
      <c r="N1648" s="264">
        <v>5.84</v>
      </c>
      <c r="O1648" s="265" t="s">
        <v>649</v>
      </c>
      <c r="P1648" s="265">
        <v>29.2</v>
      </c>
      <c r="Q1648" s="265" t="s">
        <v>649</v>
      </c>
    </row>
    <row r="1649" spans="1:17" ht="15" customHeight="1">
      <c r="A1649" s="147">
        <v>1723</v>
      </c>
      <c r="B1649" s="51" t="s">
        <v>5716</v>
      </c>
      <c r="C1649" s="51" t="s">
        <v>1387</v>
      </c>
      <c r="D1649" s="51">
        <v>100029328</v>
      </c>
      <c r="E1649" s="53" t="s">
        <v>1388</v>
      </c>
      <c r="F1649" s="124">
        <v>1</v>
      </c>
      <c r="G1649" s="124">
        <v>48</v>
      </c>
      <c r="H1649" s="369">
        <v>529.6</v>
      </c>
      <c r="I1649" s="215" t="s">
        <v>76</v>
      </c>
      <c r="J1649" s="215" t="s">
        <v>102</v>
      </c>
      <c r="K1649" s="266">
        <v>812361015056</v>
      </c>
      <c r="L1649" s="265" t="s">
        <v>649</v>
      </c>
      <c r="M1649" s="266">
        <v>812361018859</v>
      </c>
      <c r="N1649" s="264">
        <v>6.194</v>
      </c>
      <c r="O1649" s="265" t="s">
        <v>649</v>
      </c>
      <c r="P1649" s="265">
        <v>297.31200000000001</v>
      </c>
      <c r="Q1649" s="265">
        <v>53.333269333358928</v>
      </c>
    </row>
    <row r="1650" spans="1:17" ht="15" customHeight="1">
      <c r="A1650" s="147">
        <v>1724</v>
      </c>
      <c r="B1650" s="51" t="s">
        <v>5716</v>
      </c>
      <c r="C1650" s="51" t="s">
        <v>1389</v>
      </c>
      <c r="D1650" s="51">
        <v>300005764</v>
      </c>
      <c r="E1650" s="53" t="s">
        <v>1390</v>
      </c>
      <c r="F1650" s="124">
        <v>1</v>
      </c>
      <c r="G1650" s="124">
        <v>41</v>
      </c>
      <c r="H1650" s="486" t="s">
        <v>5866</v>
      </c>
      <c r="I1650" s="215" t="s">
        <v>816</v>
      </c>
      <c r="J1650" s="215" t="s">
        <v>77</v>
      </c>
      <c r="K1650" s="266">
        <v>810673018802</v>
      </c>
      <c r="L1650" s="265" t="s">
        <v>649</v>
      </c>
      <c r="M1650" s="265" t="s">
        <v>649</v>
      </c>
      <c r="N1650" s="264">
        <v>8.16</v>
      </c>
      <c r="O1650" s="265" t="s">
        <v>649</v>
      </c>
      <c r="P1650" s="265">
        <v>8.16</v>
      </c>
      <c r="Q1650" s="265" t="s">
        <v>649</v>
      </c>
    </row>
    <row r="1651" spans="1:17" ht="15" customHeight="1">
      <c r="A1651" s="147">
        <v>1725</v>
      </c>
      <c r="B1651" s="51" t="s">
        <v>5716</v>
      </c>
      <c r="C1651" s="51" t="s">
        <v>1391</v>
      </c>
      <c r="D1651" s="51">
        <v>100029364</v>
      </c>
      <c r="E1651" s="53" t="s">
        <v>1392</v>
      </c>
      <c r="F1651" s="124">
        <v>1</v>
      </c>
      <c r="G1651" s="124">
        <v>39</v>
      </c>
      <c r="H1651" s="369">
        <v>583.41999999999996</v>
      </c>
      <c r="I1651" s="215" t="s">
        <v>76</v>
      </c>
      <c r="J1651" s="215" t="s">
        <v>102</v>
      </c>
      <c r="K1651" s="266">
        <v>810673018826</v>
      </c>
      <c r="L1651" s="265" t="s">
        <v>649</v>
      </c>
      <c r="M1651" s="266">
        <v>816842021871</v>
      </c>
      <c r="N1651" s="264">
        <v>10.082000000000001</v>
      </c>
      <c r="O1651" s="265" t="s">
        <v>649</v>
      </c>
      <c r="P1651" s="265">
        <v>393.19800000000004</v>
      </c>
      <c r="Q1651" s="265">
        <v>53.333269333358928</v>
      </c>
    </row>
    <row r="1652" spans="1:17" ht="15" customHeight="1">
      <c r="A1652" s="147">
        <v>1726</v>
      </c>
      <c r="B1652" s="51" t="s">
        <v>5716</v>
      </c>
      <c r="C1652" s="51" t="s">
        <v>1393</v>
      </c>
      <c r="D1652" s="51">
        <v>300003442</v>
      </c>
      <c r="E1652" s="53" t="s">
        <v>1394</v>
      </c>
      <c r="F1652" s="124">
        <v>1</v>
      </c>
      <c r="G1652" s="124" t="s">
        <v>649</v>
      </c>
      <c r="H1652" s="486" t="s">
        <v>5866</v>
      </c>
      <c r="I1652" s="215" t="s">
        <v>816</v>
      </c>
      <c r="J1652" s="215" t="s">
        <v>77</v>
      </c>
      <c r="K1652" s="266">
        <v>810116843756</v>
      </c>
      <c r="L1652" s="265" t="s">
        <v>649</v>
      </c>
      <c r="M1652" s="265" t="s">
        <v>649</v>
      </c>
      <c r="N1652" s="264">
        <v>9.5549999999999997</v>
      </c>
      <c r="O1652" s="265" t="s">
        <v>649</v>
      </c>
      <c r="P1652" s="265">
        <v>9.5549999999999997</v>
      </c>
      <c r="Q1652" s="265" t="s">
        <v>649</v>
      </c>
    </row>
    <row r="1653" spans="1:17" ht="15" customHeight="1">
      <c r="A1653" s="147">
        <v>1727</v>
      </c>
      <c r="B1653" s="51" t="s">
        <v>5716</v>
      </c>
      <c r="C1653" s="51" t="s">
        <v>1396</v>
      </c>
      <c r="D1653" s="51">
        <v>100029263</v>
      </c>
      <c r="E1653" s="53" t="s">
        <v>1397</v>
      </c>
      <c r="F1653" s="124">
        <v>10</v>
      </c>
      <c r="G1653" s="124">
        <v>120</v>
      </c>
      <c r="H1653" s="369">
        <v>283.73</v>
      </c>
      <c r="I1653" s="215" t="s">
        <v>76</v>
      </c>
      <c r="J1653" s="215" t="s">
        <v>102</v>
      </c>
      <c r="K1653" s="266">
        <v>810673018642</v>
      </c>
      <c r="L1653" s="265" t="s">
        <v>649</v>
      </c>
      <c r="M1653" s="266">
        <v>810673018659</v>
      </c>
      <c r="N1653" s="264">
        <v>2.3639999999999999</v>
      </c>
      <c r="O1653" s="265" t="s">
        <v>649</v>
      </c>
      <c r="P1653" s="265">
        <v>25.54</v>
      </c>
      <c r="Q1653" s="265">
        <v>2.7986077527791204</v>
      </c>
    </row>
    <row r="1654" spans="1:17" ht="15" customHeight="1">
      <c r="A1654" s="147">
        <v>1728</v>
      </c>
      <c r="B1654" s="51" t="s">
        <v>5716</v>
      </c>
      <c r="C1654" s="51" t="s">
        <v>1398</v>
      </c>
      <c r="D1654" s="51">
        <v>100029279</v>
      </c>
      <c r="E1654" s="53" t="s">
        <v>1399</v>
      </c>
      <c r="F1654" s="124">
        <v>1</v>
      </c>
      <c r="G1654" s="124">
        <v>75</v>
      </c>
      <c r="H1654" s="369">
        <v>372.43</v>
      </c>
      <c r="I1654" s="215" t="s">
        <v>76</v>
      </c>
      <c r="J1654" s="215" t="s">
        <v>102</v>
      </c>
      <c r="K1654" s="266">
        <v>810673018666</v>
      </c>
      <c r="L1654" s="265" t="s">
        <v>649</v>
      </c>
      <c r="M1654" s="266">
        <v>812361015827</v>
      </c>
      <c r="N1654" s="264">
        <v>4.8460000000000001</v>
      </c>
      <c r="O1654" s="265" t="s">
        <v>649</v>
      </c>
      <c r="P1654" s="265">
        <v>363.45</v>
      </c>
      <c r="Q1654" s="265">
        <v>53.333269333358928</v>
      </c>
    </row>
    <row r="1655" spans="1:17" ht="15" customHeight="1">
      <c r="A1655" s="147">
        <v>1729</v>
      </c>
      <c r="B1655" s="51" t="s">
        <v>5716</v>
      </c>
      <c r="C1655" s="51" t="s">
        <v>1400</v>
      </c>
      <c r="D1655" s="51">
        <v>100029264</v>
      </c>
      <c r="E1655" s="53" t="s">
        <v>1401</v>
      </c>
      <c r="F1655" s="124">
        <v>1</v>
      </c>
      <c r="G1655" s="124">
        <v>50</v>
      </c>
      <c r="H1655" s="369">
        <v>460.62</v>
      </c>
      <c r="I1655" s="215" t="s">
        <v>76</v>
      </c>
      <c r="J1655" s="215" t="s">
        <v>102</v>
      </c>
      <c r="K1655" s="266">
        <v>812361012222</v>
      </c>
      <c r="L1655" s="265" t="s">
        <v>649</v>
      </c>
      <c r="M1655" s="266">
        <v>812361015674</v>
      </c>
      <c r="N1655" s="264">
        <v>6.3120000000000003</v>
      </c>
      <c r="O1655" s="265" t="s">
        <v>649</v>
      </c>
      <c r="P1655" s="265">
        <v>429.1</v>
      </c>
      <c r="Q1655" s="265">
        <v>53.333269333358928</v>
      </c>
    </row>
    <row r="1656" spans="1:17" ht="15" customHeight="1">
      <c r="A1656" s="147">
        <v>1730</v>
      </c>
      <c r="B1656" s="51" t="s">
        <v>5716</v>
      </c>
      <c r="C1656" s="51" t="s">
        <v>1402</v>
      </c>
      <c r="D1656" s="51">
        <v>100029280</v>
      </c>
      <c r="E1656" s="53" t="s">
        <v>1403</v>
      </c>
      <c r="F1656" s="124">
        <v>1</v>
      </c>
      <c r="G1656" s="124">
        <v>45</v>
      </c>
      <c r="H1656" s="369">
        <v>521.49</v>
      </c>
      <c r="I1656" s="215" t="s">
        <v>76</v>
      </c>
      <c r="J1656" s="215" t="s">
        <v>102</v>
      </c>
      <c r="K1656" s="266">
        <v>810673018680</v>
      </c>
      <c r="L1656" s="265" t="s">
        <v>649</v>
      </c>
      <c r="M1656" s="266">
        <v>816842021642</v>
      </c>
      <c r="N1656" s="264">
        <v>8.5060000000000002</v>
      </c>
      <c r="O1656" s="265" t="s">
        <v>649</v>
      </c>
      <c r="P1656" s="265">
        <v>382.77</v>
      </c>
      <c r="Q1656" s="265">
        <v>53.333269333358928</v>
      </c>
    </row>
    <row r="1657" spans="1:17" ht="15" customHeight="1">
      <c r="A1657" s="147">
        <v>1731</v>
      </c>
      <c r="B1657" s="51" t="s">
        <v>5716</v>
      </c>
      <c r="C1657" s="51" t="s">
        <v>1404</v>
      </c>
      <c r="D1657" s="51">
        <v>100029281</v>
      </c>
      <c r="E1657" s="53" t="s">
        <v>1405</v>
      </c>
      <c r="F1657" s="124">
        <v>1</v>
      </c>
      <c r="G1657" s="124">
        <v>34</v>
      </c>
      <c r="H1657" s="369">
        <v>598.36</v>
      </c>
      <c r="I1657" s="215" t="s">
        <v>346</v>
      </c>
      <c r="J1657" s="215" t="s">
        <v>102</v>
      </c>
      <c r="K1657" s="266">
        <v>810673018703</v>
      </c>
      <c r="L1657" s="265" t="s">
        <v>649</v>
      </c>
      <c r="M1657" s="266">
        <v>816842021628</v>
      </c>
      <c r="N1657" s="264">
        <v>11.082000000000001</v>
      </c>
      <c r="O1657" s="265" t="s">
        <v>649</v>
      </c>
      <c r="P1657" s="265">
        <v>376.78800000000001</v>
      </c>
      <c r="Q1657" s="265">
        <v>53.333269333358928</v>
      </c>
    </row>
    <row r="1658" spans="1:17" ht="15" customHeight="1">
      <c r="A1658" s="147">
        <v>1732</v>
      </c>
      <c r="B1658" s="51" t="s">
        <v>5716</v>
      </c>
      <c r="C1658" s="51" t="s">
        <v>1406</v>
      </c>
      <c r="D1658" s="51">
        <v>300003434</v>
      </c>
      <c r="E1658" s="53" t="s">
        <v>1407</v>
      </c>
      <c r="F1658" s="124">
        <v>2</v>
      </c>
      <c r="G1658" s="124">
        <v>10</v>
      </c>
      <c r="H1658" s="486" t="s">
        <v>5866</v>
      </c>
      <c r="I1658" s="215" t="s">
        <v>816</v>
      </c>
      <c r="J1658" s="215" t="s">
        <v>77</v>
      </c>
      <c r="K1658" s="266">
        <v>812361017999</v>
      </c>
      <c r="L1658" s="265" t="s">
        <v>649</v>
      </c>
      <c r="M1658" s="265" t="s">
        <v>649</v>
      </c>
      <c r="N1658" s="264">
        <v>8.5050000000000008</v>
      </c>
      <c r="O1658" s="265" t="s">
        <v>649</v>
      </c>
      <c r="P1658" s="265">
        <v>17.010000000000002</v>
      </c>
      <c r="Q1658" s="265" t="s">
        <v>649</v>
      </c>
    </row>
    <row r="1659" spans="1:17" ht="15" customHeight="1">
      <c r="A1659" s="147">
        <v>1733</v>
      </c>
      <c r="B1659" s="51" t="s">
        <v>5716</v>
      </c>
      <c r="C1659" s="51" t="s">
        <v>1408</v>
      </c>
      <c r="D1659" s="51">
        <v>300005836</v>
      </c>
      <c r="E1659" s="53" t="s">
        <v>1409</v>
      </c>
      <c r="F1659" s="124">
        <v>1</v>
      </c>
      <c r="G1659" s="124">
        <v>28</v>
      </c>
      <c r="H1659" s="486" t="s">
        <v>5866</v>
      </c>
      <c r="I1659" s="215" t="s">
        <v>816</v>
      </c>
      <c r="J1659" s="215" t="s">
        <v>77</v>
      </c>
      <c r="K1659" s="266">
        <v>810673018727</v>
      </c>
      <c r="L1659" s="265" t="s">
        <v>649</v>
      </c>
      <c r="M1659" s="265" t="s">
        <v>649</v>
      </c>
      <c r="N1659" s="264">
        <v>10.75</v>
      </c>
      <c r="O1659" s="265" t="s">
        <v>649</v>
      </c>
      <c r="P1659" s="265">
        <v>10.75</v>
      </c>
      <c r="Q1659" s="265" t="s">
        <v>649</v>
      </c>
    </row>
    <row r="1660" spans="1:17" ht="15" customHeight="1">
      <c r="A1660" s="147">
        <v>1734</v>
      </c>
      <c r="B1660" s="51" t="s">
        <v>5716</v>
      </c>
      <c r="C1660" s="51" t="s">
        <v>1410</v>
      </c>
      <c r="D1660" s="51">
        <v>300005837</v>
      </c>
      <c r="E1660" s="53" t="s">
        <v>1411</v>
      </c>
      <c r="F1660" s="124">
        <v>1</v>
      </c>
      <c r="G1660" s="124">
        <v>24</v>
      </c>
      <c r="H1660" s="486" t="s">
        <v>5866</v>
      </c>
      <c r="I1660" s="215" t="s">
        <v>816</v>
      </c>
      <c r="J1660" s="215" t="s">
        <v>77</v>
      </c>
      <c r="K1660" s="266">
        <v>810673018734</v>
      </c>
      <c r="L1660" s="265" t="s">
        <v>649</v>
      </c>
      <c r="M1660" s="265" t="s">
        <v>649</v>
      </c>
      <c r="N1660" s="264">
        <v>17.23</v>
      </c>
      <c r="O1660" s="265" t="s">
        <v>649</v>
      </c>
      <c r="P1660" s="265">
        <v>17.23</v>
      </c>
      <c r="Q1660" s="265" t="s">
        <v>649</v>
      </c>
    </row>
    <row r="1661" spans="1:17" ht="15" customHeight="1">
      <c r="A1661" s="147">
        <v>1735</v>
      </c>
      <c r="B1661" s="51" t="s">
        <v>5716</v>
      </c>
      <c r="C1661" s="51" t="s">
        <v>1412</v>
      </c>
      <c r="D1661" s="51">
        <v>300003406</v>
      </c>
      <c r="E1661" s="53" t="s">
        <v>1413</v>
      </c>
      <c r="F1661" s="124">
        <v>3</v>
      </c>
      <c r="G1661" s="124">
        <v>15</v>
      </c>
      <c r="H1661" s="486" t="s">
        <v>5866</v>
      </c>
      <c r="I1661" s="215" t="s">
        <v>346</v>
      </c>
      <c r="J1661" s="215" t="s">
        <v>77</v>
      </c>
      <c r="K1661" s="265" t="s">
        <v>649</v>
      </c>
      <c r="L1661" s="265" t="s">
        <v>649</v>
      </c>
      <c r="M1661" s="265" t="s">
        <v>649</v>
      </c>
      <c r="N1661" s="264">
        <v>7.9690000000000003</v>
      </c>
      <c r="O1661" s="265" t="s">
        <v>649</v>
      </c>
      <c r="P1661" s="265">
        <v>23.907</v>
      </c>
      <c r="Q1661" s="265" t="s">
        <v>649</v>
      </c>
    </row>
    <row r="1662" spans="1:17" ht="15" customHeight="1">
      <c r="A1662" s="147">
        <v>1736</v>
      </c>
      <c r="B1662" s="51" t="s">
        <v>5716</v>
      </c>
      <c r="C1662" s="51" t="s">
        <v>1414</v>
      </c>
      <c r="D1662" s="51">
        <v>300003390</v>
      </c>
      <c r="E1662" s="53" t="s">
        <v>1415</v>
      </c>
      <c r="F1662" s="124">
        <v>2</v>
      </c>
      <c r="G1662" s="124">
        <v>12</v>
      </c>
      <c r="H1662" s="486" t="s">
        <v>5866</v>
      </c>
      <c r="I1662" s="215" t="s">
        <v>816</v>
      </c>
      <c r="J1662" s="215" t="s">
        <v>77</v>
      </c>
      <c r="K1662" s="265" t="s">
        <v>649</v>
      </c>
      <c r="L1662" s="265" t="s">
        <v>649</v>
      </c>
      <c r="M1662" s="265" t="s">
        <v>649</v>
      </c>
      <c r="N1662" s="264">
        <v>11.356999999999999</v>
      </c>
      <c r="O1662" s="265" t="s">
        <v>649</v>
      </c>
      <c r="P1662" s="265">
        <v>22.713999999999999</v>
      </c>
      <c r="Q1662" s="265" t="s">
        <v>649</v>
      </c>
    </row>
    <row r="1663" spans="1:17" ht="15" customHeight="1">
      <c r="A1663" s="147">
        <v>1737</v>
      </c>
      <c r="B1663" s="51" t="s">
        <v>34</v>
      </c>
      <c r="C1663" s="51" t="s">
        <v>1423</v>
      </c>
      <c r="D1663" s="51">
        <v>300002361</v>
      </c>
      <c r="E1663" s="53" t="s">
        <v>1424</v>
      </c>
      <c r="F1663" s="124">
        <v>6</v>
      </c>
      <c r="G1663" s="124">
        <v>162</v>
      </c>
      <c r="H1663" s="486" t="s">
        <v>5866</v>
      </c>
      <c r="I1663" s="215" t="s">
        <v>346</v>
      </c>
      <c r="J1663" s="215" t="s">
        <v>77</v>
      </c>
      <c r="K1663" s="266">
        <v>810116842285</v>
      </c>
      <c r="L1663" s="265" t="s">
        <v>649</v>
      </c>
      <c r="M1663" s="266">
        <v>10810116842282</v>
      </c>
      <c r="N1663" s="264">
        <v>8.6669999999999998</v>
      </c>
      <c r="O1663" s="265" t="s">
        <v>649</v>
      </c>
      <c r="P1663" s="265">
        <v>56</v>
      </c>
      <c r="Q1663" s="265">
        <v>1.21</v>
      </c>
    </row>
    <row r="1664" spans="1:17" ht="15" customHeight="1">
      <c r="A1664" s="147">
        <v>1738</v>
      </c>
      <c r="B1664" s="51" t="s">
        <v>34</v>
      </c>
      <c r="C1664" s="51" t="s">
        <v>1429</v>
      </c>
      <c r="D1664" s="51">
        <v>300002313</v>
      </c>
      <c r="E1664" s="53" t="s">
        <v>1430</v>
      </c>
      <c r="F1664" s="124">
        <v>12</v>
      </c>
      <c r="G1664" s="124">
        <v>576</v>
      </c>
      <c r="H1664" s="486" t="s">
        <v>5866</v>
      </c>
      <c r="I1664" s="215" t="s">
        <v>816</v>
      </c>
      <c r="J1664" s="215" t="s">
        <v>77</v>
      </c>
      <c r="K1664" s="266">
        <v>49081071004</v>
      </c>
      <c r="L1664" s="265" t="s">
        <v>649</v>
      </c>
      <c r="M1664" s="266">
        <v>50049081071009</v>
      </c>
      <c r="N1664" s="264">
        <v>2.25</v>
      </c>
      <c r="O1664" s="265" t="s">
        <v>649</v>
      </c>
      <c r="P1664" s="265">
        <v>27</v>
      </c>
      <c r="Q1664" s="265">
        <v>0.78</v>
      </c>
    </row>
    <row r="1665" spans="1:17" ht="15" customHeight="1">
      <c r="A1665" s="147">
        <v>1739</v>
      </c>
      <c r="B1665" s="51" t="s">
        <v>34</v>
      </c>
      <c r="C1665" s="51" t="s">
        <v>1432</v>
      </c>
      <c r="D1665" s="51">
        <v>300002274</v>
      </c>
      <c r="E1665" s="53" t="s">
        <v>1433</v>
      </c>
      <c r="F1665" s="124">
        <v>12</v>
      </c>
      <c r="G1665" s="124">
        <v>1008</v>
      </c>
      <c r="H1665" s="486" t="s">
        <v>5866</v>
      </c>
      <c r="I1665" s="215" t="s">
        <v>346</v>
      </c>
      <c r="J1665" s="215" t="s">
        <v>77</v>
      </c>
      <c r="K1665" s="266">
        <v>49081071011</v>
      </c>
      <c r="L1665" s="265" t="s">
        <v>649</v>
      </c>
      <c r="M1665" s="266">
        <v>50049081071016</v>
      </c>
      <c r="N1665" s="264">
        <v>1.167</v>
      </c>
      <c r="O1665" s="265" t="s">
        <v>649</v>
      </c>
      <c r="P1665" s="265">
        <v>14</v>
      </c>
      <c r="Q1665" s="265">
        <v>0.42</v>
      </c>
    </row>
    <row r="1666" spans="1:17" ht="15" customHeight="1">
      <c r="A1666" s="147">
        <v>1740</v>
      </c>
      <c r="B1666" s="51" t="s">
        <v>34</v>
      </c>
      <c r="C1666" s="51" t="s">
        <v>1435</v>
      </c>
      <c r="D1666" s="51">
        <v>300002250</v>
      </c>
      <c r="E1666" s="53" t="s">
        <v>1436</v>
      </c>
      <c r="F1666" s="124">
        <v>24</v>
      </c>
      <c r="G1666" s="124">
        <v>1920</v>
      </c>
      <c r="H1666" s="486" t="s">
        <v>5866</v>
      </c>
      <c r="I1666" s="215" t="s">
        <v>346</v>
      </c>
      <c r="J1666" s="215" t="s">
        <v>77</v>
      </c>
      <c r="K1666" s="266">
        <v>49081071028</v>
      </c>
      <c r="L1666" s="265" t="s">
        <v>649</v>
      </c>
      <c r="M1666" s="266">
        <v>50049081071023</v>
      </c>
      <c r="N1666" s="264">
        <v>0.625</v>
      </c>
      <c r="O1666" s="265" t="s">
        <v>649</v>
      </c>
      <c r="P1666" s="265">
        <v>15</v>
      </c>
      <c r="Q1666" s="265">
        <v>0.41</v>
      </c>
    </row>
    <row r="1667" spans="1:17" ht="15" customHeight="1">
      <c r="A1667" s="147">
        <v>1741</v>
      </c>
      <c r="B1667" s="51" t="s">
        <v>34</v>
      </c>
      <c r="C1667" s="51" t="s">
        <v>1438</v>
      </c>
      <c r="D1667" s="51">
        <v>300002296</v>
      </c>
      <c r="E1667" s="53" t="s">
        <v>1439</v>
      </c>
      <c r="F1667" s="124">
        <v>24</v>
      </c>
      <c r="G1667" s="124">
        <v>2808</v>
      </c>
      <c r="H1667" s="486" t="s">
        <v>5866</v>
      </c>
      <c r="I1667" s="215" t="s">
        <v>346</v>
      </c>
      <c r="J1667" s="215" t="s">
        <v>77</v>
      </c>
      <c r="K1667" s="266">
        <v>49081071035</v>
      </c>
      <c r="L1667" s="265" t="s">
        <v>649</v>
      </c>
      <c r="M1667" s="266">
        <v>50049081071030</v>
      </c>
      <c r="N1667" s="264">
        <v>0.33300000000000002</v>
      </c>
      <c r="O1667" s="265" t="s">
        <v>649</v>
      </c>
      <c r="P1667" s="265">
        <v>8</v>
      </c>
      <c r="Q1667" s="265">
        <v>0.28999999999999998</v>
      </c>
    </row>
    <row r="1668" spans="1:17" ht="15" customHeight="1">
      <c r="A1668" s="147">
        <v>1742</v>
      </c>
      <c r="B1668" s="51" t="s">
        <v>34</v>
      </c>
      <c r="C1668" s="51" t="s">
        <v>1441</v>
      </c>
      <c r="D1668" s="51">
        <v>300002362</v>
      </c>
      <c r="E1668" s="53" t="s">
        <v>1442</v>
      </c>
      <c r="F1668" s="124">
        <v>6</v>
      </c>
      <c r="G1668" s="124">
        <v>162</v>
      </c>
      <c r="H1668" s="486" t="s">
        <v>5866</v>
      </c>
      <c r="I1668" s="215" t="s">
        <v>816</v>
      </c>
      <c r="J1668" s="215" t="s">
        <v>77</v>
      </c>
      <c r="K1668" s="266">
        <v>810116842292</v>
      </c>
      <c r="L1668" s="265" t="s">
        <v>649</v>
      </c>
      <c r="M1668" s="266">
        <v>10810116842299</v>
      </c>
      <c r="N1668" s="264">
        <v>8.7149999999999999</v>
      </c>
      <c r="O1668" s="265" t="s">
        <v>649</v>
      </c>
      <c r="P1668" s="265">
        <v>56</v>
      </c>
      <c r="Q1668" s="265">
        <v>1.21</v>
      </c>
    </row>
    <row r="1669" spans="1:17" ht="15" customHeight="1">
      <c r="A1669" s="147">
        <v>1743</v>
      </c>
      <c r="B1669" s="51" t="s">
        <v>34</v>
      </c>
      <c r="C1669" s="51" t="s">
        <v>1444</v>
      </c>
      <c r="D1669" s="51">
        <v>300002376</v>
      </c>
      <c r="E1669" s="53" t="s">
        <v>1445</v>
      </c>
      <c r="F1669" s="124">
        <v>12</v>
      </c>
      <c r="G1669" s="124">
        <v>576</v>
      </c>
      <c r="H1669" s="486" t="s">
        <v>5866</v>
      </c>
      <c r="I1669" s="215" t="s">
        <v>816</v>
      </c>
      <c r="J1669" s="215" t="s">
        <v>77</v>
      </c>
      <c r="K1669" s="266">
        <v>810116842308</v>
      </c>
      <c r="L1669" s="265" t="s">
        <v>649</v>
      </c>
      <c r="M1669" s="266">
        <v>10810116842305</v>
      </c>
      <c r="N1669" s="264">
        <v>2.2839999999999998</v>
      </c>
      <c r="O1669" s="265" t="s">
        <v>649</v>
      </c>
      <c r="P1669" s="265">
        <v>30</v>
      </c>
      <c r="Q1669" s="265">
        <v>0.78</v>
      </c>
    </row>
    <row r="1670" spans="1:17" ht="15" customHeight="1">
      <c r="A1670" s="147">
        <v>1744</v>
      </c>
      <c r="B1670" s="51" t="s">
        <v>34</v>
      </c>
      <c r="C1670" s="51" t="s">
        <v>1446</v>
      </c>
      <c r="D1670" s="51">
        <v>300002368</v>
      </c>
      <c r="E1670" s="53" t="s">
        <v>1447</v>
      </c>
      <c r="F1670" s="124">
        <v>12</v>
      </c>
      <c r="G1670" s="124">
        <v>1008</v>
      </c>
      <c r="H1670" s="486" t="s">
        <v>5866</v>
      </c>
      <c r="I1670" s="215" t="s">
        <v>346</v>
      </c>
      <c r="J1670" s="215" t="s">
        <v>77</v>
      </c>
      <c r="K1670" s="266">
        <v>810116842315</v>
      </c>
      <c r="L1670" s="265" t="s">
        <v>649</v>
      </c>
      <c r="M1670" s="266">
        <v>10810116842312</v>
      </c>
      <c r="N1670" s="264">
        <v>1.1759999999999999</v>
      </c>
      <c r="O1670" s="265" t="s">
        <v>649</v>
      </c>
      <c r="P1670" s="265">
        <v>16</v>
      </c>
      <c r="Q1670" s="265">
        <v>0.42</v>
      </c>
    </row>
    <row r="1671" spans="1:17" ht="15" customHeight="1">
      <c r="A1671" s="147">
        <v>1745</v>
      </c>
      <c r="B1671" s="51" t="s">
        <v>34</v>
      </c>
      <c r="C1671" s="51" t="s">
        <v>1448</v>
      </c>
      <c r="D1671" s="51">
        <v>300002365</v>
      </c>
      <c r="E1671" s="53" t="s">
        <v>1449</v>
      </c>
      <c r="F1671" s="124">
        <v>24</v>
      </c>
      <c r="G1671" s="124">
        <v>1920</v>
      </c>
      <c r="H1671" s="486" t="s">
        <v>5866</v>
      </c>
      <c r="I1671" s="215" t="s">
        <v>816</v>
      </c>
      <c r="J1671" s="215" t="s">
        <v>77</v>
      </c>
      <c r="K1671" s="266">
        <v>810116842322</v>
      </c>
      <c r="L1671" s="265" t="s">
        <v>649</v>
      </c>
      <c r="M1671" s="266">
        <v>10810116842329</v>
      </c>
      <c r="N1671" s="264">
        <v>0.67100000000000004</v>
      </c>
      <c r="O1671" s="265" t="s">
        <v>649</v>
      </c>
      <c r="P1671" s="265">
        <v>18</v>
      </c>
      <c r="Q1671" s="265">
        <v>0.41</v>
      </c>
    </row>
    <row r="1672" spans="1:17" ht="15" customHeight="1">
      <c r="A1672" s="147">
        <v>1746</v>
      </c>
      <c r="B1672" s="51" t="s">
        <v>34</v>
      </c>
      <c r="C1672" s="51" t="s">
        <v>1450</v>
      </c>
      <c r="D1672" s="51">
        <v>300002373</v>
      </c>
      <c r="E1672" s="53" t="s">
        <v>1451</v>
      </c>
      <c r="F1672" s="124">
        <v>24</v>
      </c>
      <c r="G1672" s="124">
        <v>2808</v>
      </c>
      <c r="H1672" s="486" t="s">
        <v>5866</v>
      </c>
      <c r="I1672" s="215" t="s">
        <v>816</v>
      </c>
      <c r="J1672" s="215" t="s">
        <v>77</v>
      </c>
      <c r="K1672" s="266">
        <v>810116842339</v>
      </c>
      <c r="L1672" s="265" t="s">
        <v>649</v>
      </c>
      <c r="M1672" s="266">
        <v>10810116842336</v>
      </c>
      <c r="N1672" s="264">
        <v>0.34399999999999997</v>
      </c>
      <c r="O1672" s="265" t="s">
        <v>649</v>
      </c>
      <c r="P1672" s="265">
        <v>9</v>
      </c>
      <c r="Q1672" s="265">
        <v>0.28999999999999998</v>
      </c>
    </row>
    <row r="1673" spans="1:17" ht="15" customHeight="1">
      <c r="A1673" s="147">
        <v>1747</v>
      </c>
      <c r="B1673" s="51" t="s">
        <v>34</v>
      </c>
      <c r="C1673" s="51" t="s">
        <v>1452</v>
      </c>
      <c r="D1673" s="51">
        <v>300002229</v>
      </c>
      <c r="E1673" s="53" t="s">
        <v>1453</v>
      </c>
      <c r="F1673" s="124">
        <v>6</v>
      </c>
      <c r="G1673" s="124">
        <v>162</v>
      </c>
      <c r="H1673" s="486" t="s">
        <v>5866</v>
      </c>
      <c r="I1673" s="215" t="s">
        <v>346</v>
      </c>
      <c r="J1673" s="215" t="s">
        <v>77</v>
      </c>
      <c r="K1673" s="266">
        <v>49081071042</v>
      </c>
      <c r="L1673" s="265" t="s">
        <v>649</v>
      </c>
      <c r="M1673" s="266">
        <v>50049081071047</v>
      </c>
      <c r="N1673" s="264">
        <v>8.6669999999999998</v>
      </c>
      <c r="O1673" s="265" t="s">
        <v>649</v>
      </c>
      <c r="P1673" s="265">
        <v>52</v>
      </c>
      <c r="Q1673" s="265">
        <v>1.21</v>
      </c>
    </row>
    <row r="1674" spans="1:17" ht="15" customHeight="1">
      <c r="A1674" s="147">
        <v>1748</v>
      </c>
      <c r="B1674" s="51" t="s">
        <v>34</v>
      </c>
      <c r="C1674" s="51" t="s">
        <v>1455</v>
      </c>
      <c r="D1674" s="51">
        <v>300002314</v>
      </c>
      <c r="E1674" s="53" t="s">
        <v>1456</v>
      </c>
      <c r="F1674" s="124">
        <v>12</v>
      </c>
      <c r="G1674" s="124">
        <v>576</v>
      </c>
      <c r="H1674" s="486" t="s">
        <v>5866</v>
      </c>
      <c r="I1674" s="215" t="s">
        <v>816</v>
      </c>
      <c r="J1674" s="215" t="s">
        <v>77</v>
      </c>
      <c r="K1674" s="266">
        <v>49081071059</v>
      </c>
      <c r="L1674" s="265" t="s">
        <v>649</v>
      </c>
      <c r="M1674" s="266">
        <v>50049081071054</v>
      </c>
      <c r="N1674" s="264">
        <v>2.25</v>
      </c>
      <c r="O1674" s="265" t="s">
        <v>649</v>
      </c>
      <c r="P1674" s="265">
        <v>27</v>
      </c>
      <c r="Q1674" s="265">
        <v>0.78</v>
      </c>
    </row>
    <row r="1675" spans="1:17" ht="15" customHeight="1">
      <c r="A1675" s="147">
        <v>1749</v>
      </c>
      <c r="B1675" s="51" t="s">
        <v>34</v>
      </c>
      <c r="C1675" s="51" t="s">
        <v>1457</v>
      </c>
      <c r="D1675" s="51">
        <v>300002275</v>
      </c>
      <c r="E1675" s="53" t="s">
        <v>1458</v>
      </c>
      <c r="F1675" s="124">
        <v>12</v>
      </c>
      <c r="G1675" s="124">
        <v>1008</v>
      </c>
      <c r="H1675" s="486" t="s">
        <v>5866</v>
      </c>
      <c r="I1675" s="215" t="s">
        <v>816</v>
      </c>
      <c r="J1675" s="215" t="s">
        <v>77</v>
      </c>
      <c r="K1675" s="266">
        <v>49081071066</v>
      </c>
      <c r="L1675" s="265" t="s">
        <v>649</v>
      </c>
      <c r="M1675" s="266">
        <v>50049081071061</v>
      </c>
      <c r="N1675" s="264">
        <v>1.167</v>
      </c>
      <c r="O1675" s="265" t="s">
        <v>649</v>
      </c>
      <c r="P1675" s="265">
        <v>14</v>
      </c>
      <c r="Q1675" s="265">
        <v>0.42</v>
      </c>
    </row>
    <row r="1676" spans="1:17" ht="15" customHeight="1">
      <c r="A1676" s="147">
        <v>1750</v>
      </c>
      <c r="B1676" s="51" t="s">
        <v>34</v>
      </c>
      <c r="C1676" s="51" t="s">
        <v>1459</v>
      </c>
      <c r="D1676" s="51">
        <v>300002251</v>
      </c>
      <c r="E1676" s="53" t="s">
        <v>1460</v>
      </c>
      <c r="F1676" s="124">
        <v>24</v>
      </c>
      <c r="G1676" s="124">
        <v>1920</v>
      </c>
      <c r="H1676" s="486" t="s">
        <v>5866</v>
      </c>
      <c r="I1676" s="215" t="s">
        <v>816</v>
      </c>
      <c r="J1676" s="215" t="s">
        <v>77</v>
      </c>
      <c r="K1676" s="266">
        <v>49081071073</v>
      </c>
      <c r="L1676" s="265" t="s">
        <v>649</v>
      </c>
      <c r="M1676" s="266">
        <v>50049081071078</v>
      </c>
      <c r="N1676" s="264">
        <v>0.625</v>
      </c>
      <c r="O1676" s="265" t="s">
        <v>649</v>
      </c>
      <c r="P1676" s="265">
        <v>15</v>
      </c>
      <c r="Q1676" s="265">
        <v>0.41</v>
      </c>
    </row>
    <row r="1677" spans="1:17" ht="15" customHeight="1">
      <c r="A1677" s="147">
        <v>1751</v>
      </c>
      <c r="B1677" s="51" t="s">
        <v>34</v>
      </c>
      <c r="C1677" s="51" t="s">
        <v>1461</v>
      </c>
      <c r="D1677" s="51">
        <v>300002297</v>
      </c>
      <c r="E1677" s="53" t="s">
        <v>1462</v>
      </c>
      <c r="F1677" s="124">
        <v>24</v>
      </c>
      <c r="G1677" s="124">
        <v>2808</v>
      </c>
      <c r="H1677" s="486" t="s">
        <v>5866</v>
      </c>
      <c r="I1677" s="215" t="s">
        <v>816</v>
      </c>
      <c r="J1677" s="215" t="s">
        <v>77</v>
      </c>
      <c r="K1677" s="266">
        <v>49081071080</v>
      </c>
      <c r="L1677" s="265" t="s">
        <v>649</v>
      </c>
      <c r="M1677" s="266">
        <v>50049081071085</v>
      </c>
      <c r="N1677" s="264">
        <v>0.33300000000000002</v>
      </c>
      <c r="O1677" s="265" t="s">
        <v>649</v>
      </c>
      <c r="P1677" s="265">
        <v>8</v>
      </c>
      <c r="Q1677" s="265">
        <v>0.28999999999999998</v>
      </c>
    </row>
    <row r="1678" spans="1:17" ht="15" customHeight="1">
      <c r="A1678" s="147">
        <v>1752</v>
      </c>
      <c r="B1678" s="51" t="s">
        <v>34</v>
      </c>
      <c r="C1678" s="51" t="s">
        <v>1463</v>
      </c>
      <c r="D1678" s="51">
        <v>300002230</v>
      </c>
      <c r="E1678" s="53" t="s">
        <v>1464</v>
      </c>
      <c r="F1678" s="124">
        <v>6</v>
      </c>
      <c r="G1678" s="124">
        <v>162</v>
      </c>
      <c r="H1678" s="486" t="s">
        <v>5866</v>
      </c>
      <c r="I1678" s="215" t="s">
        <v>816</v>
      </c>
      <c r="J1678" s="215" t="s">
        <v>77</v>
      </c>
      <c r="K1678" s="266">
        <v>49081071097</v>
      </c>
      <c r="L1678" s="265" t="s">
        <v>649</v>
      </c>
      <c r="M1678" s="266">
        <v>50049081071092</v>
      </c>
      <c r="N1678" s="264">
        <v>8.6669999999999998</v>
      </c>
      <c r="O1678" s="265" t="s">
        <v>649</v>
      </c>
      <c r="P1678" s="265">
        <v>52</v>
      </c>
      <c r="Q1678" s="265">
        <v>1.21</v>
      </c>
    </row>
    <row r="1679" spans="1:17" ht="15" customHeight="1">
      <c r="A1679" s="147">
        <v>1753</v>
      </c>
      <c r="B1679" s="51" t="s">
        <v>34</v>
      </c>
      <c r="C1679" s="51" t="s">
        <v>1465</v>
      </c>
      <c r="D1679" s="51">
        <v>300002315</v>
      </c>
      <c r="E1679" s="53" t="s">
        <v>1466</v>
      </c>
      <c r="F1679" s="124">
        <v>12</v>
      </c>
      <c r="G1679" s="124">
        <v>576</v>
      </c>
      <c r="H1679" s="486" t="s">
        <v>5866</v>
      </c>
      <c r="I1679" s="215" t="s">
        <v>346</v>
      </c>
      <c r="J1679" s="215" t="s">
        <v>77</v>
      </c>
      <c r="K1679" s="266">
        <v>49081071103</v>
      </c>
      <c r="L1679" s="265" t="s">
        <v>649</v>
      </c>
      <c r="M1679" s="266">
        <v>50049081071108</v>
      </c>
      <c r="N1679" s="264">
        <v>2.25</v>
      </c>
      <c r="O1679" s="265" t="s">
        <v>649</v>
      </c>
      <c r="P1679" s="265">
        <v>27</v>
      </c>
      <c r="Q1679" s="265">
        <v>0.78</v>
      </c>
    </row>
    <row r="1680" spans="1:17" ht="15" customHeight="1">
      <c r="A1680" s="147">
        <v>1754</v>
      </c>
      <c r="B1680" s="51" t="s">
        <v>34</v>
      </c>
      <c r="C1680" s="51" t="s">
        <v>1467</v>
      </c>
      <c r="D1680" s="51">
        <v>300002276</v>
      </c>
      <c r="E1680" s="53" t="s">
        <v>1468</v>
      </c>
      <c r="F1680" s="124">
        <v>12</v>
      </c>
      <c r="G1680" s="124">
        <v>1008</v>
      </c>
      <c r="H1680" s="486" t="s">
        <v>5866</v>
      </c>
      <c r="I1680" s="215" t="s">
        <v>346</v>
      </c>
      <c r="J1680" s="215" t="s">
        <v>77</v>
      </c>
      <c r="K1680" s="266">
        <v>49081071110</v>
      </c>
      <c r="L1680" s="265" t="s">
        <v>649</v>
      </c>
      <c r="M1680" s="266">
        <v>50049081071115</v>
      </c>
      <c r="N1680" s="264">
        <v>1.167</v>
      </c>
      <c r="O1680" s="265" t="s">
        <v>649</v>
      </c>
      <c r="P1680" s="265">
        <v>14</v>
      </c>
      <c r="Q1680" s="265">
        <v>0.42</v>
      </c>
    </row>
    <row r="1681" spans="1:17" ht="15" customHeight="1">
      <c r="A1681" s="147">
        <v>1755</v>
      </c>
      <c r="B1681" s="51" t="s">
        <v>34</v>
      </c>
      <c r="C1681" s="51" t="s">
        <v>1469</v>
      </c>
      <c r="D1681" s="51">
        <v>300002252</v>
      </c>
      <c r="E1681" s="53" t="s">
        <v>1470</v>
      </c>
      <c r="F1681" s="124">
        <v>24</v>
      </c>
      <c r="G1681" s="124">
        <v>1920</v>
      </c>
      <c r="H1681" s="486" t="s">
        <v>5866</v>
      </c>
      <c r="I1681" s="215" t="s">
        <v>816</v>
      </c>
      <c r="J1681" s="215" t="s">
        <v>77</v>
      </c>
      <c r="K1681" s="266">
        <v>49081071127</v>
      </c>
      <c r="L1681" s="265" t="s">
        <v>649</v>
      </c>
      <c r="M1681" s="266">
        <v>50049081071122</v>
      </c>
      <c r="N1681" s="264">
        <v>0.625</v>
      </c>
      <c r="O1681" s="265" t="s">
        <v>649</v>
      </c>
      <c r="P1681" s="265">
        <v>15</v>
      </c>
      <c r="Q1681" s="265">
        <v>0.41</v>
      </c>
    </row>
    <row r="1682" spans="1:17" ht="15" customHeight="1">
      <c r="A1682" s="147">
        <v>1756</v>
      </c>
      <c r="B1682" s="51" t="s">
        <v>34</v>
      </c>
      <c r="C1682" s="51" t="s">
        <v>1471</v>
      </c>
      <c r="D1682" s="51">
        <v>300002298</v>
      </c>
      <c r="E1682" s="53" t="s">
        <v>1472</v>
      </c>
      <c r="F1682" s="124">
        <v>24</v>
      </c>
      <c r="G1682" s="124">
        <v>2808</v>
      </c>
      <c r="H1682" s="486" t="s">
        <v>5866</v>
      </c>
      <c r="I1682" s="215" t="s">
        <v>346</v>
      </c>
      <c r="J1682" s="215" t="s">
        <v>77</v>
      </c>
      <c r="K1682" s="266">
        <v>49081071134</v>
      </c>
      <c r="L1682" s="265" t="s">
        <v>649</v>
      </c>
      <c r="M1682" s="266">
        <v>50049081071139</v>
      </c>
      <c r="N1682" s="264">
        <v>0.33300000000000002</v>
      </c>
      <c r="O1682" s="265" t="s">
        <v>649</v>
      </c>
      <c r="P1682" s="265">
        <v>8</v>
      </c>
      <c r="Q1682" s="265">
        <v>0.28999999999999998</v>
      </c>
    </row>
    <row r="1683" spans="1:17" ht="15" customHeight="1">
      <c r="A1683" s="147">
        <v>1758</v>
      </c>
      <c r="B1683" s="51" t="s">
        <v>34</v>
      </c>
      <c r="C1683" s="51" t="s">
        <v>1476</v>
      </c>
      <c r="D1683" s="51">
        <v>300002316</v>
      </c>
      <c r="E1683" s="53" t="s">
        <v>1477</v>
      </c>
      <c r="F1683" s="124">
        <v>12</v>
      </c>
      <c r="G1683" s="124">
        <v>576</v>
      </c>
      <c r="H1683" s="486" t="s">
        <v>5866</v>
      </c>
      <c r="I1683" s="215" t="s">
        <v>346</v>
      </c>
      <c r="J1683" s="215" t="s">
        <v>77</v>
      </c>
      <c r="K1683" s="266">
        <v>49081071158</v>
      </c>
      <c r="L1683" s="265" t="s">
        <v>649</v>
      </c>
      <c r="M1683" s="265" t="s">
        <v>649</v>
      </c>
      <c r="N1683" s="264">
        <v>2.25</v>
      </c>
      <c r="O1683" s="265" t="s">
        <v>649</v>
      </c>
      <c r="P1683" s="265">
        <v>28</v>
      </c>
      <c r="Q1683" s="265">
        <v>0.78</v>
      </c>
    </row>
    <row r="1684" spans="1:17" ht="15" customHeight="1">
      <c r="A1684" s="147">
        <v>1761</v>
      </c>
      <c r="B1684" s="51" t="s">
        <v>34</v>
      </c>
      <c r="C1684" s="51" t="s">
        <v>1478</v>
      </c>
      <c r="D1684" s="51">
        <v>300002232</v>
      </c>
      <c r="E1684" s="53" t="s">
        <v>1479</v>
      </c>
      <c r="F1684" s="124">
        <v>6</v>
      </c>
      <c r="G1684" s="124">
        <v>162</v>
      </c>
      <c r="H1684" s="486" t="s">
        <v>5866</v>
      </c>
      <c r="I1684" s="215" t="s">
        <v>346</v>
      </c>
      <c r="J1684" s="215" t="s">
        <v>77</v>
      </c>
      <c r="K1684" s="266">
        <v>49091071196</v>
      </c>
      <c r="L1684" s="265" t="s">
        <v>649</v>
      </c>
      <c r="M1684" s="266">
        <v>50049081071191</v>
      </c>
      <c r="N1684" s="264">
        <v>8.8330000000000002</v>
      </c>
      <c r="O1684" s="265" t="s">
        <v>649</v>
      </c>
      <c r="P1684" s="265">
        <v>9</v>
      </c>
      <c r="Q1684" s="265">
        <v>0.28999999999999998</v>
      </c>
    </row>
    <row r="1685" spans="1:17" ht="15" customHeight="1">
      <c r="A1685" s="147">
        <v>1762</v>
      </c>
      <c r="B1685" s="51" t="s">
        <v>34</v>
      </c>
      <c r="C1685" s="51" t="s">
        <v>1480</v>
      </c>
      <c r="D1685" s="51">
        <v>300002317</v>
      </c>
      <c r="E1685" s="53" t="s">
        <v>1481</v>
      </c>
      <c r="F1685" s="124">
        <v>12</v>
      </c>
      <c r="G1685" s="124">
        <v>576</v>
      </c>
      <c r="H1685" s="486" t="s">
        <v>5866</v>
      </c>
      <c r="I1685" s="215" t="s">
        <v>346</v>
      </c>
      <c r="J1685" s="215" t="s">
        <v>77</v>
      </c>
      <c r="K1685" s="266">
        <v>49081071202</v>
      </c>
      <c r="L1685" s="265" t="s">
        <v>649</v>
      </c>
      <c r="M1685" s="266">
        <v>50049081071207</v>
      </c>
      <c r="N1685" s="264">
        <v>2.3969999999999998</v>
      </c>
      <c r="O1685" s="265" t="s">
        <v>649</v>
      </c>
      <c r="P1685" s="265">
        <v>28</v>
      </c>
      <c r="Q1685" s="265">
        <v>0.78</v>
      </c>
    </row>
    <row r="1686" spans="1:17" ht="15" customHeight="1">
      <c r="A1686" s="147">
        <v>1763</v>
      </c>
      <c r="B1686" s="51" t="s">
        <v>34</v>
      </c>
      <c r="C1686" s="51" t="s">
        <v>1482</v>
      </c>
      <c r="D1686" s="51">
        <v>300002278</v>
      </c>
      <c r="E1686" s="53" t="s">
        <v>1483</v>
      </c>
      <c r="F1686" s="124">
        <v>12</v>
      </c>
      <c r="G1686" s="124">
        <v>1008</v>
      </c>
      <c r="H1686" s="486" t="s">
        <v>5866</v>
      </c>
      <c r="I1686" s="215" t="s">
        <v>346</v>
      </c>
      <c r="J1686" s="215" t="s">
        <v>77</v>
      </c>
      <c r="K1686" s="266">
        <v>49081071219</v>
      </c>
      <c r="L1686" s="265" t="s">
        <v>649</v>
      </c>
      <c r="M1686" s="266">
        <v>50049081071214</v>
      </c>
      <c r="N1686" s="264">
        <v>1.2330000000000001</v>
      </c>
      <c r="O1686" s="265" t="s">
        <v>649</v>
      </c>
      <c r="P1686" s="265">
        <v>14</v>
      </c>
      <c r="Q1686" s="265">
        <v>0.42</v>
      </c>
    </row>
    <row r="1687" spans="1:17" ht="15" customHeight="1">
      <c r="A1687" s="147">
        <v>1764</v>
      </c>
      <c r="B1687" s="51" t="s">
        <v>34</v>
      </c>
      <c r="C1687" s="51" t="s">
        <v>1484</v>
      </c>
      <c r="D1687" s="51">
        <v>300002254</v>
      </c>
      <c r="E1687" s="53" t="s">
        <v>1485</v>
      </c>
      <c r="F1687" s="124">
        <v>24</v>
      </c>
      <c r="G1687" s="124">
        <v>1920</v>
      </c>
      <c r="H1687" s="486" t="s">
        <v>5866</v>
      </c>
      <c r="I1687" s="215" t="s">
        <v>346</v>
      </c>
      <c r="J1687" s="215" t="s">
        <v>77</v>
      </c>
      <c r="K1687" s="266">
        <v>49081071226</v>
      </c>
      <c r="L1687" s="265" t="s">
        <v>649</v>
      </c>
      <c r="M1687" s="266">
        <v>50049081071221</v>
      </c>
      <c r="N1687" s="264">
        <v>0.65700000000000003</v>
      </c>
      <c r="O1687" s="265" t="s">
        <v>649</v>
      </c>
      <c r="P1687" s="265">
        <v>15</v>
      </c>
      <c r="Q1687" s="265">
        <v>0.41</v>
      </c>
    </row>
    <row r="1688" spans="1:17" ht="15" customHeight="1">
      <c r="A1688" s="147">
        <v>1765</v>
      </c>
      <c r="B1688" s="51" t="s">
        <v>34</v>
      </c>
      <c r="C1688" s="51" t="s">
        <v>1486</v>
      </c>
      <c r="D1688" s="51">
        <v>300002371</v>
      </c>
      <c r="E1688" s="53" t="s">
        <v>1487</v>
      </c>
      <c r="F1688" s="124">
        <v>24</v>
      </c>
      <c r="G1688" s="124">
        <v>2808</v>
      </c>
      <c r="H1688" s="486" t="s">
        <v>5866</v>
      </c>
      <c r="I1688" s="215" t="s">
        <v>816</v>
      </c>
      <c r="J1688" s="215" t="s">
        <v>77</v>
      </c>
      <c r="K1688" s="266">
        <v>810116842346</v>
      </c>
      <c r="L1688" s="265" t="s">
        <v>649</v>
      </c>
      <c r="M1688" s="266">
        <v>10810116842343</v>
      </c>
      <c r="N1688" s="264">
        <v>0.35399999999999998</v>
      </c>
      <c r="O1688" s="265" t="s">
        <v>649</v>
      </c>
      <c r="P1688" s="265">
        <v>9</v>
      </c>
      <c r="Q1688" s="265">
        <v>0.28999999999999998</v>
      </c>
    </row>
    <row r="1689" spans="1:17" ht="15" customHeight="1">
      <c r="A1689" s="147">
        <v>1766</v>
      </c>
      <c r="B1689" s="51" t="s">
        <v>34</v>
      </c>
      <c r="C1689" s="51" t="s">
        <v>1488</v>
      </c>
      <c r="D1689" s="51">
        <v>300002233</v>
      </c>
      <c r="E1689" s="53" t="s">
        <v>1489</v>
      </c>
      <c r="F1689" s="124">
        <v>6</v>
      </c>
      <c r="G1689" s="124">
        <v>162</v>
      </c>
      <c r="H1689" s="486" t="s">
        <v>5866</v>
      </c>
      <c r="I1689" s="215" t="s">
        <v>346</v>
      </c>
      <c r="J1689" s="215" t="s">
        <v>77</v>
      </c>
      <c r="K1689" s="266">
        <v>49081071233</v>
      </c>
      <c r="L1689" s="265" t="s">
        <v>649</v>
      </c>
      <c r="M1689" s="266">
        <v>50049081071238</v>
      </c>
      <c r="N1689" s="264">
        <v>9.1669999999999998</v>
      </c>
      <c r="O1689" s="265" t="s">
        <v>649</v>
      </c>
      <c r="P1689" s="265">
        <v>53</v>
      </c>
      <c r="Q1689" s="265">
        <v>1.21</v>
      </c>
    </row>
    <row r="1690" spans="1:17" ht="15" customHeight="1">
      <c r="A1690" s="147">
        <v>1767</v>
      </c>
      <c r="B1690" s="51" t="s">
        <v>34</v>
      </c>
      <c r="C1690" s="51" t="s">
        <v>1492</v>
      </c>
      <c r="D1690" s="51">
        <v>300002318</v>
      </c>
      <c r="E1690" s="53" t="s">
        <v>1493</v>
      </c>
      <c r="F1690" s="124">
        <v>12</v>
      </c>
      <c r="G1690" s="124">
        <v>576</v>
      </c>
      <c r="H1690" s="486" t="s">
        <v>5866</v>
      </c>
      <c r="I1690" s="215" t="s">
        <v>346</v>
      </c>
      <c r="J1690" s="215" t="s">
        <v>77</v>
      </c>
      <c r="K1690" s="266">
        <v>49081071240</v>
      </c>
      <c r="L1690" s="265" t="s">
        <v>649</v>
      </c>
      <c r="M1690" s="266">
        <v>50049081071245</v>
      </c>
      <c r="N1690" s="264">
        <v>2.5</v>
      </c>
      <c r="O1690" s="265" t="s">
        <v>649</v>
      </c>
      <c r="P1690" s="265">
        <v>27</v>
      </c>
      <c r="Q1690" s="265">
        <v>0.78</v>
      </c>
    </row>
    <row r="1691" spans="1:17" ht="15" customHeight="1">
      <c r="A1691" s="147">
        <v>1768</v>
      </c>
      <c r="B1691" s="51" t="s">
        <v>34</v>
      </c>
      <c r="C1691" s="51" t="s">
        <v>1494</v>
      </c>
      <c r="D1691" s="51">
        <v>300002279</v>
      </c>
      <c r="E1691" s="53" t="s">
        <v>1495</v>
      </c>
      <c r="F1691" s="124">
        <v>12</v>
      </c>
      <c r="G1691" s="124">
        <v>1008</v>
      </c>
      <c r="H1691" s="486" t="s">
        <v>5866</v>
      </c>
      <c r="I1691" s="215" t="s">
        <v>346</v>
      </c>
      <c r="J1691" s="215" t="s">
        <v>77</v>
      </c>
      <c r="K1691" s="266">
        <v>49081071257</v>
      </c>
      <c r="L1691" s="265" t="s">
        <v>649</v>
      </c>
      <c r="M1691" s="266">
        <v>50049081071252</v>
      </c>
      <c r="N1691" s="264">
        <v>1.25</v>
      </c>
      <c r="O1691" s="265" t="s">
        <v>649</v>
      </c>
      <c r="P1691" s="265">
        <v>14</v>
      </c>
      <c r="Q1691" s="265">
        <v>0.42</v>
      </c>
    </row>
    <row r="1692" spans="1:17" ht="15" customHeight="1">
      <c r="A1692" s="147">
        <v>1769</v>
      </c>
      <c r="B1692" s="51" t="s">
        <v>34</v>
      </c>
      <c r="C1692" s="51" t="s">
        <v>1496</v>
      </c>
      <c r="D1692" s="51">
        <v>300002255</v>
      </c>
      <c r="E1692" s="53" t="s">
        <v>1497</v>
      </c>
      <c r="F1692" s="124">
        <v>24</v>
      </c>
      <c r="G1692" s="124">
        <v>1920</v>
      </c>
      <c r="H1692" s="486" t="s">
        <v>5866</v>
      </c>
      <c r="I1692" s="215" t="s">
        <v>346</v>
      </c>
      <c r="J1692" s="215" t="s">
        <v>77</v>
      </c>
      <c r="K1692" s="266">
        <v>49081071264</v>
      </c>
      <c r="L1692" s="265" t="s">
        <v>649</v>
      </c>
      <c r="M1692" s="266">
        <v>50049081071269</v>
      </c>
      <c r="N1692" s="264">
        <v>0.625</v>
      </c>
      <c r="O1692" s="265" t="s">
        <v>649</v>
      </c>
      <c r="P1692" s="265">
        <v>15</v>
      </c>
      <c r="Q1692" s="265">
        <v>0.41</v>
      </c>
    </row>
    <row r="1693" spans="1:17" ht="15" customHeight="1">
      <c r="A1693" s="147">
        <v>1770</v>
      </c>
      <c r="B1693" s="51" t="s">
        <v>34</v>
      </c>
      <c r="C1693" s="51" t="s">
        <v>1498</v>
      </c>
      <c r="D1693" s="51">
        <v>300002300</v>
      </c>
      <c r="E1693" s="53" t="s">
        <v>1499</v>
      </c>
      <c r="F1693" s="124">
        <v>24</v>
      </c>
      <c r="G1693" s="124">
        <v>2808</v>
      </c>
      <c r="H1693" s="486" t="s">
        <v>5866</v>
      </c>
      <c r="I1693" s="215" t="s">
        <v>346</v>
      </c>
      <c r="J1693" s="215" t="s">
        <v>77</v>
      </c>
      <c r="K1693" s="266">
        <v>49081071271</v>
      </c>
      <c r="L1693" s="265" t="s">
        <v>649</v>
      </c>
      <c r="M1693" s="266">
        <v>50049081071276</v>
      </c>
      <c r="N1693" s="264">
        <v>0.375</v>
      </c>
      <c r="O1693" s="265" t="s">
        <v>649</v>
      </c>
      <c r="P1693" s="265">
        <v>8</v>
      </c>
      <c r="Q1693" s="265">
        <v>0.28999999999999998</v>
      </c>
    </row>
    <row r="1694" spans="1:17" ht="15" customHeight="1">
      <c r="A1694" s="147">
        <v>1771</v>
      </c>
      <c r="B1694" s="51" t="s">
        <v>34</v>
      </c>
      <c r="C1694" s="51" t="s">
        <v>1500</v>
      </c>
      <c r="D1694" s="51">
        <v>300002234</v>
      </c>
      <c r="E1694" s="53" t="s">
        <v>1501</v>
      </c>
      <c r="F1694" s="124">
        <v>6</v>
      </c>
      <c r="G1694" s="124">
        <v>162</v>
      </c>
      <c r="H1694" s="486" t="s">
        <v>5866</v>
      </c>
      <c r="I1694" s="215" t="s">
        <v>816</v>
      </c>
      <c r="J1694" s="215" t="s">
        <v>77</v>
      </c>
      <c r="K1694" s="266">
        <v>49081071288</v>
      </c>
      <c r="L1694" s="265" t="s">
        <v>649</v>
      </c>
      <c r="M1694" s="266">
        <v>50049081071283</v>
      </c>
      <c r="N1694" s="264">
        <v>9.1669999999999998</v>
      </c>
      <c r="O1694" s="265" t="s">
        <v>649</v>
      </c>
      <c r="P1694" s="265">
        <v>53</v>
      </c>
      <c r="Q1694" s="265">
        <v>1.21</v>
      </c>
    </row>
    <row r="1695" spans="1:17" ht="15" customHeight="1">
      <c r="A1695" s="147">
        <v>1772</v>
      </c>
      <c r="B1695" s="51" t="s">
        <v>34</v>
      </c>
      <c r="C1695" s="51" t="s">
        <v>1504</v>
      </c>
      <c r="D1695" s="51">
        <v>300002319</v>
      </c>
      <c r="E1695" s="53" t="s">
        <v>1505</v>
      </c>
      <c r="F1695" s="124">
        <v>12</v>
      </c>
      <c r="G1695" s="124">
        <v>576</v>
      </c>
      <c r="H1695" s="486" t="s">
        <v>5866</v>
      </c>
      <c r="I1695" s="215" t="s">
        <v>346</v>
      </c>
      <c r="J1695" s="215" t="s">
        <v>77</v>
      </c>
      <c r="K1695" s="266">
        <v>49081071295</v>
      </c>
      <c r="L1695" s="265" t="s">
        <v>649</v>
      </c>
      <c r="M1695" s="266">
        <v>50049081071290</v>
      </c>
      <c r="N1695" s="264">
        <v>2.331</v>
      </c>
      <c r="O1695" s="265" t="s">
        <v>649</v>
      </c>
      <c r="P1695" s="265">
        <v>27</v>
      </c>
      <c r="Q1695" s="265">
        <v>0.78</v>
      </c>
    </row>
    <row r="1696" spans="1:17" ht="15" customHeight="1">
      <c r="A1696" s="147">
        <v>1773</v>
      </c>
      <c r="B1696" s="51" t="s">
        <v>34</v>
      </c>
      <c r="C1696" s="51" t="s">
        <v>1506</v>
      </c>
      <c r="D1696" s="51">
        <v>300002280</v>
      </c>
      <c r="E1696" s="53" t="s">
        <v>1507</v>
      </c>
      <c r="F1696" s="124">
        <v>12</v>
      </c>
      <c r="G1696" s="124">
        <v>1008</v>
      </c>
      <c r="H1696" s="486" t="s">
        <v>5866</v>
      </c>
      <c r="I1696" s="215" t="s">
        <v>346</v>
      </c>
      <c r="J1696" s="215" t="s">
        <v>77</v>
      </c>
      <c r="K1696" s="266">
        <v>49081071301</v>
      </c>
      <c r="L1696" s="265" t="s">
        <v>649</v>
      </c>
      <c r="M1696" s="266">
        <v>50049081071306</v>
      </c>
      <c r="N1696" s="264">
        <v>1.1919999999999999</v>
      </c>
      <c r="O1696" s="265" t="s">
        <v>649</v>
      </c>
      <c r="P1696" s="265">
        <v>14</v>
      </c>
      <c r="Q1696" s="265">
        <v>0.42</v>
      </c>
    </row>
    <row r="1697" spans="1:17" ht="15" customHeight="1">
      <c r="A1697" s="147">
        <v>1774</v>
      </c>
      <c r="B1697" s="51" t="s">
        <v>34</v>
      </c>
      <c r="C1697" s="51" t="s">
        <v>1508</v>
      </c>
      <c r="D1697" s="51">
        <v>300002256</v>
      </c>
      <c r="E1697" s="53" t="s">
        <v>1509</v>
      </c>
      <c r="F1697" s="124">
        <v>24</v>
      </c>
      <c r="G1697" s="124">
        <v>1920</v>
      </c>
      <c r="H1697" s="486" t="s">
        <v>5866</v>
      </c>
      <c r="I1697" s="215" t="s">
        <v>346</v>
      </c>
      <c r="J1697" s="215" t="s">
        <v>77</v>
      </c>
      <c r="K1697" s="266">
        <v>49081071318</v>
      </c>
      <c r="L1697" s="265" t="s">
        <v>649</v>
      </c>
      <c r="M1697" s="266">
        <v>50049081071313</v>
      </c>
      <c r="N1697" s="264">
        <v>0.63600000000000001</v>
      </c>
      <c r="O1697" s="265" t="s">
        <v>649</v>
      </c>
      <c r="P1697" s="265">
        <v>15</v>
      </c>
      <c r="Q1697" s="265">
        <v>0.41</v>
      </c>
    </row>
    <row r="1698" spans="1:17" ht="15" customHeight="1">
      <c r="A1698" s="147">
        <v>1775</v>
      </c>
      <c r="B1698" s="51" t="s">
        <v>34</v>
      </c>
      <c r="C1698" s="51" t="s">
        <v>1510</v>
      </c>
      <c r="D1698" s="51">
        <v>300002301</v>
      </c>
      <c r="E1698" s="53" t="s">
        <v>1511</v>
      </c>
      <c r="F1698" s="124">
        <v>24</v>
      </c>
      <c r="G1698" s="124">
        <v>2808</v>
      </c>
      <c r="H1698" s="486" t="s">
        <v>5866</v>
      </c>
      <c r="I1698" s="215" t="s">
        <v>346</v>
      </c>
      <c r="J1698" s="215" t="s">
        <v>77</v>
      </c>
      <c r="K1698" s="266">
        <v>49081071325</v>
      </c>
      <c r="L1698" s="265" t="s">
        <v>649</v>
      </c>
      <c r="M1698" s="266">
        <v>50049081071320</v>
      </c>
      <c r="N1698" s="264">
        <v>0.35899999999999999</v>
      </c>
      <c r="O1698" s="265" t="s">
        <v>649</v>
      </c>
      <c r="P1698" s="265">
        <v>8</v>
      </c>
      <c r="Q1698" s="265">
        <v>0.28999999999999998</v>
      </c>
    </row>
    <row r="1699" spans="1:17" ht="15" customHeight="1">
      <c r="A1699" s="147">
        <v>1776</v>
      </c>
      <c r="B1699" s="51" t="s">
        <v>34</v>
      </c>
      <c r="C1699" s="51" t="s">
        <v>1512</v>
      </c>
      <c r="D1699" s="51">
        <v>300002239</v>
      </c>
      <c r="E1699" s="53" t="s">
        <v>1513</v>
      </c>
      <c r="F1699" s="124">
        <v>6</v>
      </c>
      <c r="G1699" s="124">
        <v>162</v>
      </c>
      <c r="H1699" s="486" t="s">
        <v>5866</v>
      </c>
      <c r="I1699" s="215" t="s">
        <v>346</v>
      </c>
      <c r="J1699" s="215" t="s">
        <v>77</v>
      </c>
      <c r="K1699" s="266">
        <v>49081071981</v>
      </c>
      <c r="L1699" s="265" t="s">
        <v>649</v>
      </c>
      <c r="M1699" s="265" t="s">
        <v>649</v>
      </c>
      <c r="N1699" s="264">
        <v>8.5</v>
      </c>
      <c r="O1699" s="265" t="s">
        <v>649</v>
      </c>
      <c r="P1699" s="265">
        <v>51</v>
      </c>
      <c r="Q1699" s="265">
        <v>1.07</v>
      </c>
    </row>
    <row r="1700" spans="1:17" ht="15" customHeight="1">
      <c r="A1700" s="147">
        <v>1777</v>
      </c>
      <c r="B1700" s="51" t="s">
        <v>34</v>
      </c>
      <c r="C1700" s="51" t="s">
        <v>1514</v>
      </c>
      <c r="D1700" s="51">
        <v>300002325</v>
      </c>
      <c r="E1700" s="53" t="s">
        <v>1515</v>
      </c>
      <c r="F1700" s="124">
        <v>12</v>
      </c>
      <c r="G1700" s="124">
        <v>576</v>
      </c>
      <c r="H1700" s="486" t="s">
        <v>5866</v>
      </c>
      <c r="I1700" s="215" t="s">
        <v>346</v>
      </c>
      <c r="J1700" s="215" t="s">
        <v>77</v>
      </c>
      <c r="K1700" s="266">
        <v>49081071998</v>
      </c>
      <c r="L1700" s="265" t="s">
        <v>649</v>
      </c>
      <c r="M1700" s="265" t="s">
        <v>649</v>
      </c>
      <c r="N1700" s="264">
        <v>2.25</v>
      </c>
      <c r="O1700" s="265" t="s">
        <v>649</v>
      </c>
      <c r="P1700" s="265">
        <v>27</v>
      </c>
      <c r="Q1700" s="265">
        <v>0.67</v>
      </c>
    </row>
    <row r="1701" spans="1:17" ht="15" customHeight="1">
      <c r="A1701" s="147">
        <v>1778</v>
      </c>
      <c r="B1701" s="51" t="s">
        <v>34</v>
      </c>
      <c r="C1701" s="51" t="s">
        <v>1516</v>
      </c>
      <c r="D1701" s="51">
        <v>300002286</v>
      </c>
      <c r="E1701" s="53" t="s">
        <v>1517</v>
      </c>
      <c r="F1701" s="124">
        <v>12</v>
      </c>
      <c r="G1701" s="124">
        <v>1008</v>
      </c>
      <c r="H1701" s="486" t="s">
        <v>5866</v>
      </c>
      <c r="I1701" s="215" t="s">
        <v>346</v>
      </c>
      <c r="J1701" s="215" t="s">
        <v>77</v>
      </c>
      <c r="K1701" s="266">
        <v>49081072001</v>
      </c>
      <c r="L1701" s="265" t="s">
        <v>649</v>
      </c>
      <c r="M1701" s="265" t="s">
        <v>649</v>
      </c>
      <c r="N1701" s="264">
        <v>1.167</v>
      </c>
      <c r="O1701" s="265" t="s">
        <v>649</v>
      </c>
      <c r="P1701" s="265">
        <v>14</v>
      </c>
      <c r="Q1701" s="265">
        <v>0.36</v>
      </c>
    </row>
    <row r="1702" spans="1:17" ht="15" customHeight="1">
      <c r="A1702" s="147">
        <v>1779</v>
      </c>
      <c r="B1702" s="51" t="s">
        <v>34</v>
      </c>
      <c r="C1702" s="51" t="s">
        <v>1518</v>
      </c>
      <c r="D1702" s="51">
        <v>300002262</v>
      </c>
      <c r="E1702" s="53" t="s">
        <v>1519</v>
      </c>
      <c r="F1702" s="124">
        <v>24</v>
      </c>
      <c r="G1702" s="124">
        <v>1920</v>
      </c>
      <c r="H1702" s="486" t="s">
        <v>5866</v>
      </c>
      <c r="I1702" s="215" t="s">
        <v>346</v>
      </c>
      <c r="J1702" s="215" t="s">
        <v>77</v>
      </c>
      <c r="K1702" s="266">
        <v>49081072018</v>
      </c>
      <c r="L1702" s="265" t="s">
        <v>649</v>
      </c>
      <c r="M1702" s="266">
        <v>50049081072013</v>
      </c>
      <c r="N1702" s="264">
        <v>0.625</v>
      </c>
      <c r="O1702" s="265" t="s">
        <v>649</v>
      </c>
      <c r="P1702" s="265">
        <v>15</v>
      </c>
      <c r="Q1702" s="265">
        <v>0.37</v>
      </c>
    </row>
    <row r="1703" spans="1:17" ht="15" customHeight="1">
      <c r="A1703" s="147">
        <v>1780</v>
      </c>
      <c r="B1703" s="51" t="s">
        <v>34</v>
      </c>
      <c r="C1703" s="51" t="s">
        <v>1520</v>
      </c>
      <c r="D1703" s="51">
        <v>300002306</v>
      </c>
      <c r="E1703" s="53" t="s">
        <v>1521</v>
      </c>
      <c r="F1703" s="124">
        <v>24</v>
      </c>
      <c r="G1703" s="124">
        <v>2808</v>
      </c>
      <c r="H1703" s="486" t="s">
        <v>5866</v>
      </c>
      <c r="I1703" s="215" t="s">
        <v>346</v>
      </c>
      <c r="J1703" s="215" t="s">
        <v>77</v>
      </c>
      <c r="K1703" s="266">
        <v>49081072025</v>
      </c>
      <c r="L1703" s="265" t="s">
        <v>649</v>
      </c>
      <c r="M1703" s="266">
        <v>50049081072020</v>
      </c>
      <c r="N1703" s="264">
        <v>0.33300000000000002</v>
      </c>
      <c r="O1703" s="265" t="s">
        <v>649</v>
      </c>
      <c r="P1703" s="265">
        <v>8</v>
      </c>
      <c r="Q1703" s="265">
        <v>0.22</v>
      </c>
    </row>
    <row r="1704" spans="1:17" ht="15" customHeight="1">
      <c r="A1704" s="147">
        <v>1781</v>
      </c>
      <c r="B1704" s="51" t="s">
        <v>34</v>
      </c>
      <c r="C1704" s="51" t="s">
        <v>1522</v>
      </c>
      <c r="D1704" s="51">
        <v>300002331</v>
      </c>
      <c r="E1704" s="53" t="s">
        <v>1523</v>
      </c>
      <c r="F1704" s="124">
        <v>12</v>
      </c>
      <c r="G1704" s="124">
        <v>576</v>
      </c>
      <c r="H1704" s="486" t="s">
        <v>5866</v>
      </c>
      <c r="I1704" s="215" t="s">
        <v>346</v>
      </c>
      <c r="J1704" s="215" t="s">
        <v>77</v>
      </c>
      <c r="K1704" s="266">
        <v>49081071783</v>
      </c>
      <c r="L1704" s="265" t="s">
        <v>649</v>
      </c>
      <c r="M1704" s="266">
        <v>50049081071788</v>
      </c>
      <c r="N1704" s="264">
        <v>2.5</v>
      </c>
      <c r="O1704" s="265" t="s">
        <v>649</v>
      </c>
      <c r="P1704" s="265">
        <v>28</v>
      </c>
      <c r="Q1704" s="265">
        <v>0.67</v>
      </c>
    </row>
    <row r="1705" spans="1:17" ht="15" customHeight="1">
      <c r="A1705" s="147">
        <v>1782</v>
      </c>
      <c r="B1705" s="51" t="s">
        <v>34</v>
      </c>
      <c r="C1705" s="51" t="s">
        <v>1525</v>
      </c>
      <c r="D1705" s="51">
        <v>300002292</v>
      </c>
      <c r="E1705" s="53" t="s">
        <v>1526</v>
      </c>
      <c r="F1705" s="124">
        <v>12</v>
      </c>
      <c r="G1705" s="124">
        <v>1008</v>
      </c>
      <c r="H1705" s="486" t="s">
        <v>5866</v>
      </c>
      <c r="I1705" s="215" t="s">
        <v>346</v>
      </c>
      <c r="J1705" s="215" t="s">
        <v>77</v>
      </c>
      <c r="K1705" s="266">
        <v>49081071790</v>
      </c>
      <c r="L1705" s="265" t="s">
        <v>649</v>
      </c>
      <c r="M1705" s="266">
        <v>50049081071795</v>
      </c>
      <c r="N1705" s="264">
        <v>1.202</v>
      </c>
      <c r="O1705" s="265" t="s">
        <v>649</v>
      </c>
      <c r="P1705" s="265">
        <v>14</v>
      </c>
      <c r="Q1705" s="265">
        <v>0.36</v>
      </c>
    </row>
    <row r="1706" spans="1:17" ht="15" customHeight="1">
      <c r="A1706" s="147">
        <v>1783</v>
      </c>
      <c r="B1706" s="51" t="s">
        <v>34</v>
      </c>
      <c r="C1706" s="51" t="s">
        <v>1527</v>
      </c>
      <c r="D1706" s="51">
        <v>300002268</v>
      </c>
      <c r="E1706" s="53" t="s">
        <v>1528</v>
      </c>
      <c r="F1706" s="124">
        <v>24</v>
      </c>
      <c r="G1706" s="124">
        <v>1920</v>
      </c>
      <c r="H1706" s="486" t="s">
        <v>5866</v>
      </c>
      <c r="I1706" s="215" t="s">
        <v>816</v>
      </c>
      <c r="J1706" s="215" t="s">
        <v>77</v>
      </c>
      <c r="K1706" s="266">
        <v>49081071806</v>
      </c>
      <c r="L1706" s="265" t="s">
        <v>649</v>
      </c>
      <c r="M1706" s="265" t="s">
        <v>649</v>
      </c>
      <c r="N1706" s="264">
        <v>0.63700000000000001</v>
      </c>
      <c r="O1706" s="265" t="s">
        <v>649</v>
      </c>
      <c r="P1706" s="265">
        <v>15</v>
      </c>
      <c r="Q1706" s="265">
        <v>0.37</v>
      </c>
    </row>
    <row r="1707" spans="1:17" ht="15" customHeight="1">
      <c r="A1707" s="147">
        <v>1784</v>
      </c>
      <c r="B1707" s="51" t="s">
        <v>34</v>
      </c>
      <c r="C1707" s="51" t="s">
        <v>1529</v>
      </c>
      <c r="D1707" s="51">
        <v>300002309</v>
      </c>
      <c r="E1707" s="53" t="s">
        <v>1530</v>
      </c>
      <c r="F1707" s="124">
        <v>24</v>
      </c>
      <c r="G1707" s="124">
        <v>2808</v>
      </c>
      <c r="H1707" s="486" t="s">
        <v>5866</v>
      </c>
      <c r="I1707" s="215" t="s">
        <v>816</v>
      </c>
      <c r="J1707" s="215" t="s">
        <v>77</v>
      </c>
      <c r="K1707" s="266">
        <v>49081071813</v>
      </c>
      <c r="L1707" s="265" t="s">
        <v>649</v>
      </c>
      <c r="M1707" s="265" t="s">
        <v>649</v>
      </c>
      <c r="N1707" s="264">
        <v>0.375</v>
      </c>
      <c r="O1707" s="265" t="s">
        <v>649</v>
      </c>
      <c r="P1707" s="265">
        <v>8</v>
      </c>
      <c r="Q1707" s="265">
        <v>0.22</v>
      </c>
    </row>
    <row r="1708" spans="1:17" ht="15" customHeight="1">
      <c r="A1708" s="147">
        <v>1785</v>
      </c>
      <c r="B1708" s="51" t="s">
        <v>34</v>
      </c>
      <c r="C1708" s="51" t="s">
        <v>1531</v>
      </c>
      <c r="D1708" s="51">
        <v>300002320</v>
      </c>
      <c r="E1708" s="53" t="s">
        <v>1532</v>
      </c>
      <c r="F1708" s="124">
        <v>12</v>
      </c>
      <c r="G1708" s="124">
        <v>576</v>
      </c>
      <c r="H1708" s="486" t="s">
        <v>5866</v>
      </c>
      <c r="I1708" s="215" t="s">
        <v>816</v>
      </c>
      <c r="J1708" s="215" t="s">
        <v>77</v>
      </c>
      <c r="K1708" s="266">
        <v>49081071349</v>
      </c>
      <c r="L1708" s="265" t="s">
        <v>649</v>
      </c>
      <c r="M1708" s="266">
        <v>50049081071344</v>
      </c>
      <c r="N1708" s="264">
        <v>2.5</v>
      </c>
      <c r="O1708" s="265" t="s">
        <v>649</v>
      </c>
      <c r="P1708" s="265">
        <v>29</v>
      </c>
      <c r="Q1708" s="265">
        <v>0.78</v>
      </c>
    </row>
    <row r="1709" spans="1:17" ht="15" customHeight="1">
      <c r="A1709" s="147">
        <v>1786</v>
      </c>
      <c r="B1709" s="51" t="s">
        <v>34</v>
      </c>
      <c r="C1709" s="51" t="s">
        <v>1535</v>
      </c>
      <c r="D1709" s="51">
        <v>300002281</v>
      </c>
      <c r="E1709" s="53" t="s">
        <v>1536</v>
      </c>
      <c r="F1709" s="124">
        <v>12</v>
      </c>
      <c r="G1709" s="124">
        <v>1008</v>
      </c>
      <c r="H1709" s="486" t="s">
        <v>5866</v>
      </c>
      <c r="I1709" s="215" t="s">
        <v>816</v>
      </c>
      <c r="J1709" s="215" t="s">
        <v>77</v>
      </c>
      <c r="K1709" s="266">
        <v>49081071356</v>
      </c>
      <c r="L1709" s="265" t="s">
        <v>649</v>
      </c>
      <c r="M1709" s="266">
        <v>50049081071351</v>
      </c>
      <c r="N1709" s="264">
        <v>1.272</v>
      </c>
      <c r="O1709" s="265" t="s">
        <v>649</v>
      </c>
      <c r="P1709" s="265">
        <v>15</v>
      </c>
      <c r="Q1709" s="265">
        <v>0.42</v>
      </c>
    </row>
    <row r="1710" spans="1:17" ht="15" customHeight="1">
      <c r="A1710" s="147">
        <v>1787</v>
      </c>
      <c r="B1710" s="51" t="s">
        <v>34</v>
      </c>
      <c r="C1710" s="51" t="s">
        <v>1537</v>
      </c>
      <c r="D1710" s="51">
        <v>300002257</v>
      </c>
      <c r="E1710" s="53" t="s">
        <v>1538</v>
      </c>
      <c r="F1710" s="124">
        <v>24</v>
      </c>
      <c r="G1710" s="124">
        <v>1920</v>
      </c>
      <c r="H1710" s="486" t="s">
        <v>5866</v>
      </c>
      <c r="I1710" s="215" t="s">
        <v>816</v>
      </c>
      <c r="J1710" s="215" t="s">
        <v>77</v>
      </c>
      <c r="K1710" s="266">
        <v>49081071363</v>
      </c>
      <c r="L1710" s="265" t="s">
        <v>649</v>
      </c>
      <c r="M1710" s="266">
        <v>50049081071368</v>
      </c>
      <c r="N1710" s="264">
        <v>0.67</v>
      </c>
      <c r="O1710" s="265" t="s">
        <v>649</v>
      </c>
      <c r="P1710" s="265">
        <v>16</v>
      </c>
      <c r="Q1710" s="265">
        <v>0.41</v>
      </c>
    </row>
    <row r="1711" spans="1:17" ht="15" customHeight="1">
      <c r="A1711" s="147">
        <v>1788</v>
      </c>
      <c r="B1711" s="51" t="s">
        <v>34</v>
      </c>
      <c r="C1711" s="51" t="s">
        <v>1539</v>
      </c>
      <c r="D1711" s="51">
        <v>300002302</v>
      </c>
      <c r="E1711" s="53" t="s">
        <v>1540</v>
      </c>
      <c r="F1711" s="124">
        <v>24</v>
      </c>
      <c r="G1711" s="124">
        <v>2808</v>
      </c>
      <c r="H1711" s="486" t="s">
        <v>5866</v>
      </c>
      <c r="I1711" s="215" t="s">
        <v>816</v>
      </c>
      <c r="J1711" s="215" t="s">
        <v>77</v>
      </c>
      <c r="K1711" s="266">
        <v>49081071370</v>
      </c>
      <c r="L1711" s="265" t="s">
        <v>649</v>
      </c>
      <c r="M1711" s="266">
        <v>50049081071375</v>
      </c>
      <c r="N1711" s="264">
        <v>0.376</v>
      </c>
      <c r="O1711" s="265" t="s">
        <v>649</v>
      </c>
      <c r="P1711" s="265">
        <v>8</v>
      </c>
      <c r="Q1711" s="265">
        <v>0.28999999999999998</v>
      </c>
    </row>
    <row r="1712" spans="1:17" ht="15" customHeight="1">
      <c r="A1712" s="147">
        <v>1789</v>
      </c>
      <c r="B1712" s="51" t="s">
        <v>34</v>
      </c>
      <c r="C1712" s="51" t="s">
        <v>1541</v>
      </c>
      <c r="D1712" s="51">
        <v>300002321</v>
      </c>
      <c r="E1712" s="53" t="s">
        <v>1542</v>
      </c>
      <c r="F1712" s="124">
        <v>12</v>
      </c>
      <c r="G1712" s="124">
        <v>576</v>
      </c>
      <c r="H1712" s="486" t="s">
        <v>5866</v>
      </c>
      <c r="I1712" s="215" t="s">
        <v>816</v>
      </c>
      <c r="J1712" s="215" t="s">
        <v>77</v>
      </c>
      <c r="K1712" s="266">
        <v>49081071387</v>
      </c>
      <c r="L1712" s="265" t="s">
        <v>649</v>
      </c>
      <c r="M1712" s="266">
        <v>50049081071382</v>
      </c>
      <c r="N1712" s="264">
        <v>2.5</v>
      </c>
      <c r="O1712" s="265" t="s">
        <v>649</v>
      </c>
      <c r="P1712" s="265">
        <v>29</v>
      </c>
      <c r="Q1712" s="265">
        <v>0.78</v>
      </c>
    </row>
    <row r="1713" spans="1:17" ht="15" customHeight="1">
      <c r="A1713" s="147">
        <v>1790</v>
      </c>
      <c r="B1713" s="51" t="s">
        <v>34</v>
      </c>
      <c r="C1713" s="51" t="s">
        <v>1545</v>
      </c>
      <c r="D1713" s="51">
        <v>300002282</v>
      </c>
      <c r="E1713" s="53" t="s">
        <v>1546</v>
      </c>
      <c r="F1713" s="124">
        <v>12</v>
      </c>
      <c r="G1713" s="124">
        <v>1008</v>
      </c>
      <c r="H1713" s="486" t="s">
        <v>5866</v>
      </c>
      <c r="I1713" s="215" t="s">
        <v>346</v>
      </c>
      <c r="J1713" s="215" t="s">
        <v>77</v>
      </c>
      <c r="K1713" s="266">
        <v>49081071394</v>
      </c>
      <c r="L1713" s="265" t="s">
        <v>649</v>
      </c>
      <c r="M1713" s="266">
        <v>50049081071399</v>
      </c>
      <c r="N1713" s="264">
        <v>1.25</v>
      </c>
      <c r="O1713" s="265" t="s">
        <v>649</v>
      </c>
      <c r="P1713" s="265">
        <v>14</v>
      </c>
      <c r="Q1713" s="265">
        <v>0.42</v>
      </c>
    </row>
    <row r="1714" spans="1:17" ht="15" customHeight="1">
      <c r="A1714" s="147">
        <v>1791</v>
      </c>
      <c r="B1714" s="51" t="s">
        <v>34</v>
      </c>
      <c r="C1714" s="51" t="s">
        <v>1547</v>
      </c>
      <c r="D1714" s="51">
        <v>300002258</v>
      </c>
      <c r="E1714" s="53" t="s">
        <v>1548</v>
      </c>
      <c r="F1714" s="124">
        <v>24</v>
      </c>
      <c r="G1714" s="124">
        <v>1920</v>
      </c>
      <c r="H1714" s="486" t="s">
        <v>5866</v>
      </c>
      <c r="I1714" s="215" t="s">
        <v>816</v>
      </c>
      <c r="J1714" s="215" t="s">
        <v>77</v>
      </c>
      <c r="K1714" s="266">
        <v>49081071400</v>
      </c>
      <c r="L1714" s="265" t="s">
        <v>649</v>
      </c>
      <c r="M1714" s="266">
        <v>50049081071405</v>
      </c>
      <c r="N1714" s="264">
        <v>0.66800000000000004</v>
      </c>
      <c r="O1714" s="265" t="s">
        <v>649</v>
      </c>
      <c r="P1714" s="265">
        <v>15</v>
      </c>
      <c r="Q1714" s="265">
        <v>0.41</v>
      </c>
    </row>
    <row r="1715" spans="1:17" ht="15" customHeight="1">
      <c r="A1715" s="147">
        <v>1792</v>
      </c>
      <c r="B1715" s="51" t="s">
        <v>34</v>
      </c>
      <c r="C1715" s="51" t="s">
        <v>1549</v>
      </c>
      <c r="D1715" s="51">
        <v>300002372</v>
      </c>
      <c r="E1715" s="53" t="s">
        <v>1550</v>
      </c>
      <c r="F1715" s="124">
        <v>24</v>
      </c>
      <c r="G1715" s="124">
        <v>2808</v>
      </c>
      <c r="H1715" s="486" t="s">
        <v>5866</v>
      </c>
      <c r="I1715" s="215" t="s">
        <v>816</v>
      </c>
      <c r="J1715" s="215" t="s">
        <v>77</v>
      </c>
      <c r="K1715" s="266">
        <v>810116842452</v>
      </c>
      <c r="L1715" s="265" t="s">
        <v>649</v>
      </c>
      <c r="M1715" s="266">
        <v>10810116842459</v>
      </c>
      <c r="N1715" s="264">
        <v>0.62</v>
      </c>
      <c r="O1715" s="265" t="s">
        <v>649</v>
      </c>
      <c r="P1715" s="265">
        <v>9</v>
      </c>
      <c r="Q1715" s="265">
        <v>0.28999999999999998</v>
      </c>
    </row>
    <row r="1716" spans="1:17" ht="15" customHeight="1">
      <c r="A1716" s="147">
        <v>1793</v>
      </c>
      <c r="B1716" s="51" t="s">
        <v>34</v>
      </c>
      <c r="C1716" s="51" t="s">
        <v>1551</v>
      </c>
      <c r="D1716" s="51">
        <v>300002363</v>
      </c>
      <c r="E1716" s="53" t="s">
        <v>1552</v>
      </c>
      <c r="F1716" s="124">
        <v>6</v>
      </c>
      <c r="G1716" s="124">
        <v>162</v>
      </c>
      <c r="H1716" s="486" t="s">
        <v>5866</v>
      </c>
      <c r="I1716" s="215" t="s">
        <v>816</v>
      </c>
      <c r="J1716" s="215" t="s">
        <v>77</v>
      </c>
      <c r="K1716" s="266">
        <v>810116842353</v>
      </c>
      <c r="L1716" s="265" t="s">
        <v>649</v>
      </c>
      <c r="M1716" s="266">
        <v>10810116842350</v>
      </c>
      <c r="N1716" s="264">
        <v>8.3309999999999995</v>
      </c>
      <c r="O1716" s="265" t="s">
        <v>649</v>
      </c>
      <c r="P1716" s="265">
        <v>56</v>
      </c>
      <c r="Q1716" s="265">
        <v>1.21</v>
      </c>
    </row>
    <row r="1717" spans="1:17" ht="15" customHeight="1">
      <c r="A1717" s="147">
        <v>1794</v>
      </c>
      <c r="B1717" s="51" t="s">
        <v>34</v>
      </c>
      <c r="C1717" s="51" t="s">
        <v>1554</v>
      </c>
      <c r="D1717" s="51">
        <v>300002377</v>
      </c>
      <c r="E1717" s="53" t="s">
        <v>1555</v>
      </c>
      <c r="F1717" s="124">
        <v>12</v>
      </c>
      <c r="G1717" s="124">
        <v>576</v>
      </c>
      <c r="H1717" s="486" t="s">
        <v>5866</v>
      </c>
      <c r="I1717" s="215" t="s">
        <v>816</v>
      </c>
      <c r="J1717" s="215" t="s">
        <v>77</v>
      </c>
      <c r="K1717" s="266">
        <v>810116842360</v>
      </c>
      <c r="L1717" s="265" t="s">
        <v>649</v>
      </c>
      <c r="M1717" s="266">
        <v>10810116842367</v>
      </c>
      <c r="N1717" s="264">
        <v>2.1880000000000002</v>
      </c>
      <c r="O1717" s="265" t="s">
        <v>649</v>
      </c>
      <c r="P1717" s="265">
        <v>30</v>
      </c>
      <c r="Q1717" s="265">
        <v>0.78</v>
      </c>
    </row>
    <row r="1718" spans="1:17" ht="15" customHeight="1">
      <c r="A1718" s="147">
        <v>1795</v>
      </c>
      <c r="B1718" s="51" t="s">
        <v>34</v>
      </c>
      <c r="C1718" s="51" t="s">
        <v>1556</v>
      </c>
      <c r="D1718" s="51">
        <v>300002369</v>
      </c>
      <c r="E1718" s="53" t="s">
        <v>1557</v>
      </c>
      <c r="F1718" s="124">
        <v>12</v>
      </c>
      <c r="G1718" s="124">
        <v>1008</v>
      </c>
      <c r="H1718" s="486" t="s">
        <v>5866</v>
      </c>
      <c r="I1718" s="215" t="s">
        <v>816</v>
      </c>
      <c r="J1718" s="215" t="s">
        <v>77</v>
      </c>
      <c r="K1718" s="266">
        <v>810116842377</v>
      </c>
      <c r="L1718" s="265" t="s">
        <v>649</v>
      </c>
      <c r="M1718" s="266">
        <v>10810116842374</v>
      </c>
      <c r="N1718" s="264">
        <v>1.1279999999999999</v>
      </c>
      <c r="O1718" s="265" t="s">
        <v>649</v>
      </c>
      <c r="P1718" s="265">
        <v>16</v>
      </c>
      <c r="Q1718" s="265">
        <v>0.42</v>
      </c>
    </row>
    <row r="1719" spans="1:17" ht="15" customHeight="1">
      <c r="A1719" s="147">
        <v>1796</v>
      </c>
      <c r="B1719" s="51" t="s">
        <v>34</v>
      </c>
      <c r="C1719" s="51" t="s">
        <v>1558</v>
      </c>
      <c r="D1719" s="51">
        <v>300002366</v>
      </c>
      <c r="E1719" s="53" t="s">
        <v>1559</v>
      </c>
      <c r="F1719" s="124">
        <v>24</v>
      </c>
      <c r="G1719" s="124">
        <v>1920</v>
      </c>
      <c r="H1719" s="486" t="s">
        <v>5866</v>
      </c>
      <c r="I1719" s="215" t="s">
        <v>816</v>
      </c>
      <c r="J1719" s="215" t="s">
        <v>77</v>
      </c>
      <c r="K1719" s="266">
        <v>810116842384</v>
      </c>
      <c r="L1719" s="265" t="s">
        <v>649</v>
      </c>
      <c r="M1719" s="266">
        <v>10810116842381</v>
      </c>
      <c r="N1719" s="264">
        <v>0.60499999999999998</v>
      </c>
      <c r="O1719" s="265" t="s">
        <v>649</v>
      </c>
      <c r="P1719" s="265">
        <v>18</v>
      </c>
      <c r="Q1719" s="265">
        <v>0.41</v>
      </c>
    </row>
    <row r="1720" spans="1:17" ht="15" customHeight="1">
      <c r="A1720" s="147">
        <v>1797</v>
      </c>
      <c r="B1720" s="51" t="s">
        <v>34</v>
      </c>
      <c r="C1720" s="51" t="s">
        <v>1560</v>
      </c>
      <c r="D1720" s="51">
        <v>300002374</v>
      </c>
      <c r="E1720" s="53" t="s">
        <v>1561</v>
      </c>
      <c r="F1720" s="124">
        <v>24</v>
      </c>
      <c r="G1720" s="124">
        <v>2808</v>
      </c>
      <c r="H1720" s="486" t="s">
        <v>5866</v>
      </c>
      <c r="I1720" s="215" t="s">
        <v>816</v>
      </c>
      <c r="J1720" s="215" t="s">
        <v>77</v>
      </c>
      <c r="K1720" s="266">
        <v>810116842391</v>
      </c>
      <c r="L1720" s="265" t="s">
        <v>649</v>
      </c>
      <c r="M1720" s="266">
        <v>10810116842398</v>
      </c>
      <c r="N1720" s="264">
        <v>0.33200000000000002</v>
      </c>
      <c r="O1720" s="265" t="s">
        <v>649</v>
      </c>
      <c r="P1720" s="265">
        <v>9</v>
      </c>
      <c r="Q1720" s="265">
        <v>0.28999999999999998</v>
      </c>
    </row>
    <row r="1721" spans="1:17" ht="15" customHeight="1">
      <c r="A1721" s="147">
        <v>1798</v>
      </c>
      <c r="B1721" s="51" t="s">
        <v>34</v>
      </c>
      <c r="C1721" s="51" t="s">
        <v>1562</v>
      </c>
      <c r="D1721" s="51">
        <v>300002364</v>
      </c>
      <c r="E1721" s="53" t="s">
        <v>1563</v>
      </c>
      <c r="F1721" s="124">
        <v>6</v>
      </c>
      <c r="G1721" s="124">
        <v>162</v>
      </c>
      <c r="H1721" s="486" t="s">
        <v>5866</v>
      </c>
      <c r="I1721" s="215" t="s">
        <v>816</v>
      </c>
      <c r="J1721" s="215" t="s">
        <v>77</v>
      </c>
      <c r="K1721" s="266">
        <v>810116842407</v>
      </c>
      <c r="L1721" s="265" t="s">
        <v>649</v>
      </c>
      <c r="M1721" s="266">
        <v>10810116842404</v>
      </c>
      <c r="N1721" s="264">
        <v>8.4309999999999992</v>
      </c>
      <c r="O1721" s="265" t="s">
        <v>649</v>
      </c>
      <c r="P1721" s="265">
        <v>56</v>
      </c>
      <c r="Q1721" s="265">
        <v>1.21</v>
      </c>
    </row>
    <row r="1722" spans="1:17" ht="15" customHeight="1">
      <c r="A1722" s="147">
        <v>1799</v>
      </c>
      <c r="B1722" s="51" t="s">
        <v>34</v>
      </c>
      <c r="C1722" s="51" t="s">
        <v>1565</v>
      </c>
      <c r="D1722" s="51">
        <v>300002378</v>
      </c>
      <c r="E1722" s="53" t="s">
        <v>1566</v>
      </c>
      <c r="F1722" s="124">
        <v>12</v>
      </c>
      <c r="G1722" s="124">
        <v>576</v>
      </c>
      <c r="H1722" s="486" t="s">
        <v>5866</v>
      </c>
      <c r="I1722" s="215" t="s">
        <v>816</v>
      </c>
      <c r="J1722" s="215" t="s">
        <v>77</v>
      </c>
      <c r="K1722" s="266">
        <v>810116842414</v>
      </c>
      <c r="L1722" s="265" t="s">
        <v>649</v>
      </c>
      <c r="M1722" s="266">
        <v>10810116842411</v>
      </c>
      <c r="N1722" s="264">
        <v>2.1749999999999998</v>
      </c>
      <c r="O1722" s="265" t="s">
        <v>649</v>
      </c>
      <c r="P1722" s="265">
        <v>30</v>
      </c>
      <c r="Q1722" s="265">
        <v>0.78</v>
      </c>
    </row>
    <row r="1723" spans="1:17" ht="15" customHeight="1">
      <c r="A1723" s="147">
        <v>1800</v>
      </c>
      <c r="B1723" s="51" t="s">
        <v>34</v>
      </c>
      <c r="C1723" s="51" t="s">
        <v>1567</v>
      </c>
      <c r="D1723" s="51">
        <v>300002370</v>
      </c>
      <c r="E1723" s="53" t="s">
        <v>1568</v>
      </c>
      <c r="F1723" s="124">
        <v>12</v>
      </c>
      <c r="G1723" s="124">
        <v>1008</v>
      </c>
      <c r="H1723" s="486" t="s">
        <v>5866</v>
      </c>
      <c r="I1723" s="215" t="s">
        <v>816</v>
      </c>
      <c r="J1723" s="215" t="s">
        <v>77</v>
      </c>
      <c r="K1723" s="266">
        <v>810116842421</v>
      </c>
      <c r="L1723" s="265" t="s">
        <v>649</v>
      </c>
      <c r="M1723" s="266">
        <v>10810116842428</v>
      </c>
      <c r="N1723" s="264">
        <v>1.141</v>
      </c>
      <c r="O1723" s="265" t="s">
        <v>649</v>
      </c>
      <c r="P1723" s="265">
        <v>16</v>
      </c>
      <c r="Q1723" s="265">
        <v>0.42</v>
      </c>
    </row>
    <row r="1724" spans="1:17" ht="15" customHeight="1">
      <c r="A1724" s="147">
        <v>1801</v>
      </c>
      <c r="B1724" s="51" t="s">
        <v>34</v>
      </c>
      <c r="C1724" s="51" t="s">
        <v>1569</v>
      </c>
      <c r="D1724" s="51">
        <v>300002367</v>
      </c>
      <c r="E1724" s="53" t="s">
        <v>1570</v>
      </c>
      <c r="F1724" s="124">
        <v>24</v>
      </c>
      <c r="G1724" s="124">
        <v>1920</v>
      </c>
      <c r="H1724" s="486" t="s">
        <v>5866</v>
      </c>
      <c r="I1724" s="215" t="s">
        <v>816</v>
      </c>
      <c r="J1724" s="215" t="s">
        <v>77</v>
      </c>
      <c r="K1724" s="266">
        <v>810116842438</v>
      </c>
      <c r="L1724" s="265" t="s">
        <v>649</v>
      </c>
      <c r="M1724" s="266">
        <v>10810116842435</v>
      </c>
      <c r="N1724" s="264">
        <v>0.61099999999999999</v>
      </c>
      <c r="O1724" s="265" t="s">
        <v>649</v>
      </c>
      <c r="P1724" s="265">
        <v>18</v>
      </c>
      <c r="Q1724" s="265">
        <v>0.41</v>
      </c>
    </row>
    <row r="1725" spans="1:17" ht="15" customHeight="1">
      <c r="A1725" s="147">
        <v>1802</v>
      </c>
      <c r="B1725" s="51" t="s">
        <v>34</v>
      </c>
      <c r="C1725" s="51" t="s">
        <v>1571</v>
      </c>
      <c r="D1725" s="51">
        <v>300002375</v>
      </c>
      <c r="E1725" s="53" t="s">
        <v>1572</v>
      </c>
      <c r="F1725" s="124">
        <v>24</v>
      </c>
      <c r="G1725" s="124">
        <v>2808</v>
      </c>
      <c r="H1725" s="486" t="s">
        <v>5866</v>
      </c>
      <c r="I1725" s="215" t="s">
        <v>816</v>
      </c>
      <c r="J1725" s="215" t="s">
        <v>77</v>
      </c>
      <c r="K1725" s="266">
        <v>810116842445</v>
      </c>
      <c r="L1725" s="265" t="s">
        <v>649</v>
      </c>
      <c r="M1725" s="266">
        <v>10810116842442</v>
      </c>
      <c r="N1725" s="264">
        <v>0.33600000000000002</v>
      </c>
      <c r="O1725" s="265" t="s">
        <v>649</v>
      </c>
      <c r="P1725" s="265">
        <v>9</v>
      </c>
      <c r="Q1725" s="265">
        <v>0.28999999999999998</v>
      </c>
    </row>
    <row r="1726" spans="1:17" ht="15" customHeight="1">
      <c r="A1726" s="147">
        <v>1803</v>
      </c>
      <c r="B1726" s="51" t="s">
        <v>34</v>
      </c>
      <c r="C1726" s="51" t="s">
        <v>1573</v>
      </c>
      <c r="D1726" s="51">
        <v>300002237</v>
      </c>
      <c r="E1726" s="53" t="s">
        <v>1574</v>
      </c>
      <c r="F1726" s="124">
        <v>6</v>
      </c>
      <c r="G1726" s="124">
        <v>162</v>
      </c>
      <c r="H1726" s="486" t="s">
        <v>5866</v>
      </c>
      <c r="I1726" s="215" t="s">
        <v>346</v>
      </c>
      <c r="J1726" s="215" t="s">
        <v>77</v>
      </c>
      <c r="K1726" s="266">
        <v>49081071462</v>
      </c>
      <c r="L1726" s="265" t="s">
        <v>649</v>
      </c>
      <c r="M1726" s="266">
        <v>50049081071467</v>
      </c>
      <c r="N1726" s="264">
        <v>8.1669999999999998</v>
      </c>
      <c r="O1726" s="265" t="s">
        <v>649</v>
      </c>
      <c r="P1726" s="265">
        <v>49</v>
      </c>
      <c r="Q1726" s="265">
        <v>1.21</v>
      </c>
    </row>
    <row r="1727" spans="1:17" ht="15" customHeight="1">
      <c r="A1727" s="147">
        <v>1804</v>
      </c>
      <c r="B1727" s="51" t="s">
        <v>34</v>
      </c>
      <c r="C1727" s="51" t="s">
        <v>1577</v>
      </c>
      <c r="D1727" s="51">
        <v>300002323</v>
      </c>
      <c r="E1727" s="53" t="s">
        <v>1578</v>
      </c>
      <c r="F1727" s="124">
        <v>12</v>
      </c>
      <c r="G1727" s="124">
        <v>576</v>
      </c>
      <c r="H1727" s="486" t="s">
        <v>5866</v>
      </c>
      <c r="I1727" s="215" t="s">
        <v>816</v>
      </c>
      <c r="J1727" s="215" t="s">
        <v>77</v>
      </c>
      <c r="K1727" s="266">
        <v>49081071479</v>
      </c>
      <c r="L1727" s="265" t="s">
        <v>649</v>
      </c>
      <c r="M1727" s="266">
        <v>50049081071474</v>
      </c>
      <c r="N1727" s="264">
        <v>2.169</v>
      </c>
      <c r="O1727" s="265" t="s">
        <v>649</v>
      </c>
      <c r="P1727" s="265">
        <v>25</v>
      </c>
      <c r="Q1727" s="265">
        <v>0.78</v>
      </c>
    </row>
    <row r="1728" spans="1:17" ht="15" customHeight="1">
      <c r="A1728" s="147">
        <v>1805</v>
      </c>
      <c r="B1728" s="51" t="s">
        <v>34</v>
      </c>
      <c r="C1728" s="51" t="s">
        <v>1579</v>
      </c>
      <c r="D1728" s="51">
        <v>300002284</v>
      </c>
      <c r="E1728" s="53" t="s">
        <v>1580</v>
      </c>
      <c r="F1728" s="124">
        <v>12</v>
      </c>
      <c r="G1728" s="124">
        <v>1008</v>
      </c>
      <c r="H1728" s="486" t="s">
        <v>5866</v>
      </c>
      <c r="I1728" s="215" t="s">
        <v>346</v>
      </c>
      <c r="J1728" s="215" t="s">
        <v>77</v>
      </c>
      <c r="K1728" s="266">
        <v>49081071486</v>
      </c>
      <c r="L1728" s="265" t="s">
        <v>649</v>
      </c>
      <c r="M1728" s="266">
        <v>50049081071481</v>
      </c>
      <c r="N1728" s="264">
        <v>1.083</v>
      </c>
      <c r="O1728" s="265" t="s">
        <v>649</v>
      </c>
      <c r="P1728" s="265">
        <v>13</v>
      </c>
      <c r="Q1728" s="265">
        <v>0.42</v>
      </c>
    </row>
    <row r="1729" spans="1:17" ht="15" customHeight="1">
      <c r="A1729" s="147">
        <v>1806</v>
      </c>
      <c r="B1729" s="51" t="s">
        <v>34</v>
      </c>
      <c r="C1729" s="51" t="s">
        <v>1581</v>
      </c>
      <c r="D1729" s="51">
        <v>300002260</v>
      </c>
      <c r="E1729" s="53" t="s">
        <v>1582</v>
      </c>
      <c r="F1729" s="124">
        <v>24</v>
      </c>
      <c r="G1729" s="124">
        <v>1920</v>
      </c>
      <c r="H1729" s="486" t="s">
        <v>5866</v>
      </c>
      <c r="I1729" s="215" t="s">
        <v>346</v>
      </c>
      <c r="J1729" s="215" t="s">
        <v>77</v>
      </c>
      <c r="K1729" s="266">
        <v>49081071493</v>
      </c>
      <c r="L1729" s="265" t="s">
        <v>649</v>
      </c>
      <c r="M1729" s="266">
        <v>50049081071498</v>
      </c>
      <c r="N1729" s="264">
        <v>0.58299999999999996</v>
      </c>
      <c r="O1729" s="265" t="s">
        <v>649</v>
      </c>
      <c r="P1729" s="265">
        <v>14</v>
      </c>
      <c r="Q1729" s="265">
        <v>0.41</v>
      </c>
    </row>
    <row r="1730" spans="1:17" ht="15" customHeight="1">
      <c r="A1730" s="147">
        <v>1807</v>
      </c>
      <c r="B1730" s="51" t="s">
        <v>34</v>
      </c>
      <c r="C1730" s="51" t="s">
        <v>1583</v>
      </c>
      <c r="D1730" s="51">
        <v>300002304</v>
      </c>
      <c r="E1730" s="53" t="s">
        <v>1584</v>
      </c>
      <c r="F1730" s="124">
        <v>24</v>
      </c>
      <c r="G1730" s="124">
        <v>2808</v>
      </c>
      <c r="H1730" s="486" t="s">
        <v>5866</v>
      </c>
      <c r="I1730" s="215" t="s">
        <v>346</v>
      </c>
      <c r="J1730" s="215" t="s">
        <v>77</v>
      </c>
      <c r="K1730" s="266">
        <v>49081071509</v>
      </c>
      <c r="L1730" s="265" t="s">
        <v>649</v>
      </c>
      <c r="M1730" s="266">
        <v>50049081071504</v>
      </c>
      <c r="N1730" s="264">
        <v>0.29199999999999998</v>
      </c>
      <c r="O1730" s="265" t="s">
        <v>649</v>
      </c>
      <c r="P1730" s="265">
        <v>7</v>
      </c>
      <c r="Q1730" s="265">
        <v>0.28999999999999998</v>
      </c>
    </row>
    <row r="1731" spans="1:17" ht="15" customHeight="1">
      <c r="A1731" s="147">
        <v>1808</v>
      </c>
      <c r="B1731" s="51" t="s">
        <v>34</v>
      </c>
      <c r="C1731" s="51" t="s">
        <v>1585</v>
      </c>
      <c r="D1731" s="51">
        <v>300002236</v>
      </c>
      <c r="E1731" s="53" t="s">
        <v>1586</v>
      </c>
      <c r="F1731" s="124">
        <v>6</v>
      </c>
      <c r="G1731" s="124">
        <v>162</v>
      </c>
      <c r="H1731" s="486" t="s">
        <v>5866</v>
      </c>
      <c r="I1731" s="215" t="s">
        <v>346</v>
      </c>
      <c r="J1731" s="215" t="s">
        <v>77</v>
      </c>
      <c r="K1731" s="266">
        <v>49081071417</v>
      </c>
      <c r="L1731" s="265" t="s">
        <v>649</v>
      </c>
      <c r="M1731" s="265" t="s">
        <v>649</v>
      </c>
      <c r="N1731" s="264">
        <v>8.1669999999999998</v>
      </c>
      <c r="O1731" s="265" t="s">
        <v>649</v>
      </c>
      <c r="P1731" s="265">
        <v>49</v>
      </c>
      <c r="Q1731" s="265">
        <v>1.21</v>
      </c>
    </row>
    <row r="1732" spans="1:17" ht="15" customHeight="1">
      <c r="A1732" s="147">
        <v>1809</v>
      </c>
      <c r="B1732" s="51" t="s">
        <v>34</v>
      </c>
      <c r="C1732" s="51" t="s">
        <v>1587</v>
      </c>
      <c r="D1732" s="51">
        <v>300002322</v>
      </c>
      <c r="E1732" s="53" t="s">
        <v>1588</v>
      </c>
      <c r="F1732" s="124">
        <v>12</v>
      </c>
      <c r="G1732" s="124">
        <v>576</v>
      </c>
      <c r="H1732" s="486" t="s">
        <v>5866</v>
      </c>
      <c r="I1732" s="215" t="s">
        <v>816</v>
      </c>
      <c r="J1732" s="215" t="s">
        <v>77</v>
      </c>
      <c r="K1732" s="266">
        <v>49081071424</v>
      </c>
      <c r="L1732" s="265" t="s">
        <v>649</v>
      </c>
      <c r="M1732" s="265" t="s">
        <v>649</v>
      </c>
      <c r="N1732" s="264">
        <v>2.2309999999999999</v>
      </c>
      <c r="O1732" s="265" t="s">
        <v>649</v>
      </c>
      <c r="P1732" s="265">
        <v>25</v>
      </c>
      <c r="Q1732" s="265">
        <v>0.78</v>
      </c>
    </row>
    <row r="1733" spans="1:17" ht="15" customHeight="1">
      <c r="A1733" s="147">
        <v>1810</v>
      </c>
      <c r="B1733" s="51" t="s">
        <v>34</v>
      </c>
      <c r="C1733" s="51" t="s">
        <v>1589</v>
      </c>
      <c r="D1733" s="51">
        <v>300002283</v>
      </c>
      <c r="E1733" s="53" t="s">
        <v>1590</v>
      </c>
      <c r="F1733" s="124">
        <v>12</v>
      </c>
      <c r="G1733" s="124">
        <v>1008</v>
      </c>
      <c r="H1733" s="486" t="s">
        <v>5866</v>
      </c>
      <c r="I1733" s="215" t="s">
        <v>816</v>
      </c>
      <c r="J1733" s="215" t="s">
        <v>77</v>
      </c>
      <c r="K1733" s="266">
        <v>49081071431</v>
      </c>
      <c r="L1733" s="265" t="s">
        <v>649</v>
      </c>
      <c r="M1733" s="265" t="s">
        <v>649</v>
      </c>
      <c r="N1733" s="264">
        <v>1.1890000000000001</v>
      </c>
      <c r="O1733" s="265" t="s">
        <v>649</v>
      </c>
      <c r="P1733" s="265">
        <v>13</v>
      </c>
      <c r="Q1733" s="265">
        <v>0.42</v>
      </c>
    </row>
    <row r="1734" spans="1:17" ht="15" customHeight="1">
      <c r="A1734" s="147">
        <v>1811</v>
      </c>
      <c r="B1734" s="51" t="s">
        <v>34</v>
      </c>
      <c r="C1734" s="51" t="s">
        <v>1591</v>
      </c>
      <c r="D1734" s="51">
        <v>300002259</v>
      </c>
      <c r="E1734" s="53" t="s">
        <v>1592</v>
      </c>
      <c r="F1734" s="124">
        <v>24</v>
      </c>
      <c r="G1734" s="124">
        <v>1920</v>
      </c>
      <c r="H1734" s="486" t="s">
        <v>5866</v>
      </c>
      <c r="I1734" s="215" t="s">
        <v>816</v>
      </c>
      <c r="J1734" s="215" t="s">
        <v>77</v>
      </c>
      <c r="K1734" s="266">
        <v>49081071448</v>
      </c>
      <c r="L1734" s="265" t="s">
        <v>649</v>
      </c>
      <c r="M1734" s="265" t="s">
        <v>649</v>
      </c>
      <c r="N1734" s="264">
        <v>0.59599999999999997</v>
      </c>
      <c r="O1734" s="265" t="s">
        <v>649</v>
      </c>
      <c r="P1734" s="265">
        <v>14</v>
      </c>
      <c r="Q1734" s="265">
        <v>0.41</v>
      </c>
    </row>
    <row r="1735" spans="1:17" ht="15" customHeight="1">
      <c r="A1735" s="147">
        <v>1812</v>
      </c>
      <c r="B1735" s="51" t="s">
        <v>34</v>
      </c>
      <c r="C1735" s="51" t="s">
        <v>1593</v>
      </c>
      <c r="D1735" s="51">
        <v>300002303</v>
      </c>
      <c r="E1735" s="53" t="s">
        <v>1594</v>
      </c>
      <c r="F1735" s="124">
        <v>24</v>
      </c>
      <c r="G1735" s="124">
        <v>2808</v>
      </c>
      <c r="H1735" s="486" t="s">
        <v>5866</v>
      </c>
      <c r="I1735" s="215" t="s">
        <v>816</v>
      </c>
      <c r="J1735" s="215" t="s">
        <v>77</v>
      </c>
      <c r="K1735" s="266">
        <v>49081071455</v>
      </c>
      <c r="L1735" s="265" t="s">
        <v>649</v>
      </c>
      <c r="M1735" s="265" t="s">
        <v>649</v>
      </c>
      <c r="N1735" s="264">
        <v>0.34699999999999998</v>
      </c>
      <c r="O1735" s="265" t="s">
        <v>649</v>
      </c>
      <c r="P1735" s="265">
        <v>7</v>
      </c>
      <c r="Q1735" s="265">
        <v>0.28999999999999998</v>
      </c>
    </row>
    <row r="1736" spans="1:17" ht="15" customHeight="1">
      <c r="A1736" s="147">
        <v>1813</v>
      </c>
      <c r="B1736" s="51" t="s">
        <v>34</v>
      </c>
      <c r="C1736" s="51" t="s">
        <v>1595</v>
      </c>
      <c r="D1736" s="51">
        <v>300002238</v>
      </c>
      <c r="E1736" s="53" t="s">
        <v>1596</v>
      </c>
      <c r="F1736" s="124">
        <v>6</v>
      </c>
      <c r="G1736" s="124">
        <v>162</v>
      </c>
      <c r="H1736" s="486" t="s">
        <v>5866</v>
      </c>
      <c r="I1736" s="215" t="s">
        <v>346</v>
      </c>
      <c r="J1736" s="215" t="s">
        <v>77</v>
      </c>
      <c r="K1736" s="266">
        <v>49081071516</v>
      </c>
      <c r="L1736" s="265" t="s">
        <v>649</v>
      </c>
      <c r="M1736" s="266">
        <v>50049081071511</v>
      </c>
      <c r="N1736" s="264">
        <v>8.1669999999999998</v>
      </c>
      <c r="O1736" s="265" t="s">
        <v>649</v>
      </c>
      <c r="P1736" s="265">
        <v>46</v>
      </c>
      <c r="Q1736" s="265">
        <v>1.21</v>
      </c>
    </row>
    <row r="1737" spans="1:17" ht="15" customHeight="1">
      <c r="A1737" s="147">
        <v>1814</v>
      </c>
      <c r="B1737" s="51" t="s">
        <v>34</v>
      </c>
      <c r="C1737" s="51" t="s">
        <v>1598</v>
      </c>
      <c r="D1737" s="51">
        <v>300002324</v>
      </c>
      <c r="E1737" s="53" t="s">
        <v>1599</v>
      </c>
      <c r="F1737" s="124">
        <v>12</v>
      </c>
      <c r="G1737" s="124">
        <v>576</v>
      </c>
      <c r="H1737" s="486" t="s">
        <v>5866</v>
      </c>
      <c r="I1737" s="215" t="s">
        <v>816</v>
      </c>
      <c r="J1737" s="215" t="s">
        <v>77</v>
      </c>
      <c r="K1737" s="266">
        <v>49081071523</v>
      </c>
      <c r="L1737" s="265" t="s">
        <v>649</v>
      </c>
      <c r="M1737" s="266">
        <v>50049081071528</v>
      </c>
      <c r="N1737" s="264">
        <v>2.0830000000000002</v>
      </c>
      <c r="O1737" s="265" t="s">
        <v>649</v>
      </c>
      <c r="P1737" s="265">
        <v>24</v>
      </c>
      <c r="Q1737" s="265">
        <v>0.78</v>
      </c>
    </row>
    <row r="1738" spans="1:17" ht="15" customHeight="1">
      <c r="A1738" s="147">
        <v>1815</v>
      </c>
      <c r="B1738" s="51" t="s">
        <v>34</v>
      </c>
      <c r="C1738" s="51" t="s">
        <v>1600</v>
      </c>
      <c r="D1738" s="51">
        <v>300002285</v>
      </c>
      <c r="E1738" s="53" t="s">
        <v>1601</v>
      </c>
      <c r="F1738" s="124">
        <v>12</v>
      </c>
      <c r="G1738" s="124">
        <v>1008</v>
      </c>
      <c r="H1738" s="486" t="s">
        <v>5866</v>
      </c>
      <c r="I1738" s="215" t="s">
        <v>816</v>
      </c>
      <c r="J1738" s="215" t="s">
        <v>77</v>
      </c>
      <c r="K1738" s="266">
        <v>49081071530</v>
      </c>
      <c r="L1738" s="265" t="s">
        <v>649</v>
      </c>
      <c r="M1738" s="266">
        <v>50049081071535</v>
      </c>
      <c r="N1738" s="264">
        <v>1.083</v>
      </c>
      <c r="O1738" s="265" t="s">
        <v>649</v>
      </c>
      <c r="P1738" s="265">
        <v>12</v>
      </c>
      <c r="Q1738" s="265">
        <v>0.42</v>
      </c>
    </row>
    <row r="1739" spans="1:17" ht="15" customHeight="1">
      <c r="A1739" s="147">
        <v>1816</v>
      </c>
      <c r="B1739" s="51" t="s">
        <v>34</v>
      </c>
      <c r="C1739" s="51" t="s">
        <v>1602</v>
      </c>
      <c r="D1739" s="51">
        <v>300002261</v>
      </c>
      <c r="E1739" s="53" t="s">
        <v>1603</v>
      </c>
      <c r="F1739" s="124">
        <v>24</v>
      </c>
      <c r="G1739" s="124">
        <v>1920</v>
      </c>
      <c r="H1739" s="486" t="s">
        <v>5866</v>
      </c>
      <c r="I1739" s="215" t="s">
        <v>346</v>
      </c>
      <c r="J1739" s="215" t="s">
        <v>77</v>
      </c>
      <c r="K1739" s="266">
        <v>49081071547</v>
      </c>
      <c r="L1739" s="265" t="s">
        <v>649</v>
      </c>
      <c r="M1739" s="266">
        <v>50049081071542</v>
      </c>
      <c r="N1739" s="264">
        <v>0.58299999999999996</v>
      </c>
      <c r="O1739" s="265" t="s">
        <v>649</v>
      </c>
      <c r="P1739" s="265">
        <v>13</v>
      </c>
      <c r="Q1739" s="265">
        <v>0.41</v>
      </c>
    </row>
    <row r="1740" spans="1:17" ht="15" customHeight="1">
      <c r="A1740" s="147">
        <v>1817</v>
      </c>
      <c r="B1740" s="51" t="s">
        <v>34</v>
      </c>
      <c r="C1740" s="51" t="s">
        <v>1604</v>
      </c>
      <c r="D1740" s="51">
        <v>300002305</v>
      </c>
      <c r="E1740" s="53" t="s">
        <v>1605</v>
      </c>
      <c r="F1740" s="124">
        <v>24</v>
      </c>
      <c r="G1740" s="124">
        <v>2808</v>
      </c>
      <c r="H1740" s="486" t="s">
        <v>5866</v>
      </c>
      <c r="I1740" s="215" t="s">
        <v>816</v>
      </c>
      <c r="J1740" s="215" t="s">
        <v>77</v>
      </c>
      <c r="K1740" s="266">
        <v>49081071554</v>
      </c>
      <c r="L1740" s="265" t="s">
        <v>649</v>
      </c>
      <c r="M1740" s="266">
        <v>50049081071559</v>
      </c>
      <c r="N1740" s="264">
        <v>0.29199999999999998</v>
      </c>
      <c r="O1740" s="265" t="s">
        <v>649</v>
      </c>
      <c r="P1740" s="265">
        <v>7</v>
      </c>
      <c r="Q1740" s="265">
        <v>0.28999999999999998</v>
      </c>
    </row>
    <row r="1741" spans="1:17" ht="15" customHeight="1">
      <c r="A1741" s="147">
        <v>1818</v>
      </c>
      <c r="B1741" s="51" t="s">
        <v>34</v>
      </c>
      <c r="C1741" s="51" t="s">
        <v>1606</v>
      </c>
      <c r="D1741" s="51">
        <v>300002272</v>
      </c>
      <c r="E1741" s="53" t="s">
        <v>1607</v>
      </c>
      <c r="F1741" s="124">
        <v>24</v>
      </c>
      <c r="G1741" s="124" t="s">
        <v>649</v>
      </c>
      <c r="H1741" s="486" t="s">
        <v>5866</v>
      </c>
      <c r="I1741" s="215" t="s">
        <v>346</v>
      </c>
      <c r="J1741" s="215" t="s">
        <v>77</v>
      </c>
      <c r="K1741" s="266">
        <v>49081072186</v>
      </c>
      <c r="L1741" s="265" t="s">
        <v>649</v>
      </c>
      <c r="M1741" s="266">
        <v>50049081072181</v>
      </c>
      <c r="N1741" s="264">
        <v>0.83299999999999996</v>
      </c>
      <c r="O1741" s="265" t="s">
        <v>649</v>
      </c>
      <c r="P1741" s="265">
        <v>20</v>
      </c>
      <c r="Q1741" s="265">
        <v>0.38600000000000001</v>
      </c>
    </row>
    <row r="1742" spans="1:17" ht="15" customHeight="1">
      <c r="A1742" s="147">
        <v>1819</v>
      </c>
      <c r="B1742" s="51" t="s">
        <v>34</v>
      </c>
      <c r="C1742" s="51" t="s">
        <v>1609</v>
      </c>
      <c r="D1742" s="51">
        <v>300002336</v>
      </c>
      <c r="E1742" s="53" t="s">
        <v>1610</v>
      </c>
      <c r="F1742" s="124">
        <v>12</v>
      </c>
      <c r="G1742" s="124" t="s">
        <v>649</v>
      </c>
      <c r="H1742" s="486" t="s">
        <v>5866</v>
      </c>
      <c r="I1742" s="215" t="s">
        <v>816</v>
      </c>
      <c r="J1742" s="215" t="s">
        <v>77</v>
      </c>
      <c r="K1742" s="266">
        <v>49081072162</v>
      </c>
      <c r="L1742" s="265" t="s">
        <v>649</v>
      </c>
      <c r="M1742" s="266">
        <v>50049081072167</v>
      </c>
      <c r="N1742" s="264">
        <v>0.25</v>
      </c>
      <c r="O1742" s="265" t="s">
        <v>649</v>
      </c>
      <c r="P1742" s="265">
        <v>3</v>
      </c>
      <c r="Q1742" s="265">
        <v>0.67</v>
      </c>
    </row>
    <row r="1743" spans="1:17" ht="15" customHeight="1">
      <c r="A1743" s="147">
        <v>1820</v>
      </c>
      <c r="B1743" s="51" t="s">
        <v>34</v>
      </c>
      <c r="C1743" s="51" t="s">
        <v>1612</v>
      </c>
      <c r="D1743" s="51">
        <v>300002219</v>
      </c>
      <c r="E1743" s="53" t="s">
        <v>1613</v>
      </c>
      <c r="F1743" s="124">
        <v>50</v>
      </c>
      <c r="G1743" s="124" t="s">
        <v>649</v>
      </c>
      <c r="H1743" s="486" t="s">
        <v>5866</v>
      </c>
      <c r="I1743" s="215" t="s">
        <v>346</v>
      </c>
      <c r="J1743" s="215" t="s">
        <v>77</v>
      </c>
      <c r="K1743" s="266">
        <v>49081070113</v>
      </c>
      <c r="L1743" s="265" t="s">
        <v>649</v>
      </c>
      <c r="M1743" s="266">
        <v>50049081070118</v>
      </c>
      <c r="N1743" s="264">
        <v>0.03</v>
      </c>
      <c r="O1743" s="265" t="s">
        <v>649</v>
      </c>
      <c r="P1743" s="265">
        <v>1.5</v>
      </c>
      <c r="Q1743" s="265">
        <v>0.2</v>
      </c>
    </row>
    <row r="1744" spans="1:17" ht="15" customHeight="1">
      <c r="A1744" s="147">
        <v>1821</v>
      </c>
      <c r="B1744" s="51" t="s">
        <v>34</v>
      </c>
      <c r="C1744" s="51" t="s">
        <v>1615</v>
      </c>
      <c r="D1744" s="51">
        <v>300002220</v>
      </c>
      <c r="E1744" s="53" t="s">
        <v>1616</v>
      </c>
      <c r="F1744" s="124">
        <v>50</v>
      </c>
      <c r="G1744" s="124" t="s">
        <v>649</v>
      </c>
      <c r="H1744" s="486" t="s">
        <v>5866</v>
      </c>
      <c r="I1744" s="215" t="s">
        <v>346</v>
      </c>
      <c r="J1744" s="215" t="s">
        <v>77</v>
      </c>
      <c r="K1744" s="266">
        <v>49081070120</v>
      </c>
      <c r="L1744" s="265" t="s">
        <v>649</v>
      </c>
      <c r="M1744" s="266">
        <v>50049081070125</v>
      </c>
      <c r="N1744" s="264">
        <v>0.03</v>
      </c>
      <c r="O1744" s="265" t="s">
        <v>649</v>
      </c>
      <c r="P1744" s="265">
        <v>1.5</v>
      </c>
      <c r="Q1744" s="265">
        <v>0.2</v>
      </c>
    </row>
    <row r="1745" spans="1:17" ht="15" customHeight="1">
      <c r="A1745" s="147">
        <v>1822</v>
      </c>
      <c r="B1745" s="51" t="s">
        <v>34</v>
      </c>
      <c r="C1745" s="51" t="s">
        <v>1617</v>
      </c>
      <c r="D1745" s="51">
        <v>300002221</v>
      </c>
      <c r="E1745" s="53" t="s">
        <v>1618</v>
      </c>
      <c r="F1745" s="124">
        <v>50</v>
      </c>
      <c r="G1745" s="124" t="s">
        <v>649</v>
      </c>
      <c r="H1745" s="486" t="s">
        <v>5866</v>
      </c>
      <c r="I1745" s="215" t="s">
        <v>816</v>
      </c>
      <c r="J1745" s="215" t="s">
        <v>77</v>
      </c>
      <c r="K1745" s="266">
        <v>49081070137</v>
      </c>
      <c r="L1745" s="265" t="s">
        <v>649</v>
      </c>
      <c r="M1745" s="266">
        <v>50049081070132</v>
      </c>
      <c r="N1745" s="264">
        <v>0.03</v>
      </c>
      <c r="O1745" s="265" t="s">
        <v>649</v>
      </c>
      <c r="P1745" s="265">
        <v>1.5</v>
      </c>
      <c r="Q1745" s="265">
        <v>0.2</v>
      </c>
    </row>
    <row r="1746" spans="1:17" ht="15" customHeight="1">
      <c r="A1746" s="147">
        <v>1824</v>
      </c>
      <c r="B1746" s="51" t="s">
        <v>34</v>
      </c>
      <c r="C1746" s="51" t="s">
        <v>1619</v>
      </c>
      <c r="D1746" s="51">
        <v>300002224</v>
      </c>
      <c r="E1746" s="53" t="s">
        <v>1620</v>
      </c>
      <c r="F1746" s="124">
        <v>20</v>
      </c>
      <c r="G1746" s="124" t="s">
        <v>649</v>
      </c>
      <c r="H1746" s="486" t="s">
        <v>5866</v>
      </c>
      <c r="I1746" s="215" t="s">
        <v>816</v>
      </c>
      <c r="J1746" s="215" t="s">
        <v>77</v>
      </c>
      <c r="K1746" s="266">
        <v>49081070182</v>
      </c>
      <c r="L1746" s="265" t="s">
        <v>649</v>
      </c>
      <c r="M1746" s="266">
        <v>50049081070187</v>
      </c>
      <c r="N1746" s="264">
        <v>0.35</v>
      </c>
      <c r="O1746" s="265" t="s">
        <v>649</v>
      </c>
      <c r="P1746" s="265">
        <v>7</v>
      </c>
      <c r="Q1746" s="265">
        <v>0.93</v>
      </c>
    </row>
    <row r="1747" spans="1:17" ht="15" customHeight="1">
      <c r="A1747" s="147">
        <v>1825</v>
      </c>
      <c r="B1747" s="51" t="s">
        <v>34</v>
      </c>
      <c r="C1747" s="51" t="s">
        <v>1622</v>
      </c>
      <c r="D1747" s="51">
        <v>300002225</v>
      </c>
      <c r="E1747" s="53" t="s">
        <v>1623</v>
      </c>
      <c r="F1747" s="124">
        <v>24</v>
      </c>
      <c r="G1747" s="124" t="s">
        <v>649</v>
      </c>
      <c r="H1747" s="486" t="s">
        <v>5866</v>
      </c>
      <c r="I1747" s="215" t="s">
        <v>346</v>
      </c>
      <c r="J1747" s="215" t="s">
        <v>77</v>
      </c>
      <c r="K1747" s="266">
        <v>49081070151</v>
      </c>
      <c r="L1747" s="265" t="s">
        <v>649</v>
      </c>
      <c r="M1747" s="266">
        <v>50049081070156</v>
      </c>
      <c r="N1747" s="264">
        <v>0.16700000000000001</v>
      </c>
      <c r="O1747" s="265" t="s">
        <v>649</v>
      </c>
      <c r="P1747" s="265">
        <v>4</v>
      </c>
      <c r="Q1747" s="265">
        <v>0.93</v>
      </c>
    </row>
    <row r="1748" spans="1:17" ht="15" customHeight="1">
      <c r="A1748" s="147">
        <v>1826</v>
      </c>
      <c r="B1748" s="51" t="s">
        <v>34</v>
      </c>
      <c r="C1748" s="51" t="s">
        <v>1625</v>
      </c>
      <c r="D1748" s="51">
        <v>300002226</v>
      </c>
      <c r="E1748" s="53" t="s">
        <v>1626</v>
      </c>
      <c r="F1748" s="124">
        <v>24</v>
      </c>
      <c r="G1748" s="124" t="s">
        <v>649</v>
      </c>
      <c r="H1748" s="486" t="s">
        <v>5866</v>
      </c>
      <c r="I1748" s="215" t="s">
        <v>346</v>
      </c>
      <c r="J1748" s="215" t="s">
        <v>77</v>
      </c>
      <c r="K1748" s="266">
        <v>49081070168</v>
      </c>
      <c r="L1748" s="265" t="s">
        <v>649</v>
      </c>
      <c r="M1748" s="266">
        <v>50049081070163</v>
      </c>
      <c r="N1748" s="264">
        <v>0.20799999999999999</v>
      </c>
      <c r="O1748" s="265" t="s">
        <v>649</v>
      </c>
      <c r="P1748" s="265">
        <v>5</v>
      </c>
      <c r="Q1748" s="265">
        <v>0.93</v>
      </c>
    </row>
    <row r="1749" spans="1:17" ht="15" customHeight="1">
      <c r="A1749" s="147">
        <v>1827</v>
      </c>
      <c r="B1749" s="51" t="s">
        <v>34</v>
      </c>
      <c r="C1749" s="51" t="s">
        <v>1627</v>
      </c>
      <c r="D1749" s="51">
        <v>300002227</v>
      </c>
      <c r="E1749" s="53" t="s">
        <v>1628</v>
      </c>
      <c r="F1749" s="124">
        <v>50</v>
      </c>
      <c r="G1749" s="124" t="s">
        <v>649</v>
      </c>
      <c r="H1749" s="486" t="s">
        <v>5866</v>
      </c>
      <c r="I1749" s="215" t="s">
        <v>816</v>
      </c>
      <c r="J1749" s="215" t="s">
        <v>77</v>
      </c>
      <c r="K1749" s="266">
        <v>49081070199</v>
      </c>
      <c r="L1749" s="265" t="s">
        <v>649</v>
      </c>
      <c r="M1749" s="266">
        <v>50049081070194</v>
      </c>
      <c r="N1749" s="264">
        <v>0.04</v>
      </c>
      <c r="O1749" s="265" t="s">
        <v>649</v>
      </c>
      <c r="P1749" s="265">
        <v>2</v>
      </c>
      <c r="Q1749" s="265">
        <v>0.2</v>
      </c>
    </row>
    <row r="1750" spans="1:17" ht="15" customHeight="1">
      <c r="A1750" s="147">
        <v>1829</v>
      </c>
      <c r="B1750" s="51" t="s">
        <v>35</v>
      </c>
      <c r="C1750" s="51">
        <v>60</v>
      </c>
      <c r="D1750" s="51">
        <v>100025676</v>
      </c>
      <c r="E1750" s="53" t="s">
        <v>1636</v>
      </c>
      <c r="F1750" s="124" t="s">
        <v>649</v>
      </c>
      <c r="G1750" s="124">
        <v>570</v>
      </c>
      <c r="H1750" s="369">
        <v>17.46</v>
      </c>
      <c r="I1750" s="215" t="s">
        <v>76</v>
      </c>
      <c r="J1750" s="215" t="s">
        <v>102</v>
      </c>
      <c r="K1750" s="266">
        <v>49081801540</v>
      </c>
      <c r="L1750" s="265" t="s">
        <v>649</v>
      </c>
      <c r="M1750" s="265" t="s">
        <v>649</v>
      </c>
      <c r="N1750" s="264">
        <v>1.07</v>
      </c>
      <c r="O1750" s="265" t="s">
        <v>649</v>
      </c>
      <c r="P1750" s="265" t="s">
        <v>649</v>
      </c>
      <c r="Q1750" s="265" t="s">
        <v>649</v>
      </c>
    </row>
    <row r="1751" spans="1:17" ht="15" customHeight="1">
      <c r="A1751" s="147">
        <v>1830</v>
      </c>
      <c r="B1751" s="51" t="s">
        <v>35</v>
      </c>
      <c r="C1751" s="51">
        <v>61</v>
      </c>
      <c r="D1751" s="51">
        <v>100028499</v>
      </c>
      <c r="E1751" s="53" t="s">
        <v>1639</v>
      </c>
      <c r="F1751" s="124" t="s">
        <v>649</v>
      </c>
      <c r="G1751" s="124">
        <v>570</v>
      </c>
      <c r="H1751" s="369">
        <v>17.46</v>
      </c>
      <c r="I1751" s="215" t="s">
        <v>76</v>
      </c>
      <c r="J1751" s="215" t="s">
        <v>102</v>
      </c>
      <c r="K1751" s="266">
        <v>49081801588</v>
      </c>
      <c r="L1751" s="265" t="s">
        <v>649</v>
      </c>
      <c r="M1751" s="265" t="s">
        <v>649</v>
      </c>
      <c r="N1751" s="264">
        <v>1.07</v>
      </c>
      <c r="O1751" s="265" t="s">
        <v>649</v>
      </c>
      <c r="P1751" s="265" t="s">
        <v>649</v>
      </c>
      <c r="Q1751" s="265" t="s">
        <v>649</v>
      </c>
    </row>
    <row r="1752" spans="1:17" ht="15" customHeight="1">
      <c r="A1752" s="147">
        <v>1831</v>
      </c>
      <c r="B1752" s="51" t="s">
        <v>35</v>
      </c>
      <c r="C1752" s="51">
        <v>62</v>
      </c>
      <c r="D1752" s="51">
        <v>100028500</v>
      </c>
      <c r="E1752" s="53" t="s">
        <v>1640</v>
      </c>
      <c r="F1752" s="124" t="s">
        <v>649</v>
      </c>
      <c r="G1752" s="124">
        <v>570</v>
      </c>
      <c r="H1752" s="369">
        <v>17.46</v>
      </c>
      <c r="I1752" s="215" t="s">
        <v>76</v>
      </c>
      <c r="J1752" s="215" t="s">
        <v>102</v>
      </c>
      <c r="K1752" s="266">
        <v>49081801625</v>
      </c>
      <c r="L1752" s="265" t="s">
        <v>649</v>
      </c>
      <c r="M1752" s="265" t="s">
        <v>649</v>
      </c>
      <c r="N1752" s="264">
        <v>1.07</v>
      </c>
      <c r="O1752" s="265" t="s">
        <v>649</v>
      </c>
      <c r="P1752" s="265" t="s">
        <v>649</v>
      </c>
      <c r="Q1752" s="265" t="s">
        <v>649</v>
      </c>
    </row>
    <row r="1753" spans="1:17" ht="15" customHeight="1">
      <c r="A1753" s="147">
        <v>1832</v>
      </c>
      <c r="B1753" s="51" t="s">
        <v>35</v>
      </c>
      <c r="C1753" s="51">
        <v>64</v>
      </c>
      <c r="D1753" s="51">
        <v>100028502</v>
      </c>
      <c r="E1753" s="53" t="s">
        <v>1642</v>
      </c>
      <c r="F1753" s="124" t="s">
        <v>649</v>
      </c>
      <c r="G1753" s="124">
        <v>570</v>
      </c>
      <c r="H1753" s="369">
        <v>17.46</v>
      </c>
      <c r="I1753" s="215" t="s">
        <v>346</v>
      </c>
      <c r="J1753" s="215" t="s">
        <v>102</v>
      </c>
      <c r="K1753" s="266">
        <v>49081804442</v>
      </c>
      <c r="L1753" s="265" t="s">
        <v>649</v>
      </c>
      <c r="M1753" s="265" t="s">
        <v>649</v>
      </c>
      <c r="N1753" s="264">
        <v>1.07</v>
      </c>
      <c r="O1753" s="265" t="s">
        <v>649</v>
      </c>
      <c r="P1753" s="265" t="s">
        <v>649</v>
      </c>
      <c r="Q1753" s="265" t="s">
        <v>649</v>
      </c>
    </row>
    <row r="1754" spans="1:17" ht="15" customHeight="1">
      <c r="A1754" s="147">
        <v>1833</v>
      </c>
      <c r="B1754" s="51" t="s">
        <v>35</v>
      </c>
      <c r="C1754" s="51">
        <v>63</v>
      </c>
      <c r="D1754" s="51">
        <v>100028501</v>
      </c>
      <c r="E1754" s="53" t="s">
        <v>1643</v>
      </c>
      <c r="F1754" s="124" t="s">
        <v>649</v>
      </c>
      <c r="G1754" s="124">
        <v>570</v>
      </c>
      <c r="H1754" s="369">
        <v>17.46</v>
      </c>
      <c r="I1754" s="215" t="s">
        <v>346</v>
      </c>
      <c r="J1754" s="215" t="s">
        <v>102</v>
      </c>
      <c r="K1754" s="266">
        <v>49081801663</v>
      </c>
      <c r="L1754" s="265" t="s">
        <v>649</v>
      </c>
      <c r="M1754" s="265" t="s">
        <v>649</v>
      </c>
      <c r="N1754" s="264">
        <v>1.07</v>
      </c>
      <c r="O1754" s="265" t="s">
        <v>649</v>
      </c>
      <c r="P1754" s="265" t="s">
        <v>649</v>
      </c>
      <c r="Q1754" s="265" t="s">
        <v>649</v>
      </c>
    </row>
    <row r="1755" spans="1:17" ht="15" customHeight="1">
      <c r="A1755" s="147">
        <v>1834</v>
      </c>
      <c r="B1755" s="51" t="s">
        <v>35</v>
      </c>
      <c r="C1755" s="51" t="s">
        <v>1645</v>
      </c>
      <c r="D1755" s="51">
        <v>100025804</v>
      </c>
      <c r="E1755" s="53" t="s">
        <v>1646</v>
      </c>
      <c r="F1755" s="124" t="s">
        <v>649</v>
      </c>
      <c r="G1755" s="124">
        <v>570</v>
      </c>
      <c r="H1755" s="369">
        <v>17.46</v>
      </c>
      <c r="I1755" s="215" t="s">
        <v>76</v>
      </c>
      <c r="J1755" s="215" t="s">
        <v>102</v>
      </c>
      <c r="K1755" s="266">
        <v>49081804657</v>
      </c>
      <c r="L1755" s="265" t="s">
        <v>649</v>
      </c>
      <c r="M1755" s="265" t="s">
        <v>649</v>
      </c>
      <c r="N1755" s="264">
        <v>1.07</v>
      </c>
      <c r="O1755" s="265" t="s">
        <v>649</v>
      </c>
      <c r="P1755" s="265" t="s">
        <v>649</v>
      </c>
      <c r="Q1755" s="265" t="s">
        <v>649</v>
      </c>
    </row>
    <row r="1756" spans="1:17" ht="15" customHeight="1">
      <c r="A1756" s="147">
        <v>1835</v>
      </c>
      <c r="B1756" s="51" t="s">
        <v>35</v>
      </c>
      <c r="C1756" s="51" t="s">
        <v>1648</v>
      </c>
      <c r="D1756" s="51">
        <v>100025809</v>
      </c>
      <c r="E1756" s="53" t="s">
        <v>1649</v>
      </c>
      <c r="F1756" s="124" t="s">
        <v>649</v>
      </c>
      <c r="G1756" s="124">
        <v>570</v>
      </c>
      <c r="H1756" s="369">
        <v>17.46</v>
      </c>
      <c r="I1756" s="215" t="s">
        <v>346</v>
      </c>
      <c r="J1756" s="215" t="s">
        <v>102</v>
      </c>
      <c r="K1756" s="266">
        <v>49081804435</v>
      </c>
      <c r="L1756" s="265" t="s">
        <v>649</v>
      </c>
      <c r="M1756" s="265" t="s">
        <v>649</v>
      </c>
      <c r="N1756" s="264">
        <v>1.07</v>
      </c>
      <c r="O1756" s="265" t="s">
        <v>649</v>
      </c>
      <c r="P1756" s="265" t="s">
        <v>649</v>
      </c>
      <c r="Q1756" s="265" t="s">
        <v>649</v>
      </c>
    </row>
    <row r="1757" spans="1:17" ht="15" customHeight="1">
      <c r="A1757" s="147">
        <v>1836</v>
      </c>
      <c r="B1757" s="51" t="s">
        <v>35</v>
      </c>
      <c r="C1757" s="51" t="s">
        <v>1650</v>
      </c>
      <c r="D1757" s="51">
        <v>100025806</v>
      </c>
      <c r="E1757" s="53" t="s">
        <v>1651</v>
      </c>
      <c r="F1757" s="124" t="s">
        <v>649</v>
      </c>
      <c r="G1757" s="124">
        <v>570</v>
      </c>
      <c r="H1757" s="369">
        <v>17.46</v>
      </c>
      <c r="I1757" s="215" t="s">
        <v>76</v>
      </c>
      <c r="J1757" s="215" t="s">
        <v>102</v>
      </c>
      <c r="K1757" s="266">
        <v>49081807252</v>
      </c>
      <c r="L1757" s="265" t="s">
        <v>649</v>
      </c>
      <c r="M1757" s="265" t="s">
        <v>649</v>
      </c>
      <c r="N1757" s="264">
        <v>1.07</v>
      </c>
      <c r="O1757" s="265" t="s">
        <v>649</v>
      </c>
      <c r="P1757" s="265" t="s">
        <v>649</v>
      </c>
      <c r="Q1757" s="265" t="s">
        <v>649</v>
      </c>
    </row>
    <row r="1758" spans="1:17" ht="15" customHeight="1">
      <c r="A1758" s="147">
        <v>1837</v>
      </c>
      <c r="B1758" s="51" t="s">
        <v>35</v>
      </c>
      <c r="C1758" s="51" t="s">
        <v>1653</v>
      </c>
      <c r="D1758" s="51">
        <v>100025269</v>
      </c>
      <c r="E1758" s="53" t="s">
        <v>1654</v>
      </c>
      <c r="F1758" s="124" t="s">
        <v>649</v>
      </c>
      <c r="G1758" s="124">
        <v>570</v>
      </c>
      <c r="H1758" s="369">
        <v>17.46</v>
      </c>
      <c r="I1758" s="215" t="s">
        <v>76</v>
      </c>
      <c r="J1758" s="215" t="s">
        <v>102</v>
      </c>
      <c r="K1758" s="266">
        <v>49081801557</v>
      </c>
      <c r="L1758" s="265" t="s">
        <v>649</v>
      </c>
      <c r="M1758" s="265" t="s">
        <v>649</v>
      </c>
      <c r="N1758" s="264">
        <v>1.07</v>
      </c>
      <c r="O1758" s="265" t="s">
        <v>649</v>
      </c>
      <c r="P1758" s="265" t="s">
        <v>649</v>
      </c>
      <c r="Q1758" s="265" t="s">
        <v>649</v>
      </c>
    </row>
    <row r="1759" spans="1:17" ht="15" customHeight="1">
      <c r="A1759" s="147">
        <v>1838</v>
      </c>
      <c r="B1759" s="51" t="s">
        <v>35</v>
      </c>
      <c r="C1759" s="51" t="s">
        <v>1656</v>
      </c>
      <c r="D1759" s="51">
        <v>100025807</v>
      </c>
      <c r="E1759" s="53" t="s">
        <v>1657</v>
      </c>
      <c r="F1759" s="124" t="s">
        <v>649</v>
      </c>
      <c r="G1759" s="124">
        <v>570</v>
      </c>
      <c r="H1759" s="369">
        <v>17.46</v>
      </c>
      <c r="I1759" s="215" t="s">
        <v>76</v>
      </c>
      <c r="J1759" s="215" t="s">
        <v>102</v>
      </c>
      <c r="K1759" s="266">
        <v>49081801595</v>
      </c>
      <c r="L1759" s="265" t="s">
        <v>649</v>
      </c>
      <c r="M1759" s="265" t="s">
        <v>649</v>
      </c>
      <c r="N1759" s="264">
        <v>1.07</v>
      </c>
      <c r="O1759" s="265" t="s">
        <v>649</v>
      </c>
      <c r="P1759" s="265" t="s">
        <v>649</v>
      </c>
      <c r="Q1759" s="265" t="s">
        <v>649</v>
      </c>
    </row>
    <row r="1760" spans="1:17" ht="15" customHeight="1">
      <c r="A1760" s="147">
        <v>1839</v>
      </c>
      <c r="B1760" s="51" t="s">
        <v>35</v>
      </c>
      <c r="C1760" s="51">
        <v>70</v>
      </c>
      <c r="D1760" s="51">
        <v>100028506</v>
      </c>
      <c r="E1760" s="53" t="s">
        <v>1659</v>
      </c>
      <c r="F1760" s="124" t="s">
        <v>649</v>
      </c>
      <c r="G1760" s="124">
        <v>240</v>
      </c>
      <c r="H1760" s="369">
        <v>39.03</v>
      </c>
      <c r="I1760" s="215" t="s">
        <v>346</v>
      </c>
      <c r="J1760" s="215" t="s">
        <v>102</v>
      </c>
      <c r="K1760" s="266">
        <v>49081801670</v>
      </c>
      <c r="L1760" s="265" t="s">
        <v>649</v>
      </c>
      <c r="M1760" s="265" t="s">
        <v>649</v>
      </c>
      <c r="N1760" s="264">
        <v>1.07</v>
      </c>
      <c r="O1760" s="265" t="s">
        <v>649</v>
      </c>
      <c r="P1760" s="265" t="s">
        <v>649</v>
      </c>
      <c r="Q1760" s="265" t="s">
        <v>649</v>
      </c>
    </row>
    <row r="1761" spans="1:17" ht="15" customHeight="1">
      <c r="A1761" s="147">
        <v>1840</v>
      </c>
      <c r="B1761" s="51" t="s">
        <v>35</v>
      </c>
      <c r="C1761" s="51">
        <v>71</v>
      </c>
      <c r="D1761" s="51">
        <v>100028507</v>
      </c>
      <c r="E1761" s="53" t="s">
        <v>1660</v>
      </c>
      <c r="F1761" s="124" t="s">
        <v>649</v>
      </c>
      <c r="G1761" s="124">
        <v>240</v>
      </c>
      <c r="H1761" s="369">
        <v>39.03</v>
      </c>
      <c r="I1761" s="215" t="s">
        <v>76</v>
      </c>
      <c r="J1761" s="215">
        <v>6</v>
      </c>
      <c r="K1761" s="266">
        <v>49081801717</v>
      </c>
      <c r="L1761" s="265" t="s">
        <v>649</v>
      </c>
      <c r="M1761" s="265" t="s">
        <v>649</v>
      </c>
      <c r="N1761" s="264">
        <v>1.07</v>
      </c>
      <c r="O1761" s="265" t="s">
        <v>649</v>
      </c>
      <c r="P1761" s="265" t="s">
        <v>649</v>
      </c>
      <c r="Q1761" s="265" t="s">
        <v>649</v>
      </c>
    </row>
    <row r="1762" spans="1:17" ht="15" customHeight="1">
      <c r="A1762" s="147">
        <v>1841</v>
      </c>
      <c r="B1762" s="51" t="s">
        <v>35</v>
      </c>
      <c r="C1762" s="51">
        <v>74</v>
      </c>
      <c r="D1762" s="51">
        <v>100028510</v>
      </c>
      <c r="E1762" s="53" t="s">
        <v>1661</v>
      </c>
      <c r="F1762" s="124" t="s">
        <v>649</v>
      </c>
      <c r="G1762" s="124">
        <v>240</v>
      </c>
      <c r="H1762" s="369">
        <v>39.03</v>
      </c>
      <c r="I1762" s="215" t="s">
        <v>346</v>
      </c>
      <c r="J1762" s="215" t="s">
        <v>102</v>
      </c>
      <c r="K1762" s="266">
        <v>49081801809</v>
      </c>
      <c r="L1762" s="265" t="s">
        <v>649</v>
      </c>
      <c r="M1762" s="265" t="s">
        <v>649</v>
      </c>
      <c r="N1762" s="264">
        <v>1.07</v>
      </c>
      <c r="O1762" s="265" t="s">
        <v>649</v>
      </c>
      <c r="P1762" s="265" t="s">
        <v>649</v>
      </c>
      <c r="Q1762" s="265" t="s">
        <v>649</v>
      </c>
    </row>
    <row r="1763" spans="1:17" ht="15" customHeight="1">
      <c r="A1763" s="147">
        <v>1842</v>
      </c>
      <c r="B1763" s="51" t="s">
        <v>35</v>
      </c>
      <c r="C1763" s="51">
        <v>73</v>
      </c>
      <c r="D1763" s="51">
        <v>100028509</v>
      </c>
      <c r="E1763" s="53" t="s">
        <v>1662</v>
      </c>
      <c r="F1763" s="124" t="s">
        <v>649</v>
      </c>
      <c r="G1763" s="124">
        <v>240</v>
      </c>
      <c r="H1763" s="369">
        <v>39.03</v>
      </c>
      <c r="I1763" s="215" t="s">
        <v>76</v>
      </c>
      <c r="J1763" s="215" t="s">
        <v>102</v>
      </c>
      <c r="K1763" s="266">
        <v>49081801793</v>
      </c>
      <c r="L1763" s="265" t="s">
        <v>649</v>
      </c>
      <c r="M1763" s="265" t="s">
        <v>649</v>
      </c>
      <c r="N1763" s="264">
        <v>1.07</v>
      </c>
      <c r="O1763" s="265" t="s">
        <v>649</v>
      </c>
      <c r="P1763" s="265" t="s">
        <v>649</v>
      </c>
      <c r="Q1763" s="265" t="s">
        <v>649</v>
      </c>
    </row>
    <row r="1764" spans="1:17" ht="15" customHeight="1">
      <c r="A1764" s="147">
        <v>1843</v>
      </c>
      <c r="B1764" s="51" t="s">
        <v>35</v>
      </c>
      <c r="C1764" s="51" t="s">
        <v>1663</v>
      </c>
      <c r="D1764" s="51">
        <v>100025825</v>
      </c>
      <c r="E1764" s="53" t="s">
        <v>1664</v>
      </c>
      <c r="F1764" s="124" t="s">
        <v>649</v>
      </c>
      <c r="G1764" s="124">
        <v>240</v>
      </c>
      <c r="H1764" s="369">
        <v>39.03</v>
      </c>
      <c r="I1764" s="215" t="s">
        <v>346</v>
      </c>
      <c r="J1764" s="215" t="s">
        <v>102</v>
      </c>
      <c r="K1764" s="266">
        <v>49081801816</v>
      </c>
      <c r="L1764" s="265" t="s">
        <v>649</v>
      </c>
      <c r="M1764" s="265" t="s">
        <v>649</v>
      </c>
      <c r="N1764" s="264">
        <v>1.07</v>
      </c>
      <c r="O1764" s="265" t="s">
        <v>649</v>
      </c>
      <c r="P1764" s="265" t="s">
        <v>649</v>
      </c>
      <c r="Q1764" s="265" t="s">
        <v>649</v>
      </c>
    </row>
    <row r="1765" spans="1:17" ht="15" customHeight="1">
      <c r="A1765" s="147">
        <v>1844</v>
      </c>
      <c r="B1765" s="51" t="s">
        <v>35</v>
      </c>
      <c r="C1765" s="51" t="s">
        <v>1665</v>
      </c>
      <c r="D1765" s="51">
        <v>100025302</v>
      </c>
      <c r="E1765" s="53" t="s">
        <v>1666</v>
      </c>
      <c r="F1765" s="124" t="s">
        <v>649</v>
      </c>
      <c r="G1765" s="124">
        <v>240</v>
      </c>
      <c r="H1765" s="369">
        <v>39.03</v>
      </c>
      <c r="I1765" s="215" t="s">
        <v>346</v>
      </c>
      <c r="J1765" s="215" t="s">
        <v>102</v>
      </c>
      <c r="K1765" s="266">
        <v>49081801823</v>
      </c>
      <c r="L1765" s="265" t="s">
        <v>649</v>
      </c>
      <c r="M1765" s="265" t="s">
        <v>649</v>
      </c>
      <c r="N1765" s="264">
        <v>1.07</v>
      </c>
      <c r="O1765" s="265" t="s">
        <v>649</v>
      </c>
      <c r="P1765" s="265" t="s">
        <v>649</v>
      </c>
      <c r="Q1765" s="265" t="s">
        <v>649</v>
      </c>
    </row>
    <row r="1766" spans="1:17" ht="15" customHeight="1">
      <c r="A1766" s="147">
        <v>1845</v>
      </c>
      <c r="B1766" s="51" t="s">
        <v>35</v>
      </c>
      <c r="C1766" s="51">
        <v>100</v>
      </c>
      <c r="D1766" s="51">
        <v>100028513</v>
      </c>
      <c r="E1766" s="53" t="s">
        <v>1669</v>
      </c>
      <c r="F1766" s="124" t="s">
        <v>649</v>
      </c>
      <c r="G1766" s="124">
        <v>156</v>
      </c>
      <c r="H1766" s="369">
        <v>47.82</v>
      </c>
      <c r="I1766" s="215" t="s">
        <v>76</v>
      </c>
      <c r="J1766" s="215" t="s">
        <v>102</v>
      </c>
      <c r="K1766" s="266">
        <v>49081801885</v>
      </c>
      <c r="L1766" s="265" t="s">
        <v>649</v>
      </c>
      <c r="M1766" s="265" t="s">
        <v>649</v>
      </c>
      <c r="N1766" s="264">
        <v>3.39</v>
      </c>
      <c r="O1766" s="265" t="s">
        <v>649</v>
      </c>
      <c r="P1766" s="265" t="s">
        <v>649</v>
      </c>
      <c r="Q1766" s="265" t="s">
        <v>649</v>
      </c>
    </row>
    <row r="1767" spans="1:17" ht="15" customHeight="1">
      <c r="A1767" s="147">
        <v>1846</v>
      </c>
      <c r="B1767" s="51" t="s">
        <v>35</v>
      </c>
      <c r="C1767" s="51">
        <v>101</v>
      </c>
      <c r="D1767" s="51">
        <v>100028514</v>
      </c>
      <c r="E1767" s="53" t="s">
        <v>1670</v>
      </c>
      <c r="F1767" s="124" t="s">
        <v>649</v>
      </c>
      <c r="G1767" s="124">
        <v>156</v>
      </c>
      <c r="H1767" s="369">
        <v>47.82</v>
      </c>
      <c r="I1767" s="215" t="s">
        <v>76</v>
      </c>
      <c r="J1767" s="215" t="s">
        <v>102</v>
      </c>
      <c r="K1767" s="266">
        <v>49081801946</v>
      </c>
      <c r="L1767" s="265" t="s">
        <v>649</v>
      </c>
      <c r="M1767" s="265" t="s">
        <v>649</v>
      </c>
      <c r="N1767" s="264">
        <v>3.39</v>
      </c>
      <c r="O1767" s="265" t="s">
        <v>649</v>
      </c>
      <c r="P1767" s="265" t="s">
        <v>649</v>
      </c>
      <c r="Q1767" s="265" t="s">
        <v>649</v>
      </c>
    </row>
    <row r="1768" spans="1:17" ht="15" customHeight="1">
      <c r="A1768" s="147">
        <v>1847</v>
      </c>
      <c r="B1768" s="51" t="s">
        <v>35</v>
      </c>
      <c r="C1768" s="51">
        <v>102</v>
      </c>
      <c r="D1768" s="51">
        <v>100028515</v>
      </c>
      <c r="E1768" s="53" t="s">
        <v>1671</v>
      </c>
      <c r="F1768" s="124" t="s">
        <v>649</v>
      </c>
      <c r="G1768" s="124">
        <v>156</v>
      </c>
      <c r="H1768" s="369">
        <v>47.82</v>
      </c>
      <c r="I1768" s="215" t="s">
        <v>76</v>
      </c>
      <c r="J1768" s="215" t="s">
        <v>102</v>
      </c>
      <c r="K1768" s="266">
        <v>49081802004</v>
      </c>
      <c r="L1768" s="265" t="s">
        <v>649</v>
      </c>
      <c r="M1768" s="265" t="s">
        <v>649</v>
      </c>
      <c r="N1768" s="264">
        <v>3.39</v>
      </c>
      <c r="O1768" s="265" t="s">
        <v>649</v>
      </c>
      <c r="P1768" s="265" t="s">
        <v>649</v>
      </c>
      <c r="Q1768" s="265" t="s">
        <v>649</v>
      </c>
    </row>
    <row r="1769" spans="1:17" ht="15" customHeight="1">
      <c r="A1769" s="147">
        <v>1848</v>
      </c>
      <c r="B1769" s="51" t="s">
        <v>35</v>
      </c>
      <c r="C1769" s="51">
        <v>104</v>
      </c>
      <c r="D1769" s="51">
        <v>100028517</v>
      </c>
      <c r="E1769" s="53" t="s">
        <v>1672</v>
      </c>
      <c r="F1769" s="124" t="s">
        <v>649</v>
      </c>
      <c r="G1769" s="124">
        <v>156</v>
      </c>
      <c r="H1769" s="369">
        <v>47.82</v>
      </c>
      <c r="I1769" s="215" t="s">
        <v>76</v>
      </c>
      <c r="J1769" s="215" t="s">
        <v>102</v>
      </c>
      <c r="K1769" s="266">
        <v>49081802073</v>
      </c>
      <c r="L1769" s="265" t="s">
        <v>649</v>
      </c>
      <c r="M1769" s="265" t="s">
        <v>649</v>
      </c>
      <c r="N1769" s="264">
        <v>3.39</v>
      </c>
      <c r="O1769" s="265" t="s">
        <v>649</v>
      </c>
      <c r="P1769" s="265" t="s">
        <v>649</v>
      </c>
      <c r="Q1769" s="265" t="s">
        <v>649</v>
      </c>
    </row>
    <row r="1770" spans="1:17" ht="15" customHeight="1">
      <c r="A1770" s="147">
        <v>1849</v>
      </c>
      <c r="B1770" s="51" t="s">
        <v>35</v>
      </c>
      <c r="C1770" s="51" t="s">
        <v>1673</v>
      </c>
      <c r="D1770" s="51">
        <v>100025678</v>
      </c>
      <c r="E1770" s="53" t="s">
        <v>1674</v>
      </c>
      <c r="F1770" s="124" t="s">
        <v>649</v>
      </c>
      <c r="G1770" s="124">
        <v>156</v>
      </c>
      <c r="H1770" s="369">
        <v>47.82</v>
      </c>
      <c r="I1770" s="215" t="s">
        <v>346</v>
      </c>
      <c r="J1770" s="215" t="s">
        <v>102</v>
      </c>
      <c r="K1770" s="266">
        <v>49081807344</v>
      </c>
      <c r="L1770" s="265" t="s">
        <v>649</v>
      </c>
      <c r="M1770" s="265" t="s">
        <v>649</v>
      </c>
      <c r="N1770" s="264">
        <v>3.2850000000000001</v>
      </c>
      <c r="O1770" s="265" t="s">
        <v>649</v>
      </c>
      <c r="P1770" s="265" t="s">
        <v>649</v>
      </c>
      <c r="Q1770" s="265" t="s">
        <v>649</v>
      </c>
    </row>
    <row r="1771" spans="1:17" ht="15" customHeight="1">
      <c r="A1771" s="147">
        <v>1850</v>
      </c>
      <c r="B1771" s="51" t="s">
        <v>35</v>
      </c>
      <c r="C1771" s="51" t="s">
        <v>1676</v>
      </c>
      <c r="D1771" s="51">
        <v>100025685</v>
      </c>
      <c r="E1771" s="53" t="s">
        <v>1677</v>
      </c>
      <c r="F1771" s="124" t="s">
        <v>649</v>
      </c>
      <c r="G1771" s="124">
        <v>156</v>
      </c>
      <c r="H1771" s="369">
        <v>47.82</v>
      </c>
      <c r="I1771" s="215" t="s">
        <v>76</v>
      </c>
      <c r="J1771" s="215" t="s">
        <v>102</v>
      </c>
      <c r="K1771" s="266">
        <v>49081804404</v>
      </c>
      <c r="L1771" s="265" t="s">
        <v>649</v>
      </c>
      <c r="M1771" s="265" t="s">
        <v>649</v>
      </c>
      <c r="N1771" s="264">
        <v>3.19</v>
      </c>
      <c r="O1771" s="265" t="s">
        <v>649</v>
      </c>
      <c r="P1771" s="265" t="s">
        <v>649</v>
      </c>
      <c r="Q1771" s="265" t="s">
        <v>649</v>
      </c>
    </row>
    <row r="1772" spans="1:17" ht="15" customHeight="1">
      <c r="A1772" s="147">
        <v>1851</v>
      </c>
      <c r="B1772" s="51" t="s">
        <v>35</v>
      </c>
      <c r="C1772" s="51">
        <v>103</v>
      </c>
      <c r="D1772" s="51">
        <v>100028516</v>
      </c>
      <c r="E1772" s="53" t="s">
        <v>1678</v>
      </c>
      <c r="F1772" s="124" t="s">
        <v>649</v>
      </c>
      <c r="G1772" s="124">
        <v>156</v>
      </c>
      <c r="H1772" s="369">
        <v>47.82</v>
      </c>
      <c r="I1772" s="215" t="s">
        <v>346</v>
      </c>
      <c r="J1772" s="215" t="s">
        <v>102</v>
      </c>
      <c r="K1772" s="266">
        <v>49081802066</v>
      </c>
      <c r="L1772" s="265" t="s">
        <v>649</v>
      </c>
      <c r="M1772" s="265" t="s">
        <v>649</v>
      </c>
      <c r="N1772" s="264">
        <v>3.39</v>
      </c>
      <c r="O1772" s="265" t="s">
        <v>649</v>
      </c>
      <c r="P1772" s="265" t="s">
        <v>649</v>
      </c>
      <c r="Q1772" s="265" t="s">
        <v>649</v>
      </c>
    </row>
    <row r="1773" spans="1:17" ht="15" customHeight="1">
      <c r="A1773" s="147">
        <v>1852</v>
      </c>
      <c r="B1773" s="51" t="s">
        <v>35</v>
      </c>
      <c r="C1773" s="51" t="s">
        <v>1679</v>
      </c>
      <c r="D1773" s="51">
        <v>100025679</v>
      </c>
      <c r="E1773" s="53" t="s">
        <v>1680</v>
      </c>
      <c r="F1773" s="124" t="s">
        <v>649</v>
      </c>
      <c r="G1773" s="124">
        <v>156</v>
      </c>
      <c r="H1773" s="369">
        <v>47.82</v>
      </c>
      <c r="I1773" s="215" t="s">
        <v>76</v>
      </c>
      <c r="J1773" s="215" t="s">
        <v>102</v>
      </c>
      <c r="K1773" s="266">
        <v>49081801915</v>
      </c>
      <c r="L1773" s="265" t="s">
        <v>649</v>
      </c>
      <c r="M1773" s="265" t="s">
        <v>649</v>
      </c>
      <c r="N1773" s="264">
        <v>3.39</v>
      </c>
      <c r="O1773" s="265" t="s">
        <v>649</v>
      </c>
      <c r="P1773" s="265" t="s">
        <v>649</v>
      </c>
      <c r="Q1773" s="265" t="s">
        <v>649</v>
      </c>
    </row>
    <row r="1774" spans="1:17" ht="15" customHeight="1">
      <c r="A1774" s="147">
        <v>1853</v>
      </c>
      <c r="B1774" s="51" t="s">
        <v>35</v>
      </c>
      <c r="C1774" s="51" t="s">
        <v>1681</v>
      </c>
      <c r="D1774" s="51">
        <v>100025688</v>
      </c>
      <c r="E1774" s="53" t="s">
        <v>1682</v>
      </c>
      <c r="F1774" s="124" t="s">
        <v>649</v>
      </c>
      <c r="G1774" s="124">
        <v>156</v>
      </c>
      <c r="H1774" s="369">
        <v>47.82</v>
      </c>
      <c r="I1774" s="215" t="s">
        <v>76</v>
      </c>
      <c r="J1774" s="215" t="s">
        <v>102</v>
      </c>
      <c r="K1774" s="266">
        <v>49081801977</v>
      </c>
      <c r="L1774" s="265" t="s">
        <v>649</v>
      </c>
      <c r="M1774" s="265" t="s">
        <v>649</v>
      </c>
      <c r="N1774" s="264">
        <v>3.39</v>
      </c>
      <c r="O1774" s="265" t="s">
        <v>649</v>
      </c>
      <c r="P1774" s="265" t="s">
        <v>649</v>
      </c>
      <c r="Q1774" s="265" t="s">
        <v>649</v>
      </c>
    </row>
    <row r="1775" spans="1:17" ht="15" customHeight="1">
      <c r="A1775" s="147">
        <v>1854</v>
      </c>
      <c r="B1775" s="51" t="s">
        <v>35</v>
      </c>
      <c r="C1775" s="51" t="s">
        <v>1683</v>
      </c>
      <c r="D1775" s="51">
        <v>100025681</v>
      </c>
      <c r="E1775" s="53" t="s">
        <v>1684</v>
      </c>
      <c r="F1775" s="124" t="s">
        <v>649</v>
      </c>
      <c r="G1775" s="124">
        <v>156</v>
      </c>
      <c r="H1775" s="369">
        <v>47.82</v>
      </c>
      <c r="I1775" s="215" t="s">
        <v>76</v>
      </c>
      <c r="J1775" s="215" t="s">
        <v>102</v>
      </c>
      <c r="K1775" s="266">
        <v>49081801939</v>
      </c>
      <c r="L1775" s="265" t="s">
        <v>649</v>
      </c>
      <c r="M1775" s="265" t="s">
        <v>649</v>
      </c>
      <c r="N1775" s="264">
        <v>3.39</v>
      </c>
      <c r="O1775" s="265" t="s">
        <v>649</v>
      </c>
      <c r="P1775" s="265" t="s">
        <v>649</v>
      </c>
      <c r="Q1775" s="265" t="s">
        <v>649</v>
      </c>
    </row>
    <row r="1776" spans="1:17" ht="15" customHeight="1">
      <c r="A1776" s="147">
        <v>1855</v>
      </c>
      <c r="B1776" s="51" t="s">
        <v>35</v>
      </c>
      <c r="C1776" s="51" t="s">
        <v>1685</v>
      </c>
      <c r="D1776" s="51">
        <v>100025102</v>
      </c>
      <c r="E1776" s="53" t="s">
        <v>1686</v>
      </c>
      <c r="F1776" s="124" t="s">
        <v>649</v>
      </c>
      <c r="G1776" s="124">
        <v>156</v>
      </c>
      <c r="H1776" s="369">
        <v>47.82</v>
      </c>
      <c r="I1776" s="215" t="s">
        <v>346</v>
      </c>
      <c r="J1776" s="215" t="s">
        <v>102</v>
      </c>
      <c r="K1776" s="266">
        <v>49081801991</v>
      </c>
      <c r="L1776" s="265" t="s">
        <v>649</v>
      </c>
      <c r="M1776" s="265" t="s">
        <v>649</v>
      </c>
      <c r="N1776" s="264">
        <v>3.39</v>
      </c>
      <c r="O1776" s="265" t="s">
        <v>649</v>
      </c>
      <c r="P1776" s="265" t="s">
        <v>649</v>
      </c>
      <c r="Q1776" s="265" t="s">
        <v>649</v>
      </c>
    </row>
    <row r="1777" spans="1:17" ht="15" customHeight="1">
      <c r="A1777" s="147">
        <v>1856</v>
      </c>
      <c r="B1777" s="51" t="s">
        <v>35</v>
      </c>
      <c r="C1777" s="51" t="s">
        <v>1687</v>
      </c>
      <c r="D1777" s="51">
        <v>100025114</v>
      </c>
      <c r="E1777" s="53" t="s">
        <v>1688</v>
      </c>
      <c r="F1777" s="124" t="s">
        <v>649</v>
      </c>
      <c r="G1777" s="124">
        <v>156</v>
      </c>
      <c r="H1777" s="369">
        <v>47.82</v>
      </c>
      <c r="I1777" s="215" t="s">
        <v>346</v>
      </c>
      <c r="J1777" s="215" t="s">
        <v>102</v>
      </c>
      <c r="K1777" s="266">
        <v>49081802127</v>
      </c>
      <c r="L1777" s="265" t="s">
        <v>649</v>
      </c>
      <c r="M1777" s="265" t="s">
        <v>649</v>
      </c>
      <c r="N1777" s="264">
        <v>3.39</v>
      </c>
      <c r="O1777" s="265" t="s">
        <v>649</v>
      </c>
      <c r="P1777" s="265" t="s">
        <v>649</v>
      </c>
      <c r="Q1777" s="265" t="s">
        <v>649</v>
      </c>
    </row>
    <row r="1778" spans="1:17" ht="15" customHeight="1">
      <c r="A1778" s="147">
        <v>1857</v>
      </c>
      <c r="B1778" s="51" t="s">
        <v>35</v>
      </c>
      <c r="C1778" s="51" t="s">
        <v>1689</v>
      </c>
      <c r="D1778" s="51">
        <v>100025099</v>
      </c>
      <c r="E1778" s="53" t="s">
        <v>1690</v>
      </c>
      <c r="F1778" s="124" t="s">
        <v>649</v>
      </c>
      <c r="G1778" s="124">
        <v>156</v>
      </c>
      <c r="H1778" s="369">
        <v>47.82</v>
      </c>
      <c r="I1778" s="215" t="s">
        <v>346</v>
      </c>
      <c r="J1778" s="215" t="s">
        <v>102</v>
      </c>
      <c r="K1778" s="266">
        <v>49081804817</v>
      </c>
      <c r="L1778" s="265" t="s">
        <v>649</v>
      </c>
      <c r="M1778" s="265" t="s">
        <v>649</v>
      </c>
      <c r="N1778" s="264">
        <v>3.19</v>
      </c>
      <c r="O1778" s="265" t="s">
        <v>649</v>
      </c>
      <c r="P1778" s="265" t="s">
        <v>649</v>
      </c>
      <c r="Q1778" s="265" t="s">
        <v>649</v>
      </c>
    </row>
    <row r="1779" spans="1:17" ht="15" customHeight="1">
      <c r="A1779" s="147">
        <v>1858</v>
      </c>
      <c r="B1779" s="51" t="s">
        <v>35</v>
      </c>
      <c r="C1779" s="51" t="s">
        <v>1692</v>
      </c>
      <c r="D1779" s="51">
        <v>100025112</v>
      </c>
      <c r="E1779" s="53" t="s">
        <v>1693</v>
      </c>
      <c r="F1779" s="124" t="s">
        <v>649</v>
      </c>
      <c r="G1779" s="124">
        <v>156</v>
      </c>
      <c r="H1779" s="369">
        <v>47.82</v>
      </c>
      <c r="I1779" s="215" t="s">
        <v>346</v>
      </c>
      <c r="J1779" s="215" t="s">
        <v>102</v>
      </c>
      <c r="K1779" s="266">
        <v>49081804770</v>
      </c>
      <c r="L1779" s="265" t="s">
        <v>649</v>
      </c>
      <c r="M1779" s="265" t="s">
        <v>649</v>
      </c>
      <c r="N1779" s="264">
        <v>3.39</v>
      </c>
      <c r="O1779" s="265" t="s">
        <v>649</v>
      </c>
      <c r="P1779" s="265" t="s">
        <v>649</v>
      </c>
      <c r="Q1779" s="265" t="s">
        <v>649</v>
      </c>
    </row>
    <row r="1780" spans="1:17" ht="15" customHeight="1">
      <c r="A1780" s="147">
        <v>1859</v>
      </c>
      <c r="B1780" s="51" t="s">
        <v>35</v>
      </c>
      <c r="C1780" s="51" t="s">
        <v>1695</v>
      </c>
      <c r="D1780" s="51">
        <v>100025086</v>
      </c>
      <c r="E1780" s="53" t="s">
        <v>1696</v>
      </c>
      <c r="F1780" s="124" t="s">
        <v>649</v>
      </c>
      <c r="G1780" s="124">
        <v>156</v>
      </c>
      <c r="H1780" s="369">
        <v>47.82</v>
      </c>
      <c r="I1780" s="215" t="s">
        <v>76</v>
      </c>
      <c r="J1780" s="215" t="s">
        <v>102</v>
      </c>
      <c r="K1780" s="266">
        <v>49081801892</v>
      </c>
      <c r="L1780" s="265" t="s">
        <v>649</v>
      </c>
      <c r="M1780" s="265" t="s">
        <v>649</v>
      </c>
      <c r="N1780" s="264">
        <v>3.39</v>
      </c>
      <c r="O1780" s="265" t="s">
        <v>649</v>
      </c>
      <c r="P1780" s="265" t="s">
        <v>649</v>
      </c>
      <c r="Q1780" s="265" t="s">
        <v>649</v>
      </c>
    </row>
    <row r="1781" spans="1:17" ht="15" customHeight="1">
      <c r="A1781" s="147">
        <v>1860</v>
      </c>
      <c r="B1781" s="51" t="s">
        <v>35</v>
      </c>
      <c r="C1781" s="51" t="s">
        <v>1697</v>
      </c>
      <c r="D1781" s="51">
        <v>100025683</v>
      </c>
      <c r="E1781" s="53" t="s">
        <v>1698</v>
      </c>
      <c r="F1781" s="124" t="s">
        <v>649</v>
      </c>
      <c r="G1781" s="124">
        <v>156</v>
      </c>
      <c r="H1781" s="369">
        <v>47.82</v>
      </c>
      <c r="I1781" s="215" t="s">
        <v>346</v>
      </c>
      <c r="J1781" s="215" t="s">
        <v>102</v>
      </c>
      <c r="K1781" s="266">
        <v>49081801953</v>
      </c>
      <c r="L1781" s="265" t="s">
        <v>649</v>
      </c>
      <c r="M1781" s="265" t="s">
        <v>649</v>
      </c>
      <c r="N1781" s="264">
        <v>3.39</v>
      </c>
      <c r="O1781" s="265" t="s">
        <v>649</v>
      </c>
      <c r="P1781" s="265" t="s">
        <v>649</v>
      </c>
      <c r="Q1781" s="265" t="s">
        <v>649</v>
      </c>
    </row>
    <row r="1782" spans="1:17" ht="15" customHeight="1">
      <c r="A1782" s="147">
        <v>1861</v>
      </c>
      <c r="B1782" s="51" t="s">
        <v>35</v>
      </c>
      <c r="C1782" s="51" t="s">
        <v>1699</v>
      </c>
      <c r="D1782" s="51">
        <v>100025693</v>
      </c>
      <c r="E1782" s="53" t="s">
        <v>1700</v>
      </c>
      <c r="F1782" s="124" t="s">
        <v>649</v>
      </c>
      <c r="G1782" s="124">
        <v>156</v>
      </c>
      <c r="H1782" s="369">
        <v>47.82</v>
      </c>
      <c r="I1782" s="215" t="s">
        <v>346</v>
      </c>
      <c r="J1782" s="215" t="s">
        <v>102</v>
      </c>
      <c r="K1782" s="266">
        <v>49081802080</v>
      </c>
      <c r="L1782" s="265" t="s">
        <v>649</v>
      </c>
      <c r="M1782" s="265" t="s">
        <v>649</v>
      </c>
      <c r="N1782" s="264">
        <v>3.39</v>
      </c>
      <c r="O1782" s="265" t="s">
        <v>649</v>
      </c>
      <c r="P1782" s="265" t="s">
        <v>649</v>
      </c>
      <c r="Q1782" s="265" t="s">
        <v>649</v>
      </c>
    </row>
    <row r="1783" spans="1:17" ht="15" customHeight="1">
      <c r="A1783" s="147">
        <v>1862</v>
      </c>
      <c r="B1783" s="51" t="s">
        <v>35</v>
      </c>
      <c r="C1783" s="51" t="s">
        <v>1701</v>
      </c>
      <c r="D1783" s="51">
        <v>100025088</v>
      </c>
      <c r="E1783" s="53" t="s">
        <v>1702</v>
      </c>
      <c r="F1783" s="124" t="s">
        <v>649</v>
      </c>
      <c r="G1783" s="124">
        <v>156</v>
      </c>
      <c r="H1783" s="369">
        <v>47.82</v>
      </c>
      <c r="I1783" s="215" t="s">
        <v>346</v>
      </c>
      <c r="J1783" s="215" t="s">
        <v>102</v>
      </c>
      <c r="K1783" s="266">
        <v>49081801908</v>
      </c>
      <c r="L1783" s="265" t="s">
        <v>649</v>
      </c>
      <c r="M1783" s="265" t="s">
        <v>649</v>
      </c>
      <c r="N1783" s="264">
        <v>3.39</v>
      </c>
      <c r="O1783" s="265" t="s">
        <v>649</v>
      </c>
      <c r="P1783" s="265" t="s">
        <v>649</v>
      </c>
      <c r="Q1783" s="265" t="s">
        <v>649</v>
      </c>
    </row>
    <row r="1784" spans="1:17" ht="15" customHeight="1">
      <c r="A1784" s="147">
        <v>1863</v>
      </c>
      <c r="B1784" s="51" t="s">
        <v>35</v>
      </c>
      <c r="C1784" s="51" t="s">
        <v>1703</v>
      </c>
      <c r="D1784" s="51">
        <v>100025097</v>
      </c>
      <c r="E1784" s="53" t="s">
        <v>1704</v>
      </c>
      <c r="F1784" s="124" t="s">
        <v>649</v>
      </c>
      <c r="G1784" s="124">
        <v>156</v>
      </c>
      <c r="H1784" s="369">
        <v>47.82</v>
      </c>
      <c r="I1784" s="215" t="s">
        <v>346</v>
      </c>
      <c r="J1784" s="215" t="s">
        <v>102</v>
      </c>
      <c r="K1784" s="266">
        <v>49081801960</v>
      </c>
      <c r="L1784" s="265" t="s">
        <v>649</v>
      </c>
      <c r="M1784" s="265" t="s">
        <v>649</v>
      </c>
      <c r="N1784" s="264">
        <v>3.39</v>
      </c>
      <c r="O1784" s="265" t="s">
        <v>649</v>
      </c>
      <c r="P1784" s="265" t="s">
        <v>649</v>
      </c>
      <c r="Q1784" s="265" t="s">
        <v>649</v>
      </c>
    </row>
    <row r="1785" spans="1:17" ht="15" customHeight="1">
      <c r="A1785" s="147">
        <v>1864</v>
      </c>
      <c r="B1785" s="51" t="s">
        <v>35</v>
      </c>
      <c r="C1785" s="51" t="s">
        <v>1705</v>
      </c>
      <c r="D1785" s="51">
        <v>100025101</v>
      </c>
      <c r="E1785" s="53" t="s">
        <v>1706</v>
      </c>
      <c r="F1785" s="124" t="s">
        <v>649</v>
      </c>
      <c r="G1785" s="124">
        <v>156</v>
      </c>
      <c r="H1785" s="369">
        <v>47.82</v>
      </c>
      <c r="I1785" s="215" t="s">
        <v>346</v>
      </c>
      <c r="J1785" s="215" t="s">
        <v>102</v>
      </c>
      <c r="K1785" s="266">
        <v>49081801984</v>
      </c>
      <c r="L1785" s="265" t="s">
        <v>649</v>
      </c>
      <c r="M1785" s="265" t="s">
        <v>649</v>
      </c>
      <c r="N1785" s="264">
        <v>3.39</v>
      </c>
      <c r="O1785" s="265" t="s">
        <v>649</v>
      </c>
      <c r="P1785" s="265" t="s">
        <v>649</v>
      </c>
      <c r="Q1785" s="265" t="s">
        <v>649</v>
      </c>
    </row>
    <row r="1786" spans="1:17" ht="15" customHeight="1">
      <c r="A1786" s="147">
        <v>1865</v>
      </c>
      <c r="B1786" s="51" t="s">
        <v>35</v>
      </c>
      <c r="C1786" s="51" t="s">
        <v>1709</v>
      </c>
      <c r="D1786" s="51">
        <v>100025700</v>
      </c>
      <c r="E1786" s="53" t="s">
        <v>1710</v>
      </c>
      <c r="F1786" s="124" t="s">
        <v>649</v>
      </c>
      <c r="G1786" s="124">
        <v>1</v>
      </c>
      <c r="H1786" s="369">
        <v>173.8</v>
      </c>
      <c r="I1786" s="215" t="s">
        <v>346</v>
      </c>
      <c r="J1786" s="215" t="s">
        <v>102</v>
      </c>
      <c r="K1786" s="265" t="s">
        <v>649</v>
      </c>
      <c r="L1786" s="265" t="s">
        <v>649</v>
      </c>
      <c r="M1786" s="265" t="s">
        <v>649</v>
      </c>
      <c r="N1786" s="264">
        <v>6.2949999999999999</v>
      </c>
      <c r="O1786" s="265" t="s">
        <v>649</v>
      </c>
      <c r="P1786" s="265" t="s">
        <v>649</v>
      </c>
      <c r="Q1786" s="265" t="s">
        <v>649</v>
      </c>
    </row>
    <row r="1787" spans="1:17" ht="15" customHeight="1">
      <c r="A1787" s="147">
        <v>1866</v>
      </c>
      <c r="B1787" s="51" t="s">
        <v>35</v>
      </c>
      <c r="C1787" s="51" t="s">
        <v>1711</v>
      </c>
      <c r="D1787" s="51">
        <v>100025701</v>
      </c>
      <c r="E1787" s="53" t="s">
        <v>1712</v>
      </c>
      <c r="F1787" s="124" t="s">
        <v>649</v>
      </c>
      <c r="G1787" s="124">
        <v>1</v>
      </c>
      <c r="H1787" s="369">
        <v>173.8</v>
      </c>
      <c r="I1787" s="215" t="s">
        <v>76</v>
      </c>
      <c r="J1787" s="215" t="s">
        <v>102</v>
      </c>
      <c r="K1787" s="265" t="s">
        <v>649</v>
      </c>
      <c r="L1787" s="265" t="s">
        <v>649</v>
      </c>
      <c r="M1787" s="265" t="s">
        <v>649</v>
      </c>
      <c r="N1787" s="264">
        <v>6.2949999999999999</v>
      </c>
      <c r="O1787" s="265" t="s">
        <v>649</v>
      </c>
      <c r="P1787" s="265" t="s">
        <v>649</v>
      </c>
      <c r="Q1787" s="265" t="s">
        <v>649</v>
      </c>
    </row>
    <row r="1788" spans="1:17" ht="15" customHeight="1">
      <c r="A1788" s="147">
        <v>1867</v>
      </c>
      <c r="B1788" s="51" t="s">
        <v>35</v>
      </c>
      <c r="C1788" s="51" t="s">
        <v>1713</v>
      </c>
      <c r="D1788" s="51">
        <v>100025125</v>
      </c>
      <c r="E1788" s="53" t="s">
        <v>1714</v>
      </c>
      <c r="F1788" s="124" t="s">
        <v>649</v>
      </c>
      <c r="G1788" s="124">
        <v>1</v>
      </c>
      <c r="H1788" s="369">
        <v>173.8</v>
      </c>
      <c r="I1788" s="215" t="s">
        <v>76</v>
      </c>
      <c r="J1788" s="215" t="s">
        <v>102</v>
      </c>
      <c r="K1788" s="265" t="s">
        <v>649</v>
      </c>
      <c r="L1788" s="265" t="s">
        <v>649</v>
      </c>
      <c r="M1788" s="265" t="s">
        <v>649</v>
      </c>
      <c r="N1788" s="264">
        <v>6.2949999999999999</v>
      </c>
      <c r="O1788" s="265" t="s">
        <v>649</v>
      </c>
      <c r="P1788" s="265" t="s">
        <v>649</v>
      </c>
      <c r="Q1788" s="265" t="s">
        <v>649</v>
      </c>
    </row>
    <row r="1789" spans="1:17" ht="15" customHeight="1">
      <c r="A1789" s="147">
        <v>1868</v>
      </c>
      <c r="B1789" s="51" t="s">
        <v>35</v>
      </c>
      <c r="C1789" s="51" t="s">
        <v>1715</v>
      </c>
      <c r="D1789" s="51">
        <v>100025124</v>
      </c>
      <c r="E1789" s="53" t="s">
        <v>1716</v>
      </c>
      <c r="F1789" s="124" t="s">
        <v>649</v>
      </c>
      <c r="G1789" s="124">
        <v>1</v>
      </c>
      <c r="H1789" s="369">
        <v>173.8</v>
      </c>
      <c r="I1789" s="215" t="s">
        <v>346</v>
      </c>
      <c r="J1789" s="215" t="s">
        <v>102</v>
      </c>
      <c r="K1789" s="265" t="s">
        <v>649</v>
      </c>
      <c r="L1789" s="265" t="s">
        <v>649</v>
      </c>
      <c r="M1789" s="265" t="s">
        <v>649</v>
      </c>
      <c r="N1789" s="264">
        <v>6.2949999999999999</v>
      </c>
      <c r="O1789" s="265" t="s">
        <v>649</v>
      </c>
      <c r="P1789" s="265" t="s">
        <v>649</v>
      </c>
      <c r="Q1789" s="265" t="s">
        <v>649</v>
      </c>
    </row>
    <row r="1790" spans="1:17" ht="15" customHeight="1">
      <c r="A1790" s="147">
        <v>1869</v>
      </c>
      <c r="B1790" s="51" t="s">
        <v>35</v>
      </c>
      <c r="C1790" s="51" t="s">
        <v>1717</v>
      </c>
      <c r="D1790" s="51">
        <v>100025120</v>
      </c>
      <c r="E1790" s="53" t="s">
        <v>1718</v>
      </c>
      <c r="F1790" s="124" t="s">
        <v>649</v>
      </c>
      <c r="G1790" s="124">
        <v>1</v>
      </c>
      <c r="H1790" s="369">
        <v>173.8</v>
      </c>
      <c r="I1790" s="215" t="s">
        <v>346</v>
      </c>
      <c r="J1790" s="215" t="s">
        <v>102</v>
      </c>
      <c r="K1790" s="265" t="s">
        <v>649</v>
      </c>
      <c r="L1790" s="265" t="s">
        <v>649</v>
      </c>
      <c r="M1790" s="265" t="s">
        <v>649</v>
      </c>
      <c r="N1790" s="264">
        <v>6.2949999999999999</v>
      </c>
      <c r="O1790" s="265" t="s">
        <v>649</v>
      </c>
      <c r="P1790" s="265" t="s">
        <v>649</v>
      </c>
      <c r="Q1790" s="265" t="s">
        <v>649</v>
      </c>
    </row>
    <row r="1791" spans="1:17" ht="15" customHeight="1">
      <c r="A1791" s="147">
        <v>1870</v>
      </c>
      <c r="B1791" s="51" t="s">
        <v>35</v>
      </c>
      <c r="C1791" s="51" t="s">
        <v>1720</v>
      </c>
      <c r="D1791" s="51">
        <v>100025705</v>
      </c>
      <c r="E1791" s="53" t="s">
        <v>1721</v>
      </c>
      <c r="F1791" s="124" t="s">
        <v>649</v>
      </c>
      <c r="G1791" s="124">
        <v>1</v>
      </c>
      <c r="H1791" s="369">
        <v>173.8</v>
      </c>
      <c r="I1791" s="215" t="s">
        <v>76</v>
      </c>
      <c r="J1791" s="215" t="s">
        <v>102</v>
      </c>
      <c r="K1791" s="265" t="s">
        <v>649</v>
      </c>
      <c r="L1791" s="265" t="s">
        <v>649</v>
      </c>
      <c r="M1791" s="265" t="s">
        <v>649</v>
      </c>
      <c r="N1791" s="264">
        <v>6.2949999999999999</v>
      </c>
      <c r="O1791" s="265" t="s">
        <v>649</v>
      </c>
      <c r="P1791" s="265" t="s">
        <v>649</v>
      </c>
      <c r="Q1791" s="265" t="s">
        <v>649</v>
      </c>
    </row>
    <row r="1792" spans="1:17" ht="15" customHeight="1">
      <c r="A1792" s="147">
        <v>1871</v>
      </c>
      <c r="B1792" s="51" t="s">
        <v>35</v>
      </c>
      <c r="C1792" s="51">
        <v>10150</v>
      </c>
      <c r="D1792" s="51">
        <v>100031059</v>
      </c>
      <c r="E1792" s="53" t="s">
        <v>1723</v>
      </c>
      <c r="F1792" s="124" t="s">
        <v>649</v>
      </c>
      <c r="G1792" s="124">
        <v>126</v>
      </c>
      <c r="H1792" s="369">
        <v>71.209999999999994</v>
      </c>
      <c r="I1792" s="215" t="s">
        <v>76</v>
      </c>
      <c r="J1792" s="215" t="s">
        <v>102</v>
      </c>
      <c r="K1792" s="265" t="s">
        <v>649</v>
      </c>
      <c r="L1792" s="265" t="s">
        <v>649</v>
      </c>
      <c r="M1792" s="265" t="s">
        <v>649</v>
      </c>
      <c r="N1792" s="264">
        <v>4.1399999999999997</v>
      </c>
      <c r="O1792" s="265" t="s">
        <v>649</v>
      </c>
      <c r="P1792" s="265" t="s">
        <v>649</v>
      </c>
      <c r="Q1792" s="265" t="s">
        <v>649</v>
      </c>
    </row>
    <row r="1793" spans="1:17" ht="15" customHeight="1">
      <c r="A1793" s="147">
        <v>1872</v>
      </c>
      <c r="B1793" s="51" t="s">
        <v>35</v>
      </c>
      <c r="C1793" s="51">
        <v>10151</v>
      </c>
      <c r="D1793" s="51">
        <v>100031060</v>
      </c>
      <c r="E1793" s="53" t="s">
        <v>1724</v>
      </c>
      <c r="F1793" s="124" t="s">
        <v>649</v>
      </c>
      <c r="G1793" s="124">
        <v>126</v>
      </c>
      <c r="H1793" s="369">
        <v>71.209999999999994</v>
      </c>
      <c r="I1793" s="215" t="s">
        <v>346</v>
      </c>
      <c r="J1793" s="215" t="s">
        <v>102</v>
      </c>
      <c r="K1793" s="265" t="s">
        <v>649</v>
      </c>
      <c r="L1793" s="265" t="s">
        <v>649</v>
      </c>
      <c r="M1793" s="265" t="s">
        <v>649</v>
      </c>
      <c r="N1793" s="264">
        <v>4.1399999999999997</v>
      </c>
      <c r="O1793" s="265" t="s">
        <v>649</v>
      </c>
      <c r="P1793" s="265" t="s">
        <v>649</v>
      </c>
      <c r="Q1793" s="265" t="s">
        <v>649</v>
      </c>
    </row>
    <row r="1794" spans="1:17" ht="15" customHeight="1">
      <c r="A1794" s="147">
        <v>1873</v>
      </c>
      <c r="B1794" s="51" t="s">
        <v>35</v>
      </c>
      <c r="C1794" s="51">
        <v>10153</v>
      </c>
      <c r="D1794" s="51">
        <v>100031062</v>
      </c>
      <c r="E1794" s="53" t="s">
        <v>1725</v>
      </c>
      <c r="F1794" s="124" t="s">
        <v>649</v>
      </c>
      <c r="G1794" s="124">
        <v>126</v>
      </c>
      <c r="H1794" s="369">
        <v>71.209999999999994</v>
      </c>
      <c r="I1794" s="215" t="s">
        <v>346</v>
      </c>
      <c r="J1794" s="215" t="s">
        <v>102</v>
      </c>
      <c r="K1794" s="265" t="s">
        <v>649</v>
      </c>
      <c r="L1794" s="265" t="s">
        <v>649</v>
      </c>
      <c r="M1794" s="265" t="s">
        <v>649</v>
      </c>
      <c r="N1794" s="264">
        <v>4.1399999999999997</v>
      </c>
      <c r="O1794" s="265" t="s">
        <v>649</v>
      </c>
      <c r="P1794" s="265" t="s">
        <v>649</v>
      </c>
      <c r="Q1794" s="265" t="s">
        <v>649</v>
      </c>
    </row>
    <row r="1795" spans="1:17" ht="15" customHeight="1">
      <c r="A1795" s="147">
        <v>1874</v>
      </c>
      <c r="B1795" s="51" t="s">
        <v>35</v>
      </c>
      <c r="C1795" s="51" t="s">
        <v>1726</v>
      </c>
      <c r="D1795" s="51">
        <v>100025707</v>
      </c>
      <c r="E1795" s="53" t="s">
        <v>1727</v>
      </c>
      <c r="F1795" s="124" t="s">
        <v>649</v>
      </c>
      <c r="G1795" s="124">
        <v>98</v>
      </c>
      <c r="H1795" s="369">
        <v>82.86</v>
      </c>
      <c r="I1795" s="215" t="s">
        <v>76</v>
      </c>
      <c r="J1795" s="215" t="s">
        <v>102</v>
      </c>
      <c r="K1795" s="266">
        <v>49081802554</v>
      </c>
      <c r="L1795" s="265" t="s">
        <v>649</v>
      </c>
      <c r="M1795" s="266">
        <v>50049081802559</v>
      </c>
      <c r="N1795" s="264">
        <v>6.56</v>
      </c>
      <c r="O1795" s="265" t="s">
        <v>649</v>
      </c>
      <c r="P1795" s="265" t="s">
        <v>649</v>
      </c>
      <c r="Q1795" s="265" t="s">
        <v>649</v>
      </c>
    </row>
    <row r="1796" spans="1:17" ht="15" customHeight="1">
      <c r="A1796" s="147">
        <v>1875</v>
      </c>
      <c r="B1796" s="51" t="s">
        <v>35</v>
      </c>
      <c r="C1796" s="51" t="s">
        <v>1728</v>
      </c>
      <c r="D1796" s="51">
        <v>100025722</v>
      </c>
      <c r="E1796" s="53" t="s">
        <v>1729</v>
      </c>
      <c r="F1796" s="124" t="s">
        <v>649</v>
      </c>
      <c r="G1796" s="124">
        <v>98</v>
      </c>
      <c r="H1796" s="369">
        <v>82.86</v>
      </c>
      <c r="I1796" s="215" t="s">
        <v>76</v>
      </c>
      <c r="J1796" s="215" t="s">
        <v>102</v>
      </c>
      <c r="K1796" s="266">
        <v>49081802622</v>
      </c>
      <c r="L1796" s="265" t="s">
        <v>649</v>
      </c>
      <c r="M1796" s="266">
        <v>50049081802627</v>
      </c>
      <c r="N1796" s="264">
        <v>6.56</v>
      </c>
      <c r="O1796" s="265" t="s">
        <v>649</v>
      </c>
      <c r="P1796" s="265" t="s">
        <v>649</v>
      </c>
      <c r="Q1796" s="265" t="s">
        <v>649</v>
      </c>
    </row>
    <row r="1797" spans="1:17" ht="15" customHeight="1">
      <c r="A1797" s="147">
        <v>1876</v>
      </c>
      <c r="B1797" s="51" t="s">
        <v>35</v>
      </c>
      <c r="C1797" s="51" t="s">
        <v>1730</v>
      </c>
      <c r="D1797" s="51">
        <v>100025742</v>
      </c>
      <c r="E1797" s="53" t="s">
        <v>1731</v>
      </c>
      <c r="F1797" s="124" t="s">
        <v>649</v>
      </c>
      <c r="G1797" s="124">
        <v>98</v>
      </c>
      <c r="H1797" s="369">
        <v>82.86</v>
      </c>
      <c r="I1797" s="215" t="s">
        <v>76</v>
      </c>
      <c r="J1797" s="215" t="s">
        <v>102</v>
      </c>
      <c r="K1797" s="266">
        <v>49081802691</v>
      </c>
      <c r="L1797" s="265" t="s">
        <v>649</v>
      </c>
      <c r="M1797" s="266">
        <v>50049081802696</v>
      </c>
      <c r="N1797" s="264">
        <v>6.56</v>
      </c>
      <c r="O1797" s="265" t="s">
        <v>649</v>
      </c>
      <c r="P1797" s="265" t="s">
        <v>649</v>
      </c>
      <c r="Q1797" s="265" t="s">
        <v>649</v>
      </c>
    </row>
    <row r="1798" spans="1:17" ht="15" customHeight="1">
      <c r="A1798" s="147">
        <v>1877</v>
      </c>
      <c r="B1798" s="51" t="s">
        <v>35</v>
      </c>
      <c r="C1798" s="51" t="s">
        <v>1732</v>
      </c>
      <c r="D1798" s="51">
        <v>100025750</v>
      </c>
      <c r="E1798" s="53" t="s">
        <v>1733</v>
      </c>
      <c r="F1798" s="124" t="s">
        <v>649</v>
      </c>
      <c r="G1798" s="124">
        <v>98</v>
      </c>
      <c r="H1798" s="369">
        <v>82.86</v>
      </c>
      <c r="I1798" s="215" t="s">
        <v>346</v>
      </c>
      <c r="J1798" s="215" t="s">
        <v>102</v>
      </c>
      <c r="K1798" s="266">
        <v>49081802769</v>
      </c>
      <c r="L1798" s="265" t="s">
        <v>649</v>
      </c>
      <c r="M1798" s="266">
        <v>50049081802764</v>
      </c>
      <c r="N1798" s="264">
        <v>6.56</v>
      </c>
      <c r="O1798" s="265" t="s">
        <v>649</v>
      </c>
      <c r="P1798" s="265" t="s">
        <v>649</v>
      </c>
      <c r="Q1798" s="265" t="s">
        <v>649</v>
      </c>
    </row>
    <row r="1799" spans="1:17" ht="15" customHeight="1">
      <c r="A1799" s="147">
        <v>1878</v>
      </c>
      <c r="B1799" s="51" t="s">
        <v>35</v>
      </c>
      <c r="C1799" s="51" t="s">
        <v>1734</v>
      </c>
      <c r="D1799" s="51">
        <v>100025754</v>
      </c>
      <c r="E1799" s="53" t="s">
        <v>1735</v>
      </c>
      <c r="F1799" s="124" t="s">
        <v>649</v>
      </c>
      <c r="G1799" s="124">
        <v>98</v>
      </c>
      <c r="H1799" s="369">
        <v>82.86</v>
      </c>
      <c r="I1799" s="215" t="s">
        <v>76</v>
      </c>
      <c r="J1799" s="215" t="s">
        <v>102</v>
      </c>
      <c r="K1799" s="266">
        <v>49081802776</v>
      </c>
      <c r="L1799" s="265" t="s">
        <v>649</v>
      </c>
      <c r="M1799" s="266">
        <v>50049081802771</v>
      </c>
      <c r="N1799" s="264">
        <v>6.56</v>
      </c>
      <c r="O1799" s="265" t="s">
        <v>649</v>
      </c>
      <c r="P1799" s="265" t="s">
        <v>649</v>
      </c>
      <c r="Q1799" s="265" t="s">
        <v>649</v>
      </c>
    </row>
    <row r="1800" spans="1:17" ht="15" customHeight="1">
      <c r="A1800" s="147">
        <v>1879</v>
      </c>
      <c r="B1800" s="51" t="s">
        <v>35</v>
      </c>
      <c r="C1800" s="51" t="s">
        <v>1736</v>
      </c>
      <c r="D1800" s="51">
        <v>100025131</v>
      </c>
      <c r="E1800" s="53" t="s">
        <v>1737</v>
      </c>
      <c r="F1800" s="124" t="s">
        <v>649</v>
      </c>
      <c r="G1800" s="124">
        <v>98</v>
      </c>
      <c r="H1800" s="369">
        <v>82.86</v>
      </c>
      <c r="I1800" s="215" t="s">
        <v>346</v>
      </c>
      <c r="J1800" s="215" t="s">
        <v>102</v>
      </c>
      <c r="K1800" s="266">
        <v>49081804602</v>
      </c>
      <c r="L1800" s="265" t="s">
        <v>649</v>
      </c>
      <c r="M1800" s="265" t="s">
        <v>649</v>
      </c>
      <c r="N1800" s="264">
        <v>7.14</v>
      </c>
      <c r="O1800" s="265" t="s">
        <v>649</v>
      </c>
      <c r="P1800" s="265" t="s">
        <v>649</v>
      </c>
      <c r="Q1800" s="265" t="s">
        <v>649</v>
      </c>
    </row>
    <row r="1801" spans="1:17" ht="15" customHeight="1">
      <c r="A1801" s="147">
        <v>1880</v>
      </c>
      <c r="B1801" s="51" t="s">
        <v>35</v>
      </c>
      <c r="C1801" s="51" t="s">
        <v>1739</v>
      </c>
      <c r="D1801" s="51">
        <v>100025182</v>
      </c>
      <c r="E1801" s="53" t="s">
        <v>1740</v>
      </c>
      <c r="F1801" s="124" t="s">
        <v>649</v>
      </c>
      <c r="G1801" s="124">
        <v>98</v>
      </c>
      <c r="H1801" s="369">
        <v>82.86</v>
      </c>
      <c r="I1801" s="215" t="s">
        <v>346</v>
      </c>
      <c r="J1801" s="215" t="s">
        <v>102</v>
      </c>
      <c r="K1801" s="266">
        <v>49081804633</v>
      </c>
      <c r="L1801" s="265" t="s">
        <v>649</v>
      </c>
      <c r="M1801" s="265" t="s">
        <v>649</v>
      </c>
      <c r="N1801" s="264">
        <v>7.3</v>
      </c>
      <c r="O1801" s="265" t="s">
        <v>649</v>
      </c>
      <c r="P1801" s="265" t="s">
        <v>649</v>
      </c>
      <c r="Q1801" s="265" t="s">
        <v>649</v>
      </c>
    </row>
    <row r="1802" spans="1:17" ht="15" customHeight="1">
      <c r="A1802" s="147">
        <v>1881</v>
      </c>
      <c r="B1802" s="51" t="s">
        <v>35</v>
      </c>
      <c r="C1802" s="51" t="s">
        <v>1741</v>
      </c>
      <c r="D1802" s="51">
        <v>100025144</v>
      </c>
      <c r="E1802" s="53" t="s">
        <v>1742</v>
      </c>
      <c r="F1802" s="124" t="s">
        <v>649</v>
      </c>
      <c r="G1802" s="124">
        <v>98</v>
      </c>
      <c r="H1802" s="369">
        <v>82.86</v>
      </c>
      <c r="I1802" s="215" t="s">
        <v>346</v>
      </c>
      <c r="J1802" s="215" t="s">
        <v>102</v>
      </c>
      <c r="K1802" s="266">
        <v>49081802639</v>
      </c>
      <c r="L1802" s="265" t="s">
        <v>649</v>
      </c>
      <c r="M1802" s="266">
        <v>50049081802634</v>
      </c>
      <c r="N1802" s="264">
        <v>6.56</v>
      </c>
      <c r="O1802" s="265" t="s">
        <v>649</v>
      </c>
      <c r="P1802" s="265" t="s">
        <v>649</v>
      </c>
      <c r="Q1802" s="265" t="s">
        <v>649</v>
      </c>
    </row>
    <row r="1803" spans="1:17" ht="15" customHeight="1">
      <c r="A1803" s="147">
        <v>1882</v>
      </c>
      <c r="B1803" s="51" t="s">
        <v>35</v>
      </c>
      <c r="C1803" s="51" t="s">
        <v>1743</v>
      </c>
      <c r="D1803" s="51">
        <v>100025181</v>
      </c>
      <c r="E1803" s="53" t="s">
        <v>1744</v>
      </c>
      <c r="F1803" s="124" t="s">
        <v>649</v>
      </c>
      <c r="G1803" s="124">
        <v>98</v>
      </c>
      <c r="H1803" s="369">
        <v>82.86</v>
      </c>
      <c r="I1803" s="215" t="s">
        <v>346</v>
      </c>
      <c r="J1803" s="215" t="s">
        <v>102</v>
      </c>
      <c r="K1803" s="266">
        <v>49081802783</v>
      </c>
      <c r="L1803" s="265" t="s">
        <v>649</v>
      </c>
      <c r="M1803" s="266">
        <v>50049081802788</v>
      </c>
      <c r="N1803" s="264">
        <v>6.56</v>
      </c>
      <c r="O1803" s="265" t="s">
        <v>649</v>
      </c>
      <c r="P1803" s="265" t="s">
        <v>649</v>
      </c>
      <c r="Q1803" s="265" t="s">
        <v>649</v>
      </c>
    </row>
    <row r="1804" spans="1:17" ht="15" customHeight="1">
      <c r="A1804" s="147">
        <v>1883</v>
      </c>
      <c r="B1804" s="51" t="s">
        <v>35</v>
      </c>
      <c r="C1804" s="51" t="s">
        <v>1745</v>
      </c>
      <c r="D1804" s="51">
        <v>100025146</v>
      </c>
      <c r="E1804" s="53" t="s">
        <v>1746</v>
      </c>
      <c r="F1804" s="124" t="s">
        <v>649</v>
      </c>
      <c r="G1804" s="124">
        <v>98</v>
      </c>
      <c r="H1804" s="369">
        <v>82.86</v>
      </c>
      <c r="I1804" s="215" t="s">
        <v>346</v>
      </c>
      <c r="J1804" s="215" t="s">
        <v>102</v>
      </c>
      <c r="K1804" s="266">
        <v>49081802677</v>
      </c>
      <c r="L1804" s="265" t="s">
        <v>649</v>
      </c>
      <c r="M1804" s="266">
        <v>50049081802672</v>
      </c>
      <c r="N1804" s="264">
        <v>6.56</v>
      </c>
      <c r="O1804" s="265" t="s">
        <v>649</v>
      </c>
      <c r="P1804" s="265" t="s">
        <v>649</v>
      </c>
      <c r="Q1804" s="265" t="s">
        <v>649</v>
      </c>
    </row>
    <row r="1805" spans="1:17" ht="15" customHeight="1">
      <c r="A1805" s="147">
        <v>1884</v>
      </c>
      <c r="B1805" s="51" t="s">
        <v>35</v>
      </c>
      <c r="C1805" s="51" t="s">
        <v>1747</v>
      </c>
      <c r="D1805" s="51">
        <v>100025350</v>
      </c>
      <c r="E1805" s="53" t="s">
        <v>1748</v>
      </c>
      <c r="F1805" s="124" t="s">
        <v>649</v>
      </c>
      <c r="G1805" s="124">
        <v>98</v>
      </c>
      <c r="H1805" s="369">
        <v>175.68</v>
      </c>
      <c r="I1805" s="215" t="s">
        <v>346</v>
      </c>
      <c r="J1805" s="215" t="s">
        <v>102</v>
      </c>
      <c r="K1805" s="266">
        <v>49081806675</v>
      </c>
      <c r="L1805" s="265" t="s">
        <v>649</v>
      </c>
      <c r="M1805" s="265" t="s">
        <v>649</v>
      </c>
      <c r="N1805" s="264">
        <v>10.8</v>
      </c>
      <c r="O1805" s="265" t="s">
        <v>649</v>
      </c>
      <c r="P1805" s="265" t="s">
        <v>649</v>
      </c>
      <c r="Q1805" s="265" t="s">
        <v>649</v>
      </c>
    </row>
    <row r="1806" spans="1:17" ht="15" customHeight="1">
      <c r="A1806" s="147">
        <v>1885</v>
      </c>
      <c r="B1806" s="51" t="s">
        <v>35</v>
      </c>
      <c r="C1806" s="51">
        <v>120</v>
      </c>
      <c r="D1806" s="51">
        <v>100028520</v>
      </c>
      <c r="E1806" s="53" t="s">
        <v>1749</v>
      </c>
      <c r="F1806" s="124" t="s">
        <v>649</v>
      </c>
      <c r="G1806" s="124">
        <v>72</v>
      </c>
      <c r="H1806" s="369">
        <v>108.36</v>
      </c>
      <c r="I1806" s="215" t="s">
        <v>76</v>
      </c>
      <c r="J1806" s="215" t="s">
        <v>102</v>
      </c>
      <c r="K1806" s="266">
        <v>49081802196</v>
      </c>
      <c r="L1806" s="265" t="s">
        <v>649</v>
      </c>
      <c r="M1806" s="266">
        <v>50049081802191</v>
      </c>
      <c r="N1806" s="264">
        <v>9.0500000000000007</v>
      </c>
      <c r="O1806" s="265" t="s">
        <v>649</v>
      </c>
      <c r="P1806" s="265" t="s">
        <v>649</v>
      </c>
      <c r="Q1806" s="265" t="s">
        <v>649</v>
      </c>
    </row>
    <row r="1807" spans="1:17" ht="15" customHeight="1">
      <c r="A1807" s="147">
        <v>1886</v>
      </c>
      <c r="B1807" s="51" t="s">
        <v>35</v>
      </c>
      <c r="C1807" s="51">
        <v>121</v>
      </c>
      <c r="D1807" s="51">
        <v>100028521</v>
      </c>
      <c r="E1807" s="53" t="s">
        <v>1750</v>
      </c>
      <c r="F1807" s="124" t="s">
        <v>649</v>
      </c>
      <c r="G1807" s="124">
        <v>72</v>
      </c>
      <c r="H1807" s="369">
        <v>108.36</v>
      </c>
      <c r="I1807" s="215" t="s">
        <v>76</v>
      </c>
      <c r="J1807" s="215" t="s">
        <v>102</v>
      </c>
      <c r="K1807" s="266">
        <v>49081802264</v>
      </c>
      <c r="L1807" s="265" t="s">
        <v>649</v>
      </c>
      <c r="M1807" s="266">
        <v>50049081802269</v>
      </c>
      <c r="N1807" s="264">
        <v>9.0500000000000007</v>
      </c>
      <c r="O1807" s="265" t="s">
        <v>649</v>
      </c>
      <c r="P1807" s="265" t="s">
        <v>649</v>
      </c>
      <c r="Q1807" s="265" t="s">
        <v>649</v>
      </c>
    </row>
    <row r="1808" spans="1:17" ht="15" customHeight="1">
      <c r="A1808" s="147">
        <v>1887</v>
      </c>
      <c r="B1808" s="51" t="s">
        <v>35</v>
      </c>
      <c r="C1808" s="51">
        <v>122</v>
      </c>
      <c r="D1808" s="51">
        <v>100028522</v>
      </c>
      <c r="E1808" s="53" t="s">
        <v>1751</v>
      </c>
      <c r="F1808" s="124" t="s">
        <v>649</v>
      </c>
      <c r="G1808" s="124">
        <v>72</v>
      </c>
      <c r="H1808" s="369">
        <v>108.36</v>
      </c>
      <c r="I1808" s="215" t="s">
        <v>76</v>
      </c>
      <c r="J1808" s="215" t="s">
        <v>102</v>
      </c>
      <c r="K1808" s="266">
        <v>49081802332</v>
      </c>
      <c r="L1808" s="265" t="s">
        <v>649</v>
      </c>
      <c r="M1808" s="266">
        <v>50049081802337</v>
      </c>
      <c r="N1808" s="264">
        <v>9.0500000000000007</v>
      </c>
      <c r="O1808" s="265" t="s">
        <v>649</v>
      </c>
      <c r="P1808" s="265" t="s">
        <v>649</v>
      </c>
      <c r="Q1808" s="265" t="s">
        <v>649</v>
      </c>
    </row>
    <row r="1809" spans="1:17" ht="15" customHeight="1">
      <c r="A1809" s="147">
        <v>1888</v>
      </c>
      <c r="B1809" s="51" t="s">
        <v>35</v>
      </c>
      <c r="C1809" s="51">
        <v>124</v>
      </c>
      <c r="D1809" s="51">
        <v>100028524</v>
      </c>
      <c r="E1809" s="53" t="s">
        <v>1752</v>
      </c>
      <c r="F1809" s="124" t="s">
        <v>649</v>
      </c>
      <c r="G1809" s="124">
        <v>72</v>
      </c>
      <c r="H1809" s="369">
        <v>108.36</v>
      </c>
      <c r="I1809" s="215" t="s">
        <v>76</v>
      </c>
      <c r="J1809" s="215" t="s">
        <v>102</v>
      </c>
      <c r="K1809" s="266">
        <v>49081802417</v>
      </c>
      <c r="L1809" s="265" t="s">
        <v>649</v>
      </c>
      <c r="M1809" s="266">
        <v>50049081802412</v>
      </c>
      <c r="N1809" s="264">
        <v>9.0500000000000007</v>
      </c>
      <c r="O1809" s="265" t="s">
        <v>649</v>
      </c>
      <c r="P1809" s="265" t="s">
        <v>649</v>
      </c>
      <c r="Q1809" s="265" t="s">
        <v>649</v>
      </c>
    </row>
    <row r="1810" spans="1:17" ht="15" customHeight="1">
      <c r="A1810" s="147">
        <v>1889</v>
      </c>
      <c r="B1810" s="51" t="s">
        <v>35</v>
      </c>
      <c r="C1810" s="51" t="s">
        <v>1753</v>
      </c>
      <c r="D1810" s="51">
        <v>100025733</v>
      </c>
      <c r="E1810" s="53" t="s">
        <v>1754</v>
      </c>
      <c r="F1810" s="124" t="s">
        <v>649</v>
      </c>
      <c r="G1810" s="124">
        <v>72</v>
      </c>
      <c r="H1810" s="369">
        <v>108.36</v>
      </c>
      <c r="I1810" s="215" t="s">
        <v>76</v>
      </c>
      <c r="J1810" s="215" t="s">
        <v>102</v>
      </c>
      <c r="K1810" s="266">
        <v>49081804626</v>
      </c>
      <c r="L1810" s="265" t="s">
        <v>649</v>
      </c>
      <c r="M1810" s="265" t="s">
        <v>649</v>
      </c>
      <c r="N1810" s="264">
        <v>8.83</v>
      </c>
      <c r="O1810" s="265" t="s">
        <v>649</v>
      </c>
      <c r="P1810" s="265" t="s">
        <v>649</v>
      </c>
      <c r="Q1810" s="265" t="s">
        <v>649</v>
      </c>
    </row>
    <row r="1811" spans="1:17" ht="15" customHeight="1">
      <c r="A1811" s="147">
        <v>1890</v>
      </c>
      <c r="B1811" s="51" t="s">
        <v>35</v>
      </c>
      <c r="C1811" s="51">
        <v>123</v>
      </c>
      <c r="D1811" s="51">
        <v>100028523</v>
      </c>
      <c r="E1811" s="53" t="s">
        <v>1755</v>
      </c>
      <c r="F1811" s="124" t="s">
        <v>649</v>
      </c>
      <c r="G1811" s="124">
        <v>72</v>
      </c>
      <c r="H1811" s="369">
        <v>108.36</v>
      </c>
      <c r="I1811" s="215" t="s">
        <v>346</v>
      </c>
      <c r="J1811" s="215" t="s">
        <v>102</v>
      </c>
      <c r="K1811" s="266">
        <v>49081802400</v>
      </c>
      <c r="L1811" s="265" t="s">
        <v>649</v>
      </c>
      <c r="M1811" s="266">
        <v>50049081802405</v>
      </c>
      <c r="N1811" s="264">
        <v>9.0500000000000007</v>
      </c>
      <c r="O1811" s="265" t="s">
        <v>649</v>
      </c>
      <c r="P1811" s="265" t="s">
        <v>649</v>
      </c>
      <c r="Q1811" s="265" t="s">
        <v>649</v>
      </c>
    </row>
    <row r="1812" spans="1:17" ht="15" customHeight="1">
      <c r="A1812" s="147">
        <v>1891</v>
      </c>
      <c r="B1812" s="51" t="s">
        <v>35</v>
      </c>
      <c r="C1812" s="51" t="s">
        <v>1756</v>
      </c>
      <c r="D1812" s="51">
        <v>100025718</v>
      </c>
      <c r="E1812" s="53" t="s">
        <v>1757</v>
      </c>
      <c r="F1812" s="124" t="s">
        <v>649</v>
      </c>
      <c r="G1812" s="124">
        <v>72</v>
      </c>
      <c r="H1812" s="369">
        <v>108.36</v>
      </c>
      <c r="I1812" s="215" t="s">
        <v>76</v>
      </c>
      <c r="J1812" s="215" t="s">
        <v>102</v>
      </c>
      <c r="K1812" s="266">
        <v>49081802257</v>
      </c>
      <c r="L1812" s="265" t="s">
        <v>649</v>
      </c>
      <c r="M1812" s="266">
        <v>50049081802252</v>
      </c>
      <c r="N1812" s="264">
        <v>9.0500000000000007</v>
      </c>
      <c r="O1812" s="265" t="s">
        <v>649</v>
      </c>
      <c r="P1812" s="265" t="s">
        <v>649</v>
      </c>
      <c r="Q1812" s="265" t="s">
        <v>649</v>
      </c>
    </row>
    <row r="1813" spans="1:17" ht="15" customHeight="1">
      <c r="A1813" s="147">
        <v>1892</v>
      </c>
      <c r="B1813" s="51" t="s">
        <v>35</v>
      </c>
      <c r="C1813" s="51" t="s">
        <v>1758</v>
      </c>
      <c r="D1813" s="51">
        <v>100025737</v>
      </c>
      <c r="E1813" s="53" t="s">
        <v>1759</v>
      </c>
      <c r="F1813" s="124" t="s">
        <v>649</v>
      </c>
      <c r="G1813" s="124">
        <v>72</v>
      </c>
      <c r="H1813" s="369">
        <v>108.36</v>
      </c>
      <c r="I1813" s="215" t="s">
        <v>76</v>
      </c>
      <c r="J1813" s="215" t="s">
        <v>102</v>
      </c>
      <c r="K1813" s="266">
        <v>49081802325</v>
      </c>
      <c r="L1813" s="265" t="s">
        <v>649</v>
      </c>
      <c r="M1813" s="266">
        <v>50049081802320</v>
      </c>
      <c r="N1813" s="264">
        <v>9.0500000000000007</v>
      </c>
      <c r="O1813" s="265" t="s">
        <v>649</v>
      </c>
      <c r="P1813" s="265" t="s">
        <v>649</v>
      </c>
      <c r="Q1813" s="265" t="s">
        <v>649</v>
      </c>
    </row>
    <row r="1814" spans="1:17" ht="15" customHeight="1">
      <c r="A1814" s="147">
        <v>1893</v>
      </c>
      <c r="B1814" s="51" t="s">
        <v>35</v>
      </c>
      <c r="C1814" s="51" t="s">
        <v>1760</v>
      </c>
      <c r="D1814" s="51">
        <v>100025712</v>
      </c>
      <c r="E1814" s="53" t="s">
        <v>1761</v>
      </c>
      <c r="F1814" s="124" t="s">
        <v>649</v>
      </c>
      <c r="G1814" s="124">
        <v>72</v>
      </c>
      <c r="H1814" s="369">
        <v>108.36</v>
      </c>
      <c r="I1814" s="215" t="s">
        <v>76</v>
      </c>
      <c r="J1814" s="215" t="s">
        <v>102</v>
      </c>
      <c r="K1814" s="266">
        <v>49081802226</v>
      </c>
      <c r="L1814" s="265" t="s">
        <v>649</v>
      </c>
      <c r="M1814" s="266">
        <v>50049081802221</v>
      </c>
      <c r="N1814" s="264">
        <v>9.0500000000000007</v>
      </c>
      <c r="O1814" s="265" t="s">
        <v>649</v>
      </c>
      <c r="P1814" s="265" t="s">
        <v>649</v>
      </c>
      <c r="Q1814" s="265" t="s">
        <v>649</v>
      </c>
    </row>
    <row r="1815" spans="1:17" ht="15" customHeight="1">
      <c r="A1815" s="147">
        <v>1894</v>
      </c>
      <c r="B1815" s="51" t="s">
        <v>35</v>
      </c>
      <c r="C1815" s="51" t="s">
        <v>1762</v>
      </c>
      <c r="D1815" s="51">
        <v>100025731</v>
      </c>
      <c r="E1815" s="53" t="s">
        <v>1763</v>
      </c>
      <c r="F1815" s="124" t="s">
        <v>649</v>
      </c>
      <c r="G1815" s="124">
        <v>72</v>
      </c>
      <c r="H1815" s="369">
        <v>108.36</v>
      </c>
      <c r="I1815" s="215" t="s">
        <v>346</v>
      </c>
      <c r="J1815" s="215" t="s">
        <v>102</v>
      </c>
      <c r="K1815" s="266">
        <v>49081802295</v>
      </c>
      <c r="L1815" s="265" t="s">
        <v>649</v>
      </c>
      <c r="M1815" s="266">
        <v>50049081802290</v>
      </c>
      <c r="N1815" s="264">
        <v>9.0500000000000007</v>
      </c>
      <c r="O1815" s="265" t="s">
        <v>649</v>
      </c>
      <c r="P1815" s="265" t="s">
        <v>649</v>
      </c>
      <c r="Q1815" s="265" t="s">
        <v>649</v>
      </c>
    </row>
    <row r="1816" spans="1:17" ht="15" customHeight="1">
      <c r="A1816" s="147">
        <v>1895</v>
      </c>
      <c r="B1816" s="51" t="s">
        <v>35</v>
      </c>
      <c r="C1816" s="51" t="s">
        <v>1764</v>
      </c>
      <c r="D1816" s="51">
        <v>100025192</v>
      </c>
      <c r="E1816" s="53" t="s">
        <v>1765</v>
      </c>
      <c r="F1816" s="124" t="s">
        <v>649</v>
      </c>
      <c r="G1816" s="124">
        <v>72</v>
      </c>
      <c r="H1816" s="369">
        <v>108.36</v>
      </c>
      <c r="I1816" s="215" t="s">
        <v>346</v>
      </c>
      <c r="J1816" s="215" t="s">
        <v>102</v>
      </c>
      <c r="K1816" s="266">
        <v>49081802448</v>
      </c>
      <c r="L1816" s="265" t="s">
        <v>649</v>
      </c>
      <c r="M1816" s="266">
        <v>50049081802443</v>
      </c>
      <c r="N1816" s="264">
        <v>9.0500000000000007</v>
      </c>
      <c r="O1816" s="265" t="s">
        <v>649</v>
      </c>
      <c r="P1816" s="265" t="s">
        <v>649</v>
      </c>
      <c r="Q1816" s="265" t="s">
        <v>649</v>
      </c>
    </row>
    <row r="1817" spans="1:17" ht="15" customHeight="1">
      <c r="A1817" s="147">
        <v>1896</v>
      </c>
      <c r="B1817" s="51" t="s">
        <v>35</v>
      </c>
      <c r="C1817" s="51" t="s">
        <v>1766</v>
      </c>
      <c r="D1817" s="51">
        <v>100025713</v>
      </c>
      <c r="E1817" s="53" t="s">
        <v>1767</v>
      </c>
      <c r="F1817" s="124" t="s">
        <v>649</v>
      </c>
      <c r="G1817" s="124">
        <v>72</v>
      </c>
      <c r="H1817" s="369">
        <v>108.36</v>
      </c>
      <c r="I1817" s="215" t="s">
        <v>346</v>
      </c>
      <c r="J1817" s="215" t="s">
        <v>102</v>
      </c>
      <c r="K1817" s="266">
        <v>49081805005</v>
      </c>
      <c r="L1817" s="265" t="s">
        <v>649</v>
      </c>
      <c r="M1817" s="266">
        <v>50049081805000</v>
      </c>
      <c r="N1817" s="264">
        <v>9.0500000000000007</v>
      </c>
      <c r="O1817" s="265" t="s">
        <v>649</v>
      </c>
      <c r="P1817" s="265" t="s">
        <v>649</v>
      </c>
      <c r="Q1817" s="265" t="s">
        <v>649</v>
      </c>
    </row>
    <row r="1818" spans="1:17" ht="15" customHeight="1">
      <c r="A1818" s="147">
        <v>1897</v>
      </c>
      <c r="B1818" s="51" t="s">
        <v>35</v>
      </c>
      <c r="C1818" s="51" t="s">
        <v>1768</v>
      </c>
      <c r="D1818" s="51">
        <v>100025732</v>
      </c>
      <c r="E1818" s="53" t="s">
        <v>1769</v>
      </c>
      <c r="F1818" s="124" t="s">
        <v>649</v>
      </c>
      <c r="G1818" s="124">
        <v>72</v>
      </c>
      <c r="H1818" s="369">
        <v>108.36</v>
      </c>
      <c r="I1818" s="215" t="s">
        <v>76</v>
      </c>
      <c r="J1818" s="215" t="s">
        <v>102</v>
      </c>
      <c r="K1818" s="266">
        <v>49081804411</v>
      </c>
      <c r="L1818" s="265" t="s">
        <v>649</v>
      </c>
      <c r="M1818" s="265" t="s">
        <v>649</v>
      </c>
      <c r="N1818" s="264">
        <v>9.0500000000000007</v>
      </c>
      <c r="O1818" s="265" t="s">
        <v>649</v>
      </c>
      <c r="P1818" s="265" t="s">
        <v>649</v>
      </c>
      <c r="Q1818" s="265" t="s">
        <v>649</v>
      </c>
    </row>
    <row r="1819" spans="1:17" ht="15" customHeight="1">
      <c r="A1819" s="147">
        <v>1898</v>
      </c>
      <c r="B1819" s="51" t="s">
        <v>35</v>
      </c>
      <c r="C1819" s="51" t="s">
        <v>1770</v>
      </c>
      <c r="D1819" s="51">
        <v>100025758</v>
      </c>
      <c r="E1819" s="53" t="s">
        <v>1771</v>
      </c>
      <c r="F1819" s="124" t="s">
        <v>649</v>
      </c>
      <c r="G1819" s="124">
        <v>72</v>
      </c>
      <c r="H1819" s="369">
        <v>108.36</v>
      </c>
      <c r="I1819" s="215" t="s">
        <v>76</v>
      </c>
      <c r="J1819" s="215" t="s">
        <v>102</v>
      </c>
      <c r="K1819" s="266">
        <v>49081804428</v>
      </c>
      <c r="L1819" s="265" t="s">
        <v>649</v>
      </c>
      <c r="M1819" s="265" t="s">
        <v>649</v>
      </c>
      <c r="N1819" s="264">
        <v>9.6300000000000008</v>
      </c>
      <c r="O1819" s="265" t="s">
        <v>649</v>
      </c>
      <c r="P1819" s="265" t="s">
        <v>649</v>
      </c>
      <c r="Q1819" s="265" t="s">
        <v>649</v>
      </c>
    </row>
    <row r="1820" spans="1:17" ht="15" customHeight="1">
      <c r="A1820" s="147">
        <v>1899</v>
      </c>
      <c r="B1820" s="51" t="s">
        <v>35</v>
      </c>
      <c r="C1820" s="51" t="s">
        <v>1772</v>
      </c>
      <c r="D1820" s="51">
        <v>100025715</v>
      </c>
      <c r="E1820" s="53" t="s">
        <v>1773</v>
      </c>
      <c r="F1820" s="124" t="s">
        <v>649</v>
      </c>
      <c r="G1820" s="124">
        <v>72</v>
      </c>
      <c r="H1820" s="369">
        <v>108.36</v>
      </c>
      <c r="I1820" s="215" t="s">
        <v>76</v>
      </c>
      <c r="J1820" s="215" t="s">
        <v>102</v>
      </c>
      <c r="K1820" s="266">
        <v>49081802233</v>
      </c>
      <c r="L1820" s="265" t="s">
        <v>649</v>
      </c>
      <c r="M1820" s="266">
        <v>50049081802238</v>
      </c>
      <c r="N1820" s="264">
        <v>9.0500000000000007</v>
      </c>
      <c r="O1820" s="265" t="s">
        <v>649</v>
      </c>
      <c r="P1820" s="265" t="s">
        <v>649</v>
      </c>
      <c r="Q1820" s="265" t="s">
        <v>649</v>
      </c>
    </row>
    <row r="1821" spans="1:17" ht="15" customHeight="1">
      <c r="A1821" s="147">
        <v>1900</v>
      </c>
      <c r="B1821" s="51" t="s">
        <v>35</v>
      </c>
      <c r="C1821" s="51" t="s">
        <v>1774</v>
      </c>
      <c r="D1821" s="51">
        <v>100025160</v>
      </c>
      <c r="E1821" s="53" t="s">
        <v>1775</v>
      </c>
      <c r="F1821" s="124" t="s">
        <v>649</v>
      </c>
      <c r="G1821" s="124">
        <v>72</v>
      </c>
      <c r="H1821" s="369">
        <v>108.36</v>
      </c>
      <c r="I1821" s="215" t="s">
        <v>346</v>
      </c>
      <c r="J1821" s="215" t="s">
        <v>102</v>
      </c>
      <c r="K1821" s="266">
        <v>49081802301</v>
      </c>
      <c r="L1821" s="265" t="s">
        <v>649</v>
      </c>
      <c r="M1821" s="266">
        <v>50049081802306</v>
      </c>
      <c r="N1821" s="264">
        <v>9.0500000000000007</v>
      </c>
      <c r="O1821" s="265" t="s">
        <v>649</v>
      </c>
      <c r="P1821" s="265" t="s">
        <v>649</v>
      </c>
      <c r="Q1821" s="265" t="s">
        <v>649</v>
      </c>
    </row>
    <row r="1822" spans="1:17" ht="15" customHeight="1">
      <c r="A1822" s="147">
        <v>1901</v>
      </c>
      <c r="B1822" s="51" t="s">
        <v>35</v>
      </c>
      <c r="C1822" s="51" t="s">
        <v>1776</v>
      </c>
      <c r="D1822" s="51">
        <v>100025710</v>
      </c>
      <c r="E1822" s="53" t="s">
        <v>1777</v>
      </c>
      <c r="F1822" s="124" t="s">
        <v>649</v>
      </c>
      <c r="G1822" s="124">
        <v>72</v>
      </c>
      <c r="H1822" s="369">
        <v>108.36</v>
      </c>
      <c r="I1822" s="215" t="s">
        <v>76</v>
      </c>
      <c r="J1822" s="215" t="s">
        <v>102</v>
      </c>
      <c r="K1822" s="266">
        <v>49081802202</v>
      </c>
      <c r="L1822" s="265" t="s">
        <v>649</v>
      </c>
      <c r="M1822" s="266">
        <v>50049081802207</v>
      </c>
      <c r="N1822" s="264">
        <v>9.0500000000000007</v>
      </c>
      <c r="O1822" s="265" t="s">
        <v>649</v>
      </c>
      <c r="P1822" s="265" t="s">
        <v>649</v>
      </c>
      <c r="Q1822" s="265" t="s">
        <v>649</v>
      </c>
    </row>
    <row r="1823" spans="1:17" ht="15" customHeight="1">
      <c r="A1823" s="147">
        <v>1902</v>
      </c>
      <c r="B1823" s="51" t="s">
        <v>35</v>
      </c>
      <c r="C1823" s="51" t="s">
        <v>1778</v>
      </c>
      <c r="D1823" s="51">
        <v>100025728</v>
      </c>
      <c r="E1823" s="53" t="s">
        <v>1779</v>
      </c>
      <c r="F1823" s="124" t="s">
        <v>649</v>
      </c>
      <c r="G1823" s="124">
        <v>72</v>
      </c>
      <c r="H1823" s="369">
        <v>108.36</v>
      </c>
      <c r="I1823" s="215" t="s">
        <v>76</v>
      </c>
      <c r="J1823" s="215" t="s">
        <v>102</v>
      </c>
      <c r="K1823" s="266">
        <v>49081802271</v>
      </c>
      <c r="L1823" s="265" t="s">
        <v>649</v>
      </c>
      <c r="M1823" s="266">
        <v>50049081802276</v>
      </c>
      <c r="N1823" s="264">
        <v>9.0500000000000007</v>
      </c>
      <c r="O1823" s="265" t="s">
        <v>649</v>
      </c>
      <c r="P1823" s="265" t="s">
        <v>649</v>
      </c>
      <c r="Q1823" s="265" t="s">
        <v>649</v>
      </c>
    </row>
    <row r="1824" spans="1:17" ht="15" customHeight="1">
      <c r="A1824" s="147">
        <v>1903</v>
      </c>
      <c r="B1824" s="51" t="s">
        <v>35</v>
      </c>
      <c r="C1824" s="51" t="s">
        <v>1780</v>
      </c>
      <c r="D1824" s="51">
        <v>100025757</v>
      </c>
      <c r="E1824" s="53" t="s">
        <v>1781</v>
      </c>
      <c r="F1824" s="124" t="s">
        <v>649</v>
      </c>
      <c r="G1824" s="124">
        <v>72</v>
      </c>
      <c r="H1824" s="369">
        <v>108.36</v>
      </c>
      <c r="I1824" s="215" t="s">
        <v>76</v>
      </c>
      <c r="J1824" s="215" t="s">
        <v>102</v>
      </c>
      <c r="K1824" s="266">
        <v>49081802424</v>
      </c>
      <c r="L1824" s="265" t="s">
        <v>649</v>
      </c>
      <c r="M1824" s="266">
        <v>50049081802429</v>
      </c>
      <c r="N1824" s="264">
        <v>9.0500000000000007</v>
      </c>
      <c r="O1824" s="265" t="s">
        <v>649</v>
      </c>
      <c r="P1824" s="265" t="s">
        <v>649</v>
      </c>
      <c r="Q1824" s="265" t="s">
        <v>649</v>
      </c>
    </row>
    <row r="1825" spans="1:17" ht="15" customHeight="1">
      <c r="A1825" s="147">
        <v>1904</v>
      </c>
      <c r="B1825" s="51" t="s">
        <v>35</v>
      </c>
      <c r="C1825" s="51" t="s">
        <v>1782</v>
      </c>
      <c r="D1825" s="51">
        <v>100025767</v>
      </c>
      <c r="E1825" s="53" t="s">
        <v>1783</v>
      </c>
      <c r="F1825" s="124" t="s">
        <v>649</v>
      </c>
      <c r="G1825" s="124">
        <v>72</v>
      </c>
      <c r="H1825" s="369">
        <v>108.36</v>
      </c>
      <c r="I1825" s="215" t="s">
        <v>76</v>
      </c>
      <c r="J1825" s="215" t="s">
        <v>102</v>
      </c>
      <c r="K1825" s="266">
        <v>49081802493</v>
      </c>
      <c r="L1825" s="265" t="s">
        <v>649</v>
      </c>
      <c r="M1825" s="266">
        <v>50049081802498</v>
      </c>
      <c r="N1825" s="264">
        <v>9.0500000000000007</v>
      </c>
      <c r="O1825" s="265" t="s">
        <v>649</v>
      </c>
      <c r="P1825" s="265" t="s">
        <v>649</v>
      </c>
      <c r="Q1825" s="265" t="s">
        <v>649</v>
      </c>
    </row>
    <row r="1826" spans="1:17" ht="15" customHeight="1">
      <c r="A1826" s="147">
        <v>1905</v>
      </c>
      <c r="B1826" s="51" t="s">
        <v>35</v>
      </c>
      <c r="C1826" s="51" t="s">
        <v>1784</v>
      </c>
      <c r="D1826" s="51">
        <v>100025155</v>
      </c>
      <c r="E1826" s="53" t="s">
        <v>1785</v>
      </c>
      <c r="F1826" s="124" t="s">
        <v>649</v>
      </c>
      <c r="G1826" s="124">
        <v>72</v>
      </c>
      <c r="H1826" s="369">
        <v>108.36</v>
      </c>
      <c r="I1826" s="215" t="s">
        <v>76</v>
      </c>
      <c r="J1826" s="215" t="s">
        <v>102</v>
      </c>
      <c r="K1826" s="266">
        <v>49081802288</v>
      </c>
      <c r="L1826" s="265" t="s">
        <v>649</v>
      </c>
      <c r="M1826" s="266">
        <v>50049081802283</v>
      </c>
      <c r="N1826" s="264">
        <v>9.0500000000000007</v>
      </c>
      <c r="O1826" s="265" t="s">
        <v>649</v>
      </c>
      <c r="P1826" s="265" t="s">
        <v>649</v>
      </c>
      <c r="Q1826" s="265" t="s">
        <v>649</v>
      </c>
    </row>
    <row r="1827" spans="1:17" ht="15" customHeight="1">
      <c r="A1827" s="147">
        <v>1906</v>
      </c>
      <c r="B1827" s="51" t="s">
        <v>35</v>
      </c>
      <c r="C1827" s="51" t="s">
        <v>1787</v>
      </c>
      <c r="D1827" s="51">
        <v>100025191</v>
      </c>
      <c r="E1827" s="53" t="s">
        <v>1788</v>
      </c>
      <c r="F1827" s="124" t="s">
        <v>649</v>
      </c>
      <c r="G1827" s="124">
        <v>72</v>
      </c>
      <c r="H1827" s="369">
        <v>108.36</v>
      </c>
      <c r="I1827" s="215" t="s">
        <v>346</v>
      </c>
      <c r="J1827" s="215" t="s">
        <v>102</v>
      </c>
      <c r="K1827" s="266">
        <v>49081802431</v>
      </c>
      <c r="L1827" s="265" t="s">
        <v>649</v>
      </c>
      <c r="M1827" s="266">
        <v>50049081802436</v>
      </c>
      <c r="N1827" s="264">
        <v>9.0500000000000007</v>
      </c>
      <c r="O1827" s="265" t="s">
        <v>649</v>
      </c>
      <c r="P1827" s="265" t="s">
        <v>649</v>
      </c>
      <c r="Q1827" s="265" t="s">
        <v>649</v>
      </c>
    </row>
    <row r="1828" spans="1:17" ht="15" customHeight="1">
      <c r="A1828" s="147">
        <v>1907</v>
      </c>
      <c r="B1828" s="51" t="s">
        <v>35</v>
      </c>
      <c r="C1828" s="51" t="s">
        <v>1789</v>
      </c>
      <c r="D1828" s="51">
        <v>100025735</v>
      </c>
      <c r="E1828" s="53" t="s">
        <v>1790</v>
      </c>
      <c r="F1828" s="124" t="s">
        <v>649</v>
      </c>
      <c r="G1828" s="124">
        <v>72</v>
      </c>
      <c r="H1828" s="369">
        <v>108.36</v>
      </c>
      <c r="I1828" s="215" t="s">
        <v>76</v>
      </c>
      <c r="J1828" s="215" t="s">
        <v>102</v>
      </c>
      <c r="K1828" s="266">
        <v>49081802318</v>
      </c>
      <c r="L1828" s="265" t="s">
        <v>649</v>
      </c>
      <c r="M1828" s="266">
        <v>50049081802313</v>
      </c>
      <c r="N1828" s="264">
        <v>9.0500000000000007</v>
      </c>
      <c r="O1828" s="265" t="s">
        <v>649</v>
      </c>
      <c r="P1828" s="265" t="s">
        <v>649</v>
      </c>
      <c r="Q1828" s="265" t="s">
        <v>649</v>
      </c>
    </row>
    <row r="1829" spans="1:17" ht="15" customHeight="1">
      <c r="A1829" s="147">
        <v>1908</v>
      </c>
      <c r="B1829" s="51" t="s">
        <v>35</v>
      </c>
      <c r="C1829" s="51" t="s">
        <v>1791</v>
      </c>
      <c r="D1829" s="51">
        <v>100025720</v>
      </c>
      <c r="E1829" s="53" t="s">
        <v>1792</v>
      </c>
      <c r="F1829" s="124" t="s">
        <v>649</v>
      </c>
      <c r="G1829" s="124">
        <v>49</v>
      </c>
      <c r="H1829" s="369">
        <v>99.47</v>
      </c>
      <c r="I1829" s="215" t="s">
        <v>346</v>
      </c>
      <c r="J1829" s="215" t="s">
        <v>102</v>
      </c>
      <c r="K1829" s="266">
        <v>49081802912</v>
      </c>
      <c r="L1829" s="265" t="s">
        <v>649</v>
      </c>
      <c r="M1829" s="266">
        <v>50049081802917</v>
      </c>
      <c r="N1829" s="264">
        <v>6.7050000000000001</v>
      </c>
      <c r="O1829" s="265" t="s">
        <v>649</v>
      </c>
      <c r="P1829" s="265" t="s">
        <v>649</v>
      </c>
      <c r="Q1829" s="265" t="s">
        <v>649</v>
      </c>
    </row>
    <row r="1830" spans="1:17" ht="15" customHeight="1">
      <c r="A1830" s="147">
        <v>1909</v>
      </c>
      <c r="B1830" s="51" t="s">
        <v>35</v>
      </c>
      <c r="C1830" s="51" t="s">
        <v>1793</v>
      </c>
      <c r="D1830" s="51">
        <v>100025739</v>
      </c>
      <c r="E1830" s="53" t="s">
        <v>1794</v>
      </c>
      <c r="F1830" s="124" t="s">
        <v>649</v>
      </c>
      <c r="G1830" s="124">
        <v>49</v>
      </c>
      <c r="H1830" s="369">
        <v>99.47</v>
      </c>
      <c r="I1830" s="215" t="s">
        <v>76</v>
      </c>
      <c r="J1830" s="215" t="s">
        <v>102</v>
      </c>
      <c r="K1830" s="266">
        <v>49081802981</v>
      </c>
      <c r="L1830" s="265" t="s">
        <v>649</v>
      </c>
      <c r="M1830" s="266">
        <v>50049081802986</v>
      </c>
      <c r="N1830" s="264">
        <v>6.7050000000000001</v>
      </c>
      <c r="O1830" s="265" t="s">
        <v>649</v>
      </c>
      <c r="P1830" s="265" t="s">
        <v>649</v>
      </c>
      <c r="Q1830" s="265" t="s">
        <v>649</v>
      </c>
    </row>
    <row r="1831" spans="1:17" ht="15" customHeight="1">
      <c r="A1831" s="147">
        <v>1910</v>
      </c>
      <c r="B1831" s="51" t="s">
        <v>35</v>
      </c>
      <c r="C1831" s="51" t="s">
        <v>1795</v>
      </c>
      <c r="D1831" s="51">
        <v>100025748</v>
      </c>
      <c r="E1831" s="53" t="s">
        <v>1796</v>
      </c>
      <c r="F1831" s="124" t="s">
        <v>649</v>
      </c>
      <c r="G1831" s="124">
        <v>49</v>
      </c>
      <c r="H1831" s="369">
        <v>99.47</v>
      </c>
      <c r="I1831" s="215" t="s">
        <v>76</v>
      </c>
      <c r="J1831" s="215" t="s">
        <v>102</v>
      </c>
      <c r="K1831" s="266">
        <v>49081803056</v>
      </c>
      <c r="L1831" s="265" t="s">
        <v>649</v>
      </c>
      <c r="M1831" s="266">
        <v>50049081803051</v>
      </c>
      <c r="N1831" s="264">
        <v>6.7050000000000001</v>
      </c>
      <c r="O1831" s="265" t="s">
        <v>649</v>
      </c>
      <c r="P1831" s="265" t="s">
        <v>649</v>
      </c>
      <c r="Q1831" s="265" t="s">
        <v>649</v>
      </c>
    </row>
    <row r="1832" spans="1:17" ht="15" customHeight="1">
      <c r="A1832" s="147">
        <v>1911</v>
      </c>
      <c r="B1832" s="51" t="s">
        <v>35</v>
      </c>
      <c r="C1832" s="51" t="s">
        <v>1797</v>
      </c>
      <c r="D1832" s="51">
        <v>100025179</v>
      </c>
      <c r="E1832" s="53" t="s">
        <v>1798</v>
      </c>
      <c r="F1832" s="124" t="s">
        <v>649</v>
      </c>
      <c r="G1832" s="124">
        <v>49</v>
      </c>
      <c r="H1832" s="369">
        <v>99.47</v>
      </c>
      <c r="I1832" s="215" t="s">
        <v>346</v>
      </c>
      <c r="J1832" s="215" t="s">
        <v>102</v>
      </c>
      <c r="K1832" s="266">
        <v>49081803124</v>
      </c>
      <c r="L1832" s="265" t="s">
        <v>649</v>
      </c>
      <c r="M1832" s="266">
        <v>50049081803129</v>
      </c>
      <c r="N1832" s="264">
        <v>6.7050000000000001</v>
      </c>
      <c r="O1832" s="265" t="s">
        <v>649</v>
      </c>
      <c r="P1832" s="265" t="s">
        <v>649</v>
      </c>
      <c r="Q1832" s="265" t="s">
        <v>649</v>
      </c>
    </row>
    <row r="1833" spans="1:17" ht="15" customHeight="1">
      <c r="A1833" s="147">
        <v>1912</v>
      </c>
      <c r="B1833" s="51" t="s">
        <v>35</v>
      </c>
      <c r="C1833" s="51" t="s">
        <v>1799</v>
      </c>
      <c r="D1833" s="51">
        <v>100025136</v>
      </c>
      <c r="E1833" s="53" t="s">
        <v>1800</v>
      </c>
      <c r="F1833" s="124" t="s">
        <v>649</v>
      </c>
      <c r="G1833" s="124">
        <v>1</v>
      </c>
      <c r="H1833" s="369">
        <v>184.21</v>
      </c>
      <c r="I1833" s="215" t="s">
        <v>76</v>
      </c>
      <c r="J1833" s="215" t="s">
        <v>102</v>
      </c>
      <c r="K1833" s="266">
        <v>49081806064</v>
      </c>
      <c r="L1833" s="265" t="s">
        <v>649</v>
      </c>
      <c r="M1833" s="265" t="s">
        <v>649</v>
      </c>
      <c r="N1833" s="264">
        <v>12.814</v>
      </c>
      <c r="O1833" s="265" t="s">
        <v>649</v>
      </c>
      <c r="P1833" s="265" t="s">
        <v>649</v>
      </c>
      <c r="Q1833" s="265" t="s">
        <v>649</v>
      </c>
    </row>
    <row r="1834" spans="1:17" ht="15" customHeight="1">
      <c r="A1834" s="147">
        <v>1913</v>
      </c>
      <c r="B1834" s="51" t="s">
        <v>35</v>
      </c>
      <c r="C1834" s="51" t="s">
        <v>1801</v>
      </c>
      <c r="D1834" s="51">
        <v>100025755</v>
      </c>
      <c r="E1834" s="53" t="s">
        <v>1802</v>
      </c>
      <c r="F1834" s="124" t="s">
        <v>649</v>
      </c>
      <c r="G1834" s="124">
        <v>1</v>
      </c>
      <c r="H1834" s="369">
        <v>243.93</v>
      </c>
      <c r="I1834" s="215" t="s">
        <v>76</v>
      </c>
      <c r="J1834" s="215" t="s">
        <v>102</v>
      </c>
      <c r="K1834" s="266">
        <v>49081808501</v>
      </c>
      <c r="L1834" s="265" t="s">
        <v>649</v>
      </c>
      <c r="M1834" s="265" t="s">
        <v>649</v>
      </c>
      <c r="N1834" s="264">
        <v>12.814</v>
      </c>
      <c r="O1834" s="265" t="s">
        <v>649</v>
      </c>
      <c r="P1834" s="265" t="s">
        <v>649</v>
      </c>
      <c r="Q1834" s="265" t="s">
        <v>649</v>
      </c>
    </row>
    <row r="1835" spans="1:17" ht="15" customHeight="1">
      <c r="A1835" s="147">
        <v>1914</v>
      </c>
      <c r="B1835" s="51" t="s">
        <v>35</v>
      </c>
      <c r="C1835" s="51" t="s">
        <v>1803</v>
      </c>
      <c r="D1835" s="51">
        <v>100025751</v>
      </c>
      <c r="E1835" s="53" t="s">
        <v>1804</v>
      </c>
      <c r="F1835" s="124" t="s">
        <v>649</v>
      </c>
      <c r="G1835" s="124">
        <v>1</v>
      </c>
      <c r="H1835" s="369">
        <v>243.93</v>
      </c>
      <c r="I1835" s="215" t="s">
        <v>346</v>
      </c>
      <c r="J1835" s="215" t="s">
        <v>102</v>
      </c>
      <c r="K1835" s="266">
        <v>49081806033</v>
      </c>
      <c r="L1835" s="265" t="s">
        <v>649</v>
      </c>
      <c r="M1835" s="265" t="s">
        <v>649</v>
      </c>
      <c r="N1835" s="264">
        <v>12.814</v>
      </c>
      <c r="O1835" s="265" t="s">
        <v>649</v>
      </c>
      <c r="P1835" s="265" t="s">
        <v>649</v>
      </c>
      <c r="Q1835" s="265" t="s">
        <v>649</v>
      </c>
    </row>
    <row r="1836" spans="1:17" ht="15" customHeight="1">
      <c r="A1836" s="147">
        <v>1915</v>
      </c>
      <c r="B1836" s="51" t="s">
        <v>35</v>
      </c>
      <c r="C1836" s="51" t="s">
        <v>1805</v>
      </c>
      <c r="D1836" s="51">
        <v>100025708</v>
      </c>
      <c r="E1836" s="53" t="s">
        <v>1806</v>
      </c>
      <c r="F1836" s="124" t="s">
        <v>649</v>
      </c>
      <c r="G1836" s="124">
        <v>1</v>
      </c>
      <c r="H1836" s="369">
        <v>304.93</v>
      </c>
      <c r="I1836" s="215" t="s">
        <v>346</v>
      </c>
      <c r="J1836" s="215" t="s">
        <v>102</v>
      </c>
      <c r="K1836" s="266">
        <v>49081806125</v>
      </c>
      <c r="L1836" s="265" t="s">
        <v>649</v>
      </c>
      <c r="M1836" s="265" t="s">
        <v>649</v>
      </c>
      <c r="N1836" s="264">
        <v>12.814</v>
      </c>
      <c r="O1836" s="265" t="s">
        <v>649</v>
      </c>
      <c r="P1836" s="265" t="s">
        <v>649</v>
      </c>
      <c r="Q1836" s="265" t="s">
        <v>649</v>
      </c>
    </row>
    <row r="1837" spans="1:17" ht="15" customHeight="1">
      <c r="A1837" s="147">
        <v>1916</v>
      </c>
      <c r="B1837" s="51" t="s">
        <v>35</v>
      </c>
      <c r="C1837" s="51" t="s">
        <v>1807</v>
      </c>
      <c r="D1837" s="51">
        <v>100025172</v>
      </c>
      <c r="E1837" s="53" t="s">
        <v>1808</v>
      </c>
      <c r="F1837" s="124" t="s">
        <v>649</v>
      </c>
      <c r="G1837" s="124">
        <v>1</v>
      </c>
      <c r="H1837" s="369">
        <v>304.93</v>
      </c>
      <c r="I1837" s="215" t="s">
        <v>346</v>
      </c>
      <c r="J1837" s="215" t="s">
        <v>102</v>
      </c>
      <c r="K1837" s="266">
        <v>49081808495</v>
      </c>
      <c r="L1837" s="265" t="s">
        <v>649</v>
      </c>
      <c r="M1837" s="265" t="s">
        <v>649</v>
      </c>
      <c r="N1837" s="264">
        <v>12.814</v>
      </c>
      <c r="O1837" s="265" t="s">
        <v>649</v>
      </c>
      <c r="P1837" s="265" t="s">
        <v>649</v>
      </c>
      <c r="Q1837" s="265" t="s">
        <v>649</v>
      </c>
    </row>
    <row r="1838" spans="1:17" ht="15" customHeight="1">
      <c r="A1838" s="147">
        <v>1917</v>
      </c>
      <c r="B1838" s="51" t="s">
        <v>35</v>
      </c>
      <c r="C1838" s="51" t="s">
        <v>1809</v>
      </c>
      <c r="D1838" s="51">
        <v>100025185</v>
      </c>
      <c r="E1838" s="53" t="s">
        <v>1810</v>
      </c>
      <c r="F1838" s="124" t="s">
        <v>649</v>
      </c>
      <c r="G1838" s="124">
        <v>1</v>
      </c>
      <c r="H1838" s="369">
        <v>304.93</v>
      </c>
      <c r="I1838" s="215" t="s">
        <v>76</v>
      </c>
      <c r="J1838" s="215" t="s">
        <v>102</v>
      </c>
      <c r="K1838" s="266">
        <v>49081808518</v>
      </c>
      <c r="L1838" s="265" t="s">
        <v>649</v>
      </c>
      <c r="M1838" s="265" t="s">
        <v>649</v>
      </c>
      <c r="N1838" s="264">
        <v>12.814</v>
      </c>
      <c r="O1838" s="265" t="s">
        <v>649</v>
      </c>
      <c r="P1838" s="265" t="s">
        <v>649</v>
      </c>
      <c r="Q1838" s="265" t="s">
        <v>649</v>
      </c>
    </row>
    <row r="1839" spans="1:17" ht="15" customHeight="1">
      <c r="A1839" s="147">
        <v>1918</v>
      </c>
      <c r="B1839" s="51" t="s">
        <v>35</v>
      </c>
      <c r="C1839" s="51" t="s">
        <v>1811</v>
      </c>
      <c r="D1839" s="51">
        <v>100025186</v>
      </c>
      <c r="E1839" s="53" t="s">
        <v>1812</v>
      </c>
      <c r="F1839" s="124" t="s">
        <v>649</v>
      </c>
      <c r="G1839" s="124">
        <v>1</v>
      </c>
      <c r="H1839" s="369">
        <v>304.93</v>
      </c>
      <c r="I1839" s="215" t="s">
        <v>346</v>
      </c>
      <c r="J1839" s="215" t="s">
        <v>102</v>
      </c>
      <c r="K1839" s="266">
        <v>49081806156</v>
      </c>
      <c r="L1839" s="265" t="s">
        <v>649</v>
      </c>
      <c r="M1839" s="265" t="s">
        <v>649</v>
      </c>
      <c r="N1839" s="264">
        <v>12.814</v>
      </c>
      <c r="O1839" s="265" t="s">
        <v>649</v>
      </c>
      <c r="P1839" s="265" t="s">
        <v>649</v>
      </c>
      <c r="Q1839" s="265" t="s">
        <v>649</v>
      </c>
    </row>
    <row r="1840" spans="1:17" ht="15" customHeight="1">
      <c r="A1840" s="147">
        <v>1919</v>
      </c>
      <c r="B1840" s="51" t="s">
        <v>35</v>
      </c>
      <c r="C1840" s="51" t="s">
        <v>1814</v>
      </c>
      <c r="D1840" s="51">
        <v>100025771</v>
      </c>
      <c r="E1840" s="53" t="s">
        <v>1815</v>
      </c>
      <c r="F1840" s="124" t="s">
        <v>649</v>
      </c>
      <c r="G1840" s="124">
        <v>56</v>
      </c>
      <c r="H1840" s="369">
        <v>156.16</v>
      </c>
      <c r="I1840" s="215" t="s">
        <v>76</v>
      </c>
      <c r="J1840" s="215" t="s">
        <v>102</v>
      </c>
      <c r="K1840" s="266">
        <v>49081803636</v>
      </c>
      <c r="L1840" s="265" t="s">
        <v>649</v>
      </c>
      <c r="M1840" s="266">
        <v>50049081803631</v>
      </c>
      <c r="N1840" s="264">
        <v>8.8849999999999998</v>
      </c>
      <c r="O1840" s="265" t="s">
        <v>649</v>
      </c>
      <c r="P1840" s="265" t="s">
        <v>649</v>
      </c>
      <c r="Q1840" s="265" t="s">
        <v>649</v>
      </c>
    </row>
    <row r="1841" spans="1:17" ht="15" customHeight="1">
      <c r="A1841" s="147">
        <v>1920</v>
      </c>
      <c r="B1841" s="51" t="s">
        <v>35</v>
      </c>
      <c r="C1841" s="51" t="s">
        <v>1816</v>
      </c>
      <c r="D1841" s="51">
        <v>100025780</v>
      </c>
      <c r="E1841" s="53" t="s">
        <v>1817</v>
      </c>
      <c r="F1841" s="124" t="s">
        <v>649</v>
      </c>
      <c r="G1841" s="124">
        <v>56</v>
      </c>
      <c r="H1841" s="369">
        <v>156.16</v>
      </c>
      <c r="I1841" s="215" t="s">
        <v>76</v>
      </c>
      <c r="J1841" s="215" t="s">
        <v>102</v>
      </c>
      <c r="K1841" s="266">
        <v>49081803704</v>
      </c>
      <c r="L1841" s="265" t="s">
        <v>649</v>
      </c>
      <c r="M1841" s="266">
        <v>50049081803709</v>
      </c>
      <c r="N1841" s="264">
        <v>8.8849999999999998</v>
      </c>
      <c r="O1841" s="265" t="s">
        <v>649</v>
      </c>
      <c r="P1841" s="265" t="s">
        <v>649</v>
      </c>
      <c r="Q1841" s="265" t="s">
        <v>649</v>
      </c>
    </row>
    <row r="1842" spans="1:17" ht="15" customHeight="1">
      <c r="A1842" s="147">
        <v>1921</v>
      </c>
      <c r="B1842" s="51" t="s">
        <v>35</v>
      </c>
      <c r="C1842" s="51" t="s">
        <v>1818</v>
      </c>
      <c r="D1842" s="51">
        <v>100025792</v>
      </c>
      <c r="E1842" s="53" t="s">
        <v>1819</v>
      </c>
      <c r="F1842" s="124" t="s">
        <v>649</v>
      </c>
      <c r="G1842" s="124">
        <v>56</v>
      </c>
      <c r="H1842" s="369">
        <v>156.16</v>
      </c>
      <c r="I1842" s="215" t="s">
        <v>76</v>
      </c>
      <c r="J1842" s="215" t="s">
        <v>102</v>
      </c>
      <c r="K1842" s="266">
        <v>49081803773</v>
      </c>
      <c r="L1842" s="265" t="s">
        <v>649</v>
      </c>
      <c r="M1842" s="266">
        <v>50049081803778</v>
      </c>
      <c r="N1842" s="264">
        <v>8.8849999999999998</v>
      </c>
      <c r="O1842" s="265" t="s">
        <v>649</v>
      </c>
      <c r="P1842" s="265" t="s">
        <v>649</v>
      </c>
      <c r="Q1842" s="265" t="s">
        <v>649</v>
      </c>
    </row>
    <row r="1843" spans="1:17" ht="15" customHeight="1">
      <c r="A1843" s="147">
        <v>1922</v>
      </c>
      <c r="B1843" s="51" t="s">
        <v>35</v>
      </c>
      <c r="C1843" s="51">
        <v>150</v>
      </c>
      <c r="D1843" s="51">
        <v>100028528</v>
      </c>
      <c r="E1843" s="53" t="s">
        <v>1820</v>
      </c>
      <c r="F1843" s="124" t="s">
        <v>649</v>
      </c>
      <c r="G1843" s="124">
        <v>48</v>
      </c>
      <c r="H1843" s="369">
        <v>207.15</v>
      </c>
      <c r="I1843" s="215" t="s">
        <v>76</v>
      </c>
      <c r="J1843" s="215" t="s">
        <v>102</v>
      </c>
      <c r="K1843" s="266">
        <v>49081803278</v>
      </c>
      <c r="L1843" s="265" t="s">
        <v>649</v>
      </c>
      <c r="M1843" s="266">
        <v>50049081803273</v>
      </c>
      <c r="N1843" s="264">
        <v>12.105</v>
      </c>
      <c r="O1843" s="265" t="s">
        <v>649</v>
      </c>
      <c r="P1843" s="265" t="s">
        <v>649</v>
      </c>
      <c r="Q1843" s="265" t="s">
        <v>649</v>
      </c>
    </row>
    <row r="1844" spans="1:17" ht="15" customHeight="1">
      <c r="A1844" s="147">
        <v>1923</v>
      </c>
      <c r="B1844" s="51" t="s">
        <v>35</v>
      </c>
      <c r="C1844" s="51">
        <v>151</v>
      </c>
      <c r="D1844" s="51">
        <v>100028529</v>
      </c>
      <c r="E1844" s="53" t="s">
        <v>1821</v>
      </c>
      <c r="F1844" s="124" t="s">
        <v>649</v>
      </c>
      <c r="G1844" s="124">
        <v>48</v>
      </c>
      <c r="H1844" s="369">
        <v>207.15</v>
      </c>
      <c r="I1844" s="215" t="s">
        <v>76</v>
      </c>
      <c r="J1844" s="215" t="s">
        <v>102</v>
      </c>
      <c r="K1844" s="265" t="s">
        <v>649</v>
      </c>
      <c r="L1844" s="265" t="s">
        <v>649</v>
      </c>
      <c r="M1844" s="266">
        <v>50049081801255</v>
      </c>
      <c r="N1844" s="264">
        <v>12.105</v>
      </c>
      <c r="O1844" s="265" t="s">
        <v>649</v>
      </c>
      <c r="P1844" s="265" t="s">
        <v>649</v>
      </c>
      <c r="Q1844" s="265" t="s">
        <v>649</v>
      </c>
    </row>
    <row r="1845" spans="1:17" ht="15" customHeight="1">
      <c r="A1845" s="147">
        <v>1924</v>
      </c>
      <c r="B1845" s="51" t="s">
        <v>35</v>
      </c>
      <c r="C1845" s="51">
        <v>152</v>
      </c>
      <c r="D1845" s="51">
        <v>100028530</v>
      </c>
      <c r="E1845" s="53" t="s">
        <v>1822</v>
      </c>
      <c r="F1845" s="124" t="s">
        <v>649</v>
      </c>
      <c r="G1845" s="124">
        <v>48</v>
      </c>
      <c r="H1845" s="369">
        <v>207.15</v>
      </c>
      <c r="I1845" s="215" t="s">
        <v>76</v>
      </c>
      <c r="J1845" s="215" t="s">
        <v>102</v>
      </c>
      <c r="K1845" s="266">
        <v>49081803414</v>
      </c>
      <c r="L1845" s="265" t="s">
        <v>649</v>
      </c>
      <c r="M1845" s="266">
        <v>50049081803419</v>
      </c>
      <c r="N1845" s="264">
        <v>12.105</v>
      </c>
      <c r="O1845" s="265" t="s">
        <v>649</v>
      </c>
      <c r="P1845" s="265" t="s">
        <v>649</v>
      </c>
      <c r="Q1845" s="265" t="s">
        <v>649</v>
      </c>
    </row>
    <row r="1846" spans="1:17" ht="15" customHeight="1">
      <c r="A1846" s="147">
        <v>1925</v>
      </c>
      <c r="B1846" s="51" t="s">
        <v>35</v>
      </c>
      <c r="C1846" s="51">
        <v>154</v>
      </c>
      <c r="D1846" s="51">
        <v>100028532</v>
      </c>
      <c r="E1846" s="53" t="s">
        <v>1823</v>
      </c>
      <c r="F1846" s="124" t="s">
        <v>649</v>
      </c>
      <c r="G1846" s="124">
        <v>48</v>
      </c>
      <c r="H1846" s="369">
        <v>207.15</v>
      </c>
      <c r="I1846" s="215" t="s">
        <v>76</v>
      </c>
      <c r="J1846" s="215" t="s">
        <v>102</v>
      </c>
      <c r="K1846" s="266">
        <v>49081803490</v>
      </c>
      <c r="L1846" s="265" t="s">
        <v>649</v>
      </c>
      <c r="M1846" s="266">
        <v>50049081803495</v>
      </c>
      <c r="N1846" s="264">
        <v>12.105</v>
      </c>
      <c r="O1846" s="265" t="s">
        <v>649</v>
      </c>
      <c r="P1846" s="265" t="s">
        <v>649</v>
      </c>
      <c r="Q1846" s="265" t="s">
        <v>649</v>
      </c>
    </row>
    <row r="1847" spans="1:17" ht="15" customHeight="1">
      <c r="A1847" s="147">
        <v>1926</v>
      </c>
      <c r="B1847" s="51" t="s">
        <v>35</v>
      </c>
      <c r="C1847" s="51" t="s">
        <v>1824</v>
      </c>
      <c r="D1847" s="51">
        <v>100025786</v>
      </c>
      <c r="E1847" s="53" t="s">
        <v>1825</v>
      </c>
      <c r="F1847" s="124" t="s">
        <v>649</v>
      </c>
      <c r="G1847" s="124">
        <v>48</v>
      </c>
      <c r="H1847" s="369">
        <v>207.15</v>
      </c>
      <c r="I1847" s="215" t="s">
        <v>76</v>
      </c>
      <c r="J1847" s="215" t="s">
        <v>102</v>
      </c>
      <c r="K1847" s="266">
        <v>49081807429</v>
      </c>
      <c r="L1847" s="265" t="s">
        <v>649</v>
      </c>
      <c r="M1847" s="265" t="s">
        <v>649</v>
      </c>
      <c r="N1847" s="264">
        <v>13.085000000000001</v>
      </c>
      <c r="O1847" s="265" t="s">
        <v>649</v>
      </c>
      <c r="P1847" s="265" t="s">
        <v>649</v>
      </c>
      <c r="Q1847" s="265" t="s">
        <v>649</v>
      </c>
    </row>
    <row r="1848" spans="1:17" ht="15" customHeight="1">
      <c r="A1848" s="147">
        <v>1927</v>
      </c>
      <c r="B1848" s="51" t="s">
        <v>35</v>
      </c>
      <c r="C1848" s="51">
        <v>153</v>
      </c>
      <c r="D1848" s="51">
        <v>100028531</v>
      </c>
      <c r="E1848" s="53" t="s">
        <v>1826</v>
      </c>
      <c r="F1848" s="124" t="s">
        <v>649</v>
      </c>
      <c r="G1848" s="124">
        <v>48</v>
      </c>
      <c r="H1848" s="369">
        <v>207.15</v>
      </c>
      <c r="I1848" s="215" t="s">
        <v>76</v>
      </c>
      <c r="J1848" s="215" t="s">
        <v>102</v>
      </c>
      <c r="K1848" s="266">
        <v>49081803483</v>
      </c>
      <c r="L1848" s="265" t="s">
        <v>649</v>
      </c>
      <c r="M1848" s="266">
        <v>50049081803488</v>
      </c>
      <c r="N1848" s="264">
        <v>12.105</v>
      </c>
      <c r="O1848" s="265" t="s">
        <v>649</v>
      </c>
      <c r="P1848" s="265" t="s">
        <v>649</v>
      </c>
      <c r="Q1848" s="265" t="s">
        <v>649</v>
      </c>
    </row>
    <row r="1849" spans="1:17" ht="15" customHeight="1">
      <c r="A1849" s="147">
        <v>1928</v>
      </c>
      <c r="B1849" s="51" t="s">
        <v>35</v>
      </c>
      <c r="C1849" s="51" t="s">
        <v>1827</v>
      </c>
      <c r="D1849" s="51">
        <v>100025783</v>
      </c>
      <c r="E1849" s="53" t="s">
        <v>1828</v>
      </c>
      <c r="F1849" s="124" t="s">
        <v>649</v>
      </c>
      <c r="G1849" s="124">
        <v>48</v>
      </c>
      <c r="H1849" s="369">
        <v>207.15</v>
      </c>
      <c r="I1849" s="215" t="s">
        <v>76</v>
      </c>
      <c r="J1849" s="215" t="s">
        <v>102</v>
      </c>
      <c r="K1849" s="266">
        <v>49081801267</v>
      </c>
      <c r="L1849" s="265" t="s">
        <v>649</v>
      </c>
      <c r="M1849" s="266">
        <v>50049081801262</v>
      </c>
      <c r="N1849" s="264">
        <v>12.105</v>
      </c>
      <c r="O1849" s="265" t="s">
        <v>649</v>
      </c>
      <c r="P1849" s="265" t="s">
        <v>649</v>
      </c>
      <c r="Q1849" s="265" t="s">
        <v>649</v>
      </c>
    </row>
    <row r="1850" spans="1:17" ht="15" customHeight="1">
      <c r="A1850" s="147">
        <v>1929</v>
      </c>
      <c r="B1850" s="51" t="s">
        <v>35</v>
      </c>
      <c r="C1850" s="51" t="s">
        <v>1829</v>
      </c>
      <c r="D1850" s="51">
        <v>100025773</v>
      </c>
      <c r="E1850" s="53" t="s">
        <v>1830</v>
      </c>
      <c r="F1850" s="124" t="s">
        <v>649</v>
      </c>
      <c r="G1850" s="124">
        <v>48</v>
      </c>
      <c r="H1850" s="369">
        <v>207.15</v>
      </c>
      <c r="I1850" s="215" t="s">
        <v>346</v>
      </c>
      <c r="J1850" s="215" t="s">
        <v>102</v>
      </c>
      <c r="K1850" s="266">
        <v>49081804374</v>
      </c>
      <c r="L1850" s="265" t="s">
        <v>649</v>
      </c>
      <c r="M1850" s="265" t="s">
        <v>649</v>
      </c>
      <c r="N1850" s="264">
        <v>12.105</v>
      </c>
      <c r="O1850" s="265" t="s">
        <v>649</v>
      </c>
      <c r="P1850" s="265" t="s">
        <v>649</v>
      </c>
      <c r="Q1850" s="265" t="s">
        <v>649</v>
      </c>
    </row>
    <row r="1851" spans="1:17" ht="15" customHeight="1">
      <c r="A1851" s="147">
        <v>1930</v>
      </c>
      <c r="B1851" s="51" t="s">
        <v>35</v>
      </c>
      <c r="C1851" s="51" t="s">
        <v>1832</v>
      </c>
      <c r="D1851" s="51">
        <v>100025778</v>
      </c>
      <c r="E1851" s="53" t="s">
        <v>1833</v>
      </c>
      <c r="F1851" s="124" t="s">
        <v>649</v>
      </c>
      <c r="G1851" s="124">
        <v>28</v>
      </c>
      <c r="H1851" s="369">
        <v>172.07</v>
      </c>
      <c r="I1851" s="215" t="s">
        <v>346</v>
      </c>
      <c r="J1851" s="215" t="s">
        <v>102</v>
      </c>
      <c r="K1851" s="266">
        <v>49081803995</v>
      </c>
      <c r="L1851" s="265" t="s">
        <v>649</v>
      </c>
      <c r="M1851" s="266">
        <v>50049081803990</v>
      </c>
      <c r="N1851" s="264">
        <v>8.8849999999999998</v>
      </c>
      <c r="O1851" s="265" t="s">
        <v>649</v>
      </c>
      <c r="P1851" s="265" t="s">
        <v>649</v>
      </c>
      <c r="Q1851" s="265" t="s">
        <v>649</v>
      </c>
    </row>
    <row r="1852" spans="1:17" ht="15" customHeight="1">
      <c r="A1852" s="147">
        <v>1931</v>
      </c>
      <c r="B1852" s="51" t="s">
        <v>35</v>
      </c>
      <c r="C1852" s="51" t="s">
        <v>1834</v>
      </c>
      <c r="D1852" s="51">
        <v>100025790</v>
      </c>
      <c r="E1852" s="53" t="s">
        <v>1835</v>
      </c>
      <c r="F1852" s="124" t="s">
        <v>649</v>
      </c>
      <c r="G1852" s="124">
        <v>28</v>
      </c>
      <c r="H1852" s="369">
        <v>172.07</v>
      </c>
      <c r="I1852" s="215" t="s">
        <v>76</v>
      </c>
      <c r="J1852" s="215" t="s">
        <v>102</v>
      </c>
      <c r="K1852" s="266">
        <v>49081804060</v>
      </c>
      <c r="L1852" s="265" t="s">
        <v>649</v>
      </c>
      <c r="M1852" s="266">
        <v>50049081804065</v>
      </c>
      <c r="N1852" s="264">
        <v>8.8849999999999998</v>
      </c>
      <c r="O1852" s="265" t="s">
        <v>649</v>
      </c>
      <c r="P1852" s="265" t="s">
        <v>649</v>
      </c>
      <c r="Q1852" s="265" t="s">
        <v>649</v>
      </c>
    </row>
    <row r="1853" spans="1:17" ht="15" customHeight="1">
      <c r="A1853" s="147">
        <v>1932</v>
      </c>
      <c r="B1853" s="51" t="s">
        <v>35</v>
      </c>
      <c r="C1853" s="51" t="s">
        <v>1836</v>
      </c>
      <c r="D1853" s="51">
        <v>100025794</v>
      </c>
      <c r="E1853" s="53" t="s">
        <v>1837</v>
      </c>
      <c r="F1853" s="124" t="s">
        <v>649</v>
      </c>
      <c r="G1853" s="124">
        <v>28</v>
      </c>
      <c r="H1853" s="369">
        <v>172.07</v>
      </c>
      <c r="I1853" s="215" t="s">
        <v>346</v>
      </c>
      <c r="J1853" s="215" t="s">
        <v>102</v>
      </c>
      <c r="K1853" s="266">
        <v>49081804138</v>
      </c>
      <c r="L1853" s="265" t="s">
        <v>649</v>
      </c>
      <c r="M1853" s="266">
        <v>50049081804133</v>
      </c>
      <c r="N1853" s="264">
        <v>8.8849999999999998</v>
      </c>
      <c r="O1853" s="265" t="s">
        <v>649</v>
      </c>
      <c r="P1853" s="265" t="s">
        <v>649</v>
      </c>
      <c r="Q1853" s="265" t="s">
        <v>649</v>
      </c>
    </row>
    <row r="1854" spans="1:17" ht="15" customHeight="1">
      <c r="A1854" s="147">
        <v>1933</v>
      </c>
      <c r="B1854" s="51" t="s">
        <v>36</v>
      </c>
      <c r="C1854" s="51" t="s">
        <v>1839</v>
      </c>
      <c r="D1854" s="51">
        <v>100025655</v>
      </c>
      <c r="E1854" s="53" t="s">
        <v>1840</v>
      </c>
      <c r="F1854" s="124" t="s">
        <v>649</v>
      </c>
      <c r="G1854" s="124">
        <v>1</v>
      </c>
      <c r="H1854" s="369">
        <v>5.58</v>
      </c>
      <c r="I1854" s="215" t="s">
        <v>346</v>
      </c>
      <c r="J1854" s="215" t="s">
        <v>102</v>
      </c>
      <c r="K1854" s="266">
        <v>49081800451</v>
      </c>
      <c r="L1854" s="265" t="s">
        <v>649</v>
      </c>
      <c r="M1854" s="265" t="s">
        <v>649</v>
      </c>
      <c r="N1854" s="264">
        <v>0.30499999999999999</v>
      </c>
      <c r="O1854" s="265" t="s">
        <v>649</v>
      </c>
      <c r="P1854" s="265" t="s">
        <v>649</v>
      </c>
      <c r="Q1854" s="265" t="s">
        <v>649</v>
      </c>
    </row>
    <row r="1855" spans="1:17" ht="15" customHeight="1">
      <c r="A1855" s="147">
        <v>1934</v>
      </c>
      <c r="B1855" s="51" t="s">
        <v>36</v>
      </c>
      <c r="C1855" s="51" t="s">
        <v>1841</v>
      </c>
      <c r="D1855" s="51">
        <v>100025663</v>
      </c>
      <c r="E1855" s="53" t="s">
        <v>1842</v>
      </c>
      <c r="F1855" s="124" t="s">
        <v>649</v>
      </c>
      <c r="G1855" s="124">
        <v>1</v>
      </c>
      <c r="H1855" s="369">
        <v>5.58</v>
      </c>
      <c r="I1855" s="215" t="s">
        <v>76</v>
      </c>
      <c r="J1855" s="215" t="s">
        <v>102</v>
      </c>
      <c r="K1855" s="266">
        <v>49081804510</v>
      </c>
      <c r="L1855" s="265" t="s">
        <v>649</v>
      </c>
      <c r="M1855" s="265" t="s">
        <v>649</v>
      </c>
      <c r="N1855" s="264">
        <v>0.30499999999999999</v>
      </c>
      <c r="O1855" s="265" t="s">
        <v>649</v>
      </c>
      <c r="P1855" s="265" t="s">
        <v>649</v>
      </c>
      <c r="Q1855" s="265" t="s">
        <v>649</v>
      </c>
    </row>
    <row r="1856" spans="1:17" ht="15" customHeight="1">
      <c r="A1856" s="147">
        <v>1935</v>
      </c>
      <c r="B1856" s="51" t="s">
        <v>36</v>
      </c>
      <c r="C1856" s="51" t="s">
        <v>1843</v>
      </c>
      <c r="D1856" s="51">
        <v>100025535</v>
      </c>
      <c r="E1856" s="53" t="s">
        <v>1844</v>
      </c>
      <c r="F1856" s="124" t="s">
        <v>649</v>
      </c>
      <c r="G1856" s="124">
        <v>1</v>
      </c>
      <c r="H1856" s="369">
        <v>5.58</v>
      </c>
      <c r="I1856" s="215" t="s">
        <v>346</v>
      </c>
      <c r="J1856" s="215" t="s">
        <v>102</v>
      </c>
      <c r="K1856" s="266">
        <v>49081804534</v>
      </c>
      <c r="L1856" s="265" t="s">
        <v>649</v>
      </c>
      <c r="M1856" s="265" t="s">
        <v>649</v>
      </c>
      <c r="N1856" s="264">
        <v>0.30499999999999999</v>
      </c>
      <c r="O1856" s="265" t="s">
        <v>649</v>
      </c>
      <c r="P1856" s="265" t="s">
        <v>649</v>
      </c>
      <c r="Q1856" s="265" t="s">
        <v>649</v>
      </c>
    </row>
    <row r="1857" spans="1:17" ht="15" customHeight="1">
      <c r="A1857" s="147">
        <v>1936</v>
      </c>
      <c r="B1857" s="51" t="s">
        <v>36</v>
      </c>
      <c r="C1857" s="51" t="s">
        <v>1845</v>
      </c>
      <c r="D1857" s="51">
        <v>100025661</v>
      </c>
      <c r="E1857" s="53" t="s">
        <v>1846</v>
      </c>
      <c r="F1857" s="124" t="s">
        <v>649</v>
      </c>
      <c r="G1857" s="124">
        <v>1</v>
      </c>
      <c r="H1857" s="369">
        <v>5.58</v>
      </c>
      <c r="I1857" s="215" t="s">
        <v>346</v>
      </c>
      <c r="J1857" s="215" t="s">
        <v>102</v>
      </c>
      <c r="K1857" s="266">
        <v>49081800536</v>
      </c>
      <c r="L1857" s="265" t="s">
        <v>649</v>
      </c>
      <c r="M1857" s="265" t="s">
        <v>649</v>
      </c>
      <c r="N1857" s="264">
        <v>0.30499999999999999</v>
      </c>
      <c r="O1857" s="265" t="s">
        <v>649</v>
      </c>
      <c r="P1857" s="265" t="s">
        <v>649</v>
      </c>
      <c r="Q1857" s="265" t="s">
        <v>649</v>
      </c>
    </row>
    <row r="1858" spans="1:17" ht="15" customHeight="1">
      <c r="A1858" s="147">
        <v>1937</v>
      </c>
      <c r="B1858" s="51" t="s">
        <v>36</v>
      </c>
      <c r="C1858" s="51" t="s">
        <v>1847</v>
      </c>
      <c r="D1858" s="51">
        <v>100025518</v>
      </c>
      <c r="E1858" s="53" t="s">
        <v>1848</v>
      </c>
      <c r="F1858" s="124" t="s">
        <v>649</v>
      </c>
      <c r="G1858" s="124">
        <v>1</v>
      </c>
      <c r="H1858" s="369">
        <v>5.58</v>
      </c>
      <c r="I1858" s="215" t="s">
        <v>76</v>
      </c>
      <c r="J1858" s="215" t="s">
        <v>102</v>
      </c>
      <c r="K1858" s="266">
        <v>49081804503</v>
      </c>
      <c r="L1858" s="265" t="s">
        <v>649</v>
      </c>
      <c r="M1858" s="265" t="s">
        <v>649</v>
      </c>
      <c r="N1858" s="264">
        <v>0.30499999999999999</v>
      </c>
      <c r="O1858" s="265" t="s">
        <v>649</v>
      </c>
      <c r="P1858" s="265" t="s">
        <v>649</v>
      </c>
      <c r="Q1858" s="265" t="s">
        <v>649</v>
      </c>
    </row>
    <row r="1859" spans="1:17" ht="15" customHeight="1">
      <c r="A1859" s="147">
        <v>1938</v>
      </c>
      <c r="B1859" s="51" t="s">
        <v>36</v>
      </c>
      <c r="C1859" s="51" t="s">
        <v>1849</v>
      </c>
      <c r="D1859" s="51">
        <v>100025532</v>
      </c>
      <c r="E1859" s="53" t="s">
        <v>1850</v>
      </c>
      <c r="F1859" s="124" t="s">
        <v>649</v>
      </c>
      <c r="G1859" s="124">
        <v>1</v>
      </c>
      <c r="H1859" s="369">
        <v>5.58</v>
      </c>
      <c r="I1859" s="215" t="s">
        <v>346</v>
      </c>
      <c r="J1859" s="215" t="s">
        <v>102</v>
      </c>
      <c r="K1859" s="266">
        <v>49081808723</v>
      </c>
      <c r="L1859" s="265" t="s">
        <v>649</v>
      </c>
      <c r="M1859" s="265" t="s">
        <v>649</v>
      </c>
      <c r="N1859" s="264">
        <v>0.30499999999999999</v>
      </c>
      <c r="O1859" s="265" t="s">
        <v>649</v>
      </c>
      <c r="P1859" s="265" t="s">
        <v>649</v>
      </c>
      <c r="Q1859" s="265" t="s">
        <v>649</v>
      </c>
    </row>
    <row r="1860" spans="1:17" ht="15" customHeight="1">
      <c r="A1860" s="147">
        <v>1939</v>
      </c>
      <c r="B1860" s="51" t="s">
        <v>36</v>
      </c>
      <c r="C1860" s="51" t="s">
        <v>1851</v>
      </c>
      <c r="D1860" s="51">
        <v>100025521</v>
      </c>
      <c r="E1860" s="53" t="s">
        <v>1852</v>
      </c>
      <c r="F1860" s="124" t="s">
        <v>649</v>
      </c>
      <c r="G1860" s="124">
        <v>1</v>
      </c>
      <c r="H1860" s="369">
        <v>5.58</v>
      </c>
      <c r="I1860" s="215" t="s">
        <v>346</v>
      </c>
      <c r="J1860" s="215" t="s">
        <v>102</v>
      </c>
      <c r="K1860" s="266">
        <v>49081804756</v>
      </c>
      <c r="L1860" s="265" t="s">
        <v>649</v>
      </c>
      <c r="M1860" s="265" t="s">
        <v>649</v>
      </c>
      <c r="N1860" s="264">
        <v>0.30499999999999999</v>
      </c>
      <c r="O1860" s="265" t="s">
        <v>649</v>
      </c>
      <c r="P1860" s="265" t="s">
        <v>649</v>
      </c>
      <c r="Q1860" s="265" t="s">
        <v>649</v>
      </c>
    </row>
    <row r="1861" spans="1:17" ht="15" customHeight="1">
      <c r="A1861" s="147">
        <v>1940</v>
      </c>
      <c r="B1861" s="51" t="s">
        <v>36</v>
      </c>
      <c r="C1861" s="51" t="s">
        <v>1853</v>
      </c>
      <c r="D1861" s="51">
        <v>100025666</v>
      </c>
      <c r="E1861" s="53" t="s">
        <v>1854</v>
      </c>
      <c r="F1861" s="124" t="s">
        <v>649</v>
      </c>
      <c r="G1861" s="124">
        <v>1</v>
      </c>
      <c r="H1861" s="369">
        <v>5.58</v>
      </c>
      <c r="I1861" s="215" t="s">
        <v>346</v>
      </c>
      <c r="J1861" s="215" t="s">
        <v>102</v>
      </c>
      <c r="K1861" s="266">
        <v>49081808747</v>
      </c>
      <c r="L1861" s="265" t="s">
        <v>649</v>
      </c>
      <c r="M1861" s="265" t="s">
        <v>649</v>
      </c>
      <c r="N1861" s="264">
        <v>0.30499999999999999</v>
      </c>
      <c r="O1861" s="265" t="s">
        <v>649</v>
      </c>
      <c r="P1861" s="265" t="s">
        <v>649</v>
      </c>
      <c r="Q1861" s="265" t="s">
        <v>649</v>
      </c>
    </row>
    <row r="1862" spans="1:17" ht="15" customHeight="1">
      <c r="A1862" s="147">
        <v>1941</v>
      </c>
      <c r="B1862" s="51" t="s">
        <v>36</v>
      </c>
      <c r="C1862" s="51" t="s">
        <v>1855</v>
      </c>
      <c r="D1862" s="51">
        <v>100025519</v>
      </c>
      <c r="E1862" s="53" t="s">
        <v>1856</v>
      </c>
      <c r="F1862" s="124" t="s">
        <v>649</v>
      </c>
      <c r="G1862" s="124">
        <v>1</v>
      </c>
      <c r="H1862" s="369">
        <v>5.58</v>
      </c>
      <c r="I1862" s="215" t="s">
        <v>346</v>
      </c>
      <c r="J1862" s="215" t="s">
        <v>102</v>
      </c>
      <c r="K1862" s="266">
        <v>49081804749</v>
      </c>
      <c r="L1862" s="265" t="s">
        <v>649</v>
      </c>
      <c r="M1862" s="265" t="s">
        <v>649</v>
      </c>
      <c r="N1862" s="264">
        <v>0.30499999999999999</v>
      </c>
      <c r="O1862" s="265" t="s">
        <v>649</v>
      </c>
      <c r="P1862" s="265" t="s">
        <v>649</v>
      </c>
      <c r="Q1862" s="265" t="s">
        <v>649</v>
      </c>
    </row>
    <row r="1863" spans="1:17" ht="15" customHeight="1">
      <c r="A1863" s="147">
        <v>1942</v>
      </c>
      <c r="B1863" s="51" t="s">
        <v>36</v>
      </c>
      <c r="C1863" s="51" t="s">
        <v>1858</v>
      </c>
      <c r="D1863" s="51">
        <v>100025512</v>
      </c>
      <c r="E1863" s="53" t="s">
        <v>1859</v>
      </c>
      <c r="F1863" s="124" t="s">
        <v>649</v>
      </c>
      <c r="G1863" s="124">
        <v>1</v>
      </c>
      <c r="H1863" s="369">
        <v>5.58</v>
      </c>
      <c r="I1863" s="215" t="s">
        <v>346</v>
      </c>
      <c r="J1863" s="215" t="s">
        <v>102</v>
      </c>
      <c r="K1863" s="266">
        <v>49081800468</v>
      </c>
      <c r="L1863" s="265" t="s">
        <v>649</v>
      </c>
      <c r="M1863" s="265" t="s">
        <v>649</v>
      </c>
      <c r="N1863" s="264">
        <v>0.30499999999999999</v>
      </c>
      <c r="O1863" s="265" t="s">
        <v>649</v>
      </c>
      <c r="P1863" s="265" t="s">
        <v>649</v>
      </c>
      <c r="Q1863" s="265" t="s">
        <v>649</v>
      </c>
    </row>
    <row r="1864" spans="1:17" ht="15" customHeight="1">
      <c r="A1864" s="147">
        <v>1943</v>
      </c>
      <c r="B1864" s="51" t="s">
        <v>36</v>
      </c>
      <c r="C1864" s="51" t="s">
        <v>1860</v>
      </c>
      <c r="D1864" s="51">
        <v>100025664</v>
      </c>
      <c r="E1864" s="53" t="s">
        <v>1861</v>
      </c>
      <c r="F1864" s="124" t="s">
        <v>649</v>
      </c>
      <c r="G1864" s="124">
        <v>1</v>
      </c>
      <c r="H1864" s="369">
        <v>5.58</v>
      </c>
      <c r="I1864" s="215" t="s">
        <v>346</v>
      </c>
      <c r="J1864" s="215" t="s">
        <v>102</v>
      </c>
      <c r="K1864" s="266">
        <v>49081808716</v>
      </c>
      <c r="L1864" s="265" t="s">
        <v>649</v>
      </c>
      <c r="M1864" s="265" t="s">
        <v>649</v>
      </c>
      <c r="N1864" s="264">
        <v>0.30499999999999999</v>
      </c>
      <c r="O1864" s="265" t="s">
        <v>649</v>
      </c>
      <c r="P1864" s="265" t="s">
        <v>649</v>
      </c>
      <c r="Q1864" s="265" t="s">
        <v>649</v>
      </c>
    </row>
    <row r="1865" spans="1:17" ht="15" customHeight="1">
      <c r="A1865" s="147">
        <v>1944</v>
      </c>
      <c r="B1865" s="51" t="s">
        <v>36</v>
      </c>
      <c r="C1865" s="51" t="s">
        <v>1862</v>
      </c>
      <c r="D1865" s="51">
        <v>100025516</v>
      </c>
      <c r="E1865" s="53" t="s">
        <v>1863</v>
      </c>
      <c r="F1865" s="124" t="s">
        <v>649</v>
      </c>
      <c r="G1865" s="124">
        <v>1</v>
      </c>
      <c r="H1865" s="369">
        <v>5.58</v>
      </c>
      <c r="I1865" s="215" t="s">
        <v>346</v>
      </c>
      <c r="J1865" s="215" t="s">
        <v>102</v>
      </c>
      <c r="K1865" s="266">
        <v>49081800475</v>
      </c>
      <c r="L1865" s="265" t="s">
        <v>649</v>
      </c>
      <c r="M1865" s="265" t="s">
        <v>649</v>
      </c>
      <c r="N1865" s="264">
        <v>0.30499999999999999</v>
      </c>
      <c r="O1865" s="265" t="s">
        <v>649</v>
      </c>
      <c r="P1865" s="265" t="s">
        <v>649</v>
      </c>
      <c r="Q1865" s="265" t="s">
        <v>649</v>
      </c>
    </row>
    <row r="1866" spans="1:17" ht="15" customHeight="1">
      <c r="A1866" s="147">
        <v>1945</v>
      </c>
      <c r="B1866" s="51" t="s">
        <v>36</v>
      </c>
      <c r="C1866" s="51" t="s">
        <v>1864</v>
      </c>
      <c r="D1866" s="51">
        <v>100025531</v>
      </c>
      <c r="E1866" s="53" t="s">
        <v>1865</v>
      </c>
      <c r="F1866" s="124" t="s">
        <v>649</v>
      </c>
      <c r="G1866" s="124">
        <v>1</v>
      </c>
      <c r="H1866" s="369">
        <v>5.58</v>
      </c>
      <c r="I1866" s="215" t="s">
        <v>346</v>
      </c>
      <c r="J1866" s="215" t="s">
        <v>102</v>
      </c>
      <c r="K1866" s="266">
        <v>49081804527</v>
      </c>
      <c r="L1866" s="265" t="s">
        <v>649</v>
      </c>
      <c r="M1866" s="265" t="s">
        <v>649</v>
      </c>
      <c r="N1866" s="264">
        <v>0.30499999999999999</v>
      </c>
      <c r="O1866" s="265" t="s">
        <v>649</v>
      </c>
      <c r="P1866" s="265" t="s">
        <v>649</v>
      </c>
      <c r="Q1866" s="265" t="s">
        <v>649</v>
      </c>
    </row>
    <row r="1867" spans="1:17" ht="15" customHeight="1">
      <c r="A1867" s="147">
        <v>1946</v>
      </c>
      <c r="B1867" s="51" t="s">
        <v>36</v>
      </c>
      <c r="C1867" s="51" t="s">
        <v>1866</v>
      </c>
      <c r="D1867" s="51">
        <v>100025520</v>
      </c>
      <c r="E1867" s="53" t="s">
        <v>1867</v>
      </c>
      <c r="F1867" s="124" t="s">
        <v>649</v>
      </c>
      <c r="G1867" s="124">
        <v>1</v>
      </c>
      <c r="H1867" s="369">
        <v>5.58</v>
      </c>
      <c r="I1867" s="215" t="s">
        <v>346</v>
      </c>
      <c r="J1867" s="215" t="s">
        <v>102</v>
      </c>
      <c r="K1867" s="266">
        <v>49081800482</v>
      </c>
      <c r="L1867" s="265" t="s">
        <v>649</v>
      </c>
      <c r="M1867" s="265" t="s">
        <v>649</v>
      </c>
      <c r="N1867" s="264">
        <v>0.30499999999999999</v>
      </c>
      <c r="O1867" s="265" t="s">
        <v>649</v>
      </c>
      <c r="P1867" s="265" t="s">
        <v>649</v>
      </c>
      <c r="Q1867" s="265" t="s">
        <v>649</v>
      </c>
    </row>
    <row r="1868" spans="1:17" ht="15" customHeight="1">
      <c r="A1868" s="147">
        <v>1947</v>
      </c>
      <c r="B1868" s="51" t="s">
        <v>36</v>
      </c>
      <c r="C1868" s="51" t="s">
        <v>1868</v>
      </c>
      <c r="D1868" s="51">
        <v>100025533</v>
      </c>
      <c r="E1868" s="53" t="s">
        <v>1869</v>
      </c>
      <c r="F1868" s="124" t="s">
        <v>649</v>
      </c>
      <c r="G1868" s="124">
        <v>1</v>
      </c>
      <c r="H1868" s="369">
        <v>5.58</v>
      </c>
      <c r="I1868" s="215" t="s">
        <v>346</v>
      </c>
      <c r="J1868" s="215" t="s">
        <v>102</v>
      </c>
      <c r="K1868" s="266">
        <v>49081808730</v>
      </c>
      <c r="L1868" s="265" t="s">
        <v>649</v>
      </c>
      <c r="M1868" s="265" t="s">
        <v>649</v>
      </c>
      <c r="N1868" s="264">
        <v>0.30499999999999999</v>
      </c>
      <c r="O1868" s="265" t="s">
        <v>649</v>
      </c>
      <c r="P1868" s="265" t="s">
        <v>649</v>
      </c>
      <c r="Q1868" s="265" t="s">
        <v>649</v>
      </c>
    </row>
    <row r="1869" spans="1:17" ht="15" customHeight="1">
      <c r="A1869" s="147">
        <v>1948</v>
      </c>
      <c r="B1869" s="51" t="s">
        <v>36</v>
      </c>
      <c r="C1869" s="51" t="s">
        <v>1870</v>
      </c>
      <c r="D1869" s="51">
        <v>100025346</v>
      </c>
      <c r="E1869" s="53" t="s">
        <v>1871</v>
      </c>
      <c r="F1869" s="124" t="s">
        <v>649</v>
      </c>
      <c r="G1869" s="124">
        <v>240</v>
      </c>
      <c r="H1869" s="369">
        <v>26.09</v>
      </c>
      <c r="I1869" s="215" t="s">
        <v>346</v>
      </c>
      <c r="J1869" s="215" t="s">
        <v>102</v>
      </c>
      <c r="K1869" s="266">
        <v>49081800079</v>
      </c>
      <c r="L1869" s="265" t="s">
        <v>649</v>
      </c>
      <c r="M1869" s="265" t="s">
        <v>649</v>
      </c>
      <c r="N1869" s="264">
        <v>1.19</v>
      </c>
      <c r="O1869" s="265" t="s">
        <v>649</v>
      </c>
      <c r="P1869" s="265" t="s">
        <v>649</v>
      </c>
      <c r="Q1869" s="265" t="s">
        <v>649</v>
      </c>
    </row>
    <row r="1870" spans="1:17" ht="15" customHeight="1">
      <c r="A1870" s="147">
        <v>1949</v>
      </c>
      <c r="B1870" s="51" t="s">
        <v>36</v>
      </c>
      <c r="C1870" s="51" t="s">
        <v>1872</v>
      </c>
      <c r="D1870" s="51">
        <v>100025590</v>
      </c>
      <c r="E1870" s="53" t="s">
        <v>1873</v>
      </c>
      <c r="F1870" s="124" t="s">
        <v>649</v>
      </c>
      <c r="G1870" s="124">
        <v>240</v>
      </c>
      <c r="H1870" s="369">
        <v>26.09</v>
      </c>
      <c r="I1870" s="215" t="s">
        <v>346</v>
      </c>
      <c r="J1870" s="215" t="s">
        <v>102</v>
      </c>
      <c r="K1870" s="266">
        <v>49081800086</v>
      </c>
      <c r="L1870" s="265" t="s">
        <v>649</v>
      </c>
      <c r="M1870" s="265" t="s">
        <v>649</v>
      </c>
      <c r="N1870" s="264">
        <v>1.19</v>
      </c>
      <c r="O1870" s="265" t="s">
        <v>649</v>
      </c>
      <c r="P1870" s="265" t="s">
        <v>649</v>
      </c>
      <c r="Q1870" s="265" t="s">
        <v>649</v>
      </c>
    </row>
    <row r="1871" spans="1:17" ht="15" customHeight="1">
      <c r="A1871" s="147">
        <v>1950</v>
      </c>
      <c r="B1871" s="51" t="s">
        <v>36</v>
      </c>
      <c r="C1871" s="51" t="s">
        <v>1874</v>
      </c>
      <c r="D1871" s="51">
        <v>100025669</v>
      </c>
      <c r="E1871" s="53" t="s">
        <v>1875</v>
      </c>
      <c r="F1871" s="124" t="s">
        <v>649</v>
      </c>
      <c r="G1871" s="124">
        <v>1</v>
      </c>
      <c r="H1871" s="369">
        <v>8.7799999999999994</v>
      </c>
      <c r="I1871" s="215" t="s">
        <v>346</v>
      </c>
      <c r="J1871" s="215" t="s">
        <v>102</v>
      </c>
      <c r="K1871" s="266">
        <v>49081800543</v>
      </c>
      <c r="L1871" s="265" t="s">
        <v>649</v>
      </c>
      <c r="M1871" s="265" t="s">
        <v>649</v>
      </c>
      <c r="N1871" s="264">
        <v>0.51500000000000001</v>
      </c>
      <c r="O1871" s="265" t="s">
        <v>649</v>
      </c>
      <c r="P1871" s="265" t="s">
        <v>649</v>
      </c>
      <c r="Q1871" s="265" t="s">
        <v>649</v>
      </c>
    </row>
    <row r="1872" spans="1:17" ht="15" customHeight="1">
      <c r="A1872" s="147">
        <v>1951</v>
      </c>
      <c r="B1872" s="51" t="s">
        <v>36</v>
      </c>
      <c r="C1872" s="51" t="s">
        <v>1876</v>
      </c>
      <c r="D1872" s="51">
        <v>100025674</v>
      </c>
      <c r="E1872" s="53" t="s">
        <v>1877</v>
      </c>
      <c r="F1872" s="124" t="s">
        <v>649</v>
      </c>
      <c r="G1872" s="124">
        <v>1</v>
      </c>
      <c r="H1872" s="369">
        <v>8.7799999999999994</v>
      </c>
      <c r="I1872" s="215" t="s">
        <v>346</v>
      </c>
      <c r="J1872" s="215" t="s">
        <v>102</v>
      </c>
      <c r="K1872" s="266">
        <v>49081800635</v>
      </c>
      <c r="L1872" s="265" t="s">
        <v>649</v>
      </c>
      <c r="M1872" s="265" t="s">
        <v>649</v>
      </c>
      <c r="N1872" s="264">
        <v>0.51500000000000001</v>
      </c>
      <c r="O1872" s="265" t="s">
        <v>649</v>
      </c>
      <c r="P1872" s="265" t="s">
        <v>649</v>
      </c>
      <c r="Q1872" s="265" t="s">
        <v>649</v>
      </c>
    </row>
    <row r="1873" spans="1:17" ht="15" customHeight="1">
      <c r="A1873" s="147">
        <v>1952</v>
      </c>
      <c r="B1873" s="51" t="s">
        <v>36</v>
      </c>
      <c r="C1873" s="51" t="s">
        <v>1878</v>
      </c>
      <c r="D1873" s="51">
        <v>100025556</v>
      </c>
      <c r="E1873" s="53" t="s">
        <v>1879</v>
      </c>
      <c r="F1873" s="124" t="s">
        <v>649</v>
      </c>
      <c r="G1873" s="124">
        <v>1</v>
      </c>
      <c r="H1873" s="369">
        <v>8.7799999999999994</v>
      </c>
      <c r="I1873" s="215" t="s">
        <v>346</v>
      </c>
      <c r="J1873" s="215" t="s">
        <v>102</v>
      </c>
      <c r="K1873" s="266">
        <v>49081800673</v>
      </c>
      <c r="L1873" s="265" t="s">
        <v>649</v>
      </c>
      <c r="M1873" s="265" t="s">
        <v>649</v>
      </c>
      <c r="N1873" s="264">
        <v>0.51500000000000001</v>
      </c>
      <c r="O1873" s="265" t="s">
        <v>649</v>
      </c>
      <c r="P1873" s="265" t="s">
        <v>649</v>
      </c>
      <c r="Q1873" s="265" t="s">
        <v>649</v>
      </c>
    </row>
    <row r="1874" spans="1:17" ht="15" customHeight="1">
      <c r="A1874" s="147">
        <v>1953</v>
      </c>
      <c r="B1874" s="51" t="s">
        <v>36</v>
      </c>
      <c r="C1874" s="51" t="s">
        <v>1880</v>
      </c>
      <c r="D1874" s="51">
        <v>100025672</v>
      </c>
      <c r="E1874" s="53" t="s">
        <v>1881</v>
      </c>
      <c r="F1874" s="124" t="s">
        <v>649</v>
      </c>
      <c r="G1874" s="124">
        <v>1</v>
      </c>
      <c r="H1874" s="369">
        <v>8.7799999999999994</v>
      </c>
      <c r="I1874" s="215" t="s">
        <v>76</v>
      </c>
      <c r="J1874" s="215" t="s">
        <v>102</v>
      </c>
      <c r="K1874" s="266">
        <v>49081800628</v>
      </c>
      <c r="L1874" s="265" t="s">
        <v>649</v>
      </c>
      <c r="M1874" s="265" t="s">
        <v>649</v>
      </c>
      <c r="N1874" s="264">
        <v>0.51500000000000001</v>
      </c>
      <c r="O1874" s="265" t="s">
        <v>649</v>
      </c>
      <c r="P1874" s="265" t="s">
        <v>649</v>
      </c>
      <c r="Q1874" s="265" t="s">
        <v>649</v>
      </c>
    </row>
    <row r="1875" spans="1:17" ht="15" customHeight="1">
      <c r="A1875" s="147">
        <v>1954</v>
      </c>
      <c r="B1875" s="51" t="s">
        <v>36</v>
      </c>
      <c r="C1875" s="51" t="s">
        <v>1882</v>
      </c>
      <c r="D1875" s="51">
        <v>100025550</v>
      </c>
      <c r="E1875" s="53" t="s">
        <v>1883</v>
      </c>
      <c r="F1875" s="124" t="s">
        <v>649</v>
      </c>
      <c r="G1875" s="124">
        <v>1</v>
      </c>
      <c r="H1875" s="369">
        <v>8.7799999999999994</v>
      </c>
      <c r="I1875" s="215" t="s">
        <v>346</v>
      </c>
      <c r="J1875" s="215" t="s">
        <v>102</v>
      </c>
      <c r="K1875" s="266">
        <v>49081804763</v>
      </c>
      <c r="L1875" s="265" t="s">
        <v>649</v>
      </c>
      <c r="M1875" s="265" t="s">
        <v>649</v>
      </c>
      <c r="N1875" s="264">
        <v>0.51500000000000001</v>
      </c>
      <c r="O1875" s="265" t="s">
        <v>649</v>
      </c>
      <c r="P1875" s="265" t="s">
        <v>649</v>
      </c>
      <c r="Q1875" s="265" t="s">
        <v>649</v>
      </c>
    </row>
    <row r="1876" spans="1:17" ht="15" customHeight="1">
      <c r="A1876" s="147">
        <v>1955</v>
      </c>
      <c r="B1876" s="51" t="s">
        <v>36</v>
      </c>
      <c r="C1876" s="51" t="s">
        <v>1884</v>
      </c>
      <c r="D1876" s="51">
        <v>100025548</v>
      </c>
      <c r="E1876" s="53" t="s">
        <v>1885</v>
      </c>
      <c r="F1876" s="124" t="s">
        <v>649</v>
      </c>
      <c r="G1876" s="124">
        <v>1</v>
      </c>
      <c r="H1876" s="369">
        <v>8.7799999999999994</v>
      </c>
      <c r="I1876" s="215" t="s">
        <v>346</v>
      </c>
      <c r="J1876" s="215" t="s">
        <v>102</v>
      </c>
      <c r="K1876" s="266">
        <v>49081800550</v>
      </c>
      <c r="L1876" s="265" t="s">
        <v>649</v>
      </c>
      <c r="M1876" s="265" t="s">
        <v>649</v>
      </c>
      <c r="N1876" s="264">
        <v>0.51500000000000001</v>
      </c>
      <c r="O1876" s="265" t="s">
        <v>649</v>
      </c>
      <c r="P1876" s="265" t="s">
        <v>649</v>
      </c>
      <c r="Q1876" s="265" t="s">
        <v>649</v>
      </c>
    </row>
    <row r="1877" spans="1:17" ht="15" customHeight="1">
      <c r="A1877" s="147">
        <v>1956</v>
      </c>
      <c r="B1877" s="51" t="s">
        <v>36</v>
      </c>
      <c r="C1877" s="51" t="s">
        <v>1886</v>
      </c>
      <c r="D1877" s="51">
        <v>100025554</v>
      </c>
      <c r="E1877" s="53" t="s">
        <v>1887</v>
      </c>
      <c r="F1877" s="124" t="s">
        <v>649</v>
      </c>
      <c r="G1877" s="124">
        <v>1</v>
      </c>
      <c r="H1877" s="369">
        <v>8.7799999999999994</v>
      </c>
      <c r="I1877" s="215" t="s">
        <v>346</v>
      </c>
      <c r="J1877" s="215" t="s">
        <v>102</v>
      </c>
      <c r="K1877" s="266">
        <v>49081800642</v>
      </c>
      <c r="L1877" s="265" t="s">
        <v>649</v>
      </c>
      <c r="M1877" s="265" t="s">
        <v>649</v>
      </c>
      <c r="N1877" s="264">
        <v>0.51500000000000001</v>
      </c>
      <c r="O1877" s="265" t="s">
        <v>649</v>
      </c>
      <c r="P1877" s="265" t="s">
        <v>649</v>
      </c>
      <c r="Q1877" s="265" t="s">
        <v>649</v>
      </c>
    </row>
    <row r="1878" spans="1:17" ht="15" customHeight="1">
      <c r="A1878" s="147">
        <v>1957</v>
      </c>
      <c r="B1878" s="51" t="s">
        <v>36</v>
      </c>
      <c r="C1878" s="51" t="s">
        <v>1888</v>
      </c>
      <c r="D1878" s="51">
        <v>100025557</v>
      </c>
      <c r="E1878" s="53" t="s">
        <v>1889</v>
      </c>
      <c r="F1878" s="124" t="s">
        <v>649</v>
      </c>
      <c r="G1878" s="124">
        <v>1</v>
      </c>
      <c r="H1878" s="369">
        <v>8.7799999999999994</v>
      </c>
      <c r="I1878" s="215" t="s">
        <v>76</v>
      </c>
      <c r="J1878" s="215" t="s">
        <v>102</v>
      </c>
      <c r="K1878" s="266">
        <v>49081800680</v>
      </c>
      <c r="L1878" s="265" t="s">
        <v>649</v>
      </c>
      <c r="M1878" s="265" t="s">
        <v>649</v>
      </c>
      <c r="N1878" s="264">
        <v>0.51500000000000001</v>
      </c>
      <c r="O1878" s="265" t="s">
        <v>649</v>
      </c>
      <c r="P1878" s="265" t="s">
        <v>649</v>
      </c>
      <c r="Q1878" s="265" t="s">
        <v>649</v>
      </c>
    </row>
    <row r="1879" spans="1:17" ht="15" customHeight="1">
      <c r="A1879" s="147">
        <v>1958</v>
      </c>
      <c r="B1879" s="51" t="s">
        <v>36</v>
      </c>
      <c r="C1879" s="51" t="s">
        <v>1890</v>
      </c>
      <c r="D1879" s="51">
        <v>100025549</v>
      </c>
      <c r="E1879" s="53" t="s">
        <v>1891</v>
      </c>
      <c r="F1879" s="124" t="s">
        <v>649</v>
      </c>
      <c r="G1879" s="124">
        <v>1</v>
      </c>
      <c r="H1879" s="369">
        <v>8.7799999999999994</v>
      </c>
      <c r="I1879" s="215" t="s">
        <v>346</v>
      </c>
      <c r="J1879" s="215" t="s">
        <v>102</v>
      </c>
      <c r="K1879" s="266">
        <v>49081800567</v>
      </c>
      <c r="L1879" s="265" t="s">
        <v>649</v>
      </c>
      <c r="M1879" s="265" t="s">
        <v>649</v>
      </c>
      <c r="N1879" s="264">
        <v>0.51500000000000001</v>
      </c>
      <c r="O1879" s="265" t="s">
        <v>649</v>
      </c>
      <c r="P1879" s="265" t="s">
        <v>649</v>
      </c>
      <c r="Q1879" s="265" t="s">
        <v>649</v>
      </c>
    </row>
    <row r="1880" spans="1:17" ht="15" customHeight="1">
      <c r="A1880" s="147">
        <v>1959</v>
      </c>
      <c r="B1880" s="51" t="s">
        <v>36</v>
      </c>
      <c r="C1880" s="51" t="s">
        <v>1892</v>
      </c>
      <c r="D1880" s="51">
        <v>100025555</v>
      </c>
      <c r="E1880" s="53" t="s">
        <v>1893</v>
      </c>
      <c r="F1880" s="124" t="s">
        <v>649</v>
      </c>
      <c r="G1880" s="124">
        <v>1</v>
      </c>
      <c r="H1880" s="369">
        <v>8.7799999999999994</v>
      </c>
      <c r="I1880" s="215" t="s">
        <v>346</v>
      </c>
      <c r="J1880" s="215" t="s">
        <v>102</v>
      </c>
      <c r="K1880" s="266">
        <v>49081800659</v>
      </c>
      <c r="L1880" s="265" t="s">
        <v>649</v>
      </c>
      <c r="M1880" s="265" t="s">
        <v>649</v>
      </c>
      <c r="N1880" s="264">
        <v>0.51500000000000001</v>
      </c>
      <c r="O1880" s="265" t="s">
        <v>649</v>
      </c>
      <c r="P1880" s="265" t="s">
        <v>649</v>
      </c>
      <c r="Q1880" s="265" t="s">
        <v>649</v>
      </c>
    </row>
    <row r="1881" spans="1:17" ht="15" customHeight="1">
      <c r="A1881" s="147">
        <v>1960</v>
      </c>
      <c r="B1881" s="51" t="s">
        <v>36</v>
      </c>
      <c r="C1881" s="51" t="s">
        <v>1894</v>
      </c>
      <c r="D1881" s="51">
        <v>100025559</v>
      </c>
      <c r="E1881" s="53" t="s">
        <v>1895</v>
      </c>
      <c r="F1881" s="124" t="s">
        <v>649</v>
      </c>
      <c r="G1881" s="124">
        <v>1</v>
      </c>
      <c r="H1881" s="369">
        <v>8.7799999999999994</v>
      </c>
      <c r="I1881" s="215" t="s">
        <v>346</v>
      </c>
      <c r="J1881" s="215" t="s">
        <v>102</v>
      </c>
      <c r="K1881" s="266">
        <v>49081800703</v>
      </c>
      <c r="L1881" s="265" t="s">
        <v>649</v>
      </c>
      <c r="M1881" s="265" t="s">
        <v>649</v>
      </c>
      <c r="N1881" s="264">
        <v>0.51500000000000001</v>
      </c>
      <c r="O1881" s="265" t="s">
        <v>649</v>
      </c>
      <c r="P1881" s="265" t="s">
        <v>649</v>
      </c>
      <c r="Q1881" s="265" t="s">
        <v>649</v>
      </c>
    </row>
    <row r="1882" spans="1:17" ht="15" customHeight="1">
      <c r="A1882" s="147">
        <v>1961</v>
      </c>
      <c r="B1882" s="51" t="s">
        <v>36</v>
      </c>
      <c r="C1882" s="51" t="s">
        <v>1896</v>
      </c>
      <c r="D1882" s="51">
        <v>100025566</v>
      </c>
      <c r="E1882" s="53" t="s">
        <v>1897</v>
      </c>
      <c r="F1882" s="124" t="s">
        <v>649</v>
      </c>
      <c r="G1882" s="124">
        <v>156</v>
      </c>
      <c r="H1882" s="369">
        <v>31.84</v>
      </c>
      <c r="I1882" s="215" t="s">
        <v>346</v>
      </c>
      <c r="J1882" s="215" t="s">
        <v>102</v>
      </c>
      <c r="K1882" s="266">
        <v>49081800109</v>
      </c>
      <c r="L1882" s="265" t="s">
        <v>649</v>
      </c>
      <c r="M1882" s="265" t="s">
        <v>649</v>
      </c>
      <c r="N1882" s="264">
        <v>2.2650000000000001</v>
      </c>
      <c r="O1882" s="265" t="s">
        <v>649</v>
      </c>
      <c r="P1882" s="265" t="s">
        <v>649</v>
      </c>
      <c r="Q1882" s="265" t="s">
        <v>649</v>
      </c>
    </row>
    <row r="1883" spans="1:17" ht="15" customHeight="1">
      <c r="A1883" s="147">
        <v>1962</v>
      </c>
      <c r="B1883" s="51" t="s">
        <v>36</v>
      </c>
      <c r="C1883" s="51" t="s">
        <v>1898</v>
      </c>
      <c r="D1883" s="51">
        <v>100025567</v>
      </c>
      <c r="E1883" s="53" t="s">
        <v>1899</v>
      </c>
      <c r="F1883" s="124" t="s">
        <v>649</v>
      </c>
      <c r="G1883" s="124">
        <v>156</v>
      </c>
      <c r="H1883" s="369">
        <v>31.84</v>
      </c>
      <c r="I1883" s="215" t="s">
        <v>76</v>
      </c>
      <c r="J1883" s="215" t="s">
        <v>102</v>
      </c>
      <c r="K1883" s="266">
        <v>49081800123</v>
      </c>
      <c r="L1883" s="265" t="s">
        <v>649</v>
      </c>
      <c r="M1883" s="265" t="s">
        <v>649</v>
      </c>
      <c r="N1883" s="264">
        <v>2.2650000000000001</v>
      </c>
      <c r="O1883" s="265" t="s">
        <v>649</v>
      </c>
      <c r="P1883" s="265" t="s">
        <v>649</v>
      </c>
      <c r="Q1883" s="265" t="s">
        <v>649</v>
      </c>
    </row>
    <row r="1884" spans="1:17" ht="15" customHeight="1">
      <c r="A1884" s="147">
        <v>1963</v>
      </c>
      <c r="B1884" s="51" t="s">
        <v>36</v>
      </c>
      <c r="C1884" s="51" t="s">
        <v>1900</v>
      </c>
      <c r="D1884" s="51">
        <v>100025568</v>
      </c>
      <c r="E1884" s="53" t="s">
        <v>1901</v>
      </c>
      <c r="F1884" s="124" t="s">
        <v>649</v>
      </c>
      <c r="G1884" s="124">
        <v>156</v>
      </c>
      <c r="H1884" s="369">
        <v>31.84</v>
      </c>
      <c r="I1884" s="215" t="s">
        <v>346</v>
      </c>
      <c r="J1884" s="215" t="s">
        <v>102</v>
      </c>
      <c r="K1884" s="266">
        <v>49081800130</v>
      </c>
      <c r="L1884" s="265" t="s">
        <v>649</v>
      </c>
      <c r="M1884" s="265" t="s">
        <v>649</v>
      </c>
      <c r="N1884" s="264">
        <v>2.2650000000000001</v>
      </c>
      <c r="O1884" s="265" t="s">
        <v>649</v>
      </c>
      <c r="P1884" s="265" t="s">
        <v>649</v>
      </c>
      <c r="Q1884" s="265" t="s">
        <v>649</v>
      </c>
    </row>
    <row r="1885" spans="1:17" ht="15" customHeight="1">
      <c r="A1885" s="147">
        <v>1964</v>
      </c>
      <c r="B1885" s="51" t="s">
        <v>36</v>
      </c>
      <c r="C1885" s="51" t="s">
        <v>1902</v>
      </c>
      <c r="D1885" s="51">
        <v>100025304</v>
      </c>
      <c r="E1885" s="53" t="s">
        <v>1903</v>
      </c>
      <c r="F1885" s="124" t="s">
        <v>649</v>
      </c>
      <c r="G1885" s="124">
        <v>156</v>
      </c>
      <c r="H1885" s="369">
        <v>31.84</v>
      </c>
      <c r="I1885" s="215" t="s">
        <v>346</v>
      </c>
      <c r="J1885" s="215" t="s">
        <v>102</v>
      </c>
      <c r="K1885" s="266">
        <v>49081804466</v>
      </c>
      <c r="L1885" s="265" t="s">
        <v>649</v>
      </c>
      <c r="M1885" s="265" t="s">
        <v>649</v>
      </c>
      <c r="N1885" s="264">
        <v>2.0350000000000001</v>
      </c>
      <c r="O1885" s="265" t="s">
        <v>649</v>
      </c>
      <c r="P1885" s="265" t="s">
        <v>649</v>
      </c>
      <c r="Q1885" s="265" t="s">
        <v>649</v>
      </c>
    </row>
    <row r="1886" spans="1:17" ht="15" customHeight="1">
      <c r="A1886" s="147">
        <v>1965</v>
      </c>
      <c r="B1886" s="51" t="s">
        <v>36</v>
      </c>
      <c r="C1886" s="51" t="s">
        <v>1905</v>
      </c>
      <c r="D1886" s="51">
        <v>100025306</v>
      </c>
      <c r="E1886" s="53" t="s">
        <v>1906</v>
      </c>
      <c r="F1886" s="124" t="s">
        <v>649</v>
      </c>
      <c r="G1886" s="124">
        <v>156</v>
      </c>
      <c r="H1886" s="369">
        <v>31.84</v>
      </c>
      <c r="I1886" s="215" t="s">
        <v>346</v>
      </c>
      <c r="J1886" s="215" t="s">
        <v>102</v>
      </c>
      <c r="K1886" s="266">
        <v>49081808792</v>
      </c>
      <c r="L1886" s="265" t="s">
        <v>649</v>
      </c>
      <c r="M1886" s="265" t="s">
        <v>649</v>
      </c>
      <c r="N1886" s="264">
        <v>2.0350000000000001</v>
      </c>
      <c r="O1886" s="265" t="s">
        <v>649</v>
      </c>
      <c r="P1886" s="265" t="s">
        <v>649</v>
      </c>
      <c r="Q1886" s="265" t="s">
        <v>649</v>
      </c>
    </row>
    <row r="1887" spans="1:17" ht="15" customHeight="1">
      <c r="A1887" s="147">
        <v>1966</v>
      </c>
      <c r="B1887" s="51" t="s">
        <v>36</v>
      </c>
      <c r="C1887" s="51" t="s">
        <v>1907</v>
      </c>
      <c r="D1887" s="51">
        <v>100025594</v>
      </c>
      <c r="E1887" s="53" t="s">
        <v>1908</v>
      </c>
      <c r="F1887" s="124" t="s">
        <v>649</v>
      </c>
      <c r="G1887" s="124">
        <v>1</v>
      </c>
      <c r="H1887" s="369">
        <v>16.73</v>
      </c>
      <c r="I1887" s="215" t="s">
        <v>76</v>
      </c>
      <c r="J1887" s="215" t="s">
        <v>102</v>
      </c>
      <c r="K1887" s="266">
        <v>49081800710</v>
      </c>
      <c r="L1887" s="265" t="s">
        <v>649</v>
      </c>
      <c r="M1887" s="265" t="s">
        <v>649</v>
      </c>
      <c r="N1887" s="264">
        <v>1.125</v>
      </c>
      <c r="O1887" s="265" t="s">
        <v>649</v>
      </c>
      <c r="P1887" s="265" t="s">
        <v>649</v>
      </c>
      <c r="Q1887" s="265" t="s">
        <v>649</v>
      </c>
    </row>
    <row r="1888" spans="1:17" ht="15" customHeight="1">
      <c r="A1888" s="147">
        <v>1967</v>
      </c>
      <c r="B1888" s="51" t="s">
        <v>36</v>
      </c>
      <c r="C1888" s="51" t="s">
        <v>1909</v>
      </c>
      <c r="D1888" s="51">
        <v>100025605</v>
      </c>
      <c r="E1888" s="53" t="s">
        <v>1910</v>
      </c>
      <c r="F1888" s="124" t="s">
        <v>649</v>
      </c>
      <c r="G1888" s="124">
        <v>1</v>
      </c>
      <c r="H1888" s="369">
        <v>16.73</v>
      </c>
      <c r="I1888" s="215" t="s">
        <v>346</v>
      </c>
      <c r="J1888" s="215" t="s">
        <v>102</v>
      </c>
      <c r="K1888" s="266">
        <v>49081800840</v>
      </c>
      <c r="L1888" s="265" t="s">
        <v>649</v>
      </c>
      <c r="M1888" s="265" t="s">
        <v>649</v>
      </c>
      <c r="N1888" s="264">
        <v>1.125</v>
      </c>
      <c r="O1888" s="265" t="s">
        <v>649</v>
      </c>
      <c r="P1888" s="265" t="s">
        <v>649</v>
      </c>
      <c r="Q1888" s="265" t="s">
        <v>649</v>
      </c>
    </row>
    <row r="1889" spans="1:17" ht="15" customHeight="1">
      <c r="A1889" s="147">
        <v>1968</v>
      </c>
      <c r="B1889" s="51" t="s">
        <v>36</v>
      </c>
      <c r="C1889" s="51" t="s">
        <v>1911</v>
      </c>
      <c r="D1889" s="51">
        <v>100025607</v>
      </c>
      <c r="E1889" s="53" t="s">
        <v>1912</v>
      </c>
      <c r="F1889" s="124" t="s">
        <v>649</v>
      </c>
      <c r="G1889" s="124">
        <v>1</v>
      </c>
      <c r="H1889" s="369">
        <v>16.73</v>
      </c>
      <c r="I1889" s="215" t="s">
        <v>346</v>
      </c>
      <c r="J1889" s="215" t="s">
        <v>102</v>
      </c>
      <c r="K1889" s="266">
        <v>49081800901</v>
      </c>
      <c r="L1889" s="265" t="s">
        <v>649</v>
      </c>
      <c r="M1889" s="265" t="s">
        <v>649</v>
      </c>
      <c r="N1889" s="264">
        <v>1.125</v>
      </c>
      <c r="O1889" s="265" t="s">
        <v>649</v>
      </c>
      <c r="P1889" s="265" t="s">
        <v>649</v>
      </c>
      <c r="Q1889" s="265" t="s">
        <v>649</v>
      </c>
    </row>
    <row r="1890" spans="1:17" ht="15" customHeight="1">
      <c r="A1890" s="147">
        <v>1969</v>
      </c>
      <c r="B1890" s="51" t="s">
        <v>36</v>
      </c>
      <c r="C1890" s="51" t="s">
        <v>1913</v>
      </c>
      <c r="D1890" s="51">
        <v>100025603</v>
      </c>
      <c r="E1890" s="53" t="s">
        <v>1914</v>
      </c>
      <c r="F1890" s="124" t="s">
        <v>649</v>
      </c>
      <c r="G1890" s="124">
        <v>1</v>
      </c>
      <c r="H1890" s="369">
        <v>16.73</v>
      </c>
      <c r="I1890" s="215" t="s">
        <v>76</v>
      </c>
      <c r="J1890" s="215" t="s">
        <v>102</v>
      </c>
      <c r="K1890" s="266">
        <v>49081800833</v>
      </c>
      <c r="L1890" s="265" t="s">
        <v>649</v>
      </c>
      <c r="M1890" s="265" t="s">
        <v>649</v>
      </c>
      <c r="N1890" s="264">
        <v>1.125</v>
      </c>
      <c r="O1890" s="265" t="s">
        <v>649</v>
      </c>
      <c r="P1890" s="265" t="s">
        <v>649</v>
      </c>
      <c r="Q1890" s="265" t="s">
        <v>649</v>
      </c>
    </row>
    <row r="1891" spans="1:17" ht="15" customHeight="1">
      <c r="A1891" s="147">
        <v>1970</v>
      </c>
      <c r="B1891" s="51" t="s">
        <v>36</v>
      </c>
      <c r="C1891" s="51" t="s">
        <v>1915</v>
      </c>
      <c r="D1891" s="51">
        <v>100025364</v>
      </c>
      <c r="E1891" s="53" t="s">
        <v>1916</v>
      </c>
      <c r="F1891" s="124" t="s">
        <v>649</v>
      </c>
      <c r="G1891" s="124">
        <v>1</v>
      </c>
      <c r="H1891" s="369">
        <v>16.73</v>
      </c>
      <c r="I1891" s="215" t="s">
        <v>76</v>
      </c>
      <c r="J1891" s="215" t="s">
        <v>102</v>
      </c>
      <c r="K1891" s="266">
        <v>49081800727</v>
      </c>
      <c r="L1891" s="265" t="s">
        <v>649</v>
      </c>
      <c r="M1891" s="265" t="s">
        <v>649</v>
      </c>
      <c r="N1891" s="264">
        <v>1.125</v>
      </c>
      <c r="O1891" s="265" t="s">
        <v>649</v>
      </c>
      <c r="P1891" s="265" t="s">
        <v>649</v>
      </c>
      <c r="Q1891" s="265" t="s">
        <v>649</v>
      </c>
    </row>
    <row r="1892" spans="1:17" ht="15" customHeight="1">
      <c r="A1892" s="147">
        <v>1971</v>
      </c>
      <c r="B1892" s="51" t="s">
        <v>36</v>
      </c>
      <c r="C1892" s="51" t="s">
        <v>1917</v>
      </c>
      <c r="D1892" s="51">
        <v>100025381</v>
      </c>
      <c r="E1892" s="53" t="s">
        <v>1918</v>
      </c>
      <c r="F1892" s="124" t="s">
        <v>649</v>
      </c>
      <c r="G1892" s="124">
        <v>1</v>
      </c>
      <c r="H1892" s="369">
        <v>16.73</v>
      </c>
      <c r="I1892" s="215" t="s">
        <v>346</v>
      </c>
      <c r="J1892" s="215" t="s">
        <v>102</v>
      </c>
      <c r="K1892" s="266">
        <v>49081800857</v>
      </c>
      <c r="L1892" s="265" t="s">
        <v>649</v>
      </c>
      <c r="M1892" s="265" t="s">
        <v>649</v>
      </c>
      <c r="N1892" s="264">
        <v>1.125</v>
      </c>
      <c r="O1892" s="265" t="s">
        <v>649</v>
      </c>
      <c r="P1892" s="265" t="s">
        <v>649</v>
      </c>
      <c r="Q1892" s="265" t="s">
        <v>649</v>
      </c>
    </row>
    <row r="1893" spans="1:17" ht="15" customHeight="1">
      <c r="A1893" s="147">
        <v>1972</v>
      </c>
      <c r="B1893" s="51" t="s">
        <v>36</v>
      </c>
      <c r="C1893" s="51" t="s">
        <v>1919</v>
      </c>
      <c r="D1893" s="51">
        <v>100025367</v>
      </c>
      <c r="E1893" s="53" t="s">
        <v>1920</v>
      </c>
      <c r="F1893" s="124" t="s">
        <v>649</v>
      </c>
      <c r="G1893" s="124">
        <v>1</v>
      </c>
      <c r="H1893" s="369">
        <v>16.73</v>
      </c>
      <c r="I1893" s="215" t="s">
        <v>346</v>
      </c>
      <c r="J1893" s="215" t="s">
        <v>102</v>
      </c>
      <c r="K1893" s="266">
        <v>49081800734</v>
      </c>
      <c r="L1893" s="265" t="s">
        <v>649</v>
      </c>
      <c r="M1893" s="265" t="s">
        <v>649</v>
      </c>
      <c r="N1893" s="264">
        <v>1.125</v>
      </c>
      <c r="O1893" s="265" t="s">
        <v>649</v>
      </c>
      <c r="P1893" s="265" t="s">
        <v>649</v>
      </c>
      <c r="Q1893" s="265" t="s">
        <v>649</v>
      </c>
    </row>
    <row r="1894" spans="1:17" ht="15" customHeight="1">
      <c r="A1894" s="147">
        <v>1973</v>
      </c>
      <c r="B1894" s="51" t="s">
        <v>36</v>
      </c>
      <c r="C1894" s="51" t="s">
        <v>1921</v>
      </c>
      <c r="D1894" s="51">
        <v>100025383</v>
      </c>
      <c r="E1894" s="53" t="s">
        <v>1922</v>
      </c>
      <c r="F1894" s="124" t="s">
        <v>649</v>
      </c>
      <c r="G1894" s="124">
        <v>1</v>
      </c>
      <c r="H1894" s="369">
        <v>16.73</v>
      </c>
      <c r="I1894" s="215" t="s">
        <v>346</v>
      </c>
      <c r="J1894" s="215" t="s">
        <v>102</v>
      </c>
      <c r="K1894" s="266">
        <v>49081800864</v>
      </c>
      <c r="L1894" s="265" t="s">
        <v>649</v>
      </c>
      <c r="M1894" s="265" t="s">
        <v>649</v>
      </c>
      <c r="N1894" s="264">
        <v>1.125</v>
      </c>
      <c r="O1894" s="265" t="s">
        <v>649</v>
      </c>
      <c r="P1894" s="265" t="s">
        <v>649</v>
      </c>
      <c r="Q1894" s="265" t="s">
        <v>649</v>
      </c>
    </row>
    <row r="1895" spans="1:17" ht="15" customHeight="1">
      <c r="A1895" s="147">
        <v>1974</v>
      </c>
      <c r="B1895" s="51" t="s">
        <v>36</v>
      </c>
      <c r="C1895" s="51" t="s">
        <v>1923</v>
      </c>
      <c r="D1895" s="51">
        <v>100025595</v>
      </c>
      <c r="E1895" s="53" t="s">
        <v>1924</v>
      </c>
      <c r="F1895" s="124" t="s">
        <v>649</v>
      </c>
      <c r="G1895" s="124">
        <v>1</v>
      </c>
      <c r="H1895" s="369">
        <v>16.73</v>
      </c>
      <c r="I1895" s="215" t="s">
        <v>346</v>
      </c>
      <c r="J1895" s="215" t="s">
        <v>102</v>
      </c>
      <c r="K1895" s="266">
        <v>49081800741</v>
      </c>
      <c r="L1895" s="265" t="s">
        <v>649</v>
      </c>
      <c r="M1895" s="265" t="s">
        <v>649</v>
      </c>
      <c r="N1895" s="264">
        <v>1.125</v>
      </c>
      <c r="O1895" s="265" t="s">
        <v>649</v>
      </c>
      <c r="P1895" s="265" t="s">
        <v>649</v>
      </c>
      <c r="Q1895" s="265" t="s">
        <v>649</v>
      </c>
    </row>
    <row r="1896" spans="1:17" ht="15" customHeight="1">
      <c r="A1896" s="147">
        <v>1975</v>
      </c>
      <c r="B1896" s="51" t="s">
        <v>36</v>
      </c>
      <c r="C1896" s="51" t="s">
        <v>1925</v>
      </c>
      <c r="D1896" s="51">
        <v>100025597</v>
      </c>
      <c r="E1896" s="53" t="s">
        <v>1926</v>
      </c>
      <c r="F1896" s="124" t="s">
        <v>649</v>
      </c>
      <c r="G1896" s="124">
        <v>1</v>
      </c>
      <c r="H1896" s="369">
        <v>16.73</v>
      </c>
      <c r="I1896" s="215" t="s">
        <v>346</v>
      </c>
      <c r="J1896" s="215" t="s">
        <v>102</v>
      </c>
      <c r="K1896" s="266">
        <v>49081800765</v>
      </c>
      <c r="L1896" s="265" t="s">
        <v>649</v>
      </c>
      <c r="M1896" s="265" t="s">
        <v>649</v>
      </c>
      <c r="N1896" s="264">
        <v>1.125</v>
      </c>
      <c r="O1896" s="265" t="s">
        <v>649</v>
      </c>
      <c r="P1896" s="265" t="s">
        <v>649</v>
      </c>
      <c r="Q1896" s="265" t="s">
        <v>649</v>
      </c>
    </row>
    <row r="1897" spans="1:17" ht="15" customHeight="1">
      <c r="A1897" s="147">
        <v>1976</v>
      </c>
      <c r="B1897" s="51" t="s">
        <v>36</v>
      </c>
      <c r="C1897" s="51" t="s">
        <v>1927</v>
      </c>
      <c r="D1897" s="51">
        <v>100025386</v>
      </c>
      <c r="E1897" s="53" t="s">
        <v>1928</v>
      </c>
      <c r="F1897" s="124" t="s">
        <v>649</v>
      </c>
      <c r="G1897" s="124">
        <v>1</v>
      </c>
      <c r="H1897" s="369">
        <v>16.73</v>
      </c>
      <c r="I1897" s="215" t="s">
        <v>346</v>
      </c>
      <c r="J1897" s="215" t="s">
        <v>102</v>
      </c>
      <c r="K1897" s="266">
        <v>49081800895</v>
      </c>
      <c r="L1897" s="265" t="s">
        <v>649</v>
      </c>
      <c r="M1897" s="265" t="s">
        <v>649</v>
      </c>
      <c r="N1897" s="264">
        <v>1.125</v>
      </c>
      <c r="O1897" s="265" t="s">
        <v>649</v>
      </c>
      <c r="P1897" s="265" t="s">
        <v>649</v>
      </c>
      <c r="Q1897" s="265" t="s">
        <v>649</v>
      </c>
    </row>
    <row r="1898" spans="1:17" ht="15" customHeight="1">
      <c r="A1898" s="147">
        <v>1977</v>
      </c>
      <c r="B1898" s="51" t="s">
        <v>36</v>
      </c>
      <c r="C1898" s="51" t="s">
        <v>1929</v>
      </c>
      <c r="D1898" s="51">
        <v>100025384</v>
      </c>
      <c r="E1898" s="53" t="s">
        <v>1930</v>
      </c>
      <c r="F1898" s="124" t="s">
        <v>649</v>
      </c>
      <c r="G1898" s="124">
        <v>1</v>
      </c>
      <c r="H1898" s="369">
        <v>16.73</v>
      </c>
      <c r="I1898" s="215" t="s">
        <v>346</v>
      </c>
      <c r="J1898" s="215" t="s">
        <v>102</v>
      </c>
      <c r="K1898" s="266">
        <v>49081804718</v>
      </c>
      <c r="L1898" s="265" t="s">
        <v>649</v>
      </c>
      <c r="M1898" s="265" t="s">
        <v>649</v>
      </c>
      <c r="N1898" s="264">
        <v>1.125</v>
      </c>
      <c r="O1898" s="265" t="s">
        <v>649</v>
      </c>
      <c r="P1898" s="265" t="s">
        <v>649</v>
      </c>
      <c r="Q1898" s="265" t="s">
        <v>649</v>
      </c>
    </row>
    <row r="1899" spans="1:17" ht="15" customHeight="1">
      <c r="A1899" s="147">
        <v>1978</v>
      </c>
      <c r="B1899" s="51" t="s">
        <v>36</v>
      </c>
      <c r="C1899" s="51" t="s">
        <v>1931</v>
      </c>
      <c r="D1899" s="51">
        <v>100025370</v>
      </c>
      <c r="E1899" s="53" t="s">
        <v>1932</v>
      </c>
      <c r="F1899" s="124" t="s">
        <v>649</v>
      </c>
      <c r="G1899" s="124">
        <v>1</v>
      </c>
      <c r="H1899" s="369">
        <v>16.73</v>
      </c>
      <c r="I1899" s="215" t="s">
        <v>346</v>
      </c>
      <c r="J1899" s="215" t="s">
        <v>102</v>
      </c>
      <c r="K1899" s="265" t="s">
        <v>649</v>
      </c>
      <c r="L1899" s="265" t="s">
        <v>649</v>
      </c>
      <c r="M1899" s="265" t="s">
        <v>649</v>
      </c>
      <c r="N1899" s="264">
        <v>1.125</v>
      </c>
      <c r="O1899" s="265" t="s">
        <v>649</v>
      </c>
      <c r="P1899" s="265" t="s">
        <v>649</v>
      </c>
      <c r="Q1899" s="265" t="s">
        <v>649</v>
      </c>
    </row>
    <row r="1900" spans="1:17" ht="15" customHeight="1">
      <c r="A1900" s="147">
        <v>1979</v>
      </c>
      <c r="B1900" s="51" t="s">
        <v>36</v>
      </c>
      <c r="C1900" s="51" t="s">
        <v>1933</v>
      </c>
      <c r="D1900" s="51">
        <v>100025371</v>
      </c>
      <c r="E1900" s="53" t="s">
        <v>1934</v>
      </c>
      <c r="F1900" s="124" t="s">
        <v>649</v>
      </c>
      <c r="G1900" s="124">
        <v>1</v>
      </c>
      <c r="H1900" s="369">
        <v>16.73</v>
      </c>
      <c r="I1900" s="215" t="s">
        <v>346</v>
      </c>
      <c r="J1900" s="215" t="s">
        <v>102</v>
      </c>
      <c r="K1900" s="266">
        <v>49081800758</v>
      </c>
      <c r="L1900" s="265" t="s">
        <v>649</v>
      </c>
      <c r="M1900" s="265" t="s">
        <v>649</v>
      </c>
      <c r="N1900" s="264">
        <v>1.125</v>
      </c>
      <c r="O1900" s="265" t="s">
        <v>649</v>
      </c>
      <c r="P1900" s="265" t="s">
        <v>649</v>
      </c>
      <c r="Q1900" s="265" t="s">
        <v>649</v>
      </c>
    </row>
    <row r="1901" spans="1:17" ht="15" customHeight="1">
      <c r="A1901" s="147">
        <v>1980</v>
      </c>
      <c r="B1901" s="51" t="s">
        <v>36</v>
      </c>
      <c r="C1901" s="51" t="s">
        <v>1935</v>
      </c>
      <c r="D1901" s="51">
        <v>100025385</v>
      </c>
      <c r="E1901" s="53" t="s">
        <v>1936</v>
      </c>
      <c r="F1901" s="124" t="s">
        <v>649</v>
      </c>
      <c r="G1901" s="124">
        <v>1</v>
      </c>
      <c r="H1901" s="369">
        <v>16.73</v>
      </c>
      <c r="I1901" s="215" t="s">
        <v>346</v>
      </c>
      <c r="J1901" s="215" t="s">
        <v>102</v>
      </c>
      <c r="K1901" s="266">
        <v>49081800888</v>
      </c>
      <c r="L1901" s="265" t="s">
        <v>649</v>
      </c>
      <c r="M1901" s="265" t="s">
        <v>649</v>
      </c>
      <c r="N1901" s="264">
        <v>1.125</v>
      </c>
      <c r="O1901" s="265" t="s">
        <v>649</v>
      </c>
      <c r="P1901" s="265" t="s">
        <v>649</v>
      </c>
      <c r="Q1901" s="265" t="s">
        <v>649</v>
      </c>
    </row>
    <row r="1902" spans="1:17" ht="15" customHeight="1">
      <c r="A1902" s="147">
        <v>1981</v>
      </c>
      <c r="B1902" s="51" t="s">
        <v>36</v>
      </c>
      <c r="C1902" s="51" t="s">
        <v>1937</v>
      </c>
      <c r="D1902" s="51">
        <v>100025309</v>
      </c>
      <c r="E1902" s="53" t="s">
        <v>1938</v>
      </c>
      <c r="F1902" s="124" t="s">
        <v>649</v>
      </c>
      <c r="G1902" s="124">
        <v>1</v>
      </c>
      <c r="H1902" s="369">
        <v>139.02000000000001</v>
      </c>
      <c r="I1902" s="215" t="s">
        <v>346</v>
      </c>
      <c r="J1902" s="215" t="s">
        <v>102</v>
      </c>
      <c r="K1902" s="266">
        <v>49081808921</v>
      </c>
      <c r="L1902" s="265" t="s">
        <v>649</v>
      </c>
      <c r="M1902" s="265" t="s">
        <v>649</v>
      </c>
      <c r="N1902" s="264">
        <v>4.0750000000000002</v>
      </c>
      <c r="O1902" s="265" t="s">
        <v>649</v>
      </c>
      <c r="P1902" s="265" t="s">
        <v>649</v>
      </c>
      <c r="Q1902" s="265" t="s">
        <v>649</v>
      </c>
    </row>
    <row r="1903" spans="1:17" ht="15" customHeight="1">
      <c r="A1903" s="147">
        <v>1982</v>
      </c>
      <c r="B1903" s="51" t="s">
        <v>36</v>
      </c>
      <c r="C1903" s="51" t="s">
        <v>1939</v>
      </c>
      <c r="D1903" s="51">
        <v>100025311</v>
      </c>
      <c r="E1903" s="53" t="s">
        <v>1940</v>
      </c>
      <c r="F1903" s="124" t="s">
        <v>649</v>
      </c>
      <c r="G1903" s="124">
        <v>1</v>
      </c>
      <c r="H1903" s="369">
        <v>139.02000000000001</v>
      </c>
      <c r="I1903" s="215" t="s">
        <v>346</v>
      </c>
      <c r="J1903" s="215" t="s">
        <v>102</v>
      </c>
      <c r="K1903" s="266">
        <v>49081808945</v>
      </c>
      <c r="L1903" s="265" t="s">
        <v>649</v>
      </c>
      <c r="M1903" s="265" t="s">
        <v>649</v>
      </c>
      <c r="N1903" s="264">
        <v>4.0750000000000002</v>
      </c>
      <c r="O1903" s="265" t="s">
        <v>649</v>
      </c>
      <c r="P1903" s="265" t="s">
        <v>649</v>
      </c>
      <c r="Q1903" s="265" t="s">
        <v>649</v>
      </c>
    </row>
    <row r="1904" spans="1:17" ht="15" customHeight="1">
      <c r="A1904" s="147">
        <v>1983</v>
      </c>
      <c r="B1904" s="51" t="s">
        <v>36</v>
      </c>
      <c r="C1904" s="51" t="s">
        <v>1941</v>
      </c>
      <c r="D1904" s="51">
        <v>100025569</v>
      </c>
      <c r="E1904" s="53" t="s">
        <v>1942</v>
      </c>
      <c r="F1904" s="124" t="s">
        <v>649</v>
      </c>
      <c r="G1904" s="124">
        <v>1</v>
      </c>
      <c r="H1904" s="369">
        <v>139.02000000000001</v>
      </c>
      <c r="I1904" s="215" t="s">
        <v>346</v>
      </c>
      <c r="J1904" s="215" t="s">
        <v>102</v>
      </c>
      <c r="K1904" s="266">
        <v>49081808952</v>
      </c>
      <c r="L1904" s="265" t="s">
        <v>649</v>
      </c>
      <c r="M1904" s="265" t="s">
        <v>649</v>
      </c>
      <c r="N1904" s="264">
        <v>4.0750000000000002</v>
      </c>
      <c r="O1904" s="265" t="s">
        <v>649</v>
      </c>
      <c r="P1904" s="265" t="s">
        <v>649</v>
      </c>
      <c r="Q1904" s="265" t="s">
        <v>649</v>
      </c>
    </row>
    <row r="1905" spans="1:17" ht="15" customHeight="1">
      <c r="A1905" s="147">
        <v>1984</v>
      </c>
      <c r="B1905" s="51" t="s">
        <v>36</v>
      </c>
      <c r="C1905" s="51" t="s">
        <v>1943</v>
      </c>
      <c r="D1905" s="51">
        <v>100025395</v>
      </c>
      <c r="E1905" s="53" t="s">
        <v>1944</v>
      </c>
      <c r="F1905" s="124" t="s">
        <v>649</v>
      </c>
      <c r="G1905" s="124">
        <v>1</v>
      </c>
      <c r="H1905" s="369">
        <v>57.96</v>
      </c>
      <c r="I1905" s="215" t="s">
        <v>76</v>
      </c>
      <c r="J1905" s="215" t="s">
        <v>102</v>
      </c>
      <c r="K1905" s="266">
        <v>49081809027</v>
      </c>
      <c r="L1905" s="265" t="s">
        <v>649</v>
      </c>
      <c r="M1905" s="265" t="s">
        <v>649</v>
      </c>
      <c r="N1905" s="264">
        <v>1.2050000000000001</v>
      </c>
      <c r="O1905" s="265" t="s">
        <v>649</v>
      </c>
      <c r="P1905" s="265" t="s">
        <v>649</v>
      </c>
      <c r="Q1905" s="265" t="s">
        <v>649</v>
      </c>
    </row>
    <row r="1906" spans="1:17" ht="15" customHeight="1">
      <c r="A1906" s="147">
        <v>1985</v>
      </c>
      <c r="B1906" s="51" t="s">
        <v>36</v>
      </c>
      <c r="C1906" s="51" t="s">
        <v>1945</v>
      </c>
      <c r="D1906" s="51">
        <v>100025398</v>
      </c>
      <c r="E1906" s="53" t="s">
        <v>1946</v>
      </c>
      <c r="F1906" s="124" t="s">
        <v>649</v>
      </c>
      <c r="G1906" s="124">
        <v>1</v>
      </c>
      <c r="H1906" s="369">
        <v>57.96</v>
      </c>
      <c r="I1906" s="215" t="s">
        <v>346</v>
      </c>
      <c r="J1906" s="215" t="s">
        <v>102</v>
      </c>
      <c r="K1906" s="266">
        <v>49081809041</v>
      </c>
      <c r="L1906" s="265" t="s">
        <v>649</v>
      </c>
      <c r="M1906" s="265" t="s">
        <v>649</v>
      </c>
      <c r="N1906" s="264">
        <v>1.2050000000000001</v>
      </c>
      <c r="O1906" s="265" t="s">
        <v>649</v>
      </c>
      <c r="P1906" s="265" t="s">
        <v>649</v>
      </c>
      <c r="Q1906" s="265" t="s">
        <v>649</v>
      </c>
    </row>
    <row r="1907" spans="1:17" ht="15" customHeight="1">
      <c r="A1907" s="147">
        <v>1986</v>
      </c>
      <c r="B1907" s="51" t="s">
        <v>36</v>
      </c>
      <c r="C1907" s="51" t="s">
        <v>1947</v>
      </c>
      <c r="D1907" s="51">
        <v>100025401</v>
      </c>
      <c r="E1907" s="53" t="s">
        <v>1948</v>
      </c>
      <c r="F1907" s="124" t="s">
        <v>649</v>
      </c>
      <c r="G1907" s="124">
        <v>1</v>
      </c>
      <c r="H1907" s="369">
        <v>57.96</v>
      </c>
      <c r="I1907" s="215" t="s">
        <v>346</v>
      </c>
      <c r="J1907" s="215" t="s">
        <v>102</v>
      </c>
      <c r="K1907" s="266">
        <v>49081809065</v>
      </c>
      <c r="L1907" s="265" t="s">
        <v>649</v>
      </c>
      <c r="M1907" s="265" t="s">
        <v>649</v>
      </c>
      <c r="N1907" s="264">
        <v>1.2050000000000001</v>
      </c>
      <c r="O1907" s="265" t="s">
        <v>649</v>
      </c>
      <c r="P1907" s="265" t="s">
        <v>649</v>
      </c>
      <c r="Q1907" s="265" t="s">
        <v>649</v>
      </c>
    </row>
    <row r="1908" spans="1:17" ht="15" customHeight="1">
      <c r="A1908" s="147">
        <v>1987</v>
      </c>
      <c r="B1908" s="51" t="s">
        <v>36</v>
      </c>
      <c r="C1908" s="51" t="s">
        <v>1949</v>
      </c>
      <c r="D1908" s="51">
        <v>100025400</v>
      </c>
      <c r="E1908" s="53" t="s">
        <v>1950</v>
      </c>
      <c r="F1908" s="124" t="s">
        <v>649</v>
      </c>
      <c r="G1908" s="124">
        <v>1</v>
      </c>
      <c r="H1908" s="369">
        <v>57.96</v>
      </c>
      <c r="I1908" s="215" t="s">
        <v>346</v>
      </c>
      <c r="J1908" s="215" t="s">
        <v>102</v>
      </c>
      <c r="K1908" s="266">
        <v>49081809058</v>
      </c>
      <c r="L1908" s="265" t="s">
        <v>649</v>
      </c>
      <c r="M1908" s="265" t="s">
        <v>649</v>
      </c>
      <c r="N1908" s="264">
        <v>1.2050000000000001</v>
      </c>
      <c r="O1908" s="265" t="s">
        <v>649</v>
      </c>
      <c r="P1908" s="265" t="s">
        <v>649</v>
      </c>
      <c r="Q1908" s="265" t="s">
        <v>649</v>
      </c>
    </row>
    <row r="1909" spans="1:17" ht="15" customHeight="1">
      <c r="A1909" s="147">
        <v>1988</v>
      </c>
      <c r="B1909" s="51" t="s">
        <v>36</v>
      </c>
      <c r="C1909" s="51" t="s">
        <v>1951</v>
      </c>
      <c r="D1909" s="51">
        <v>100025396</v>
      </c>
      <c r="E1909" s="53" t="s">
        <v>1952</v>
      </c>
      <c r="F1909" s="124" t="s">
        <v>649</v>
      </c>
      <c r="G1909" s="124">
        <v>1</v>
      </c>
      <c r="H1909" s="369">
        <v>57.96</v>
      </c>
      <c r="I1909" s="215" t="s">
        <v>346</v>
      </c>
      <c r="J1909" s="215" t="s">
        <v>102</v>
      </c>
      <c r="K1909" s="266">
        <v>49081809034</v>
      </c>
      <c r="L1909" s="265" t="s">
        <v>649</v>
      </c>
      <c r="M1909" s="265" t="s">
        <v>649</v>
      </c>
      <c r="N1909" s="264">
        <v>1.2050000000000001</v>
      </c>
      <c r="O1909" s="265" t="s">
        <v>649</v>
      </c>
      <c r="P1909" s="265" t="s">
        <v>649</v>
      </c>
      <c r="Q1909" s="265" t="s">
        <v>649</v>
      </c>
    </row>
    <row r="1910" spans="1:17" ht="15" customHeight="1">
      <c r="A1910" s="147">
        <v>1989</v>
      </c>
      <c r="B1910" s="51" t="s">
        <v>36</v>
      </c>
      <c r="C1910" s="51" t="s">
        <v>1953</v>
      </c>
      <c r="D1910" s="51">
        <v>100025571</v>
      </c>
      <c r="E1910" s="53" t="s">
        <v>1954</v>
      </c>
      <c r="F1910" s="124" t="s">
        <v>649</v>
      </c>
      <c r="G1910" s="124">
        <v>98</v>
      </c>
      <c r="H1910" s="369">
        <v>50.98</v>
      </c>
      <c r="I1910" s="215" t="s">
        <v>76</v>
      </c>
      <c r="J1910" s="215" t="s">
        <v>102</v>
      </c>
      <c r="K1910" s="266">
        <v>49081800208</v>
      </c>
      <c r="L1910" s="265" t="s">
        <v>649</v>
      </c>
      <c r="M1910" s="265" t="s">
        <v>649</v>
      </c>
      <c r="N1910" s="264">
        <v>3.83</v>
      </c>
      <c r="O1910" s="265" t="s">
        <v>649</v>
      </c>
      <c r="P1910" s="265" t="s">
        <v>649</v>
      </c>
      <c r="Q1910" s="265" t="s">
        <v>649</v>
      </c>
    </row>
    <row r="1911" spans="1:17" ht="15" customHeight="1">
      <c r="A1911" s="147">
        <v>1990</v>
      </c>
      <c r="B1911" s="51" t="s">
        <v>36</v>
      </c>
      <c r="C1911" s="51" t="s">
        <v>1955</v>
      </c>
      <c r="D1911" s="51">
        <v>100025318</v>
      </c>
      <c r="E1911" s="53" t="s">
        <v>1956</v>
      </c>
      <c r="F1911" s="124" t="s">
        <v>649</v>
      </c>
      <c r="G1911" s="124">
        <v>98</v>
      </c>
      <c r="H1911" s="369">
        <v>50.98</v>
      </c>
      <c r="I1911" s="215" t="s">
        <v>346</v>
      </c>
      <c r="J1911" s="215" t="s">
        <v>102</v>
      </c>
      <c r="K1911" s="266">
        <v>49081800222</v>
      </c>
      <c r="L1911" s="265" t="s">
        <v>649</v>
      </c>
      <c r="M1911" s="265" t="s">
        <v>649</v>
      </c>
      <c r="N1911" s="264">
        <v>3.83</v>
      </c>
      <c r="O1911" s="265" t="s">
        <v>649</v>
      </c>
      <c r="P1911" s="265" t="s">
        <v>649</v>
      </c>
      <c r="Q1911" s="265" t="s">
        <v>649</v>
      </c>
    </row>
    <row r="1912" spans="1:17" ht="15" customHeight="1">
      <c r="A1912" s="147">
        <v>1991</v>
      </c>
      <c r="B1912" s="51" t="s">
        <v>36</v>
      </c>
      <c r="C1912" s="51" t="s">
        <v>1957</v>
      </c>
      <c r="D1912" s="51">
        <v>100025317</v>
      </c>
      <c r="E1912" s="53" t="s">
        <v>1958</v>
      </c>
      <c r="F1912" s="124" t="s">
        <v>649</v>
      </c>
      <c r="G1912" s="124">
        <v>72</v>
      </c>
      <c r="H1912" s="369">
        <v>60.58</v>
      </c>
      <c r="I1912" s="215" t="s">
        <v>346</v>
      </c>
      <c r="J1912" s="215" t="s">
        <v>102</v>
      </c>
      <c r="K1912" s="266">
        <v>49081800178</v>
      </c>
      <c r="L1912" s="265" t="s">
        <v>649</v>
      </c>
      <c r="M1912" s="265" t="s">
        <v>649</v>
      </c>
      <c r="N1912" s="264">
        <v>6.3150000000000004</v>
      </c>
      <c r="O1912" s="265" t="s">
        <v>649</v>
      </c>
      <c r="P1912" s="265" t="s">
        <v>649</v>
      </c>
      <c r="Q1912" s="265" t="s">
        <v>649</v>
      </c>
    </row>
    <row r="1913" spans="1:17" ht="15" customHeight="1">
      <c r="A1913" s="147">
        <v>1992</v>
      </c>
      <c r="B1913" s="51" t="s">
        <v>36</v>
      </c>
      <c r="C1913" s="51" t="s">
        <v>1959</v>
      </c>
      <c r="D1913" s="51">
        <v>100025575</v>
      </c>
      <c r="E1913" s="53" t="s">
        <v>1960</v>
      </c>
      <c r="F1913" s="124" t="s">
        <v>649</v>
      </c>
      <c r="G1913" s="124">
        <v>72</v>
      </c>
      <c r="H1913" s="369">
        <v>60.58</v>
      </c>
      <c r="I1913" s="215" t="s">
        <v>76</v>
      </c>
      <c r="J1913" s="215" t="s">
        <v>102</v>
      </c>
      <c r="K1913" s="266">
        <v>49081800185</v>
      </c>
      <c r="L1913" s="265" t="s">
        <v>649</v>
      </c>
      <c r="M1913" s="265" t="s">
        <v>649</v>
      </c>
      <c r="N1913" s="264">
        <v>6.3150000000000004</v>
      </c>
      <c r="O1913" s="265" t="s">
        <v>649</v>
      </c>
      <c r="P1913" s="265" t="s">
        <v>649</v>
      </c>
      <c r="Q1913" s="265" t="s">
        <v>649</v>
      </c>
    </row>
    <row r="1914" spans="1:17" ht="15" customHeight="1">
      <c r="A1914" s="147">
        <v>1993</v>
      </c>
      <c r="B1914" s="51" t="s">
        <v>36</v>
      </c>
      <c r="C1914" s="51" t="s">
        <v>1961</v>
      </c>
      <c r="D1914" s="51">
        <v>100025573</v>
      </c>
      <c r="E1914" s="53" t="s">
        <v>1962</v>
      </c>
      <c r="F1914" s="124" t="s">
        <v>649</v>
      </c>
      <c r="G1914" s="124">
        <v>49</v>
      </c>
      <c r="H1914" s="369">
        <v>73.31</v>
      </c>
      <c r="I1914" s="215" t="s">
        <v>76</v>
      </c>
      <c r="J1914" s="215" t="s">
        <v>102</v>
      </c>
      <c r="K1914" s="266">
        <v>49081800253</v>
      </c>
      <c r="L1914" s="265" t="s">
        <v>649</v>
      </c>
      <c r="M1914" s="265" t="s">
        <v>649</v>
      </c>
      <c r="N1914" s="264">
        <v>3.9750000000000001</v>
      </c>
      <c r="O1914" s="265" t="s">
        <v>649</v>
      </c>
      <c r="P1914" s="265" t="s">
        <v>649</v>
      </c>
      <c r="Q1914" s="265" t="s">
        <v>649</v>
      </c>
    </row>
    <row r="1915" spans="1:17" ht="15" customHeight="1">
      <c r="A1915" s="147">
        <v>1994</v>
      </c>
      <c r="B1915" s="51" t="s">
        <v>36</v>
      </c>
      <c r="C1915" s="51" t="s">
        <v>1963</v>
      </c>
      <c r="D1915" s="51">
        <v>100025321</v>
      </c>
      <c r="E1915" s="53" t="s">
        <v>1964</v>
      </c>
      <c r="F1915" s="124" t="s">
        <v>649</v>
      </c>
      <c r="G1915" s="124">
        <v>49</v>
      </c>
      <c r="H1915" s="369">
        <v>73.31</v>
      </c>
      <c r="I1915" s="215" t="s">
        <v>346</v>
      </c>
      <c r="J1915" s="215" t="s">
        <v>102</v>
      </c>
      <c r="K1915" s="266">
        <v>49081800277</v>
      </c>
      <c r="L1915" s="265" t="s">
        <v>649</v>
      </c>
      <c r="M1915" s="265" t="s">
        <v>649</v>
      </c>
      <c r="N1915" s="264">
        <v>3.9750000000000001</v>
      </c>
      <c r="O1915" s="265" t="s">
        <v>649</v>
      </c>
      <c r="P1915" s="265" t="s">
        <v>649</v>
      </c>
      <c r="Q1915" s="265" t="s">
        <v>649</v>
      </c>
    </row>
    <row r="1916" spans="1:17" ht="15" customHeight="1">
      <c r="A1916" s="147">
        <v>1995</v>
      </c>
      <c r="B1916" s="51" t="s">
        <v>36</v>
      </c>
      <c r="C1916" s="51" t="s">
        <v>1965</v>
      </c>
      <c r="D1916" s="51">
        <v>100025577</v>
      </c>
      <c r="E1916" s="53" t="s">
        <v>1966</v>
      </c>
      <c r="F1916" s="124" t="s">
        <v>649</v>
      </c>
      <c r="G1916" s="124">
        <v>49</v>
      </c>
      <c r="H1916" s="369">
        <v>73.31</v>
      </c>
      <c r="I1916" s="215" t="s">
        <v>76</v>
      </c>
      <c r="J1916" s="215" t="s">
        <v>102</v>
      </c>
      <c r="K1916" s="266">
        <v>49081800284</v>
      </c>
      <c r="L1916" s="265" t="s">
        <v>649</v>
      </c>
      <c r="M1916" s="265" t="s">
        <v>649</v>
      </c>
      <c r="N1916" s="264">
        <v>3.9750000000000001</v>
      </c>
      <c r="O1916" s="265" t="s">
        <v>649</v>
      </c>
      <c r="P1916" s="265" t="s">
        <v>649</v>
      </c>
      <c r="Q1916" s="265" t="s">
        <v>649</v>
      </c>
    </row>
    <row r="1917" spans="1:17" ht="15" customHeight="1">
      <c r="A1917" s="147">
        <v>1996</v>
      </c>
      <c r="B1917" s="51" t="s">
        <v>36</v>
      </c>
      <c r="C1917" s="51" t="s">
        <v>1967</v>
      </c>
      <c r="D1917" s="51">
        <v>100025612</v>
      </c>
      <c r="E1917" s="53" t="s">
        <v>1968</v>
      </c>
      <c r="F1917" s="124" t="s">
        <v>649</v>
      </c>
      <c r="G1917" s="124">
        <v>1</v>
      </c>
      <c r="H1917" s="369">
        <v>28.72</v>
      </c>
      <c r="I1917" s="215" t="s">
        <v>76</v>
      </c>
      <c r="J1917" s="215" t="s">
        <v>102</v>
      </c>
      <c r="K1917" s="266">
        <v>49081800963</v>
      </c>
      <c r="L1917" s="265" t="s">
        <v>649</v>
      </c>
      <c r="M1917" s="265" t="s">
        <v>649</v>
      </c>
      <c r="N1917" s="264">
        <v>2.7349999999999999</v>
      </c>
      <c r="O1917" s="265" t="s">
        <v>649</v>
      </c>
      <c r="P1917" s="265" t="s">
        <v>649</v>
      </c>
      <c r="Q1917" s="265" t="s">
        <v>649</v>
      </c>
    </row>
    <row r="1918" spans="1:17" ht="15" customHeight="1">
      <c r="A1918" s="147">
        <v>1997</v>
      </c>
      <c r="B1918" s="51" t="s">
        <v>36</v>
      </c>
      <c r="C1918" s="51" t="s">
        <v>1969</v>
      </c>
      <c r="D1918" s="51">
        <v>100025625</v>
      </c>
      <c r="E1918" s="53" t="s">
        <v>1970</v>
      </c>
      <c r="F1918" s="124" t="s">
        <v>649</v>
      </c>
      <c r="G1918" s="124">
        <v>1</v>
      </c>
      <c r="H1918" s="369">
        <v>28.72</v>
      </c>
      <c r="I1918" s="215" t="s">
        <v>346</v>
      </c>
      <c r="J1918" s="215" t="s">
        <v>102</v>
      </c>
      <c r="K1918" s="266">
        <v>49081801113</v>
      </c>
      <c r="L1918" s="265" t="s">
        <v>649</v>
      </c>
      <c r="M1918" s="265" t="s">
        <v>649</v>
      </c>
      <c r="N1918" s="264">
        <v>2.73</v>
      </c>
      <c r="O1918" s="265" t="s">
        <v>649</v>
      </c>
      <c r="P1918" s="265" t="s">
        <v>649</v>
      </c>
      <c r="Q1918" s="265" t="s">
        <v>649</v>
      </c>
    </row>
    <row r="1919" spans="1:17" ht="15" customHeight="1">
      <c r="A1919" s="147">
        <v>1998</v>
      </c>
      <c r="B1919" s="51" t="s">
        <v>36</v>
      </c>
      <c r="C1919" s="51" t="s">
        <v>1971</v>
      </c>
      <c r="D1919" s="51">
        <v>100025469</v>
      </c>
      <c r="E1919" s="53" t="s">
        <v>1972</v>
      </c>
      <c r="F1919" s="124" t="s">
        <v>649</v>
      </c>
      <c r="G1919" s="124">
        <v>1</v>
      </c>
      <c r="H1919" s="369">
        <v>28.72</v>
      </c>
      <c r="I1919" s="215" t="s">
        <v>346</v>
      </c>
      <c r="J1919" s="215" t="s">
        <v>102</v>
      </c>
      <c r="K1919" s="266">
        <v>49081808822</v>
      </c>
      <c r="L1919" s="265" t="s">
        <v>649</v>
      </c>
      <c r="M1919" s="265" t="s">
        <v>649</v>
      </c>
      <c r="N1919" s="264">
        <v>2.73</v>
      </c>
      <c r="O1919" s="265" t="s">
        <v>649</v>
      </c>
      <c r="P1919" s="265" t="s">
        <v>649</v>
      </c>
      <c r="Q1919" s="265" t="s">
        <v>649</v>
      </c>
    </row>
    <row r="1920" spans="1:17" ht="15" customHeight="1">
      <c r="A1920" s="147">
        <v>1999</v>
      </c>
      <c r="B1920" s="51" t="s">
        <v>36</v>
      </c>
      <c r="C1920" s="51" t="s">
        <v>1973</v>
      </c>
      <c r="D1920" s="51">
        <v>100025624</v>
      </c>
      <c r="E1920" s="53" t="s">
        <v>1974</v>
      </c>
      <c r="F1920" s="124" t="s">
        <v>649</v>
      </c>
      <c r="G1920" s="124">
        <v>1</v>
      </c>
      <c r="H1920" s="369">
        <v>28.72</v>
      </c>
      <c r="I1920" s="215" t="s">
        <v>346</v>
      </c>
      <c r="J1920" s="215" t="s">
        <v>102</v>
      </c>
      <c r="K1920" s="266">
        <v>49081801106</v>
      </c>
      <c r="L1920" s="265" t="s">
        <v>649</v>
      </c>
      <c r="M1920" s="265" t="s">
        <v>649</v>
      </c>
      <c r="N1920" s="264">
        <v>2.73</v>
      </c>
      <c r="O1920" s="265" t="s">
        <v>649</v>
      </c>
      <c r="P1920" s="265" t="s">
        <v>649</v>
      </c>
      <c r="Q1920" s="265" t="s">
        <v>649</v>
      </c>
    </row>
    <row r="1921" spans="1:17" ht="15" customHeight="1">
      <c r="A1921" s="147">
        <v>2000</v>
      </c>
      <c r="B1921" s="51" t="s">
        <v>36</v>
      </c>
      <c r="C1921" s="51" t="s">
        <v>1975</v>
      </c>
      <c r="D1921" s="51">
        <v>100025617</v>
      </c>
      <c r="E1921" s="53" t="s">
        <v>1976</v>
      </c>
      <c r="F1921" s="124" t="s">
        <v>649</v>
      </c>
      <c r="G1921" s="124">
        <v>1</v>
      </c>
      <c r="H1921" s="369">
        <v>28.72</v>
      </c>
      <c r="I1921" s="215" t="s">
        <v>346</v>
      </c>
      <c r="J1921" s="215" t="s">
        <v>102</v>
      </c>
      <c r="K1921" s="266">
        <v>49081801021</v>
      </c>
      <c r="L1921" s="265" t="s">
        <v>649</v>
      </c>
      <c r="M1921" s="265" t="s">
        <v>649</v>
      </c>
      <c r="N1921" s="264">
        <v>2.7349999999999999</v>
      </c>
      <c r="O1921" s="265" t="s">
        <v>649</v>
      </c>
      <c r="P1921" s="265" t="s">
        <v>649</v>
      </c>
      <c r="Q1921" s="265" t="s">
        <v>649</v>
      </c>
    </row>
    <row r="1922" spans="1:17" ht="15" customHeight="1">
      <c r="A1922" s="147">
        <v>2001</v>
      </c>
      <c r="B1922" s="51" t="s">
        <v>36</v>
      </c>
      <c r="C1922" s="51" t="s">
        <v>1977</v>
      </c>
      <c r="D1922" s="51">
        <v>100025423</v>
      </c>
      <c r="E1922" s="53" t="s">
        <v>1978</v>
      </c>
      <c r="F1922" s="124" t="s">
        <v>649</v>
      </c>
      <c r="G1922" s="124">
        <v>1</v>
      </c>
      <c r="H1922" s="369">
        <v>28.72</v>
      </c>
      <c r="I1922" s="215" t="s">
        <v>346</v>
      </c>
      <c r="J1922" s="215" t="s">
        <v>102</v>
      </c>
      <c r="K1922" s="266">
        <v>49081804480</v>
      </c>
      <c r="L1922" s="265" t="s">
        <v>649</v>
      </c>
      <c r="M1922" s="265" t="s">
        <v>649</v>
      </c>
      <c r="N1922" s="264">
        <v>3.3149999999999999</v>
      </c>
      <c r="O1922" s="265" t="s">
        <v>649</v>
      </c>
      <c r="P1922" s="265" t="s">
        <v>649</v>
      </c>
      <c r="Q1922" s="265" t="s">
        <v>649</v>
      </c>
    </row>
    <row r="1923" spans="1:17" ht="15" customHeight="1">
      <c r="A1923" s="147">
        <v>2002</v>
      </c>
      <c r="B1923" s="51" t="s">
        <v>36</v>
      </c>
      <c r="C1923" s="51" t="s">
        <v>1979</v>
      </c>
      <c r="D1923" s="51">
        <v>100025442</v>
      </c>
      <c r="E1923" s="53" t="s">
        <v>1980</v>
      </c>
      <c r="F1923" s="124" t="s">
        <v>649</v>
      </c>
      <c r="G1923" s="124">
        <v>1</v>
      </c>
      <c r="H1923" s="369">
        <v>28.72</v>
      </c>
      <c r="I1923" s="215" t="s">
        <v>346</v>
      </c>
      <c r="J1923" s="215" t="s">
        <v>102</v>
      </c>
      <c r="K1923" s="266">
        <v>49081808846</v>
      </c>
      <c r="L1923" s="265" t="s">
        <v>649</v>
      </c>
      <c r="M1923" s="265" t="s">
        <v>649</v>
      </c>
      <c r="N1923" s="264">
        <v>3.3149999999999999</v>
      </c>
      <c r="O1923" s="265" t="s">
        <v>649</v>
      </c>
      <c r="P1923" s="265" t="s">
        <v>649</v>
      </c>
      <c r="Q1923" s="265" t="s">
        <v>649</v>
      </c>
    </row>
    <row r="1924" spans="1:17" ht="15" customHeight="1">
      <c r="A1924" s="147">
        <v>2003</v>
      </c>
      <c r="B1924" s="51" t="s">
        <v>36</v>
      </c>
      <c r="C1924" s="51" t="s">
        <v>1981</v>
      </c>
      <c r="D1924" s="51">
        <v>100025453</v>
      </c>
      <c r="E1924" s="53" t="s">
        <v>1982</v>
      </c>
      <c r="F1924" s="124" t="s">
        <v>649</v>
      </c>
      <c r="G1924" s="124">
        <v>1</v>
      </c>
      <c r="H1924" s="369">
        <v>28.72</v>
      </c>
      <c r="I1924" s="215" t="s">
        <v>346</v>
      </c>
      <c r="J1924" s="215" t="s">
        <v>102</v>
      </c>
      <c r="K1924" s="266">
        <v>49081804497</v>
      </c>
      <c r="L1924" s="265" t="s">
        <v>649</v>
      </c>
      <c r="M1924" s="265" t="s">
        <v>649</v>
      </c>
      <c r="N1924" s="264">
        <v>3.4350000000000001</v>
      </c>
      <c r="O1924" s="265" t="s">
        <v>649</v>
      </c>
      <c r="P1924" s="265" t="s">
        <v>649</v>
      </c>
      <c r="Q1924" s="265" t="s">
        <v>649</v>
      </c>
    </row>
    <row r="1925" spans="1:17" ht="15" customHeight="1">
      <c r="A1925" s="147">
        <v>2004</v>
      </c>
      <c r="B1925" s="51" t="s">
        <v>36</v>
      </c>
      <c r="C1925" s="51" t="s">
        <v>1983</v>
      </c>
      <c r="D1925" s="51">
        <v>100025426</v>
      </c>
      <c r="E1925" s="53" t="s">
        <v>1984</v>
      </c>
      <c r="F1925" s="124" t="s">
        <v>649</v>
      </c>
      <c r="G1925" s="124">
        <v>1</v>
      </c>
      <c r="H1925" s="369">
        <v>28.72</v>
      </c>
      <c r="I1925" s="215" t="s">
        <v>346</v>
      </c>
      <c r="J1925" s="215" t="s">
        <v>102</v>
      </c>
      <c r="K1925" s="266">
        <v>49081801007</v>
      </c>
      <c r="L1925" s="265" t="s">
        <v>649</v>
      </c>
      <c r="M1925" s="265" t="s">
        <v>649</v>
      </c>
      <c r="N1925" s="264">
        <v>2.7349999999999999</v>
      </c>
      <c r="O1925" s="265" t="s">
        <v>649</v>
      </c>
      <c r="P1925" s="265" t="s">
        <v>649</v>
      </c>
      <c r="Q1925" s="265" t="s">
        <v>649</v>
      </c>
    </row>
    <row r="1926" spans="1:17" ht="15" customHeight="1">
      <c r="A1926" s="147">
        <v>2005</v>
      </c>
      <c r="B1926" s="51" t="s">
        <v>36</v>
      </c>
      <c r="C1926" s="51" t="s">
        <v>1985</v>
      </c>
      <c r="D1926" s="51">
        <v>100025427</v>
      </c>
      <c r="E1926" s="53" t="s">
        <v>1986</v>
      </c>
      <c r="F1926" s="124" t="s">
        <v>649</v>
      </c>
      <c r="G1926" s="124">
        <v>1</v>
      </c>
      <c r="H1926" s="369">
        <v>28.72</v>
      </c>
      <c r="I1926" s="215" t="s">
        <v>346</v>
      </c>
      <c r="J1926" s="215" t="s">
        <v>102</v>
      </c>
      <c r="K1926" s="266">
        <v>49081804725</v>
      </c>
      <c r="L1926" s="265" t="s">
        <v>649</v>
      </c>
      <c r="M1926" s="265" t="s">
        <v>649</v>
      </c>
      <c r="N1926" s="264">
        <v>2.7349999999999999</v>
      </c>
      <c r="O1926" s="265" t="s">
        <v>649</v>
      </c>
      <c r="P1926" s="265" t="s">
        <v>649</v>
      </c>
      <c r="Q1926" s="265" t="s">
        <v>649</v>
      </c>
    </row>
    <row r="1927" spans="1:17" ht="15" customHeight="1">
      <c r="A1927" s="147">
        <v>2006</v>
      </c>
      <c r="B1927" s="51" t="s">
        <v>36</v>
      </c>
      <c r="C1927" s="51" t="s">
        <v>1987</v>
      </c>
      <c r="D1927" s="51">
        <v>100025613</v>
      </c>
      <c r="E1927" s="53" t="s">
        <v>1988</v>
      </c>
      <c r="F1927" s="124" t="s">
        <v>649</v>
      </c>
      <c r="G1927" s="124">
        <v>1</v>
      </c>
      <c r="H1927" s="369">
        <v>28.72</v>
      </c>
      <c r="I1927" s="215" t="s">
        <v>76</v>
      </c>
      <c r="J1927" s="215" t="s">
        <v>102</v>
      </c>
      <c r="K1927" s="266">
        <v>49081800970</v>
      </c>
      <c r="L1927" s="265" t="s">
        <v>649</v>
      </c>
      <c r="M1927" s="265" t="s">
        <v>649</v>
      </c>
      <c r="N1927" s="264">
        <v>2.7349999999999999</v>
      </c>
      <c r="O1927" s="265" t="s">
        <v>649</v>
      </c>
      <c r="P1927" s="265" t="s">
        <v>649</v>
      </c>
      <c r="Q1927" s="265" t="s">
        <v>649</v>
      </c>
    </row>
    <row r="1928" spans="1:17" ht="15" customHeight="1">
      <c r="A1928" s="147">
        <v>2007</v>
      </c>
      <c r="B1928" s="51" t="s">
        <v>36</v>
      </c>
      <c r="C1928" s="51" t="s">
        <v>1989</v>
      </c>
      <c r="D1928" s="51">
        <v>100025449</v>
      </c>
      <c r="E1928" s="53" t="s">
        <v>1990</v>
      </c>
      <c r="F1928" s="124" t="s">
        <v>649</v>
      </c>
      <c r="G1928" s="124">
        <v>1</v>
      </c>
      <c r="H1928" s="369">
        <v>28.72</v>
      </c>
      <c r="I1928" s="215" t="s">
        <v>346</v>
      </c>
      <c r="J1928" s="215" t="s">
        <v>102</v>
      </c>
      <c r="K1928" s="266">
        <v>49081801120</v>
      </c>
      <c r="L1928" s="265" t="s">
        <v>649</v>
      </c>
      <c r="M1928" s="265" t="s">
        <v>649</v>
      </c>
      <c r="N1928" s="264">
        <v>2.73</v>
      </c>
      <c r="O1928" s="265" t="s">
        <v>649</v>
      </c>
      <c r="P1928" s="265" t="s">
        <v>649</v>
      </c>
      <c r="Q1928" s="265" t="s">
        <v>649</v>
      </c>
    </row>
    <row r="1929" spans="1:17" ht="15" customHeight="1">
      <c r="A1929" s="147">
        <v>2008</v>
      </c>
      <c r="B1929" s="51" t="s">
        <v>36</v>
      </c>
      <c r="C1929" s="51" t="s">
        <v>1991</v>
      </c>
      <c r="D1929" s="51">
        <v>100025421</v>
      </c>
      <c r="E1929" s="53" t="s">
        <v>1992</v>
      </c>
      <c r="F1929" s="124" t="s">
        <v>649</v>
      </c>
      <c r="G1929" s="124">
        <v>1</v>
      </c>
      <c r="H1929" s="369">
        <v>28.72</v>
      </c>
      <c r="I1929" s="215" t="s">
        <v>346</v>
      </c>
      <c r="J1929" s="215" t="s">
        <v>102</v>
      </c>
      <c r="K1929" s="266">
        <v>49081800987</v>
      </c>
      <c r="L1929" s="265" t="s">
        <v>649</v>
      </c>
      <c r="M1929" s="265" t="s">
        <v>649</v>
      </c>
      <c r="N1929" s="264">
        <v>2.7349999999999999</v>
      </c>
      <c r="O1929" s="265" t="s">
        <v>649</v>
      </c>
      <c r="P1929" s="265" t="s">
        <v>649</v>
      </c>
      <c r="Q1929" s="265" t="s">
        <v>649</v>
      </c>
    </row>
    <row r="1930" spans="1:17" ht="15" customHeight="1">
      <c r="A1930" s="147">
        <v>2009</v>
      </c>
      <c r="B1930" s="51" t="s">
        <v>36</v>
      </c>
      <c r="C1930" s="51" t="s">
        <v>1993</v>
      </c>
      <c r="D1930" s="51">
        <v>100025450</v>
      </c>
      <c r="E1930" s="53" t="s">
        <v>1994</v>
      </c>
      <c r="F1930" s="124" t="s">
        <v>649</v>
      </c>
      <c r="G1930" s="124">
        <v>1</v>
      </c>
      <c r="H1930" s="369">
        <v>28.72</v>
      </c>
      <c r="I1930" s="215" t="s">
        <v>346</v>
      </c>
      <c r="J1930" s="215" t="s">
        <v>102</v>
      </c>
      <c r="K1930" s="266">
        <v>49081801137</v>
      </c>
      <c r="L1930" s="265" t="s">
        <v>649</v>
      </c>
      <c r="M1930" s="265" t="s">
        <v>649</v>
      </c>
      <c r="N1930" s="264">
        <v>2.73</v>
      </c>
      <c r="O1930" s="265" t="s">
        <v>649</v>
      </c>
      <c r="P1930" s="265" t="s">
        <v>649</v>
      </c>
      <c r="Q1930" s="265" t="s">
        <v>649</v>
      </c>
    </row>
    <row r="1931" spans="1:17" ht="15" customHeight="1">
      <c r="A1931" s="147">
        <v>2010</v>
      </c>
      <c r="B1931" s="51" t="s">
        <v>36</v>
      </c>
      <c r="C1931" s="51" t="s">
        <v>1995</v>
      </c>
      <c r="D1931" s="51">
        <v>100025428</v>
      </c>
      <c r="E1931" s="53" t="s">
        <v>1996</v>
      </c>
      <c r="F1931" s="124" t="s">
        <v>649</v>
      </c>
      <c r="G1931" s="124">
        <v>1</v>
      </c>
      <c r="H1931" s="369">
        <v>28.72</v>
      </c>
      <c r="I1931" s="215" t="s">
        <v>346</v>
      </c>
      <c r="J1931" s="215" t="s">
        <v>102</v>
      </c>
      <c r="K1931" s="266">
        <v>49081801014</v>
      </c>
      <c r="L1931" s="265" t="s">
        <v>649</v>
      </c>
      <c r="M1931" s="265" t="s">
        <v>649</v>
      </c>
      <c r="N1931" s="264">
        <v>2.7349999999999999</v>
      </c>
      <c r="O1931" s="265" t="s">
        <v>649</v>
      </c>
      <c r="P1931" s="265" t="s">
        <v>649</v>
      </c>
      <c r="Q1931" s="265" t="s">
        <v>649</v>
      </c>
    </row>
    <row r="1932" spans="1:17" ht="15" customHeight="1">
      <c r="A1932" s="147">
        <v>2011</v>
      </c>
      <c r="B1932" s="51" t="s">
        <v>36</v>
      </c>
      <c r="C1932" s="51" t="s">
        <v>1997</v>
      </c>
      <c r="D1932" s="51">
        <v>100025457</v>
      </c>
      <c r="E1932" s="53" t="s">
        <v>1998</v>
      </c>
      <c r="F1932" s="124" t="s">
        <v>649</v>
      </c>
      <c r="G1932" s="124">
        <v>1</v>
      </c>
      <c r="H1932" s="369">
        <v>28.72</v>
      </c>
      <c r="I1932" s="215" t="s">
        <v>346</v>
      </c>
      <c r="J1932" s="215" t="s">
        <v>102</v>
      </c>
      <c r="K1932" s="266">
        <v>49081801168</v>
      </c>
      <c r="L1932" s="265" t="s">
        <v>649</v>
      </c>
      <c r="M1932" s="265" t="s">
        <v>649</v>
      </c>
      <c r="N1932" s="264">
        <v>2.73</v>
      </c>
      <c r="O1932" s="265" t="s">
        <v>649</v>
      </c>
      <c r="P1932" s="265" t="s">
        <v>649</v>
      </c>
      <c r="Q1932" s="265" t="s">
        <v>649</v>
      </c>
    </row>
    <row r="1933" spans="1:17" ht="15" customHeight="1">
      <c r="A1933" s="147">
        <v>2012</v>
      </c>
      <c r="B1933" s="51" t="s">
        <v>36</v>
      </c>
      <c r="C1933" s="51" t="s">
        <v>1999</v>
      </c>
      <c r="D1933" s="51">
        <v>100025614</v>
      </c>
      <c r="E1933" s="53" t="s">
        <v>2000</v>
      </c>
      <c r="F1933" s="124" t="s">
        <v>649</v>
      </c>
      <c r="G1933" s="124">
        <v>1</v>
      </c>
      <c r="H1933" s="369">
        <v>28.72</v>
      </c>
      <c r="I1933" s="215" t="s">
        <v>346</v>
      </c>
      <c r="J1933" s="215" t="s">
        <v>102</v>
      </c>
      <c r="K1933" s="266">
        <v>49081804367</v>
      </c>
      <c r="L1933" s="265" t="s">
        <v>649</v>
      </c>
      <c r="M1933" s="265" t="s">
        <v>649</v>
      </c>
      <c r="N1933" s="264">
        <v>2.7349999999999999</v>
      </c>
      <c r="O1933" s="265" t="s">
        <v>649</v>
      </c>
      <c r="P1933" s="265" t="s">
        <v>649</v>
      </c>
      <c r="Q1933" s="265" t="s">
        <v>649</v>
      </c>
    </row>
    <row r="1934" spans="1:17" ht="15" customHeight="1">
      <c r="A1934" s="147">
        <v>2013</v>
      </c>
      <c r="B1934" s="51" t="s">
        <v>36</v>
      </c>
      <c r="C1934" s="51" t="s">
        <v>2001</v>
      </c>
      <c r="D1934" s="51">
        <v>100025572</v>
      </c>
      <c r="E1934" s="53" t="s">
        <v>2002</v>
      </c>
      <c r="F1934" s="124" t="s">
        <v>649</v>
      </c>
      <c r="G1934" s="124">
        <v>1</v>
      </c>
      <c r="H1934" s="369">
        <v>146.38</v>
      </c>
      <c r="I1934" s="215" t="s">
        <v>346</v>
      </c>
      <c r="J1934" s="215" t="s">
        <v>102</v>
      </c>
      <c r="K1934" s="266">
        <v>49081809096</v>
      </c>
      <c r="L1934" s="265" t="s">
        <v>649</v>
      </c>
      <c r="M1934" s="265" t="s">
        <v>649</v>
      </c>
      <c r="N1934" s="264">
        <v>7.15</v>
      </c>
      <c r="O1934" s="265" t="s">
        <v>649</v>
      </c>
      <c r="P1934" s="265" t="s">
        <v>649</v>
      </c>
      <c r="Q1934" s="265" t="s">
        <v>649</v>
      </c>
    </row>
    <row r="1935" spans="1:17" ht="15" customHeight="1">
      <c r="A1935" s="147">
        <v>2014</v>
      </c>
      <c r="B1935" s="51" t="s">
        <v>36</v>
      </c>
      <c r="C1935" s="51" t="s">
        <v>2003</v>
      </c>
      <c r="D1935" s="51">
        <v>100025323</v>
      </c>
      <c r="E1935" s="53" t="s">
        <v>2004</v>
      </c>
      <c r="F1935" s="124" t="s">
        <v>649</v>
      </c>
      <c r="G1935" s="124">
        <v>1</v>
      </c>
      <c r="H1935" s="369">
        <v>146.38</v>
      </c>
      <c r="I1935" s="215" t="s">
        <v>346</v>
      </c>
      <c r="J1935" s="215" t="s">
        <v>102</v>
      </c>
      <c r="K1935" s="266">
        <v>49081809126</v>
      </c>
      <c r="L1935" s="265" t="s">
        <v>649</v>
      </c>
      <c r="M1935" s="265" t="s">
        <v>649</v>
      </c>
      <c r="N1935" s="264">
        <v>7.15</v>
      </c>
      <c r="O1935" s="265" t="s">
        <v>649</v>
      </c>
      <c r="P1935" s="265" t="s">
        <v>649</v>
      </c>
      <c r="Q1935" s="265" t="s">
        <v>649</v>
      </c>
    </row>
    <row r="1936" spans="1:17" ht="15" customHeight="1">
      <c r="A1936" s="147">
        <v>2015</v>
      </c>
      <c r="B1936" s="51" t="s">
        <v>36</v>
      </c>
      <c r="C1936" s="51" t="s">
        <v>2005</v>
      </c>
      <c r="D1936" s="51">
        <v>100025319</v>
      </c>
      <c r="E1936" s="53" t="s">
        <v>2006</v>
      </c>
      <c r="F1936" s="124" t="s">
        <v>649</v>
      </c>
      <c r="G1936" s="124">
        <v>1</v>
      </c>
      <c r="H1936" s="369">
        <v>146.38</v>
      </c>
      <c r="I1936" s="215" t="s">
        <v>346</v>
      </c>
      <c r="J1936" s="215" t="s">
        <v>102</v>
      </c>
      <c r="K1936" s="266">
        <v>49081809119</v>
      </c>
      <c r="L1936" s="265" t="s">
        <v>649</v>
      </c>
      <c r="M1936" s="265" t="s">
        <v>649</v>
      </c>
      <c r="N1936" s="264">
        <v>7.15</v>
      </c>
      <c r="O1936" s="265" t="s">
        <v>649</v>
      </c>
      <c r="P1936" s="265" t="s">
        <v>649</v>
      </c>
      <c r="Q1936" s="265" t="s">
        <v>649</v>
      </c>
    </row>
    <row r="1937" spans="1:17" ht="15" customHeight="1">
      <c r="A1937" s="147">
        <v>2016</v>
      </c>
      <c r="B1937" s="51" t="s">
        <v>36</v>
      </c>
      <c r="C1937" s="51" t="s">
        <v>2007</v>
      </c>
      <c r="D1937" s="51">
        <v>100025413</v>
      </c>
      <c r="E1937" s="53" t="s">
        <v>2008</v>
      </c>
      <c r="F1937" s="124" t="s">
        <v>649</v>
      </c>
      <c r="G1937" s="124">
        <v>1</v>
      </c>
      <c r="H1937" s="369">
        <v>97.61</v>
      </c>
      <c r="I1937" s="215" t="s">
        <v>346</v>
      </c>
      <c r="J1937" s="215" t="s">
        <v>102</v>
      </c>
      <c r="K1937" s="266">
        <v>49081809140</v>
      </c>
      <c r="L1937" s="265" t="s">
        <v>649</v>
      </c>
      <c r="M1937" s="265" t="s">
        <v>649</v>
      </c>
      <c r="N1937" s="264">
        <v>2.5539999999999998</v>
      </c>
      <c r="O1937" s="265" t="s">
        <v>649</v>
      </c>
      <c r="P1937" s="265" t="s">
        <v>649</v>
      </c>
      <c r="Q1937" s="265" t="s">
        <v>649</v>
      </c>
    </row>
    <row r="1938" spans="1:17" ht="15" customHeight="1">
      <c r="A1938" s="147">
        <v>2017</v>
      </c>
      <c r="B1938" s="51" t="s">
        <v>36</v>
      </c>
      <c r="C1938" s="51" t="s">
        <v>2009</v>
      </c>
      <c r="D1938" s="51">
        <v>100025626</v>
      </c>
      <c r="E1938" s="53" t="s">
        <v>2010</v>
      </c>
      <c r="F1938" s="124" t="s">
        <v>649</v>
      </c>
      <c r="G1938" s="124">
        <v>1</v>
      </c>
      <c r="H1938" s="369">
        <v>97.61</v>
      </c>
      <c r="I1938" s="215" t="s">
        <v>346</v>
      </c>
      <c r="J1938" s="215" t="s">
        <v>102</v>
      </c>
      <c r="K1938" s="266">
        <v>49081809171</v>
      </c>
      <c r="L1938" s="265" t="s">
        <v>649</v>
      </c>
      <c r="M1938" s="265" t="s">
        <v>649</v>
      </c>
      <c r="N1938" s="264">
        <v>2.5539999999999998</v>
      </c>
      <c r="O1938" s="265" t="s">
        <v>649</v>
      </c>
      <c r="P1938" s="265" t="s">
        <v>649</v>
      </c>
      <c r="Q1938" s="265" t="s">
        <v>649</v>
      </c>
    </row>
    <row r="1939" spans="1:17" ht="15" customHeight="1">
      <c r="A1939" s="147">
        <v>2018</v>
      </c>
      <c r="B1939" s="51" t="s">
        <v>36</v>
      </c>
      <c r="C1939" s="51" t="s">
        <v>2011</v>
      </c>
      <c r="D1939" s="51">
        <v>100025438</v>
      </c>
      <c r="E1939" s="53" t="s">
        <v>2012</v>
      </c>
      <c r="F1939" s="124" t="s">
        <v>649</v>
      </c>
      <c r="G1939" s="124">
        <v>1</v>
      </c>
      <c r="H1939" s="369">
        <v>97.61</v>
      </c>
      <c r="I1939" s="215" t="s">
        <v>346</v>
      </c>
      <c r="J1939" s="215" t="s">
        <v>102</v>
      </c>
      <c r="K1939" s="266">
        <v>49081809164</v>
      </c>
      <c r="L1939" s="265" t="s">
        <v>649</v>
      </c>
      <c r="M1939" s="265" t="s">
        <v>649</v>
      </c>
      <c r="N1939" s="264">
        <v>2.5539999999999998</v>
      </c>
      <c r="O1939" s="265" t="s">
        <v>649</v>
      </c>
      <c r="P1939" s="265" t="s">
        <v>649</v>
      </c>
      <c r="Q1939" s="265" t="s">
        <v>649</v>
      </c>
    </row>
    <row r="1940" spans="1:17" ht="15" customHeight="1">
      <c r="A1940" s="147">
        <v>2019</v>
      </c>
      <c r="B1940" s="51" t="s">
        <v>36</v>
      </c>
      <c r="C1940" s="51" t="s">
        <v>2013</v>
      </c>
      <c r="D1940" s="51">
        <v>100025445</v>
      </c>
      <c r="E1940" s="53" t="s">
        <v>2014</v>
      </c>
      <c r="F1940" s="124" t="s">
        <v>649</v>
      </c>
      <c r="G1940" s="124">
        <v>1</v>
      </c>
      <c r="H1940" s="369">
        <v>97.61</v>
      </c>
      <c r="I1940" s="215" t="s">
        <v>346</v>
      </c>
      <c r="J1940" s="215" t="s">
        <v>102</v>
      </c>
      <c r="K1940" s="266">
        <v>49081806163</v>
      </c>
      <c r="L1940" s="265" t="s">
        <v>649</v>
      </c>
      <c r="M1940" s="265" t="s">
        <v>649</v>
      </c>
      <c r="N1940" s="264">
        <v>2.5539999999999998</v>
      </c>
      <c r="O1940" s="265" t="s">
        <v>649</v>
      </c>
      <c r="P1940" s="265" t="s">
        <v>649</v>
      </c>
      <c r="Q1940" s="265" t="s">
        <v>649</v>
      </c>
    </row>
    <row r="1941" spans="1:17" ht="15" customHeight="1">
      <c r="A1941" s="147">
        <v>2020</v>
      </c>
      <c r="B1941" s="51" t="s">
        <v>36</v>
      </c>
      <c r="C1941" s="51" t="s">
        <v>2015</v>
      </c>
      <c r="D1941" s="51">
        <v>100025578</v>
      </c>
      <c r="E1941" s="53" t="s">
        <v>2016</v>
      </c>
      <c r="F1941" s="124" t="s">
        <v>649</v>
      </c>
      <c r="G1941" s="124">
        <v>48</v>
      </c>
      <c r="H1941" s="369">
        <v>124.31</v>
      </c>
      <c r="I1941" s="215" t="s">
        <v>76</v>
      </c>
      <c r="J1941" s="215" t="s">
        <v>102</v>
      </c>
      <c r="K1941" s="266">
        <v>49081800307</v>
      </c>
      <c r="L1941" s="265" t="s">
        <v>649</v>
      </c>
      <c r="M1941" s="265" t="s">
        <v>649</v>
      </c>
      <c r="N1941" s="264">
        <v>8.8800000000000008</v>
      </c>
      <c r="O1941" s="265" t="s">
        <v>649</v>
      </c>
      <c r="P1941" s="265" t="s">
        <v>649</v>
      </c>
      <c r="Q1941" s="265" t="s">
        <v>649</v>
      </c>
    </row>
    <row r="1942" spans="1:17" ht="15" customHeight="1">
      <c r="A1942" s="147">
        <v>2021</v>
      </c>
      <c r="B1942" s="51" t="s">
        <v>36</v>
      </c>
      <c r="C1942" s="51" t="s">
        <v>2017</v>
      </c>
      <c r="D1942" s="51">
        <v>100025582</v>
      </c>
      <c r="E1942" s="53" t="s">
        <v>2018</v>
      </c>
      <c r="F1942" s="124" t="s">
        <v>649</v>
      </c>
      <c r="G1942" s="124">
        <v>48</v>
      </c>
      <c r="H1942" s="369">
        <v>124.31</v>
      </c>
      <c r="I1942" s="215" t="s">
        <v>76</v>
      </c>
      <c r="J1942" s="215" t="s">
        <v>102</v>
      </c>
      <c r="K1942" s="266">
        <v>49081800321</v>
      </c>
      <c r="L1942" s="265" t="s">
        <v>649</v>
      </c>
      <c r="M1942" s="265" t="s">
        <v>649</v>
      </c>
      <c r="N1942" s="264">
        <v>8.8800000000000008</v>
      </c>
      <c r="O1942" s="265" t="s">
        <v>649</v>
      </c>
      <c r="P1942" s="265" t="s">
        <v>649</v>
      </c>
      <c r="Q1942" s="265" t="s">
        <v>649</v>
      </c>
    </row>
    <row r="1943" spans="1:17" ht="15" customHeight="1">
      <c r="A1943" s="147">
        <v>2022</v>
      </c>
      <c r="B1943" s="51" t="s">
        <v>36</v>
      </c>
      <c r="C1943" s="51" t="s">
        <v>2019</v>
      </c>
      <c r="D1943" s="51">
        <v>100025584</v>
      </c>
      <c r="E1943" s="53" t="s">
        <v>2020</v>
      </c>
      <c r="F1943" s="124" t="s">
        <v>649</v>
      </c>
      <c r="G1943" s="124">
        <v>48</v>
      </c>
      <c r="H1943" s="369">
        <v>124.31</v>
      </c>
      <c r="I1943" s="215" t="s">
        <v>76</v>
      </c>
      <c r="J1943" s="215" t="s">
        <v>102</v>
      </c>
      <c r="K1943" s="266">
        <v>49081800338</v>
      </c>
      <c r="L1943" s="265" t="s">
        <v>649</v>
      </c>
      <c r="M1943" s="265" t="s">
        <v>649</v>
      </c>
      <c r="N1943" s="264">
        <v>8.8800000000000008</v>
      </c>
      <c r="O1943" s="265" t="s">
        <v>649</v>
      </c>
      <c r="P1943" s="265" t="s">
        <v>649</v>
      </c>
      <c r="Q1943" s="265" t="s">
        <v>649</v>
      </c>
    </row>
    <row r="1944" spans="1:17" ht="15" customHeight="1">
      <c r="A1944" s="147">
        <v>2023</v>
      </c>
      <c r="B1944" s="51" t="s">
        <v>36</v>
      </c>
      <c r="C1944" s="51" t="s">
        <v>2021</v>
      </c>
      <c r="D1944" s="51">
        <v>100025580</v>
      </c>
      <c r="E1944" s="53" t="s">
        <v>2022</v>
      </c>
      <c r="F1944" s="124" t="s">
        <v>649</v>
      </c>
      <c r="G1944" s="124">
        <v>28</v>
      </c>
      <c r="H1944" s="369">
        <v>114.73</v>
      </c>
      <c r="I1944" s="215" t="s">
        <v>76</v>
      </c>
      <c r="J1944" s="215" t="s">
        <v>102</v>
      </c>
      <c r="K1944" s="266">
        <v>49081800406</v>
      </c>
      <c r="L1944" s="265" t="s">
        <v>649</v>
      </c>
      <c r="M1944" s="265" t="s">
        <v>649</v>
      </c>
      <c r="N1944" s="264">
        <v>5.66</v>
      </c>
      <c r="O1944" s="265" t="s">
        <v>649</v>
      </c>
      <c r="P1944" s="265" t="s">
        <v>649</v>
      </c>
      <c r="Q1944" s="265" t="s">
        <v>649</v>
      </c>
    </row>
    <row r="1945" spans="1:17" ht="15" customHeight="1">
      <c r="A1945" s="147">
        <v>2024</v>
      </c>
      <c r="B1945" s="51" t="s">
        <v>36</v>
      </c>
      <c r="C1945" s="51" t="s">
        <v>2023</v>
      </c>
      <c r="D1945" s="51">
        <v>100025581</v>
      </c>
      <c r="E1945" s="53" t="s">
        <v>2024</v>
      </c>
      <c r="F1945" s="124" t="s">
        <v>649</v>
      </c>
      <c r="G1945" s="124">
        <v>28</v>
      </c>
      <c r="H1945" s="369">
        <v>114.73</v>
      </c>
      <c r="I1945" s="215" t="s">
        <v>76</v>
      </c>
      <c r="J1945" s="215" t="s">
        <v>102</v>
      </c>
      <c r="K1945" s="266">
        <v>49081800413</v>
      </c>
      <c r="L1945" s="265" t="s">
        <v>649</v>
      </c>
      <c r="M1945" s="265" t="s">
        <v>649</v>
      </c>
      <c r="N1945" s="264">
        <v>5.66</v>
      </c>
      <c r="O1945" s="265" t="s">
        <v>649</v>
      </c>
      <c r="P1945" s="265" t="s">
        <v>649</v>
      </c>
      <c r="Q1945" s="265" t="s">
        <v>649</v>
      </c>
    </row>
    <row r="1946" spans="1:17" ht="15" customHeight="1">
      <c r="A1946" s="147">
        <v>2025</v>
      </c>
      <c r="B1946" s="51" t="s">
        <v>36</v>
      </c>
      <c r="C1946" s="51" t="s">
        <v>2025</v>
      </c>
      <c r="D1946" s="51">
        <v>100025583</v>
      </c>
      <c r="E1946" s="53" t="s">
        <v>2026</v>
      </c>
      <c r="F1946" s="124" t="s">
        <v>649</v>
      </c>
      <c r="G1946" s="124">
        <v>28</v>
      </c>
      <c r="H1946" s="369">
        <v>114.73</v>
      </c>
      <c r="I1946" s="215" t="s">
        <v>346</v>
      </c>
      <c r="J1946" s="215" t="s">
        <v>102</v>
      </c>
      <c r="K1946" s="266">
        <v>49081800420</v>
      </c>
      <c r="L1946" s="265" t="s">
        <v>649</v>
      </c>
      <c r="M1946" s="265" t="s">
        <v>649</v>
      </c>
      <c r="N1946" s="264">
        <v>5.66</v>
      </c>
      <c r="O1946" s="265" t="s">
        <v>649</v>
      </c>
      <c r="P1946" s="265" t="s">
        <v>649</v>
      </c>
      <c r="Q1946" s="265" t="s">
        <v>649</v>
      </c>
    </row>
    <row r="1947" spans="1:17" ht="15" customHeight="1">
      <c r="A1947" s="147">
        <v>2026</v>
      </c>
      <c r="B1947" s="51" t="s">
        <v>36</v>
      </c>
      <c r="C1947" s="51" t="s">
        <v>2027</v>
      </c>
      <c r="D1947" s="51">
        <v>100025587</v>
      </c>
      <c r="E1947" s="53" t="s">
        <v>2028</v>
      </c>
      <c r="F1947" s="124" t="s">
        <v>649</v>
      </c>
      <c r="G1947" s="124">
        <v>28</v>
      </c>
      <c r="H1947" s="369">
        <v>114.73</v>
      </c>
      <c r="I1947" s="215" t="s">
        <v>76</v>
      </c>
      <c r="J1947" s="215" t="s">
        <v>102</v>
      </c>
      <c r="K1947" s="266">
        <v>49081800437</v>
      </c>
      <c r="L1947" s="265" t="s">
        <v>649</v>
      </c>
      <c r="M1947" s="265" t="s">
        <v>649</v>
      </c>
      <c r="N1947" s="264">
        <v>5.66</v>
      </c>
      <c r="O1947" s="265" t="s">
        <v>649</v>
      </c>
      <c r="P1947" s="265" t="s">
        <v>649</v>
      </c>
      <c r="Q1947" s="265" t="s">
        <v>649</v>
      </c>
    </row>
    <row r="1948" spans="1:17" ht="15" customHeight="1">
      <c r="A1948" s="147">
        <v>2027</v>
      </c>
      <c r="B1948" s="51" t="s">
        <v>36</v>
      </c>
      <c r="C1948" s="51" t="s">
        <v>2029</v>
      </c>
      <c r="D1948" s="51">
        <v>100025635</v>
      </c>
      <c r="E1948" s="53" t="s">
        <v>2030</v>
      </c>
      <c r="F1948" s="124" t="s">
        <v>649</v>
      </c>
      <c r="G1948" s="124">
        <v>1</v>
      </c>
      <c r="H1948" s="369">
        <v>60.58</v>
      </c>
      <c r="I1948" s="215" t="s">
        <v>76</v>
      </c>
      <c r="J1948" s="215" t="s">
        <v>102</v>
      </c>
      <c r="K1948" s="266">
        <v>49081801250</v>
      </c>
      <c r="L1948" s="265" t="s">
        <v>649</v>
      </c>
      <c r="M1948" s="265" t="s">
        <v>649</v>
      </c>
      <c r="N1948" s="264">
        <v>3.2250000000000001</v>
      </c>
      <c r="O1948" s="265" t="s">
        <v>649</v>
      </c>
      <c r="P1948" s="265" t="s">
        <v>649</v>
      </c>
      <c r="Q1948" s="265" t="s">
        <v>649</v>
      </c>
    </row>
    <row r="1949" spans="1:17" ht="15" customHeight="1">
      <c r="A1949" s="147">
        <v>2028</v>
      </c>
      <c r="B1949" s="51" t="s">
        <v>36</v>
      </c>
      <c r="C1949" s="51" t="s">
        <v>2031</v>
      </c>
      <c r="D1949" s="51">
        <v>100025649</v>
      </c>
      <c r="E1949" s="53" t="s">
        <v>2032</v>
      </c>
      <c r="F1949" s="124" t="s">
        <v>649</v>
      </c>
      <c r="G1949" s="124">
        <v>1</v>
      </c>
      <c r="H1949" s="369">
        <v>60.58</v>
      </c>
      <c r="I1949" s="215" t="s">
        <v>346</v>
      </c>
      <c r="J1949" s="215" t="s">
        <v>102</v>
      </c>
      <c r="K1949" s="266">
        <v>49081801403</v>
      </c>
      <c r="L1949" s="265" t="s">
        <v>649</v>
      </c>
      <c r="M1949" s="265" t="s">
        <v>649</v>
      </c>
      <c r="N1949" s="264">
        <v>3.2250000000000001</v>
      </c>
      <c r="O1949" s="265" t="s">
        <v>649</v>
      </c>
      <c r="P1949" s="265" t="s">
        <v>649</v>
      </c>
      <c r="Q1949" s="265" t="s">
        <v>649</v>
      </c>
    </row>
    <row r="1950" spans="1:17" ht="15" customHeight="1">
      <c r="A1950" s="147">
        <v>2029</v>
      </c>
      <c r="B1950" s="51" t="s">
        <v>36</v>
      </c>
      <c r="C1950" s="51" t="s">
        <v>2033</v>
      </c>
      <c r="D1950" s="51">
        <v>100025652</v>
      </c>
      <c r="E1950" s="53" t="s">
        <v>2034</v>
      </c>
      <c r="F1950" s="124" t="s">
        <v>649</v>
      </c>
      <c r="G1950" s="124">
        <v>1</v>
      </c>
      <c r="H1950" s="369">
        <v>60.58</v>
      </c>
      <c r="I1950" s="215" t="s">
        <v>346</v>
      </c>
      <c r="J1950" s="215" t="s">
        <v>102</v>
      </c>
      <c r="K1950" s="266">
        <v>49081801472</v>
      </c>
      <c r="L1950" s="265" t="s">
        <v>649</v>
      </c>
      <c r="M1950" s="265" t="s">
        <v>649</v>
      </c>
      <c r="N1950" s="264">
        <v>3.2250000000000001</v>
      </c>
      <c r="O1950" s="265" t="s">
        <v>649</v>
      </c>
      <c r="P1950" s="265" t="s">
        <v>649</v>
      </c>
      <c r="Q1950" s="265" t="s">
        <v>649</v>
      </c>
    </row>
    <row r="1951" spans="1:17" ht="15" customHeight="1">
      <c r="A1951" s="147">
        <v>2030</v>
      </c>
      <c r="B1951" s="51" t="s">
        <v>36</v>
      </c>
      <c r="C1951" s="51" t="s">
        <v>2035</v>
      </c>
      <c r="D1951" s="51">
        <v>100025647</v>
      </c>
      <c r="E1951" s="53" t="s">
        <v>2036</v>
      </c>
      <c r="F1951" s="124" t="s">
        <v>649</v>
      </c>
      <c r="G1951" s="124">
        <v>1</v>
      </c>
      <c r="H1951" s="369">
        <v>60.58</v>
      </c>
      <c r="I1951" s="215" t="s">
        <v>76</v>
      </c>
      <c r="J1951" s="215" t="s">
        <v>102</v>
      </c>
      <c r="K1951" s="266">
        <v>49081801397</v>
      </c>
      <c r="L1951" s="265" t="s">
        <v>649</v>
      </c>
      <c r="M1951" s="265" t="s">
        <v>649</v>
      </c>
      <c r="N1951" s="264">
        <v>3.2250000000000001</v>
      </c>
      <c r="O1951" s="265" t="s">
        <v>649</v>
      </c>
      <c r="P1951" s="265" t="s">
        <v>649</v>
      </c>
      <c r="Q1951" s="265" t="s">
        <v>649</v>
      </c>
    </row>
    <row r="1952" spans="1:17" ht="15" customHeight="1">
      <c r="A1952" s="147">
        <v>2031</v>
      </c>
      <c r="B1952" s="51" t="s">
        <v>36</v>
      </c>
      <c r="C1952" s="51" t="s">
        <v>2037</v>
      </c>
      <c r="D1952" s="51">
        <v>100025641</v>
      </c>
      <c r="E1952" s="53" t="s">
        <v>2038</v>
      </c>
      <c r="F1952" s="124" t="s">
        <v>649</v>
      </c>
      <c r="G1952" s="124">
        <v>1</v>
      </c>
      <c r="H1952" s="369">
        <v>60.58</v>
      </c>
      <c r="I1952" s="215" t="s">
        <v>346</v>
      </c>
      <c r="J1952" s="215" t="s">
        <v>102</v>
      </c>
      <c r="K1952" s="265" t="s">
        <v>649</v>
      </c>
      <c r="L1952" s="265" t="s">
        <v>649</v>
      </c>
      <c r="M1952" s="265" t="s">
        <v>649</v>
      </c>
      <c r="N1952" s="264">
        <v>3.2250000000000001</v>
      </c>
      <c r="O1952" s="265" t="s">
        <v>649</v>
      </c>
      <c r="P1952" s="265" t="s">
        <v>649</v>
      </c>
      <c r="Q1952" s="265" t="s">
        <v>649</v>
      </c>
    </row>
    <row r="1953" spans="1:17" ht="15" customHeight="1">
      <c r="A1953" s="147">
        <v>2032</v>
      </c>
      <c r="B1953" s="51" t="s">
        <v>36</v>
      </c>
      <c r="C1953" s="51" t="s">
        <v>2039</v>
      </c>
      <c r="D1953" s="51">
        <v>100025638</v>
      </c>
      <c r="E1953" s="53" t="s">
        <v>2040</v>
      </c>
      <c r="F1953" s="124" t="s">
        <v>649</v>
      </c>
      <c r="G1953" s="124">
        <v>1</v>
      </c>
      <c r="H1953" s="369">
        <v>60.58</v>
      </c>
      <c r="I1953" s="215" t="s">
        <v>346</v>
      </c>
      <c r="J1953" s="215" t="s">
        <v>102</v>
      </c>
      <c r="K1953" s="265" t="s">
        <v>649</v>
      </c>
      <c r="L1953" s="265" t="s">
        <v>649</v>
      </c>
      <c r="M1953" s="265" t="s">
        <v>649</v>
      </c>
      <c r="N1953" s="264">
        <v>3.2250000000000001</v>
      </c>
      <c r="O1953" s="265" t="s">
        <v>649</v>
      </c>
      <c r="P1953" s="265" t="s">
        <v>649</v>
      </c>
      <c r="Q1953" s="265" t="s">
        <v>649</v>
      </c>
    </row>
    <row r="1954" spans="1:17" ht="15" customHeight="1">
      <c r="A1954" s="147">
        <v>2033</v>
      </c>
      <c r="B1954" s="51" t="s">
        <v>36</v>
      </c>
      <c r="C1954" s="51" t="s">
        <v>2041</v>
      </c>
      <c r="D1954" s="51">
        <v>100025636</v>
      </c>
      <c r="E1954" s="53" t="s">
        <v>2042</v>
      </c>
      <c r="F1954" s="124" t="s">
        <v>649</v>
      </c>
      <c r="G1954" s="124">
        <v>1</v>
      </c>
      <c r="H1954" s="369">
        <v>60.58</v>
      </c>
      <c r="I1954" s="215" t="s">
        <v>76</v>
      </c>
      <c r="J1954" s="215" t="s">
        <v>102</v>
      </c>
      <c r="K1954" s="265" t="s">
        <v>649</v>
      </c>
      <c r="L1954" s="265" t="s">
        <v>649</v>
      </c>
      <c r="M1954" s="265" t="s">
        <v>649</v>
      </c>
      <c r="N1954" s="264">
        <v>3.2250000000000001</v>
      </c>
      <c r="O1954" s="265" t="s">
        <v>649</v>
      </c>
      <c r="P1954" s="265" t="s">
        <v>649</v>
      </c>
      <c r="Q1954" s="265" t="s">
        <v>649</v>
      </c>
    </row>
    <row r="1955" spans="1:17" ht="15" customHeight="1">
      <c r="A1955" s="147">
        <v>2034</v>
      </c>
      <c r="B1955" s="51" t="s">
        <v>36</v>
      </c>
      <c r="C1955" s="51" t="s">
        <v>2043</v>
      </c>
      <c r="D1955" s="51">
        <v>100025495</v>
      </c>
      <c r="E1955" s="53" t="s">
        <v>2044</v>
      </c>
      <c r="F1955" s="124" t="s">
        <v>649</v>
      </c>
      <c r="G1955" s="124">
        <v>1</v>
      </c>
      <c r="H1955" s="369">
        <v>60.58</v>
      </c>
      <c r="I1955" s="215" t="s">
        <v>346</v>
      </c>
      <c r="J1955" s="215" t="s">
        <v>102</v>
      </c>
      <c r="K1955" s="266">
        <v>49081801410</v>
      </c>
      <c r="L1955" s="265" t="s">
        <v>649</v>
      </c>
      <c r="M1955" s="265" t="s">
        <v>649</v>
      </c>
      <c r="N1955" s="264">
        <v>3.2250000000000001</v>
      </c>
      <c r="O1955" s="265" t="s">
        <v>649</v>
      </c>
      <c r="P1955" s="265" t="s">
        <v>649</v>
      </c>
      <c r="Q1955" s="265" t="s">
        <v>649</v>
      </c>
    </row>
    <row r="1956" spans="1:17" ht="15" customHeight="1">
      <c r="A1956" s="147">
        <v>2035</v>
      </c>
      <c r="B1956" s="51" t="s">
        <v>36</v>
      </c>
      <c r="C1956" s="51" t="s">
        <v>2045</v>
      </c>
      <c r="D1956" s="51">
        <v>100025482</v>
      </c>
      <c r="E1956" s="53" t="s">
        <v>2046</v>
      </c>
      <c r="F1956" s="124" t="s">
        <v>649</v>
      </c>
      <c r="G1956" s="124">
        <v>1</v>
      </c>
      <c r="H1956" s="369">
        <v>60.58</v>
      </c>
      <c r="I1956" s="215" t="s">
        <v>346</v>
      </c>
      <c r="J1956" s="215" t="s">
        <v>102</v>
      </c>
      <c r="K1956" s="266">
        <v>49081801274</v>
      </c>
      <c r="L1956" s="265" t="s">
        <v>649</v>
      </c>
      <c r="M1956" s="265" t="s">
        <v>649</v>
      </c>
      <c r="N1956" s="264">
        <v>3.2250000000000001</v>
      </c>
      <c r="O1956" s="265" t="s">
        <v>649</v>
      </c>
      <c r="P1956" s="265" t="s">
        <v>649</v>
      </c>
      <c r="Q1956" s="265" t="s">
        <v>649</v>
      </c>
    </row>
    <row r="1957" spans="1:17" ht="15" customHeight="1">
      <c r="A1957" s="147">
        <v>2036</v>
      </c>
      <c r="B1957" s="51" t="s">
        <v>36</v>
      </c>
      <c r="C1957" s="51" t="s">
        <v>2047</v>
      </c>
      <c r="D1957" s="51">
        <v>100025496</v>
      </c>
      <c r="E1957" s="53" t="s">
        <v>2048</v>
      </c>
      <c r="F1957" s="124" t="s">
        <v>649</v>
      </c>
      <c r="G1957" s="124">
        <v>1</v>
      </c>
      <c r="H1957" s="369">
        <v>60.58</v>
      </c>
      <c r="I1957" s="215" t="s">
        <v>346</v>
      </c>
      <c r="J1957" s="215" t="s">
        <v>102</v>
      </c>
      <c r="K1957" s="266">
        <v>49081801427</v>
      </c>
      <c r="L1957" s="265" t="s">
        <v>649</v>
      </c>
      <c r="M1957" s="265" t="s">
        <v>649</v>
      </c>
      <c r="N1957" s="264">
        <v>3.2250000000000001</v>
      </c>
      <c r="O1957" s="265" t="s">
        <v>649</v>
      </c>
      <c r="P1957" s="265" t="s">
        <v>649</v>
      </c>
      <c r="Q1957" s="265" t="s">
        <v>649</v>
      </c>
    </row>
    <row r="1958" spans="1:17" ht="15" customHeight="1">
      <c r="A1958" s="147">
        <v>2037</v>
      </c>
      <c r="B1958" s="51" t="s">
        <v>36</v>
      </c>
      <c r="C1958" s="51" t="s">
        <v>2049</v>
      </c>
      <c r="D1958" s="51">
        <v>100025484</v>
      </c>
      <c r="E1958" s="53" t="s">
        <v>2050</v>
      </c>
      <c r="F1958" s="124" t="s">
        <v>649</v>
      </c>
      <c r="G1958" s="124">
        <v>1</v>
      </c>
      <c r="H1958" s="369">
        <v>60.58</v>
      </c>
      <c r="I1958" s="215" t="s">
        <v>346</v>
      </c>
      <c r="J1958" s="215" t="s">
        <v>102</v>
      </c>
      <c r="K1958" s="266">
        <v>49081801304</v>
      </c>
      <c r="L1958" s="265" t="s">
        <v>649</v>
      </c>
      <c r="M1958" s="265" t="s">
        <v>649</v>
      </c>
      <c r="N1958" s="264">
        <v>3.2250000000000001</v>
      </c>
      <c r="O1958" s="265" t="s">
        <v>649</v>
      </c>
      <c r="P1958" s="265" t="s">
        <v>649</v>
      </c>
      <c r="Q1958" s="265" t="s">
        <v>649</v>
      </c>
    </row>
    <row r="1959" spans="1:17" ht="15" customHeight="1">
      <c r="A1959" s="147">
        <v>2038</v>
      </c>
      <c r="B1959" s="51" t="s">
        <v>36</v>
      </c>
      <c r="C1959" s="51" t="s">
        <v>2051</v>
      </c>
      <c r="D1959" s="51">
        <v>100025497</v>
      </c>
      <c r="E1959" s="53" t="s">
        <v>2052</v>
      </c>
      <c r="F1959" s="124" t="s">
        <v>649</v>
      </c>
      <c r="G1959" s="124">
        <v>1</v>
      </c>
      <c r="H1959" s="369">
        <v>60.58</v>
      </c>
      <c r="I1959" s="215" t="s">
        <v>346</v>
      </c>
      <c r="J1959" s="215" t="s">
        <v>102</v>
      </c>
      <c r="K1959" s="266">
        <v>49081801458</v>
      </c>
      <c r="L1959" s="265" t="s">
        <v>649</v>
      </c>
      <c r="M1959" s="265" t="s">
        <v>649</v>
      </c>
      <c r="N1959" s="264">
        <v>3.2250000000000001</v>
      </c>
      <c r="O1959" s="265" t="s">
        <v>649</v>
      </c>
      <c r="P1959" s="265" t="s">
        <v>649</v>
      </c>
      <c r="Q1959" s="265" t="s">
        <v>649</v>
      </c>
    </row>
    <row r="1960" spans="1:17" ht="15" customHeight="1">
      <c r="A1960" s="147">
        <v>2039</v>
      </c>
      <c r="B1960" s="51" t="s">
        <v>36</v>
      </c>
      <c r="C1960" s="51" t="s">
        <v>2053</v>
      </c>
      <c r="D1960" s="51">
        <v>100025637</v>
      </c>
      <c r="E1960" s="53" t="s">
        <v>2054</v>
      </c>
      <c r="F1960" s="124" t="s">
        <v>649</v>
      </c>
      <c r="G1960" s="124">
        <v>1</v>
      </c>
      <c r="H1960" s="369">
        <v>60.58</v>
      </c>
      <c r="I1960" s="215" t="s">
        <v>346</v>
      </c>
      <c r="J1960" s="215" t="s">
        <v>102</v>
      </c>
      <c r="K1960" s="266">
        <v>49081804381</v>
      </c>
      <c r="L1960" s="265" t="s">
        <v>649</v>
      </c>
      <c r="M1960" s="265" t="s">
        <v>649</v>
      </c>
      <c r="N1960" s="264">
        <v>3.2250000000000001</v>
      </c>
      <c r="O1960" s="265" t="s">
        <v>649</v>
      </c>
      <c r="P1960" s="265" t="s">
        <v>649</v>
      </c>
      <c r="Q1960" s="265" t="s">
        <v>649</v>
      </c>
    </row>
    <row r="1961" spans="1:17" ht="15" customHeight="1">
      <c r="A1961" s="147">
        <v>2040</v>
      </c>
      <c r="B1961" s="51" t="s">
        <v>36</v>
      </c>
      <c r="C1961" s="51" t="s">
        <v>2056</v>
      </c>
      <c r="D1961" s="51">
        <v>100025565</v>
      </c>
      <c r="E1961" s="53" t="s">
        <v>2057</v>
      </c>
      <c r="F1961" s="124" t="s">
        <v>649</v>
      </c>
      <c r="G1961" s="124">
        <v>1</v>
      </c>
      <c r="H1961" s="369">
        <v>40.56</v>
      </c>
      <c r="I1961" s="215" t="s">
        <v>346</v>
      </c>
      <c r="J1961" s="215" t="s">
        <v>102</v>
      </c>
      <c r="K1961" s="266">
        <v>49081806200</v>
      </c>
      <c r="L1961" s="265" t="s">
        <v>649</v>
      </c>
      <c r="M1961" s="265" t="s">
        <v>649</v>
      </c>
      <c r="N1961" s="264" t="s">
        <v>12</v>
      </c>
      <c r="O1961" s="265" t="s">
        <v>649</v>
      </c>
      <c r="P1961" s="265" t="s">
        <v>649</v>
      </c>
      <c r="Q1961" s="265" t="s">
        <v>649</v>
      </c>
    </row>
    <row r="1962" spans="1:17" ht="15" customHeight="1">
      <c r="A1962" s="147">
        <v>2041</v>
      </c>
      <c r="B1962" s="51" t="s">
        <v>36</v>
      </c>
      <c r="C1962" s="51" t="s">
        <v>2059</v>
      </c>
      <c r="D1962" s="51">
        <v>100025591</v>
      </c>
      <c r="E1962" s="53" t="s">
        <v>2060</v>
      </c>
      <c r="F1962" s="124" t="s">
        <v>649</v>
      </c>
      <c r="G1962" s="124">
        <v>1</v>
      </c>
      <c r="H1962" s="369">
        <v>77.02</v>
      </c>
      <c r="I1962" s="215" t="s">
        <v>346</v>
      </c>
      <c r="J1962" s="215" t="s">
        <v>102</v>
      </c>
      <c r="K1962" s="266">
        <v>49081809768</v>
      </c>
      <c r="L1962" s="265" t="s">
        <v>649</v>
      </c>
      <c r="M1962" s="265" t="s">
        <v>649</v>
      </c>
      <c r="N1962" s="264">
        <v>4.66</v>
      </c>
      <c r="O1962" s="265" t="s">
        <v>649</v>
      </c>
      <c r="P1962" s="265" t="s">
        <v>649</v>
      </c>
      <c r="Q1962" s="265" t="s">
        <v>649</v>
      </c>
    </row>
    <row r="1963" spans="1:17" ht="15" customHeight="1">
      <c r="A1963" s="147">
        <v>2042</v>
      </c>
      <c r="B1963" s="51" t="s">
        <v>36</v>
      </c>
      <c r="C1963" s="51" t="s">
        <v>2061</v>
      </c>
      <c r="D1963" s="51">
        <v>100025349</v>
      </c>
      <c r="E1963" s="53" t="s">
        <v>2062</v>
      </c>
      <c r="F1963" s="124" t="s">
        <v>649</v>
      </c>
      <c r="G1963" s="124">
        <v>1</v>
      </c>
      <c r="H1963" s="369">
        <v>33.65</v>
      </c>
      <c r="I1963" s="215" t="s">
        <v>346</v>
      </c>
      <c r="J1963" s="215" t="s">
        <v>102</v>
      </c>
      <c r="K1963" s="266">
        <v>49081809775</v>
      </c>
      <c r="L1963" s="265" t="s">
        <v>649</v>
      </c>
      <c r="M1963" s="265" t="s">
        <v>649</v>
      </c>
      <c r="N1963" s="264">
        <v>1.0149999999999999</v>
      </c>
      <c r="O1963" s="265" t="s">
        <v>649</v>
      </c>
      <c r="P1963" s="265" t="s">
        <v>649</v>
      </c>
      <c r="Q1963" s="265" t="s">
        <v>649</v>
      </c>
    </row>
    <row r="1964" spans="1:17" ht="15" customHeight="1">
      <c r="A1964" s="147">
        <v>2043</v>
      </c>
      <c r="B1964" s="51" t="s">
        <v>36</v>
      </c>
      <c r="C1964" s="51" t="s">
        <v>2063</v>
      </c>
      <c r="D1964" s="51">
        <v>100025592</v>
      </c>
      <c r="E1964" s="53" t="s">
        <v>2064</v>
      </c>
      <c r="F1964" s="124" t="s">
        <v>649</v>
      </c>
      <c r="G1964" s="124">
        <v>1</v>
      </c>
      <c r="H1964" s="369">
        <v>77.02</v>
      </c>
      <c r="I1964" s="215" t="s">
        <v>346</v>
      </c>
      <c r="J1964" s="215" t="s">
        <v>102</v>
      </c>
      <c r="K1964" s="266">
        <v>49081806668</v>
      </c>
      <c r="L1964" s="265" t="s">
        <v>649</v>
      </c>
      <c r="M1964" s="265" t="s">
        <v>649</v>
      </c>
      <c r="N1964" s="264">
        <v>3.863</v>
      </c>
      <c r="O1964" s="265" t="s">
        <v>649</v>
      </c>
      <c r="P1964" s="265" t="s">
        <v>649</v>
      </c>
      <c r="Q1964" s="265" t="s">
        <v>649</v>
      </c>
    </row>
    <row r="1965" spans="1:17" ht="15" customHeight="1">
      <c r="A1965" s="147">
        <v>2044</v>
      </c>
      <c r="B1965" s="51" t="s">
        <v>36</v>
      </c>
      <c r="C1965" s="51" t="s">
        <v>2065</v>
      </c>
      <c r="D1965" s="51">
        <v>100025564</v>
      </c>
      <c r="E1965" s="53" t="s">
        <v>2066</v>
      </c>
      <c r="F1965" s="124" t="s">
        <v>649</v>
      </c>
      <c r="G1965" s="124">
        <v>1</v>
      </c>
      <c r="H1965" s="369">
        <v>128.4</v>
      </c>
      <c r="I1965" s="215" t="s">
        <v>76</v>
      </c>
      <c r="J1965" s="215" t="s">
        <v>102</v>
      </c>
      <c r="K1965" s="266">
        <v>49081805418</v>
      </c>
      <c r="L1965" s="265" t="s">
        <v>649</v>
      </c>
      <c r="M1965" s="265" t="s">
        <v>649</v>
      </c>
      <c r="N1965" s="264">
        <v>3.8740000000000001</v>
      </c>
      <c r="O1965" s="265" t="s">
        <v>649</v>
      </c>
      <c r="P1965" s="265" t="s">
        <v>649</v>
      </c>
      <c r="Q1965" s="265" t="s">
        <v>649</v>
      </c>
    </row>
    <row r="1966" spans="1:17" ht="15" customHeight="1">
      <c r="A1966" s="147">
        <v>2045</v>
      </c>
      <c r="B1966" s="51" t="s">
        <v>36</v>
      </c>
      <c r="C1966" s="51" t="s">
        <v>2068</v>
      </c>
      <c r="D1966" s="51">
        <v>100025352</v>
      </c>
      <c r="E1966" s="53" t="s">
        <v>2069</v>
      </c>
      <c r="F1966" s="124" t="s">
        <v>649</v>
      </c>
      <c r="G1966" s="124">
        <v>1</v>
      </c>
      <c r="H1966" s="369">
        <v>11.35</v>
      </c>
      <c r="I1966" s="215" t="s">
        <v>346</v>
      </c>
      <c r="J1966" s="215" t="s">
        <v>102</v>
      </c>
      <c r="K1966" s="266">
        <v>49081809799</v>
      </c>
      <c r="L1966" s="265" t="s">
        <v>649</v>
      </c>
      <c r="M1966" s="265" t="s">
        <v>649</v>
      </c>
      <c r="N1966" s="264">
        <v>0.12</v>
      </c>
      <c r="O1966" s="265" t="s">
        <v>649</v>
      </c>
      <c r="P1966" s="265" t="s">
        <v>649</v>
      </c>
      <c r="Q1966" s="265" t="s">
        <v>649</v>
      </c>
    </row>
    <row r="1967" spans="1:17" ht="15" customHeight="1">
      <c r="A1967" s="147">
        <v>2046</v>
      </c>
      <c r="B1967" s="51" t="s">
        <v>36</v>
      </c>
      <c r="C1967" s="51" t="s">
        <v>2070</v>
      </c>
      <c r="D1967" s="51">
        <v>100025353</v>
      </c>
      <c r="E1967" s="53" t="s">
        <v>2071</v>
      </c>
      <c r="F1967" s="124" t="s">
        <v>649</v>
      </c>
      <c r="G1967" s="124">
        <v>1</v>
      </c>
      <c r="H1967" s="369">
        <v>8.1</v>
      </c>
      <c r="I1967" s="215" t="s">
        <v>346</v>
      </c>
      <c r="J1967" s="215" t="s">
        <v>102</v>
      </c>
      <c r="K1967" s="266">
        <v>49081809805</v>
      </c>
      <c r="L1967" s="265" t="s">
        <v>649</v>
      </c>
      <c r="M1967" s="265" t="s">
        <v>649</v>
      </c>
      <c r="N1967" s="264">
        <v>9.4E-2</v>
      </c>
      <c r="O1967" s="265" t="s">
        <v>649</v>
      </c>
      <c r="P1967" s="265" t="s">
        <v>649</v>
      </c>
      <c r="Q1967" s="265" t="s">
        <v>649</v>
      </c>
    </row>
    <row r="1968" spans="1:17" ht="15" customHeight="1">
      <c r="A1968" s="147">
        <v>2047</v>
      </c>
      <c r="B1968" s="51" t="s">
        <v>36</v>
      </c>
      <c r="C1968" s="51" t="s">
        <v>2072</v>
      </c>
      <c r="D1968" s="51">
        <v>100025355</v>
      </c>
      <c r="E1968" s="53" t="s">
        <v>2073</v>
      </c>
      <c r="F1968" s="124" t="s">
        <v>649</v>
      </c>
      <c r="G1968" s="124">
        <v>1</v>
      </c>
      <c r="H1968" s="369">
        <v>7.9</v>
      </c>
      <c r="I1968" s="215" t="s">
        <v>346</v>
      </c>
      <c r="J1968" s="215" t="s">
        <v>102</v>
      </c>
      <c r="K1968" s="266">
        <v>49081809812</v>
      </c>
      <c r="L1968" s="265" t="s">
        <v>649</v>
      </c>
      <c r="M1968" s="265" t="s">
        <v>649</v>
      </c>
      <c r="N1968" s="264">
        <v>0.106</v>
      </c>
      <c r="O1968" s="265" t="s">
        <v>649</v>
      </c>
      <c r="P1968" s="265" t="s">
        <v>649</v>
      </c>
      <c r="Q1968" s="265" t="s">
        <v>649</v>
      </c>
    </row>
    <row r="1969" spans="1:17" ht="15" customHeight="1">
      <c r="B1969" s="51" t="s">
        <v>37</v>
      </c>
      <c r="C1969" s="51" t="s">
        <v>2152</v>
      </c>
      <c r="D1969" s="103">
        <v>100021754</v>
      </c>
      <c r="E1969" s="53" t="s">
        <v>5795</v>
      </c>
      <c r="F1969" s="124">
        <v>40</v>
      </c>
      <c r="G1969" s="124">
        <v>2800</v>
      </c>
      <c r="H1969" s="487">
        <v>7.55</v>
      </c>
      <c r="I1969" s="215" t="s">
        <v>76</v>
      </c>
      <c r="J1969" s="215" t="s">
        <v>102</v>
      </c>
      <c r="K1969" s="266">
        <v>49081006150</v>
      </c>
      <c r="L1969" s="265" t="s">
        <v>649</v>
      </c>
      <c r="M1969" s="266">
        <v>40049081006158</v>
      </c>
      <c r="N1969" s="215">
        <v>0.125</v>
      </c>
      <c r="O1969" s="265" t="s">
        <v>649</v>
      </c>
      <c r="P1969" s="215">
        <v>5.52</v>
      </c>
      <c r="Q1969" s="265" t="s">
        <v>649</v>
      </c>
    </row>
    <row r="1970" spans="1:17" ht="15" customHeight="1">
      <c r="B1970" s="51" t="s">
        <v>37</v>
      </c>
      <c r="C1970" s="51" t="s">
        <v>2154</v>
      </c>
      <c r="D1970" s="103">
        <v>100021766</v>
      </c>
      <c r="E1970" s="53" t="s">
        <v>5796</v>
      </c>
      <c r="F1970" s="124">
        <v>40</v>
      </c>
      <c r="G1970" s="124">
        <v>2000</v>
      </c>
      <c r="H1970" s="487">
        <v>7.97</v>
      </c>
      <c r="I1970" s="215" t="s">
        <v>816</v>
      </c>
      <c r="J1970" s="215" t="s">
        <v>102</v>
      </c>
      <c r="K1970" s="266">
        <v>49081006235</v>
      </c>
      <c r="L1970" s="265" t="s">
        <v>649</v>
      </c>
      <c r="M1970" s="488">
        <v>40049081006233</v>
      </c>
      <c r="N1970" s="215">
        <v>0.185</v>
      </c>
      <c r="O1970" s="265" t="s">
        <v>649</v>
      </c>
      <c r="P1970" s="215">
        <v>8.1199999999999992</v>
      </c>
      <c r="Q1970" s="265" t="s">
        <v>649</v>
      </c>
    </row>
    <row r="1971" spans="1:17" ht="15" customHeight="1">
      <c r="A1971" s="147">
        <v>2049</v>
      </c>
      <c r="B1971" s="51" t="s">
        <v>37</v>
      </c>
      <c r="C1971" s="51" t="s">
        <v>2075</v>
      </c>
      <c r="D1971" s="51">
        <v>100021772</v>
      </c>
      <c r="E1971" s="53" t="s">
        <v>2076</v>
      </c>
      <c r="F1971" s="124">
        <v>10</v>
      </c>
      <c r="G1971" s="124">
        <v>360</v>
      </c>
      <c r="H1971" s="369">
        <v>50.2</v>
      </c>
      <c r="I1971" s="215" t="s">
        <v>76</v>
      </c>
      <c r="J1971" s="215" t="s">
        <v>102</v>
      </c>
      <c r="K1971" s="266">
        <v>49081006549</v>
      </c>
      <c r="L1971" s="265" t="s">
        <v>649</v>
      </c>
      <c r="M1971" s="266">
        <v>40049081006547</v>
      </c>
      <c r="N1971" s="264">
        <v>0.91999999999999993</v>
      </c>
      <c r="O1971" s="265" t="s">
        <v>649</v>
      </c>
      <c r="P1971" s="265">
        <v>9.1999999999999993</v>
      </c>
      <c r="Q1971" s="265">
        <v>0.59</v>
      </c>
    </row>
    <row r="1972" spans="1:17" ht="15" customHeight="1">
      <c r="A1972" s="147">
        <v>2050</v>
      </c>
      <c r="B1972" s="51" t="s">
        <v>37</v>
      </c>
      <c r="C1972" s="51" t="s">
        <v>2077</v>
      </c>
      <c r="D1972" s="51">
        <v>100026140</v>
      </c>
      <c r="E1972" s="53" t="s">
        <v>2078</v>
      </c>
      <c r="F1972" s="124">
        <v>10</v>
      </c>
      <c r="G1972" s="124">
        <v>240</v>
      </c>
      <c r="H1972" s="369">
        <v>47.6</v>
      </c>
      <c r="I1972" s="215" t="s">
        <v>723</v>
      </c>
      <c r="J1972" s="215" t="s">
        <v>102</v>
      </c>
      <c r="K1972" s="266">
        <v>49081006709</v>
      </c>
      <c r="L1972" s="265" t="s">
        <v>649</v>
      </c>
      <c r="M1972" s="266">
        <v>40049081006707</v>
      </c>
      <c r="N1972" s="264">
        <v>2.35</v>
      </c>
      <c r="O1972" s="265" t="s">
        <v>649</v>
      </c>
      <c r="P1972" s="265">
        <v>23.5</v>
      </c>
      <c r="Q1972" s="265">
        <v>2.21</v>
      </c>
    </row>
    <row r="1973" spans="1:17" ht="15" customHeight="1">
      <c r="A1973" s="147">
        <v>2051</v>
      </c>
      <c r="B1973" s="51" t="s">
        <v>37</v>
      </c>
      <c r="C1973" s="51" t="s">
        <v>2079</v>
      </c>
      <c r="D1973" s="51">
        <v>100021824</v>
      </c>
      <c r="E1973" s="53" t="s">
        <v>2080</v>
      </c>
      <c r="F1973" s="124">
        <v>10</v>
      </c>
      <c r="G1973" s="124">
        <v>180</v>
      </c>
      <c r="H1973" s="369">
        <v>92.52</v>
      </c>
      <c r="I1973" s="215" t="s">
        <v>723</v>
      </c>
      <c r="J1973" s="215" t="s">
        <v>102</v>
      </c>
      <c r="K1973" s="266">
        <v>49081006884</v>
      </c>
      <c r="L1973" s="265" t="s">
        <v>649</v>
      </c>
      <c r="M1973" s="266">
        <v>40049081066886</v>
      </c>
      <c r="N1973" s="264">
        <v>3.7399999999999998</v>
      </c>
      <c r="O1973" s="265" t="s">
        <v>649</v>
      </c>
      <c r="P1973" s="265">
        <v>37.4</v>
      </c>
      <c r="Q1973" s="265">
        <v>3.93</v>
      </c>
    </row>
    <row r="1974" spans="1:17" ht="15" customHeight="1">
      <c r="A1974" s="147">
        <v>2052</v>
      </c>
      <c r="B1974" s="51" t="s">
        <v>37</v>
      </c>
      <c r="C1974" s="51" t="s">
        <v>2081</v>
      </c>
      <c r="D1974" s="51">
        <v>100021803</v>
      </c>
      <c r="E1974" s="53" t="s">
        <v>2082</v>
      </c>
      <c r="F1974" s="124">
        <v>4</v>
      </c>
      <c r="G1974" s="124">
        <v>96</v>
      </c>
      <c r="H1974" s="369">
        <v>76.5</v>
      </c>
      <c r="I1974" s="215" t="s">
        <v>76</v>
      </c>
      <c r="J1974" s="215" t="s">
        <v>102</v>
      </c>
      <c r="K1974" s="266">
        <v>49081006716</v>
      </c>
      <c r="L1974" s="265" t="s">
        <v>649</v>
      </c>
      <c r="M1974" s="266">
        <v>40049081006714</v>
      </c>
      <c r="N1974" s="264">
        <v>2.4700000000000002</v>
      </c>
      <c r="O1974" s="265" t="s">
        <v>649</v>
      </c>
      <c r="P1974" s="265">
        <v>9.8800000000000008</v>
      </c>
      <c r="Q1974" s="265">
        <v>2.21356201171875</v>
      </c>
    </row>
    <row r="1975" spans="1:17" ht="15" customHeight="1">
      <c r="A1975" s="147">
        <v>2053</v>
      </c>
      <c r="B1975" s="51" t="s">
        <v>37</v>
      </c>
      <c r="C1975" s="51" t="s">
        <v>2083</v>
      </c>
      <c r="D1975" s="51">
        <v>100021826</v>
      </c>
      <c r="E1975" s="53" t="s">
        <v>2084</v>
      </c>
      <c r="F1975" s="124">
        <v>4</v>
      </c>
      <c r="G1975" s="124">
        <v>84</v>
      </c>
      <c r="H1975" s="369">
        <v>137.69999999999999</v>
      </c>
      <c r="I1975" s="215" t="s">
        <v>76</v>
      </c>
      <c r="J1975" s="215" t="s">
        <v>102</v>
      </c>
      <c r="K1975" s="266">
        <v>49081006891</v>
      </c>
      <c r="L1975" s="265" t="s">
        <v>649</v>
      </c>
      <c r="M1975" s="266">
        <v>40049081006899</v>
      </c>
      <c r="N1975" s="264">
        <v>4.2300000000000004</v>
      </c>
      <c r="O1975" s="265" t="s">
        <v>649</v>
      </c>
      <c r="P1975" s="265">
        <v>16.920000000000002</v>
      </c>
      <c r="Q1975" s="265">
        <v>3.934959129050926</v>
      </c>
    </row>
    <row r="1976" spans="1:17" ht="15" customHeight="1">
      <c r="A1976" s="147">
        <v>2055</v>
      </c>
      <c r="B1976" s="51" t="s">
        <v>37</v>
      </c>
      <c r="C1976" s="51" t="s">
        <v>2085</v>
      </c>
      <c r="D1976" s="51">
        <v>100021831</v>
      </c>
      <c r="E1976" s="53" t="s">
        <v>2086</v>
      </c>
      <c r="F1976" s="124">
        <v>10</v>
      </c>
      <c r="G1976" s="124">
        <v>480</v>
      </c>
      <c r="H1976" s="369">
        <v>92.52</v>
      </c>
      <c r="I1976" s="215" t="s">
        <v>76</v>
      </c>
      <c r="J1976" s="215" t="s">
        <v>102</v>
      </c>
      <c r="K1976" s="266">
        <v>49081007164</v>
      </c>
      <c r="L1976" s="265" t="s">
        <v>649</v>
      </c>
      <c r="M1976" s="266">
        <v>40049081007162</v>
      </c>
      <c r="N1976" s="264">
        <v>2.5</v>
      </c>
      <c r="O1976" s="265" t="s">
        <v>649</v>
      </c>
      <c r="P1976" s="265">
        <v>25</v>
      </c>
      <c r="Q1976" s="265">
        <v>3.2452935112847223</v>
      </c>
    </row>
    <row r="1977" spans="1:17" ht="15" customHeight="1">
      <c r="A1977" s="147">
        <v>2056</v>
      </c>
      <c r="B1977" s="51" t="s">
        <v>37</v>
      </c>
      <c r="C1977" s="51" t="s">
        <v>2087</v>
      </c>
      <c r="D1977" s="51">
        <v>100021806</v>
      </c>
      <c r="E1977" s="53" t="s">
        <v>2088</v>
      </c>
      <c r="F1977" s="124">
        <v>1</v>
      </c>
      <c r="G1977" s="124">
        <v>60</v>
      </c>
      <c r="H1977" s="369">
        <v>200.83</v>
      </c>
      <c r="I1977" s="215" t="s">
        <v>76</v>
      </c>
      <c r="J1977" s="215" t="s">
        <v>102</v>
      </c>
      <c r="K1977" s="266">
        <v>49081008109</v>
      </c>
      <c r="L1977" s="265" t="s">
        <v>649</v>
      </c>
      <c r="M1977" s="266">
        <v>40049081008107</v>
      </c>
      <c r="N1977" s="264">
        <v>5.85</v>
      </c>
      <c r="O1977" s="265" t="s">
        <v>649</v>
      </c>
      <c r="P1977" s="265">
        <v>5.85</v>
      </c>
      <c r="Q1977" s="265">
        <v>0.61370510525173616</v>
      </c>
    </row>
    <row r="1978" spans="1:17" ht="15" customHeight="1">
      <c r="A1978" s="147">
        <v>2057</v>
      </c>
      <c r="B1978" s="51" t="s">
        <v>37</v>
      </c>
      <c r="C1978" s="51" t="s">
        <v>2089</v>
      </c>
      <c r="D1978" s="51">
        <v>100021830</v>
      </c>
      <c r="E1978" s="53" t="s">
        <v>2090</v>
      </c>
      <c r="F1978" s="124">
        <v>1</v>
      </c>
      <c r="G1978" s="124">
        <v>36</v>
      </c>
      <c r="H1978" s="369">
        <v>285.47000000000003</v>
      </c>
      <c r="I1978" s="215" t="s">
        <v>76</v>
      </c>
      <c r="J1978" s="215" t="s">
        <v>102</v>
      </c>
      <c r="K1978" s="266">
        <v>49081008208</v>
      </c>
      <c r="L1978" s="265" t="s">
        <v>649</v>
      </c>
      <c r="M1978" s="266">
        <v>40049081008206</v>
      </c>
      <c r="N1978" s="264">
        <v>8.8800000000000008</v>
      </c>
      <c r="O1978" s="265" t="s">
        <v>649</v>
      </c>
      <c r="P1978" s="265">
        <v>8.8800000000000008</v>
      </c>
      <c r="Q1978" s="265">
        <v>1.3052978515625</v>
      </c>
    </row>
    <row r="1979" spans="1:17" ht="15" customHeight="1">
      <c r="A1979" s="147">
        <v>2058</v>
      </c>
      <c r="B1979" s="51" t="s">
        <v>37</v>
      </c>
      <c r="C1979" s="51" t="s">
        <v>2091</v>
      </c>
      <c r="D1979" s="51">
        <v>100021817</v>
      </c>
      <c r="E1979" s="53" t="s">
        <v>2092</v>
      </c>
      <c r="F1979" s="124">
        <v>1</v>
      </c>
      <c r="G1979" s="124">
        <v>60</v>
      </c>
      <c r="H1979" s="369">
        <v>200.83</v>
      </c>
      <c r="I1979" s="215" t="s">
        <v>76</v>
      </c>
      <c r="J1979" s="215" t="s">
        <v>102</v>
      </c>
      <c r="K1979" s="266">
        <v>49081008185</v>
      </c>
      <c r="L1979" s="265" t="s">
        <v>649</v>
      </c>
      <c r="M1979" s="266">
        <v>40049081008183</v>
      </c>
      <c r="N1979" s="264">
        <v>5.85</v>
      </c>
      <c r="O1979" s="265" t="s">
        <v>649</v>
      </c>
      <c r="P1979" s="265">
        <v>5.85</v>
      </c>
      <c r="Q1979" s="265">
        <v>0.61</v>
      </c>
    </row>
    <row r="1980" spans="1:17" ht="15" customHeight="1">
      <c r="A1980" s="147">
        <v>2059</v>
      </c>
      <c r="B1980" s="51" t="s">
        <v>37</v>
      </c>
      <c r="C1980" s="51" t="s">
        <v>2093</v>
      </c>
      <c r="D1980" s="51">
        <v>100021841</v>
      </c>
      <c r="E1980" s="53" t="s">
        <v>2094</v>
      </c>
      <c r="F1980" s="124">
        <v>1</v>
      </c>
      <c r="G1980" s="124">
        <v>36</v>
      </c>
      <c r="H1980" s="369">
        <v>285.47000000000003</v>
      </c>
      <c r="I1980" s="215" t="s">
        <v>76</v>
      </c>
      <c r="J1980" s="215" t="s">
        <v>102</v>
      </c>
      <c r="K1980" s="266">
        <v>49081008246</v>
      </c>
      <c r="L1980" s="265" t="s">
        <v>649</v>
      </c>
      <c r="M1980" s="266">
        <v>40049081008244</v>
      </c>
      <c r="N1980" s="264">
        <v>8.8800000000000008</v>
      </c>
      <c r="O1980" s="265" t="s">
        <v>649</v>
      </c>
      <c r="P1980" s="265">
        <v>8.8800000000000008</v>
      </c>
      <c r="Q1980" s="265">
        <v>1.31</v>
      </c>
    </row>
    <row r="1981" spans="1:17" ht="15" customHeight="1">
      <c r="A1981" s="147">
        <v>2060</v>
      </c>
      <c r="B1981" s="51" t="s">
        <v>37</v>
      </c>
      <c r="C1981" s="51" t="s">
        <v>2095</v>
      </c>
      <c r="D1981" s="51">
        <v>100021783</v>
      </c>
      <c r="E1981" s="53" t="s">
        <v>2096</v>
      </c>
      <c r="F1981" s="124">
        <v>10</v>
      </c>
      <c r="G1981" s="124">
        <v>250</v>
      </c>
      <c r="H1981" s="369">
        <v>61.16</v>
      </c>
      <c r="I1981" s="215" t="s">
        <v>76</v>
      </c>
      <c r="J1981" s="215" t="s">
        <v>102</v>
      </c>
      <c r="K1981" s="266">
        <v>49081006396</v>
      </c>
      <c r="L1981" s="265" t="s">
        <v>649</v>
      </c>
      <c r="M1981" s="266">
        <v>40049081006394</v>
      </c>
      <c r="N1981" s="264">
        <v>1.33</v>
      </c>
      <c r="O1981" s="265" t="s">
        <v>649</v>
      </c>
      <c r="P1981" s="265">
        <v>13.3</v>
      </c>
      <c r="Q1981" s="265">
        <v>3.4531988324652785</v>
      </c>
    </row>
    <row r="1982" spans="1:17" ht="15" customHeight="1">
      <c r="A1982" s="147">
        <v>2061</v>
      </c>
      <c r="B1982" s="51" t="s">
        <v>37</v>
      </c>
      <c r="C1982" s="51" t="s">
        <v>2097</v>
      </c>
      <c r="D1982" s="51">
        <v>100021785</v>
      </c>
      <c r="E1982" s="53" t="s">
        <v>2098</v>
      </c>
      <c r="F1982" s="124">
        <v>10</v>
      </c>
      <c r="G1982" s="124">
        <v>250</v>
      </c>
      <c r="H1982" s="369">
        <v>61.16</v>
      </c>
      <c r="I1982" s="215" t="s">
        <v>76</v>
      </c>
      <c r="J1982" s="215" t="s">
        <v>102</v>
      </c>
      <c r="K1982" s="266">
        <v>49081006372</v>
      </c>
      <c r="L1982" s="265" t="s">
        <v>649</v>
      </c>
      <c r="M1982" s="266">
        <v>40049081006370</v>
      </c>
      <c r="N1982" s="264">
        <v>1.53</v>
      </c>
      <c r="O1982" s="265" t="s">
        <v>649</v>
      </c>
      <c r="P1982" s="265">
        <v>15.3</v>
      </c>
      <c r="Q1982" s="265">
        <v>3.4531988324652785</v>
      </c>
    </row>
    <row r="1983" spans="1:17" ht="15" customHeight="1">
      <c r="A1983" s="147">
        <v>2062</v>
      </c>
      <c r="B1983" s="51" t="s">
        <v>37</v>
      </c>
      <c r="C1983" s="51" t="s">
        <v>2099</v>
      </c>
      <c r="D1983" s="51">
        <v>100021804</v>
      </c>
      <c r="E1983" s="53" t="s">
        <v>2100</v>
      </c>
      <c r="F1983" s="124">
        <v>20</v>
      </c>
      <c r="G1983" s="124">
        <v>480</v>
      </c>
      <c r="H1983" s="369">
        <v>45.53</v>
      </c>
      <c r="I1983" s="215" t="s">
        <v>723</v>
      </c>
      <c r="J1983" s="215" t="s">
        <v>102</v>
      </c>
      <c r="K1983" s="266">
        <v>49081006723</v>
      </c>
      <c r="L1983" s="265" t="s">
        <v>649</v>
      </c>
      <c r="M1983" s="266">
        <v>40049081006721</v>
      </c>
      <c r="N1983" s="264">
        <v>1.0550000000000002</v>
      </c>
      <c r="O1983" s="265" t="s">
        <v>649</v>
      </c>
      <c r="P1983" s="265">
        <v>21.1</v>
      </c>
      <c r="Q1983" s="265">
        <v>1.8014810203269673</v>
      </c>
    </row>
    <row r="1984" spans="1:17" ht="15" customHeight="1">
      <c r="A1984" s="147">
        <v>2063</v>
      </c>
      <c r="B1984" s="51" t="s">
        <v>37</v>
      </c>
      <c r="C1984" s="51" t="s">
        <v>2101</v>
      </c>
      <c r="D1984" s="51">
        <v>100021828</v>
      </c>
      <c r="E1984" s="53" t="s">
        <v>2102</v>
      </c>
      <c r="F1984" s="124">
        <v>20</v>
      </c>
      <c r="G1984" s="124">
        <v>240</v>
      </c>
      <c r="H1984" s="369">
        <v>60.88</v>
      </c>
      <c r="I1984" s="215" t="s">
        <v>723</v>
      </c>
      <c r="J1984" s="215" t="s">
        <v>102</v>
      </c>
      <c r="K1984" s="266">
        <v>49081006907</v>
      </c>
      <c r="L1984" s="265" t="s">
        <v>649</v>
      </c>
      <c r="M1984" s="266">
        <v>40049081006905</v>
      </c>
      <c r="N1984" s="264">
        <v>1.6600000000000001</v>
      </c>
      <c r="O1984" s="265" t="s">
        <v>649</v>
      </c>
      <c r="P1984" s="265">
        <v>33.200000000000003</v>
      </c>
      <c r="Q1984" s="265">
        <v>3.0214289912471064</v>
      </c>
    </row>
    <row r="1985" spans="1:17" ht="15" customHeight="1">
      <c r="A1985" s="147">
        <v>2064</v>
      </c>
      <c r="B1985" s="51" t="s">
        <v>37</v>
      </c>
      <c r="C1985" s="51" t="s">
        <v>2103</v>
      </c>
      <c r="D1985" s="51">
        <v>100021781</v>
      </c>
      <c r="E1985" s="53" t="s">
        <v>2104</v>
      </c>
      <c r="F1985" s="124">
        <v>20</v>
      </c>
      <c r="G1985" s="124">
        <v>360</v>
      </c>
      <c r="H1985" s="369">
        <v>27.71</v>
      </c>
      <c r="I1985" s="215" t="s">
        <v>723</v>
      </c>
      <c r="J1985" s="215" t="s">
        <v>102</v>
      </c>
      <c r="K1985" s="266">
        <v>49081006389</v>
      </c>
      <c r="L1985" s="265" t="s">
        <v>649</v>
      </c>
      <c r="M1985" s="266">
        <v>40049081006387</v>
      </c>
      <c r="N1985" s="264">
        <v>1</v>
      </c>
      <c r="O1985" s="265" t="s">
        <v>649</v>
      </c>
      <c r="P1985" s="265">
        <v>20</v>
      </c>
      <c r="Q1985" s="265">
        <v>1.8258327907986112</v>
      </c>
    </row>
    <row r="1986" spans="1:17" ht="15" customHeight="1">
      <c r="A1986" s="147">
        <v>2065</v>
      </c>
      <c r="B1986" s="51" t="s">
        <v>37</v>
      </c>
      <c r="C1986" s="51" t="s">
        <v>2105</v>
      </c>
      <c r="D1986" s="51">
        <v>100021812</v>
      </c>
      <c r="E1986" s="53" t="s">
        <v>2106</v>
      </c>
      <c r="F1986" s="124">
        <v>20</v>
      </c>
      <c r="G1986" s="124">
        <v>800</v>
      </c>
      <c r="H1986" s="369">
        <v>20.77</v>
      </c>
      <c r="I1986" s="215" t="s">
        <v>723</v>
      </c>
      <c r="J1986" s="215" t="s">
        <v>102</v>
      </c>
      <c r="K1986" s="266">
        <v>49081006747</v>
      </c>
      <c r="L1986" s="265" t="s">
        <v>649</v>
      </c>
      <c r="M1986" s="266">
        <v>40049081006745</v>
      </c>
      <c r="N1986" s="264">
        <v>0.495</v>
      </c>
      <c r="O1986" s="265" t="s">
        <v>649</v>
      </c>
      <c r="P1986" s="265">
        <v>9.9</v>
      </c>
      <c r="Q1986" s="265">
        <v>0.81640625</v>
      </c>
    </row>
    <row r="1987" spans="1:17" ht="15" customHeight="1">
      <c r="A1987" s="147">
        <v>2066</v>
      </c>
      <c r="B1987" s="51" t="s">
        <v>37</v>
      </c>
      <c r="C1987" s="51" t="s">
        <v>2107</v>
      </c>
      <c r="D1987" s="51">
        <v>100021834</v>
      </c>
      <c r="E1987" s="53" t="s">
        <v>2108</v>
      </c>
      <c r="F1987" s="124">
        <v>20</v>
      </c>
      <c r="G1987" s="124">
        <v>640</v>
      </c>
      <c r="H1987" s="369">
        <v>22.57</v>
      </c>
      <c r="I1987" s="215" t="s">
        <v>723</v>
      </c>
      <c r="J1987" s="215" t="s">
        <v>102</v>
      </c>
      <c r="K1987" s="266">
        <v>49081006921</v>
      </c>
      <c r="L1987" s="265" t="s">
        <v>649</v>
      </c>
      <c r="M1987" s="266">
        <v>40049081006929</v>
      </c>
      <c r="N1987" s="264">
        <v>0.81500000000000006</v>
      </c>
      <c r="O1987" s="265" t="s">
        <v>649</v>
      </c>
      <c r="P1987" s="265">
        <v>16.3</v>
      </c>
      <c r="Q1987" s="265">
        <v>1.2369791666666667</v>
      </c>
    </row>
    <row r="1988" spans="1:17" ht="15" customHeight="1">
      <c r="A1988" s="147">
        <v>2068</v>
      </c>
      <c r="B1988" s="51" t="s">
        <v>37</v>
      </c>
      <c r="C1988" s="51" t="s">
        <v>2109</v>
      </c>
      <c r="D1988" s="51">
        <v>100021808</v>
      </c>
      <c r="E1988" s="53" t="s">
        <v>2110</v>
      </c>
      <c r="F1988" s="124">
        <v>20</v>
      </c>
      <c r="G1988" s="124">
        <v>800</v>
      </c>
      <c r="H1988" s="369">
        <v>21.85</v>
      </c>
      <c r="I1988" s="215" t="s">
        <v>816</v>
      </c>
      <c r="J1988" s="215" t="s">
        <v>102</v>
      </c>
      <c r="K1988" s="266">
        <v>49081007065</v>
      </c>
      <c r="L1988" s="265" t="s">
        <v>649</v>
      </c>
      <c r="M1988" s="266">
        <v>40049081007063</v>
      </c>
      <c r="N1988" s="264">
        <v>0.34500000000000003</v>
      </c>
      <c r="O1988" s="265" t="s">
        <v>649</v>
      </c>
      <c r="P1988" s="265">
        <v>6.9</v>
      </c>
      <c r="Q1988" s="265">
        <v>0.99500868055555558</v>
      </c>
    </row>
    <row r="1989" spans="1:17" ht="15" customHeight="1">
      <c r="A1989" s="147">
        <v>2069</v>
      </c>
      <c r="B1989" s="51" t="s">
        <v>37</v>
      </c>
      <c r="C1989" s="51" t="s">
        <v>2111</v>
      </c>
      <c r="D1989" s="51">
        <v>100021832</v>
      </c>
      <c r="E1989" s="53" t="s">
        <v>2112</v>
      </c>
      <c r="F1989" s="124">
        <v>20</v>
      </c>
      <c r="G1989" s="124">
        <v>960</v>
      </c>
      <c r="H1989" s="369">
        <v>23.7</v>
      </c>
      <c r="I1989" s="215" t="s">
        <v>76</v>
      </c>
      <c r="J1989" s="215" t="s">
        <v>102</v>
      </c>
      <c r="K1989" s="266">
        <v>49081007089</v>
      </c>
      <c r="L1989" s="265" t="s">
        <v>649</v>
      </c>
      <c r="M1989" s="266">
        <v>40049081007087</v>
      </c>
      <c r="N1989" s="264">
        <v>0.55000000000000004</v>
      </c>
      <c r="O1989" s="265" t="s">
        <v>649</v>
      </c>
      <c r="P1989" s="265">
        <v>11</v>
      </c>
      <c r="Q1989" s="265">
        <v>2.0654296875</v>
      </c>
    </row>
    <row r="1990" spans="1:17" ht="15" customHeight="1">
      <c r="A1990" s="147">
        <v>2070</v>
      </c>
      <c r="B1990" s="51" t="s">
        <v>37</v>
      </c>
      <c r="C1990" s="51" t="s">
        <v>2113</v>
      </c>
      <c r="D1990" s="51">
        <v>100021811</v>
      </c>
      <c r="E1990" s="53" t="s">
        <v>2114</v>
      </c>
      <c r="F1990" s="124">
        <v>10</v>
      </c>
      <c r="G1990" s="124">
        <v>640</v>
      </c>
      <c r="H1990" s="369">
        <v>69.94</v>
      </c>
      <c r="I1990" s="215" t="s">
        <v>76</v>
      </c>
      <c r="J1990" s="215" t="s">
        <v>102</v>
      </c>
      <c r="K1990" s="266">
        <v>49081006785</v>
      </c>
      <c r="L1990" s="265" t="s">
        <v>649</v>
      </c>
      <c r="M1990" s="266">
        <v>40049081006783</v>
      </c>
      <c r="N1990" s="264">
        <v>1.52</v>
      </c>
      <c r="O1990" s="265" t="s">
        <v>649</v>
      </c>
      <c r="P1990" s="265">
        <v>15.2</v>
      </c>
      <c r="Q1990" s="265">
        <v>0.60496690538194442</v>
      </c>
    </row>
    <row r="1991" spans="1:17" ht="15" customHeight="1">
      <c r="A1991" s="147">
        <v>2071</v>
      </c>
      <c r="B1991" s="51" t="s">
        <v>37</v>
      </c>
      <c r="C1991" s="51" t="s">
        <v>2115</v>
      </c>
      <c r="D1991" s="51">
        <v>100021833</v>
      </c>
      <c r="E1991" s="53" t="s">
        <v>2116</v>
      </c>
      <c r="F1991" s="124">
        <v>10</v>
      </c>
      <c r="G1991" s="124">
        <v>360</v>
      </c>
      <c r="H1991" s="369">
        <v>103.82</v>
      </c>
      <c r="I1991" s="215" t="s">
        <v>76</v>
      </c>
      <c r="J1991" s="215" t="s">
        <v>102</v>
      </c>
      <c r="K1991" s="266">
        <v>49081006945</v>
      </c>
      <c r="L1991" s="265" t="s">
        <v>649</v>
      </c>
      <c r="M1991" s="266">
        <v>40049081006943</v>
      </c>
      <c r="N1991" s="264">
        <v>2.4699999999999998</v>
      </c>
      <c r="O1991" s="265" t="s">
        <v>649</v>
      </c>
      <c r="P1991" s="265">
        <v>24.7</v>
      </c>
      <c r="Q1991" s="265">
        <v>1.0298224555121527</v>
      </c>
    </row>
    <row r="1992" spans="1:17" ht="15" customHeight="1">
      <c r="A1992" s="147">
        <v>2072</v>
      </c>
      <c r="B1992" s="51" t="s">
        <v>37</v>
      </c>
      <c r="C1992" s="51" t="s">
        <v>2117</v>
      </c>
      <c r="D1992" s="51">
        <v>100021816</v>
      </c>
      <c r="E1992" s="53" t="s">
        <v>2118</v>
      </c>
      <c r="F1992" s="124">
        <v>10</v>
      </c>
      <c r="G1992" s="124">
        <v>640</v>
      </c>
      <c r="H1992" s="369">
        <v>69.94</v>
      </c>
      <c r="I1992" s="215" t="s">
        <v>76</v>
      </c>
      <c r="J1992" s="215" t="s">
        <v>102</v>
      </c>
      <c r="K1992" s="266">
        <v>49081006792</v>
      </c>
      <c r="L1992" s="265" t="s">
        <v>649</v>
      </c>
      <c r="M1992" s="266">
        <v>40049081006790</v>
      </c>
      <c r="N1992" s="264">
        <v>1.472</v>
      </c>
      <c r="O1992" s="265" t="s">
        <v>649</v>
      </c>
      <c r="P1992" s="265">
        <v>14.72</v>
      </c>
      <c r="Q1992" s="265">
        <v>0.60496690538194442</v>
      </c>
    </row>
    <row r="1993" spans="1:17" ht="15" customHeight="1">
      <c r="A1993" s="147">
        <v>2073</v>
      </c>
      <c r="B1993" s="51" t="s">
        <v>37</v>
      </c>
      <c r="C1993" s="51" t="s">
        <v>2119</v>
      </c>
      <c r="D1993" s="51">
        <v>100021839</v>
      </c>
      <c r="E1993" s="53" t="s">
        <v>2120</v>
      </c>
      <c r="F1993" s="124">
        <v>10</v>
      </c>
      <c r="G1993" s="124">
        <v>360</v>
      </c>
      <c r="H1993" s="369">
        <v>103.82</v>
      </c>
      <c r="I1993" s="215" t="s">
        <v>76</v>
      </c>
      <c r="J1993" s="215" t="s">
        <v>102</v>
      </c>
      <c r="K1993" s="266">
        <v>49081006976</v>
      </c>
      <c r="L1993" s="265" t="s">
        <v>649</v>
      </c>
      <c r="M1993" s="266">
        <v>40049061006970</v>
      </c>
      <c r="N1993" s="264">
        <v>2.58</v>
      </c>
      <c r="O1993" s="265" t="s">
        <v>649</v>
      </c>
      <c r="P1993" s="265">
        <v>25.8</v>
      </c>
      <c r="Q1993" s="265">
        <v>1.0298224555121527</v>
      </c>
    </row>
    <row r="1994" spans="1:17" ht="15" customHeight="1">
      <c r="A1994" s="147">
        <v>2074</v>
      </c>
      <c r="B1994" s="51" t="s">
        <v>37</v>
      </c>
      <c r="C1994" s="51" t="s">
        <v>2121</v>
      </c>
      <c r="D1994" s="51">
        <v>100021819</v>
      </c>
      <c r="E1994" s="53" t="s">
        <v>2122</v>
      </c>
      <c r="F1994" s="124">
        <v>10</v>
      </c>
      <c r="G1994" s="124">
        <v>640</v>
      </c>
      <c r="H1994" s="369">
        <v>69.94</v>
      </c>
      <c r="I1994" s="215" t="s">
        <v>76</v>
      </c>
      <c r="J1994" s="215" t="s">
        <v>102</v>
      </c>
      <c r="K1994" s="266">
        <v>49081006846</v>
      </c>
      <c r="L1994" s="265" t="s">
        <v>649</v>
      </c>
      <c r="M1994" s="266">
        <v>40049081006844</v>
      </c>
      <c r="N1994" s="264">
        <v>1.49</v>
      </c>
      <c r="O1994" s="265" t="s">
        <v>649</v>
      </c>
      <c r="P1994" s="265">
        <v>14.9</v>
      </c>
      <c r="Q1994" s="265">
        <v>0.60496690538194442</v>
      </c>
    </row>
    <row r="1995" spans="1:17" ht="15" customHeight="1">
      <c r="A1995" s="147">
        <v>2075</v>
      </c>
      <c r="B1995" s="51" t="s">
        <v>37</v>
      </c>
      <c r="C1995" s="51" t="s">
        <v>2123</v>
      </c>
      <c r="D1995" s="51">
        <v>100021843</v>
      </c>
      <c r="E1995" s="53" t="s">
        <v>2116</v>
      </c>
      <c r="F1995" s="124">
        <v>10</v>
      </c>
      <c r="G1995" s="124">
        <v>360</v>
      </c>
      <c r="H1995" s="369">
        <v>103.82</v>
      </c>
      <c r="I1995" s="215" t="s">
        <v>76</v>
      </c>
      <c r="J1995" s="215" t="s">
        <v>102</v>
      </c>
      <c r="K1995" s="266">
        <v>49081006983</v>
      </c>
      <c r="L1995" s="265" t="s">
        <v>649</v>
      </c>
      <c r="M1995" s="266">
        <v>40049081006981</v>
      </c>
      <c r="N1995" s="264">
        <v>2.63</v>
      </c>
      <c r="O1995" s="265" t="s">
        <v>649</v>
      </c>
      <c r="P1995" s="265">
        <v>26.3</v>
      </c>
      <c r="Q1995" s="265">
        <v>1.0298224555121527</v>
      </c>
    </row>
    <row r="1996" spans="1:17" ht="15" customHeight="1">
      <c r="A1996" s="147">
        <v>2076</v>
      </c>
      <c r="B1996" s="51" t="s">
        <v>37</v>
      </c>
      <c r="C1996" s="51" t="s">
        <v>2124</v>
      </c>
      <c r="D1996" s="51">
        <v>100021748</v>
      </c>
      <c r="E1996" s="53" t="s">
        <v>2125</v>
      </c>
      <c r="F1996" s="124">
        <v>40</v>
      </c>
      <c r="G1996" s="124">
        <v>2400</v>
      </c>
      <c r="H1996" s="369">
        <v>17.59</v>
      </c>
      <c r="I1996" s="215" t="s">
        <v>76</v>
      </c>
      <c r="J1996" s="215" t="s">
        <v>102</v>
      </c>
      <c r="K1996" s="266">
        <v>49081006129</v>
      </c>
      <c r="L1996" s="265" t="s">
        <v>649</v>
      </c>
      <c r="M1996" s="266">
        <v>40049081006127</v>
      </c>
      <c r="N1996" s="264">
        <v>0.16250000000000001</v>
      </c>
      <c r="O1996" s="265" t="s">
        <v>649</v>
      </c>
      <c r="P1996" s="265">
        <v>6.5</v>
      </c>
      <c r="Q1996" s="265">
        <v>0.149169921875</v>
      </c>
    </row>
    <row r="1997" spans="1:17" ht="15" customHeight="1">
      <c r="A1997" s="147">
        <v>2077</v>
      </c>
      <c r="B1997" s="51" t="s">
        <v>37</v>
      </c>
      <c r="C1997" s="51" t="s">
        <v>2126</v>
      </c>
      <c r="D1997" s="51">
        <v>100021758</v>
      </c>
      <c r="E1997" s="53" t="s">
        <v>2127</v>
      </c>
      <c r="F1997" s="124">
        <v>40</v>
      </c>
      <c r="G1997" s="124">
        <v>1280</v>
      </c>
      <c r="H1997" s="369">
        <v>26.57</v>
      </c>
      <c r="I1997" s="215" t="s">
        <v>76</v>
      </c>
      <c r="J1997" s="215" t="s">
        <v>102</v>
      </c>
      <c r="K1997" s="266">
        <v>49081006204</v>
      </c>
      <c r="L1997" s="265" t="s">
        <v>649</v>
      </c>
      <c r="M1997" s="266">
        <v>40049081006202</v>
      </c>
      <c r="N1997" s="264">
        <v>0.23749999999999999</v>
      </c>
      <c r="O1997" s="265" t="s">
        <v>649</v>
      </c>
      <c r="P1997" s="265">
        <v>9.5</v>
      </c>
      <c r="Q1997" s="265">
        <v>1.0378175646250001</v>
      </c>
    </row>
    <row r="1998" spans="1:17" ht="15" customHeight="1">
      <c r="A1998" s="147">
        <v>2078</v>
      </c>
      <c r="B1998" s="51" t="s">
        <v>37</v>
      </c>
      <c r="C1998" s="51" t="s">
        <v>2128</v>
      </c>
      <c r="D1998" s="51">
        <v>100021779</v>
      </c>
      <c r="E1998" s="53" t="s">
        <v>2129</v>
      </c>
      <c r="F1998" s="124">
        <v>40</v>
      </c>
      <c r="G1998" s="124">
        <v>480</v>
      </c>
      <c r="H1998" s="369">
        <v>35.69</v>
      </c>
      <c r="I1998" s="215" t="s">
        <v>76</v>
      </c>
      <c r="J1998" s="215" t="s">
        <v>102</v>
      </c>
      <c r="K1998" s="266">
        <v>49081006365</v>
      </c>
      <c r="L1998" s="265" t="s">
        <v>649</v>
      </c>
      <c r="M1998" s="266">
        <v>40049081006363</v>
      </c>
      <c r="N1998" s="264">
        <v>0.62750000000000006</v>
      </c>
      <c r="O1998" s="265" t="s">
        <v>649</v>
      </c>
      <c r="P1998" s="265">
        <v>25.1</v>
      </c>
      <c r="Q1998" s="265">
        <v>2.27</v>
      </c>
    </row>
    <row r="1999" spans="1:17" ht="15" customHeight="1">
      <c r="A1999" s="147">
        <v>2079</v>
      </c>
      <c r="B1999" s="51" t="s">
        <v>37</v>
      </c>
      <c r="C1999" s="51" t="s">
        <v>2130</v>
      </c>
      <c r="D1999" s="51">
        <v>100026139</v>
      </c>
      <c r="E1999" s="53" t="s">
        <v>2131</v>
      </c>
      <c r="F1999" s="124">
        <v>10</v>
      </c>
      <c r="G1999" s="124">
        <v>600</v>
      </c>
      <c r="H1999" s="369">
        <v>80.7</v>
      </c>
      <c r="I1999" s="215" t="s">
        <v>723</v>
      </c>
      <c r="J1999" s="215" t="s">
        <v>102</v>
      </c>
      <c r="K1999" s="266">
        <v>49081006686</v>
      </c>
      <c r="L1999" s="265" t="s">
        <v>649</v>
      </c>
      <c r="M1999" s="266">
        <v>40049081006684</v>
      </c>
      <c r="N1999" s="264">
        <v>1.1499999999999999</v>
      </c>
      <c r="O1999" s="265" t="s">
        <v>649</v>
      </c>
      <c r="P1999" s="265">
        <v>11.5</v>
      </c>
      <c r="Q1999" s="265">
        <v>0.72479248046875</v>
      </c>
    </row>
    <row r="2000" spans="1:17" ht="15" customHeight="1">
      <c r="A2000" s="147">
        <v>2080</v>
      </c>
      <c r="B2000" s="51" t="s">
        <v>37</v>
      </c>
      <c r="C2000" s="51" t="s">
        <v>2132</v>
      </c>
      <c r="D2000" s="51">
        <v>100021823</v>
      </c>
      <c r="E2000" s="53" t="s">
        <v>2133</v>
      </c>
      <c r="F2000" s="124">
        <v>10</v>
      </c>
      <c r="G2000" s="124">
        <v>270</v>
      </c>
      <c r="H2000" s="369">
        <v>119.81</v>
      </c>
      <c r="I2000" s="215" t="s">
        <v>76</v>
      </c>
      <c r="J2000" s="215" t="s">
        <v>102</v>
      </c>
      <c r="K2000" s="266">
        <v>49081006860</v>
      </c>
      <c r="L2000" s="265" t="s">
        <v>649</v>
      </c>
      <c r="M2000" s="266">
        <v>40049081006868</v>
      </c>
      <c r="N2000" s="264">
        <v>1.77</v>
      </c>
      <c r="O2000" s="265" t="s">
        <v>649</v>
      </c>
      <c r="P2000" s="265">
        <v>17.7</v>
      </c>
      <c r="Q2000" s="265">
        <v>1.35821533203125</v>
      </c>
    </row>
    <row r="2001" spans="1:17" ht="15" customHeight="1">
      <c r="A2001" s="147">
        <v>2081</v>
      </c>
      <c r="B2001" s="51" t="s">
        <v>37</v>
      </c>
      <c r="C2001" s="51" t="s">
        <v>2134</v>
      </c>
      <c r="D2001" s="51">
        <v>100021752</v>
      </c>
      <c r="E2001" s="53" t="s">
        <v>2135</v>
      </c>
      <c r="F2001" s="124">
        <v>40</v>
      </c>
      <c r="G2001" s="124">
        <v>2400</v>
      </c>
      <c r="H2001" s="369">
        <v>17.59</v>
      </c>
      <c r="I2001" s="215" t="s">
        <v>76</v>
      </c>
      <c r="J2001" s="215" t="s">
        <v>102</v>
      </c>
      <c r="K2001" s="266">
        <v>49081006136</v>
      </c>
      <c r="L2001" s="265" t="s">
        <v>649</v>
      </c>
      <c r="M2001" s="266">
        <v>40049081006134</v>
      </c>
      <c r="N2001" s="264">
        <v>0.16</v>
      </c>
      <c r="O2001" s="265" t="s">
        <v>649</v>
      </c>
      <c r="P2001" s="265">
        <v>6.4</v>
      </c>
      <c r="Q2001" s="265">
        <v>0.149169921875</v>
      </c>
    </row>
    <row r="2002" spans="1:17" ht="15" customHeight="1">
      <c r="A2002" s="147">
        <v>2086</v>
      </c>
      <c r="B2002" s="51" t="s">
        <v>37</v>
      </c>
      <c r="C2002" s="51" t="s">
        <v>2136</v>
      </c>
      <c r="D2002" s="51">
        <v>100021768</v>
      </c>
      <c r="E2002" s="53" t="s">
        <v>2137</v>
      </c>
      <c r="F2002" s="124">
        <v>40</v>
      </c>
      <c r="G2002" s="124">
        <v>1280</v>
      </c>
      <c r="H2002" s="369">
        <v>26.57</v>
      </c>
      <c r="I2002" s="215" t="s">
        <v>723</v>
      </c>
      <c r="J2002" s="215" t="s">
        <v>102</v>
      </c>
      <c r="K2002" s="266">
        <v>49081006266</v>
      </c>
      <c r="L2002" s="265" t="s">
        <v>649</v>
      </c>
      <c r="M2002" s="266">
        <v>40049081006264</v>
      </c>
      <c r="N2002" s="264">
        <v>0.24500000000000002</v>
      </c>
      <c r="O2002" s="265" t="s">
        <v>649</v>
      </c>
      <c r="P2002" s="265">
        <v>9.8000000000000007</v>
      </c>
      <c r="Q2002" s="265">
        <v>1.0378175646250001</v>
      </c>
    </row>
    <row r="2003" spans="1:17" ht="15" customHeight="1">
      <c r="A2003" s="147">
        <v>2087</v>
      </c>
      <c r="B2003" s="51" t="s">
        <v>37</v>
      </c>
      <c r="C2003" s="51" t="s">
        <v>2138</v>
      </c>
      <c r="D2003" s="51">
        <v>100021795</v>
      </c>
      <c r="E2003" s="53" t="s">
        <v>2139</v>
      </c>
      <c r="F2003" s="124">
        <v>40</v>
      </c>
      <c r="G2003" s="124">
        <v>480</v>
      </c>
      <c r="H2003" s="369">
        <v>35.69</v>
      </c>
      <c r="I2003" s="215" t="s">
        <v>76</v>
      </c>
      <c r="J2003" s="215" t="s">
        <v>102</v>
      </c>
      <c r="K2003" s="266">
        <v>49081006488</v>
      </c>
      <c r="L2003" s="265" t="s">
        <v>649</v>
      </c>
      <c r="M2003" s="266">
        <v>40049081006486</v>
      </c>
      <c r="N2003" s="264">
        <v>0.62750000000000006</v>
      </c>
      <c r="O2003" s="265" t="s">
        <v>649</v>
      </c>
      <c r="P2003" s="265">
        <v>25.1</v>
      </c>
      <c r="Q2003" s="265">
        <v>2.5029500325520835</v>
      </c>
    </row>
    <row r="2004" spans="1:17" ht="15" customHeight="1">
      <c r="A2004" s="147">
        <v>2088</v>
      </c>
      <c r="B2004" s="51" t="s">
        <v>37</v>
      </c>
      <c r="C2004" s="51" t="s">
        <v>2140</v>
      </c>
      <c r="D2004" s="51">
        <v>100026141</v>
      </c>
      <c r="E2004" s="53" t="s">
        <v>2141</v>
      </c>
      <c r="F2004" s="124">
        <v>10</v>
      </c>
      <c r="G2004" s="124">
        <v>600</v>
      </c>
      <c r="H2004" s="369">
        <v>80.7</v>
      </c>
      <c r="I2004" s="215" t="s">
        <v>76</v>
      </c>
      <c r="J2004" s="215" t="s">
        <v>102</v>
      </c>
      <c r="K2004" s="266">
        <v>49081006808</v>
      </c>
      <c r="L2004" s="265" t="s">
        <v>649</v>
      </c>
      <c r="M2004" s="266">
        <v>40049081006806</v>
      </c>
      <c r="N2004" s="264">
        <v>1.1800000000000002</v>
      </c>
      <c r="O2004" s="265" t="s">
        <v>649</v>
      </c>
      <c r="P2004" s="265">
        <v>11.8</v>
      </c>
      <c r="Q2004" s="265">
        <v>0.72479248046875</v>
      </c>
    </row>
    <row r="2005" spans="1:17" ht="15" customHeight="1">
      <c r="A2005" s="147">
        <v>2089</v>
      </c>
      <c r="B2005" s="51" t="s">
        <v>37</v>
      </c>
      <c r="C2005" s="51" t="s">
        <v>2142</v>
      </c>
      <c r="D2005" s="51">
        <v>100021840</v>
      </c>
      <c r="E2005" s="53" t="s">
        <v>2143</v>
      </c>
      <c r="F2005" s="124">
        <v>10</v>
      </c>
      <c r="G2005" s="124">
        <v>270</v>
      </c>
      <c r="H2005" s="369">
        <v>119.81</v>
      </c>
      <c r="I2005" s="215" t="s">
        <v>76</v>
      </c>
      <c r="J2005" s="215" t="s">
        <v>102</v>
      </c>
      <c r="K2005" s="266">
        <v>49081006969</v>
      </c>
      <c r="L2005" s="265" t="s">
        <v>649</v>
      </c>
      <c r="M2005" s="266">
        <v>40049081006967</v>
      </c>
      <c r="N2005" s="264">
        <v>1.77</v>
      </c>
      <c r="O2005" s="265" t="s">
        <v>649</v>
      </c>
      <c r="P2005" s="265">
        <v>17.7</v>
      </c>
      <c r="Q2005" s="265">
        <v>1.35821533203125</v>
      </c>
    </row>
    <row r="2006" spans="1:17" ht="15" customHeight="1">
      <c r="A2006" s="147">
        <v>2090</v>
      </c>
      <c r="B2006" s="51" t="s">
        <v>37</v>
      </c>
      <c r="C2006" s="51" t="s">
        <v>2144</v>
      </c>
      <c r="D2006" s="51">
        <v>100021750</v>
      </c>
      <c r="E2006" s="53" t="s">
        <v>2145</v>
      </c>
      <c r="F2006" s="124">
        <v>40</v>
      </c>
      <c r="G2006" s="124">
        <v>2880</v>
      </c>
      <c r="H2006" s="369">
        <v>7.54</v>
      </c>
      <c r="I2006" s="215" t="s">
        <v>76</v>
      </c>
      <c r="J2006" s="215" t="s">
        <v>102</v>
      </c>
      <c r="K2006" s="266">
        <v>49081006143</v>
      </c>
      <c r="L2006" s="265" t="s">
        <v>649</v>
      </c>
      <c r="M2006" s="266">
        <v>40049081006141</v>
      </c>
      <c r="N2006" s="264">
        <v>0.13250000000000001</v>
      </c>
      <c r="O2006" s="265" t="s">
        <v>649</v>
      </c>
      <c r="P2006" s="265">
        <v>5.3</v>
      </c>
      <c r="Q2006" s="265">
        <v>0.54151454897280094</v>
      </c>
    </row>
    <row r="2007" spans="1:17" ht="15" customHeight="1">
      <c r="A2007" s="147">
        <v>2091</v>
      </c>
      <c r="B2007" s="51" t="s">
        <v>37</v>
      </c>
      <c r="C2007" s="51" t="s">
        <v>2146</v>
      </c>
      <c r="D2007" s="51">
        <v>100021760</v>
      </c>
      <c r="E2007" s="53" t="s">
        <v>2147</v>
      </c>
      <c r="F2007" s="124">
        <v>40</v>
      </c>
      <c r="G2007" s="124">
        <v>2000</v>
      </c>
      <c r="H2007" s="369">
        <v>7.97</v>
      </c>
      <c r="I2007" s="215" t="s">
        <v>76</v>
      </c>
      <c r="J2007" s="215" t="s">
        <v>102</v>
      </c>
      <c r="K2007" s="266">
        <v>49081006228</v>
      </c>
      <c r="L2007" s="265" t="s">
        <v>649</v>
      </c>
      <c r="M2007" s="266">
        <v>40049081006226</v>
      </c>
      <c r="N2007" s="264">
        <v>0.20249999999999999</v>
      </c>
      <c r="O2007" s="265" t="s">
        <v>649</v>
      </c>
      <c r="P2007" s="265">
        <v>8.1</v>
      </c>
      <c r="Q2007" s="265">
        <v>0.79843749999999991</v>
      </c>
    </row>
    <row r="2008" spans="1:17" ht="15" customHeight="1">
      <c r="A2008" s="147">
        <v>2092</v>
      </c>
      <c r="B2008" s="51" t="s">
        <v>37</v>
      </c>
      <c r="C2008" s="51" t="s">
        <v>2148</v>
      </c>
      <c r="D2008" s="51">
        <v>100021787</v>
      </c>
      <c r="E2008" s="53" t="s">
        <v>2149</v>
      </c>
      <c r="F2008" s="124">
        <v>10</v>
      </c>
      <c r="G2008" s="124">
        <v>600</v>
      </c>
      <c r="H2008" s="369">
        <v>22.29</v>
      </c>
      <c r="I2008" s="215" t="s">
        <v>76</v>
      </c>
      <c r="J2008" s="215" t="s">
        <v>102</v>
      </c>
      <c r="K2008" s="266">
        <v>49081006426</v>
      </c>
      <c r="L2008" s="265" t="s">
        <v>649</v>
      </c>
      <c r="M2008" s="266">
        <v>40049081006424</v>
      </c>
      <c r="N2008" s="264">
        <v>0.63</v>
      </c>
      <c r="O2008" s="265" t="s">
        <v>649</v>
      </c>
      <c r="P2008" s="265">
        <v>6.3</v>
      </c>
      <c r="Q2008" s="265">
        <v>0.589691162109375</v>
      </c>
    </row>
    <row r="2009" spans="1:17" ht="15" customHeight="1">
      <c r="A2009" s="147">
        <v>2093</v>
      </c>
      <c r="B2009" s="51" t="s">
        <v>37</v>
      </c>
      <c r="C2009" s="51" t="s">
        <v>2150</v>
      </c>
      <c r="D2009" s="51">
        <v>100021799</v>
      </c>
      <c r="E2009" s="53" t="s">
        <v>2151</v>
      </c>
      <c r="F2009" s="124">
        <v>10</v>
      </c>
      <c r="G2009" s="124">
        <v>400</v>
      </c>
      <c r="H2009" s="369">
        <v>23.48</v>
      </c>
      <c r="I2009" s="215" t="s">
        <v>76</v>
      </c>
      <c r="J2009" s="215" t="s">
        <v>102</v>
      </c>
      <c r="K2009" s="266">
        <v>49081006600</v>
      </c>
      <c r="L2009" s="265" t="s">
        <v>649</v>
      </c>
      <c r="M2009" s="266">
        <v>40049081006608</v>
      </c>
      <c r="N2009" s="264">
        <v>0.71</v>
      </c>
      <c r="O2009" s="265" t="s">
        <v>649</v>
      </c>
      <c r="P2009" s="265">
        <v>7.1</v>
      </c>
      <c r="Q2009" s="265">
        <v>0.83900960286458337</v>
      </c>
    </row>
    <row r="2010" spans="1:17" ht="15" customHeight="1">
      <c r="A2010" s="147">
        <v>2095</v>
      </c>
      <c r="B2010" s="51" t="s">
        <v>37</v>
      </c>
      <c r="C2010" s="51" t="s">
        <v>2152</v>
      </c>
      <c r="D2010" s="51">
        <v>100021757</v>
      </c>
      <c r="E2010" s="53" t="s">
        <v>2153</v>
      </c>
      <c r="F2010" s="124">
        <v>40</v>
      </c>
      <c r="G2010" s="124">
        <v>2880</v>
      </c>
      <c r="H2010" s="369">
        <v>7.54</v>
      </c>
      <c r="I2010" s="215" t="s">
        <v>76</v>
      </c>
      <c r="J2010" s="215" t="s">
        <v>102</v>
      </c>
      <c r="K2010" s="266">
        <v>49081006181</v>
      </c>
      <c r="L2010" s="265" t="s">
        <v>649</v>
      </c>
      <c r="M2010" s="266">
        <v>40049081006189</v>
      </c>
      <c r="N2010" s="264">
        <v>0.14250000000000002</v>
      </c>
      <c r="O2010" s="265" t="s">
        <v>649</v>
      </c>
      <c r="P2010" s="265">
        <v>5.7</v>
      </c>
      <c r="Q2010" s="265">
        <v>0.54151454897280094</v>
      </c>
    </row>
    <row r="2011" spans="1:17" ht="15" customHeight="1">
      <c r="A2011" s="147">
        <v>2096</v>
      </c>
      <c r="B2011" s="51" t="s">
        <v>37</v>
      </c>
      <c r="C2011" s="51" t="s">
        <v>2154</v>
      </c>
      <c r="D2011" s="51">
        <v>100021757</v>
      </c>
      <c r="E2011" s="53" t="s">
        <v>2155</v>
      </c>
      <c r="F2011" s="124">
        <v>40</v>
      </c>
      <c r="G2011" s="124">
        <v>2000</v>
      </c>
      <c r="H2011" s="369">
        <v>7.54</v>
      </c>
      <c r="I2011" s="215" t="s">
        <v>76</v>
      </c>
      <c r="J2011" s="215" t="s">
        <v>102</v>
      </c>
      <c r="K2011" s="266">
        <v>49081006181</v>
      </c>
      <c r="L2011" s="265" t="s">
        <v>649</v>
      </c>
      <c r="M2011" s="266">
        <v>40049081006189</v>
      </c>
      <c r="N2011" s="264">
        <v>0.20249999999999999</v>
      </c>
      <c r="O2011" s="265" t="s">
        <v>649</v>
      </c>
      <c r="P2011" s="265">
        <v>8.1</v>
      </c>
      <c r="Q2011" s="265">
        <v>0.79843749999999991</v>
      </c>
    </row>
    <row r="2012" spans="1:17" ht="15" customHeight="1">
      <c r="A2012" s="147">
        <v>2098</v>
      </c>
      <c r="B2012" s="51" t="s">
        <v>37</v>
      </c>
      <c r="C2012" s="51" t="s">
        <v>2156</v>
      </c>
      <c r="D2012" s="51">
        <v>100021757</v>
      </c>
      <c r="E2012" s="53" t="s">
        <v>2157</v>
      </c>
      <c r="F2012" s="124">
        <v>40</v>
      </c>
      <c r="G2012" s="124">
        <v>2880</v>
      </c>
      <c r="H2012" s="369">
        <v>7.54</v>
      </c>
      <c r="I2012" s="215" t="s">
        <v>76</v>
      </c>
      <c r="J2012" s="215" t="s">
        <v>102</v>
      </c>
      <c r="K2012" s="266">
        <v>49081006181</v>
      </c>
      <c r="L2012" s="265" t="s">
        <v>649</v>
      </c>
      <c r="M2012" s="266">
        <v>40049081006189</v>
      </c>
      <c r="N2012" s="264">
        <v>0.14250000000000002</v>
      </c>
      <c r="O2012" s="265" t="s">
        <v>649</v>
      </c>
      <c r="P2012" s="265">
        <v>5.7</v>
      </c>
      <c r="Q2012" s="265">
        <v>0.54151454897280094</v>
      </c>
    </row>
    <row r="2013" spans="1:17" ht="15" customHeight="1">
      <c r="A2013" s="147">
        <v>2099</v>
      </c>
      <c r="B2013" s="51" t="s">
        <v>37</v>
      </c>
      <c r="C2013" s="51" t="s">
        <v>2158</v>
      </c>
      <c r="D2013" s="51">
        <v>100021770</v>
      </c>
      <c r="E2013" s="53" t="s">
        <v>2159</v>
      </c>
      <c r="F2013" s="124">
        <v>40</v>
      </c>
      <c r="G2013" s="124">
        <v>2000</v>
      </c>
      <c r="H2013" s="369">
        <v>7.97</v>
      </c>
      <c r="I2013" s="215" t="s">
        <v>723</v>
      </c>
      <c r="J2013" s="215" t="s">
        <v>102</v>
      </c>
      <c r="K2013" s="266">
        <v>49081006280</v>
      </c>
      <c r="L2013" s="265" t="s">
        <v>649</v>
      </c>
      <c r="M2013" s="266">
        <v>40049081006288</v>
      </c>
      <c r="N2013" s="264">
        <v>0.21249999999999999</v>
      </c>
      <c r="O2013" s="265" t="s">
        <v>649</v>
      </c>
      <c r="P2013" s="265">
        <v>8.5</v>
      </c>
      <c r="Q2013" s="265">
        <v>0.79843749999999991</v>
      </c>
    </row>
    <row r="2014" spans="1:17" ht="15" customHeight="1">
      <c r="A2014" s="147">
        <v>2100</v>
      </c>
      <c r="B2014" s="51" t="s">
        <v>37</v>
      </c>
      <c r="C2014" s="51" t="s">
        <v>2160</v>
      </c>
      <c r="D2014" s="51">
        <v>100021796</v>
      </c>
      <c r="E2014" s="53" t="s">
        <v>2161</v>
      </c>
      <c r="F2014" s="124">
        <v>10</v>
      </c>
      <c r="G2014" s="124">
        <v>600</v>
      </c>
      <c r="H2014" s="369">
        <v>22.29</v>
      </c>
      <c r="I2014" s="215" t="s">
        <v>723</v>
      </c>
      <c r="J2014" s="215" t="s">
        <v>102</v>
      </c>
      <c r="K2014" s="266">
        <v>49081006501</v>
      </c>
      <c r="L2014" s="265" t="s">
        <v>649</v>
      </c>
      <c r="M2014" s="266">
        <v>40049081006509</v>
      </c>
      <c r="N2014" s="264">
        <v>0.64</v>
      </c>
      <c r="O2014" s="265" t="s">
        <v>649</v>
      </c>
      <c r="P2014" s="265">
        <v>6.4</v>
      </c>
      <c r="Q2014" s="265">
        <v>0.589691162109375</v>
      </c>
    </row>
    <row r="2015" spans="1:17" ht="15" customHeight="1">
      <c r="A2015" s="147">
        <v>2101</v>
      </c>
      <c r="B2015" s="51" t="s">
        <v>37</v>
      </c>
      <c r="C2015" s="51" t="s">
        <v>2162</v>
      </c>
      <c r="D2015" s="51">
        <v>100021800</v>
      </c>
      <c r="E2015" s="53" t="s">
        <v>2163</v>
      </c>
      <c r="F2015" s="124">
        <v>10</v>
      </c>
      <c r="G2015" s="124">
        <v>400</v>
      </c>
      <c r="H2015" s="369">
        <v>23.48</v>
      </c>
      <c r="I2015" s="215" t="s">
        <v>76</v>
      </c>
      <c r="J2015" s="215" t="s">
        <v>102</v>
      </c>
      <c r="K2015" s="266">
        <v>49081006648</v>
      </c>
      <c r="L2015" s="265" t="s">
        <v>649</v>
      </c>
      <c r="M2015" s="266">
        <v>40049081006646</v>
      </c>
      <c r="N2015" s="264">
        <v>0.67999999999999994</v>
      </c>
      <c r="O2015" s="265" t="s">
        <v>649</v>
      </c>
      <c r="P2015" s="265">
        <v>6.8</v>
      </c>
      <c r="Q2015" s="265">
        <v>0.84</v>
      </c>
    </row>
    <row r="2016" spans="1:17" ht="15" customHeight="1">
      <c r="A2016" s="147">
        <v>2104</v>
      </c>
      <c r="B2016" s="51" t="s">
        <v>37</v>
      </c>
      <c r="C2016" s="51" t="s">
        <v>2164</v>
      </c>
      <c r="D2016" s="51">
        <v>100021774</v>
      </c>
      <c r="E2016" s="53" t="s">
        <v>2165</v>
      </c>
      <c r="F2016" s="124">
        <v>20</v>
      </c>
      <c r="G2016" s="124">
        <v>1600</v>
      </c>
      <c r="H2016" s="369">
        <v>10.3</v>
      </c>
      <c r="I2016" s="215" t="s">
        <v>76</v>
      </c>
      <c r="J2016" s="215" t="s">
        <v>102</v>
      </c>
      <c r="K2016" s="266">
        <v>49081006327</v>
      </c>
      <c r="L2016" s="265" t="s">
        <v>649</v>
      </c>
      <c r="M2016" s="266">
        <v>40049081006325</v>
      </c>
      <c r="N2016" s="264">
        <v>0.27</v>
      </c>
      <c r="O2016" s="265" t="s">
        <v>649</v>
      </c>
      <c r="P2016" s="265">
        <v>5.4</v>
      </c>
      <c r="Q2016" s="265">
        <v>0.5271447753906251</v>
      </c>
    </row>
    <row r="2017" spans="1:17" ht="15" customHeight="1">
      <c r="A2017" s="147">
        <v>2110</v>
      </c>
      <c r="B2017" s="51" t="s">
        <v>37</v>
      </c>
      <c r="C2017" s="51" t="s">
        <v>2166</v>
      </c>
      <c r="D2017" s="51">
        <v>100021776</v>
      </c>
      <c r="E2017" s="53" t="s">
        <v>2167</v>
      </c>
      <c r="F2017" s="124">
        <v>20</v>
      </c>
      <c r="G2017" s="124">
        <v>1600</v>
      </c>
      <c r="H2017" s="369">
        <v>10.3</v>
      </c>
      <c r="I2017" s="215" t="s">
        <v>76</v>
      </c>
      <c r="J2017" s="215" t="s">
        <v>102</v>
      </c>
      <c r="K2017" s="266">
        <v>49081006334</v>
      </c>
      <c r="L2017" s="265" t="s">
        <v>649</v>
      </c>
      <c r="M2017" s="266">
        <v>40049081006332</v>
      </c>
      <c r="N2017" s="264">
        <v>0.27</v>
      </c>
      <c r="O2017" s="265" t="s">
        <v>649</v>
      </c>
      <c r="P2017" s="265">
        <v>5.4</v>
      </c>
      <c r="Q2017" s="265">
        <v>0.5271447753906251</v>
      </c>
    </row>
    <row r="2018" spans="1:17" ht="15" customHeight="1">
      <c r="A2018" s="147">
        <v>2111</v>
      </c>
      <c r="B2018" s="51" t="s">
        <v>37</v>
      </c>
      <c r="C2018" s="51" t="s">
        <v>2168</v>
      </c>
      <c r="D2018" s="51">
        <v>100021794</v>
      </c>
      <c r="E2018" s="53" t="s">
        <v>2169</v>
      </c>
      <c r="F2018" s="124">
        <v>10</v>
      </c>
      <c r="G2018" s="124">
        <v>960</v>
      </c>
      <c r="H2018" s="369">
        <v>15.75</v>
      </c>
      <c r="I2018" s="215" t="s">
        <v>76</v>
      </c>
      <c r="J2018" s="215" t="s">
        <v>102</v>
      </c>
      <c r="K2018" s="266">
        <v>49081006457</v>
      </c>
      <c r="L2018" s="265" t="s">
        <v>649</v>
      </c>
      <c r="M2018" s="266">
        <v>40049081006455</v>
      </c>
      <c r="N2018" s="264">
        <v>0.47450000000000003</v>
      </c>
      <c r="O2018" s="265" t="s">
        <v>649</v>
      </c>
      <c r="P2018" s="265">
        <v>4.7450000000000001</v>
      </c>
      <c r="Q2018" s="265">
        <v>0.45638462890624998</v>
      </c>
    </row>
    <row r="2019" spans="1:17" ht="15" customHeight="1">
      <c r="A2019" s="147">
        <v>2114</v>
      </c>
      <c r="B2019" s="51" t="s">
        <v>37</v>
      </c>
      <c r="C2019" s="51" t="s">
        <v>2170</v>
      </c>
      <c r="D2019" s="51">
        <v>100021777</v>
      </c>
      <c r="E2019" s="53" t="s">
        <v>2171</v>
      </c>
      <c r="F2019" s="124">
        <v>20</v>
      </c>
      <c r="G2019" s="124">
        <v>1600</v>
      </c>
      <c r="H2019" s="369">
        <v>10.3</v>
      </c>
      <c r="I2019" s="215" t="s">
        <v>723</v>
      </c>
      <c r="J2019" s="215" t="s">
        <v>102</v>
      </c>
      <c r="K2019" s="266">
        <v>49081006341</v>
      </c>
      <c r="L2019" s="265" t="s">
        <v>649</v>
      </c>
      <c r="M2019" s="266">
        <v>40049081006349</v>
      </c>
      <c r="N2019" s="264">
        <v>0.26500000000000001</v>
      </c>
      <c r="O2019" s="265" t="s">
        <v>649</v>
      </c>
      <c r="P2019" s="265">
        <v>5.3</v>
      </c>
      <c r="Q2019" s="265">
        <v>0.5271447753906251</v>
      </c>
    </row>
    <row r="2020" spans="1:17" ht="15" customHeight="1">
      <c r="A2020" s="147">
        <v>2118</v>
      </c>
      <c r="B2020" s="51" t="s">
        <v>37</v>
      </c>
      <c r="C2020" s="51" t="s">
        <v>2172</v>
      </c>
      <c r="D2020" s="51">
        <v>100021818</v>
      </c>
      <c r="E2020" s="53" t="s">
        <v>2173</v>
      </c>
      <c r="F2020" s="124">
        <v>10</v>
      </c>
      <c r="G2020" s="124">
        <v>320</v>
      </c>
      <c r="H2020" s="369">
        <v>38.46</v>
      </c>
      <c r="I2020" s="215" t="s">
        <v>346</v>
      </c>
      <c r="J2020" s="215" t="s">
        <v>102</v>
      </c>
      <c r="K2020" s="266">
        <v>49081006822</v>
      </c>
      <c r="L2020" s="265" t="s">
        <v>649</v>
      </c>
      <c r="M2020" s="266">
        <v>40049081006820</v>
      </c>
      <c r="N2020" s="264">
        <v>1.27</v>
      </c>
      <c r="O2020" s="265" t="s">
        <v>649</v>
      </c>
      <c r="P2020" s="265">
        <v>12.7</v>
      </c>
      <c r="Q2020" s="265">
        <v>1.2166341145833333</v>
      </c>
    </row>
    <row r="2021" spans="1:17" ht="15" customHeight="1">
      <c r="A2021" s="147">
        <v>2119</v>
      </c>
      <c r="B2021" s="51" t="s">
        <v>37</v>
      </c>
      <c r="C2021" s="51" t="s">
        <v>2174</v>
      </c>
      <c r="D2021" s="51">
        <v>100021813</v>
      </c>
      <c r="E2021" s="53" t="s">
        <v>2175</v>
      </c>
      <c r="F2021" s="124">
        <v>10</v>
      </c>
      <c r="G2021" s="124">
        <v>600</v>
      </c>
      <c r="H2021" s="369">
        <v>84.73</v>
      </c>
      <c r="I2021" s="215" t="s">
        <v>723</v>
      </c>
      <c r="J2021" s="215" t="s">
        <v>102</v>
      </c>
      <c r="K2021" s="266">
        <v>49081007140</v>
      </c>
      <c r="L2021" s="265" t="s">
        <v>649</v>
      </c>
      <c r="M2021" s="266">
        <v>40049081007148</v>
      </c>
      <c r="N2021" s="264">
        <v>0.91500000000000004</v>
      </c>
      <c r="O2021" s="265" t="s">
        <v>649</v>
      </c>
      <c r="P2021" s="265">
        <v>9.15</v>
      </c>
      <c r="Q2021" s="265">
        <v>0.69427490234375</v>
      </c>
    </row>
    <row r="2022" spans="1:17" ht="15" customHeight="1">
      <c r="A2022" s="147">
        <v>2120</v>
      </c>
      <c r="B2022" s="51" t="s">
        <v>37</v>
      </c>
      <c r="C2022" s="51" t="s">
        <v>2176</v>
      </c>
      <c r="D2022" s="51">
        <v>100021835</v>
      </c>
      <c r="E2022" s="53" t="s">
        <v>2177</v>
      </c>
      <c r="F2022" s="124">
        <v>10</v>
      </c>
      <c r="G2022" s="124">
        <v>480</v>
      </c>
      <c r="H2022" s="369">
        <v>125.77</v>
      </c>
      <c r="I2022" s="215" t="s">
        <v>76</v>
      </c>
      <c r="J2022" s="215" t="s">
        <v>102</v>
      </c>
      <c r="K2022" s="266">
        <v>49081007126</v>
      </c>
      <c r="L2022" s="265" t="s">
        <v>649</v>
      </c>
      <c r="M2022" s="266">
        <v>40049081007124</v>
      </c>
      <c r="N2022" s="264">
        <v>1.593</v>
      </c>
      <c r="O2022" s="265" t="s">
        <v>649</v>
      </c>
      <c r="P2022" s="265">
        <v>15.93</v>
      </c>
      <c r="Q2022" s="265">
        <v>1.384593822337963</v>
      </c>
    </row>
    <row r="2023" spans="1:17" ht="15" customHeight="1">
      <c r="A2023" s="147">
        <v>2123</v>
      </c>
      <c r="B2023" s="51" t="s">
        <v>37</v>
      </c>
      <c r="C2023" s="51" t="s">
        <v>2178</v>
      </c>
      <c r="D2023" s="51">
        <v>100021814</v>
      </c>
      <c r="E2023" s="53" t="s">
        <v>2179</v>
      </c>
      <c r="F2023" s="124">
        <v>10</v>
      </c>
      <c r="G2023" s="124">
        <v>600</v>
      </c>
      <c r="H2023" s="369">
        <v>73.45</v>
      </c>
      <c r="I2023" s="215" t="s">
        <v>723</v>
      </c>
      <c r="J2023" s="215" t="s">
        <v>102</v>
      </c>
      <c r="K2023" s="266">
        <v>49081007041</v>
      </c>
      <c r="L2023" s="265" t="s">
        <v>649</v>
      </c>
      <c r="M2023" s="266">
        <v>40049081007049</v>
      </c>
      <c r="N2023" s="264">
        <v>1.177</v>
      </c>
      <c r="O2023" s="265" t="s">
        <v>649</v>
      </c>
      <c r="P2023" s="265">
        <v>11.77</v>
      </c>
      <c r="Q2023" s="265">
        <v>0.54762098524305558</v>
      </c>
    </row>
    <row r="2024" spans="1:17" ht="15" customHeight="1">
      <c r="A2024" s="147">
        <v>2124</v>
      </c>
      <c r="B2024" s="51" t="s">
        <v>37</v>
      </c>
      <c r="C2024" s="51" t="s">
        <v>2180</v>
      </c>
      <c r="D2024" s="51">
        <v>100021836</v>
      </c>
      <c r="E2024" s="53" t="s">
        <v>2181</v>
      </c>
      <c r="F2024" s="124">
        <v>10</v>
      </c>
      <c r="G2024" s="124">
        <v>480</v>
      </c>
      <c r="H2024" s="369">
        <v>106.87</v>
      </c>
      <c r="I2024" s="215" t="s">
        <v>76</v>
      </c>
      <c r="J2024" s="215" t="s">
        <v>102</v>
      </c>
      <c r="K2024" s="266">
        <v>49081007188</v>
      </c>
      <c r="L2024" s="265" t="s">
        <v>649</v>
      </c>
      <c r="M2024" s="266">
        <v>40049081007186</v>
      </c>
      <c r="N2024" s="264">
        <v>1.6320000000000001</v>
      </c>
      <c r="O2024" s="265" t="s">
        <v>649</v>
      </c>
      <c r="P2024" s="265">
        <v>16.32</v>
      </c>
      <c r="Q2024" s="265">
        <v>0.98</v>
      </c>
    </row>
    <row r="2025" spans="1:17" ht="15" customHeight="1">
      <c r="A2025" s="147">
        <v>2126</v>
      </c>
      <c r="B2025" s="51" t="s">
        <v>37</v>
      </c>
      <c r="C2025" s="51" t="s">
        <v>2182</v>
      </c>
      <c r="D2025" s="51">
        <v>100021845</v>
      </c>
      <c r="E2025" s="53" t="s">
        <v>2183</v>
      </c>
      <c r="F2025" s="124">
        <v>10</v>
      </c>
      <c r="G2025" s="124">
        <v>480</v>
      </c>
      <c r="H2025" s="369">
        <v>106.87</v>
      </c>
      <c r="I2025" s="215" t="s">
        <v>76</v>
      </c>
      <c r="J2025" s="215" t="s">
        <v>102</v>
      </c>
      <c r="K2025" s="266">
        <v>49081007287</v>
      </c>
      <c r="L2025" s="265" t="s">
        <v>649</v>
      </c>
      <c r="M2025" s="266">
        <v>40049081007285</v>
      </c>
      <c r="N2025" s="264">
        <v>2.1</v>
      </c>
      <c r="O2025" s="265" t="s">
        <v>649</v>
      </c>
      <c r="P2025" s="265">
        <v>21</v>
      </c>
      <c r="Q2025" s="265">
        <v>0.98</v>
      </c>
    </row>
    <row r="2026" spans="1:17" ht="15" customHeight="1">
      <c r="A2026" s="147">
        <v>2127</v>
      </c>
      <c r="B2026" s="51" t="s">
        <v>37</v>
      </c>
      <c r="C2026" s="51" t="s">
        <v>2184</v>
      </c>
      <c r="D2026" s="51">
        <v>100021849</v>
      </c>
      <c r="E2026" s="53" t="s">
        <v>2185</v>
      </c>
      <c r="F2026" s="124">
        <v>20</v>
      </c>
      <c r="G2026" s="124">
        <v>960</v>
      </c>
      <c r="H2026" s="369">
        <v>61.16</v>
      </c>
      <c r="I2026" s="215" t="s">
        <v>76</v>
      </c>
      <c r="J2026" s="215" t="s">
        <v>102</v>
      </c>
      <c r="K2026" s="266">
        <v>49081009809</v>
      </c>
      <c r="L2026" s="265" t="s">
        <v>649</v>
      </c>
      <c r="M2026" s="266">
        <v>40049081009807</v>
      </c>
      <c r="N2026" s="264">
        <v>0.27</v>
      </c>
      <c r="O2026" s="265" t="s">
        <v>649</v>
      </c>
      <c r="P2026" s="265">
        <v>5.4</v>
      </c>
      <c r="Q2026" s="265">
        <v>0.84015005606192128</v>
      </c>
    </row>
    <row r="2027" spans="1:17" ht="15" customHeight="1">
      <c r="A2027" s="147">
        <v>2128</v>
      </c>
      <c r="B2027" s="51" t="s">
        <v>37</v>
      </c>
      <c r="C2027" s="51" t="s">
        <v>2186</v>
      </c>
      <c r="D2027" s="51">
        <v>100021847</v>
      </c>
      <c r="E2027" s="53" t="s">
        <v>2187</v>
      </c>
      <c r="F2027" s="124">
        <v>25</v>
      </c>
      <c r="G2027" s="124">
        <v>600</v>
      </c>
      <c r="H2027" s="369">
        <v>71.37</v>
      </c>
      <c r="I2027" s="215" t="s">
        <v>76</v>
      </c>
      <c r="J2027" s="215" t="s">
        <v>102</v>
      </c>
      <c r="K2027" s="266">
        <v>49081009830</v>
      </c>
      <c r="L2027" s="265" t="s">
        <v>649</v>
      </c>
      <c r="M2027" s="266">
        <v>40049081009838</v>
      </c>
      <c r="N2027" s="264">
        <v>0.65</v>
      </c>
      <c r="O2027" s="265" t="s">
        <v>649</v>
      </c>
      <c r="P2027" s="265">
        <v>16.25</v>
      </c>
      <c r="Q2027" s="265">
        <v>2.11</v>
      </c>
    </row>
    <row r="2028" spans="1:17" ht="15" customHeight="1">
      <c r="A2028" s="147">
        <v>2129</v>
      </c>
      <c r="B2028" s="51" t="s">
        <v>37</v>
      </c>
      <c r="C2028" s="51" t="s">
        <v>2188</v>
      </c>
      <c r="D2028" s="51">
        <v>100021848</v>
      </c>
      <c r="E2028" s="53" t="s">
        <v>2189</v>
      </c>
      <c r="F2028" s="124">
        <v>20</v>
      </c>
      <c r="G2028" s="124">
        <v>480</v>
      </c>
      <c r="H2028" s="369">
        <v>84.46</v>
      </c>
      <c r="I2028" s="215" t="s">
        <v>76</v>
      </c>
      <c r="J2028" s="215" t="s">
        <v>102</v>
      </c>
      <c r="K2028" s="266">
        <v>49081009861</v>
      </c>
      <c r="L2028" s="265" t="s">
        <v>649</v>
      </c>
      <c r="M2028" s="266">
        <v>40049081009869</v>
      </c>
      <c r="N2028" s="264">
        <v>0.72</v>
      </c>
      <c r="O2028" s="265" t="s">
        <v>649</v>
      </c>
      <c r="P2028" s="265">
        <v>14.4</v>
      </c>
      <c r="Q2028" s="265">
        <v>2.44</v>
      </c>
    </row>
    <row r="2029" spans="1:17" ht="15" customHeight="1">
      <c r="A2029" s="147">
        <v>2131</v>
      </c>
      <c r="B2029" s="51" t="s">
        <v>37</v>
      </c>
      <c r="C2029" s="51" t="s">
        <v>2190</v>
      </c>
      <c r="D2029" s="51">
        <v>100021851</v>
      </c>
      <c r="E2029" s="53" t="s">
        <v>2191</v>
      </c>
      <c r="F2029" s="124">
        <v>20</v>
      </c>
      <c r="G2029" s="124">
        <v>360</v>
      </c>
      <c r="H2029" s="369">
        <v>13.73</v>
      </c>
      <c r="I2029" s="215" t="s">
        <v>76</v>
      </c>
      <c r="J2029" s="215" t="s">
        <v>102</v>
      </c>
      <c r="K2029" s="266">
        <v>49081006082</v>
      </c>
      <c r="L2029" s="265" t="s">
        <v>649</v>
      </c>
      <c r="M2029" s="266">
        <v>40049081006080</v>
      </c>
      <c r="N2029" s="264">
        <v>0.67500000000000004</v>
      </c>
      <c r="O2029" s="265" t="s">
        <v>649</v>
      </c>
      <c r="P2029" s="265">
        <v>13.5</v>
      </c>
      <c r="Q2029" s="265">
        <v>1.4700234374999999</v>
      </c>
    </row>
    <row r="2030" spans="1:17" ht="15" customHeight="1">
      <c r="A2030" s="147">
        <v>2132</v>
      </c>
      <c r="B2030" s="51" t="s">
        <v>37</v>
      </c>
      <c r="C2030" s="51" t="s">
        <v>2192</v>
      </c>
      <c r="D2030" s="51">
        <v>100021853</v>
      </c>
      <c r="E2030" s="53" t="s">
        <v>2193</v>
      </c>
      <c r="F2030" s="124">
        <v>20</v>
      </c>
      <c r="G2030" s="124">
        <v>360</v>
      </c>
      <c r="H2030" s="369">
        <v>16.440000000000001</v>
      </c>
      <c r="I2030" s="215" t="s">
        <v>76</v>
      </c>
      <c r="J2030" s="215" t="s">
        <v>102</v>
      </c>
      <c r="K2030" s="266">
        <v>49081006105</v>
      </c>
      <c r="L2030" s="265" t="s">
        <v>649</v>
      </c>
      <c r="M2030" s="266">
        <v>40049081006103</v>
      </c>
      <c r="N2030" s="264">
        <v>0.69500000000000006</v>
      </c>
      <c r="O2030" s="265" t="s">
        <v>649</v>
      </c>
      <c r="P2030" s="265">
        <v>13.9</v>
      </c>
      <c r="Q2030" s="265">
        <v>2.44</v>
      </c>
    </row>
    <row r="2031" spans="1:17" ht="15" customHeight="1">
      <c r="A2031" s="147">
        <v>2133</v>
      </c>
      <c r="B2031" s="51" t="s">
        <v>37</v>
      </c>
      <c r="C2031" s="51" t="s">
        <v>2194</v>
      </c>
      <c r="D2031" s="51">
        <v>100021855</v>
      </c>
      <c r="E2031" s="53" t="s">
        <v>2195</v>
      </c>
      <c r="F2031" s="124">
        <v>20</v>
      </c>
      <c r="G2031" s="124">
        <v>1800</v>
      </c>
      <c r="H2031" s="369">
        <v>10.96</v>
      </c>
      <c r="I2031" s="215" t="s">
        <v>76</v>
      </c>
      <c r="J2031" s="215" t="s">
        <v>102</v>
      </c>
      <c r="K2031" s="266">
        <v>49081006068</v>
      </c>
      <c r="L2031" s="265" t="s">
        <v>649</v>
      </c>
      <c r="M2031" s="266">
        <v>40049081006066</v>
      </c>
      <c r="N2031" s="264">
        <v>0.31</v>
      </c>
      <c r="O2031" s="265" t="s">
        <v>649</v>
      </c>
      <c r="P2031" s="265">
        <v>6.2</v>
      </c>
      <c r="Q2031" s="265">
        <v>0.51141357421875</v>
      </c>
    </row>
    <row r="2032" spans="1:17" ht="15" customHeight="1">
      <c r="A2032" s="147">
        <v>2134</v>
      </c>
      <c r="B2032" s="51" t="s">
        <v>38</v>
      </c>
      <c r="C2032" s="51">
        <v>4103</v>
      </c>
      <c r="D2032" s="51">
        <v>100026588</v>
      </c>
      <c r="E2032" s="53" t="s">
        <v>2201</v>
      </c>
      <c r="F2032" s="124">
        <v>150</v>
      </c>
      <c r="G2032" s="124">
        <v>40500</v>
      </c>
      <c r="H2032" s="369">
        <v>1.97</v>
      </c>
      <c r="I2032" s="215" t="s">
        <v>346</v>
      </c>
      <c r="J2032" s="215" t="s">
        <v>77</v>
      </c>
      <c r="K2032" s="266">
        <v>49081101961</v>
      </c>
      <c r="L2032" s="215">
        <v>49081611966</v>
      </c>
      <c r="M2032" s="266">
        <v>40049081101969</v>
      </c>
      <c r="N2032" s="264">
        <v>1.6E-2</v>
      </c>
      <c r="O2032" s="265">
        <v>25</v>
      </c>
      <c r="P2032" s="265">
        <v>2.46</v>
      </c>
      <c r="Q2032" s="265">
        <v>0.31</v>
      </c>
    </row>
    <row r="2033" spans="1:17" ht="15" customHeight="1">
      <c r="A2033" s="147">
        <v>2135</v>
      </c>
      <c r="B2033" s="51" t="s">
        <v>38</v>
      </c>
      <c r="C2033" s="51">
        <v>4111</v>
      </c>
      <c r="D2033" s="51">
        <v>100026596</v>
      </c>
      <c r="E2033" s="53" t="s">
        <v>2206</v>
      </c>
      <c r="F2033" s="124">
        <v>100</v>
      </c>
      <c r="G2033" s="124">
        <v>27000</v>
      </c>
      <c r="H2033" s="369">
        <v>2.99</v>
      </c>
      <c r="I2033" s="215" t="s">
        <v>76</v>
      </c>
      <c r="J2033" s="215" t="s">
        <v>102</v>
      </c>
      <c r="K2033" s="266">
        <v>49081102043</v>
      </c>
      <c r="L2033" s="265" t="s">
        <v>649</v>
      </c>
      <c r="M2033" s="266">
        <v>40049081102041</v>
      </c>
      <c r="N2033" s="264">
        <v>0.04</v>
      </c>
      <c r="O2033" s="265" t="s">
        <v>649</v>
      </c>
      <c r="P2033" s="265">
        <v>3.95</v>
      </c>
      <c r="Q2033" s="265">
        <v>0.31</v>
      </c>
    </row>
    <row r="2034" spans="1:17" ht="15" customHeight="1">
      <c r="A2034" s="147">
        <v>2136</v>
      </c>
      <c r="B2034" s="51" t="s">
        <v>38</v>
      </c>
      <c r="C2034" s="51">
        <v>8100</v>
      </c>
      <c r="D2034" s="51">
        <v>100026627</v>
      </c>
      <c r="E2034" s="53" t="s">
        <v>2209</v>
      </c>
      <c r="F2034" s="124">
        <v>250</v>
      </c>
      <c r="G2034" s="124">
        <v>67500</v>
      </c>
      <c r="H2034" s="369">
        <v>1.1100000000000001</v>
      </c>
      <c r="I2034" s="215" t="s">
        <v>76</v>
      </c>
      <c r="J2034" s="215" t="s">
        <v>102</v>
      </c>
      <c r="K2034" s="266">
        <v>49081118129</v>
      </c>
      <c r="L2034" s="215">
        <v>49081618148</v>
      </c>
      <c r="M2034" s="266">
        <v>40049081118127</v>
      </c>
      <c r="N2034" s="264">
        <v>1.4E-2</v>
      </c>
      <c r="O2034" s="265">
        <v>25</v>
      </c>
      <c r="P2034" s="265">
        <v>4.24</v>
      </c>
      <c r="Q2034" s="265">
        <v>0.31</v>
      </c>
    </row>
    <row r="2035" spans="1:17" ht="15" customHeight="1">
      <c r="A2035" s="147">
        <v>2137</v>
      </c>
      <c r="B2035" s="51" t="s">
        <v>38</v>
      </c>
      <c r="C2035" s="51">
        <v>8103</v>
      </c>
      <c r="D2035" s="51">
        <v>100026629</v>
      </c>
      <c r="E2035" s="53" t="s">
        <v>2212</v>
      </c>
      <c r="F2035" s="124">
        <v>200</v>
      </c>
      <c r="G2035" s="124">
        <v>54000</v>
      </c>
      <c r="H2035" s="369">
        <v>1.1100000000000001</v>
      </c>
      <c r="I2035" s="215" t="s">
        <v>76</v>
      </c>
      <c r="J2035" s="215" t="s">
        <v>102</v>
      </c>
      <c r="K2035" s="266">
        <v>49081118143</v>
      </c>
      <c r="L2035" s="215">
        <v>49081618155</v>
      </c>
      <c r="M2035" s="266">
        <v>40049081118141</v>
      </c>
      <c r="N2035" s="264">
        <v>3.1E-2</v>
      </c>
      <c r="O2035" s="265">
        <v>25</v>
      </c>
      <c r="P2035" s="265">
        <v>6.2</v>
      </c>
      <c r="Q2035" s="265">
        <v>0.31</v>
      </c>
    </row>
    <row r="2036" spans="1:17" ht="15" customHeight="1">
      <c r="A2036" s="147">
        <v>2138</v>
      </c>
      <c r="B2036" s="51" t="s">
        <v>38</v>
      </c>
      <c r="C2036" s="51">
        <v>8104</v>
      </c>
      <c r="D2036" s="51">
        <v>100026630</v>
      </c>
      <c r="E2036" s="53" t="s">
        <v>2213</v>
      </c>
      <c r="F2036" s="124">
        <v>125</v>
      </c>
      <c r="G2036" s="124">
        <v>33750</v>
      </c>
      <c r="H2036" s="369">
        <v>1.32</v>
      </c>
      <c r="I2036" s="215" t="s">
        <v>76</v>
      </c>
      <c r="J2036" s="215" t="s">
        <v>102</v>
      </c>
      <c r="K2036" s="266">
        <v>49081118150</v>
      </c>
      <c r="L2036" s="215">
        <v>49081618162</v>
      </c>
      <c r="M2036" s="266">
        <v>40049081118158</v>
      </c>
      <c r="N2036" s="264">
        <v>3.5999999999999997E-2</v>
      </c>
      <c r="O2036" s="265">
        <v>25</v>
      </c>
      <c r="P2036" s="265">
        <v>5.07</v>
      </c>
      <c r="Q2036" s="265">
        <v>0.31</v>
      </c>
    </row>
    <row r="2037" spans="1:17" ht="15" customHeight="1">
      <c r="A2037" s="147">
        <v>2139</v>
      </c>
      <c r="B2037" s="51" t="s">
        <v>38</v>
      </c>
      <c r="C2037" s="51">
        <v>8105</v>
      </c>
      <c r="D2037" s="51">
        <v>100026631</v>
      </c>
      <c r="E2037" s="53" t="s">
        <v>2215</v>
      </c>
      <c r="F2037" s="124">
        <v>125</v>
      </c>
      <c r="G2037" s="124">
        <v>33750</v>
      </c>
      <c r="H2037" s="369">
        <v>1.32</v>
      </c>
      <c r="I2037" s="215" t="s">
        <v>76</v>
      </c>
      <c r="J2037" s="215" t="s">
        <v>102</v>
      </c>
      <c r="K2037" s="266">
        <v>49081118167</v>
      </c>
      <c r="L2037" s="265" t="s">
        <v>649</v>
      </c>
      <c r="M2037" s="266">
        <v>40049081118165</v>
      </c>
      <c r="N2037" s="264">
        <v>4.2999999999999997E-2</v>
      </c>
      <c r="O2037" s="265">
        <v>25</v>
      </c>
      <c r="P2037" s="265">
        <v>6.09</v>
      </c>
      <c r="Q2037" s="265">
        <v>0.31</v>
      </c>
    </row>
    <row r="2038" spans="1:17" ht="15" customHeight="1">
      <c r="A2038" s="147">
        <v>2140</v>
      </c>
      <c r="B2038" s="51" t="s">
        <v>38</v>
      </c>
      <c r="C2038" s="51">
        <v>8106</v>
      </c>
      <c r="D2038" s="51">
        <v>100026632</v>
      </c>
      <c r="E2038" s="53" t="s">
        <v>2217</v>
      </c>
      <c r="F2038" s="124">
        <v>125</v>
      </c>
      <c r="G2038" s="124">
        <v>33750</v>
      </c>
      <c r="H2038" s="369">
        <v>1.52</v>
      </c>
      <c r="I2038" s="215" t="s">
        <v>346</v>
      </c>
      <c r="J2038" s="215" t="s">
        <v>102</v>
      </c>
      <c r="K2038" s="266">
        <v>49081118174</v>
      </c>
      <c r="L2038" s="265" t="s">
        <v>649</v>
      </c>
      <c r="M2038" s="266">
        <v>40049081118172</v>
      </c>
      <c r="N2038" s="264">
        <v>5.6000000000000001E-2</v>
      </c>
      <c r="O2038" s="265">
        <v>25</v>
      </c>
      <c r="P2038" s="265">
        <v>6.97</v>
      </c>
      <c r="Q2038" s="265">
        <v>0.31</v>
      </c>
    </row>
    <row r="2039" spans="1:17" ht="15" customHeight="1">
      <c r="A2039" s="147">
        <v>2141</v>
      </c>
      <c r="B2039" s="51" t="s">
        <v>38</v>
      </c>
      <c r="C2039" s="51">
        <v>8109</v>
      </c>
      <c r="D2039" s="51">
        <v>100026635</v>
      </c>
      <c r="E2039" s="53" t="s">
        <v>2219</v>
      </c>
      <c r="F2039" s="124">
        <v>125</v>
      </c>
      <c r="G2039" s="124">
        <v>33750</v>
      </c>
      <c r="H2039" s="369">
        <v>1.61</v>
      </c>
      <c r="I2039" s="215" t="s">
        <v>346</v>
      </c>
      <c r="J2039" s="215" t="s">
        <v>77</v>
      </c>
      <c r="K2039" s="266">
        <v>49081118204</v>
      </c>
      <c r="L2039" s="265" t="s">
        <v>649</v>
      </c>
      <c r="M2039" s="266">
        <v>40049081118202</v>
      </c>
      <c r="N2039" s="264">
        <v>0.08</v>
      </c>
      <c r="O2039" s="265" t="s">
        <v>649</v>
      </c>
      <c r="P2039" s="265">
        <v>10.08</v>
      </c>
      <c r="Q2039" s="265">
        <v>0.31</v>
      </c>
    </row>
    <row r="2040" spans="1:17" ht="15" customHeight="1">
      <c r="A2040" s="147">
        <v>2142</v>
      </c>
      <c r="B2040" s="51" t="s">
        <v>38</v>
      </c>
      <c r="C2040" s="51">
        <v>8111</v>
      </c>
      <c r="D2040" s="51">
        <v>100026637</v>
      </c>
      <c r="E2040" s="53" t="s">
        <v>2221</v>
      </c>
      <c r="F2040" s="124">
        <v>100</v>
      </c>
      <c r="G2040" s="124">
        <v>15000</v>
      </c>
      <c r="H2040" s="369">
        <v>1.86</v>
      </c>
      <c r="I2040" s="215" t="s">
        <v>76</v>
      </c>
      <c r="J2040" s="215" t="s">
        <v>102</v>
      </c>
      <c r="K2040" s="266">
        <v>49081118228</v>
      </c>
      <c r="L2040" s="265" t="s">
        <v>649</v>
      </c>
      <c r="M2040" s="266">
        <v>40049081118226</v>
      </c>
      <c r="N2040" s="264">
        <v>9.9000000000000005E-2</v>
      </c>
      <c r="O2040" s="265">
        <v>20</v>
      </c>
      <c r="P2040" s="265">
        <v>9.9600000000000009</v>
      </c>
      <c r="Q2040" s="265">
        <v>0.5</v>
      </c>
    </row>
    <row r="2041" spans="1:17" ht="15" customHeight="1">
      <c r="A2041" s="147">
        <v>2143</v>
      </c>
      <c r="B2041" s="51" t="s">
        <v>38</v>
      </c>
      <c r="C2041" s="51">
        <v>8115</v>
      </c>
      <c r="D2041" s="51">
        <v>100026641</v>
      </c>
      <c r="E2041" s="53" t="s">
        <v>2223</v>
      </c>
      <c r="F2041" s="124">
        <v>50</v>
      </c>
      <c r="G2041" s="265" t="s">
        <v>649</v>
      </c>
      <c r="H2041" s="369">
        <v>3.59</v>
      </c>
      <c r="I2041" s="215" t="s">
        <v>76</v>
      </c>
      <c r="J2041" s="215" t="s">
        <v>102</v>
      </c>
      <c r="K2041" s="266">
        <v>49081118242</v>
      </c>
      <c r="L2041" s="265" t="s">
        <v>649</v>
      </c>
      <c r="M2041" s="266">
        <v>40049081118240</v>
      </c>
      <c r="N2041" s="264">
        <v>0.127</v>
      </c>
      <c r="O2041" s="265" t="s">
        <v>649</v>
      </c>
      <c r="P2041" s="265">
        <v>6.2</v>
      </c>
      <c r="Q2041" s="265" t="s">
        <v>649</v>
      </c>
    </row>
    <row r="2042" spans="1:17" ht="15" customHeight="1">
      <c r="A2042" s="147">
        <v>2144</v>
      </c>
      <c r="B2042" s="51" t="s">
        <v>38</v>
      </c>
      <c r="C2042" s="51">
        <v>8131</v>
      </c>
      <c r="D2042" s="51">
        <v>100026645</v>
      </c>
      <c r="E2042" s="53" t="s">
        <v>2225</v>
      </c>
      <c r="F2042" s="124">
        <v>50</v>
      </c>
      <c r="G2042" s="124">
        <v>7500</v>
      </c>
      <c r="H2042" s="369">
        <v>6.09</v>
      </c>
      <c r="I2042" s="215" t="s">
        <v>346</v>
      </c>
      <c r="J2042" s="215" t="s">
        <v>77</v>
      </c>
      <c r="K2042" s="266">
        <v>49081118327</v>
      </c>
      <c r="L2042" s="265" t="s">
        <v>649</v>
      </c>
      <c r="M2042" s="266">
        <v>40049081118325</v>
      </c>
      <c r="N2042" s="264">
        <v>0.24199999999999999</v>
      </c>
      <c r="O2042" s="265" t="s">
        <v>649</v>
      </c>
      <c r="P2042" s="265">
        <v>12.1</v>
      </c>
      <c r="Q2042" s="265">
        <v>0.5</v>
      </c>
    </row>
    <row r="2043" spans="1:17" ht="15" customHeight="1">
      <c r="A2043" s="147">
        <v>2145</v>
      </c>
      <c r="B2043" s="51" t="s">
        <v>38</v>
      </c>
      <c r="C2043" s="51">
        <v>8135</v>
      </c>
      <c r="D2043" s="51">
        <v>100026646</v>
      </c>
      <c r="E2043" s="53" t="s">
        <v>2227</v>
      </c>
      <c r="F2043" s="124">
        <v>50</v>
      </c>
      <c r="G2043" s="265" t="s">
        <v>649</v>
      </c>
      <c r="H2043" s="369">
        <v>6.58</v>
      </c>
      <c r="I2043" s="215" t="s">
        <v>346</v>
      </c>
      <c r="J2043" s="215" t="s">
        <v>77</v>
      </c>
      <c r="K2043" s="266">
        <v>49081118341</v>
      </c>
      <c r="L2043" s="265" t="s">
        <v>649</v>
      </c>
      <c r="M2043" s="266">
        <v>40049081118349</v>
      </c>
      <c r="N2043" s="264">
        <v>0.28999999999999998</v>
      </c>
      <c r="O2043" s="265" t="s">
        <v>649</v>
      </c>
      <c r="P2043" s="265">
        <v>14.5</v>
      </c>
      <c r="Q2043" s="265" t="s">
        <v>649</v>
      </c>
    </row>
    <row r="2044" spans="1:17" ht="15" customHeight="1">
      <c r="A2044" s="147">
        <v>2146</v>
      </c>
      <c r="B2044" s="51" t="s">
        <v>38</v>
      </c>
      <c r="C2044" s="51">
        <v>8146</v>
      </c>
      <c r="D2044" s="51">
        <v>100026648</v>
      </c>
      <c r="E2044" s="53" t="s">
        <v>2229</v>
      </c>
      <c r="F2044" s="124">
        <v>50</v>
      </c>
      <c r="G2044" s="265" t="s">
        <v>649</v>
      </c>
      <c r="H2044" s="369">
        <v>8.0500000000000007</v>
      </c>
      <c r="I2044" s="215" t="s">
        <v>346</v>
      </c>
      <c r="J2044" s="215" t="s">
        <v>77</v>
      </c>
      <c r="K2044" s="266">
        <v>49081118389</v>
      </c>
      <c r="L2044" s="265" t="s">
        <v>649</v>
      </c>
      <c r="M2044" s="266">
        <v>40049081118387</v>
      </c>
      <c r="N2044" s="264">
        <v>0.378</v>
      </c>
      <c r="O2044" s="265" t="s">
        <v>649</v>
      </c>
      <c r="P2044" s="265">
        <v>18.899999999999999</v>
      </c>
      <c r="Q2044" s="265" t="s">
        <v>649</v>
      </c>
    </row>
    <row r="2045" spans="1:17" ht="15" customHeight="1">
      <c r="A2045" s="147">
        <v>2147</v>
      </c>
      <c r="B2045" s="51" t="s">
        <v>38</v>
      </c>
      <c r="C2045" s="51">
        <v>8150</v>
      </c>
      <c r="D2045" s="51">
        <v>100026650</v>
      </c>
      <c r="E2045" s="53" t="s">
        <v>2231</v>
      </c>
      <c r="F2045" s="124">
        <v>50</v>
      </c>
      <c r="G2045" s="265" t="s">
        <v>649</v>
      </c>
      <c r="H2045" s="369">
        <v>9.8699999999999992</v>
      </c>
      <c r="I2045" s="215" t="s">
        <v>346</v>
      </c>
      <c r="J2045" s="215" t="s">
        <v>77</v>
      </c>
      <c r="K2045" s="266">
        <v>49081118396</v>
      </c>
      <c r="L2045" s="265" t="s">
        <v>649</v>
      </c>
      <c r="M2045" s="266">
        <v>40049081118394</v>
      </c>
      <c r="N2045" s="264">
        <v>0.45200000000000001</v>
      </c>
      <c r="O2045" s="265" t="s">
        <v>649</v>
      </c>
      <c r="P2045" s="265">
        <v>22.62</v>
      </c>
      <c r="Q2045" s="265" t="s">
        <v>649</v>
      </c>
    </row>
    <row r="2046" spans="1:17" ht="15" customHeight="1">
      <c r="A2046" s="147">
        <v>2148</v>
      </c>
      <c r="B2046" s="51" t="s">
        <v>38</v>
      </c>
      <c r="C2046" s="51">
        <v>8154</v>
      </c>
      <c r="D2046" s="51">
        <v>100026651</v>
      </c>
      <c r="E2046" s="53" t="s">
        <v>2233</v>
      </c>
      <c r="F2046" s="124">
        <v>50</v>
      </c>
      <c r="G2046" s="265" t="s">
        <v>649</v>
      </c>
      <c r="H2046" s="369">
        <v>11.32</v>
      </c>
      <c r="I2046" s="215" t="s">
        <v>346</v>
      </c>
      <c r="J2046" s="215" t="s">
        <v>77</v>
      </c>
      <c r="K2046" s="266">
        <v>49081118402</v>
      </c>
      <c r="L2046" s="265" t="s">
        <v>649</v>
      </c>
      <c r="M2046" s="266">
        <v>40049081118400</v>
      </c>
      <c r="N2046" s="264">
        <v>0.56399999999999995</v>
      </c>
      <c r="O2046" s="265" t="s">
        <v>649</v>
      </c>
      <c r="P2046" s="265">
        <v>28.18</v>
      </c>
      <c r="Q2046" s="265" t="s">
        <v>649</v>
      </c>
    </row>
    <row r="2047" spans="1:17" ht="15" customHeight="1">
      <c r="A2047" s="147">
        <v>2149</v>
      </c>
      <c r="B2047" s="51" t="s">
        <v>38</v>
      </c>
      <c r="C2047" s="51">
        <v>8158</v>
      </c>
      <c r="D2047" s="51">
        <v>100026654</v>
      </c>
      <c r="E2047" s="53" t="s">
        <v>2235</v>
      </c>
      <c r="F2047" s="124">
        <v>50</v>
      </c>
      <c r="G2047" s="265" t="s">
        <v>649</v>
      </c>
      <c r="H2047" s="369">
        <v>14.31</v>
      </c>
      <c r="I2047" s="215" t="s">
        <v>346</v>
      </c>
      <c r="J2047" s="215" t="s">
        <v>77</v>
      </c>
      <c r="K2047" s="266">
        <v>49081118426</v>
      </c>
      <c r="L2047" s="265" t="s">
        <v>649</v>
      </c>
      <c r="M2047" s="266">
        <v>40049081118424</v>
      </c>
      <c r="N2047" s="264">
        <v>0.74199999999999999</v>
      </c>
      <c r="O2047" s="265" t="s">
        <v>649</v>
      </c>
      <c r="P2047" s="265">
        <v>37.08</v>
      </c>
      <c r="Q2047" s="265" t="s">
        <v>649</v>
      </c>
    </row>
    <row r="2048" spans="1:17" ht="15" customHeight="1">
      <c r="A2048" s="147">
        <v>2150</v>
      </c>
      <c r="B2048" s="51" t="s">
        <v>38</v>
      </c>
      <c r="C2048" s="51">
        <v>8200</v>
      </c>
      <c r="D2048" s="51">
        <v>100026656</v>
      </c>
      <c r="E2048" s="53" t="s">
        <v>2237</v>
      </c>
      <c r="F2048" s="124">
        <v>125</v>
      </c>
      <c r="G2048" s="124">
        <v>33750</v>
      </c>
      <c r="H2048" s="369">
        <v>1.1100000000000001</v>
      </c>
      <c r="I2048" s="215" t="s">
        <v>76</v>
      </c>
      <c r="J2048" s="215" t="s">
        <v>102</v>
      </c>
      <c r="K2048" s="266">
        <v>49081118471</v>
      </c>
      <c r="L2048" s="215">
        <v>49081618490</v>
      </c>
      <c r="M2048" s="266">
        <v>40049081118479</v>
      </c>
      <c r="N2048" s="264">
        <v>0.02</v>
      </c>
      <c r="O2048" s="265">
        <v>25</v>
      </c>
      <c r="P2048" s="265">
        <v>3.1</v>
      </c>
      <c r="Q2048" s="265">
        <v>0.31</v>
      </c>
    </row>
    <row r="2049" spans="1:17" ht="15" customHeight="1">
      <c r="A2049" s="147">
        <v>2151</v>
      </c>
      <c r="B2049" s="51" t="s">
        <v>38</v>
      </c>
      <c r="C2049" s="51">
        <v>8203</v>
      </c>
      <c r="D2049" s="51">
        <v>100026657</v>
      </c>
      <c r="E2049" s="53" t="s">
        <v>2238</v>
      </c>
      <c r="F2049" s="124">
        <v>125</v>
      </c>
      <c r="G2049" s="124">
        <v>33750</v>
      </c>
      <c r="H2049" s="369">
        <v>1.1100000000000001</v>
      </c>
      <c r="I2049" s="215" t="s">
        <v>76</v>
      </c>
      <c r="J2049" s="215" t="s">
        <v>102</v>
      </c>
      <c r="K2049" s="266">
        <v>49081118495</v>
      </c>
      <c r="L2049" s="215">
        <v>49081618506</v>
      </c>
      <c r="M2049" s="266">
        <v>40049081118493</v>
      </c>
      <c r="N2049" s="264">
        <v>4.2000000000000003E-2</v>
      </c>
      <c r="O2049" s="265">
        <v>25</v>
      </c>
      <c r="P2049" s="265">
        <v>5.29</v>
      </c>
      <c r="Q2049" s="265">
        <v>0.31</v>
      </c>
    </row>
    <row r="2050" spans="1:17" ht="15" customHeight="1">
      <c r="A2050" s="147">
        <v>2152</v>
      </c>
      <c r="B2050" s="51" t="s">
        <v>38</v>
      </c>
      <c r="C2050" s="51">
        <v>8205</v>
      </c>
      <c r="D2050" s="51">
        <v>100026659</v>
      </c>
      <c r="E2050" s="53" t="s">
        <v>2239</v>
      </c>
      <c r="F2050" s="124">
        <v>100</v>
      </c>
      <c r="G2050" s="124">
        <v>15000</v>
      </c>
      <c r="H2050" s="369">
        <v>1.32</v>
      </c>
      <c r="I2050" s="215" t="s">
        <v>76</v>
      </c>
      <c r="J2050" s="215" t="s">
        <v>102</v>
      </c>
      <c r="K2050" s="266">
        <v>49081118518</v>
      </c>
      <c r="L2050" s="265" t="s">
        <v>649</v>
      </c>
      <c r="M2050" s="266">
        <v>40049081118516</v>
      </c>
      <c r="N2050" s="264">
        <v>0.06</v>
      </c>
      <c r="O2050" s="265">
        <v>25</v>
      </c>
      <c r="P2050" s="265">
        <v>6.65</v>
      </c>
      <c r="Q2050" s="265">
        <v>0.5</v>
      </c>
    </row>
    <row r="2051" spans="1:17" ht="15" customHeight="1">
      <c r="A2051" s="147">
        <v>2153</v>
      </c>
      <c r="B2051" s="51" t="s">
        <v>38</v>
      </c>
      <c r="C2051" s="51">
        <v>8211</v>
      </c>
      <c r="D2051" s="51">
        <v>100026663</v>
      </c>
      <c r="E2051" s="53" t="s">
        <v>2240</v>
      </c>
      <c r="F2051" s="124">
        <v>125</v>
      </c>
      <c r="G2051" s="124">
        <v>15000</v>
      </c>
      <c r="H2051" s="369">
        <v>2.0499999999999998</v>
      </c>
      <c r="I2051" s="215" t="s">
        <v>76</v>
      </c>
      <c r="J2051" s="215" t="s">
        <v>102</v>
      </c>
      <c r="K2051" s="266">
        <v>49081118570</v>
      </c>
      <c r="L2051" s="265" t="s">
        <v>649</v>
      </c>
      <c r="M2051" s="266">
        <v>40049081118578</v>
      </c>
      <c r="N2051" s="264">
        <v>0.129</v>
      </c>
      <c r="O2051" s="265">
        <v>25</v>
      </c>
      <c r="P2051" s="265">
        <v>16.559999999999999</v>
      </c>
      <c r="Q2051" s="265">
        <v>0.65</v>
      </c>
    </row>
    <row r="2052" spans="1:17" ht="15" customHeight="1">
      <c r="A2052" s="147">
        <v>2154</v>
      </c>
      <c r="B2052" s="51" t="s">
        <v>38</v>
      </c>
      <c r="C2052" s="51">
        <v>8235</v>
      </c>
      <c r="D2052" s="51">
        <v>100026670</v>
      </c>
      <c r="E2052" s="53" t="s">
        <v>2241</v>
      </c>
      <c r="F2052" s="124">
        <v>25</v>
      </c>
      <c r="G2052" s="124">
        <v>3750</v>
      </c>
      <c r="H2052" s="369">
        <v>8.0399999999999991</v>
      </c>
      <c r="I2052" s="215" t="s">
        <v>346</v>
      </c>
      <c r="J2052" s="215" t="s">
        <v>77</v>
      </c>
      <c r="K2052" s="266">
        <v>49081118730</v>
      </c>
      <c r="L2052" s="265" t="s">
        <v>649</v>
      </c>
      <c r="M2052" s="266">
        <v>40049081118738</v>
      </c>
      <c r="N2052" s="264">
        <v>0.41299999999999998</v>
      </c>
      <c r="O2052" s="265" t="s">
        <v>649</v>
      </c>
      <c r="P2052" s="265">
        <v>10.32</v>
      </c>
      <c r="Q2052" s="265">
        <v>0.5</v>
      </c>
    </row>
    <row r="2053" spans="1:17" ht="15" customHeight="1">
      <c r="A2053" s="147">
        <v>2155</v>
      </c>
      <c r="B2053" s="51" t="s">
        <v>38</v>
      </c>
      <c r="C2053" s="51">
        <v>8246</v>
      </c>
      <c r="D2053" s="51">
        <v>100026672</v>
      </c>
      <c r="E2053" s="53" t="s">
        <v>2242</v>
      </c>
      <c r="F2053" s="124">
        <v>25</v>
      </c>
      <c r="G2053" s="124">
        <v>3750</v>
      </c>
      <c r="H2053" s="369">
        <v>10.16</v>
      </c>
      <c r="I2053" s="215" t="s">
        <v>346</v>
      </c>
      <c r="J2053" s="215" t="s">
        <v>77</v>
      </c>
      <c r="K2053" s="266">
        <v>49081118778</v>
      </c>
      <c r="L2053" s="265" t="s">
        <v>649</v>
      </c>
      <c r="M2053" s="266">
        <v>40049081118776</v>
      </c>
      <c r="N2053" s="264">
        <v>0.53700000000000003</v>
      </c>
      <c r="O2053" s="265" t="s">
        <v>649</v>
      </c>
      <c r="P2053" s="265">
        <v>13.42</v>
      </c>
      <c r="Q2053" s="265">
        <v>0.5</v>
      </c>
    </row>
    <row r="2054" spans="1:17" ht="15" customHeight="1">
      <c r="A2054" s="147">
        <v>2156</v>
      </c>
      <c r="B2054" s="51" t="s">
        <v>38</v>
      </c>
      <c r="C2054" s="51">
        <v>8254</v>
      </c>
      <c r="D2054" s="51">
        <v>100026676</v>
      </c>
      <c r="E2054" s="53" t="s">
        <v>2243</v>
      </c>
      <c r="F2054" s="124">
        <v>25</v>
      </c>
      <c r="G2054" s="265" t="s">
        <v>649</v>
      </c>
      <c r="H2054" s="369">
        <v>14.98</v>
      </c>
      <c r="I2054" s="215" t="s">
        <v>346</v>
      </c>
      <c r="J2054" s="215" t="s">
        <v>77</v>
      </c>
      <c r="K2054" s="266">
        <v>49081118884</v>
      </c>
      <c r="L2054" s="265" t="s">
        <v>649</v>
      </c>
      <c r="M2054" s="266">
        <v>40049081118882</v>
      </c>
      <c r="N2054" s="264">
        <v>0.78900000000000003</v>
      </c>
      <c r="O2054" s="265" t="s">
        <v>649</v>
      </c>
      <c r="P2054" s="265">
        <v>19.72</v>
      </c>
      <c r="Q2054" s="265" t="s">
        <v>649</v>
      </c>
    </row>
    <row r="2055" spans="1:17" ht="15" customHeight="1">
      <c r="A2055" s="147">
        <v>2157</v>
      </c>
      <c r="B2055" s="51" t="s">
        <v>38</v>
      </c>
      <c r="C2055" s="51">
        <v>8258</v>
      </c>
      <c r="D2055" s="51">
        <v>100026678</v>
      </c>
      <c r="E2055" s="53" t="s">
        <v>2244</v>
      </c>
      <c r="F2055" s="124">
        <v>25</v>
      </c>
      <c r="G2055" s="265" t="s">
        <v>649</v>
      </c>
      <c r="H2055" s="369">
        <v>19.84</v>
      </c>
      <c r="I2055" s="215" t="s">
        <v>346</v>
      </c>
      <c r="J2055" s="215" t="s">
        <v>77</v>
      </c>
      <c r="K2055" s="266">
        <v>49081118907</v>
      </c>
      <c r="L2055" s="265" t="s">
        <v>649</v>
      </c>
      <c r="M2055" s="266">
        <v>40049081118905</v>
      </c>
      <c r="N2055" s="264">
        <v>1.0289999999999999</v>
      </c>
      <c r="O2055" s="265" t="s">
        <v>649</v>
      </c>
      <c r="P2055" s="265">
        <v>25.72</v>
      </c>
      <c r="Q2055" s="265" t="s">
        <v>649</v>
      </c>
    </row>
    <row r="2056" spans="1:17" ht="15" customHeight="1">
      <c r="A2056" s="147">
        <v>2158</v>
      </c>
      <c r="B2056" s="51" t="s">
        <v>38</v>
      </c>
      <c r="C2056" s="51">
        <v>8300</v>
      </c>
      <c r="D2056" s="51">
        <v>100026680</v>
      </c>
      <c r="E2056" s="53" t="s">
        <v>2245</v>
      </c>
      <c r="F2056" s="124">
        <v>125</v>
      </c>
      <c r="G2056" s="124">
        <v>33750</v>
      </c>
      <c r="H2056" s="369">
        <v>1.52</v>
      </c>
      <c r="I2056" s="215" t="s">
        <v>76</v>
      </c>
      <c r="J2056" s="215" t="s">
        <v>102</v>
      </c>
      <c r="K2056" s="266">
        <v>49081118952</v>
      </c>
      <c r="L2056" s="215">
        <v>49081618957</v>
      </c>
      <c r="M2056" s="266">
        <v>40049081118950</v>
      </c>
      <c r="N2056" s="264">
        <v>3.5999999999999997E-2</v>
      </c>
      <c r="O2056" s="265">
        <v>25</v>
      </c>
      <c r="P2056" s="265">
        <v>4.4400000000000004</v>
      </c>
      <c r="Q2056" s="265">
        <v>0.31</v>
      </c>
    </row>
    <row r="2057" spans="1:17" ht="15" customHeight="1">
      <c r="A2057" s="147">
        <v>2159</v>
      </c>
      <c r="B2057" s="51" t="s">
        <v>38</v>
      </c>
      <c r="C2057" s="51">
        <v>8307</v>
      </c>
      <c r="D2057" s="51">
        <v>100026684</v>
      </c>
      <c r="E2057" s="53" t="s">
        <v>2246</v>
      </c>
      <c r="F2057" s="124">
        <v>50</v>
      </c>
      <c r="G2057" s="124">
        <v>7500</v>
      </c>
      <c r="H2057" s="369">
        <v>2.31</v>
      </c>
      <c r="I2057" s="215" t="s">
        <v>76</v>
      </c>
      <c r="J2057" s="215" t="s">
        <v>102</v>
      </c>
      <c r="K2057" s="266">
        <v>49081119003</v>
      </c>
      <c r="L2057" s="265" t="s">
        <v>649</v>
      </c>
      <c r="M2057" s="266">
        <v>40049081119001</v>
      </c>
      <c r="N2057" s="264">
        <v>0.115</v>
      </c>
      <c r="O2057" s="265">
        <v>25</v>
      </c>
      <c r="P2057" s="265">
        <v>6.55</v>
      </c>
      <c r="Q2057" s="265">
        <v>0.5</v>
      </c>
    </row>
    <row r="2058" spans="1:17" ht="15" customHeight="1">
      <c r="A2058" s="147">
        <v>2160</v>
      </c>
      <c r="B2058" s="51" t="s">
        <v>38</v>
      </c>
      <c r="C2058" s="51">
        <v>8311</v>
      </c>
      <c r="D2058" s="51">
        <v>100026686</v>
      </c>
      <c r="E2058" s="53" t="s">
        <v>2248</v>
      </c>
      <c r="F2058" s="124">
        <v>40</v>
      </c>
      <c r="G2058" s="124">
        <v>10800</v>
      </c>
      <c r="H2058" s="369">
        <v>2.9</v>
      </c>
      <c r="I2058" s="215" t="s">
        <v>76</v>
      </c>
      <c r="J2058" s="215" t="s">
        <v>102</v>
      </c>
      <c r="K2058" s="266">
        <v>49081119041</v>
      </c>
      <c r="L2058" s="265" t="s">
        <v>649</v>
      </c>
      <c r="M2058" s="266">
        <v>40049081119049</v>
      </c>
      <c r="N2058" s="264">
        <v>0.18</v>
      </c>
      <c r="O2058" s="265" t="s">
        <v>649</v>
      </c>
      <c r="P2058" s="265">
        <v>7.37</v>
      </c>
      <c r="Q2058" s="265">
        <v>0.31</v>
      </c>
    </row>
    <row r="2059" spans="1:17" ht="15" customHeight="1">
      <c r="A2059" s="147">
        <v>2161</v>
      </c>
      <c r="B2059" s="51" t="s">
        <v>38</v>
      </c>
      <c r="C2059" s="51">
        <v>8314</v>
      </c>
      <c r="D2059" s="51">
        <v>100026688</v>
      </c>
      <c r="E2059" s="53" t="s">
        <v>2249</v>
      </c>
      <c r="F2059" s="124">
        <v>25</v>
      </c>
      <c r="G2059" s="265" t="s">
        <v>649</v>
      </c>
      <c r="H2059" s="369">
        <v>5.97</v>
      </c>
      <c r="I2059" s="215" t="s">
        <v>346</v>
      </c>
      <c r="J2059" s="215" t="s">
        <v>77</v>
      </c>
      <c r="K2059" s="266">
        <v>49081118938</v>
      </c>
      <c r="L2059" s="265" t="s">
        <v>649</v>
      </c>
      <c r="M2059" s="266">
        <v>40049081118936</v>
      </c>
      <c r="N2059" s="264">
        <v>0.27200000000000002</v>
      </c>
      <c r="O2059" s="265" t="s">
        <v>649</v>
      </c>
      <c r="P2059" s="265">
        <v>6.8</v>
      </c>
      <c r="Q2059" s="265" t="s">
        <v>649</v>
      </c>
    </row>
    <row r="2060" spans="1:17" ht="15" customHeight="1">
      <c r="A2060" s="147">
        <v>2162</v>
      </c>
      <c r="B2060" s="51" t="s">
        <v>38</v>
      </c>
      <c r="C2060" s="51">
        <v>8315</v>
      </c>
      <c r="D2060" s="51">
        <v>100026689</v>
      </c>
      <c r="E2060" s="53" t="s">
        <v>2251</v>
      </c>
      <c r="F2060" s="124">
        <v>25</v>
      </c>
      <c r="G2060" s="265" t="s">
        <v>649</v>
      </c>
      <c r="H2060" s="369">
        <v>6.2</v>
      </c>
      <c r="I2060" s="215" t="s">
        <v>76</v>
      </c>
      <c r="J2060" s="215" t="s">
        <v>102</v>
      </c>
      <c r="K2060" s="266">
        <v>49081119065</v>
      </c>
      <c r="L2060" s="265" t="s">
        <v>649</v>
      </c>
      <c r="M2060" s="266">
        <v>40049081119063</v>
      </c>
      <c r="N2060" s="264">
        <v>0.248</v>
      </c>
      <c r="O2060" s="265" t="s">
        <v>649</v>
      </c>
      <c r="P2060" s="265">
        <v>6.34</v>
      </c>
      <c r="Q2060" s="265" t="s">
        <v>649</v>
      </c>
    </row>
    <row r="2061" spans="1:17" ht="15" customHeight="1">
      <c r="A2061" s="147">
        <v>2163</v>
      </c>
      <c r="B2061" s="51" t="s">
        <v>38</v>
      </c>
      <c r="C2061" s="51">
        <v>8323</v>
      </c>
      <c r="D2061" s="51">
        <v>100026691</v>
      </c>
      <c r="E2061" s="53" t="s">
        <v>2252</v>
      </c>
      <c r="F2061" s="124">
        <v>25</v>
      </c>
      <c r="G2061" s="124">
        <v>6750</v>
      </c>
      <c r="H2061" s="369">
        <v>8.2200000000000006</v>
      </c>
      <c r="I2061" s="215" t="s">
        <v>76</v>
      </c>
      <c r="J2061" s="215" t="s">
        <v>102</v>
      </c>
      <c r="K2061" s="266">
        <v>49081119102</v>
      </c>
      <c r="L2061" s="265" t="s">
        <v>649</v>
      </c>
      <c r="M2061" s="266">
        <v>40049081119100</v>
      </c>
      <c r="N2061" s="264">
        <v>0.374</v>
      </c>
      <c r="O2061" s="265" t="s">
        <v>649</v>
      </c>
      <c r="P2061" s="265">
        <v>10.18</v>
      </c>
      <c r="Q2061" s="265">
        <v>0.31</v>
      </c>
    </row>
    <row r="2062" spans="1:17" ht="15" customHeight="1">
      <c r="A2062" s="147">
        <v>2164</v>
      </c>
      <c r="B2062" s="51" t="s">
        <v>38</v>
      </c>
      <c r="C2062" s="51">
        <v>8400</v>
      </c>
      <c r="D2062" s="51">
        <v>100026703</v>
      </c>
      <c r="E2062" s="53" t="s">
        <v>2254</v>
      </c>
      <c r="F2062" s="124">
        <v>25</v>
      </c>
      <c r="G2062" s="265" t="s">
        <v>649</v>
      </c>
      <c r="H2062" s="369">
        <v>3.59</v>
      </c>
      <c r="I2062" s="215" t="s">
        <v>346</v>
      </c>
      <c r="J2062" s="215" t="s">
        <v>77</v>
      </c>
      <c r="K2062" s="266">
        <v>49081119294</v>
      </c>
      <c r="L2062" s="265" t="s">
        <v>649</v>
      </c>
      <c r="M2062" s="266">
        <v>40049081119292</v>
      </c>
      <c r="N2062" s="264">
        <v>7.5999999999999998E-2</v>
      </c>
      <c r="O2062" s="265" t="s">
        <v>649</v>
      </c>
      <c r="P2062" s="265">
        <v>1.9</v>
      </c>
      <c r="Q2062" s="265" t="s">
        <v>649</v>
      </c>
    </row>
    <row r="2063" spans="1:17" ht="15" customHeight="1">
      <c r="A2063" s="147">
        <v>2165</v>
      </c>
      <c r="B2063" s="51" t="s">
        <v>38</v>
      </c>
      <c r="C2063" s="51">
        <v>8403</v>
      </c>
      <c r="D2063" s="51">
        <v>100026704</v>
      </c>
      <c r="E2063" s="53" t="s">
        <v>2255</v>
      </c>
      <c r="F2063" s="124">
        <v>25</v>
      </c>
      <c r="G2063" s="265" t="s">
        <v>649</v>
      </c>
      <c r="H2063" s="369">
        <v>3.8</v>
      </c>
      <c r="I2063" s="215" t="s">
        <v>346</v>
      </c>
      <c r="J2063" s="215" t="s">
        <v>77</v>
      </c>
      <c r="K2063" s="266">
        <v>49081119300</v>
      </c>
      <c r="L2063" s="265" t="s">
        <v>649</v>
      </c>
      <c r="M2063" s="266">
        <v>40049081119308</v>
      </c>
      <c r="N2063" s="264">
        <v>8.7999999999999995E-2</v>
      </c>
      <c r="O2063" s="265" t="s">
        <v>649</v>
      </c>
      <c r="P2063" s="265">
        <v>2.2000000000000002</v>
      </c>
      <c r="Q2063" s="265" t="s">
        <v>649</v>
      </c>
    </row>
    <row r="2064" spans="1:17" ht="15" customHeight="1">
      <c r="A2064" s="147">
        <v>2166</v>
      </c>
      <c r="B2064" s="51" t="s">
        <v>38</v>
      </c>
      <c r="C2064" s="51">
        <v>8405</v>
      </c>
      <c r="D2064" s="51">
        <v>100026706</v>
      </c>
      <c r="E2064" s="53" t="s">
        <v>2256</v>
      </c>
      <c r="F2064" s="124">
        <v>25</v>
      </c>
      <c r="G2064" s="265" t="s">
        <v>649</v>
      </c>
      <c r="H2064" s="369">
        <v>5.41</v>
      </c>
      <c r="I2064" s="215" t="s">
        <v>346</v>
      </c>
      <c r="J2064" s="215" t="s">
        <v>77</v>
      </c>
      <c r="K2064" s="266">
        <v>49081119324</v>
      </c>
      <c r="L2064" s="265" t="s">
        <v>649</v>
      </c>
      <c r="M2064" s="266">
        <v>40049081119322</v>
      </c>
      <c r="N2064" s="264">
        <v>0.14199999999999999</v>
      </c>
      <c r="O2064" s="265" t="s">
        <v>649</v>
      </c>
      <c r="P2064" s="265">
        <v>3.56</v>
      </c>
      <c r="Q2064" s="265" t="s">
        <v>649</v>
      </c>
    </row>
    <row r="2065" spans="1:17" ht="15" customHeight="1">
      <c r="A2065" s="147">
        <v>2167</v>
      </c>
      <c r="B2065" s="51" t="s">
        <v>38</v>
      </c>
      <c r="C2065" s="51">
        <v>8407</v>
      </c>
      <c r="D2065" s="51">
        <v>100026708</v>
      </c>
      <c r="E2065" s="53" t="s">
        <v>2257</v>
      </c>
      <c r="F2065" s="124">
        <v>25</v>
      </c>
      <c r="G2065" s="124">
        <v>3750</v>
      </c>
      <c r="H2065" s="369">
        <v>6.63</v>
      </c>
      <c r="I2065" s="215" t="s">
        <v>346</v>
      </c>
      <c r="J2065" s="215" t="s">
        <v>77</v>
      </c>
      <c r="K2065" s="266">
        <v>49081119348</v>
      </c>
      <c r="L2065" s="265" t="s">
        <v>649</v>
      </c>
      <c r="M2065" s="266">
        <v>40049081119346</v>
      </c>
      <c r="N2065" s="264">
        <v>0.192</v>
      </c>
      <c r="O2065" s="265" t="s">
        <v>649</v>
      </c>
      <c r="P2065" s="265">
        <v>4.8</v>
      </c>
      <c r="Q2065" s="265">
        <v>0.5</v>
      </c>
    </row>
    <row r="2066" spans="1:17" ht="15" customHeight="1">
      <c r="A2066" s="147">
        <v>2168</v>
      </c>
      <c r="B2066" s="51" t="s">
        <v>38</v>
      </c>
      <c r="C2066" s="51">
        <v>8411</v>
      </c>
      <c r="D2066" s="51">
        <v>100026710</v>
      </c>
      <c r="E2066" s="53" t="s">
        <v>2258</v>
      </c>
      <c r="F2066" s="124">
        <v>25</v>
      </c>
      <c r="G2066" s="265" t="s">
        <v>649</v>
      </c>
      <c r="H2066" s="369">
        <v>7.04</v>
      </c>
      <c r="I2066" s="215" t="s">
        <v>346</v>
      </c>
      <c r="J2066" s="215" t="s">
        <v>77</v>
      </c>
      <c r="K2066" s="266">
        <v>49081119386</v>
      </c>
      <c r="L2066" s="265" t="s">
        <v>649</v>
      </c>
      <c r="M2066" s="266">
        <v>40049081119384</v>
      </c>
      <c r="N2066" s="264">
        <v>0.27600000000000002</v>
      </c>
      <c r="O2066" s="265" t="s">
        <v>649</v>
      </c>
      <c r="P2066" s="265">
        <v>6.9</v>
      </c>
      <c r="Q2066" s="265" t="s">
        <v>649</v>
      </c>
    </row>
    <row r="2067" spans="1:17" ht="15" customHeight="1">
      <c r="A2067" s="147">
        <v>2169</v>
      </c>
      <c r="B2067" s="51" t="s">
        <v>38</v>
      </c>
      <c r="C2067" s="51">
        <v>8415</v>
      </c>
      <c r="D2067" s="51">
        <v>100026711</v>
      </c>
      <c r="E2067" s="53" t="s">
        <v>2259</v>
      </c>
      <c r="F2067" s="124">
        <v>25</v>
      </c>
      <c r="G2067" s="265" t="s">
        <v>649</v>
      </c>
      <c r="H2067" s="369">
        <v>8.5</v>
      </c>
      <c r="I2067" s="215" t="s">
        <v>346</v>
      </c>
      <c r="J2067" s="215" t="s">
        <v>77</v>
      </c>
      <c r="K2067" s="266">
        <v>49081119409</v>
      </c>
      <c r="L2067" s="265" t="s">
        <v>649</v>
      </c>
      <c r="M2067" s="266">
        <v>40049081119407</v>
      </c>
      <c r="N2067" s="264">
        <v>0.372</v>
      </c>
      <c r="O2067" s="265" t="s">
        <v>649</v>
      </c>
      <c r="P2067" s="265">
        <v>9.3000000000000007</v>
      </c>
      <c r="Q2067" s="265" t="s">
        <v>649</v>
      </c>
    </row>
    <row r="2068" spans="1:17" ht="15" customHeight="1">
      <c r="A2068" s="147">
        <v>2170</v>
      </c>
      <c r="B2068" s="51" t="s">
        <v>38</v>
      </c>
      <c r="C2068" s="51">
        <v>8423</v>
      </c>
      <c r="D2068" s="51">
        <v>100026714</v>
      </c>
      <c r="E2068" s="53" t="s">
        <v>2260</v>
      </c>
      <c r="F2068" s="124">
        <v>25</v>
      </c>
      <c r="G2068" s="265" t="s">
        <v>649</v>
      </c>
      <c r="H2068" s="369">
        <v>11.15</v>
      </c>
      <c r="I2068" s="215" t="s">
        <v>346</v>
      </c>
      <c r="J2068" s="215" t="s">
        <v>77</v>
      </c>
      <c r="K2068" s="266">
        <v>49081119447</v>
      </c>
      <c r="L2068" s="265" t="s">
        <v>649</v>
      </c>
      <c r="M2068" s="266">
        <v>40049081119445</v>
      </c>
      <c r="N2068" s="264">
        <v>0.56599999999999995</v>
      </c>
      <c r="O2068" s="265" t="s">
        <v>649</v>
      </c>
      <c r="P2068" s="265">
        <v>14.14</v>
      </c>
      <c r="Q2068" s="265" t="s">
        <v>649</v>
      </c>
    </row>
    <row r="2069" spans="1:17" ht="15" customHeight="1">
      <c r="A2069" s="147">
        <v>2171</v>
      </c>
      <c r="B2069" s="51" t="s">
        <v>38</v>
      </c>
      <c r="C2069" s="51">
        <v>8500</v>
      </c>
      <c r="D2069" s="51">
        <v>100026724</v>
      </c>
      <c r="E2069" s="53" t="s">
        <v>2261</v>
      </c>
      <c r="F2069" s="124">
        <v>25</v>
      </c>
      <c r="G2069" s="124">
        <v>3750</v>
      </c>
      <c r="H2069" s="369">
        <v>4.37</v>
      </c>
      <c r="I2069" s="215" t="s">
        <v>346</v>
      </c>
      <c r="J2069" s="215" t="s">
        <v>77</v>
      </c>
      <c r="K2069" s="266">
        <v>49081119638</v>
      </c>
      <c r="L2069" s="265" t="s">
        <v>649</v>
      </c>
      <c r="M2069" s="266">
        <v>40049081119636</v>
      </c>
      <c r="N2069" s="264">
        <v>8.5999999999999993E-2</v>
      </c>
      <c r="O2069" s="265" t="s">
        <v>649</v>
      </c>
      <c r="P2069" s="265">
        <v>2.14</v>
      </c>
      <c r="Q2069" s="265">
        <v>0.5</v>
      </c>
    </row>
    <row r="2070" spans="1:17" ht="15" customHeight="1">
      <c r="A2070" s="147">
        <v>2172</v>
      </c>
      <c r="B2070" s="51" t="s">
        <v>38</v>
      </c>
      <c r="C2070" s="51">
        <v>8503</v>
      </c>
      <c r="D2070" s="51">
        <v>100026725</v>
      </c>
      <c r="E2070" s="53" t="s">
        <v>2262</v>
      </c>
      <c r="F2070" s="124">
        <v>25</v>
      </c>
      <c r="G2070" s="265" t="s">
        <v>649</v>
      </c>
      <c r="H2070" s="369">
        <v>4.3899999999999997</v>
      </c>
      <c r="I2070" s="215" t="s">
        <v>346</v>
      </c>
      <c r="J2070" s="215" t="s">
        <v>77</v>
      </c>
      <c r="K2070" s="266">
        <v>49081119645</v>
      </c>
      <c r="L2070" s="265" t="s">
        <v>649</v>
      </c>
      <c r="M2070" s="266">
        <v>40049081119643</v>
      </c>
      <c r="N2070" s="264">
        <v>0.112</v>
      </c>
      <c r="O2070" s="265" t="s">
        <v>649</v>
      </c>
      <c r="P2070" s="265">
        <v>2.8</v>
      </c>
      <c r="Q2070" s="265" t="s">
        <v>649</v>
      </c>
    </row>
    <row r="2071" spans="1:17" ht="15" customHeight="1">
      <c r="A2071" s="147">
        <v>2173</v>
      </c>
      <c r="B2071" s="51" t="s">
        <v>38</v>
      </c>
      <c r="C2071" s="51">
        <v>8505</v>
      </c>
      <c r="D2071" s="51">
        <v>100026727</v>
      </c>
      <c r="E2071" s="53" t="s">
        <v>2263</v>
      </c>
      <c r="F2071" s="124">
        <v>25</v>
      </c>
      <c r="G2071" s="265" t="s">
        <v>649</v>
      </c>
      <c r="H2071" s="369">
        <v>5.71</v>
      </c>
      <c r="I2071" s="215" t="s">
        <v>346</v>
      </c>
      <c r="J2071" s="215" t="s">
        <v>77</v>
      </c>
      <c r="K2071" s="266">
        <v>49081119669</v>
      </c>
      <c r="L2071" s="265" t="s">
        <v>649</v>
      </c>
      <c r="M2071" s="266">
        <v>40049081119667</v>
      </c>
      <c r="N2071" s="264">
        <v>0.17199999999999999</v>
      </c>
      <c r="O2071" s="265" t="s">
        <v>649</v>
      </c>
      <c r="P2071" s="265">
        <v>4.3</v>
      </c>
      <c r="Q2071" s="265" t="s">
        <v>649</v>
      </c>
    </row>
    <row r="2072" spans="1:17" ht="15" customHeight="1">
      <c r="A2072" s="147">
        <v>2174</v>
      </c>
      <c r="B2072" s="51" t="s">
        <v>38</v>
      </c>
      <c r="C2072" s="51">
        <v>8507</v>
      </c>
      <c r="D2072" s="51">
        <v>100026729</v>
      </c>
      <c r="E2072" s="53" t="s">
        <v>2264</v>
      </c>
      <c r="F2072" s="124">
        <v>25</v>
      </c>
      <c r="G2072" s="265" t="s">
        <v>649</v>
      </c>
      <c r="H2072" s="369">
        <v>6.63</v>
      </c>
      <c r="I2072" s="215" t="s">
        <v>346</v>
      </c>
      <c r="J2072" s="215" t="s">
        <v>77</v>
      </c>
      <c r="K2072" s="266">
        <v>49081119683</v>
      </c>
      <c r="L2072" s="265" t="s">
        <v>649</v>
      </c>
      <c r="M2072" s="266">
        <v>40049081119681</v>
      </c>
      <c r="N2072" s="264">
        <v>0.22800000000000001</v>
      </c>
      <c r="O2072" s="265" t="s">
        <v>649</v>
      </c>
      <c r="P2072" s="265">
        <v>5.7</v>
      </c>
      <c r="Q2072" s="265" t="s">
        <v>649</v>
      </c>
    </row>
    <row r="2073" spans="1:17" ht="15" customHeight="1">
      <c r="A2073" s="147">
        <v>2175</v>
      </c>
      <c r="B2073" s="51" t="s">
        <v>38</v>
      </c>
      <c r="C2073" s="51">
        <v>8511</v>
      </c>
      <c r="D2073" s="51">
        <v>100026731</v>
      </c>
      <c r="E2073" s="53" t="s">
        <v>2265</v>
      </c>
      <c r="F2073" s="124">
        <v>25</v>
      </c>
      <c r="G2073" s="265" t="s">
        <v>649</v>
      </c>
      <c r="H2073" s="369">
        <v>8.08</v>
      </c>
      <c r="I2073" s="215" t="s">
        <v>346</v>
      </c>
      <c r="J2073" s="215" t="s">
        <v>77</v>
      </c>
      <c r="K2073" s="266">
        <v>49081119720</v>
      </c>
      <c r="L2073" s="265" t="s">
        <v>649</v>
      </c>
      <c r="M2073" s="266">
        <v>40049081119728</v>
      </c>
      <c r="N2073" s="264">
        <v>0.33800000000000002</v>
      </c>
      <c r="O2073" s="265" t="s">
        <v>649</v>
      </c>
      <c r="P2073" s="265">
        <v>8.4499999999999993</v>
      </c>
      <c r="Q2073" s="265" t="s">
        <v>649</v>
      </c>
    </row>
    <row r="2074" spans="1:17" ht="15" customHeight="1">
      <c r="A2074" s="147">
        <v>2176</v>
      </c>
      <c r="B2074" s="51" t="s">
        <v>38</v>
      </c>
      <c r="C2074" s="51">
        <v>8515</v>
      </c>
      <c r="D2074" s="51">
        <v>100026732</v>
      </c>
      <c r="E2074" s="53" t="s">
        <v>2266</v>
      </c>
      <c r="F2074" s="124">
        <v>25</v>
      </c>
      <c r="G2074" s="265" t="s">
        <v>649</v>
      </c>
      <c r="H2074" s="369">
        <v>9.67</v>
      </c>
      <c r="I2074" s="215" t="s">
        <v>346</v>
      </c>
      <c r="J2074" s="215" t="s">
        <v>77</v>
      </c>
      <c r="K2074" s="266">
        <v>49081119744</v>
      </c>
      <c r="L2074" s="265" t="s">
        <v>649</v>
      </c>
      <c r="M2074" s="266">
        <v>40049081119742</v>
      </c>
      <c r="N2074" s="264">
        <v>0.47</v>
      </c>
      <c r="O2074" s="265" t="s">
        <v>649</v>
      </c>
      <c r="P2074" s="265">
        <v>11.74</v>
      </c>
      <c r="Q2074" s="265" t="s">
        <v>649</v>
      </c>
    </row>
    <row r="2075" spans="1:17" ht="15" customHeight="1">
      <c r="A2075" s="147">
        <v>2177</v>
      </c>
      <c r="B2075" s="51" t="s">
        <v>38</v>
      </c>
      <c r="C2075" s="51">
        <v>8523</v>
      </c>
      <c r="D2075" s="51">
        <v>100026734</v>
      </c>
      <c r="E2075" s="53" t="s">
        <v>2267</v>
      </c>
      <c r="F2075" s="124">
        <v>25</v>
      </c>
      <c r="G2075" s="124">
        <v>3000</v>
      </c>
      <c r="H2075" s="369">
        <v>13.57</v>
      </c>
      <c r="I2075" s="215" t="s">
        <v>346</v>
      </c>
      <c r="J2075" s="215" t="s">
        <v>77</v>
      </c>
      <c r="K2075" s="266">
        <v>49081119782</v>
      </c>
      <c r="L2075" s="265" t="s">
        <v>649</v>
      </c>
      <c r="M2075" s="266">
        <v>40049081119780</v>
      </c>
      <c r="N2075" s="264">
        <v>0.66200000000000003</v>
      </c>
      <c r="O2075" s="265" t="s">
        <v>649</v>
      </c>
      <c r="P2075" s="265">
        <v>16.54</v>
      </c>
      <c r="Q2075" s="265">
        <v>0.65</v>
      </c>
    </row>
    <row r="2076" spans="1:17" ht="15" customHeight="1">
      <c r="A2076" s="147">
        <v>2178</v>
      </c>
      <c r="B2076" s="51" t="s">
        <v>38</v>
      </c>
      <c r="C2076" s="51">
        <v>8600</v>
      </c>
      <c r="D2076" s="51">
        <v>100026744</v>
      </c>
      <c r="E2076" s="53" t="s">
        <v>2268</v>
      </c>
      <c r="F2076" s="124">
        <v>25</v>
      </c>
      <c r="G2076" s="265" t="s">
        <v>649</v>
      </c>
      <c r="H2076" s="369">
        <v>5.7</v>
      </c>
      <c r="I2076" s="215" t="s">
        <v>346</v>
      </c>
      <c r="J2076" s="215" t="s">
        <v>77</v>
      </c>
      <c r="K2076" s="266">
        <v>49081119980</v>
      </c>
      <c r="L2076" s="265" t="s">
        <v>649</v>
      </c>
      <c r="M2076" s="266">
        <v>40049081119988</v>
      </c>
      <c r="N2076" s="264">
        <v>0.153</v>
      </c>
      <c r="O2076" s="265" t="s">
        <v>649</v>
      </c>
      <c r="P2076" s="265">
        <v>3.82</v>
      </c>
      <c r="Q2076" s="265" t="s">
        <v>649</v>
      </c>
    </row>
    <row r="2077" spans="1:17" ht="15" customHeight="1">
      <c r="A2077" s="147">
        <v>2179</v>
      </c>
      <c r="B2077" s="51" t="s">
        <v>38</v>
      </c>
      <c r="C2077" s="51">
        <v>8604</v>
      </c>
      <c r="D2077" s="51">
        <v>100026745</v>
      </c>
      <c r="E2077" s="53" t="s">
        <v>2269</v>
      </c>
      <c r="F2077" s="124">
        <v>25</v>
      </c>
      <c r="G2077" s="265" t="s">
        <v>649</v>
      </c>
      <c r="H2077" s="369">
        <v>5.67</v>
      </c>
      <c r="I2077" s="215" t="s">
        <v>346</v>
      </c>
      <c r="J2077" s="215" t="s">
        <v>77</v>
      </c>
      <c r="K2077" s="266">
        <v>49081119997</v>
      </c>
      <c r="L2077" s="265" t="s">
        <v>649</v>
      </c>
      <c r="M2077" s="266">
        <v>40049081119995</v>
      </c>
      <c r="N2077" s="264">
        <v>0.188</v>
      </c>
      <c r="O2077" s="265" t="s">
        <v>649</v>
      </c>
      <c r="P2077" s="265">
        <v>4.7</v>
      </c>
      <c r="Q2077" s="265" t="s">
        <v>649</v>
      </c>
    </row>
    <row r="2078" spans="1:17" ht="15" customHeight="1">
      <c r="A2078" s="147">
        <v>2180</v>
      </c>
      <c r="B2078" s="51" t="s">
        <v>38</v>
      </c>
      <c r="C2078" s="51">
        <v>8605</v>
      </c>
      <c r="D2078" s="51">
        <v>100026746</v>
      </c>
      <c r="E2078" s="53" t="s">
        <v>2270</v>
      </c>
      <c r="F2078" s="124">
        <v>25</v>
      </c>
      <c r="G2078" s="265" t="s">
        <v>649</v>
      </c>
      <c r="H2078" s="369">
        <v>6.18</v>
      </c>
      <c r="I2078" s="215" t="s">
        <v>346</v>
      </c>
      <c r="J2078" s="215" t="s">
        <v>77</v>
      </c>
      <c r="K2078" s="266">
        <v>49081120009</v>
      </c>
      <c r="L2078" s="265" t="s">
        <v>649</v>
      </c>
      <c r="M2078" s="266">
        <v>40049081120007</v>
      </c>
      <c r="N2078" s="264">
        <v>0.23</v>
      </c>
      <c r="O2078" s="265" t="s">
        <v>649</v>
      </c>
      <c r="P2078" s="265">
        <v>5.75</v>
      </c>
      <c r="Q2078" s="265" t="s">
        <v>649</v>
      </c>
    </row>
    <row r="2079" spans="1:17" ht="15" customHeight="1">
      <c r="A2079" s="147">
        <v>2181</v>
      </c>
      <c r="B2079" s="51" t="s">
        <v>38</v>
      </c>
      <c r="C2079" s="51">
        <v>8607</v>
      </c>
      <c r="D2079" s="51">
        <v>100026747</v>
      </c>
      <c r="E2079" s="53" t="s">
        <v>2271</v>
      </c>
      <c r="F2079" s="124">
        <v>25</v>
      </c>
      <c r="G2079" s="265" t="s">
        <v>649</v>
      </c>
      <c r="H2079" s="369">
        <v>7.83</v>
      </c>
      <c r="I2079" s="215" t="s">
        <v>346</v>
      </c>
      <c r="J2079" s="215" t="s">
        <v>77</v>
      </c>
      <c r="K2079" s="266">
        <v>49081120023</v>
      </c>
      <c r="L2079" s="265" t="s">
        <v>649</v>
      </c>
      <c r="M2079" s="266">
        <v>40049081120021</v>
      </c>
      <c r="N2079" s="264">
        <v>0.312</v>
      </c>
      <c r="O2079" s="265" t="s">
        <v>649</v>
      </c>
      <c r="P2079" s="265">
        <v>7.8</v>
      </c>
      <c r="Q2079" s="265" t="s">
        <v>649</v>
      </c>
    </row>
    <row r="2080" spans="1:17" ht="15" customHeight="1">
      <c r="A2080" s="147">
        <v>2182</v>
      </c>
      <c r="B2080" s="51" t="s">
        <v>38</v>
      </c>
      <c r="C2080" s="51">
        <v>8609</v>
      </c>
      <c r="D2080" s="51">
        <v>100026748</v>
      </c>
      <c r="E2080" s="53" t="s">
        <v>2272</v>
      </c>
      <c r="F2080" s="124">
        <v>25</v>
      </c>
      <c r="G2080" s="265" t="s">
        <v>649</v>
      </c>
      <c r="H2080" s="369">
        <v>9.23</v>
      </c>
      <c r="I2080" s="215" t="s">
        <v>346</v>
      </c>
      <c r="J2080" s="215" t="s">
        <v>77</v>
      </c>
      <c r="K2080" s="266">
        <v>49081120047</v>
      </c>
      <c r="L2080" s="265" t="s">
        <v>649</v>
      </c>
      <c r="M2080" s="266">
        <v>40049081120045</v>
      </c>
      <c r="N2080" s="264">
        <v>0.378</v>
      </c>
      <c r="O2080" s="265" t="s">
        <v>649</v>
      </c>
      <c r="P2080" s="265">
        <v>9.4600000000000009</v>
      </c>
      <c r="Q2080" s="265" t="s">
        <v>649</v>
      </c>
    </row>
    <row r="2081" spans="1:17" ht="15" customHeight="1">
      <c r="A2081" s="147">
        <v>2183</v>
      </c>
      <c r="B2081" s="51" t="s">
        <v>38</v>
      </c>
      <c r="C2081" s="51">
        <v>8611</v>
      </c>
      <c r="D2081" s="51">
        <v>100026749</v>
      </c>
      <c r="E2081" s="53" t="s">
        <v>2273</v>
      </c>
      <c r="F2081" s="124">
        <v>25</v>
      </c>
      <c r="G2081" s="265" t="s">
        <v>649</v>
      </c>
      <c r="H2081" s="369">
        <v>10.37</v>
      </c>
      <c r="I2081" s="215" t="s">
        <v>346</v>
      </c>
      <c r="J2081" s="215" t="s">
        <v>77</v>
      </c>
      <c r="K2081" s="266">
        <v>49081120061</v>
      </c>
      <c r="L2081" s="265" t="s">
        <v>649</v>
      </c>
      <c r="M2081" s="266">
        <v>40049081120069</v>
      </c>
      <c r="N2081" s="264">
        <v>0.45800000000000002</v>
      </c>
      <c r="O2081" s="265" t="s">
        <v>649</v>
      </c>
      <c r="P2081" s="265">
        <v>11.46</v>
      </c>
      <c r="Q2081" s="265" t="s">
        <v>649</v>
      </c>
    </row>
    <row r="2082" spans="1:17" ht="15" customHeight="1">
      <c r="A2082" s="147">
        <v>2184</v>
      </c>
      <c r="B2082" s="51" t="s">
        <v>38</v>
      </c>
      <c r="C2082" s="51">
        <v>8615</v>
      </c>
      <c r="D2082" s="51">
        <v>100026750</v>
      </c>
      <c r="E2082" s="53" t="s">
        <v>2274</v>
      </c>
      <c r="F2082" s="124">
        <v>25</v>
      </c>
      <c r="G2082" s="265" t="s">
        <v>649</v>
      </c>
      <c r="H2082" s="369">
        <v>12.74</v>
      </c>
      <c r="I2082" s="215" t="s">
        <v>346</v>
      </c>
      <c r="J2082" s="215" t="s">
        <v>77</v>
      </c>
      <c r="K2082" s="266">
        <v>49081120085</v>
      </c>
      <c r="L2082" s="265" t="s">
        <v>649</v>
      </c>
      <c r="M2082" s="266">
        <v>40049081120083</v>
      </c>
      <c r="N2082" s="264">
        <v>0.64200000000000002</v>
      </c>
      <c r="O2082" s="265" t="s">
        <v>649</v>
      </c>
      <c r="P2082" s="265">
        <v>16.04</v>
      </c>
      <c r="Q2082" s="265" t="s">
        <v>649</v>
      </c>
    </row>
    <row r="2083" spans="1:17" ht="15" customHeight="1">
      <c r="A2083" s="147">
        <v>2185</v>
      </c>
      <c r="B2083" s="51" t="s">
        <v>38</v>
      </c>
      <c r="C2083" s="51">
        <v>8619</v>
      </c>
      <c r="D2083" s="51">
        <v>100026751</v>
      </c>
      <c r="E2083" s="53" t="s">
        <v>2275</v>
      </c>
      <c r="F2083" s="124">
        <v>25</v>
      </c>
      <c r="G2083" s="265" t="s">
        <v>649</v>
      </c>
      <c r="H2083" s="369">
        <v>15.15</v>
      </c>
      <c r="I2083" s="215" t="s">
        <v>346</v>
      </c>
      <c r="J2083" s="215" t="s">
        <v>77</v>
      </c>
      <c r="K2083" s="266">
        <v>49081120108</v>
      </c>
      <c r="L2083" s="265" t="s">
        <v>649</v>
      </c>
      <c r="M2083" s="266">
        <v>40049081120106</v>
      </c>
      <c r="N2083" s="264">
        <v>0.79</v>
      </c>
      <c r="O2083" s="265" t="s">
        <v>649</v>
      </c>
      <c r="P2083" s="265">
        <v>19.739999999999998</v>
      </c>
      <c r="Q2083" s="265" t="s">
        <v>649</v>
      </c>
    </row>
    <row r="2084" spans="1:17" ht="15" customHeight="1">
      <c r="A2084" s="147">
        <v>2186</v>
      </c>
      <c r="B2084" s="51" t="s">
        <v>38</v>
      </c>
      <c r="C2084" s="51">
        <v>8623</v>
      </c>
      <c r="D2084" s="51">
        <v>100026752</v>
      </c>
      <c r="E2084" s="53" t="s">
        <v>2277</v>
      </c>
      <c r="F2084" s="124">
        <v>25</v>
      </c>
      <c r="G2084" s="265" t="s">
        <v>649</v>
      </c>
      <c r="H2084" s="369">
        <v>17.03</v>
      </c>
      <c r="I2084" s="215" t="s">
        <v>346</v>
      </c>
      <c r="J2084" s="215" t="s">
        <v>77</v>
      </c>
      <c r="K2084" s="266">
        <v>49081120122</v>
      </c>
      <c r="L2084" s="265" t="s">
        <v>649</v>
      </c>
      <c r="M2084" s="266">
        <v>40049081120120</v>
      </c>
      <c r="N2084" s="264">
        <v>0.95799999999999996</v>
      </c>
      <c r="O2084" s="265" t="s">
        <v>649</v>
      </c>
      <c r="P2084" s="265">
        <v>23.95</v>
      </c>
      <c r="Q2084" s="265" t="s">
        <v>649</v>
      </c>
    </row>
    <row r="2085" spans="1:17" ht="15" customHeight="1">
      <c r="A2085" s="147">
        <v>2187</v>
      </c>
      <c r="B2085" s="51" t="s">
        <v>38</v>
      </c>
      <c r="C2085" s="51">
        <v>8646</v>
      </c>
      <c r="D2085" s="51">
        <v>100026757</v>
      </c>
      <c r="E2085" s="53" t="s">
        <v>2278</v>
      </c>
      <c r="F2085" s="124">
        <v>25</v>
      </c>
      <c r="G2085" s="265" t="s">
        <v>649</v>
      </c>
      <c r="H2085" s="369">
        <v>32.56</v>
      </c>
      <c r="I2085" s="215" t="s">
        <v>346</v>
      </c>
      <c r="J2085" s="215" t="s">
        <v>77</v>
      </c>
      <c r="K2085" s="266">
        <v>49081120221</v>
      </c>
      <c r="L2085" s="265" t="s">
        <v>649</v>
      </c>
      <c r="M2085" s="266">
        <v>40049081120229</v>
      </c>
      <c r="N2085" s="264">
        <v>1.948</v>
      </c>
      <c r="O2085" s="265" t="s">
        <v>649</v>
      </c>
      <c r="P2085" s="265">
        <v>9.74</v>
      </c>
      <c r="Q2085" s="265">
        <v>0.88</v>
      </c>
    </row>
    <row r="2086" spans="1:17" ht="15" customHeight="1">
      <c r="A2086" s="147">
        <v>2188</v>
      </c>
      <c r="B2086" s="51" t="s">
        <v>38</v>
      </c>
      <c r="C2086" s="51">
        <v>8654</v>
      </c>
      <c r="D2086" s="51">
        <v>100026761</v>
      </c>
      <c r="E2086" s="53" t="s">
        <v>2279</v>
      </c>
      <c r="F2086" s="124">
        <v>5</v>
      </c>
      <c r="G2086" s="265" t="s">
        <v>649</v>
      </c>
      <c r="H2086" s="369">
        <v>47.51</v>
      </c>
      <c r="I2086" s="215" t="s">
        <v>346</v>
      </c>
      <c r="J2086" s="215" t="s">
        <v>77</v>
      </c>
      <c r="K2086" s="266">
        <v>49081120245</v>
      </c>
      <c r="L2086" s="265" t="s">
        <v>649</v>
      </c>
      <c r="M2086" s="266">
        <v>40049081120243</v>
      </c>
      <c r="N2086" s="264">
        <v>0.55400000000000005</v>
      </c>
      <c r="O2086" s="265" t="s">
        <v>649</v>
      </c>
      <c r="P2086" s="265">
        <v>20</v>
      </c>
      <c r="Q2086" s="265">
        <v>1.33</v>
      </c>
    </row>
    <row r="2087" spans="1:17" ht="15" customHeight="1">
      <c r="A2087" s="147">
        <v>2189</v>
      </c>
      <c r="B2087" s="51" t="s">
        <v>38</v>
      </c>
      <c r="C2087" s="51">
        <v>8711</v>
      </c>
      <c r="D2087" s="51">
        <v>100026769</v>
      </c>
      <c r="E2087" s="53" t="s">
        <v>2280</v>
      </c>
      <c r="F2087" s="124">
        <v>25</v>
      </c>
      <c r="G2087" s="124">
        <v>1875</v>
      </c>
      <c r="H2087" s="369">
        <v>16.75</v>
      </c>
      <c r="I2087" s="215" t="s">
        <v>346</v>
      </c>
      <c r="J2087" s="215" t="s">
        <v>77</v>
      </c>
      <c r="K2087" s="266">
        <v>49081120375</v>
      </c>
      <c r="L2087" s="265" t="s">
        <v>649</v>
      </c>
      <c r="M2087" s="266">
        <v>40049081120373</v>
      </c>
      <c r="N2087" s="264">
        <v>0.63200000000000001</v>
      </c>
      <c r="O2087" s="265" t="s">
        <v>649</v>
      </c>
      <c r="P2087" s="265">
        <v>15.8</v>
      </c>
      <c r="Q2087" s="265">
        <v>0.95</v>
      </c>
    </row>
    <row r="2088" spans="1:17" ht="15" customHeight="1">
      <c r="A2088" s="147">
        <v>2190</v>
      </c>
      <c r="B2088" s="51" t="s">
        <v>38</v>
      </c>
      <c r="C2088" s="51">
        <v>8723</v>
      </c>
      <c r="D2088" s="51">
        <v>100026772</v>
      </c>
      <c r="E2088" s="53" t="s">
        <v>2281</v>
      </c>
      <c r="F2088" s="124">
        <v>25</v>
      </c>
      <c r="G2088" s="265" t="s">
        <v>649</v>
      </c>
      <c r="H2088" s="369">
        <v>27.63</v>
      </c>
      <c r="I2088" s="215" t="s">
        <v>346</v>
      </c>
      <c r="J2088" s="215" t="s">
        <v>77</v>
      </c>
      <c r="K2088" s="266">
        <v>49081120436</v>
      </c>
      <c r="L2088" s="265" t="s">
        <v>649</v>
      </c>
      <c r="M2088" s="266">
        <v>40049081120434</v>
      </c>
      <c r="N2088" s="264">
        <v>0.94799999999999995</v>
      </c>
      <c r="O2088" s="265" t="s">
        <v>649</v>
      </c>
      <c r="P2088" s="265">
        <v>23.7</v>
      </c>
      <c r="Q2088" s="265" t="s">
        <v>649</v>
      </c>
    </row>
    <row r="2089" spans="1:17" ht="15" customHeight="1">
      <c r="A2089" s="147">
        <v>2191</v>
      </c>
      <c r="B2089" s="51" t="s">
        <v>38</v>
      </c>
      <c r="C2089" s="51">
        <v>8805</v>
      </c>
      <c r="D2089" s="51">
        <v>100026783</v>
      </c>
      <c r="E2089" s="53" t="s">
        <v>2282</v>
      </c>
      <c r="F2089" s="124">
        <v>25</v>
      </c>
      <c r="G2089" s="265" t="s">
        <v>649</v>
      </c>
      <c r="H2089" s="369">
        <v>13.19</v>
      </c>
      <c r="I2089" s="215" t="s">
        <v>346</v>
      </c>
      <c r="J2089" s="215" t="s">
        <v>77</v>
      </c>
      <c r="K2089" s="266">
        <v>49081120603</v>
      </c>
      <c r="L2089" s="265" t="s">
        <v>649</v>
      </c>
      <c r="M2089" s="266">
        <v>40049081120601</v>
      </c>
      <c r="N2089" s="264">
        <v>0.44900000000000001</v>
      </c>
      <c r="O2089" s="265" t="s">
        <v>649</v>
      </c>
      <c r="P2089" s="265">
        <v>11.22</v>
      </c>
      <c r="Q2089" s="265" t="s">
        <v>649</v>
      </c>
    </row>
    <row r="2090" spans="1:17" ht="15" customHeight="1">
      <c r="A2090" s="147">
        <v>2192</v>
      </c>
      <c r="B2090" s="51" t="s">
        <v>38</v>
      </c>
      <c r="C2090" s="51">
        <v>8807</v>
      </c>
      <c r="D2090" s="51">
        <v>100026784</v>
      </c>
      <c r="E2090" s="53" t="s">
        <v>2283</v>
      </c>
      <c r="F2090" s="124">
        <v>25</v>
      </c>
      <c r="G2090" s="124">
        <v>1875</v>
      </c>
      <c r="H2090" s="369">
        <v>15.55</v>
      </c>
      <c r="I2090" s="215" t="s">
        <v>346</v>
      </c>
      <c r="J2090" s="215" t="s">
        <v>77</v>
      </c>
      <c r="K2090" s="266">
        <v>49081120627</v>
      </c>
      <c r="L2090" s="265" t="s">
        <v>649</v>
      </c>
      <c r="M2090" s="266">
        <v>40049081120625</v>
      </c>
      <c r="N2090" s="264">
        <v>0.57699999999999996</v>
      </c>
      <c r="O2090" s="265" t="s">
        <v>649</v>
      </c>
      <c r="P2090" s="265">
        <v>14.42</v>
      </c>
      <c r="Q2090" s="265">
        <v>0.95</v>
      </c>
    </row>
    <row r="2091" spans="1:17" ht="15" customHeight="1">
      <c r="A2091" s="147">
        <v>2193</v>
      </c>
      <c r="B2091" s="51" t="s">
        <v>38</v>
      </c>
      <c r="C2091" s="51">
        <v>8811</v>
      </c>
      <c r="D2091" s="51">
        <v>100026786</v>
      </c>
      <c r="E2091" s="53" t="s">
        <v>2284</v>
      </c>
      <c r="F2091" s="124">
        <v>25</v>
      </c>
      <c r="G2091" s="124">
        <v>1875</v>
      </c>
      <c r="H2091" s="369">
        <v>20.51</v>
      </c>
      <c r="I2091" s="215" t="s">
        <v>346</v>
      </c>
      <c r="J2091" s="215" t="s">
        <v>77</v>
      </c>
      <c r="K2091" s="266">
        <v>49081120658</v>
      </c>
      <c r="L2091" s="265" t="s">
        <v>649</v>
      </c>
      <c r="M2091" s="266">
        <v>40049081120663</v>
      </c>
      <c r="N2091" s="264">
        <v>1.2749999999999999</v>
      </c>
      <c r="O2091" s="265" t="s">
        <v>649</v>
      </c>
      <c r="P2091" s="265">
        <v>31.88</v>
      </c>
      <c r="Q2091" s="265">
        <v>0.95</v>
      </c>
    </row>
    <row r="2092" spans="1:17" ht="15" customHeight="1">
      <c r="A2092" s="147">
        <v>2194</v>
      </c>
      <c r="B2092" s="51" t="s">
        <v>38</v>
      </c>
      <c r="C2092" s="51">
        <v>8815</v>
      </c>
      <c r="D2092" s="51">
        <v>100026787</v>
      </c>
      <c r="E2092" s="53" t="s">
        <v>2285</v>
      </c>
      <c r="F2092" s="124">
        <v>25</v>
      </c>
      <c r="G2092" s="265" t="s">
        <v>649</v>
      </c>
      <c r="H2092" s="369">
        <v>25.25</v>
      </c>
      <c r="I2092" s="215" t="s">
        <v>346</v>
      </c>
      <c r="J2092" s="215" t="s">
        <v>77</v>
      </c>
      <c r="K2092" s="266">
        <v>49081120689</v>
      </c>
      <c r="L2092" s="265" t="s">
        <v>649</v>
      </c>
      <c r="M2092" s="266">
        <v>40049081120687</v>
      </c>
      <c r="N2092" s="264">
        <v>1.2</v>
      </c>
      <c r="O2092" s="265" t="s">
        <v>649</v>
      </c>
      <c r="P2092" s="265">
        <v>30</v>
      </c>
      <c r="Q2092" s="265" t="s">
        <v>649</v>
      </c>
    </row>
    <row r="2093" spans="1:17" ht="15" customHeight="1">
      <c r="A2093" s="147">
        <v>2195</v>
      </c>
      <c r="B2093" s="51" t="s">
        <v>38</v>
      </c>
      <c r="C2093" s="51">
        <v>8823</v>
      </c>
      <c r="D2093" s="51">
        <v>100026789</v>
      </c>
      <c r="E2093" s="53" t="s">
        <v>2286</v>
      </c>
      <c r="F2093" s="124">
        <v>20</v>
      </c>
      <c r="G2093" s="124">
        <v>360</v>
      </c>
      <c r="H2093" s="369">
        <v>34.869999999999997</v>
      </c>
      <c r="I2093" s="215" t="s">
        <v>346</v>
      </c>
      <c r="J2093" s="215" t="s">
        <v>77</v>
      </c>
      <c r="K2093" s="266">
        <v>49081120726</v>
      </c>
      <c r="L2093" s="265" t="s">
        <v>649</v>
      </c>
      <c r="M2093" s="266">
        <v>40049081120724</v>
      </c>
      <c r="N2093" s="264">
        <v>3.738</v>
      </c>
      <c r="O2093" s="265" t="s">
        <v>649</v>
      </c>
      <c r="P2093" s="265">
        <v>37.380000000000003</v>
      </c>
      <c r="Q2093" s="265">
        <v>2.65</v>
      </c>
    </row>
    <row r="2094" spans="1:17" ht="15" customHeight="1">
      <c r="A2094" s="147">
        <v>2196</v>
      </c>
      <c r="B2094" s="51" t="s">
        <v>38</v>
      </c>
      <c r="C2094" s="51">
        <v>8907</v>
      </c>
      <c r="D2094" s="51">
        <v>100026800</v>
      </c>
      <c r="E2094" s="53" t="s">
        <v>2287</v>
      </c>
      <c r="F2094" s="124">
        <v>30</v>
      </c>
      <c r="G2094" s="265" t="s">
        <v>649</v>
      </c>
      <c r="H2094" s="369">
        <v>20.11</v>
      </c>
      <c r="I2094" s="215" t="s">
        <v>346</v>
      </c>
      <c r="J2094" s="215" t="s">
        <v>77</v>
      </c>
      <c r="K2094" s="266">
        <v>49081120924</v>
      </c>
      <c r="L2094" s="265" t="s">
        <v>649</v>
      </c>
      <c r="M2094" s="266">
        <v>40049081120922</v>
      </c>
      <c r="N2094" s="264">
        <v>0.83699999999999997</v>
      </c>
      <c r="O2094" s="265" t="s">
        <v>649</v>
      </c>
      <c r="P2094" s="265">
        <v>25.1</v>
      </c>
      <c r="Q2094" s="265" t="s">
        <v>649</v>
      </c>
    </row>
    <row r="2095" spans="1:17" ht="15" customHeight="1">
      <c r="A2095" s="147">
        <v>2197</v>
      </c>
      <c r="B2095" s="51" t="s">
        <v>38</v>
      </c>
      <c r="C2095" s="51">
        <v>8911</v>
      </c>
      <c r="D2095" s="51">
        <v>100026802</v>
      </c>
      <c r="E2095" s="53" t="s">
        <v>2288</v>
      </c>
      <c r="F2095" s="124">
        <v>20</v>
      </c>
      <c r="G2095" s="265" t="s">
        <v>649</v>
      </c>
      <c r="H2095" s="369">
        <v>27.09</v>
      </c>
      <c r="I2095" s="215" t="s">
        <v>346</v>
      </c>
      <c r="J2095" s="215" t="s">
        <v>77</v>
      </c>
      <c r="K2095" s="266">
        <v>49081120962</v>
      </c>
      <c r="L2095" s="265" t="s">
        <v>649</v>
      </c>
      <c r="M2095" s="266">
        <v>40049081120960</v>
      </c>
      <c r="N2095" s="264">
        <v>1.268</v>
      </c>
      <c r="O2095" s="265" t="s">
        <v>649</v>
      </c>
      <c r="P2095" s="265">
        <v>25.35</v>
      </c>
      <c r="Q2095" s="265" t="s">
        <v>649</v>
      </c>
    </row>
    <row r="2096" spans="1:17" ht="15" customHeight="1">
      <c r="A2096" s="147">
        <v>2198</v>
      </c>
      <c r="B2096" s="51" t="s">
        <v>38</v>
      </c>
      <c r="C2096" s="51">
        <v>8923</v>
      </c>
      <c r="D2096" s="51">
        <v>100026805</v>
      </c>
      <c r="E2096" s="53" t="s">
        <v>2289</v>
      </c>
      <c r="F2096" s="124">
        <v>5</v>
      </c>
      <c r="G2096" s="265" t="s">
        <v>649</v>
      </c>
      <c r="H2096" s="369">
        <v>48.15</v>
      </c>
      <c r="I2096" s="215" t="s">
        <v>346</v>
      </c>
      <c r="J2096" s="215" t="s">
        <v>77</v>
      </c>
      <c r="K2096" s="266">
        <v>49081121020</v>
      </c>
      <c r="L2096" s="265" t="s">
        <v>649</v>
      </c>
      <c r="M2096" s="266">
        <v>40049081121028</v>
      </c>
      <c r="N2096" s="264">
        <v>2.8</v>
      </c>
      <c r="O2096" s="265" t="s">
        <v>649</v>
      </c>
      <c r="P2096" s="265">
        <v>14</v>
      </c>
      <c r="Q2096" s="265" t="s">
        <v>649</v>
      </c>
    </row>
    <row r="2097" spans="1:17" ht="15" customHeight="1">
      <c r="A2097" s="147">
        <v>2199</v>
      </c>
      <c r="B2097" s="51" t="s">
        <v>38</v>
      </c>
      <c r="C2097" s="51" t="s">
        <v>2291</v>
      </c>
      <c r="D2097" s="51">
        <v>100022181</v>
      </c>
      <c r="E2097" s="53" t="s">
        <v>2292</v>
      </c>
      <c r="F2097" s="124">
        <v>250</v>
      </c>
      <c r="G2097" s="124">
        <v>37500</v>
      </c>
      <c r="H2097" s="369">
        <v>2.42</v>
      </c>
      <c r="I2097" s="215" t="s">
        <v>76</v>
      </c>
      <c r="J2097" s="215" t="s">
        <v>102</v>
      </c>
      <c r="K2097" s="266">
        <v>49081118433</v>
      </c>
      <c r="L2097" s="215">
        <v>49081618438</v>
      </c>
      <c r="M2097" s="266">
        <v>40049081118431</v>
      </c>
      <c r="N2097" s="264">
        <v>2.8000000000000001E-2</v>
      </c>
      <c r="O2097" s="265">
        <v>25</v>
      </c>
      <c r="P2097" s="265">
        <v>9.9700000000000006</v>
      </c>
      <c r="Q2097" s="265">
        <v>0.5</v>
      </c>
    </row>
    <row r="2098" spans="1:17" ht="15" customHeight="1">
      <c r="A2098" s="147">
        <v>2200</v>
      </c>
      <c r="B2098" s="51" t="s">
        <v>38</v>
      </c>
      <c r="C2098" s="51" t="s">
        <v>2295</v>
      </c>
      <c r="D2098" s="51">
        <v>100026832</v>
      </c>
      <c r="E2098" s="53" t="s">
        <v>2296</v>
      </c>
      <c r="F2098" s="124">
        <v>250</v>
      </c>
      <c r="G2098" s="124">
        <v>30000</v>
      </c>
      <c r="H2098" s="369">
        <v>5.15</v>
      </c>
      <c r="I2098" s="215" t="s">
        <v>76</v>
      </c>
      <c r="J2098" s="215" t="s">
        <v>102</v>
      </c>
      <c r="K2098" s="266">
        <v>49081118914</v>
      </c>
      <c r="L2098" s="215">
        <v>49081618919</v>
      </c>
      <c r="M2098" s="266">
        <v>40049081118912</v>
      </c>
      <c r="N2098" s="264">
        <v>5.3999999999999999E-2</v>
      </c>
      <c r="O2098" s="265">
        <v>25</v>
      </c>
      <c r="P2098" s="265">
        <v>13.71</v>
      </c>
      <c r="Q2098" s="265">
        <v>0.65</v>
      </c>
    </row>
    <row r="2099" spans="1:17" ht="15" customHeight="1">
      <c r="A2099" s="147">
        <v>2201</v>
      </c>
      <c r="B2099" s="51" t="s">
        <v>38</v>
      </c>
      <c r="C2099" s="51" t="s">
        <v>2298</v>
      </c>
      <c r="D2099" s="51">
        <v>100026833</v>
      </c>
      <c r="E2099" s="53" t="s">
        <v>2299</v>
      </c>
      <c r="F2099" s="124">
        <v>250</v>
      </c>
      <c r="G2099" s="124">
        <v>22500</v>
      </c>
      <c r="H2099" s="369">
        <v>5.15</v>
      </c>
      <c r="I2099" s="215" t="s">
        <v>76</v>
      </c>
      <c r="J2099" s="215" t="s">
        <v>102</v>
      </c>
      <c r="K2099" s="266">
        <v>49081118921</v>
      </c>
      <c r="L2099" s="215">
        <v>49081618926</v>
      </c>
      <c r="M2099" s="266">
        <v>40049081118929</v>
      </c>
      <c r="N2099" s="264">
        <v>5.0999999999999997E-2</v>
      </c>
      <c r="O2099" s="265">
        <v>25</v>
      </c>
      <c r="P2099" s="265">
        <v>13.9</v>
      </c>
      <c r="Q2099" s="265">
        <v>0.8</v>
      </c>
    </row>
    <row r="2100" spans="1:17" ht="15" customHeight="1">
      <c r="A2100" s="147">
        <v>2202</v>
      </c>
      <c r="B2100" s="51" t="s">
        <v>38</v>
      </c>
      <c r="C2100" s="51" t="s">
        <v>2301</v>
      </c>
      <c r="D2100" s="51">
        <v>100022182</v>
      </c>
      <c r="E2100" s="53" t="s">
        <v>2302</v>
      </c>
      <c r="F2100" s="124">
        <v>125</v>
      </c>
      <c r="G2100" s="124">
        <v>15000</v>
      </c>
      <c r="H2100" s="369">
        <v>5.86</v>
      </c>
      <c r="I2100" s="215" t="s">
        <v>346</v>
      </c>
      <c r="J2100" s="215" t="s">
        <v>102</v>
      </c>
      <c r="K2100" s="266">
        <v>49081119270</v>
      </c>
      <c r="L2100" s="265" t="s">
        <v>649</v>
      </c>
      <c r="M2100" s="266">
        <v>40049081119278</v>
      </c>
      <c r="N2100" s="264">
        <v>8.4000000000000005E-2</v>
      </c>
      <c r="O2100" s="265">
        <v>25</v>
      </c>
      <c r="P2100" s="265">
        <v>10.5</v>
      </c>
      <c r="Q2100" s="265">
        <v>0.65</v>
      </c>
    </row>
    <row r="2101" spans="1:17" ht="15" customHeight="1">
      <c r="A2101" s="147">
        <v>2203</v>
      </c>
      <c r="B2101" s="51" t="s">
        <v>38</v>
      </c>
      <c r="C2101" s="51" t="s">
        <v>2304</v>
      </c>
      <c r="D2101" s="51">
        <v>100022184</v>
      </c>
      <c r="E2101" s="53" t="s">
        <v>2305</v>
      </c>
      <c r="F2101" s="124">
        <v>125</v>
      </c>
      <c r="G2101" s="124">
        <v>11250</v>
      </c>
      <c r="H2101" s="369">
        <v>8.26</v>
      </c>
      <c r="I2101" s="215" t="s">
        <v>76</v>
      </c>
      <c r="J2101" s="215" t="s">
        <v>102</v>
      </c>
      <c r="K2101" s="266">
        <v>49081119607</v>
      </c>
      <c r="L2101" s="265" t="s">
        <v>649</v>
      </c>
      <c r="M2101" s="266">
        <v>40049081119605</v>
      </c>
      <c r="N2101" s="264">
        <v>9.9000000000000005E-2</v>
      </c>
      <c r="O2101" s="265">
        <v>25</v>
      </c>
      <c r="P2101" s="265">
        <v>12.48</v>
      </c>
      <c r="Q2101" s="265">
        <v>0.8</v>
      </c>
    </row>
    <row r="2102" spans="1:17" ht="15" customHeight="1">
      <c r="A2102" s="147">
        <v>2204</v>
      </c>
      <c r="B2102" s="51" t="s">
        <v>38</v>
      </c>
      <c r="C2102" s="51" t="s">
        <v>2307</v>
      </c>
      <c r="D2102" s="51">
        <v>100022186</v>
      </c>
      <c r="E2102" s="53" t="s">
        <v>2308</v>
      </c>
      <c r="F2102" s="124">
        <v>125</v>
      </c>
      <c r="G2102" s="124">
        <v>11250</v>
      </c>
      <c r="H2102" s="369">
        <v>8.26</v>
      </c>
      <c r="I2102" s="215" t="s">
        <v>76</v>
      </c>
      <c r="J2102" s="215" t="s">
        <v>102</v>
      </c>
      <c r="K2102" s="266">
        <v>49081119614</v>
      </c>
      <c r="L2102" s="215">
        <v>49081619619</v>
      </c>
      <c r="M2102" s="266">
        <v>40049081119612</v>
      </c>
      <c r="N2102" s="264">
        <v>0.10100000000000001</v>
      </c>
      <c r="O2102" s="265">
        <v>25</v>
      </c>
      <c r="P2102" s="265">
        <v>12.73</v>
      </c>
      <c r="Q2102" s="265">
        <v>0.8</v>
      </c>
    </row>
    <row r="2103" spans="1:17" ht="15" customHeight="1">
      <c r="A2103" s="147">
        <v>2205</v>
      </c>
      <c r="B2103" s="51" t="s">
        <v>39</v>
      </c>
      <c r="C2103" s="51" t="s">
        <v>2313</v>
      </c>
      <c r="D2103" s="51">
        <v>100026337</v>
      </c>
      <c r="E2103" s="53" t="s">
        <v>2314</v>
      </c>
      <c r="F2103" s="124">
        <v>25</v>
      </c>
      <c r="G2103" s="124">
        <v>6750</v>
      </c>
      <c r="H2103" s="369">
        <v>17.920000000000002</v>
      </c>
      <c r="I2103" s="215" t="s">
        <v>76</v>
      </c>
      <c r="J2103" s="215" t="s">
        <v>102</v>
      </c>
      <c r="K2103" s="266">
        <v>49081144500</v>
      </c>
      <c r="L2103" s="265" t="s">
        <v>649</v>
      </c>
      <c r="M2103" s="266">
        <v>40049081144508</v>
      </c>
      <c r="N2103" s="264">
        <v>0.192</v>
      </c>
      <c r="O2103" s="265" t="s">
        <v>649</v>
      </c>
      <c r="P2103" s="265">
        <v>5.4749999999999996</v>
      </c>
      <c r="Q2103" s="265">
        <v>0.31</v>
      </c>
    </row>
    <row r="2104" spans="1:17" ht="15" customHeight="1">
      <c r="A2104" s="147">
        <v>2206</v>
      </c>
      <c r="B2104" s="51" t="s">
        <v>39</v>
      </c>
      <c r="C2104" s="51" t="s">
        <v>2315</v>
      </c>
      <c r="D2104" s="51">
        <v>100026341</v>
      </c>
      <c r="E2104" s="53" t="s">
        <v>2316</v>
      </c>
      <c r="F2104" s="124">
        <v>20</v>
      </c>
      <c r="G2104" s="124">
        <v>5400</v>
      </c>
      <c r="H2104" s="369">
        <v>17.760000000000002</v>
      </c>
      <c r="I2104" s="215" t="s">
        <v>76</v>
      </c>
      <c r="J2104" s="215" t="s">
        <v>102</v>
      </c>
      <c r="K2104" s="266">
        <v>49081144524</v>
      </c>
      <c r="L2104" s="265" t="s">
        <v>649</v>
      </c>
      <c r="M2104" s="266">
        <v>40049081144522</v>
      </c>
      <c r="N2104" s="264">
        <v>0.26200000000000001</v>
      </c>
      <c r="O2104" s="265" t="s">
        <v>649</v>
      </c>
      <c r="P2104" s="265">
        <v>4.4249999999999998</v>
      </c>
      <c r="Q2104" s="265">
        <v>0.31</v>
      </c>
    </row>
    <row r="2105" spans="1:17" ht="15" customHeight="1">
      <c r="A2105" s="147">
        <v>2207</v>
      </c>
      <c r="B2105" s="51" t="s">
        <v>39</v>
      </c>
      <c r="C2105" s="51" t="s">
        <v>2317</v>
      </c>
      <c r="D2105" s="51">
        <v>100026338</v>
      </c>
      <c r="E2105" s="53" t="s">
        <v>2318</v>
      </c>
      <c r="F2105" s="124">
        <v>25</v>
      </c>
      <c r="G2105" s="124">
        <v>3000</v>
      </c>
      <c r="H2105" s="369">
        <v>35.01</v>
      </c>
      <c r="I2105" s="215" t="s">
        <v>76</v>
      </c>
      <c r="J2105" s="215" t="s">
        <v>102</v>
      </c>
      <c r="K2105" s="266">
        <v>49081404222</v>
      </c>
      <c r="L2105" s="265" t="s">
        <v>649</v>
      </c>
      <c r="M2105" s="266">
        <v>40049081404220</v>
      </c>
      <c r="N2105" s="264">
        <v>0.34300000000000003</v>
      </c>
      <c r="O2105" s="265" t="s">
        <v>649</v>
      </c>
      <c r="P2105" s="265">
        <v>9.3249999999999993</v>
      </c>
      <c r="Q2105" s="265">
        <v>0.65</v>
      </c>
    </row>
    <row r="2106" spans="1:17" ht="15" customHeight="1">
      <c r="A2106" s="147">
        <v>2208</v>
      </c>
      <c r="B2106" s="51" t="s">
        <v>39</v>
      </c>
      <c r="C2106" s="51" t="s">
        <v>2319</v>
      </c>
      <c r="D2106" s="51">
        <v>100026339</v>
      </c>
      <c r="E2106" s="53" t="s">
        <v>2320</v>
      </c>
      <c r="F2106" s="124">
        <v>25</v>
      </c>
      <c r="G2106" s="124">
        <v>2250</v>
      </c>
      <c r="H2106" s="369">
        <v>52.5</v>
      </c>
      <c r="I2106" s="215" t="s">
        <v>76</v>
      </c>
      <c r="J2106" s="215" t="s">
        <v>102</v>
      </c>
      <c r="K2106" s="266">
        <v>49081404239</v>
      </c>
      <c r="L2106" s="265" t="s">
        <v>649</v>
      </c>
      <c r="M2106" s="266">
        <v>40049081404237</v>
      </c>
      <c r="N2106" s="264">
        <v>0.49399999999999999</v>
      </c>
      <c r="O2106" s="265" t="s">
        <v>649</v>
      </c>
      <c r="P2106" s="265">
        <v>13.35</v>
      </c>
      <c r="Q2106" s="265">
        <v>0.8</v>
      </c>
    </row>
    <row r="2107" spans="1:17" ht="15" customHeight="1">
      <c r="A2107" s="147">
        <v>2209</v>
      </c>
      <c r="B2107" s="51" t="s">
        <v>39</v>
      </c>
      <c r="C2107" s="51" t="s">
        <v>2321</v>
      </c>
      <c r="D2107" s="51">
        <v>100026340</v>
      </c>
      <c r="E2107" s="53" t="s">
        <v>2322</v>
      </c>
      <c r="F2107" s="124">
        <v>25</v>
      </c>
      <c r="G2107" s="124">
        <v>1875</v>
      </c>
      <c r="H2107" s="369">
        <v>69.86</v>
      </c>
      <c r="I2107" s="215" t="s">
        <v>76</v>
      </c>
      <c r="J2107" s="215" t="s">
        <v>102</v>
      </c>
      <c r="K2107" s="266">
        <v>49081404246</v>
      </c>
      <c r="L2107" s="265" t="s">
        <v>649</v>
      </c>
      <c r="M2107" s="266">
        <v>40049081404244</v>
      </c>
      <c r="N2107" s="264">
        <v>0.64300000000000002</v>
      </c>
      <c r="O2107" s="265" t="s">
        <v>649</v>
      </c>
      <c r="P2107" s="265">
        <v>17.23</v>
      </c>
      <c r="Q2107" s="265">
        <v>1.1000000000000001</v>
      </c>
    </row>
    <row r="2108" spans="1:17" ht="15" customHeight="1">
      <c r="A2108" s="147">
        <v>2210</v>
      </c>
      <c r="B2108" s="51" t="s">
        <v>39</v>
      </c>
      <c r="C2108" s="51" t="s">
        <v>2323</v>
      </c>
      <c r="D2108" s="51">
        <v>100026342</v>
      </c>
      <c r="E2108" s="53" t="s">
        <v>2324</v>
      </c>
      <c r="F2108" s="124">
        <v>25</v>
      </c>
      <c r="G2108" s="124">
        <v>6750</v>
      </c>
      <c r="H2108" s="369">
        <v>15.32</v>
      </c>
      <c r="I2108" s="215" t="s">
        <v>76</v>
      </c>
      <c r="J2108" s="215" t="s">
        <v>102</v>
      </c>
      <c r="K2108" s="266">
        <v>49081141554</v>
      </c>
      <c r="L2108" s="265" t="s">
        <v>649</v>
      </c>
      <c r="M2108" s="266">
        <v>40049081141552</v>
      </c>
      <c r="N2108" s="264">
        <v>0.128</v>
      </c>
      <c r="O2108" s="265" t="s">
        <v>649</v>
      </c>
      <c r="P2108" s="265">
        <v>3.65</v>
      </c>
      <c r="Q2108" s="265">
        <v>0.31</v>
      </c>
    </row>
    <row r="2109" spans="1:17" ht="15" customHeight="1">
      <c r="A2109" s="147">
        <v>2211</v>
      </c>
      <c r="B2109" s="51" t="s">
        <v>39</v>
      </c>
      <c r="C2109" s="51" t="s">
        <v>2325</v>
      </c>
      <c r="D2109" s="51">
        <v>100026343</v>
      </c>
      <c r="E2109" s="53" t="s">
        <v>2326</v>
      </c>
      <c r="F2109" s="124">
        <v>25</v>
      </c>
      <c r="G2109" s="124">
        <v>6750</v>
      </c>
      <c r="H2109" s="369">
        <v>16.899999999999999</v>
      </c>
      <c r="I2109" s="215" t="s">
        <v>76</v>
      </c>
      <c r="J2109" s="215" t="s">
        <v>102</v>
      </c>
      <c r="K2109" s="266">
        <v>49081141585</v>
      </c>
      <c r="L2109" s="265" t="s">
        <v>649</v>
      </c>
      <c r="M2109" s="266">
        <v>40049081141583</v>
      </c>
      <c r="N2109" s="264">
        <v>0.156</v>
      </c>
      <c r="O2109" s="265" t="s">
        <v>649</v>
      </c>
      <c r="P2109" s="265">
        <v>4.4249999999999998</v>
      </c>
      <c r="Q2109" s="265">
        <v>0.31</v>
      </c>
    </row>
    <row r="2110" spans="1:17" ht="15" customHeight="1">
      <c r="A2110" s="147">
        <v>2212</v>
      </c>
      <c r="B2110" s="51" t="s">
        <v>39</v>
      </c>
      <c r="C2110" s="51" t="s">
        <v>2327</v>
      </c>
      <c r="D2110" s="51">
        <v>100026344</v>
      </c>
      <c r="E2110" s="53" t="s">
        <v>2328</v>
      </c>
      <c r="F2110" s="124">
        <v>25</v>
      </c>
      <c r="G2110" s="124">
        <v>6750</v>
      </c>
      <c r="H2110" s="369">
        <v>14.75</v>
      </c>
      <c r="I2110" s="215" t="s">
        <v>76</v>
      </c>
      <c r="J2110" s="215" t="s">
        <v>102</v>
      </c>
      <c r="K2110" s="266">
        <v>49081141608</v>
      </c>
      <c r="L2110" s="265" t="s">
        <v>649</v>
      </c>
      <c r="M2110" s="266">
        <v>40049081141606</v>
      </c>
      <c r="N2110" s="264">
        <v>0.218</v>
      </c>
      <c r="O2110" s="265" t="s">
        <v>649</v>
      </c>
      <c r="P2110" s="265">
        <v>4.4249999999999998</v>
      </c>
      <c r="Q2110" s="265">
        <v>0.31</v>
      </c>
    </row>
    <row r="2111" spans="1:17" ht="15" customHeight="1">
      <c r="A2111" s="147">
        <v>2213</v>
      </c>
      <c r="B2111" s="51" t="s">
        <v>39</v>
      </c>
      <c r="C2111" s="51" t="s">
        <v>2329</v>
      </c>
      <c r="D2111" s="51">
        <v>100026345</v>
      </c>
      <c r="E2111" s="53" t="s">
        <v>2330</v>
      </c>
      <c r="F2111" s="124">
        <v>15</v>
      </c>
      <c r="G2111" s="124">
        <v>4050</v>
      </c>
      <c r="H2111" s="369">
        <v>23.79</v>
      </c>
      <c r="I2111" s="215" t="s">
        <v>76</v>
      </c>
      <c r="J2111" s="215" t="s">
        <v>102</v>
      </c>
      <c r="K2111" s="266">
        <v>49081139216</v>
      </c>
      <c r="L2111" s="265" t="s">
        <v>649</v>
      </c>
      <c r="M2111" s="266">
        <v>40049081139214</v>
      </c>
      <c r="N2111" s="264">
        <v>0.248</v>
      </c>
      <c r="O2111" s="265" t="s">
        <v>649</v>
      </c>
      <c r="P2111" s="265">
        <v>4.37</v>
      </c>
      <c r="Q2111" s="265">
        <v>0.31</v>
      </c>
    </row>
    <row r="2112" spans="1:17" ht="15" customHeight="1">
      <c r="A2112" s="147">
        <v>2214</v>
      </c>
      <c r="B2112" s="51" t="s">
        <v>39</v>
      </c>
      <c r="C2112" s="51" t="s">
        <v>2331</v>
      </c>
      <c r="D2112" s="51">
        <v>100026347</v>
      </c>
      <c r="E2112" s="53" t="s">
        <v>2332</v>
      </c>
      <c r="F2112" s="124">
        <v>50</v>
      </c>
      <c r="G2112" s="124">
        <v>13500</v>
      </c>
      <c r="H2112" s="369">
        <v>10.37</v>
      </c>
      <c r="I2112" s="215" t="s">
        <v>346</v>
      </c>
      <c r="J2112" s="215" t="s">
        <v>102</v>
      </c>
      <c r="K2112" s="266">
        <v>49081132347</v>
      </c>
      <c r="L2112" s="265" t="s">
        <v>649</v>
      </c>
      <c r="M2112" s="266">
        <v>40049081132345</v>
      </c>
      <c r="N2112" s="264">
        <v>0.106</v>
      </c>
      <c r="O2112" s="265" t="s">
        <v>649</v>
      </c>
      <c r="P2112" s="265">
        <v>5.7249999999999996</v>
      </c>
      <c r="Q2112" s="265">
        <v>0.31</v>
      </c>
    </row>
    <row r="2113" spans="1:17" ht="15" customHeight="1">
      <c r="A2113" s="147">
        <v>2215</v>
      </c>
      <c r="B2113" s="51" t="s">
        <v>39</v>
      </c>
      <c r="C2113" s="51" t="s">
        <v>2333</v>
      </c>
      <c r="D2113" s="51">
        <v>100026349</v>
      </c>
      <c r="E2113" s="53" t="s">
        <v>2334</v>
      </c>
      <c r="F2113" s="124">
        <v>50</v>
      </c>
      <c r="G2113" s="124">
        <v>13500</v>
      </c>
      <c r="H2113" s="369">
        <v>12.72</v>
      </c>
      <c r="I2113" s="215" t="s">
        <v>76</v>
      </c>
      <c r="J2113" s="215" t="s">
        <v>102</v>
      </c>
      <c r="K2113" s="266">
        <v>49081138769</v>
      </c>
      <c r="L2113" s="265" t="s">
        <v>649</v>
      </c>
      <c r="M2113" s="266">
        <v>40049081138767</v>
      </c>
      <c r="N2113" s="264">
        <v>0.13</v>
      </c>
      <c r="O2113" s="265" t="s">
        <v>649</v>
      </c>
      <c r="P2113" s="265">
        <v>6.9249999999999998</v>
      </c>
      <c r="Q2113" s="265">
        <v>0.31</v>
      </c>
    </row>
    <row r="2114" spans="1:17" ht="15" customHeight="1">
      <c r="A2114" s="147">
        <v>2216</v>
      </c>
      <c r="B2114" s="51" t="s">
        <v>39</v>
      </c>
      <c r="C2114" s="51" t="s">
        <v>2335</v>
      </c>
      <c r="D2114" s="51">
        <v>100026350</v>
      </c>
      <c r="E2114" s="53" t="s">
        <v>2336</v>
      </c>
      <c r="F2114" s="124">
        <v>40</v>
      </c>
      <c r="G2114" s="124">
        <v>10800</v>
      </c>
      <c r="H2114" s="369">
        <v>10.37</v>
      </c>
      <c r="I2114" s="215" t="s">
        <v>76</v>
      </c>
      <c r="J2114" s="215" t="s">
        <v>102</v>
      </c>
      <c r="K2114" s="266">
        <v>49081138783</v>
      </c>
      <c r="L2114" s="215">
        <v>49081638788</v>
      </c>
      <c r="M2114" s="266">
        <v>40049081138781</v>
      </c>
      <c r="N2114" s="264">
        <v>0.11899999999999999</v>
      </c>
      <c r="O2114" s="265" t="s">
        <v>649</v>
      </c>
      <c r="P2114" s="265">
        <v>5.4249999999999998</v>
      </c>
      <c r="Q2114" s="265">
        <v>0.31</v>
      </c>
    </row>
    <row r="2115" spans="1:17" ht="15" customHeight="1">
      <c r="A2115" s="147">
        <v>2217</v>
      </c>
      <c r="B2115" s="51" t="s">
        <v>39</v>
      </c>
      <c r="C2115" s="51" t="s">
        <v>2337</v>
      </c>
      <c r="D2115" s="51">
        <v>100026353</v>
      </c>
      <c r="E2115" s="53" t="s">
        <v>2338</v>
      </c>
      <c r="F2115" s="124">
        <v>50</v>
      </c>
      <c r="G2115" s="124">
        <v>13500</v>
      </c>
      <c r="H2115" s="369">
        <v>11.67</v>
      </c>
      <c r="I2115" s="215" t="s">
        <v>76</v>
      </c>
      <c r="J2115" s="215" t="s">
        <v>102</v>
      </c>
      <c r="K2115" s="266">
        <v>49081132309</v>
      </c>
      <c r="L2115" s="215">
        <v>49081632304</v>
      </c>
      <c r="M2115" s="266">
        <v>40049081132307</v>
      </c>
      <c r="N2115" s="264">
        <v>0.108</v>
      </c>
      <c r="O2115" s="265">
        <v>25</v>
      </c>
      <c r="P2115" s="265">
        <v>6.1749999999999998</v>
      </c>
      <c r="Q2115" s="265">
        <v>0.31</v>
      </c>
    </row>
    <row r="2116" spans="1:17" ht="15" customHeight="1">
      <c r="A2116" s="147">
        <v>2218</v>
      </c>
      <c r="B2116" s="51" t="s">
        <v>39</v>
      </c>
      <c r="C2116" s="51" t="s">
        <v>2339</v>
      </c>
      <c r="D2116" s="51">
        <v>100026356</v>
      </c>
      <c r="E2116" s="53" t="s">
        <v>2340</v>
      </c>
      <c r="F2116" s="124">
        <v>50</v>
      </c>
      <c r="G2116" s="124">
        <v>13500</v>
      </c>
      <c r="H2116" s="369">
        <v>11.24</v>
      </c>
      <c r="I2116" s="215" t="s">
        <v>76</v>
      </c>
      <c r="J2116" s="215" t="s">
        <v>102</v>
      </c>
      <c r="K2116" s="266">
        <v>49081132316</v>
      </c>
      <c r="L2116" s="215">
        <v>49081632311</v>
      </c>
      <c r="M2116" s="266">
        <v>40049081132314</v>
      </c>
      <c r="N2116" s="264">
        <v>9.2999999999999999E-2</v>
      </c>
      <c r="O2116" s="265">
        <v>25</v>
      </c>
      <c r="P2116" s="265">
        <v>5.125</v>
      </c>
      <c r="Q2116" s="265">
        <v>0.31</v>
      </c>
    </row>
    <row r="2117" spans="1:17" ht="15" customHeight="1">
      <c r="A2117" s="147">
        <v>2219</v>
      </c>
      <c r="B2117" s="51" t="s">
        <v>39</v>
      </c>
      <c r="C2117" s="51" t="s">
        <v>2341</v>
      </c>
      <c r="D2117" s="51">
        <v>100026359</v>
      </c>
      <c r="E2117" s="53" t="s">
        <v>2342</v>
      </c>
      <c r="F2117" s="124">
        <v>50</v>
      </c>
      <c r="G2117" s="124">
        <v>13500</v>
      </c>
      <c r="H2117" s="369">
        <v>9.6999999999999993</v>
      </c>
      <c r="I2117" s="215" t="s">
        <v>76</v>
      </c>
      <c r="J2117" s="215" t="s">
        <v>102</v>
      </c>
      <c r="K2117" s="266">
        <v>49081142810</v>
      </c>
      <c r="L2117" s="215">
        <v>49081642815</v>
      </c>
      <c r="M2117" s="266">
        <v>40049081142818</v>
      </c>
      <c r="N2117" s="264">
        <v>8.8999999999999996E-2</v>
      </c>
      <c r="O2117" s="265">
        <v>25</v>
      </c>
      <c r="P2117" s="265">
        <v>4.9249999999999998</v>
      </c>
      <c r="Q2117" s="265">
        <v>0.31</v>
      </c>
    </row>
    <row r="2118" spans="1:17" ht="15" customHeight="1">
      <c r="A2118" s="147">
        <v>2220</v>
      </c>
      <c r="B2118" s="51" t="s">
        <v>39</v>
      </c>
      <c r="C2118" s="51" t="s">
        <v>2343</v>
      </c>
      <c r="D2118" s="51">
        <v>100026360</v>
      </c>
      <c r="E2118" s="53" t="s">
        <v>2344</v>
      </c>
      <c r="F2118" s="124">
        <v>50</v>
      </c>
      <c r="G2118" s="124">
        <v>13500</v>
      </c>
      <c r="H2118" s="369">
        <v>9.8699999999999992</v>
      </c>
      <c r="I2118" s="215" t="s">
        <v>76</v>
      </c>
      <c r="J2118" s="215" t="s">
        <v>102</v>
      </c>
      <c r="K2118" s="266">
        <v>49081142827</v>
      </c>
      <c r="L2118" s="215">
        <v>49081642822</v>
      </c>
      <c r="M2118" s="266">
        <v>40049081142825</v>
      </c>
      <c r="N2118" s="264">
        <v>0.109</v>
      </c>
      <c r="O2118" s="265">
        <v>25</v>
      </c>
      <c r="P2118" s="265">
        <v>5.9249999999999998</v>
      </c>
      <c r="Q2118" s="265">
        <v>0.31</v>
      </c>
    </row>
    <row r="2119" spans="1:17" ht="15" customHeight="1">
      <c r="A2119" s="147">
        <v>2221</v>
      </c>
      <c r="B2119" s="51" t="s">
        <v>39</v>
      </c>
      <c r="C2119" s="51" t="s">
        <v>2345</v>
      </c>
      <c r="D2119" s="51">
        <v>100026361</v>
      </c>
      <c r="E2119" s="53" t="s">
        <v>2346</v>
      </c>
      <c r="F2119" s="124">
        <v>100</v>
      </c>
      <c r="G2119" s="124">
        <v>27000</v>
      </c>
      <c r="H2119" s="369">
        <v>3.92</v>
      </c>
      <c r="I2119" s="215" t="s">
        <v>76</v>
      </c>
      <c r="J2119" s="215" t="s">
        <v>102</v>
      </c>
      <c r="K2119" s="266">
        <v>49081137373</v>
      </c>
      <c r="L2119" s="215">
        <v>49081637378</v>
      </c>
      <c r="M2119" s="266">
        <v>40049081137371</v>
      </c>
      <c r="N2119" s="264">
        <v>6.4000000000000001E-2</v>
      </c>
      <c r="O2119" s="265">
        <v>25</v>
      </c>
      <c r="P2119" s="265">
        <v>6.4249999999999998</v>
      </c>
      <c r="Q2119" s="265">
        <v>0.31</v>
      </c>
    </row>
    <row r="2120" spans="1:17" ht="15" customHeight="1">
      <c r="A2120" s="147">
        <v>2222</v>
      </c>
      <c r="B2120" s="51" t="s">
        <v>39</v>
      </c>
      <c r="C2120" s="51" t="s">
        <v>2347</v>
      </c>
      <c r="D2120" s="51">
        <v>100026333</v>
      </c>
      <c r="E2120" s="53" t="s">
        <v>2348</v>
      </c>
      <c r="F2120" s="124">
        <v>75</v>
      </c>
      <c r="G2120" s="124">
        <v>20250</v>
      </c>
      <c r="H2120" s="369">
        <v>4.1399999999999997</v>
      </c>
      <c r="I2120" s="215" t="s">
        <v>76</v>
      </c>
      <c r="J2120" s="215" t="s">
        <v>102</v>
      </c>
      <c r="K2120" s="266">
        <v>49081118792</v>
      </c>
      <c r="L2120" s="215">
        <v>49081118792</v>
      </c>
      <c r="M2120" s="266">
        <v>40049081118790</v>
      </c>
      <c r="N2120" s="264">
        <v>7.0999999999999994E-2</v>
      </c>
      <c r="O2120" s="265">
        <v>25</v>
      </c>
      <c r="P2120" s="265">
        <v>6.05</v>
      </c>
      <c r="Q2120" s="265">
        <v>0.31</v>
      </c>
    </row>
    <row r="2121" spans="1:17" ht="15" customHeight="1">
      <c r="A2121" s="147">
        <v>2223</v>
      </c>
      <c r="B2121" s="51" t="s">
        <v>39</v>
      </c>
      <c r="C2121" s="51" t="s">
        <v>2349</v>
      </c>
      <c r="D2121" s="51">
        <v>100026334</v>
      </c>
      <c r="E2121" s="53" t="s">
        <v>2350</v>
      </c>
      <c r="F2121" s="124">
        <v>75</v>
      </c>
      <c r="G2121" s="124">
        <v>20250</v>
      </c>
      <c r="H2121" s="369">
        <v>4.63</v>
      </c>
      <c r="I2121" s="215" t="s">
        <v>76</v>
      </c>
      <c r="J2121" s="215" t="s">
        <v>102</v>
      </c>
      <c r="K2121" s="266">
        <v>49081118839</v>
      </c>
      <c r="L2121" s="215">
        <v>49081618834</v>
      </c>
      <c r="M2121" s="266">
        <v>40049081118837</v>
      </c>
      <c r="N2121" s="264">
        <v>7.0999999999999994E-2</v>
      </c>
      <c r="O2121" s="265">
        <v>25</v>
      </c>
      <c r="P2121" s="265">
        <v>5.3</v>
      </c>
      <c r="Q2121" s="265">
        <v>0.31</v>
      </c>
    </row>
    <row r="2122" spans="1:17" ht="15" customHeight="1">
      <c r="A2122" s="147">
        <v>2224</v>
      </c>
      <c r="B2122" s="51" t="s">
        <v>39</v>
      </c>
      <c r="C2122" s="51" t="s">
        <v>2352</v>
      </c>
      <c r="D2122" s="51">
        <v>100026354</v>
      </c>
      <c r="E2122" s="53" t="s">
        <v>2353</v>
      </c>
      <c r="F2122" s="124">
        <v>20</v>
      </c>
      <c r="G2122" s="124">
        <v>5400</v>
      </c>
      <c r="H2122" s="369">
        <v>18.420000000000002</v>
      </c>
      <c r="I2122" s="215" t="s">
        <v>76</v>
      </c>
      <c r="J2122" s="215" t="s">
        <v>102</v>
      </c>
      <c r="K2122" s="266">
        <v>49081132286</v>
      </c>
      <c r="L2122" s="265" t="s">
        <v>649</v>
      </c>
      <c r="M2122" s="266">
        <v>40049081132284</v>
      </c>
      <c r="N2122" s="264">
        <v>0.20100000000000001</v>
      </c>
      <c r="O2122" s="265" t="s">
        <v>649</v>
      </c>
      <c r="P2122" s="265">
        <v>4.0250000000000004</v>
      </c>
      <c r="Q2122" s="265">
        <v>0.31</v>
      </c>
    </row>
    <row r="2123" spans="1:17" ht="15" customHeight="1">
      <c r="A2123" s="147">
        <v>2225</v>
      </c>
      <c r="B2123" s="51" t="s">
        <v>39</v>
      </c>
      <c r="C2123" s="51" t="s">
        <v>2354</v>
      </c>
      <c r="D2123" s="51">
        <v>100026355</v>
      </c>
      <c r="E2123" s="53" t="s">
        <v>2355</v>
      </c>
      <c r="F2123" s="124">
        <v>20</v>
      </c>
      <c r="G2123" s="124">
        <v>5400</v>
      </c>
      <c r="H2123" s="369">
        <v>22.99</v>
      </c>
      <c r="I2123" s="215" t="s">
        <v>76</v>
      </c>
      <c r="J2123" s="215" t="s">
        <v>102</v>
      </c>
      <c r="K2123" s="266">
        <v>49081132293</v>
      </c>
      <c r="L2123" s="265" t="s">
        <v>649</v>
      </c>
      <c r="M2123" s="266">
        <v>40049081132291</v>
      </c>
      <c r="N2123" s="264">
        <v>0.27600000000000002</v>
      </c>
      <c r="O2123" s="265" t="s">
        <v>649</v>
      </c>
      <c r="P2123" s="265">
        <v>5.5250000000000004</v>
      </c>
      <c r="Q2123" s="265">
        <v>0.31</v>
      </c>
    </row>
    <row r="2124" spans="1:17" ht="15" customHeight="1">
      <c r="A2124" s="147">
        <v>2226</v>
      </c>
      <c r="B2124" s="51" t="s">
        <v>39</v>
      </c>
      <c r="C2124" s="51" t="s">
        <v>2356</v>
      </c>
      <c r="D2124" s="51">
        <v>100026362</v>
      </c>
      <c r="E2124" s="53" t="s">
        <v>2357</v>
      </c>
      <c r="F2124" s="124">
        <v>25</v>
      </c>
      <c r="G2124" s="124">
        <v>6750</v>
      </c>
      <c r="H2124" s="369">
        <v>5.31</v>
      </c>
      <c r="I2124" s="215" t="s">
        <v>76</v>
      </c>
      <c r="J2124" s="215" t="s">
        <v>102</v>
      </c>
      <c r="K2124" s="266">
        <v>49081143060</v>
      </c>
      <c r="L2124" s="215">
        <v>49081643065</v>
      </c>
      <c r="M2124" s="266">
        <v>40049081143068</v>
      </c>
      <c r="N2124" s="264">
        <v>0.122</v>
      </c>
      <c r="O2124" s="265">
        <v>5</v>
      </c>
      <c r="P2124" s="265">
        <v>3.05</v>
      </c>
      <c r="Q2124" s="265">
        <v>0.31</v>
      </c>
    </row>
    <row r="2125" spans="1:17" ht="15" customHeight="1">
      <c r="A2125" s="147">
        <v>2227</v>
      </c>
      <c r="B2125" s="51" t="s">
        <v>39</v>
      </c>
      <c r="C2125" s="51" t="s">
        <v>2358</v>
      </c>
      <c r="D2125" s="51">
        <v>100026363</v>
      </c>
      <c r="E2125" s="53" t="s">
        <v>2359</v>
      </c>
      <c r="F2125" s="124">
        <v>25</v>
      </c>
      <c r="G2125" s="124">
        <v>6750</v>
      </c>
      <c r="H2125" s="369">
        <v>5.87</v>
      </c>
      <c r="I2125" s="215" t="s">
        <v>346</v>
      </c>
      <c r="J2125" s="215" t="s">
        <v>102</v>
      </c>
      <c r="K2125" s="266">
        <v>49081143077</v>
      </c>
      <c r="L2125" s="215">
        <v>49081643072</v>
      </c>
      <c r="M2125" s="266">
        <v>40049081143075</v>
      </c>
      <c r="N2125" s="264">
        <v>0.16700000000000001</v>
      </c>
      <c r="O2125" s="265">
        <v>5</v>
      </c>
      <c r="P2125" s="265">
        <v>4.1749999999999998</v>
      </c>
      <c r="Q2125" s="265">
        <v>0.31</v>
      </c>
    </row>
    <row r="2126" spans="1:17" ht="15" customHeight="1">
      <c r="A2126" s="147">
        <v>2228</v>
      </c>
      <c r="B2126" s="51" t="s">
        <v>40</v>
      </c>
      <c r="C2126" s="51" t="s">
        <v>2361</v>
      </c>
      <c r="D2126" s="51">
        <v>100026151</v>
      </c>
      <c r="E2126" s="53" t="s">
        <v>2362</v>
      </c>
      <c r="F2126" s="124">
        <v>20</v>
      </c>
      <c r="G2126" s="265" t="s">
        <v>649</v>
      </c>
      <c r="H2126" s="369">
        <v>12.53</v>
      </c>
      <c r="I2126" s="215" t="s">
        <v>76</v>
      </c>
      <c r="J2126" s="215" t="s">
        <v>102</v>
      </c>
      <c r="K2126" s="266">
        <v>49081285029</v>
      </c>
      <c r="L2126" s="265" t="s">
        <v>649</v>
      </c>
      <c r="M2126" s="266">
        <v>50049081285024</v>
      </c>
      <c r="N2126" s="264">
        <v>0.34399999999999997</v>
      </c>
      <c r="O2126" s="265" t="s">
        <v>649</v>
      </c>
      <c r="P2126" s="265">
        <v>7.3860000000000001</v>
      </c>
      <c r="Q2126" s="265">
        <v>0.27</v>
      </c>
    </row>
    <row r="2127" spans="1:17" ht="15" customHeight="1">
      <c r="A2127" s="147">
        <v>2229</v>
      </c>
      <c r="B2127" s="51" t="s">
        <v>40</v>
      </c>
      <c r="C2127" s="51" t="s">
        <v>2363</v>
      </c>
      <c r="D2127" s="51">
        <v>100026153</v>
      </c>
      <c r="E2127" s="53" t="s">
        <v>2364</v>
      </c>
      <c r="F2127" s="124">
        <v>12</v>
      </c>
      <c r="G2127" s="265" t="s">
        <v>649</v>
      </c>
      <c r="H2127" s="369">
        <v>15.06</v>
      </c>
      <c r="I2127" s="215" t="s">
        <v>76</v>
      </c>
      <c r="J2127" s="215" t="s">
        <v>102</v>
      </c>
      <c r="K2127" s="266">
        <v>49081285050</v>
      </c>
      <c r="L2127" s="265" t="s">
        <v>649</v>
      </c>
      <c r="M2127" s="266">
        <v>50049081285055</v>
      </c>
      <c r="N2127" s="264">
        <v>0.47099999999999997</v>
      </c>
      <c r="O2127" s="265" t="s">
        <v>649</v>
      </c>
      <c r="P2127" s="265">
        <v>5.9050000000000002</v>
      </c>
      <c r="Q2127" s="265">
        <v>0.27</v>
      </c>
    </row>
    <row r="2128" spans="1:17" ht="15" customHeight="1">
      <c r="A2128" s="147">
        <v>2230</v>
      </c>
      <c r="B2128" s="51" t="s">
        <v>40</v>
      </c>
      <c r="C2128" s="51" t="s">
        <v>2365</v>
      </c>
      <c r="D2128" s="51">
        <v>100026155</v>
      </c>
      <c r="E2128" s="53" t="s">
        <v>2366</v>
      </c>
      <c r="F2128" s="124">
        <v>9</v>
      </c>
      <c r="G2128" s="265" t="s">
        <v>649</v>
      </c>
      <c r="H2128" s="369">
        <v>18.84</v>
      </c>
      <c r="I2128" s="215" t="s">
        <v>76</v>
      </c>
      <c r="J2128" s="215" t="s">
        <v>102</v>
      </c>
      <c r="K2128" s="266">
        <v>49081285074</v>
      </c>
      <c r="L2128" s="265" t="s">
        <v>649</v>
      </c>
      <c r="M2128" s="266">
        <v>50049081285079</v>
      </c>
      <c r="N2128" s="264">
        <v>0.81799999999999995</v>
      </c>
      <c r="O2128" s="265" t="s">
        <v>649</v>
      </c>
      <c r="P2128" s="265">
        <v>7.8890000000000002</v>
      </c>
      <c r="Q2128" s="265">
        <v>0.27</v>
      </c>
    </row>
    <row r="2129" spans="1:17" ht="15" customHeight="1">
      <c r="A2129" s="147">
        <v>2231</v>
      </c>
      <c r="B2129" s="51" t="s">
        <v>5717</v>
      </c>
      <c r="C2129" s="51" t="s">
        <v>2369</v>
      </c>
      <c r="D2129" s="51">
        <v>100026145</v>
      </c>
      <c r="E2129" s="53" t="s">
        <v>2370</v>
      </c>
      <c r="F2129" s="124">
        <v>25</v>
      </c>
      <c r="G2129" s="124">
        <v>6750</v>
      </c>
      <c r="H2129" s="369">
        <v>13.55</v>
      </c>
      <c r="I2129" s="215" t="s">
        <v>76</v>
      </c>
      <c r="J2129" s="215" t="s">
        <v>102</v>
      </c>
      <c r="K2129" s="266">
        <v>49081137397</v>
      </c>
      <c r="L2129" s="265" t="s">
        <v>649</v>
      </c>
      <c r="M2129" s="266">
        <v>40049081137395</v>
      </c>
      <c r="N2129" s="264">
        <v>0.222</v>
      </c>
      <c r="O2129" s="265" t="s">
        <v>649</v>
      </c>
      <c r="P2129" s="265">
        <v>5.55</v>
      </c>
      <c r="Q2129" s="265">
        <v>0.31</v>
      </c>
    </row>
    <row r="2130" spans="1:17" ht="15" customHeight="1">
      <c r="A2130" s="147">
        <v>2232</v>
      </c>
      <c r="B2130" s="51" t="s">
        <v>5717</v>
      </c>
      <c r="C2130" s="51" t="s">
        <v>2371</v>
      </c>
      <c r="D2130" s="51">
        <v>100026146</v>
      </c>
      <c r="E2130" s="53" t="s">
        <v>2372</v>
      </c>
      <c r="F2130" s="124">
        <v>25</v>
      </c>
      <c r="G2130" s="124">
        <v>6750</v>
      </c>
      <c r="H2130" s="369">
        <v>15.03</v>
      </c>
      <c r="I2130" s="215" t="s">
        <v>76</v>
      </c>
      <c r="J2130" s="215" t="s">
        <v>102</v>
      </c>
      <c r="K2130" s="266">
        <v>49081137403</v>
      </c>
      <c r="L2130" s="265" t="s">
        <v>649</v>
      </c>
      <c r="M2130" s="266">
        <v>40049081137401</v>
      </c>
      <c r="N2130" s="264">
        <v>0.29199999999999998</v>
      </c>
      <c r="O2130" s="265" t="s">
        <v>649</v>
      </c>
      <c r="P2130" s="265">
        <v>7.29</v>
      </c>
      <c r="Q2130" s="265">
        <v>0.31</v>
      </c>
    </row>
    <row r="2131" spans="1:17" ht="15" customHeight="1">
      <c r="A2131" s="147">
        <v>2233</v>
      </c>
      <c r="B2131" s="51" t="s">
        <v>5717</v>
      </c>
      <c r="C2131" s="51" t="s">
        <v>2373</v>
      </c>
      <c r="D2131" s="51">
        <v>100026147</v>
      </c>
      <c r="E2131" s="53" t="s">
        <v>2374</v>
      </c>
      <c r="F2131" s="124">
        <v>25</v>
      </c>
      <c r="G2131" s="124">
        <v>3750</v>
      </c>
      <c r="H2131" s="369">
        <v>17.600000000000001</v>
      </c>
      <c r="I2131" s="215" t="s">
        <v>76</v>
      </c>
      <c r="J2131" s="215" t="s">
        <v>102</v>
      </c>
      <c r="K2131" s="266">
        <v>49081137410</v>
      </c>
      <c r="L2131" s="265" t="s">
        <v>649</v>
      </c>
      <c r="M2131" s="266">
        <v>40049081137418</v>
      </c>
      <c r="N2131" s="264">
        <v>0.39500000000000002</v>
      </c>
      <c r="O2131" s="265" t="s">
        <v>649</v>
      </c>
      <c r="P2131" s="265">
        <v>9.8800000000000008</v>
      </c>
      <c r="Q2131" s="265">
        <v>0.5</v>
      </c>
    </row>
    <row r="2132" spans="1:17" ht="15" customHeight="1">
      <c r="A2132" s="147">
        <v>2234</v>
      </c>
      <c r="B2132" s="51" t="s">
        <v>5717</v>
      </c>
      <c r="C2132" s="51" t="s">
        <v>2375</v>
      </c>
      <c r="D2132" s="51">
        <v>100026148</v>
      </c>
      <c r="E2132" s="53" t="s">
        <v>2376</v>
      </c>
      <c r="F2132" s="124">
        <v>15</v>
      </c>
      <c r="G2132" s="124">
        <v>1800</v>
      </c>
      <c r="H2132" s="369">
        <v>33.11</v>
      </c>
      <c r="I2132" s="215" t="s">
        <v>76</v>
      </c>
      <c r="J2132" s="215" t="s">
        <v>102</v>
      </c>
      <c r="K2132" s="266">
        <v>49081137427</v>
      </c>
      <c r="L2132" s="265" t="s">
        <v>649</v>
      </c>
      <c r="M2132" s="266">
        <v>40049081137425</v>
      </c>
      <c r="N2132" s="264">
        <v>0.64800000000000002</v>
      </c>
      <c r="O2132" s="265" t="s">
        <v>649</v>
      </c>
      <c r="P2132" s="265">
        <v>9.7200000000000006</v>
      </c>
      <c r="Q2132" s="265">
        <v>0.65</v>
      </c>
    </row>
    <row r="2133" spans="1:17" ht="15" customHeight="1">
      <c r="A2133" s="147">
        <v>2235</v>
      </c>
      <c r="B2133" s="51" t="s">
        <v>5717</v>
      </c>
      <c r="C2133" s="51" t="s">
        <v>2377</v>
      </c>
      <c r="D2133" s="51">
        <v>100026149</v>
      </c>
      <c r="E2133" s="53" t="s">
        <v>2378</v>
      </c>
      <c r="F2133" s="124">
        <v>15</v>
      </c>
      <c r="G2133" s="124">
        <v>1800</v>
      </c>
      <c r="H2133" s="369">
        <v>33.130000000000003</v>
      </c>
      <c r="I2133" s="215" t="s">
        <v>76</v>
      </c>
      <c r="J2133" s="215" t="s">
        <v>102</v>
      </c>
      <c r="K2133" s="266">
        <v>49081137434</v>
      </c>
      <c r="L2133" s="265" t="s">
        <v>649</v>
      </c>
      <c r="M2133" s="266">
        <v>40049081137432</v>
      </c>
      <c r="N2133" s="264">
        <v>0.67200000000000004</v>
      </c>
      <c r="O2133" s="265" t="s">
        <v>649</v>
      </c>
      <c r="P2133" s="265">
        <v>9.15</v>
      </c>
      <c r="Q2133" s="265">
        <v>0.65</v>
      </c>
    </row>
    <row r="2134" spans="1:17" ht="15" customHeight="1">
      <c r="A2134" s="147">
        <v>2236</v>
      </c>
      <c r="B2134" s="51" t="s">
        <v>5717</v>
      </c>
      <c r="C2134" s="51" t="s">
        <v>2379</v>
      </c>
      <c r="D2134" s="51">
        <v>100026150</v>
      </c>
      <c r="E2134" s="53" t="s">
        <v>2380</v>
      </c>
      <c r="F2134" s="124">
        <v>10</v>
      </c>
      <c r="G2134" s="124">
        <v>900</v>
      </c>
      <c r="H2134" s="369">
        <v>55.82</v>
      </c>
      <c r="I2134" s="215" t="s">
        <v>76</v>
      </c>
      <c r="J2134" s="215" t="s">
        <v>102</v>
      </c>
      <c r="K2134" s="266">
        <v>49081137441</v>
      </c>
      <c r="L2134" s="265" t="s">
        <v>649</v>
      </c>
      <c r="M2134" s="266">
        <v>40049081137449</v>
      </c>
      <c r="N2134" s="264">
        <v>1.34</v>
      </c>
      <c r="O2134" s="265" t="s">
        <v>649</v>
      </c>
      <c r="P2134" s="265">
        <v>13.4</v>
      </c>
      <c r="Q2134" s="265">
        <v>0.8</v>
      </c>
    </row>
    <row r="2135" spans="1:17" ht="15" customHeight="1">
      <c r="A2135" s="147">
        <v>2237</v>
      </c>
      <c r="B2135" s="51" t="s">
        <v>42</v>
      </c>
      <c r="C2135" s="51" t="s">
        <v>2382</v>
      </c>
      <c r="D2135" s="51">
        <v>100026070</v>
      </c>
      <c r="E2135" s="53" t="s">
        <v>2383</v>
      </c>
      <c r="F2135" s="124">
        <v>4</v>
      </c>
      <c r="G2135" s="124">
        <v>0</v>
      </c>
      <c r="H2135" s="369">
        <v>91.74</v>
      </c>
      <c r="I2135" s="215" t="s">
        <v>346</v>
      </c>
      <c r="J2135" s="215" t="s">
        <v>77</v>
      </c>
      <c r="K2135" s="266">
        <v>49081404147</v>
      </c>
      <c r="L2135" s="265" t="s">
        <v>649</v>
      </c>
      <c r="M2135" s="266">
        <v>40049081404145</v>
      </c>
      <c r="N2135" s="264">
        <v>2.2000000000000002</v>
      </c>
      <c r="O2135" s="265" t="s">
        <v>649</v>
      </c>
      <c r="P2135" s="265">
        <v>12.9</v>
      </c>
      <c r="Q2135" s="265">
        <v>0.87</v>
      </c>
    </row>
    <row r="2136" spans="1:17" ht="15" customHeight="1">
      <c r="A2136" s="147">
        <v>2238</v>
      </c>
      <c r="B2136" s="51" t="s">
        <v>42</v>
      </c>
      <c r="C2136" s="51" t="s">
        <v>2384</v>
      </c>
      <c r="D2136" s="51">
        <v>100026071</v>
      </c>
      <c r="E2136" s="53" t="s">
        <v>2385</v>
      </c>
      <c r="F2136" s="124">
        <v>2</v>
      </c>
      <c r="G2136" s="124">
        <v>0</v>
      </c>
      <c r="H2136" s="369">
        <v>137.38</v>
      </c>
      <c r="I2136" s="215" t="s">
        <v>346</v>
      </c>
      <c r="J2136" s="215" t="s">
        <v>77</v>
      </c>
      <c r="K2136" s="266">
        <v>49081404161</v>
      </c>
      <c r="L2136" s="265" t="s">
        <v>649</v>
      </c>
      <c r="M2136" s="266">
        <v>40049081404169</v>
      </c>
      <c r="N2136" s="264">
        <v>4.8689999999999998</v>
      </c>
      <c r="O2136" s="265" t="s">
        <v>649</v>
      </c>
      <c r="P2136" s="265">
        <v>29.4</v>
      </c>
      <c r="Q2136" s="265">
        <v>0.71</v>
      </c>
    </row>
    <row r="2137" spans="1:17" ht="15" customHeight="1">
      <c r="A2137" s="147">
        <v>2239</v>
      </c>
      <c r="B2137" s="51" t="s">
        <v>42</v>
      </c>
      <c r="C2137" s="51" t="s">
        <v>2386</v>
      </c>
      <c r="D2137" s="51">
        <v>100026069</v>
      </c>
      <c r="E2137" s="53" t="s">
        <v>2387</v>
      </c>
      <c r="F2137" s="124">
        <v>10</v>
      </c>
      <c r="G2137" s="124">
        <v>0</v>
      </c>
      <c r="H2137" s="369">
        <v>70.03</v>
      </c>
      <c r="I2137" s="215" t="s">
        <v>346</v>
      </c>
      <c r="J2137" s="215" t="s">
        <v>77</v>
      </c>
      <c r="K2137" s="266">
        <v>49081404123</v>
      </c>
      <c r="L2137" s="265" t="s">
        <v>649</v>
      </c>
      <c r="M2137" s="266">
        <v>40049081404121</v>
      </c>
      <c r="N2137" s="264">
        <v>2.3290000000000002</v>
      </c>
      <c r="O2137" s="265" t="s">
        <v>649</v>
      </c>
      <c r="P2137" s="265">
        <v>23.29</v>
      </c>
      <c r="Q2137" s="265">
        <v>1.38</v>
      </c>
    </row>
    <row r="2138" spans="1:17" ht="15" customHeight="1">
      <c r="A2138" s="147">
        <v>2240</v>
      </c>
      <c r="B2138" s="51" t="s">
        <v>42</v>
      </c>
      <c r="C2138" s="51" t="s">
        <v>2388</v>
      </c>
      <c r="D2138" s="51">
        <v>100026068</v>
      </c>
      <c r="E2138" s="53" t="s">
        <v>2389</v>
      </c>
      <c r="F2138" s="124">
        <v>20</v>
      </c>
      <c r="G2138" s="124">
        <v>0</v>
      </c>
      <c r="H2138" s="369">
        <v>32.79</v>
      </c>
      <c r="I2138" s="215" t="s">
        <v>346</v>
      </c>
      <c r="J2138" s="215" t="s">
        <v>77</v>
      </c>
      <c r="K2138" s="266">
        <v>49081404109</v>
      </c>
      <c r="L2138" s="265" t="s">
        <v>649</v>
      </c>
      <c r="M2138" s="266">
        <v>40049081404107</v>
      </c>
      <c r="N2138" s="264">
        <v>2.2549999999999999</v>
      </c>
      <c r="O2138" s="265" t="s">
        <v>649</v>
      </c>
      <c r="P2138" s="265">
        <v>24.7</v>
      </c>
      <c r="Q2138" s="265">
        <v>1.45</v>
      </c>
    </row>
    <row r="2139" spans="1:17" ht="15" customHeight="1">
      <c r="A2139" s="147">
        <v>2241</v>
      </c>
      <c r="B2139" s="51" t="s">
        <v>42</v>
      </c>
      <c r="C2139" s="51" t="s">
        <v>2390</v>
      </c>
      <c r="D2139" s="51">
        <v>100026072</v>
      </c>
      <c r="E2139" s="53" t="s">
        <v>2391</v>
      </c>
      <c r="F2139" s="124">
        <v>6</v>
      </c>
      <c r="G2139" s="124">
        <v>0</v>
      </c>
      <c r="H2139" s="369">
        <v>295.75</v>
      </c>
      <c r="I2139" s="215" t="s">
        <v>346</v>
      </c>
      <c r="J2139" s="215" t="s">
        <v>77</v>
      </c>
      <c r="K2139" s="266">
        <v>49081404185</v>
      </c>
      <c r="L2139" s="265" t="s">
        <v>649</v>
      </c>
      <c r="M2139" s="266">
        <v>40049081404183</v>
      </c>
      <c r="N2139" s="264">
        <v>7.3570000000000002</v>
      </c>
      <c r="O2139" s="265" t="s">
        <v>649</v>
      </c>
      <c r="P2139" s="265">
        <v>44.14</v>
      </c>
      <c r="Q2139" s="265">
        <v>3.51</v>
      </c>
    </row>
    <row r="2140" spans="1:17" ht="15" customHeight="1">
      <c r="A2140" s="147">
        <v>2242</v>
      </c>
      <c r="B2140" s="51" t="s">
        <v>42</v>
      </c>
      <c r="C2140" s="51" t="s">
        <v>2392</v>
      </c>
      <c r="D2140" s="51">
        <v>100026064</v>
      </c>
      <c r="E2140" s="53" t="s">
        <v>2393</v>
      </c>
      <c r="F2140" s="124">
        <v>120</v>
      </c>
      <c r="G2140" s="124">
        <v>0</v>
      </c>
      <c r="H2140" s="369">
        <v>10.34</v>
      </c>
      <c r="I2140" s="215" t="s">
        <v>347</v>
      </c>
      <c r="J2140" s="215" t="s">
        <v>77</v>
      </c>
      <c r="K2140" s="266">
        <v>49081404024</v>
      </c>
      <c r="L2140" s="265" t="s">
        <v>649</v>
      </c>
      <c r="M2140" s="266">
        <v>40049081404022</v>
      </c>
      <c r="N2140" s="264">
        <v>0.36199999999999999</v>
      </c>
      <c r="O2140" s="265" t="s">
        <v>649</v>
      </c>
      <c r="P2140" s="265">
        <v>31.24</v>
      </c>
      <c r="Q2140" s="265">
        <v>1.38</v>
      </c>
    </row>
    <row r="2141" spans="1:17" ht="15" customHeight="1">
      <c r="A2141" s="147">
        <v>2243</v>
      </c>
      <c r="B2141" s="51" t="s">
        <v>42</v>
      </c>
      <c r="C2141" s="51" t="s">
        <v>2394</v>
      </c>
      <c r="D2141" s="51">
        <v>100026067</v>
      </c>
      <c r="E2141" s="53" t="s">
        <v>2395</v>
      </c>
      <c r="F2141" s="124">
        <v>54</v>
      </c>
      <c r="G2141" s="124">
        <v>0</v>
      </c>
      <c r="H2141" s="369">
        <v>23.14</v>
      </c>
      <c r="I2141" s="215" t="s">
        <v>347</v>
      </c>
      <c r="J2141" s="215" t="s">
        <v>77</v>
      </c>
      <c r="K2141" s="266">
        <v>49081404086</v>
      </c>
      <c r="L2141" s="265" t="s">
        <v>649</v>
      </c>
      <c r="M2141" s="266">
        <v>40049081404084</v>
      </c>
      <c r="N2141" s="264">
        <v>0.877</v>
      </c>
      <c r="O2141" s="265" t="s">
        <v>649</v>
      </c>
      <c r="P2141" s="265">
        <v>47.375</v>
      </c>
      <c r="Q2141" s="265" t="s">
        <v>649</v>
      </c>
    </row>
    <row r="2142" spans="1:17" ht="15" customHeight="1">
      <c r="A2142" s="147">
        <v>2244</v>
      </c>
      <c r="B2142" s="51" t="s">
        <v>42</v>
      </c>
      <c r="C2142" s="51" t="s">
        <v>2396</v>
      </c>
      <c r="D2142" s="51">
        <v>100026065</v>
      </c>
      <c r="E2142" s="53" t="s">
        <v>2397</v>
      </c>
      <c r="F2142" s="124">
        <v>120</v>
      </c>
      <c r="G2142" s="124">
        <v>0</v>
      </c>
      <c r="H2142" s="369">
        <v>13.76</v>
      </c>
      <c r="I2142" s="215" t="s">
        <v>347</v>
      </c>
      <c r="J2142" s="215" t="s">
        <v>77</v>
      </c>
      <c r="K2142" s="266">
        <v>49081404048</v>
      </c>
      <c r="L2142" s="265" t="s">
        <v>649</v>
      </c>
      <c r="M2142" s="266">
        <v>40049081404046</v>
      </c>
      <c r="N2142" s="264">
        <v>0.47599999999999998</v>
      </c>
      <c r="O2142" s="265" t="s">
        <v>649</v>
      </c>
      <c r="P2142" s="265">
        <v>28.99</v>
      </c>
      <c r="Q2142" s="265">
        <v>1.35</v>
      </c>
    </row>
    <row r="2143" spans="1:17" ht="15" customHeight="1">
      <c r="A2143" s="147">
        <v>2245</v>
      </c>
      <c r="B2143" s="51" t="s">
        <v>43</v>
      </c>
      <c r="C2143" s="51" t="s">
        <v>2399</v>
      </c>
      <c r="D2143" s="51">
        <v>100026255</v>
      </c>
      <c r="E2143" s="53" t="s">
        <v>2400</v>
      </c>
      <c r="F2143" s="124">
        <v>200</v>
      </c>
      <c r="G2143" s="124">
        <v>24000</v>
      </c>
      <c r="H2143" s="369">
        <v>6.5</v>
      </c>
      <c r="I2143" s="215" t="s">
        <v>76</v>
      </c>
      <c r="J2143" s="215" t="s">
        <v>102</v>
      </c>
      <c r="K2143" s="266">
        <v>49081139636</v>
      </c>
      <c r="L2143" s="215">
        <v>49081639631</v>
      </c>
      <c r="M2143" s="266">
        <v>40049081139634</v>
      </c>
      <c r="N2143" s="264">
        <v>0.08</v>
      </c>
      <c r="O2143" s="265">
        <v>25</v>
      </c>
      <c r="P2143" s="265">
        <v>11.7</v>
      </c>
      <c r="Q2143" s="265">
        <v>0.65</v>
      </c>
    </row>
    <row r="2144" spans="1:17" ht="15" customHeight="1">
      <c r="A2144" s="147">
        <v>2246</v>
      </c>
      <c r="B2144" s="51" t="s">
        <v>43</v>
      </c>
      <c r="C2144" s="51" t="s">
        <v>2401</v>
      </c>
      <c r="D2144" s="51">
        <v>100026256</v>
      </c>
      <c r="E2144" s="53" t="s">
        <v>2402</v>
      </c>
      <c r="F2144" s="124">
        <v>200</v>
      </c>
      <c r="G2144" s="124">
        <v>24000</v>
      </c>
      <c r="H2144" s="369">
        <v>6.63</v>
      </c>
      <c r="I2144" s="215" t="s">
        <v>76</v>
      </c>
      <c r="J2144" s="215" t="s">
        <v>102</v>
      </c>
      <c r="K2144" s="266">
        <v>49081139643</v>
      </c>
      <c r="L2144" s="215">
        <v>49081639648</v>
      </c>
      <c r="M2144" s="266">
        <v>40049081139641</v>
      </c>
      <c r="N2144" s="264">
        <v>8.5000000000000006E-2</v>
      </c>
      <c r="O2144" s="265">
        <v>25</v>
      </c>
      <c r="P2144" s="265">
        <v>12.65</v>
      </c>
      <c r="Q2144" s="265">
        <v>0.65</v>
      </c>
    </row>
    <row r="2145" spans="1:17" ht="15" customHeight="1">
      <c r="A2145" s="147">
        <v>2247</v>
      </c>
      <c r="B2145" s="51" t="s">
        <v>43</v>
      </c>
      <c r="C2145" s="51" t="s">
        <v>2403</v>
      </c>
      <c r="D2145" s="51">
        <v>100026257</v>
      </c>
      <c r="E2145" s="53" t="s">
        <v>2404</v>
      </c>
      <c r="F2145" s="124">
        <v>200</v>
      </c>
      <c r="G2145" s="124">
        <v>18000</v>
      </c>
      <c r="H2145" s="369">
        <v>6.68</v>
      </c>
      <c r="I2145" s="215" t="s">
        <v>76</v>
      </c>
      <c r="J2145" s="215" t="s">
        <v>102</v>
      </c>
      <c r="K2145" s="266">
        <v>49081139650</v>
      </c>
      <c r="L2145" s="215">
        <v>49081639655</v>
      </c>
      <c r="M2145" s="266">
        <v>40049081139658</v>
      </c>
      <c r="N2145" s="264">
        <v>0.1</v>
      </c>
      <c r="O2145" s="265">
        <v>25</v>
      </c>
      <c r="P2145" s="265">
        <v>16.2</v>
      </c>
      <c r="Q2145" s="265">
        <v>0.8</v>
      </c>
    </row>
    <row r="2146" spans="1:17" ht="15" customHeight="1">
      <c r="A2146" s="147">
        <v>2248</v>
      </c>
      <c r="B2146" s="51" t="s">
        <v>43</v>
      </c>
      <c r="C2146" s="51" t="s">
        <v>2405</v>
      </c>
      <c r="D2146" s="51">
        <v>100026259</v>
      </c>
      <c r="E2146" s="53" t="s">
        <v>2406</v>
      </c>
      <c r="F2146" s="124">
        <v>200</v>
      </c>
      <c r="G2146" s="124">
        <v>30000</v>
      </c>
      <c r="H2146" s="369">
        <v>4.3499999999999996</v>
      </c>
      <c r="I2146" s="215" t="s">
        <v>76</v>
      </c>
      <c r="J2146" s="215" t="s">
        <v>102</v>
      </c>
      <c r="K2146" s="266">
        <v>49081139674</v>
      </c>
      <c r="L2146" s="215">
        <v>49081639679</v>
      </c>
      <c r="M2146" s="266">
        <v>40049081139672</v>
      </c>
      <c r="N2146" s="264">
        <v>4.2000000000000003E-2</v>
      </c>
      <c r="O2146" s="265">
        <v>25</v>
      </c>
      <c r="P2146" s="265">
        <v>8.42</v>
      </c>
      <c r="Q2146" s="265">
        <v>0.5</v>
      </c>
    </row>
    <row r="2147" spans="1:17" ht="15" customHeight="1">
      <c r="A2147" s="147">
        <v>2249</v>
      </c>
      <c r="B2147" s="51" t="s">
        <v>43</v>
      </c>
      <c r="C2147" s="51" t="s">
        <v>2407</v>
      </c>
      <c r="D2147" s="51">
        <v>100026260</v>
      </c>
      <c r="E2147" s="53" t="s">
        <v>2408</v>
      </c>
      <c r="F2147" s="124">
        <v>200</v>
      </c>
      <c r="G2147" s="124">
        <v>24000</v>
      </c>
      <c r="H2147" s="369">
        <v>4.5599999999999996</v>
      </c>
      <c r="I2147" s="215" t="s">
        <v>76</v>
      </c>
      <c r="J2147" s="215" t="s">
        <v>102</v>
      </c>
      <c r="K2147" s="266">
        <v>49081139681</v>
      </c>
      <c r="L2147" s="215">
        <v>49081639686</v>
      </c>
      <c r="M2147" s="266">
        <v>40049081139689</v>
      </c>
      <c r="N2147" s="264">
        <v>4.5999999999999999E-2</v>
      </c>
      <c r="O2147" s="265">
        <v>25</v>
      </c>
      <c r="P2147" s="265">
        <v>9.2799999999999994</v>
      </c>
      <c r="Q2147" s="265">
        <v>0.65</v>
      </c>
    </row>
    <row r="2148" spans="1:17" ht="15" customHeight="1">
      <c r="A2148" s="147">
        <v>2250</v>
      </c>
      <c r="B2148" s="51" t="s">
        <v>43</v>
      </c>
      <c r="C2148" s="51" t="s">
        <v>2409</v>
      </c>
      <c r="D2148" s="51">
        <v>100026262</v>
      </c>
      <c r="E2148" s="53" t="s">
        <v>2410</v>
      </c>
      <c r="F2148" s="124">
        <v>200</v>
      </c>
      <c r="G2148" s="124">
        <v>30000</v>
      </c>
      <c r="H2148" s="369">
        <v>2.8</v>
      </c>
      <c r="I2148" s="215" t="s">
        <v>76</v>
      </c>
      <c r="J2148" s="215" t="s">
        <v>102</v>
      </c>
      <c r="K2148" s="266">
        <v>49081139704</v>
      </c>
      <c r="L2148" s="215">
        <v>49081639709</v>
      </c>
      <c r="M2148" s="266">
        <v>40049081139702</v>
      </c>
      <c r="N2148" s="264">
        <v>3.5999999999999997E-2</v>
      </c>
      <c r="O2148" s="265">
        <v>25</v>
      </c>
      <c r="P2148" s="265">
        <v>8.11</v>
      </c>
      <c r="Q2148" s="265">
        <v>0.5</v>
      </c>
    </row>
    <row r="2149" spans="1:17" ht="15" customHeight="1">
      <c r="A2149" s="147">
        <v>2251</v>
      </c>
      <c r="B2149" s="51" t="s">
        <v>43</v>
      </c>
      <c r="C2149" s="51" t="s">
        <v>2411</v>
      </c>
      <c r="D2149" s="51">
        <v>100026263</v>
      </c>
      <c r="E2149" s="53" t="s">
        <v>2412</v>
      </c>
      <c r="F2149" s="124">
        <v>200</v>
      </c>
      <c r="G2149" s="124">
        <v>30000</v>
      </c>
      <c r="H2149" s="369">
        <v>2.8</v>
      </c>
      <c r="I2149" s="215" t="s">
        <v>76</v>
      </c>
      <c r="J2149" s="215" t="s">
        <v>102</v>
      </c>
      <c r="K2149" s="266">
        <v>49081139711</v>
      </c>
      <c r="L2149" s="215">
        <v>49081639716</v>
      </c>
      <c r="M2149" s="266">
        <v>40049081139719</v>
      </c>
      <c r="N2149" s="264">
        <v>4.1000000000000002E-2</v>
      </c>
      <c r="O2149" s="265">
        <v>25</v>
      </c>
      <c r="P2149" s="265">
        <v>8.39</v>
      </c>
      <c r="Q2149" s="265">
        <v>0.5</v>
      </c>
    </row>
    <row r="2150" spans="1:17" ht="15" customHeight="1">
      <c r="A2150" s="147">
        <v>2252</v>
      </c>
      <c r="B2150" s="51" t="s">
        <v>43</v>
      </c>
      <c r="C2150" s="51" t="s">
        <v>2413</v>
      </c>
      <c r="D2150" s="51">
        <v>100026264</v>
      </c>
      <c r="E2150" s="53" t="s">
        <v>2414</v>
      </c>
      <c r="F2150" s="124">
        <v>200</v>
      </c>
      <c r="G2150" s="124">
        <v>24000</v>
      </c>
      <c r="H2150" s="369">
        <v>5.0199999999999996</v>
      </c>
      <c r="I2150" s="215" t="s">
        <v>76</v>
      </c>
      <c r="J2150" s="215" t="s">
        <v>102</v>
      </c>
      <c r="K2150" s="266">
        <v>49081139728</v>
      </c>
      <c r="L2150" s="215">
        <v>49081639723</v>
      </c>
      <c r="M2150" s="266">
        <v>40049081139726</v>
      </c>
      <c r="N2150" s="264">
        <v>5.5E-2</v>
      </c>
      <c r="O2150" s="265">
        <v>25</v>
      </c>
      <c r="P2150" s="265">
        <v>11.18</v>
      </c>
      <c r="Q2150" s="265">
        <v>0.65</v>
      </c>
    </row>
    <row r="2151" spans="1:17" ht="15" customHeight="1">
      <c r="A2151" s="147">
        <v>2253</v>
      </c>
      <c r="B2151" s="51" t="s">
        <v>43</v>
      </c>
      <c r="C2151" s="51" t="s">
        <v>2415</v>
      </c>
      <c r="D2151" s="51">
        <v>100026270</v>
      </c>
      <c r="E2151" s="53" t="s">
        <v>2416</v>
      </c>
      <c r="F2151" s="124">
        <v>200</v>
      </c>
      <c r="G2151" s="124">
        <v>15000</v>
      </c>
      <c r="H2151" s="369">
        <v>5.0199999999999996</v>
      </c>
      <c r="I2151" s="215" t="s">
        <v>346</v>
      </c>
      <c r="J2151" s="215" t="s">
        <v>102</v>
      </c>
      <c r="K2151" s="266">
        <v>49081139766</v>
      </c>
      <c r="L2151" s="215">
        <v>49081639761</v>
      </c>
      <c r="M2151" s="266">
        <v>40049081139764</v>
      </c>
      <c r="N2151" s="264">
        <v>8.5000000000000006E-2</v>
      </c>
      <c r="O2151" s="265">
        <v>25</v>
      </c>
      <c r="P2151" s="265">
        <v>17.14</v>
      </c>
      <c r="Q2151" s="265">
        <v>0.95</v>
      </c>
    </row>
    <row r="2152" spans="1:17" ht="15" customHeight="1">
      <c r="A2152" s="147">
        <v>2254</v>
      </c>
      <c r="B2152" s="51" t="s">
        <v>43</v>
      </c>
      <c r="C2152" s="51" t="s">
        <v>2417</v>
      </c>
      <c r="D2152" s="51">
        <v>100026272</v>
      </c>
      <c r="E2152" s="53" t="s">
        <v>2418</v>
      </c>
      <c r="F2152" s="124">
        <v>200</v>
      </c>
      <c r="G2152" s="124">
        <v>15000</v>
      </c>
      <c r="H2152" s="369">
        <v>5.85</v>
      </c>
      <c r="I2152" s="215" t="s">
        <v>76</v>
      </c>
      <c r="J2152" s="215" t="s">
        <v>102</v>
      </c>
      <c r="K2152" s="266">
        <v>49081140137</v>
      </c>
      <c r="L2152" s="215">
        <v>49081640132</v>
      </c>
      <c r="M2152" s="266">
        <v>40049081140135</v>
      </c>
      <c r="N2152" s="264">
        <v>0.08</v>
      </c>
      <c r="O2152" s="265">
        <v>25</v>
      </c>
      <c r="P2152" s="265">
        <v>17.149999999999999</v>
      </c>
      <c r="Q2152" s="265">
        <v>0.95</v>
      </c>
    </row>
    <row r="2153" spans="1:17" ht="15" customHeight="1">
      <c r="A2153" s="147">
        <v>2255</v>
      </c>
      <c r="B2153" s="51" t="s">
        <v>43</v>
      </c>
      <c r="C2153" s="51" t="s">
        <v>2419</v>
      </c>
      <c r="D2153" s="51">
        <v>100026275</v>
      </c>
      <c r="E2153" s="53" t="s">
        <v>2420</v>
      </c>
      <c r="F2153" s="124">
        <v>200</v>
      </c>
      <c r="G2153" s="124">
        <v>0</v>
      </c>
      <c r="H2153" s="369">
        <v>11.11</v>
      </c>
      <c r="I2153" s="215" t="s">
        <v>76</v>
      </c>
      <c r="J2153" s="215" t="s">
        <v>102</v>
      </c>
      <c r="K2153" s="266">
        <v>49081139780</v>
      </c>
      <c r="L2153" s="215">
        <v>49081639785</v>
      </c>
      <c r="M2153" s="266">
        <v>40049081139788</v>
      </c>
      <c r="N2153" s="264">
        <v>0.13500000000000001</v>
      </c>
      <c r="O2153" s="265">
        <v>25</v>
      </c>
      <c r="P2153" s="265">
        <v>17.149999999999999</v>
      </c>
      <c r="Q2153" s="265" t="s">
        <v>649</v>
      </c>
    </row>
    <row r="2154" spans="1:17" ht="15" customHeight="1">
      <c r="A2154" s="147">
        <v>2256</v>
      </c>
      <c r="B2154" s="51" t="s">
        <v>43</v>
      </c>
      <c r="C2154" s="51" t="s">
        <v>2421</v>
      </c>
      <c r="D2154" s="51">
        <v>100026278</v>
      </c>
      <c r="E2154" s="53" t="s">
        <v>2422</v>
      </c>
      <c r="F2154" s="124">
        <v>200</v>
      </c>
      <c r="G2154" s="124">
        <v>24000</v>
      </c>
      <c r="H2154" s="369">
        <v>5.14</v>
      </c>
      <c r="I2154" s="215" t="s">
        <v>76</v>
      </c>
      <c r="J2154" s="215" t="s">
        <v>102</v>
      </c>
      <c r="K2154" s="266">
        <v>49081139810</v>
      </c>
      <c r="L2154" s="215">
        <v>49081639815</v>
      </c>
      <c r="M2154" s="266">
        <v>40049081139818</v>
      </c>
      <c r="N2154" s="264">
        <v>7.0000000000000007E-2</v>
      </c>
      <c r="O2154" s="265">
        <v>25</v>
      </c>
      <c r="P2154" s="265">
        <v>10.6</v>
      </c>
      <c r="Q2154" s="265">
        <v>0.65</v>
      </c>
    </row>
    <row r="2155" spans="1:17" ht="15" customHeight="1">
      <c r="A2155" s="147">
        <v>2257</v>
      </c>
      <c r="B2155" s="51" t="s">
        <v>43</v>
      </c>
      <c r="C2155" s="51" t="s">
        <v>2423</v>
      </c>
      <c r="D2155" s="51">
        <v>100026279</v>
      </c>
      <c r="E2155" s="53" t="s">
        <v>2424</v>
      </c>
      <c r="F2155" s="124">
        <v>200</v>
      </c>
      <c r="G2155" s="124">
        <v>24000</v>
      </c>
      <c r="H2155" s="369">
        <v>5.14</v>
      </c>
      <c r="I2155" s="215" t="s">
        <v>76</v>
      </c>
      <c r="J2155" s="215" t="s">
        <v>102</v>
      </c>
      <c r="K2155" s="266">
        <v>49081139834</v>
      </c>
      <c r="L2155" s="215">
        <v>49081639839</v>
      </c>
      <c r="M2155" s="266">
        <v>40049081139832</v>
      </c>
      <c r="N2155" s="264">
        <v>0.08</v>
      </c>
      <c r="O2155" s="265">
        <v>25</v>
      </c>
      <c r="P2155" s="265">
        <v>12.7</v>
      </c>
      <c r="Q2155" s="265">
        <v>0.65</v>
      </c>
    </row>
    <row r="2156" spans="1:17" ht="15" customHeight="1">
      <c r="A2156" s="147">
        <v>2258</v>
      </c>
      <c r="B2156" s="51" t="s">
        <v>43</v>
      </c>
      <c r="C2156" s="51" t="s">
        <v>2425</v>
      </c>
      <c r="D2156" s="51">
        <v>100026280</v>
      </c>
      <c r="E2156" s="53" t="s">
        <v>2426</v>
      </c>
      <c r="F2156" s="124">
        <v>200</v>
      </c>
      <c r="G2156" s="124">
        <v>24000</v>
      </c>
      <c r="H2156" s="369">
        <v>5.14</v>
      </c>
      <c r="I2156" s="215" t="s">
        <v>76</v>
      </c>
      <c r="J2156" s="215" t="s">
        <v>102</v>
      </c>
      <c r="K2156" s="266">
        <v>49081139827</v>
      </c>
      <c r="L2156" s="215">
        <v>49081639822</v>
      </c>
      <c r="M2156" s="266">
        <v>40049081139825</v>
      </c>
      <c r="N2156" s="264">
        <v>8.2000000000000003E-2</v>
      </c>
      <c r="O2156" s="265">
        <v>25</v>
      </c>
      <c r="P2156" s="265">
        <v>12.6</v>
      </c>
      <c r="Q2156" s="265">
        <v>0.65</v>
      </c>
    </row>
    <row r="2157" spans="1:17" ht="15" customHeight="1">
      <c r="A2157" s="147">
        <v>2259</v>
      </c>
      <c r="B2157" s="51" t="s">
        <v>43</v>
      </c>
      <c r="C2157" s="51" t="s">
        <v>2427</v>
      </c>
      <c r="D2157" s="51">
        <v>100026282</v>
      </c>
      <c r="E2157" s="53" t="s">
        <v>2428</v>
      </c>
      <c r="F2157" s="124">
        <v>200</v>
      </c>
      <c r="G2157" s="124">
        <v>30000</v>
      </c>
      <c r="H2157" s="369">
        <v>4.5599999999999996</v>
      </c>
      <c r="I2157" s="215" t="s">
        <v>76</v>
      </c>
      <c r="J2157" s="215" t="s">
        <v>102</v>
      </c>
      <c r="K2157" s="266">
        <v>49081139841</v>
      </c>
      <c r="L2157" s="215">
        <v>49081639846</v>
      </c>
      <c r="M2157" s="266">
        <v>40049081139849</v>
      </c>
      <c r="N2157" s="264">
        <v>4.7E-2</v>
      </c>
      <c r="O2157" s="265">
        <v>25</v>
      </c>
      <c r="P2157" s="265">
        <v>10.08</v>
      </c>
      <c r="Q2157" s="265">
        <v>0.5</v>
      </c>
    </row>
    <row r="2158" spans="1:17" ht="15" customHeight="1">
      <c r="A2158" s="147">
        <v>2260</v>
      </c>
      <c r="B2158" s="51" t="s">
        <v>43</v>
      </c>
      <c r="C2158" s="51" t="s">
        <v>2429</v>
      </c>
      <c r="D2158" s="51">
        <v>100026283</v>
      </c>
      <c r="E2158" s="53" t="s">
        <v>2430</v>
      </c>
      <c r="F2158" s="124">
        <v>200</v>
      </c>
      <c r="G2158" s="124">
        <v>24000</v>
      </c>
      <c r="H2158" s="369">
        <v>5.14</v>
      </c>
      <c r="I2158" s="215" t="s">
        <v>76</v>
      </c>
      <c r="J2158" s="215" t="s">
        <v>102</v>
      </c>
      <c r="K2158" s="266">
        <v>49081139858</v>
      </c>
      <c r="L2158" s="215">
        <v>49081639853</v>
      </c>
      <c r="M2158" s="266">
        <v>40049081139856</v>
      </c>
      <c r="N2158" s="264">
        <v>0.108</v>
      </c>
      <c r="O2158" s="265">
        <v>25</v>
      </c>
      <c r="P2158" s="265">
        <v>11.6</v>
      </c>
      <c r="Q2158" s="265">
        <v>0.65</v>
      </c>
    </row>
    <row r="2159" spans="1:17" ht="15" customHeight="1">
      <c r="A2159" s="147">
        <v>2261</v>
      </c>
      <c r="B2159" s="51" t="s">
        <v>43</v>
      </c>
      <c r="C2159" s="51" t="s">
        <v>2431</v>
      </c>
      <c r="D2159" s="51">
        <v>100026284</v>
      </c>
      <c r="E2159" s="53" t="s">
        <v>2432</v>
      </c>
      <c r="F2159" s="124">
        <v>200</v>
      </c>
      <c r="G2159" s="124">
        <v>24000</v>
      </c>
      <c r="H2159" s="369">
        <v>5.14</v>
      </c>
      <c r="I2159" s="215" t="s">
        <v>76</v>
      </c>
      <c r="J2159" s="215" t="s">
        <v>102</v>
      </c>
      <c r="K2159" s="266">
        <v>49081193867</v>
      </c>
      <c r="L2159" s="215">
        <v>49081693862</v>
      </c>
      <c r="M2159" s="266">
        <v>40049081193865</v>
      </c>
      <c r="N2159" s="264">
        <v>8.2000000000000003E-2</v>
      </c>
      <c r="O2159" s="265">
        <v>25</v>
      </c>
      <c r="P2159" s="265">
        <v>12.6</v>
      </c>
      <c r="Q2159" s="265">
        <v>0.65</v>
      </c>
    </row>
    <row r="2160" spans="1:17" ht="15" customHeight="1">
      <c r="A2160" s="147">
        <v>2262</v>
      </c>
      <c r="B2160" s="51" t="s">
        <v>43</v>
      </c>
      <c r="C2160" s="51" t="s">
        <v>2433</v>
      </c>
      <c r="D2160" s="51">
        <v>100026286</v>
      </c>
      <c r="E2160" s="53" t="s">
        <v>2434</v>
      </c>
      <c r="F2160" s="124">
        <v>200</v>
      </c>
      <c r="G2160" s="124">
        <v>24000</v>
      </c>
      <c r="H2160" s="369">
        <v>4.78</v>
      </c>
      <c r="I2160" s="215" t="s">
        <v>346</v>
      </c>
      <c r="J2160" s="215" t="s">
        <v>102</v>
      </c>
      <c r="K2160" s="266">
        <v>49081139889</v>
      </c>
      <c r="L2160" s="215">
        <v>49081639884</v>
      </c>
      <c r="M2160" s="266">
        <v>40049081139887</v>
      </c>
      <c r="N2160" s="264">
        <v>7.8E-2</v>
      </c>
      <c r="O2160" s="265">
        <v>25</v>
      </c>
      <c r="P2160" s="265">
        <v>11.6</v>
      </c>
      <c r="Q2160" s="265">
        <v>0.65</v>
      </c>
    </row>
    <row r="2161" spans="1:17" ht="15" customHeight="1">
      <c r="A2161" s="147">
        <v>2263</v>
      </c>
      <c r="B2161" s="51" t="s">
        <v>43</v>
      </c>
      <c r="C2161" s="51" t="s">
        <v>2435</v>
      </c>
      <c r="D2161" s="51">
        <v>100026288</v>
      </c>
      <c r="E2161" s="53" t="s">
        <v>2436</v>
      </c>
      <c r="F2161" s="124">
        <v>200</v>
      </c>
      <c r="G2161" s="124">
        <v>18000</v>
      </c>
      <c r="H2161" s="369">
        <v>5.14</v>
      </c>
      <c r="I2161" s="215" t="s">
        <v>76</v>
      </c>
      <c r="J2161" s="215" t="s">
        <v>102</v>
      </c>
      <c r="K2161" s="266">
        <v>49081139896</v>
      </c>
      <c r="L2161" s="215">
        <v>49081639891</v>
      </c>
      <c r="M2161" s="266">
        <v>40049081139894</v>
      </c>
      <c r="N2161" s="264">
        <v>9.5000000000000001E-2</v>
      </c>
      <c r="O2161" s="265">
        <v>25</v>
      </c>
      <c r="P2161" s="265">
        <v>14.75</v>
      </c>
      <c r="Q2161" s="265">
        <v>0.8</v>
      </c>
    </row>
    <row r="2162" spans="1:17" ht="15" customHeight="1">
      <c r="A2162" s="147">
        <v>2264</v>
      </c>
      <c r="B2162" s="51" t="s">
        <v>43</v>
      </c>
      <c r="C2162" s="51" t="s">
        <v>2437</v>
      </c>
      <c r="D2162" s="51">
        <v>100026290</v>
      </c>
      <c r="E2162" s="53" t="s">
        <v>2438</v>
      </c>
      <c r="F2162" s="124">
        <v>200</v>
      </c>
      <c r="G2162" s="124">
        <v>24000</v>
      </c>
      <c r="H2162" s="369">
        <v>4.5599999999999996</v>
      </c>
      <c r="I2162" s="215" t="s">
        <v>76</v>
      </c>
      <c r="J2162" s="215" t="s">
        <v>102</v>
      </c>
      <c r="K2162" s="266">
        <v>49081139919</v>
      </c>
      <c r="L2162" s="215">
        <v>49081639914</v>
      </c>
      <c r="M2162" s="266">
        <v>40049081139917</v>
      </c>
      <c r="N2162" s="264">
        <v>6.0999999999999999E-2</v>
      </c>
      <c r="O2162" s="265">
        <v>25</v>
      </c>
      <c r="P2162" s="265">
        <v>12.35</v>
      </c>
      <c r="Q2162" s="265">
        <v>0.65</v>
      </c>
    </row>
    <row r="2163" spans="1:17" ht="15" customHeight="1">
      <c r="A2163" s="147">
        <v>2265</v>
      </c>
      <c r="B2163" s="51" t="s">
        <v>43</v>
      </c>
      <c r="C2163" s="51" t="s">
        <v>2439</v>
      </c>
      <c r="D2163" s="51">
        <v>100026291</v>
      </c>
      <c r="E2163" s="53" t="s">
        <v>2440</v>
      </c>
      <c r="F2163" s="124">
        <v>125</v>
      </c>
      <c r="G2163" s="124">
        <v>11250</v>
      </c>
      <c r="H2163" s="369">
        <v>5.0199999999999996</v>
      </c>
      <c r="I2163" s="215" t="s">
        <v>76</v>
      </c>
      <c r="J2163" s="215" t="s">
        <v>102</v>
      </c>
      <c r="K2163" s="266">
        <v>49081139926</v>
      </c>
      <c r="L2163" s="215">
        <v>49081639921</v>
      </c>
      <c r="M2163" s="266">
        <v>40049081139924</v>
      </c>
      <c r="N2163" s="264">
        <v>9.4E-2</v>
      </c>
      <c r="O2163" s="265">
        <v>25</v>
      </c>
      <c r="P2163" s="265">
        <v>12.47</v>
      </c>
      <c r="Q2163" s="265">
        <v>0.8</v>
      </c>
    </row>
    <row r="2164" spans="1:17" ht="15" customHeight="1">
      <c r="A2164" s="147">
        <v>2266</v>
      </c>
      <c r="B2164" s="51" t="s">
        <v>43</v>
      </c>
      <c r="C2164" s="51" t="s">
        <v>2441</v>
      </c>
      <c r="D2164" s="51">
        <v>100026293</v>
      </c>
      <c r="E2164" s="53" t="s">
        <v>2442</v>
      </c>
      <c r="F2164" s="124">
        <v>200</v>
      </c>
      <c r="G2164" s="124">
        <v>54000</v>
      </c>
      <c r="H2164" s="369">
        <v>2.33</v>
      </c>
      <c r="I2164" s="215" t="s">
        <v>76</v>
      </c>
      <c r="J2164" s="215" t="s">
        <v>102</v>
      </c>
      <c r="K2164" s="266">
        <v>49081139940</v>
      </c>
      <c r="L2164" s="215">
        <v>49081639945</v>
      </c>
      <c r="M2164" s="266">
        <v>40049081139948</v>
      </c>
      <c r="N2164" s="264">
        <v>0.08</v>
      </c>
      <c r="O2164" s="265">
        <v>25</v>
      </c>
      <c r="P2164" s="265">
        <v>7.3</v>
      </c>
      <c r="Q2164" s="265">
        <v>0.31</v>
      </c>
    </row>
    <row r="2165" spans="1:17" ht="15" customHeight="1">
      <c r="A2165" s="147">
        <v>2280</v>
      </c>
      <c r="B2165" s="51" t="s">
        <v>44</v>
      </c>
      <c r="C2165" s="51" t="s">
        <v>2445</v>
      </c>
      <c r="D2165" s="51">
        <v>100024858</v>
      </c>
      <c r="E2165" s="53" t="s">
        <v>2446</v>
      </c>
      <c r="F2165" s="124">
        <v>10</v>
      </c>
      <c r="G2165" s="124">
        <v>750</v>
      </c>
      <c r="H2165" s="369">
        <v>102.64</v>
      </c>
      <c r="I2165" s="215" t="s">
        <v>346</v>
      </c>
      <c r="J2165" s="215" t="s">
        <v>102</v>
      </c>
      <c r="K2165" s="266">
        <v>49081022914</v>
      </c>
      <c r="L2165" s="265" t="s">
        <v>649</v>
      </c>
      <c r="M2165" s="266">
        <v>40049081022912</v>
      </c>
      <c r="N2165" s="264">
        <v>1.2490000000000001</v>
      </c>
      <c r="O2165" s="265" t="s">
        <v>649</v>
      </c>
      <c r="P2165" s="265">
        <v>12.66</v>
      </c>
      <c r="Q2165" s="265">
        <v>1.1000000000000001</v>
      </c>
    </row>
    <row r="2166" spans="1:17" ht="15" customHeight="1">
      <c r="A2166" s="147">
        <v>2281</v>
      </c>
      <c r="B2166" s="51" t="s">
        <v>44</v>
      </c>
      <c r="C2166" s="51" t="s">
        <v>2447</v>
      </c>
      <c r="D2166" s="51">
        <v>100023760</v>
      </c>
      <c r="E2166" s="53" t="s">
        <v>2448</v>
      </c>
      <c r="F2166" s="124">
        <v>10</v>
      </c>
      <c r="G2166" s="124">
        <v>600</v>
      </c>
      <c r="H2166" s="369">
        <v>113.76</v>
      </c>
      <c r="I2166" s="215" t="s">
        <v>346</v>
      </c>
      <c r="J2166" s="215" t="s">
        <v>102</v>
      </c>
      <c r="K2166" s="266">
        <v>49081022921</v>
      </c>
      <c r="L2166" s="265" t="s">
        <v>649</v>
      </c>
      <c r="M2166" s="266">
        <v>40049081022929</v>
      </c>
      <c r="N2166" s="264">
        <v>1.4279999999999999</v>
      </c>
      <c r="O2166" s="265" t="s">
        <v>649</v>
      </c>
      <c r="P2166" s="265">
        <v>14.68</v>
      </c>
      <c r="Q2166" s="265">
        <v>1.41</v>
      </c>
    </row>
    <row r="2167" spans="1:17" ht="15" customHeight="1">
      <c r="A2167" s="147">
        <v>2282</v>
      </c>
      <c r="B2167" s="51" t="s">
        <v>44</v>
      </c>
      <c r="C2167" s="51" t="s">
        <v>2449</v>
      </c>
      <c r="D2167" s="51">
        <v>100029615</v>
      </c>
      <c r="E2167" s="53" t="s">
        <v>2450</v>
      </c>
      <c r="F2167" s="124">
        <v>1000</v>
      </c>
      <c r="G2167" s="124">
        <v>75000</v>
      </c>
      <c r="H2167" s="369">
        <v>102.64</v>
      </c>
      <c r="I2167" s="215" t="s">
        <v>346</v>
      </c>
      <c r="J2167" s="215" t="s">
        <v>102</v>
      </c>
      <c r="K2167" s="266">
        <v>49081031350</v>
      </c>
      <c r="L2167" s="265" t="s">
        <v>649</v>
      </c>
      <c r="M2167" s="266">
        <v>40049081031358</v>
      </c>
      <c r="N2167" s="264">
        <v>1.2290000000000001</v>
      </c>
      <c r="O2167" s="265" t="s">
        <v>649</v>
      </c>
      <c r="P2167" s="265">
        <v>12.8</v>
      </c>
      <c r="Q2167" s="265">
        <v>0.95</v>
      </c>
    </row>
    <row r="2168" spans="1:17" ht="15" customHeight="1">
      <c r="A2168" s="147">
        <v>2283</v>
      </c>
      <c r="B2168" s="51" t="s">
        <v>44</v>
      </c>
      <c r="C2168" s="51" t="s">
        <v>2451</v>
      </c>
      <c r="D2168" s="51">
        <v>100023761</v>
      </c>
      <c r="E2168" s="53" t="s">
        <v>2452</v>
      </c>
      <c r="F2168" s="124">
        <v>10</v>
      </c>
      <c r="G2168" s="124">
        <v>750</v>
      </c>
      <c r="H2168" s="369">
        <v>102.64</v>
      </c>
      <c r="I2168" s="215" t="s">
        <v>346</v>
      </c>
      <c r="J2168" s="215" t="s">
        <v>102</v>
      </c>
      <c r="K2168" s="266">
        <v>49081022938</v>
      </c>
      <c r="L2168" s="265" t="s">
        <v>649</v>
      </c>
      <c r="M2168" s="266">
        <v>40049081022936</v>
      </c>
      <c r="N2168" s="264">
        <v>1.23</v>
      </c>
      <c r="O2168" s="265" t="s">
        <v>649</v>
      </c>
      <c r="P2168" s="265">
        <v>12.565</v>
      </c>
      <c r="Q2168" s="265">
        <v>0.95</v>
      </c>
    </row>
    <row r="2169" spans="1:17" ht="15" customHeight="1">
      <c r="A2169" s="147">
        <v>2284</v>
      </c>
      <c r="B2169" s="51" t="s">
        <v>44</v>
      </c>
      <c r="C2169" s="51" t="s">
        <v>2453</v>
      </c>
      <c r="D2169" s="51">
        <v>100024859</v>
      </c>
      <c r="E2169" s="53" t="s">
        <v>2454</v>
      </c>
      <c r="F2169" s="124">
        <v>10</v>
      </c>
      <c r="G2169" s="124">
        <v>600</v>
      </c>
      <c r="H2169" s="369">
        <v>113.76</v>
      </c>
      <c r="I2169" s="215" t="s">
        <v>346</v>
      </c>
      <c r="J2169" s="215" t="s">
        <v>102</v>
      </c>
      <c r="K2169" s="266">
        <v>49081022945</v>
      </c>
      <c r="L2169" s="265" t="s">
        <v>649</v>
      </c>
      <c r="M2169" s="266">
        <v>40049081022943</v>
      </c>
      <c r="N2169" s="264">
        <v>1.409</v>
      </c>
      <c r="O2169" s="265" t="s">
        <v>649</v>
      </c>
      <c r="P2169" s="265">
        <v>14.68</v>
      </c>
      <c r="Q2169" s="265">
        <v>1.41</v>
      </c>
    </row>
    <row r="2170" spans="1:17" ht="15" customHeight="1">
      <c r="A2170" s="147">
        <v>2285</v>
      </c>
      <c r="B2170" s="51" t="s">
        <v>44</v>
      </c>
      <c r="C2170" s="51" t="s">
        <v>2455</v>
      </c>
      <c r="D2170" s="51">
        <v>100024862</v>
      </c>
      <c r="E2170" s="53" t="s">
        <v>2456</v>
      </c>
      <c r="F2170" s="124">
        <v>10</v>
      </c>
      <c r="G2170" s="124">
        <v>750</v>
      </c>
      <c r="H2170" s="369">
        <v>102.64</v>
      </c>
      <c r="I2170" s="215" t="s">
        <v>346</v>
      </c>
      <c r="J2170" s="215" t="s">
        <v>102</v>
      </c>
      <c r="K2170" s="266">
        <v>49081022464</v>
      </c>
      <c r="L2170" s="265" t="s">
        <v>649</v>
      </c>
      <c r="M2170" s="266">
        <v>40049081022462</v>
      </c>
      <c r="N2170" s="264">
        <v>1.292</v>
      </c>
      <c r="O2170" s="265" t="s">
        <v>649</v>
      </c>
      <c r="P2170" s="265">
        <v>12.85</v>
      </c>
      <c r="Q2170" s="265">
        <v>1.1000000000000001</v>
      </c>
    </row>
    <row r="2171" spans="1:17" ht="15" customHeight="1">
      <c r="A2171" s="147">
        <v>2286</v>
      </c>
      <c r="B2171" s="51" t="s">
        <v>44</v>
      </c>
      <c r="C2171" s="51" t="s">
        <v>2457</v>
      </c>
      <c r="D2171" s="51">
        <v>100030779</v>
      </c>
      <c r="E2171" s="53" t="s">
        <v>2458</v>
      </c>
      <c r="F2171" s="124">
        <v>10</v>
      </c>
      <c r="G2171" s="124">
        <v>600</v>
      </c>
      <c r="H2171" s="369">
        <v>113.76</v>
      </c>
      <c r="I2171" s="215" t="s">
        <v>346</v>
      </c>
      <c r="J2171" s="215" t="s">
        <v>102</v>
      </c>
      <c r="K2171" s="266">
        <v>49081031558</v>
      </c>
      <c r="L2171" s="265" t="s">
        <v>649</v>
      </c>
      <c r="M2171" s="266">
        <v>40049081031556</v>
      </c>
      <c r="N2171" s="264">
        <v>1.4710000000000001</v>
      </c>
      <c r="O2171" s="265" t="s">
        <v>649</v>
      </c>
      <c r="P2171" s="265">
        <v>15.1</v>
      </c>
      <c r="Q2171" s="265">
        <v>1.41</v>
      </c>
    </row>
    <row r="2172" spans="1:17" ht="15" customHeight="1">
      <c r="A2172" s="147">
        <v>2287</v>
      </c>
      <c r="B2172" s="51" t="s">
        <v>44</v>
      </c>
      <c r="C2172" s="51" t="s">
        <v>2459</v>
      </c>
      <c r="D2172" s="51">
        <v>100024865</v>
      </c>
      <c r="E2172" s="53" t="s">
        <v>2460</v>
      </c>
      <c r="F2172" s="124">
        <v>10</v>
      </c>
      <c r="G2172" s="124">
        <v>750</v>
      </c>
      <c r="H2172" s="369">
        <v>102.64</v>
      </c>
      <c r="I2172" s="215" t="s">
        <v>346</v>
      </c>
      <c r="J2172" s="215" t="s">
        <v>102</v>
      </c>
      <c r="K2172" s="266">
        <v>49081022457</v>
      </c>
      <c r="L2172" s="265" t="s">
        <v>649</v>
      </c>
      <c r="M2172" s="266">
        <v>40049081022455</v>
      </c>
      <c r="N2172" s="264">
        <v>1.272</v>
      </c>
      <c r="O2172" s="265" t="s">
        <v>649</v>
      </c>
      <c r="P2172" s="265">
        <v>12.855</v>
      </c>
      <c r="Q2172" s="265">
        <v>1.1000000000000001</v>
      </c>
    </row>
    <row r="2173" spans="1:17" ht="15" customHeight="1">
      <c r="A2173" s="147">
        <v>2288</v>
      </c>
      <c r="B2173" s="51" t="s">
        <v>44</v>
      </c>
      <c r="C2173" s="51" t="s">
        <v>2461</v>
      </c>
      <c r="D2173" s="51">
        <v>100023764</v>
      </c>
      <c r="E2173" s="53" t="s">
        <v>2462</v>
      </c>
      <c r="F2173" s="124">
        <v>10</v>
      </c>
      <c r="G2173" s="124">
        <v>240</v>
      </c>
      <c r="H2173" s="369">
        <v>1.26</v>
      </c>
      <c r="I2173" s="215" t="s">
        <v>346</v>
      </c>
      <c r="J2173" s="215" t="s">
        <v>102</v>
      </c>
      <c r="K2173" s="266">
        <v>49081022686</v>
      </c>
      <c r="L2173" s="265" t="s">
        <v>649</v>
      </c>
      <c r="M2173" s="266">
        <v>40049081022684</v>
      </c>
      <c r="N2173" s="264">
        <v>1.901</v>
      </c>
      <c r="O2173" s="265" t="s">
        <v>649</v>
      </c>
      <c r="P2173" s="265">
        <v>23.58</v>
      </c>
      <c r="Q2173" s="265">
        <v>2.77</v>
      </c>
    </row>
    <row r="2174" spans="1:17" ht="15" customHeight="1">
      <c r="A2174" s="147">
        <v>2289</v>
      </c>
      <c r="B2174" s="51" t="s">
        <v>44</v>
      </c>
      <c r="C2174" s="51" t="s">
        <v>2463</v>
      </c>
      <c r="D2174" s="51">
        <v>100024867</v>
      </c>
      <c r="E2174" s="53" t="s">
        <v>2464</v>
      </c>
      <c r="F2174" s="124">
        <v>10</v>
      </c>
      <c r="G2174" s="124">
        <v>750</v>
      </c>
      <c r="H2174" s="369">
        <v>102.64</v>
      </c>
      <c r="I2174" s="215" t="s">
        <v>346</v>
      </c>
      <c r="J2174" s="215" t="s">
        <v>102</v>
      </c>
      <c r="K2174" s="266">
        <v>49081020286</v>
      </c>
      <c r="L2174" s="265" t="s">
        <v>649</v>
      </c>
      <c r="M2174" s="266">
        <v>40049081020284</v>
      </c>
      <c r="N2174" s="264">
        <v>1.2290000000000001</v>
      </c>
      <c r="O2174" s="265" t="s">
        <v>649</v>
      </c>
      <c r="P2174" s="265">
        <v>12.565</v>
      </c>
      <c r="Q2174" s="265">
        <v>0.95</v>
      </c>
    </row>
    <row r="2175" spans="1:17" ht="15" customHeight="1">
      <c r="A2175" s="147">
        <v>2290</v>
      </c>
      <c r="B2175" s="51" t="s">
        <v>44</v>
      </c>
      <c r="C2175" s="51" t="s">
        <v>2465</v>
      </c>
      <c r="D2175" s="51">
        <v>100023766</v>
      </c>
      <c r="E2175" s="53" t="s">
        <v>2466</v>
      </c>
      <c r="F2175" s="124">
        <v>10</v>
      </c>
      <c r="G2175" s="124">
        <v>600</v>
      </c>
      <c r="H2175" s="369">
        <v>113.76</v>
      </c>
      <c r="I2175" s="215" t="s">
        <v>346</v>
      </c>
      <c r="J2175" s="215" t="s">
        <v>102</v>
      </c>
      <c r="K2175" s="266">
        <v>49081031008</v>
      </c>
      <c r="L2175" s="265" t="s">
        <v>649</v>
      </c>
      <c r="M2175" s="266">
        <v>40049081031006</v>
      </c>
      <c r="N2175" s="264">
        <v>1.3380000000000001</v>
      </c>
      <c r="O2175" s="265" t="s">
        <v>649</v>
      </c>
      <c r="P2175" s="265">
        <v>14.4</v>
      </c>
      <c r="Q2175" s="265">
        <v>1.25</v>
      </c>
    </row>
    <row r="2176" spans="1:17" ht="15" customHeight="1">
      <c r="A2176" s="147">
        <v>2291</v>
      </c>
      <c r="B2176" s="51" t="s">
        <v>44</v>
      </c>
      <c r="C2176" s="51" t="s">
        <v>2467</v>
      </c>
      <c r="D2176" s="51">
        <v>100024868</v>
      </c>
      <c r="E2176" s="53" t="s">
        <v>2468</v>
      </c>
      <c r="F2176" s="124">
        <v>10</v>
      </c>
      <c r="G2176" s="124">
        <v>600</v>
      </c>
      <c r="H2176" s="369">
        <v>113.76</v>
      </c>
      <c r="I2176" s="215" t="s">
        <v>346</v>
      </c>
      <c r="J2176" s="215" t="s">
        <v>102</v>
      </c>
      <c r="K2176" s="266">
        <v>49081031077</v>
      </c>
      <c r="L2176" s="265" t="s">
        <v>649</v>
      </c>
      <c r="M2176" s="266">
        <v>40049081031075</v>
      </c>
      <c r="N2176" s="264">
        <v>1.4079999999999999</v>
      </c>
      <c r="O2176" s="265" t="s">
        <v>649</v>
      </c>
      <c r="P2176" s="265">
        <v>14.8</v>
      </c>
      <c r="Q2176" s="265">
        <v>1.41</v>
      </c>
    </row>
    <row r="2177" spans="1:17" ht="15" customHeight="1">
      <c r="A2177" s="147">
        <v>2292</v>
      </c>
      <c r="B2177" s="51" t="s">
        <v>44</v>
      </c>
      <c r="C2177" s="51" t="s">
        <v>2469</v>
      </c>
      <c r="D2177" s="51">
        <v>100024869</v>
      </c>
      <c r="E2177" s="53" t="s">
        <v>2470</v>
      </c>
      <c r="F2177" s="124">
        <v>10</v>
      </c>
      <c r="G2177" s="124">
        <v>750</v>
      </c>
      <c r="H2177" s="369">
        <v>102.64</v>
      </c>
      <c r="I2177" s="215" t="s">
        <v>346</v>
      </c>
      <c r="J2177" s="215" t="s">
        <v>102</v>
      </c>
      <c r="K2177" s="266">
        <v>49081020293</v>
      </c>
      <c r="L2177" s="265" t="s">
        <v>649</v>
      </c>
      <c r="M2177" s="266">
        <v>40049081020291</v>
      </c>
      <c r="N2177" s="264">
        <v>1.246</v>
      </c>
      <c r="O2177" s="265" t="s">
        <v>649</v>
      </c>
      <c r="P2177" s="265">
        <v>12.755000000000001</v>
      </c>
      <c r="Q2177" s="265">
        <v>1.1000000000000001</v>
      </c>
    </row>
    <row r="2178" spans="1:17" ht="15" customHeight="1">
      <c r="A2178" s="147">
        <v>2293</v>
      </c>
      <c r="B2178" s="51" t="s">
        <v>44</v>
      </c>
      <c r="C2178" s="51" t="s">
        <v>2471</v>
      </c>
      <c r="D2178" s="51">
        <v>100023767</v>
      </c>
      <c r="E2178" s="53" t="s">
        <v>2472</v>
      </c>
      <c r="F2178" s="124">
        <v>10</v>
      </c>
      <c r="G2178" s="124">
        <v>750</v>
      </c>
      <c r="H2178" s="369">
        <v>102.64</v>
      </c>
      <c r="I2178" s="215" t="s">
        <v>346</v>
      </c>
      <c r="J2178" s="215" t="s">
        <v>102</v>
      </c>
      <c r="K2178" s="266">
        <v>49081020309</v>
      </c>
      <c r="L2178" s="265" t="s">
        <v>649</v>
      </c>
      <c r="M2178" s="266">
        <v>40049081020307</v>
      </c>
      <c r="N2178" s="264">
        <v>1.2709999999999999</v>
      </c>
      <c r="O2178" s="265" t="s">
        <v>649</v>
      </c>
      <c r="P2178" s="265">
        <v>12.77</v>
      </c>
      <c r="Q2178" s="265">
        <v>0.95</v>
      </c>
    </row>
    <row r="2179" spans="1:17" ht="15" customHeight="1">
      <c r="A2179" s="147">
        <v>2294</v>
      </c>
      <c r="B2179" s="51" t="s">
        <v>44</v>
      </c>
      <c r="C2179" s="51" t="s">
        <v>2473</v>
      </c>
      <c r="D2179" s="51">
        <v>100024870</v>
      </c>
      <c r="E2179" s="53" t="s">
        <v>2474</v>
      </c>
      <c r="F2179" s="124">
        <v>10</v>
      </c>
      <c r="G2179" s="124">
        <v>750</v>
      </c>
      <c r="H2179" s="369">
        <v>102.64</v>
      </c>
      <c r="I2179" s="215" t="s">
        <v>76</v>
      </c>
      <c r="J2179" s="215" t="s">
        <v>102</v>
      </c>
      <c r="K2179" s="266">
        <v>49081020323</v>
      </c>
      <c r="L2179" s="265" t="s">
        <v>649</v>
      </c>
      <c r="M2179" s="266">
        <v>40049081020321</v>
      </c>
      <c r="N2179" s="264">
        <v>1.208</v>
      </c>
      <c r="O2179" s="265" t="s">
        <v>649</v>
      </c>
      <c r="P2179" s="265">
        <v>12.565</v>
      </c>
      <c r="Q2179" s="265">
        <v>0.95</v>
      </c>
    </row>
    <row r="2180" spans="1:17" ht="15" customHeight="1">
      <c r="A2180" s="147">
        <v>2295</v>
      </c>
      <c r="B2180" s="51" t="s">
        <v>44</v>
      </c>
      <c r="C2180" s="51" t="s">
        <v>2475</v>
      </c>
      <c r="D2180" s="51">
        <v>100023768</v>
      </c>
      <c r="E2180" s="53" t="s">
        <v>2476</v>
      </c>
      <c r="F2180" s="124">
        <v>10</v>
      </c>
      <c r="G2180" s="124">
        <v>600</v>
      </c>
      <c r="H2180" s="369">
        <v>113.76</v>
      </c>
      <c r="I2180" s="215" t="s">
        <v>76</v>
      </c>
      <c r="J2180" s="215" t="s">
        <v>102</v>
      </c>
      <c r="K2180" s="266">
        <v>49081023034</v>
      </c>
      <c r="L2180" s="265" t="s">
        <v>649</v>
      </c>
      <c r="M2180" s="266">
        <v>40049081023032</v>
      </c>
      <c r="N2180" s="264">
        <v>1.3169999999999999</v>
      </c>
      <c r="O2180" s="265" t="s">
        <v>649</v>
      </c>
      <c r="P2180" s="265">
        <v>13.98</v>
      </c>
      <c r="Q2180" s="265">
        <v>1.41</v>
      </c>
    </row>
    <row r="2181" spans="1:17" ht="15" customHeight="1">
      <c r="A2181" s="147">
        <v>2296</v>
      </c>
      <c r="B2181" s="51" t="s">
        <v>44</v>
      </c>
      <c r="C2181" s="51" t="s">
        <v>2477</v>
      </c>
      <c r="D2181" s="51">
        <v>100024871</v>
      </c>
      <c r="E2181" s="53" t="s">
        <v>2478</v>
      </c>
      <c r="F2181" s="124">
        <v>10</v>
      </c>
      <c r="G2181" s="124">
        <v>600</v>
      </c>
      <c r="H2181" s="369">
        <v>113.76</v>
      </c>
      <c r="I2181" s="215" t="s">
        <v>346</v>
      </c>
      <c r="J2181" s="215" t="s">
        <v>102</v>
      </c>
      <c r="K2181" s="266">
        <v>49081020347</v>
      </c>
      <c r="L2181" s="265" t="s">
        <v>649</v>
      </c>
      <c r="M2181" s="266">
        <v>40049081020345</v>
      </c>
      <c r="N2181" s="264">
        <v>1.387</v>
      </c>
      <c r="O2181" s="265" t="s">
        <v>649</v>
      </c>
      <c r="P2181" s="265">
        <v>14.68</v>
      </c>
      <c r="Q2181" s="265">
        <v>1.41</v>
      </c>
    </row>
    <row r="2182" spans="1:17" ht="15" customHeight="1">
      <c r="A2182" s="147">
        <v>2297</v>
      </c>
      <c r="B2182" s="51" t="s">
        <v>44</v>
      </c>
      <c r="C2182" s="51" t="s">
        <v>2479</v>
      </c>
      <c r="D2182" s="51">
        <v>100024872</v>
      </c>
      <c r="E2182" s="53" t="s">
        <v>2480</v>
      </c>
      <c r="F2182" s="124">
        <v>10</v>
      </c>
      <c r="G2182" s="124">
        <v>900</v>
      </c>
      <c r="H2182" s="369">
        <v>91.56</v>
      </c>
      <c r="I2182" s="215" t="s">
        <v>76</v>
      </c>
      <c r="J2182" s="215" t="s">
        <v>102</v>
      </c>
      <c r="K2182" s="266">
        <v>49081020354</v>
      </c>
      <c r="L2182" s="265" t="s">
        <v>649</v>
      </c>
      <c r="M2182" s="266">
        <v>40049081020352</v>
      </c>
      <c r="N2182" s="264">
        <v>1.0549999999999999</v>
      </c>
      <c r="O2182" s="265" t="s">
        <v>649</v>
      </c>
      <c r="P2182" s="265">
        <v>11.2</v>
      </c>
      <c r="Q2182" s="265">
        <v>0.8</v>
      </c>
    </row>
    <row r="2183" spans="1:17" ht="15" customHeight="1">
      <c r="A2183" s="147">
        <v>2298</v>
      </c>
      <c r="B2183" s="51" t="s">
        <v>44</v>
      </c>
      <c r="C2183" s="51" t="s">
        <v>2481</v>
      </c>
      <c r="D2183" s="51">
        <v>100023769</v>
      </c>
      <c r="E2183" s="53" t="s">
        <v>2482</v>
      </c>
      <c r="F2183" s="124">
        <v>10</v>
      </c>
      <c r="G2183" s="124">
        <v>900</v>
      </c>
      <c r="H2183" s="369">
        <v>102.64</v>
      </c>
      <c r="I2183" s="215" t="s">
        <v>346</v>
      </c>
      <c r="J2183" s="215" t="s">
        <v>102</v>
      </c>
      <c r="K2183" s="266">
        <v>49081023102</v>
      </c>
      <c r="L2183" s="265" t="s">
        <v>649</v>
      </c>
      <c r="M2183" s="266">
        <v>40049081023100</v>
      </c>
      <c r="N2183" s="264">
        <v>1.07</v>
      </c>
      <c r="O2183" s="265" t="s">
        <v>649</v>
      </c>
      <c r="P2183" s="265">
        <v>10.7</v>
      </c>
      <c r="Q2183" s="265">
        <v>0.8</v>
      </c>
    </row>
    <row r="2184" spans="1:17" ht="15" customHeight="1">
      <c r="A2184" s="147">
        <v>2299</v>
      </c>
      <c r="B2184" s="51" t="s">
        <v>44</v>
      </c>
      <c r="C2184" s="51" t="s">
        <v>2483</v>
      </c>
      <c r="D2184" s="51">
        <v>100023773</v>
      </c>
      <c r="E2184" s="53" t="s">
        <v>2484</v>
      </c>
      <c r="F2184" s="124">
        <v>10</v>
      </c>
      <c r="G2184" s="124">
        <v>900</v>
      </c>
      <c r="H2184" s="369">
        <v>102.64</v>
      </c>
      <c r="I2184" s="215" t="s">
        <v>346</v>
      </c>
      <c r="J2184" s="215" t="s">
        <v>102</v>
      </c>
      <c r="K2184" s="266">
        <v>49081020378</v>
      </c>
      <c r="L2184" s="265" t="s">
        <v>649</v>
      </c>
      <c r="M2184" s="266">
        <v>40049081020376</v>
      </c>
      <c r="N2184" s="264">
        <v>1.0880000000000001</v>
      </c>
      <c r="O2184" s="265" t="s">
        <v>649</v>
      </c>
      <c r="P2184" s="265">
        <v>11.45</v>
      </c>
      <c r="Q2184" s="265">
        <v>0.8</v>
      </c>
    </row>
    <row r="2185" spans="1:17" ht="15" customHeight="1">
      <c r="A2185" s="147">
        <v>2300</v>
      </c>
      <c r="B2185" s="51" t="s">
        <v>44</v>
      </c>
      <c r="C2185" s="51" t="s">
        <v>2485</v>
      </c>
      <c r="D2185" s="51">
        <v>100023774</v>
      </c>
      <c r="E2185" s="53" t="s">
        <v>2486</v>
      </c>
      <c r="F2185" s="124">
        <v>10</v>
      </c>
      <c r="G2185" s="124">
        <v>600</v>
      </c>
      <c r="H2185" s="369">
        <v>113.76</v>
      </c>
      <c r="I2185" s="215" t="s">
        <v>346</v>
      </c>
      <c r="J2185" s="215" t="s">
        <v>102</v>
      </c>
      <c r="K2185" s="266">
        <v>49081023119</v>
      </c>
      <c r="L2185" s="265" t="s">
        <v>649</v>
      </c>
      <c r="M2185" s="266">
        <v>40049081023117</v>
      </c>
      <c r="N2185" s="264">
        <v>1.2170000000000001</v>
      </c>
      <c r="O2185" s="265" t="s">
        <v>649</v>
      </c>
      <c r="P2185" s="265">
        <v>12.17</v>
      </c>
      <c r="Q2185" s="265">
        <v>1.25</v>
      </c>
    </row>
    <row r="2186" spans="1:17" ht="15" customHeight="1">
      <c r="A2186" s="147">
        <v>2301</v>
      </c>
      <c r="B2186" s="51" t="s">
        <v>44</v>
      </c>
      <c r="C2186" s="51" t="s">
        <v>2487</v>
      </c>
      <c r="D2186" s="51">
        <v>100023777</v>
      </c>
      <c r="E2186" s="53" t="s">
        <v>2488</v>
      </c>
      <c r="F2186" s="124">
        <v>10</v>
      </c>
      <c r="G2186" s="124">
        <v>600</v>
      </c>
      <c r="H2186" s="369">
        <v>113.76</v>
      </c>
      <c r="I2186" s="215" t="s">
        <v>346</v>
      </c>
      <c r="J2186" s="215" t="s">
        <v>102</v>
      </c>
      <c r="K2186" s="266">
        <v>49081023126</v>
      </c>
      <c r="L2186" s="265" t="s">
        <v>649</v>
      </c>
      <c r="M2186" s="266">
        <v>40049081023124</v>
      </c>
      <c r="N2186" s="264">
        <v>1.2669999999999999</v>
      </c>
      <c r="O2186" s="265" t="s">
        <v>649</v>
      </c>
      <c r="P2186" s="265">
        <v>13.47</v>
      </c>
      <c r="Q2186" s="265">
        <v>1.41</v>
      </c>
    </row>
    <row r="2187" spans="1:17" ht="15" customHeight="1">
      <c r="A2187" s="147">
        <v>2302</v>
      </c>
      <c r="B2187" s="51" t="s">
        <v>44</v>
      </c>
      <c r="C2187" s="51" t="s">
        <v>2489</v>
      </c>
      <c r="D2187" s="51">
        <v>100023784</v>
      </c>
      <c r="E2187" s="53" t="s">
        <v>2490</v>
      </c>
      <c r="F2187" s="124">
        <v>10</v>
      </c>
      <c r="G2187" s="124">
        <v>1200</v>
      </c>
      <c r="H2187" s="369">
        <v>91.56</v>
      </c>
      <c r="I2187" s="215" t="s">
        <v>346</v>
      </c>
      <c r="J2187" s="215" t="s">
        <v>102</v>
      </c>
      <c r="K2187" s="266">
        <v>49081023133</v>
      </c>
      <c r="L2187" s="265" t="s">
        <v>649</v>
      </c>
      <c r="M2187" s="266">
        <v>40049081023131</v>
      </c>
      <c r="N2187" s="264">
        <v>0.92500000000000004</v>
      </c>
      <c r="O2187" s="265" t="s">
        <v>649</v>
      </c>
      <c r="P2187" s="265">
        <v>9.25</v>
      </c>
      <c r="Q2187" s="265">
        <v>0.65</v>
      </c>
    </row>
    <row r="2188" spans="1:17" ht="15" customHeight="1">
      <c r="A2188" s="147">
        <v>2303</v>
      </c>
      <c r="B2188" s="51" t="s">
        <v>44</v>
      </c>
      <c r="C2188" s="51" t="s">
        <v>2491</v>
      </c>
      <c r="D2188" s="51">
        <v>100023785</v>
      </c>
      <c r="E2188" s="53" t="s">
        <v>2492</v>
      </c>
      <c r="F2188" s="124">
        <v>10</v>
      </c>
      <c r="G2188" s="124">
        <v>1200</v>
      </c>
      <c r="H2188" s="369">
        <v>91.56</v>
      </c>
      <c r="I2188" s="215" t="s">
        <v>346</v>
      </c>
      <c r="J2188" s="215" t="s">
        <v>102</v>
      </c>
      <c r="K2188" s="266">
        <v>49081023140</v>
      </c>
      <c r="L2188" s="265" t="s">
        <v>649</v>
      </c>
      <c r="M2188" s="266">
        <v>40049081023148</v>
      </c>
      <c r="N2188" s="264">
        <v>0.995</v>
      </c>
      <c r="O2188" s="265" t="s">
        <v>649</v>
      </c>
      <c r="P2188" s="265">
        <v>9.9499999999999993</v>
      </c>
      <c r="Q2188" s="265">
        <v>0.65</v>
      </c>
    </row>
    <row r="2189" spans="1:17" ht="15" customHeight="1">
      <c r="A2189" s="147">
        <v>2304</v>
      </c>
      <c r="B2189" s="51" t="s">
        <v>44</v>
      </c>
      <c r="C2189" s="51" t="s">
        <v>2493</v>
      </c>
      <c r="D2189" s="51">
        <v>100023791</v>
      </c>
      <c r="E2189" s="53" t="s">
        <v>2494</v>
      </c>
      <c r="F2189" s="124">
        <v>10</v>
      </c>
      <c r="G2189" s="124">
        <v>900</v>
      </c>
      <c r="H2189" s="369">
        <v>102.64</v>
      </c>
      <c r="I2189" s="215" t="s">
        <v>346</v>
      </c>
      <c r="J2189" s="215" t="s">
        <v>102</v>
      </c>
      <c r="K2189" s="266">
        <v>49081022297</v>
      </c>
      <c r="L2189" s="265" t="s">
        <v>649</v>
      </c>
      <c r="M2189" s="266">
        <v>40049081022295</v>
      </c>
      <c r="N2189" s="264">
        <v>1.03</v>
      </c>
      <c r="O2189" s="265" t="s">
        <v>649</v>
      </c>
      <c r="P2189" s="265">
        <v>10.6</v>
      </c>
      <c r="Q2189" s="265">
        <v>0.8</v>
      </c>
    </row>
    <row r="2190" spans="1:17" ht="15" customHeight="1">
      <c r="A2190" s="147">
        <v>2305</v>
      </c>
      <c r="B2190" s="51" t="s">
        <v>44</v>
      </c>
      <c r="C2190" s="51" t="s">
        <v>2495</v>
      </c>
      <c r="D2190" s="51">
        <v>100024875</v>
      </c>
      <c r="E2190" s="53" t="s">
        <v>2496</v>
      </c>
      <c r="F2190" s="124">
        <v>10</v>
      </c>
      <c r="G2190" s="124">
        <v>900</v>
      </c>
      <c r="H2190" s="369">
        <v>102.64</v>
      </c>
      <c r="I2190" s="215" t="s">
        <v>76</v>
      </c>
      <c r="J2190" s="215" t="s">
        <v>102</v>
      </c>
      <c r="K2190" s="266">
        <v>49081020453</v>
      </c>
      <c r="L2190" s="265" t="s">
        <v>649</v>
      </c>
      <c r="M2190" s="266">
        <v>40049081020451</v>
      </c>
      <c r="N2190" s="264">
        <v>1.1060000000000001</v>
      </c>
      <c r="O2190" s="265" t="s">
        <v>649</v>
      </c>
      <c r="P2190" s="265">
        <v>11.35</v>
      </c>
      <c r="Q2190" s="265">
        <v>0.8</v>
      </c>
    </row>
    <row r="2191" spans="1:17" ht="15" customHeight="1">
      <c r="A2191" s="147">
        <v>2306</v>
      </c>
      <c r="B2191" s="51" t="s">
        <v>44</v>
      </c>
      <c r="C2191" s="51" t="s">
        <v>2497</v>
      </c>
      <c r="D2191" s="51">
        <v>100023792</v>
      </c>
      <c r="E2191" s="53" t="s">
        <v>2498</v>
      </c>
      <c r="F2191" s="124">
        <v>10</v>
      </c>
      <c r="G2191" s="124">
        <v>600</v>
      </c>
      <c r="H2191" s="369">
        <v>113.76</v>
      </c>
      <c r="I2191" s="215" t="s">
        <v>346</v>
      </c>
      <c r="J2191" s="215" t="s">
        <v>102</v>
      </c>
      <c r="K2191" s="266">
        <v>49081023232</v>
      </c>
      <c r="L2191" s="265" t="s">
        <v>649</v>
      </c>
      <c r="M2191" s="266">
        <v>40049081023230</v>
      </c>
      <c r="N2191" s="264">
        <v>1.1499999999999999</v>
      </c>
      <c r="O2191" s="265" t="s">
        <v>649</v>
      </c>
      <c r="P2191" s="265">
        <v>12.07</v>
      </c>
      <c r="Q2191" s="265">
        <v>1.25</v>
      </c>
    </row>
    <row r="2192" spans="1:17" ht="15" customHeight="1">
      <c r="A2192" s="147">
        <v>2307</v>
      </c>
      <c r="B2192" s="51" t="s">
        <v>44</v>
      </c>
      <c r="C2192" s="51" t="s">
        <v>2499</v>
      </c>
      <c r="D2192" s="51">
        <v>100023793</v>
      </c>
      <c r="E2192" s="53" t="s">
        <v>2500</v>
      </c>
      <c r="F2192" s="124">
        <v>10</v>
      </c>
      <c r="G2192" s="124">
        <v>600</v>
      </c>
      <c r="H2192" s="369">
        <v>113.76</v>
      </c>
      <c r="I2192" s="215" t="s">
        <v>346</v>
      </c>
      <c r="J2192" s="215" t="s">
        <v>102</v>
      </c>
      <c r="K2192" s="266">
        <v>49081023249</v>
      </c>
      <c r="L2192" s="265" t="s">
        <v>649</v>
      </c>
      <c r="M2192" s="266">
        <v>40049081023247</v>
      </c>
      <c r="N2192" s="264">
        <v>1.2150000000000001</v>
      </c>
      <c r="O2192" s="265" t="s">
        <v>649</v>
      </c>
      <c r="P2192" s="265">
        <v>12.78</v>
      </c>
      <c r="Q2192" s="265">
        <v>1.41</v>
      </c>
    </row>
    <row r="2193" spans="1:17" ht="15" customHeight="1">
      <c r="A2193" s="147">
        <v>2308</v>
      </c>
      <c r="B2193" s="51" t="s">
        <v>44</v>
      </c>
      <c r="C2193" s="51" t="s">
        <v>2501</v>
      </c>
      <c r="D2193" s="51">
        <v>100024876</v>
      </c>
      <c r="E2193" s="53" t="s">
        <v>2502</v>
      </c>
      <c r="F2193" s="124">
        <v>10</v>
      </c>
      <c r="G2193" s="124">
        <v>600</v>
      </c>
      <c r="H2193" s="369">
        <v>113.76</v>
      </c>
      <c r="I2193" s="215" t="s">
        <v>346</v>
      </c>
      <c r="J2193" s="215" t="s">
        <v>102</v>
      </c>
      <c r="K2193" s="266">
        <v>49081020460</v>
      </c>
      <c r="L2193" s="265" t="s">
        <v>649</v>
      </c>
      <c r="M2193" s="266">
        <v>40049081020468</v>
      </c>
      <c r="N2193" s="264">
        <v>1.2849999999999999</v>
      </c>
      <c r="O2193" s="265" t="s">
        <v>649</v>
      </c>
      <c r="P2193" s="265">
        <v>13.48</v>
      </c>
      <c r="Q2193" s="265">
        <v>1.41</v>
      </c>
    </row>
    <row r="2194" spans="1:17" ht="15" customHeight="1">
      <c r="A2194" s="147">
        <v>2309</v>
      </c>
      <c r="B2194" s="51" t="s">
        <v>44</v>
      </c>
      <c r="C2194" s="51" t="s">
        <v>2503</v>
      </c>
      <c r="D2194" s="51">
        <v>100023797</v>
      </c>
      <c r="E2194" s="53" t="s">
        <v>2504</v>
      </c>
      <c r="F2194" s="124">
        <v>10</v>
      </c>
      <c r="G2194" s="124">
        <v>1200</v>
      </c>
      <c r="H2194" s="369">
        <v>91.56</v>
      </c>
      <c r="I2194" s="215" t="s">
        <v>346</v>
      </c>
      <c r="J2194" s="215" t="s">
        <v>102</v>
      </c>
      <c r="K2194" s="266">
        <v>49081023256</v>
      </c>
      <c r="L2194" s="265" t="s">
        <v>649</v>
      </c>
      <c r="M2194" s="266">
        <v>40049081023254</v>
      </c>
      <c r="N2194" s="264">
        <v>0.88900000000000001</v>
      </c>
      <c r="O2194" s="265" t="s">
        <v>649</v>
      </c>
      <c r="P2194" s="265">
        <v>9.3000000000000007</v>
      </c>
      <c r="Q2194" s="265">
        <v>0.65</v>
      </c>
    </row>
    <row r="2195" spans="1:17" ht="15" customHeight="1">
      <c r="A2195" s="147">
        <v>2310</v>
      </c>
      <c r="B2195" s="51" t="s">
        <v>44</v>
      </c>
      <c r="C2195" s="51" t="s">
        <v>2505</v>
      </c>
      <c r="D2195" s="51">
        <v>100024888</v>
      </c>
      <c r="E2195" s="53" t="s">
        <v>2506</v>
      </c>
      <c r="F2195" s="124">
        <v>10</v>
      </c>
      <c r="G2195" s="124">
        <v>900</v>
      </c>
      <c r="H2195" s="369">
        <v>102.64</v>
      </c>
      <c r="I2195" s="215" t="s">
        <v>346</v>
      </c>
      <c r="J2195" s="215" t="s">
        <v>102</v>
      </c>
      <c r="K2195" s="266">
        <v>49081020569</v>
      </c>
      <c r="L2195" s="265" t="s">
        <v>649</v>
      </c>
      <c r="M2195" s="266">
        <v>40049081020567</v>
      </c>
      <c r="N2195" s="264">
        <v>1.123</v>
      </c>
      <c r="O2195" s="265" t="s">
        <v>649</v>
      </c>
      <c r="P2195" s="265">
        <v>11.45</v>
      </c>
      <c r="Q2195" s="265">
        <v>0.8</v>
      </c>
    </row>
    <row r="2196" spans="1:17" ht="15" customHeight="1">
      <c r="A2196" s="147">
        <v>2311</v>
      </c>
      <c r="B2196" s="51" t="s">
        <v>44</v>
      </c>
      <c r="C2196" s="51" t="s">
        <v>2507</v>
      </c>
      <c r="D2196" s="51">
        <v>100023811</v>
      </c>
      <c r="E2196" s="53" t="s">
        <v>2508</v>
      </c>
      <c r="F2196" s="124">
        <v>10</v>
      </c>
      <c r="G2196" s="124">
        <v>600</v>
      </c>
      <c r="H2196" s="369">
        <v>113.76</v>
      </c>
      <c r="I2196" s="215" t="s">
        <v>346</v>
      </c>
      <c r="J2196" s="215" t="s">
        <v>102</v>
      </c>
      <c r="K2196" s="266">
        <v>49081023324</v>
      </c>
      <c r="L2196" s="265" t="s">
        <v>649</v>
      </c>
      <c r="M2196" s="266">
        <v>40049081023322</v>
      </c>
      <c r="N2196" s="264">
        <v>1.302</v>
      </c>
      <c r="O2196" s="265" t="s">
        <v>649</v>
      </c>
      <c r="P2196" s="265">
        <v>13.7</v>
      </c>
      <c r="Q2196" s="265">
        <v>1.41</v>
      </c>
    </row>
    <row r="2197" spans="1:17" ht="15" customHeight="1">
      <c r="A2197" s="147">
        <v>2312</v>
      </c>
      <c r="B2197" s="51" t="s">
        <v>44</v>
      </c>
      <c r="C2197" s="51" t="s">
        <v>2509</v>
      </c>
      <c r="D2197" s="51">
        <v>100023818</v>
      </c>
      <c r="E2197" s="53" t="s">
        <v>2510</v>
      </c>
      <c r="F2197" s="124">
        <v>10</v>
      </c>
      <c r="G2197" s="124">
        <v>900</v>
      </c>
      <c r="H2197" s="369">
        <v>102.64</v>
      </c>
      <c r="I2197" s="215" t="s">
        <v>76</v>
      </c>
      <c r="J2197" s="215" t="s">
        <v>102</v>
      </c>
      <c r="K2197" s="266">
        <v>49081020576</v>
      </c>
      <c r="L2197" s="265" t="s">
        <v>649</v>
      </c>
      <c r="M2197" s="266">
        <v>40049081020574</v>
      </c>
      <c r="N2197" s="264">
        <v>1.1479999999999999</v>
      </c>
      <c r="O2197" s="265" t="s">
        <v>649</v>
      </c>
      <c r="P2197" s="265">
        <v>11.6</v>
      </c>
      <c r="Q2197" s="265">
        <v>0.8</v>
      </c>
    </row>
    <row r="2198" spans="1:17" ht="15" customHeight="1">
      <c r="A2198" s="147">
        <v>2313</v>
      </c>
      <c r="B2198" s="51" t="s">
        <v>44</v>
      </c>
      <c r="C2198" s="51" t="s">
        <v>2511</v>
      </c>
      <c r="D2198" s="51">
        <v>100023819</v>
      </c>
      <c r="E2198" s="53" t="s">
        <v>2512</v>
      </c>
      <c r="F2198" s="124">
        <v>10</v>
      </c>
      <c r="G2198" s="124">
        <v>600</v>
      </c>
      <c r="H2198" s="369">
        <v>113.76</v>
      </c>
      <c r="I2198" s="215" t="s">
        <v>346</v>
      </c>
      <c r="J2198" s="215" t="s">
        <v>102</v>
      </c>
      <c r="K2198" s="266">
        <v>49081020583</v>
      </c>
      <c r="L2198" s="265" t="s">
        <v>649</v>
      </c>
      <c r="M2198" s="266">
        <v>40049081020581</v>
      </c>
      <c r="N2198" s="264">
        <v>1.2569999999999999</v>
      </c>
      <c r="O2198" s="265" t="s">
        <v>649</v>
      </c>
      <c r="P2198" s="265">
        <v>12.98</v>
      </c>
      <c r="Q2198" s="265">
        <v>1.41</v>
      </c>
    </row>
    <row r="2199" spans="1:17" ht="15" customHeight="1">
      <c r="A2199" s="147">
        <v>2314</v>
      </c>
      <c r="B2199" s="51" t="s">
        <v>44</v>
      </c>
      <c r="C2199" s="51" t="s">
        <v>2513</v>
      </c>
      <c r="D2199" s="51">
        <v>100023826</v>
      </c>
      <c r="E2199" s="53" t="s">
        <v>2514</v>
      </c>
      <c r="F2199" s="124">
        <v>10</v>
      </c>
      <c r="G2199" s="124">
        <v>600</v>
      </c>
      <c r="H2199" s="369">
        <v>102.64</v>
      </c>
      <c r="I2199" s="215" t="s">
        <v>346</v>
      </c>
      <c r="J2199" s="215" t="s">
        <v>102</v>
      </c>
      <c r="K2199" s="266">
        <v>49081023447</v>
      </c>
      <c r="L2199" s="265" t="s">
        <v>649</v>
      </c>
      <c r="M2199" s="266">
        <v>40049081023445</v>
      </c>
      <c r="N2199" s="264">
        <v>1.0549999999999999</v>
      </c>
      <c r="O2199" s="265" t="s">
        <v>649</v>
      </c>
      <c r="P2199" s="265">
        <v>10.55</v>
      </c>
      <c r="Q2199" s="265">
        <v>1.25</v>
      </c>
    </row>
    <row r="2200" spans="1:17" ht="15" customHeight="1">
      <c r="A2200" s="147">
        <v>2315</v>
      </c>
      <c r="B2200" s="51" t="s">
        <v>44</v>
      </c>
      <c r="C2200" s="51" t="s">
        <v>2515</v>
      </c>
      <c r="D2200" s="51">
        <v>100023827</v>
      </c>
      <c r="E2200" s="53" t="s">
        <v>2516</v>
      </c>
      <c r="F2200" s="124">
        <v>10</v>
      </c>
      <c r="G2200" s="124">
        <v>900</v>
      </c>
      <c r="H2200" s="369">
        <v>102.64</v>
      </c>
      <c r="I2200" s="215" t="s">
        <v>76</v>
      </c>
      <c r="J2200" s="215" t="s">
        <v>102</v>
      </c>
      <c r="K2200" s="266">
        <v>49081020590</v>
      </c>
      <c r="L2200" s="265" t="s">
        <v>649</v>
      </c>
      <c r="M2200" s="266">
        <v>40049081020598</v>
      </c>
      <c r="N2200" s="264">
        <v>1.1020000000000001</v>
      </c>
      <c r="O2200" s="265" t="s">
        <v>649</v>
      </c>
      <c r="P2200" s="265">
        <v>11.65</v>
      </c>
      <c r="Q2200" s="265">
        <v>0.8</v>
      </c>
    </row>
    <row r="2201" spans="1:17" ht="15" customHeight="1">
      <c r="A2201" s="147">
        <v>2316</v>
      </c>
      <c r="B2201" s="51" t="s">
        <v>44</v>
      </c>
      <c r="C2201" s="51" t="s">
        <v>2517</v>
      </c>
      <c r="D2201" s="51">
        <v>100023828</v>
      </c>
      <c r="E2201" s="53" t="s">
        <v>2518</v>
      </c>
      <c r="F2201" s="124">
        <v>10</v>
      </c>
      <c r="G2201" s="124">
        <v>600</v>
      </c>
      <c r="H2201" s="369">
        <v>113.76</v>
      </c>
      <c r="I2201" s="215" t="s">
        <v>76</v>
      </c>
      <c r="J2201" s="215" t="s">
        <v>102</v>
      </c>
      <c r="K2201" s="265" t="s">
        <v>649</v>
      </c>
      <c r="L2201" s="265" t="s">
        <v>649</v>
      </c>
      <c r="M2201" s="266">
        <v>40049081031419</v>
      </c>
      <c r="N2201" s="264">
        <v>1.2809999999999999</v>
      </c>
      <c r="O2201" s="265" t="s">
        <v>649</v>
      </c>
      <c r="P2201" s="265">
        <v>13.8</v>
      </c>
      <c r="Q2201" s="265">
        <v>1.41</v>
      </c>
    </row>
    <row r="2202" spans="1:17" ht="15" customHeight="1">
      <c r="A2202" s="147">
        <v>2317</v>
      </c>
      <c r="B2202" s="51" t="s">
        <v>44</v>
      </c>
      <c r="C2202" s="51" t="s">
        <v>2519</v>
      </c>
      <c r="D2202" s="51">
        <v>100024892</v>
      </c>
      <c r="E2202" s="53" t="s">
        <v>2520</v>
      </c>
      <c r="F2202" s="124">
        <v>10</v>
      </c>
      <c r="G2202" s="124">
        <v>900</v>
      </c>
      <c r="H2202" s="369">
        <v>102.64</v>
      </c>
      <c r="I2202" s="215" t="s">
        <v>76</v>
      </c>
      <c r="J2202" s="215" t="s">
        <v>102</v>
      </c>
      <c r="K2202" s="266">
        <v>49081020644</v>
      </c>
      <c r="L2202" s="265" t="s">
        <v>649</v>
      </c>
      <c r="M2202" s="266">
        <v>40049081020642</v>
      </c>
      <c r="N2202" s="264">
        <v>1.01</v>
      </c>
      <c r="O2202" s="265" t="s">
        <v>649</v>
      </c>
      <c r="P2202" s="265">
        <v>10.65</v>
      </c>
      <c r="Q2202" s="265">
        <v>0.8</v>
      </c>
    </row>
    <row r="2203" spans="1:17" ht="15" customHeight="1">
      <c r="A2203" s="147">
        <v>2318</v>
      </c>
      <c r="B2203" s="51" t="s">
        <v>44</v>
      </c>
      <c r="C2203" s="51" t="s">
        <v>2521</v>
      </c>
      <c r="D2203" s="51">
        <v>100024895</v>
      </c>
      <c r="E2203" s="53" t="s">
        <v>2522</v>
      </c>
      <c r="F2203" s="124">
        <v>10</v>
      </c>
      <c r="G2203" s="124">
        <v>900</v>
      </c>
      <c r="H2203" s="369">
        <v>102.64</v>
      </c>
      <c r="I2203" s="215" t="s">
        <v>76</v>
      </c>
      <c r="J2203" s="215" t="s">
        <v>102</v>
      </c>
      <c r="K2203" s="266">
        <v>49081020019</v>
      </c>
      <c r="L2203" s="265" t="s">
        <v>649</v>
      </c>
      <c r="M2203" s="266">
        <v>40049081020017</v>
      </c>
      <c r="N2203" s="264">
        <v>1.0860000000000001</v>
      </c>
      <c r="O2203" s="265" t="s">
        <v>649</v>
      </c>
      <c r="P2203" s="265">
        <v>11.54</v>
      </c>
      <c r="Q2203" s="265">
        <v>0.8</v>
      </c>
    </row>
    <row r="2204" spans="1:17" ht="15" customHeight="1">
      <c r="A2204" s="147">
        <v>2319</v>
      </c>
      <c r="B2204" s="51" t="s">
        <v>44</v>
      </c>
      <c r="C2204" s="51" t="s">
        <v>2523</v>
      </c>
      <c r="D2204" s="51">
        <v>100023850</v>
      </c>
      <c r="E2204" s="53" t="s">
        <v>2524</v>
      </c>
      <c r="F2204" s="124">
        <v>10</v>
      </c>
      <c r="G2204" s="124">
        <v>240</v>
      </c>
      <c r="H2204" s="369">
        <v>113.76</v>
      </c>
      <c r="I2204" s="215" t="s">
        <v>346</v>
      </c>
      <c r="J2204" s="215" t="s">
        <v>102</v>
      </c>
      <c r="K2204" s="266">
        <v>49081023560</v>
      </c>
      <c r="L2204" s="265" t="s">
        <v>649</v>
      </c>
      <c r="M2204" s="266">
        <v>40049081023568</v>
      </c>
      <c r="N2204" s="264">
        <v>1.1299999999999999</v>
      </c>
      <c r="O2204" s="265" t="s">
        <v>649</v>
      </c>
      <c r="P2204" s="265">
        <v>11.41</v>
      </c>
      <c r="Q2204" s="265">
        <v>2.77</v>
      </c>
    </row>
    <row r="2205" spans="1:17" ht="15" customHeight="1">
      <c r="A2205" s="147">
        <v>2320</v>
      </c>
      <c r="B2205" s="51" t="s">
        <v>44</v>
      </c>
      <c r="C2205" s="51" t="s">
        <v>2525</v>
      </c>
      <c r="D2205" s="51">
        <v>100023851</v>
      </c>
      <c r="E2205" s="53" t="s">
        <v>2526</v>
      </c>
      <c r="F2205" s="124">
        <v>10</v>
      </c>
      <c r="G2205" s="124">
        <v>600</v>
      </c>
      <c r="H2205" s="369">
        <v>113.76</v>
      </c>
      <c r="I2205" s="215" t="s">
        <v>346</v>
      </c>
      <c r="J2205" s="215" t="s">
        <v>102</v>
      </c>
      <c r="K2205" s="266">
        <v>49081020668</v>
      </c>
      <c r="L2205" s="265" t="s">
        <v>649</v>
      </c>
      <c r="M2205" s="266">
        <v>40049081020666</v>
      </c>
      <c r="N2205" s="264">
        <v>1.1950000000000001</v>
      </c>
      <c r="O2205" s="265" t="s">
        <v>649</v>
      </c>
      <c r="P2205" s="265">
        <v>12.67</v>
      </c>
      <c r="Q2205" s="265">
        <v>1.25</v>
      </c>
    </row>
    <row r="2206" spans="1:17" ht="15" customHeight="1">
      <c r="A2206" s="147">
        <v>2321</v>
      </c>
      <c r="B2206" s="51" t="s">
        <v>44</v>
      </c>
      <c r="C2206" s="51" t="s">
        <v>2527</v>
      </c>
      <c r="D2206" s="51">
        <v>100024896</v>
      </c>
      <c r="E2206" s="53" t="s">
        <v>2528</v>
      </c>
      <c r="F2206" s="124">
        <v>10</v>
      </c>
      <c r="G2206" s="124">
        <v>600</v>
      </c>
      <c r="H2206" s="369">
        <v>113.76</v>
      </c>
      <c r="I2206" s="215" t="s">
        <v>76</v>
      </c>
      <c r="J2206" s="215" t="s">
        <v>102</v>
      </c>
      <c r="K2206" s="266">
        <v>49081020675</v>
      </c>
      <c r="L2206" s="265" t="s">
        <v>649</v>
      </c>
      <c r="M2206" s="266">
        <v>40049081020673</v>
      </c>
      <c r="N2206" s="264">
        <v>1.2649999999999999</v>
      </c>
      <c r="O2206" s="265" t="s">
        <v>649</v>
      </c>
      <c r="P2206" s="265">
        <v>13.5</v>
      </c>
      <c r="Q2206" s="265">
        <v>1.41</v>
      </c>
    </row>
    <row r="2207" spans="1:17" ht="15" customHeight="1">
      <c r="A2207" s="147">
        <v>2322</v>
      </c>
      <c r="B2207" s="51" t="s">
        <v>44</v>
      </c>
      <c r="C2207" s="51" t="s">
        <v>2529</v>
      </c>
      <c r="D2207" s="51">
        <v>100024898</v>
      </c>
      <c r="E2207" s="53" t="s">
        <v>2530</v>
      </c>
      <c r="F2207" s="124">
        <v>10</v>
      </c>
      <c r="G2207" s="124">
        <v>1200</v>
      </c>
      <c r="H2207" s="369">
        <v>91.56</v>
      </c>
      <c r="I2207" s="215" t="s">
        <v>346</v>
      </c>
      <c r="J2207" s="215" t="s">
        <v>102</v>
      </c>
      <c r="K2207" s="266">
        <v>49081020705</v>
      </c>
      <c r="L2207" s="265" t="s">
        <v>649</v>
      </c>
      <c r="M2207" s="266">
        <v>40049081020703</v>
      </c>
      <c r="N2207" s="264">
        <v>0.86899999999999999</v>
      </c>
      <c r="O2207" s="265" t="s">
        <v>649</v>
      </c>
      <c r="P2207" s="265">
        <v>9.15</v>
      </c>
      <c r="Q2207" s="265">
        <v>0.65</v>
      </c>
    </row>
    <row r="2208" spans="1:17" ht="15" customHeight="1">
      <c r="A2208" s="147">
        <v>2323</v>
      </c>
      <c r="B2208" s="51" t="s">
        <v>44</v>
      </c>
      <c r="C2208" s="51" t="s">
        <v>2531</v>
      </c>
      <c r="D2208" s="51">
        <v>100024899</v>
      </c>
      <c r="E2208" s="53" t="s">
        <v>2532</v>
      </c>
      <c r="F2208" s="124">
        <v>10</v>
      </c>
      <c r="G2208" s="124">
        <v>1200</v>
      </c>
      <c r="H2208" s="369">
        <v>91.56</v>
      </c>
      <c r="I2208" s="215" t="s">
        <v>76</v>
      </c>
      <c r="J2208" s="215" t="s">
        <v>102</v>
      </c>
      <c r="K2208" s="266">
        <v>49081020712</v>
      </c>
      <c r="L2208" s="265" t="s">
        <v>649</v>
      </c>
      <c r="M2208" s="266">
        <v>40049081020710</v>
      </c>
      <c r="N2208" s="264">
        <v>0.93300000000000005</v>
      </c>
      <c r="O2208" s="265" t="s">
        <v>649</v>
      </c>
      <c r="P2208" s="265">
        <v>9.9499999999999993</v>
      </c>
      <c r="Q2208" s="265">
        <v>0.65</v>
      </c>
    </row>
    <row r="2209" spans="1:17" ht="15" customHeight="1">
      <c r="A2209" s="147">
        <v>2324</v>
      </c>
      <c r="B2209" s="51" t="s">
        <v>44</v>
      </c>
      <c r="C2209" s="51" t="s">
        <v>2533</v>
      </c>
      <c r="D2209" s="51">
        <v>100023890</v>
      </c>
      <c r="E2209" s="53" t="s">
        <v>2534</v>
      </c>
      <c r="F2209" s="124">
        <v>10</v>
      </c>
      <c r="G2209" s="124">
        <v>900</v>
      </c>
      <c r="H2209" s="369">
        <v>102.64</v>
      </c>
      <c r="I2209" s="215" t="s">
        <v>346</v>
      </c>
      <c r="J2209" s="215" t="s">
        <v>102</v>
      </c>
      <c r="K2209" s="266">
        <v>49081020743</v>
      </c>
      <c r="L2209" s="265" t="s">
        <v>649</v>
      </c>
      <c r="M2209" s="266">
        <v>40049081020741</v>
      </c>
      <c r="N2209" s="264">
        <v>1.1419999999999999</v>
      </c>
      <c r="O2209" s="265" t="s">
        <v>649</v>
      </c>
      <c r="P2209" s="265">
        <v>11.9</v>
      </c>
      <c r="Q2209" s="265">
        <v>0.8</v>
      </c>
    </row>
    <row r="2210" spans="1:17" ht="15" customHeight="1">
      <c r="A2210" s="147">
        <v>2325</v>
      </c>
      <c r="B2210" s="51" t="s">
        <v>44</v>
      </c>
      <c r="C2210" s="51" t="s">
        <v>2535</v>
      </c>
      <c r="D2210" s="51">
        <v>100023892</v>
      </c>
      <c r="E2210" s="53" t="s">
        <v>2536</v>
      </c>
      <c r="F2210" s="124">
        <v>10</v>
      </c>
      <c r="G2210" s="124">
        <v>600</v>
      </c>
      <c r="H2210" s="369">
        <v>113.76</v>
      </c>
      <c r="I2210" s="215" t="s">
        <v>346</v>
      </c>
      <c r="J2210" s="215" t="s">
        <v>102</v>
      </c>
      <c r="K2210" s="266">
        <v>49081023881</v>
      </c>
      <c r="L2210" s="265" t="s">
        <v>649</v>
      </c>
      <c r="M2210" s="266">
        <v>40049081023889</v>
      </c>
      <c r="N2210" s="264">
        <v>1.321</v>
      </c>
      <c r="O2210" s="265" t="s">
        <v>649</v>
      </c>
      <c r="P2210" s="265">
        <v>14.2</v>
      </c>
      <c r="Q2210" s="265">
        <v>1.41</v>
      </c>
    </row>
    <row r="2211" spans="1:17" ht="15" customHeight="1">
      <c r="A2211" s="147">
        <v>2326</v>
      </c>
      <c r="B2211" s="51" t="s">
        <v>44</v>
      </c>
      <c r="C2211" s="51" t="s">
        <v>2537</v>
      </c>
      <c r="D2211" s="51">
        <v>100024913</v>
      </c>
      <c r="E2211" s="53" t="s">
        <v>2538</v>
      </c>
      <c r="F2211" s="124">
        <v>10</v>
      </c>
      <c r="G2211" s="124">
        <v>900</v>
      </c>
      <c r="H2211" s="369">
        <v>102.64</v>
      </c>
      <c r="I2211" s="215" t="s">
        <v>346</v>
      </c>
      <c r="J2211" s="215" t="s">
        <v>102</v>
      </c>
      <c r="K2211" s="266">
        <v>49081020811</v>
      </c>
      <c r="L2211" s="265" t="s">
        <v>649</v>
      </c>
      <c r="M2211" s="266">
        <v>40049081020819</v>
      </c>
      <c r="N2211" s="264">
        <v>1.1259999999999999</v>
      </c>
      <c r="O2211" s="265" t="s">
        <v>649</v>
      </c>
      <c r="P2211" s="265">
        <v>11.8</v>
      </c>
      <c r="Q2211" s="265">
        <v>0.8</v>
      </c>
    </row>
    <row r="2212" spans="1:17" ht="15" customHeight="1">
      <c r="A2212" s="147">
        <v>2327</v>
      </c>
      <c r="B2212" s="51" t="s">
        <v>44</v>
      </c>
      <c r="C2212" s="51" t="s">
        <v>2539</v>
      </c>
      <c r="D2212" s="51">
        <v>100023939</v>
      </c>
      <c r="E2212" s="53" t="s">
        <v>2540</v>
      </c>
      <c r="F2212" s="124">
        <v>10</v>
      </c>
      <c r="G2212" s="124">
        <v>600</v>
      </c>
      <c r="H2212" s="369">
        <v>102.64</v>
      </c>
      <c r="I2212" s="215" t="s">
        <v>346</v>
      </c>
      <c r="J2212" s="215" t="s">
        <v>102</v>
      </c>
      <c r="K2212" s="266">
        <v>49081024390</v>
      </c>
      <c r="L2212" s="265" t="s">
        <v>649</v>
      </c>
      <c r="M2212" s="266">
        <v>40049081024398</v>
      </c>
      <c r="N2212" s="264">
        <v>1.034</v>
      </c>
      <c r="O2212" s="265" t="s">
        <v>649</v>
      </c>
      <c r="P2212" s="265">
        <v>10.35</v>
      </c>
      <c r="Q2212" s="265">
        <v>1.25</v>
      </c>
    </row>
    <row r="2213" spans="1:17" ht="15" customHeight="1">
      <c r="A2213" s="147">
        <v>2328</v>
      </c>
      <c r="B2213" s="51" t="s">
        <v>44</v>
      </c>
      <c r="C2213" s="51" t="s">
        <v>2541</v>
      </c>
      <c r="D2213" s="51">
        <v>100024915</v>
      </c>
      <c r="E2213" s="53" t="s">
        <v>2542</v>
      </c>
      <c r="F2213" s="124">
        <v>10</v>
      </c>
      <c r="G2213" s="124">
        <v>600</v>
      </c>
      <c r="H2213" s="369">
        <v>102.64</v>
      </c>
      <c r="I2213" s="215" t="s">
        <v>346</v>
      </c>
      <c r="J2213" s="215" t="s">
        <v>102</v>
      </c>
      <c r="K2213" s="266">
        <v>49081020828</v>
      </c>
      <c r="L2213" s="265" t="s">
        <v>649</v>
      </c>
      <c r="M2213" s="266">
        <v>40049081020826</v>
      </c>
      <c r="N2213" s="264">
        <v>1.1100000000000001</v>
      </c>
      <c r="O2213" s="265" t="s">
        <v>649</v>
      </c>
      <c r="P2213" s="265">
        <v>11.01</v>
      </c>
      <c r="Q2213" s="265">
        <v>1.41</v>
      </c>
    </row>
    <row r="2214" spans="1:17" ht="15" customHeight="1">
      <c r="A2214" s="147">
        <v>2329</v>
      </c>
      <c r="B2214" s="51" t="s">
        <v>44</v>
      </c>
      <c r="C2214" s="51" t="s">
        <v>2543</v>
      </c>
      <c r="D2214" s="51">
        <v>100023941</v>
      </c>
      <c r="E2214" s="53" t="s">
        <v>2544</v>
      </c>
      <c r="F2214" s="124">
        <v>10</v>
      </c>
      <c r="G2214" s="124">
        <v>600</v>
      </c>
      <c r="H2214" s="369">
        <v>113.76</v>
      </c>
      <c r="I2214" s="215" t="s">
        <v>346</v>
      </c>
      <c r="J2214" s="215" t="s">
        <v>102</v>
      </c>
      <c r="K2214" s="266">
        <v>49081031138</v>
      </c>
      <c r="L2214" s="265" t="s">
        <v>649</v>
      </c>
      <c r="M2214" s="266">
        <v>40049081031136</v>
      </c>
      <c r="N2214" s="264">
        <v>1.2190000000000001</v>
      </c>
      <c r="O2214" s="265" t="s">
        <v>649</v>
      </c>
      <c r="P2214" s="265">
        <v>14.1</v>
      </c>
      <c r="Q2214" s="265">
        <v>1.25</v>
      </c>
    </row>
    <row r="2215" spans="1:17" ht="15" customHeight="1">
      <c r="A2215" s="147">
        <v>2330</v>
      </c>
      <c r="B2215" s="51" t="s">
        <v>44</v>
      </c>
      <c r="C2215" s="51" t="s">
        <v>2545</v>
      </c>
      <c r="D2215" s="51">
        <v>100023942</v>
      </c>
      <c r="E2215" s="53" t="s">
        <v>2546</v>
      </c>
      <c r="F2215" s="124">
        <v>10</v>
      </c>
      <c r="G2215" s="124">
        <v>240</v>
      </c>
      <c r="H2215" s="369">
        <v>113.76</v>
      </c>
      <c r="I2215" s="215" t="s">
        <v>346</v>
      </c>
      <c r="J2215" s="215" t="s">
        <v>102</v>
      </c>
      <c r="K2215" s="266">
        <v>49081022488</v>
      </c>
      <c r="L2215" s="265" t="s">
        <v>649</v>
      </c>
      <c r="M2215" s="266">
        <v>40049081022486</v>
      </c>
      <c r="N2215" s="264">
        <v>1.2889999999999999</v>
      </c>
      <c r="O2215" s="265" t="s">
        <v>649</v>
      </c>
      <c r="P2215" s="265">
        <v>22.11</v>
      </c>
      <c r="Q2215" s="265">
        <v>2.77</v>
      </c>
    </row>
    <row r="2216" spans="1:17" ht="15" customHeight="1">
      <c r="A2216" s="147">
        <v>2331</v>
      </c>
      <c r="B2216" s="51" t="s">
        <v>44</v>
      </c>
      <c r="C2216" s="51" t="s">
        <v>2547</v>
      </c>
      <c r="D2216" s="51">
        <v>100023943</v>
      </c>
      <c r="E2216" s="53" t="s">
        <v>2548</v>
      </c>
      <c r="F2216" s="124">
        <v>10</v>
      </c>
      <c r="G2216" s="124">
        <v>750</v>
      </c>
      <c r="H2216" s="369">
        <v>91.56</v>
      </c>
      <c r="I2216" s="215" t="s">
        <v>346</v>
      </c>
      <c r="J2216" s="215" t="s">
        <v>102</v>
      </c>
      <c r="K2216" s="266">
        <v>49081024406</v>
      </c>
      <c r="L2216" s="265" t="s">
        <v>649</v>
      </c>
      <c r="M2216" s="266">
        <v>40049081024404</v>
      </c>
      <c r="N2216" s="264">
        <v>0.89300000000000002</v>
      </c>
      <c r="O2216" s="265" t="s">
        <v>649</v>
      </c>
      <c r="P2216" s="265">
        <v>8.8699999999999992</v>
      </c>
      <c r="Q2216" s="265">
        <v>0.95</v>
      </c>
    </row>
    <row r="2217" spans="1:17" ht="15" customHeight="1">
      <c r="A2217" s="147">
        <v>2332</v>
      </c>
      <c r="B2217" s="51" t="s">
        <v>44</v>
      </c>
      <c r="C2217" s="51" t="s">
        <v>2549</v>
      </c>
      <c r="D2217" s="51">
        <v>100023944</v>
      </c>
      <c r="E2217" s="53" t="s">
        <v>2550</v>
      </c>
      <c r="F2217" s="124">
        <v>10</v>
      </c>
      <c r="G2217" s="124">
        <v>1200</v>
      </c>
      <c r="H2217" s="369">
        <v>91.56</v>
      </c>
      <c r="I2217" s="215" t="s">
        <v>346</v>
      </c>
      <c r="J2217" s="215" t="s">
        <v>102</v>
      </c>
      <c r="K2217" s="266">
        <v>49081020842</v>
      </c>
      <c r="L2217" s="265" t="s">
        <v>649</v>
      </c>
      <c r="M2217" s="266">
        <v>40049081020840</v>
      </c>
      <c r="N2217" s="264">
        <v>0.95699999999999996</v>
      </c>
      <c r="O2217" s="265" t="s">
        <v>649</v>
      </c>
      <c r="P2217" s="265">
        <v>10.1</v>
      </c>
      <c r="Q2217" s="265">
        <v>0.65</v>
      </c>
    </row>
    <row r="2218" spans="1:17" ht="15" customHeight="1">
      <c r="A2218" s="147">
        <v>2333</v>
      </c>
      <c r="B2218" s="51" t="s">
        <v>44</v>
      </c>
      <c r="C2218" s="51" t="s">
        <v>2551</v>
      </c>
      <c r="D2218" s="51">
        <v>100023973</v>
      </c>
      <c r="E2218" s="53" t="s">
        <v>2552</v>
      </c>
      <c r="F2218" s="124">
        <v>10</v>
      </c>
      <c r="G2218" s="124">
        <v>240</v>
      </c>
      <c r="H2218" s="369">
        <v>113.76</v>
      </c>
      <c r="I2218" s="215" t="s">
        <v>346</v>
      </c>
      <c r="J2218" s="215" t="s">
        <v>102</v>
      </c>
      <c r="K2218" s="266">
        <v>49081024635</v>
      </c>
      <c r="L2218" s="265" t="s">
        <v>649</v>
      </c>
      <c r="M2218" s="266">
        <v>40049081024633</v>
      </c>
      <c r="N2218" s="264">
        <v>1.2170000000000001</v>
      </c>
      <c r="O2218" s="265" t="s">
        <v>649</v>
      </c>
      <c r="P2218" s="265">
        <v>22.25</v>
      </c>
      <c r="Q2218" s="265">
        <v>2.77</v>
      </c>
    </row>
    <row r="2219" spans="1:17" ht="15" customHeight="1">
      <c r="A2219" s="147">
        <v>2334</v>
      </c>
      <c r="B2219" s="51" t="s">
        <v>44</v>
      </c>
      <c r="C2219" s="51" t="s">
        <v>2553</v>
      </c>
      <c r="D2219" s="51">
        <v>100023978</v>
      </c>
      <c r="E2219" s="53" t="s">
        <v>2554</v>
      </c>
      <c r="F2219" s="124">
        <v>10</v>
      </c>
      <c r="G2219" s="124">
        <v>900</v>
      </c>
      <c r="H2219" s="369">
        <v>102.64</v>
      </c>
      <c r="I2219" s="215" t="s">
        <v>346</v>
      </c>
      <c r="J2219" s="215" t="s">
        <v>102</v>
      </c>
      <c r="K2219" s="266">
        <v>49081020903</v>
      </c>
      <c r="L2219" s="265" t="s">
        <v>649</v>
      </c>
      <c r="M2219" s="266">
        <v>40049081020901</v>
      </c>
      <c r="N2219" s="264">
        <v>1.052</v>
      </c>
      <c r="O2219" s="265" t="s">
        <v>649</v>
      </c>
      <c r="P2219" s="265">
        <v>11.85</v>
      </c>
      <c r="Q2219" s="265">
        <v>0.8</v>
      </c>
    </row>
    <row r="2220" spans="1:17" ht="15" customHeight="1">
      <c r="A2220" s="147">
        <v>2335</v>
      </c>
      <c r="B2220" s="51" t="s">
        <v>44</v>
      </c>
      <c r="C2220" s="51" t="s">
        <v>2555</v>
      </c>
      <c r="D2220" s="51">
        <v>100023979</v>
      </c>
      <c r="E2220" s="53" t="s">
        <v>2556</v>
      </c>
      <c r="F2220" s="124">
        <v>10</v>
      </c>
      <c r="G2220" s="124">
        <v>600</v>
      </c>
      <c r="H2220" s="369">
        <v>113.76</v>
      </c>
      <c r="I2220" s="215" t="s">
        <v>346</v>
      </c>
      <c r="J2220" s="215" t="s">
        <v>102</v>
      </c>
      <c r="K2220" s="266">
        <v>49081031428</v>
      </c>
      <c r="L2220" s="265" t="s">
        <v>649</v>
      </c>
      <c r="M2220" s="266">
        <v>40049081031426</v>
      </c>
      <c r="N2220" s="264">
        <v>1.2310000000000001</v>
      </c>
      <c r="O2220" s="265" t="s">
        <v>649</v>
      </c>
      <c r="P2220" s="265">
        <v>14.1</v>
      </c>
      <c r="Q2220" s="265">
        <v>1.41</v>
      </c>
    </row>
    <row r="2221" spans="1:17" ht="15" customHeight="1">
      <c r="A2221" s="147">
        <v>2336</v>
      </c>
      <c r="B2221" s="51" t="s">
        <v>44</v>
      </c>
      <c r="C2221" s="51" t="s">
        <v>2557</v>
      </c>
      <c r="D2221" s="51">
        <v>100023980</v>
      </c>
      <c r="E2221" s="53" t="s">
        <v>2558</v>
      </c>
      <c r="F2221" s="124">
        <v>10</v>
      </c>
      <c r="G2221" s="124">
        <v>1200</v>
      </c>
      <c r="H2221" s="369">
        <v>91.56</v>
      </c>
      <c r="I2221" s="215" t="s">
        <v>346</v>
      </c>
      <c r="J2221" s="215" t="s">
        <v>102</v>
      </c>
      <c r="K2221" s="266">
        <v>49081030872</v>
      </c>
      <c r="L2221" s="265" t="s">
        <v>649</v>
      </c>
      <c r="M2221" s="266">
        <v>40049081030870</v>
      </c>
      <c r="N2221" s="264">
        <v>0.99</v>
      </c>
      <c r="O2221" s="265" t="s">
        <v>649</v>
      </c>
      <c r="P2221" s="265">
        <v>9.9</v>
      </c>
      <c r="Q2221" s="265">
        <v>0.65</v>
      </c>
    </row>
    <row r="2222" spans="1:17" ht="15" customHeight="1">
      <c r="A2222" s="147">
        <v>2337</v>
      </c>
      <c r="B2222" s="51" t="s">
        <v>44</v>
      </c>
      <c r="C2222" s="51" t="s">
        <v>2559</v>
      </c>
      <c r="D2222" s="51">
        <v>100023983</v>
      </c>
      <c r="E2222" s="53" t="s">
        <v>2560</v>
      </c>
      <c r="F2222" s="124">
        <v>10</v>
      </c>
      <c r="G2222" s="124">
        <v>600</v>
      </c>
      <c r="H2222" s="369">
        <v>102.64</v>
      </c>
      <c r="I2222" s="215" t="s">
        <v>346</v>
      </c>
      <c r="J2222" s="215" t="s">
        <v>102</v>
      </c>
      <c r="K2222" s="266">
        <v>49081024765</v>
      </c>
      <c r="L2222" s="265" t="s">
        <v>649</v>
      </c>
      <c r="M2222" s="266">
        <v>40049081024763</v>
      </c>
      <c r="N2222" s="264">
        <v>0.96</v>
      </c>
      <c r="O2222" s="265" t="s">
        <v>649</v>
      </c>
      <c r="P2222" s="265">
        <v>10.29</v>
      </c>
      <c r="Q2222" s="265">
        <v>1.25</v>
      </c>
    </row>
    <row r="2223" spans="1:17" ht="15" customHeight="1">
      <c r="A2223" s="147">
        <v>2338</v>
      </c>
      <c r="B2223" s="51" t="s">
        <v>44</v>
      </c>
      <c r="C2223" s="51" t="s">
        <v>2561</v>
      </c>
      <c r="D2223" s="51">
        <v>100023985</v>
      </c>
      <c r="E2223" s="53" t="s">
        <v>2562</v>
      </c>
      <c r="F2223" s="124">
        <v>10</v>
      </c>
      <c r="G2223" s="124">
        <v>600</v>
      </c>
      <c r="H2223" s="369">
        <v>102.64</v>
      </c>
      <c r="I2223" s="215" t="s">
        <v>346</v>
      </c>
      <c r="J2223" s="215" t="s">
        <v>102</v>
      </c>
      <c r="K2223" s="266">
        <v>49081022242</v>
      </c>
      <c r="L2223" s="265" t="s">
        <v>649</v>
      </c>
      <c r="M2223" s="266">
        <v>40049081022240</v>
      </c>
      <c r="N2223" s="264">
        <v>1.036</v>
      </c>
      <c r="O2223" s="265" t="s">
        <v>649</v>
      </c>
      <c r="P2223" s="265">
        <v>10.95</v>
      </c>
      <c r="Q2223" s="265">
        <v>1.41</v>
      </c>
    </row>
    <row r="2224" spans="1:17" ht="15" customHeight="1">
      <c r="A2224" s="147">
        <v>2339</v>
      </c>
      <c r="B2224" s="51" t="s">
        <v>44</v>
      </c>
      <c r="C2224" s="51" t="s">
        <v>2563</v>
      </c>
      <c r="D2224" s="51">
        <v>100024925</v>
      </c>
      <c r="E2224" s="53" t="s">
        <v>2564</v>
      </c>
      <c r="F2224" s="124">
        <v>10</v>
      </c>
      <c r="G2224" s="124">
        <v>900</v>
      </c>
      <c r="H2224" s="369">
        <v>102.64</v>
      </c>
      <c r="I2224" s="215" t="s">
        <v>346</v>
      </c>
      <c r="J2224" s="215" t="s">
        <v>102</v>
      </c>
      <c r="K2224" s="266">
        <v>49081020033</v>
      </c>
      <c r="L2224" s="265" t="s">
        <v>649</v>
      </c>
      <c r="M2224" s="266">
        <v>40049081020031</v>
      </c>
      <c r="N2224" s="264">
        <v>1.2070000000000001</v>
      </c>
      <c r="O2224" s="265" t="s">
        <v>649</v>
      </c>
      <c r="P2224" s="265">
        <v>12.35</v>
      </c>
      <c r="Q2224" s="265">
        <v>0.8</v>
      </c>
    </row>
    <row r="2225" spans="1:17" ht="15" customHeight="1">
      <c r="A2225" s="147">
        <v>2340</v>
      </c>
      <c r="B2225" s="51" t="s">
        <v>44</v>
      </c>
      <c r="C2225" s="51" t="s">
        <v>2565</v>
      </c>
      <c r="D2225" s="51">
        <v>100024024</v>
      </c>
      <c r="E2225" s="53" t="s">
        <v>2566</v>
      </c>
      <c r="F2225" s="124">
        <v>10</v>
      </c>
      <c r="G2225" s="124">
        <v>900</v>
      </c>
      <c r="H2225" s="369">
        <v>102.64</v>
      </c>
      <c r="I2225" s="215" t="s">
        <v>346</v>
      </c>
      <c r="J2225" s="215" t="s">
        <v>102</v>
      </c>
      <c r="K2225" s="266">
        <v>49081022273</v>
      </c>
      <c r="L2225" s="265" t="s">
        <v>649</v>
      </c>
      <c r="M2225" s="266">
        <v>40049081022271</v>
      </c>
      <c r="N2225" s="264">
        <v>1.224</v>
      </c>
      <c r="O2225" s="265" t="s">
        <v>649</v>
      </c>
      <c r="P2225" s="265">
        <v>12.45</v>
      </c>
      <c r="Q2225" s="265">
        <v>0.8</v>
      </c>
    </row>
    <row r="2226" spans="1:17" ht="15" customHeight="1">
      <c r="A2226" s="147">
        <v>2341</v>
      </c>
      <c r="B2226" s="51" t="s">
        <v>44</v>
      </c>
      <c r="C2226" s="51" t="s">
        <v>2567</v>
      </c>
      <c r="D2226" s="51">
        <v>100024029</v>
      </c>
      <c r="E2226" s="53" t="s">
        <v>2568</v>
      </c>
      <c r="F2226" s="124">
        <v>10</v>
      </c>
      <c r="G2226" s="124">
        <v>900</v>
      </c>
      <c r="H2226" s="369">
        <v>102.64</v>
      </c>
      <c r="I2226" s="215" t="s">
        <v>76</v>
      </c>
      <c r="J2226" s="215" t="s">
        <v>102</v>
      </c>
      <c r="K2226" s="266">
        <v>49081020989</v>
      </c>
      <c r="L2226" s="265" t="s">
        <v>649</v>
      </c>
      <c r="M2226" s="266">
        <v>40049081020987</v>
      </c>
      <c r="N2226" s="264">
        <v>1.0629999999999999</v>
      </c>
      <c r="O2226" s="265" t="s">
        <v>649</v>
      </c>
      <c r="P2226" s="265">
        <v>12.35</v>
      </c>
      <c r="Q2226" s="265">
        <v>0.8</v>
      </c>
    </row>
    <row r="2227" spans="1:17" ht="15" customHeight="1">
      <c r="A2227" s="147">
        <v>2342</v>
      </c>
      <c r="B2227" s="51" t="s">
        <v>44</v>
      </c>
      <c r="C2227" s="51" t="s">
        <v>2569</v>
      </c>
      <c r="D2227" s="51">
        <v>100024030</v>
      </c>
      <c r="E2227" s="53" t="s">
        <v>2570</v>
      </c>
      <c r="F2227" s="124">
        <v>10</v>
      </c>
      <c r="G2227" s="124">
        <v>1200</v>
      </c>
      <c r="H2227" s="369">
        <v>113.76</v>
      </c>
      <c r="I2227" s="215" t="s">
        <v>346</v>
      </c>
      <c r="J2227" s="215" t="s">
        <v>102</v>
      </c>
      <c r="K2227" s="266">
        <v>49081022051</v>
      </c>
      <c r="L2227" s="265" t="s">
        <v>649</v>
      </c>
      <c r="M2227" s="266">
        <v>40049081022059</v>
      </c>
      <c r="N2227" s="264">
        <v>1.242</v>
      </c>
      <c r="O2227" s="265" t="s">
        <v>649</v>
      </c>
      <c r="P2227" s="265">
        <v>14.9</v>
      </c>
      <c r="Q2227" s="265">
        <v>0.65</v>
      </c>
    </row>
    <row r="2228" spans="1:17" ht="15" customHeight="1">
      <c r="A2228" s="147">
        <v>2343</v>
      </c>
      <c r="B2228" s="51" t="s">
        <v>44</v>
      </c>
      <c r="C2228" s="51" t="s">
        <v>2571</v>
      </c>
      <c r="D2228" s="51">
        <v>100024928</v>
      </c>
      <c r="E2228" s="53" t="s">
        <v>2572</v>
      </c>
      <c r="F2228" s="124">
        <v>10</v>
      </c>
      <c r="G2228" s="124">
        <v>900</v>
      </c>
      <c r="H2228" s="369">
        <v>102.64</v>
      </c>
      <c r="I2228" s="215" t="s">
        <v>346</v>
      </c>
      <c r="J2228" s="215" t="s">
        <v>102</v>
      </c>
      <c r="K2228" s="266">
        <v>49081020057</v>
      </c>
      <c r="L2228" s="265" t="s">
        <v>649</v>
      </c>
      <c r="M2228" s="266">
        <v>40049081020055</v>
      </c>
      <c r="N2228" s="264">
        <v>1.1870000000000001</v>
      </c>
      <c r="O2228" s="265" t="s">
        <v>649</v>
      </c>
      <c r="P2228" s="265">
        <v>12.35</v>
      </c>
      <c r="Q2228" s="265">
        <v>0.8</v>
      </c>
    </row>
    <row r="2229" spans="1:17" ht="15" customHeight="1">
      <c r="A2229" s="147">
        <v>2344</v>
      </c>
      <c r="B2229" s="51" t="s">
        <v>44</v>
      </c>
      <c r="C2229" s="51" t="s">
        <v>2573</v>
      </c>
      <c r="D2229" s="51">
        <v>100024034</v>
      </c>
      <c r="E2229" s="53" t="s">
        <v>2574</v>
      </c>
      <c r="F2229" s="124">
        <v>10</v>
      </c>
      <c r="G2229" s="124">
        <v>240</v>
      </c>
      <c r="H2229" s="369">
        <v>113.76</v>
      </c>
      <c r="I2229" s="215" t="s">
        <v>346</v>
      </c>
      <c r="J2229" s="215" t="s">
        <v>102</v>
      </c>
      <c r="K2229" s="266">
        <v>49081031237</v>
      </c>
      <c r="L2229" s="265" t="s">
        <v>649</v>
      </c>
      <c r="M2229" s="266">
        <v>40049081031235</v>
      </c>
      <c r="N2229" s="264">
        <v>1.2310000000000001</v>
      </c>
      <c r="O2229" s="265" t="s">
        <v>649</v>
      </c>
      <c r="P2229" s="265">
        <v>14.5</v>
      </c>
      <c r="Q2229" s="265">
        <v>2.77</v>
      </c>
    </row>
    <row r="2230" spans="1:17" ht="15" customHeight="1">
      <c r="A2230" s="147">
        <v>2345</v>
      </c>
      <c r="B2230" s="51" t="s">
        <v>44</v>
      </c>
      <c r="C2230" s="51" t="s">
        <v>2575</v>
      </c>
      <c r="D2230" s="51">
        <v>100024035</v>
      </c>
      <c r="E2230" s="53" t="s">
        <v>2576</v>
      </c>
      <c r="F2230" s="124">
        <v>10</v>
      </c>
      <c r="G2230" s="124">
        <v>600</v>
      </c>
      <c r="H2230" s="369">
        <v>113.76</v>
      </c>
      <c r="I2230" s="215" t="s">
        <v>346</v>
      </c>
      <c r="J2230" s="215" t="s">
        <v>102</v>
      </c>
      <c r="K2230" s="266">
        <v>49081020040</v>
      </c>
      <c r="L2230" s="265" t="s">
        <v>649</v>
      </c>
      <c r="M2230" s="266">
        <v>40049081020048</v>
      </c>
      <c r="N2230" s="264">
        <v>1.296</v>
      </c>
      <c r="O2230" s="265" t="s">
        <v>649</v>
      </c>
      <c r="P2230" s="265">
        <v>13.78</v>
      </c>
      <c r="Q2230" s="265">
        <v>1.41</v>
      </c>
    </row>
    <row r="2231" spans="1:17" ht="15" customHeight="1">
      <c r="A2231" s="147">
        <v>2346</v>
      </c>
      <c r="B2231" s="51" t="s">
        <v>44</v>
      </c>
      <c r="C2231" s="51" t="s">
        <v>2577</v>
      </c>
      <c r="D2231" s="51">
        <v>100024929</v>
      </c>
      <c r="E2231" s="53" t="s">
        <v>2578</v>
      </c>
      <c r="F2231" s="124">
        <v>10</v>
      </c>
      <c r="G2231" s="124">
        <v>240</v>
      </c>
      <c r="H2231" s="369">
        <v>113.76</v>
      </c>
      <c r="I2231" s="215" t="s">
        <v>346</v>
      </c>
      <c r="J2231" s="215" t="s">
        <v>102</v>
      </c>
      <c r="K2231" s="266">
        <v>49081025120</v>
      </c>
      <c r="L2231" s="265" t="s">
        <v>649</v>
      </c>
      <c r="M2231" s="266">
        <v>40049081025128</v>
      </c>
      <c r="N2231" s="264">
        <v>1.3660000000000001</v>
      </c>
      <c r="O2231" s="265" t="s">
        <v>649</v>
      </c>
      <c r="P2231" s="265">
        <v>15.5</v>
      </c>
      <c r="Q2231" s="265">
        <v>2.77</v>
      </c>
    </row>
    <row r="2232" spans="1:17" ht="15" customHeight="1">
      <c r="A2232" s="147">
        <v>2347</v>
      </c>
      <c r="B2232" s="51" t="s">
        <v>44</v>
      </c>
      <c r="C2232" s="51" t="s">
        <v>2579</v>
      </c>
      <c r="D2232" s="51">
        <v>100024933</v>
      </c>
      <c r="E2232" s="53" t="s">
        <v>2580</v>
      </c>
      <c r="F2232" s="124">
        <v>10</v>
      </c>
      <c r="G2232" s="124">
        <v>750</v>
      </c>
      <c r="H2232" s="369">
        <v>132.65</v>
      </c>
      <c r="I2232" s="215" t="s">
        <v>346</v>
      </c>
      <c r="J2232" s="215" t="s">
        <v>102</v>
      </c>
      <c r="K2232" s="266">
        <v>49081031596</v>
      </c>
      <c r="L2232" s="265" t="s">
        <v>649</v>
      </c>
      <c r="M2232" s="266">
        <v>40049081031594</v>
      </c>
      <c r="N2232" s="264">
        <v>1.5469999999999999</v>
      </c>
      <c r="O2232" s="265" t="s">
        <v>649</v>
      </c>
      <c r="P2232" s="265">
        <v>14.1</v>
      </c>
      <c r="Q2232" s="265">
        <v>1.1000000000000001</v>
      </c>
    </row>
    <row r="2233" spans="1:17" ht="15" customHeight="1">
      <c r="A2233" s="147">
        <v>2348</v>
      </c>
      <c r="B2233" s="51" t="s">
        <v>44</v>
      </c>
      <c r="C2233" s="51" t="s">
        <v>2581</v>
      </c>
      <c r="D2233" s="51">
        <v>100024934</v>
      </c>
      <c r="E2233" s="53" t="s">
        <v>2582</v>
      </c>
      <c r="F2233" s="124">
        <v>10</v>
      </c>
      <c r="G2233" s="124">
        <v>900</v>
      </c>
      <c r="H2233" s="369">
        <v>121.5</v>
      </c>
      <c r="I2233" s="215" t="s">
        <v>346</v>
      </c>
      <c r="J2233" s="215" t="s">
        <v>102</v>
      </c>
      <c r="K2233" s="266">
        <v>49081031640</v>
      </c>
      <c r="L2233" s="265" t="s">
        <v>649</v>
      </c>
      <c r="M2233" s="266">
        <v>40049081031648</v>
      </c>
      <c r="N2233" s="264">
        <v>1.3939999999999999</v>
      </c>
      <c r="O2233" s="265" t="s">
        <v>649</v>
      </c>
      <c r="P2233" s="265">
        <v>12.1</v>
      </c>
      <c r="Q2233" s="265">
        <v>0.8</v>
      </c>
    </row>
    <row r="2234" spans="1:17" ht="15" customHeight="1">
      <c r="A2234" s="147">
        <v>2349</v>
      </c>
      <c r="B2234" s="51" t="s">
        <v>44</v>
      </c>
      <c r="C2234" s="51" t="s">
        <v>2583</v>
      </c>
      <c r="D2234" s="51">
        <v>100024047</v>
      </c>
      <c r="E2234" s="53" t="s">
        <v>2584</v>
      </c>
      <c r="F2234" s="124">
        <v>10</v>
      </c>
      <c r="G2234" s="124">
        <v>600</v>
      </c>
      <c r="H2234" s="369">
        <v>102.64</v>
      </c>
      <c r="I2234" s="215" t="s">
        <v>346</v>
      </c>
      <c r="J2234" s="215" t="s">
        <v>102</v>
      </c>
      <c r="K2234" s="266">
        <v>49081021023</v>
      </c>
      <c r="L2234" s="265" t="s">
        <v>649</v>
      </c>
      <c r="M2234" s="266">
        <v>40049081021021</v>
      </c>
      <c r="N2234" s="264">
        <v>1.0880000000000001</v>
      </c>
      <c r="O2234" s="265" t="s">
        <v>649</v>
      </c>
      <c r="P2234" s="265">
        <v>11</v>
      </c>
      <c r="Q2234" s="265">
        <v>1.41</v>
      </c>
    </row>
    <row r="2235" spans="1:17" ht="15" customHeight="1">
      <c r="A2235" s="147">
        <v>2350</v>
      </c>
      <c r="B2235" s="51" t="s">
        <v>44</v>
      </c>
      <c r="C2235" s="51" t="s">
        <v>2585</v>
      </c>
      <c r="D2235" s="51">
        <v>100024938</v>
      </c>
      <c r="E2235" s="53" t="s">
        <v>2464</v>
      </c>
      <c r="F2235" s="124">
        <v>10</v>
      </c>
      <c r="G2235" s="124">
        <v>900</v>
      </c>
      <c r="H2235" s="369">
        <v>102.64</v>
      </c>
      <c r="I2235" s="215" t="s">
        <v>346</v>
      </c>
      <c r="J2235" s="215" t="s">
        <v>102</v>
      </c>
      <c r="K2235" s="266">
        <v>49081021030</v>
      </c>
      <c r="L2235" s="265" t="s">
        <v>649</v>
      </c>
      <c r="M2235" s="266">
        <v>40049081021038</v>
      </c>
      <c r="N2235" s="264">
        <v>1.1060000000000001</v>
      </c>
      <c r="O2235" s="265" t="s">
        <v>649</v>
      </c>
      <c r="P2235" s="265">
        <v>11.35</v>
      </c>
      <c r="Q2235" s="265">
        <v>0.8</v>
      </c>
    </row>
    <row r="2236" spans="1:17" ht="15" customHeight="1">
      <c r="A2236" s="147">
        <v>2351</v>
      </c>
      <c r="B2236" s="51" t="s">
        <v>44</v>
      </c>
      <c r="C2236" s="51" t="s">
        <v>2586</v>
      </c>
      <c r="D2236" s="51">
        <v>100024051</v>
      </c>
      <c r="E2236" s="53" t="s">
        <v>2466</v>
      </c>
      <c r="F2236" s="124">
        <v>10</v>
      </c>
      <c r="G2236" s="124">
        <v>600</v>
      </c>
      <c r="H2236" s="369">
        <v>113.76</v>
      </c>
      <c r="I2236" s="215" t="s">
        <v>346</v>
      </c>
      <c r="J2236" s="215" t="s">
        <v>102</v>
      </c>
      <c r="K2236" s="266">
        <v>49081030216</v>
      </c>
      <c r="L2236" s="265" t="s">
        <v>649</v>
      </c>
      <c r="M2236" s="266">
        <v>40049081030214</v>
      </c>
      <c r="N2236" s="264">
        <v>1.2150000000000001</v>
      </c>
      <c r="O2236" s="265" t="s">
        <v>649</v>
      </c>
      <c r="P2236" s="265">
        <v>12.7</v>
      </c>
      <c r="Q2236" s="265">
        <v>1.25</v>
      </c>
    </row>
    <row r="2237" spans="1:17" ht="15" customHeight="1">
      <c r="A2237" s="147">
        <v>2352</v>
      </c>
      <c r="B2237" s="51" t="s">
        <v>44</v>
      </c>
      <c r="C2237" s="51" t="s">
        <v>2587</v>
      </c>
      <c r="D2237" s="51">
        <v>100024939</v>
      </c>
      <c r="E2237" s="53" t="s">
        <v>2588</v>
      </c>
      <c r="F2237" s="124">
        <v>10</v>
      </c>
      <c r="G2237" s="124">
        <v>600</v>
      </c>
      <c r="H2237" s="369">
        <v>113.76</v>
      </c>
      <c r="I2237" s="215" t="s">
        <v>346</v>
      </c>
      <c r="J2237" s="215" t="s">
        <v>102</v>
      </c>
      <c r="K2237" s="266">
        <v>49081021047</v>
      </c>
      <c r="L2237" s="265" t="s">
        <v>649</v>
      </c>
      <c r="M2237" s="266">
        <v>40049081021045</v>
      </c>
      <c r="N2237" s="264">
        <v>1.2849999999999999</v>
      </c>
      <c r="O2237" s="265" t="s">
        <v>649</v>
      </c>
      <c r="P2237" s="265">
        <v>13.48</v>
      </c>
      <c r="Q2237" s="265">
        <v>1.41</v>
      </c>
    </row>
    <row r="2238" spans="1:17" ht="15" customHeight="1">
      <c r="A2238" s="147">
        <v>2353</v>
      </c>
      <c r="B2238" s="51" t="s">
        <v>44</v>
      </c>
      <c r="C2238" s="51" t="s">
        <v>2589</v>
      </c>
      <c r="D2238" s="51">
        <v>100024054</v>
      </c>
      <c r="E2238" s="53" t="s">
        <v>2590</v>
      </c>
      <c r="F2238" s="124">
        <v>10</v>
      </c>
      <c r="G2238" s="265" t="s">
        <v>649</v>
      </c>
      <c r="H2238" s="369">
        <v>102.64</v>
      </c>
      <c r="I2238" s="215" t="s">
        <v>76</v>
      </c>
      <c r="J2238" s="215" t="s">
        <v>102</v>
      </c>
      <c r="K2238" s="266">
        <v>49081025243</v>
      </c>
      <c r="L2238" s="265" t="s">
        <v>649</v>
      </c>
      <c r="M2238" s="266">
        <v>40049081025241</v>
      </c>
      <c r="N2238" s="264">
        <v>1.0469999999999999</v>
      </c>
      <c r="O2238" s="265" t="s">
        <v>649</v>
      </c>
      <c r="P2238" s="265">
        <v>10.95</v>
      </c>
      <c r="Q2238" s="265" t="s">
        <v>649</v>
      </c>
    </row>
    <row r="2239" spans="1:17" ht="15" customHeight="1">
      <c r="A2239" s="147">
        <v>2354</v>
      </c>
      <c r="B2239" s="51" t="s">
        <v>44</v>
      </c>
      <c r="C2239" s="51" t="s">
        <v>2591</v>
      </c>
      <c r="D2239" s="51">
        <v>100024055</v>
      </c>
      <c r="E2239" s="53" t="s">
        <v>2592</v>
      </c>
      <c r="F2239" s="124">
        <v>10</v>
      </c>
      <c r="G2239" s="124">
        <v>900</v>
      </c>
      <c r="H2239" s="369">
        <v>102.64</v>
      </c>
      <c r="I2239" s="215" t="s">
        <v>346</v>
      </c>
      <c r="J2239" s="215" t="s">
        <v>102</v>
      </c>
      <c r="K2239" s="266">
        <v>49081021061</v>
      </c>
      <c r="L2239" s="265" t="s">
        <v>649</v>
      </c>
      <c r="M2239" s="266">
        <v>40049081021069</v>
      </c>
      <c r="N2239" s="264">
        <v>1.123</v>
      </c>
      <c r="O2239" s="265" t="s">
        <v>649</v>
      </c>
      <c r="P2239" s="265">
        <v>11.45</v>
      </c>
      <c r="Q2239" s="265">
        <v>0.8</v>
      </c>
    </row>
    <row r="2240" spans="1:17" ht="15" customHeight="1">
      <c r="A2240" s="147">
        <v>2355</v>
      </c>
      <c r="B2240" s="51" t="s">
        <v>44</v>
      </c>
      <c r="C2240" s="51" t="s">
        <v>2593</v>
      </c>
      <c r="D2240" s="51">
        <v>100024058</v>
      </c>
      <c r="E2240" s="53" t="s">
        <v>2594</v>
      </c>
      <c r="F2240" s="124">
        <v>10</v>
      </c>
      <c r="G2240" s="124">
        <v>1200</v>
      </c>
      <c r="H2240" s="369">
        <v>91.56</v>
      </c>
      <c r="I2240" s="215" t="s">
        <v>346</v>
      </c>
      <c r="J2240" s="215" t="s">
        <v>102</v>
      </c>
      <c r="K2240" s="266">
        <v>49081030285</v>
      </c>
      <c r="L2240" s="265" t="s">
        <v>649</v>
      </c>
      <c r="M2240" s="266">
        <v>40049081030283</v>
      </c>
      <c r="N2240" s="264">
        <v>0.90600000000000003</v>
      </c>
      <c r="O2240" s="265" t="s">
        <v>649</v>
      </c>
      <c r="P2240" s="265">
        <v>9.25</v>
      </c>
      <c r="Q2240" s="265">
        <v>0.65</v>
      </c>
    </row>
    <row r="2241" spans="1:17" ht="15" customHeight="1">
      <c r="A2241" s="147">
        <v>2356</v>
      </c>
      <c r="B2241" s="51" t="s">
        <v>44</v>
      </c>
      <c r="C2241" s="51" t="s">
        <v>2595</v>
      </c>
      <c r="D2241" s="51">
        <v>100024061</v>
      </c>
      <c r="E2241" s="53" t="s">
        <v>2596</v>
      </c>
      <c r="F2241" s="124">
        <v>10</v>
      </c>
      <c r="G2241" s="124">
        <v>900</v>
      </c>
      <c r="H2241" s="369">
        <v>102.64</v>
      </c>
      <c r="I2241" s="215" t="s">
        <v>346</v>
      </c>
      <c r="J2241" s="215" t="s">
        <v>102</v>
      </c>
      <c r="K2241" s="266">
        <v>49081021078</v>
      </c>
      <c r="L2241" s="265" t="s">
        <v>649</v>
      </c>
      <c r="M2241" s="266">
        <v>40049081021076</v>
      </c>
      <c r="N2241" s="264">
        <v>1.1479999999999999</v>
      </c>
      <c r="O2241" s="265" t="s">
        <v>649</v>
      </c>
      <c r="P2241" s="265">
        <v>11.55</v>
      </c>
      <c r="Q2241" s="265">
        <v>0.8</v>
      </c>
    </row>
    <row r="2242" spans="1:17" ht="15" customHeight="1">
      <c r="A2242" s="147">
        <v>2357</v>
      </c>
      <c r="B2242" s="51" t="s">
        <v>44</v>
      </c>
      <c r="C2242" s="51" t="s">
        <v>2597</v>
      </c>
      <c r="D2242" s="51">
        <v>100024062</v>
      </c>
      <c r="E2242" s="53" t="s">
        <v>2598</v>
      </c>
      <c r="F2242" s="124">
        <v>10</v>
      </c>
      <c r="G2242" s="124">
        <v>1200</v>
      </c>
      <c r="H2242" s="369">
        <v>91.56</v>
      </c>
      <c r="I2242" s="215" t="s">
        <v>346</v>
      </c>
      <c r="J2242" s="215" t="s">
        <v>102</v>
      </c>
      <c r="K2242" s="266">
        <v>49081021085</v>
      </c>
      <c r="L2242" s="265" t="s">
        <v>649</v>
      </c>
      <c r="M2242" s="266">
        <v>40049081021083</v>
      </c>
      <c r="N2242" s="264">
        <v>0.93100000000000005</v>
      </c>
      <c r="O2242" s="265" t="s">
        <v>649</v>
      </c>
      <c r="P2242" s="265">
        <v>9.35</v>
      </c>
      <c r="Q2242" s="265">
        <v>0.65</v>
      </c>
    </row>
    <row r="2243" spans="1:17" ht="15" customHeight="1">
      <c r="A2243" s="147">
        <v>2358</v>
      </c>
      <c r="B2243" s="51" t="s">
        <v>44</v>
      </c>
      <c r="C2243" s="51" t="s">
        <v>2599</v>
      </c>
      <c r="D2243" s="51">
        <v>100024942</v>
      </c>
      <c r="E2243" s="53" t="s">
        <v>2474</v>
      </c>
      <c r="F2243" s="124">
        <v>10</v>
      </c>
      <c r="G2243" s="124">
        <v>900</v>
      </c>
      <c r="H2243" s="369">
        <v>102.64</v>
      </c>
      <c r="I2243" s="215" t="s">
        <v>76</v>
      </c>
      <c r="J2243" s="215" t="s">
        <v>102</v>
      </c>
      <c r="K2243" s="266">
        <v>49081021108</v>
      </c>
      <c r="L2243" s="265" t="s">
        <v>649</v>
      </c>
      <c r="M2243" s="266">
        <v>40049081021106</v>
      </c>
      <c r="N2243" s="264">
        <v>1.085</v>
      </c>
      <c r="O2243" s="265" t="s">
        <v>649</v>
      </c>
      <c r="P2243" s="265">
        <v>11</v>
      </c>
      <c r="Q2243" s="265">
        <v>0.8</v>
      </c>
    </row>
    <row r="2244" spans="1:17" ht="15" customHeight="1">
      <c r="A2244" s="147">
        <v>2359</v>
      </c>
      <c r="B2244" s="51" t="s">
        <v>44</v>
      </c>
      <c r="C2244" s="51" t="s">
        <v>2600</v>
      </c>
      <c r="D2244" s="51">
        <v>100024069</v>
      </c>
      <c r="E2244" s="53" t="s">
        <v>2601</v>
      </c>
      <c r="F2244" s="124">
        <v>10</v>
      </c>
      <c r="G2244" s="124">
        <v>750</v>
      </c>
      <c r="H2244" s="369">
        <v>113.76</v>
      </c>
      <c r="I2244" s="215" t="s">
        <v>346</v>
      </c>
      <c r="J2244" s="215" t="s">
        <v>102</v>
      </c>
      <c r="K2244" s="266">
        <v>49081021115</v>
      </c>
      <c r="L2244" s="265" t="s">
        <v>649</v>
      </c>
      <c r="M2244" s="266">
        <v>40049081021113</v>
      </c>
      <c r="N2244" s="264">
        <v>1.129</v>
      </c>
      <c r="O2244" s="265" t="s">
        <v>649</v>
      </c>
      <c r="P2244" s="265">
        <v>12.055</v>
      </c>
      <c r="Q2244" s="265">
        <v>1.1000000000000001</v>
      </c>
    </row>
    <row r="2245" spans="1:17" ht="15" customHeight="1">
      <c r="A2245" s="147">
        <v>2360</v>
      </c>
      <c r="B2245" s="51" t="s">
        <v>44</v>
      </c>
      <c r="C2245" s="51" t="s">
        <v>2602</v>
      </c>
      <c r="D2245" s="51">
        <v>100024070</v>
      </c>
      <c r="E2245" s="53" t="s">
        <v>2476</v>
      </c>
      <c r="F2245" s="124">
        <v>10</v>
      </c>
      <c r="G2245" s="124">
        <v>600</v>
      </c>
      <c r="H2245" s="369">
        <v>113.76</v>
      </c>
      <c r="I2245" s="215" t="s">
        <v>346</v>
      </c>
      <c r="J2245" s="215" t="s">
        <v>102</v>
      </c>
      <c r="K2245" s="266">
        <v>49081021122</v>
      </c>
      <c r="L2245" s="265" t="s">
        <v>649</v>
      </c>
      <c r="M2245" s="266">
        <v>40049081021120</v>
      </c>
      <c r="N2245" s="264">
        <v>1.194</v>
      </c>
      <c r="O2245" s="265" t="s">
        <v>649</v>
      </c>
      <c r="P2245" s="265">
        <v>12.67</v>
      </c>
      <c r="Q2245" s="265">
        <v>1.25</v>
      </c>
    </row>
    <row r="2246" spans="1:17" ht="15" customHeight="1">
      <c r="A2246" s="147">
        <v>2361</v>
      </c>
      <c r="B2246" s="51" t="s">
        <v>44</v>
      </c>
      <c r="C2246" s="51" t="s">
        <v>2603</v>
      </c>
      <c r="D2246" s="51">
        <v>100024943</v>
      </c>
      <c r="E2246" s="53" t="s">
        <v>2604</v>
      </c>
      <c r="F2246" s="124">
        <v>10</v>
      </c>
      <c r="G2246" s="124">
        <v>600</v>
      </c>
      <c r="H2246" s="369">
        <v>113.76</v>
      </c>
      <c r="I2246" s="215" t="s">
        <v>346</v>
      </c>
      <c r="J2246" s="215" t="s">
        <v>102</v>
      </c>
      <c r="K2246" s="266">
        <v>49081021139</v>
      </c>
      <c r="L2246" s="265" t="s">
        <v>649</v>
      </c>
      <c r="M2246" s="266">
        <v>40049081021137</v>
      </c>
      <c r="N2246" s="264">
        <v>1.264</v>
      </c>
      <c r="O2246" s="265" t="s">
        <v>649</v>
      </c>
      <c r="P2246" s="265">
        <v>13.48</v>
      </c>
      <c r="Q2246" s="265">
        <v>1.41</v>
      </c>
    </row>
    <row r="2247" spans="1:17" ht="15" customHeight="1">
      <c r="A2247" s="147">
        <v>2362</v>
      </c>
      <c r="B2247" s="51" t="s">
        <v>44</v>
      </c>
      <c r="C2247" s="51" t="s">
        <v>2605</v>
      </c>
      <c r="D2247" s="51">
        <v>100024944</v>
      </c>
      <c r="E2247" s="53" t="s">
        <v>2606</v>
      </c>
      <c r="F2247" s="124">
        <v>10</v>
      </c>
      <c r="G2247" s="124">
        <v>1200</v>
      </c>
      <c r="H2247" s="369">
        <v>91.56</v>
      </c>
      <c r="I2247" s="215" t="s">
        <v>76</v>
      </c>
      <c r="J2247" s="215" t="s">
        <v>102</v>
      </c>
      <c r="K2247" s="266">
        <v>49081021146</v>
      </c>
      <c r="L2247" s="265" t="s">
        <v>649</v>
      </c>
      <c r="M2247" s="266">
        <v>40049081021144</v>
      </c>
      <c r="N2247" s="264">
        <v>0.86799999999999999</v>
      </c>
      <c r="O2247" s="265" t="s">
        <v>649</v>
      </c>
      <c r="P2247" s="265">
        <v>9.35</v>
      </c>
      <c r="Q2247" s="265">
        <v>0.65</v>
      </c>
    </row>
    <row r="2248" spans="1:17" ht="15" customHeight="1">
      <c r="A2248" s="147">
        <v>2363</v>
      </c>
      <c r="B2248" s="51" t="s">
        <v>44</v>
      </c>
      <c r="C2248" s="51" t="s">
        <v>2607</v>
      </c>
      <c r="D2248" s="51">
        <v>100024945</v>
      </c>
      <c r="E2248" s="53" t="s">
        <v>2608</v>
      </c>
      <c r="F2248" s="124">
        <v>10</v>
      </c>
      <c r="G2248" s="124">
        <v>1200</v>
      </c>
      <c r="H2248" s="369">
        <v>91.56</v>
      </c>
      <c r="I2248" s="215" t="s">
        <v>346</v>
      </c>
      <c r="J2248" s="215" t="s">
        <v>102</v>
      </c>
      <c r="K2248" s="266">
        <v>49081021153</v>
      </c>
      <c r="L2248" s="265" t="s">
        <v>649</v>
      </c>
      <c r="M2248" s="266">
        <v>40049081021151</v>
      </c>
      <c r="N2248" s="264">
        <v>0.93200000000000005</v>
      </c>
      <c r="O2248" s="265" t="s">
        <v>649</v>
      </c>
      <c r="P2248" s="265">
        <v>9.85</v>
      </c>
      <c r="Q2248" s="265">
        <v>0.65</v>
      </c>
    </row>
    <row r="2249" spans="1:17" ht="15" customHeight="1">
      <c r="A2249" s="147">
        <v>2364</v>
      </c>
      <c r="B2249" s="51" t="s">
        <v>44</v>
      </c>
      <c r="C2249" s="51" t="s">
        <v>2609</v>
      </c>
      <c r="D2249" s="51">
        <v>100024079</v>
      </c>
      <c r="E2249" s="53" t="s">
        <v>2610</v>
      </c>
      <c r="F2249" s="124">
        <v>10</v>
      </c>
      <c r="G2249" s="124">
        <v>900</v>
      </c>
      <c r="H2249" s="369">
        <v>102.64</v>
      </c>
      <c r="I2249" s="215" t="s">
        <v>346</v>
      </c>
      <c r="J2249" s="215" t="s">
        <v>102</v>
      </c>
      <c r="K2249" s="266">
        <v>49081021191</v>
      </c>
      <c r="L2249" s="265" t="s">
        <v>649</v>
      </c>
      <c r="M2249" s="266">
        <v>40049081021199</v>
      </c>
      <c r="N2249" s="264">
        <v>1.157</v>
      </c>
      <c r="O2249" s="265" t="s">
        <v>649</v>
      </c>
      <c r="P2249" s="265">
        <v>11.9</v>
      </c>
      <c r="Q2249" s="265">
        <v>0.8</v>
      </c>
    </row>
    <row r="2250" spans="1:17" ht="15" customHeight="1">
      <c r="A2250" s="147">
        <v>2365</v>
      </c>
      <c r="B2250" s="51" t="s">
        <v>44</v>
      </c>
      <c r="C2250" s="51" t="s">
        <v>2611</v>
      </c>
      <c r="D2250" s="51">
        <v>100024947</v>
      </c>
      <c r="E2250" s="53" t="s">
        <v>2612</v>
      </c>
      <c r="F2250" s="124">
        <v>10</v>
      </c>
      <c r="G2250" s="124">
        <v>900</v>
      </c>
      <c r="H2250" s="369">
        <v>102.64</v>
      </c>
      <c r="I2250" s="215" t="s">
        <v>346</v>
      </c>
      <c r="J2250" s="215" t="s">
        <v>102</v>
      </c>
      <c r="K2250" s="266">
        <v>49081021207</v>
      </c>
      <c r="L2250" s="265" t="s">
        <v>649</v>
      </c>
      <c r="M2250" s="266">
        <v>40049081021205</v>
      </c>
      <c r="N2250" s="264">
        <v>1.0860000000000001</v>
      </c>
      <c r="O2250" s="265" t="s">
        <v>649</v>
      </c>
      <c r="P2250" s="265">
        <v>11.35</v>
      </c>
      <c r="Q2250" s="265">
        <v>0.8</v>
      </c>
    </row>
    <row r="2251" spans="1:17" ht="15" customHeight="1">
      <c r="A2251" s="147">
        <v>2366</v>
      </c>
      <c r="B2251" s="51" t="s">
        <v>44</v>
      </c>
      <c r="C2251" s="51" t="s">
        <v>2613</v>
      </c>
      <c r="D2251" s="51">
        <v>100024091</v>
      </c>
      <c r="E2251" s="53" t="s">
        <v>2614</v>
      </c>
      <c r="F2251" s="124">
        <v>10</v>
      </c>
      <c r="G2251" s="124">
        <v>900</v>
      </c>
      <c r="H2251" s="369">
        <v>102.64</v>
      </c>
      <c r="I2251" s="215" t="s">
        <v>346</v>
      </c>
      <c r="J2251" s="215" t="s">
        <v>102</v>
      </c>
      <c r="K2251" s="266">
        <v>49081022815</v>
      </c>
      <c r="L2251" s="265" t="s">
        <v>649</v>
      </c>
      <c r="M2251" s="266">
        <v>40049081022813</v>
      </c>
      <c r="N2251" s="264">
        <v>1.1100000000000001</v>
      </c>
      <c r="O2251" s="265" t="s">
        <v>649</v>
      </c>
      <c r="P2251" s="265">
        <v>11.6</v>
      </c>
      <c r="Q2251" s="265">
        <v>0.8</v>
      </c>
    </row>
    <row r="2252" spans="1:17" ht="15" customHeight="1">
      <c r="A2252" s="147">
        <v>2367</v>
      </c>
      <c r="B2252" s="51" t="s">
        <v>44</v>
      </c>
      <c r="C2252" s="51" t="s">
        <v>2615</v>
      </c>
      <c r="D2252" s="51">
        <v>100024095</v>
      </c>
      <c r="E2252" s="53" t="s">
        <v>2616</v>
      </c>
      <c r="F2252" s="124">
        <v>10</v>
      </c>
      <c r="G2252" s="124">
        <v>900</v>
      </c>
      <c r="H2252" s="369">
        <v>102.64</v>
      </c>
      <c r="I2252" s="215" t="s">
        <v>346</v>
      </c>
      <c r="J2252" s="215" t="s">
        <v>102</v>
      </c>
      <c r="K2252" s="266">
        <v>49081020071</v>
      </c>
      <c r="L2252" s="265" t="s">
        <v>649</v>
      </c>
      <c r="M2252" s="266">
        <v>40049081020079</v>
      </c>
      <c r="N2252" s="264">
        <v>1.127</v>
      </c>
      <c r="O2252" s="265" t="s">
        <v>649</v>
      </c>
      <c r="P2252" s="265">
        <v>11.7</v>
      </c>
      <c r="Q2252" s="265">
        <v>0.8</v>
      </c>
    </row>
    <row r="2253" spans="1:17" ht="15" customHeight="1">
      <c r="A2253" s="147">
        <v>2368</v>
      </c>
      <c r="B2253" s="51" t="s">
        <v>44</v>
      </c>
      <c r="C2253" s="51" t="s">
        <v>2617</v>
      </c>
      <c r="D2253" s="51">
        <v>100024096</v>
      </c>
      <c r="E2253" s="53" t="s">
        <v>2618</v>
      </c>
      <c r="F2253" s="124">
        <v>10</v>
      </c>
      <c r="G2253" s="124">
        <v>900</v>
      </c>
      <c r="H2253" s="369">
        <v>102.64</v>
      </c>
      <c r="I2253" s="215" t="s">
        <v>346</v>
      </c>
      <c r="J2253" s="215" t="s">
        <v>102</v>
      </c>
      <c r="K2253" s="266">
        <v>49081021214</v>
      </c>
      <c r="L2253" s="265" t="s">
        <v>649</v>
      </c>
      <c r="M2253" s="266">
        <v>40049081021212</v>
      </c>
      <c r="N2253" s="264">
        <v>0.96599999999999997</v>
      </c>
      <c r="O2253" s="265" t="s">
        <v>649</v>
      </c>
      <c r="P2253" s="265">
        <v>11.6</v>
      </c>
      <c r="Q2253" s="265">
        <v>0.8</v>
      </c>
    </row>
    <row r="2254" spans="1:17" ht="15" customHeight="1">
      <c r="A2254" s="147">
        <v>2369</v>
      </c>
      <c r="B2254" s="51" t="s">
        <v>44</v>
      </c>
      <c r="C2254" s="51" t="s">
        <v>2619</v>
      </c>
      <c r="D2254" s="51">
        <v>100024099</v>
      </c>
      <c r="E2254" s="53" t="s">
        <v>2620</v>
      </c>
      <c r="F2254" s="124">
        <v>10</v>
      </c>
      <c r="G2254" s="124">
        <v>900</v>
      </c>
      <c r="H2254" s="369">
        <v>102.64</v>
      </c>
      <c r="I2254" s="215" t="s">
        <v>346</v>
      </c>
      <c r="J2254" s="215" t="s">
        <v>102</v>
      </c>
      <c r="K2254" s="266">
        <v>49081021238</v>
      </c>
      <c r="L2254" s="265" t="s">
        <v>649</v>
      </c>
      <c r="M2254" s="266">
        <v>40049081021236</v>
      </c>
      <c r="N2254" s="264">
        <v>1.161</v>
      </c>
      <c r="O2254" s="265" t="s">
        <v>649</v>
      </c>
      <c r="P2254" s="265">
        <v>12.15</v>
      </c>
      <c r="Q2254" s="265">
        <v>0.8</v>
      </c>
    </row>
    <row r="2255" spans="1:17" ht="15" customHeight="1">
      <c r="A2255" s="147">
        <v>2370</v>
      </c>
      <c r="B2255" s="51" t="s">
        <v>44</v>
      </c>
      <c r="C2255" s="51" t="s">
        <v>2621</v>
      </c>
      <c r="D2255" s="51">
        <v>100024100</v>
      </c>
      <c r="E2255" s="53" t="s">
        <v>2622</v>
      </c>
      <c r="F2255" s="124">
        <v>10</v>
      </c>
      <c r="G2255" s="124">
        <v>900</v>
      </c>
      <c r="H2255" s="369">
        <v>102.64</v>
      </c>
      <c r="I2255" s="215" t="s">
        <v>346</v>
      </c>
      <c r="J2255" s="215" t="s">
        <v>102</v>
      </c>
      <c r="K2255" s="266">
        <v>49081021245</v>
      </c>
      <c r="L2255" s="265" t="s">
        <v>649</v>
      </c>
      <c r="M2255" s="266">
        <v>40049081021243</v>
      </c>
      <c r="N2255" s="264">
        <v>1.0900000000000001</v>
      </c>
      <c r="O2255" s="265" t="s">
        <v>649</v>
      </c>
      <c r="P2255" s="265">
        <v>11.6</v>
      </c>
      <c r="Q2255" s="265">
        <v>0.8</v>
      </c>
    </row>
    <row r="2256" spans="1:17" ht="15" customHeight="1">
      <c r="A2256" s="147">
        <v>2371</v>
      </c>
      <c r="B2256" s="51" t="s">
        <v>44</v>
      </c>
      <c r="C2256" s="51" t="s">
        <v>2623</v>
      </c>
      <c r="D2256" s="51">
        <v>100024953</v>
      </c>
      <c r="E2256" s="53" t="s">
        <v>2624</v>
      </c>
      <c r="F2256" s="124">
        <v>10</v>
      </c>
      <c r="G2256" s="124">
        <v>900</v>
      </c>
      <c r="H2256" s="369">
        <v>102.64</v>
      </c>
      <c r="I2256" s="215" t="s">
        <v>346</v>
      </c>
      <c r="J2256" s="215" t="s">
        <v>102</v>
      </c>
      <c r="K2256" s="266">
        <v>49081021283</v>
      </c>
      <c r="L2256" s="265" t="s">
        <v>649</v>
      </c>
      <c r="M2256" s="266">
        <v>40049081021281</v>
      </c>
      <c r="N2256" s="264">
        <v>1.1140000000000001</v>
      </c>
      <c r="O2256" s="265" t="s">
        <v>649</v>
      </c>
      <c r="P2256" s="265">
        <v>11.65</v>
      </c>
      <c r="Q2256" s="265">
        <v>0.8</v>
      </c>
    </row>
    <row r="2257" spans="1:17" ht="15" customHeight="1">
      <c r="A2257" s="147">
        <v>2372</v>
      </c>
      <c r="B2257" s="51" t="s">
        <v>44</v>
      </c>
      <c r="C2257" s="51" t="s">
        <v>2625</v>
      </c>
      <c r="D2257" s="51">
        <v>100024112</v>
      </c>
      <c r="E2257" s="53" t="s">
        <v>2626</v>
      </c>
      <c r="F2257" s="124">
        <v>10</v>
      </c>
      <c r="G2257" s="124">
        <v>900</v>
      </c>
      <c r="H2257" s="369">
        <v>102.64</v>
      </c>
      <c r="I2257" s="215" t="s">
        <v>346</v>
      </c>
      <c r="J2257" s="215" t="s">
        <v>102</v>
      </c>
      <c r="K2257" s="266">
        <v>49081021290</v>
      </c>
      <c r="L2257" s="265" t="s">
        <v>649</v>
      </c>
      <c r="M2257" s="266">
        <v>40049081021298</v>
      </c>
      <c r="N2257" s="264">
        <v>1.093</v>
      </c>
      <c r="O2257" s="265" t="s">
        <v>649</v>
      </c>
      <c r="P2257" s="265">
        <v>11.65</v>
      </c>
      <c r="Q2257" s="265">
        <v>0.8</v>
      </c>
    </row>
    <row r="2258" spans="1:17" ht="15" customHeight="1">
      <c r="A2258" s="147">
        <v>2373</v>
      </c>
      <c r="B2258" s="51" t="s">
        <v>44</v>
      </c>
      <c r="C2258" s="51" t="s">
        <v>2627</v>
      </c>
      <c r="D2258" s="51">
        <v>100024113</v>
      </c>
      <c r="E2258" s="53" t="s">
        <v>2628</v>
      </c>
      <c r="F2258" s="124">
        <v>10</v>
      </c>
      <c r="G2258" s="124">
        <v>600</v>
      </c>
      <c r="H2258" s="369">
        <v>102.64</v>
      </c>
      <c r="I2258" s="215" t="s">
        <v>346</v>
      </c>
      <c r="J2258" s="215" t="s">
        <v>102</v>
      </c>
      <c r="K2258" s="266">
        <v>49081021306</v>
      </c>
      <c r="L2258" s="265" t="s">
        <v>649</v>
      </c>
      <c r="M2258" s="266">
        <v>40049081021304</v>
      </c>
      <c r="N2258" s="264">
        <v>1.0940000000000001</v>
      </c>
      <c r="O2258" s="265" t="s">
        <v>649</v>
      </c>
      <c r="P2258" s="265">
        <v>11.01</v>
      </c>
      <c r="Q2258" s="265">
        <v>1.41</v>
      </c>
    </row>
    <row r="2259" spans="1:17" ht="15" customHeight="1">
      <c r="A2259" s="147">
        <v>2374</v>
      </c>
      <c r="B2259" s="51" t="s">
        <v>44</v>
      </c>
      <c r="C2259" s="51" t="s">
        <v>2629</v>
      </c>
      <c r="D2259" s="51">
        <v>100024114</v>
      </c>
      <c r="E2259" s="53" t="s">
        <v>2630</v>
      </c>
      <c r="F2259" s="124">
        <v>10</v>
      </c>
      <c r="G2259" s="265" t="s">
        <v>649</v>
      </c>
      <c r="H2259" s="369">
        <v>136.21</v>
      </c>
      <c r="I2259" s="215" t="s">
        <v>346</v>
      </c>
      <c r="J2259" s="215" t="s">
        <v>102</v>
      </c>
      <c r="K2259" s="266">
        <v>49081025632</v>
      </c>
      <c r="L2259" s="265" t="s">
        <v>649</v>
      </c>
      <c r="M2259" s="266">
        <v>40049081025630</v>
      </c>
      <c r="N2259" s="264">
        <v>1.7789999999999999</v>
      </c>
      <c r="O2259" s="265" t="s">
        <v>649</v>
      </c>
      <c r="P2259" s="265">
        <v>17.43</v>
      </c>
      <c r="Q2259" s="265" t="s">
        <v>649</v>
      </c>
    </row>
    <row r="2260" spans="1:17" ht="15" customHeight="1">
      <c r="A2260" s="147">
        <v>2375</v>
      </c>
      <c r="B2260" s="51" t="s">
        <v>44</v>
      </c>
      <c r="C2260" s="51" t="s">
        <v>2631</v>
      </c>
      <c r="D2260" s="51">
        <v>100024954</v>
      </c>
      <c r="E2260" s="53" t="s">
        <v>2632</v>
      </c>
      <c r="F2260" s="124">
        <v>10</v>
      </c>
      <c r="G2260" s="124">
        <v>600</v>
      </c>
      <c r="H2260" s="369">
        <v>136.21</v>
      </c>
      <c r="I2260" s="215" t="s">
        <v>346</v>
      </c>
      <c r="J2260" s="215" t="s">
        <v>102</v>
      </c>
      <c r="K2260" s="266">
        <v>49081025717</v>
      </c>
      <c r="L2260" s="265" t="s">
        <v>649</v>
      </c>
      <c r="M2260" s="266">
        <v>40049081025715</v>
      </c>
      <c r="N2260" s="264">
        <v>1.8109999999999999</v>
      </c>
      <c r="O2260" s="265" t="s">
        <v>649</v>
      </c>
      <c r="P2260" s="265">
        <v>17.78</v>
      </c>
      <c r="Q2260" s="265">
        <v>1.41</v>
      </c>
    </row>
    <row r="2261" spans="1:17" ht="15" customHeight="1">
      <c r="A2261" s="147">
        <v>2376</v>
      </c>
      <c r="B2261" s="51" t="s">
        <v>44</v>
      </c>
      <c r="C2261" s="51" t="s">
        <v>2633</v>
      </c>
      <c r="D2261" s="51">
        <v>100024115</v>
      </c>
      <c r="E2261" s="53" t="s">
        <v>2634</v>
      </c>
      <c r="F2261" s="124">
        <v>10</v>
      </c>
      <c r="G2261" s="124">
        <v>1200</v>
      </c>
      <c r="H2261" s="369">
        <v>147.31</v>
      </c>
      <c r="I2261" s="215" t="s">
        <v>346</v>
      </c>
      <c r="J2261" s="215" t="s">
        <v>102</v>
      </c>
      <c r="K2261" s="266">
        <v>49081031664</v>
      </c>
      <c r="L2261" s="265" t="s">
        <v>649</v>
      </c>
      <c r="M2261" s="266">
        <v>40049081031662</v>
      </c>
      <c r="N2261" s="264">
        <v>2.085</v>
      </c>
      <c r="O2261" s="265" t="s">
        <v>649</v>
      </c>
      <c r="P2261" s="265">
        <v>21.7</v>
      </c>
      <c r="Q2261" s="265">
        <v>0.65</v>
      </c>
    </row>
    <row r="2262" spans="1:17" ht="15" customHeight="1">
      <c r="A2262" s="147">
        <v>2377</v>
      </c>
      <c r="B2262" s="51" t="s">
        <v>44</v>
      </c>
      <c r="C2262" s="51" t="s">
        <v>2635</v>
      </c>
      <c r="D2262" s="51">
        <v>100024958</v>
      </c>
      <c r="E2262" s="53" t="s">
        <v>2636</v>
      </c>
      <c r="F2262" s="124">
        <v>10</v>
      </c>
      <c r="G2262" s="124">
        <v>600</v>
      </c>
      <c r="H2262" s="369">
        <v>136.21</v>
      </c>
      <c r="I2262" s="215" t="s">
        <v>76</v>
      </c>
      <c r="J2262" s="215" t="s">
        <v>102</v>
      </c>
      <c r="K2262" s="266">
        <v>49081021313</v>
      </c>
      <c r="L2262" s="265" t="s">
        <v>649</v>
      </c>
      <c r="M2262" s="266">
        <v>40049081021311</v>
      </c>
      <c r="N2262" s="264">
        <v>1.766</v>
      </c>
      <c r="O2262" s="265" t="s">
        <v>649</v>
      </c>
      <c r="P2262" s="265">
        <v>17.399999999999999</v>
      </c>
      <c r="Q2262" s="265">
        <v>1.41</v>
      </c>
    </row>
    <row r="2263" spans="1:17" ht="15" customHeight="1">
      <c r="A2263" s="147">
        <v>2378</v>
      </c>
      <c r="B2263" s="51" t="s">
        <v>44</v>
      </c>
      <c r="C2263" s="51" t="s">
        <v>2637</v>
      </c>
      <c r="D2263" s="51">
        <v>100024116</v>
      </c>
      <c r="E2263" s="53" t="s">
        <v>2638</v>
      </c>
      <c r="F2263" s="124">
        <v>10</v>
      </c>
      <c r="G2263" s="124">
        <v>600</v>
      </c>
      <c r="H2263" s="369">
        <v>136.21</v>
      </c>
      <c r="I2263" s="215" t="s">
        <v>346</v>
      </c>
      <c r="J2263" s="215" t="s">
        <v>102</v>
      </c>
      <c r="K2263" s="266">
        <v>49081021320</v>
      </c>
      <c r="L2263" s="265" t="s">
        <v>649</v>
      </c>
      <c r="M2263" s="266">
        <v>40049081021328</v>
      </c>
      <c r="N2263" s="264">
        <v>1.742</v>
      </c>
      <c r="O2263" s="265" t="s">
        <v>649</v>
      </c>
      <c r="P2263" s="265">
        <v>17.12</v>
      </c>
      <c r="Q2263" s="265">
        <v>1.25</v>
      </c>
    </row>
    <row r="2264" spans="1:17" ht="15" customHeight="1">
      <c r="A2264" s="147">
        <v>2379</v>
      </c>
      <c r="B2264" s="51" t="s">
        <v>44</v>
      </c>
      <c r="C2264" s="51" t="s">
        <v>2639</v>
      </c>
      <c r="D2264" s="51">
        <v>100024959</v>
      </c>
      <c r="E2264" s="53" t="s">
        <v>2640</v>
      </c>
      <c r="F2264" s="124">
        <v>10</v>
      </c>
      <c r="G2264" s="124">
        <v>600</v>
      </c>
      <c r="H2264" s="369">
        <v>136.21</v>
      </c>
      <c r="I2264" s="215" t="s">
        <v>76</v>
      </c>
      <c r="J2264" s="215" t="s">
        <v>102</v>
      </c>
      <c r="K2264" s="266">
        <v>49081021337</v>
      </c>
      <c r="L2264" s="265" t="s">
        <v>649</v>
      </c>
      <c r="M2264" s="266">
        <v>40049081021335</v>
      </c>
      <c r="N2264" s="264">
        <v>1.774</v>
      </c>
      <c r="O2264" s="265" t="s">
        <v>649</v>
      </c>
      <c r="P2264" s="265">
        <v>17.47</v>
      </c>
      <c r="Q2264" s="265">
        <v>1.25</v>
      </c>
    </row>
    <row r="2265" spans="1:17" ht="15" customHeight="1">
      <c r="A2265" s="147">
        <v>2380</v>
      </c>
      <c r="B2265" s="51" t="s">
        <v>44</v>
      </c>
      <c r="C2265" s="51" t="s">
        <v>2641</v>
      </c>
      <c r="D2265" s="51">
        <v>100024960</v>
      </c>
      <c r="E2265" s="53" t="s">
        <v>2642</v>
      </c>
      <c r="F2265" s="124">
        <v>10</v>
      </c>
      <c r="G2265" s="124">
        <v>600</v>
      </c>
      <c r="H2265" s="369">
        <v>136.21</v>
      </c>
      <c r="I2265" s="215" t="s">
        <v>76</v>
      </c>
      <c r="J2265" s="215" t="s">
        <v>102</v>
      </c>
      <c r="K2265" s="266">
        <v>49081021344</v>
      </c>
      <c r="L2265" s="265" t="s">
        <v>649</v>
      </c>
      <c r="M2265" s="266">
        <v>40049081021342</v>
      </c>
      <c r="N2265" s="264">
        <v>1.7290000000000001</v>
      </c>
      <c r="O2265" s="265" t="s">
        <v>649</v>
      </c>
      <c r="P2265" s="265">
        <v>16.97</v>
      </c>
      <c r="Q2265" s="265">
        <v>1.25</v>
      </c>
    </row>
    <row r="2266" spans="1:17" ht="15" customHeight="1">
      <c r="A2266" s="147">
        <v>2381</v>
      </c>
      <c r="B2266" s="51" t="s">
        <v>44</v>
      </c>
      <c r="C2266" s="51" t="s">
        <v>2643</v>
      </c>
      <c r="D2266" s="51">
        <v>100024961</v>
      </c>
      <c r="E2266" s="53" t="s">
        <v>2644</v>
      </c>
      <c r="F2266" s="124">
        <v>10</v>
      </c>
      <c r="G2266" s="124">
        <v>750</v>
      </c>
      <c r="H2266" s="369">
        <v>136.21</v>
      </c>
      <c r="I2266" s="215" t="s">
        <v>346</v>
      </c>
      <c r="J2266" s="215" t="s">
        <v>102</v>
      </c>
      <c r="K2266" s="266">
        <v>49081025779</v>
      </c>
      <c r="L2266" s="265" t="s">
        <v>649</v>
      </c>
      <c r="M2266" s="266">
        <v>40049081025777</v>
      </c>
      <c r="N2266" s="264">
        <v>1.593</v>
      </c>
      <c r="O2266" s="265" t="s">
        <v>649</v>
      </c>
      <c r="P2266" s="265">
        <v>15.81</v>
      </c>
      <c r="Q2266" s="265">
        <v>1.1000000000000001</v>
      </c>
    </row>
    <row r="2267" spans="1:17" ht="15" customHeight="1">
      <c r="A2267" s="147">
        <v>2382</v>
      </c>
      <c r="B2267" s="51" t="s">
        <v>44</v>
      </c>
      <c r="C2267" s="51" t="s">
        <v>2645</v>
      </c>
      <c r="D2267" s="51">
        <v>100024962</v>
      </c>
      <c r="E2267" s="53" t="s">
        <v>2646</v>
      </c>
      <c r="F2267" s="124">
        <v>10</v>
      </c>
      <c r="G2267" s="124">
        <v>240</v>
      </c>
      <c r="H2267" s="369">
        <v>147.31</v>
      </c>
      <c r="I2267" s="215" t="s">
        <v>346</v>
      </c>
      <c r="J2267" s="215" t="s">
        <v>102</v>
      </c>
      <c r="K2267" s="266">
        <v>49081025786</v>
      </c>
      <c r="L2267" s="265" t="s">
        <v>649</v>
      </c>
      <c r="M2267" s="266">
        <v>40049081025784</v>
      </c>
      <c r="N2267" s="264">
        <v>1.867</v>
      </c>
      <c r="O2267" s="265" t="s">
        <v>649</v>
      </c>
      <c r="P2267" s="265">
        <v>19.55</v>
      </c>
      <c r="Q2267" s="265">
        <v>2.77</v>
      </c>
    </row>
    <row r="2268" spans="1:17" ht="15" customHeight="1">
      <c r="A2268" s="147">
        <v>2383</v>
      </c>
      <c r="B2268" s="51" t="s">
        <v>44</v>
      </c>
      <c r="C2268" s="51" t="s">
        <v>2647</v>
      </c>
      <c r="D2268" s="51">
        <v>100024963</v>
      </c>
      <c r="E2268" s="53" t="s">
        <v>2648</v>
      </c>
      <c r="F2268" s="124">
        <v>10</v>
      </c>
      <c r="G2268" s="124">
        <v>750</v>
      </c>
      <c r="H2268" s="369">
        <v>136.21</v>
      </c>
      <c r="I2268" s="215" t="s">
        <v>346</v>
      </c>
      <c r="J2268" s="215" t="s">
        <v>102</v>
      </c>
      <c r="K2268" s="266">
        <v>49081021351</v>
      </c>
      <c r="L2268" s="265" t="s">
        <v>649</v>
      </c>
      <c r="M2268" s="266">
        <v>40049081021359</v>
      </c>
      <c r="N2268" s="264">
        <v>1.569</v>
      </c>
      <c r="O2268" s="265" t="s">
        <v>649</v>
      </c>
      <c r="P2268" s="265">
        <v>15.75</v>
      </c>
      <c r="Q2268" s="265">
        <v>1.1000000000000001</v>
      </c>
    </row>
    <row r="2269" spans="1:17" ht="15" customHeight="1">
      <c r="A2269" s="147">
        <v>2384</v>
      </c>
      <c r="B2269" s="51" t="s">
        <v>44</v>
      </c>
      <c r="C2269" s="51" t="s">
        <v>2649</v>
      </c>
      <c r="D2269" s="51">
        <v>100024125</v>
      </c>
      <c r="E2269" s="53" t="s">
        <v>2650</v>
      </c>
      <c r="F2269" s="124">
        <v>10</v>
      </c>
      <c r="G2269" s="124">
        <v>240</v>
      </c>
      <c r="H2269" s="369">
        <v>147.31</v>
      </c>
      <c r="I2269" s="215" t="s">
        <v>346</v>
      </c>
      <c r="J2269" s="215" t="s">
        <v>102</v>
      </c>
      <c r="K2269" s="266">
        <v>49081025830</v>
      </c>
      <c r="L2269" s="265" t="s">
        <v>649</v>
      </c>
      <c r="M2269" s="266">
        <v>40049081025838</v>
      </c>
      <c r="N2269" s="264">
        <v>1.843</v>
      </c>
      <c r="O2269" s="265" t="s">
        <v>649</v>
      </c>
      <c r="P2269" s="265">
        <v>19.5</v>
      </c>
      <c r="Q2269" s="265">
        <v>2.77</v>
      </c>
    </row>
    <row r="2270" spans="1:17" ht="15" customHeight="1">
      <c r="A2270" s="147">
        <v>2385</v>
      </c>
      <c r="B2270" s="51" t="s">
        <v>44</v>
      </c>
      <c r="C2270" s="51" t="s">
        <v>2651</v>
      </c>
      <c r="D2270" s="51">
        <v>100024964</v>
      </c>
      <c r="E2270" s="53" t="s">
        <v>2652</v>
      </c>
      <c r="F2270" s="124">
        <v>10</v>
      </c>
      <c r="G2270" s="124">
        <v>750</v>
      </c>
      <c r="H2270" s="369">
        <v>136.21</v>
      </c>
      <c r="I2270" s="215" t="s">
        <v>346</v>
      </c>
      <c r="J2270" s="215" t="s">
        <v>102</v>
      </c>
      <c r="K2270" s="266">
        <v>49081021368</v>
      </c>
      <c r="L2270" s="265" t="s">
        <v>649</v>
      </c>
      <c r="M2270" s="266">
        <v>40049081021366</v>
      </c>
      <c r="N2270" s="264">
        <v>1.601</v>
      </c>
      <c r="O2270" s="265" t="s">
        <v>649</v>
      </c>
      <c r="P2270" s="265">
        <v>16.100000000000001</v>
      </c>
      <c r="Q2270" s="265">
        <v>1.1000000000000001</v>
      </c>
    </row>
    <row r="2271" spans="1:17" ht="15" customHeight="1">
      <c r="A2271" s="147">
        <v>2386</v>
      </c>
      <c r="B2271" s="51" t="s">
        <v>44</v>
      </c>
      <c r="C2271" s="51" t="s">
        <v>2653</v>
      </c>
      <c r="D2271" s="51">
        <v>100024130</v>
      </c>
      <c r="E2271" s="53" t="s">
        <v>2654</v>
      </c>
      <c r="F2271" s="124">
        <v>10</v>
      </c>
      <c r="G2271" s="124">
        <v>240</v>
      </c>
      <c r="H2271" s="369">
        <v>147.31</v>
      </c>
      <c r="I2271" s="215" t="s">
        <v>346</v>
      </c>
      <c r="J2271" s="215" t="s">
        <v>102</v>
      </c>
      <c r="K2271" s="266">
        <v>49081025885</v>
      </c>
      <c r="L2271" s="265" t="s">
        <v>649</v>
      </c>
      <c r="M2271" s="266">
        <v>40049081025883</v>
      </c>
      <c r="N2271" s="264">
        <v>1.875</v>
      </c>
      <c r="O2271" s="265" t="s">
        <v>649</v>
      </c>
      <c r="P2271" s="265">
        <v>19.899999999999999</v>
      </c>
      <c r="Q2271" s="265">
        <v>2.77</v>
      </c>
    </row>
    <row r="2272" spans="1:17" ht="15" customHeight="1">
      <c r="A2272" s="147">
        <v>2387</v>
      </c>
      <c r="B2272" s="51" t="s">
        <v>44</v>
      </c>
      <c r="C2272" s="51" t="s">
        <v>2655</v>
      </c>
      <c r="D2272" s="51">
        <v>100024137</v>
      </c>
      <c r="E2272" s="53" t="s">
        <v>2656</v>
      </c>
      <c r="F2272" s="124">
        <v>10</v>
      </c>
      <c r="G2272" s="265" t="s">
        <v>649</v>
      </c>
      <c r="H2272" s="369">
        <v>136.21</v>
      </c>
      <c r="I2272" s="215" t="s">
        <v>346</v>
      </c>
      <c r="J2272" s="215" t="s">
        <v>102</v>
      </c>
      <c r="K2272" s="266">
        <v>49081025946</v>
      </c>
      <c r="L2272" s="265" t="s">
        <v>649</v>
      </c>
      <c r="M2272" s="266">
        <v>40049081025944</v>
      </c>
      <c r="N2272" s="264">
        <v>1.1659999999999999</v>
      </c>
      <c r="O2272" s="265" t="s">
        <v>649</v>
      </c>
      <c r="P2272" s="265">
        <v>14.55</v>
      </c>
      <c r="Q2272" s="265" t="s">
        <v>649</v>
      </c>
    </row>
    <row r="2273" spans="1:17" ht="15" customHeight="1">
      <c r="A2273" s="147">
        <v>2388</v>
      </c>
      <c r="B2273" s="51" t="s">
        <v>44</v>
      </c>
      <c r="C2273" s="51" t="s">
        <v>2657</v>
      </c>
      <c r="D2273" s="51">
        <v>100024965</v>
      </c>
      <c r="E2273" s="53" t="s">
        <v>2658</v>
      </c>
      <c r="F2273" s="124">
        <v>10</v>
      </c>
      <c r="G2273" s="265" t="s">
        <v>649</v>
      </c>
      <c r="H2273" s="369">
        <v>136.21</v>
      </c>
      <c r="I2273" s="215" t="s">
        <v>76</v>
      </c>
      <c r="J2273" s="215" t="s">
        <v>102</v>
      </c>
      <c r="K2273" s="266">
        <v>49081021382</v>
      </c>
      <c r="L2273" s="265" t="s">
        <v>649</v>
      </c>
      <c r="M2273" s="266">
        <v>40049081021380</v>
      </c>
      <c r="N2273" s="264">
        <v>1.5529999999999999</v>
      </c>
      <c r="O2273" s="265" t="s">
        <v>649</v>
      </c>
      <c r="P2273" s="265">
        <v>15.44</v>
      </c>
      <c r="Q2273" s="265">
        <v>2.11</v>
      </c>
    </row>
    <row r="2274" spans="1:17" ht="15" customHeight="1">
      <c r="A2274" s="147">
        <v>2389</v>
      </c>
      <c r="B2274" s="51" t="s">
        <v>44</v>
      </c>
      <c r="C2274" s="51" t="s">
        <v>2659</v>
      </c>
      <c r="D2274" s="51">
        <v>100024140</v>
      </c>
      <c r="E2274" s="53" t="s">
        <v>2660</v>
      </c>
      <c r="F2274" s="124">
        <v>10</v>
      </c>
      <c r="G2274" s="124">
        <v>240</v>
      </c>
      <c r="H2274" s="369">
        <v>147.31</v>
      </c>
      <c r="I2274" s="215" t="s">
        <v>346</v>
      </c>
      <c r="J2274" s="215" t="s">
        <v>102</v>
      </c>
      <c r="K2274" s="266">
        <v>49081025977</v>
      </c>
      <c r="L2274" s="265" t="s">
        <v>649</v>
      </c>
      <c r="M2274" s="266">
        <v>40049081025975</v>
      </c>
      <c r="N2274" s="264">
        <v>1.827</v>
      </c>
      <c r="O2274" s="265" t="s">
        <v>649</v>
      </c>
      <c r="P2274" s="265">
        <v>19.350000000000001</v>
      </c>
      <c r="Q2274" s="265">
        <v>2.77</v>
      </c>
    </row>
    <row r="2275" spans="1:17" ht="15" customHeight="1">
      <c r="A2275" s="147">
        <v>2390</v>
      </c>
      <c r="B2275" s="51" t="s">
        <v>44</v>
      </c>
      <c r="C2275" s="51" t="s">
        <v>2661</v>
      </c>
      <c r="D2275" s="51">
        <v>100024142</v>
      </c>
      <c r="E2275" s="53" t="s">
        <v>2662</v>
      </c>
      <c r="F2275" s="124">
        <v>10</v>
      </c>
      <c r="G2275" s="124">
        <v>750</v>
      </c>
      <c r="H2275" s="369">
        <v>125</v>
      </c>
      <c r="I2275" s="215" t="s">
        <v>346</v>
      </c>
      <c r="J2275" s="215" t="s">
        <v>102</v>
      </c>
      <c r="K2275" s="266">
        <v>49081022778</v>
      </c>
      <c r="L2275" s="265" t="s">
        <v>649</v>
      </c>
      <c r="M2275" s="266">
        <v>40049081022776</v>
      </c>
      <c r="N2275" s="264">
        <v>1.371</v>
      </c>
      <c r="O2275" s="265" t="s">
        <v>649</v>
      </c>
      <c r="P2275" s="265">
        <v>13.57</v>
      </c>
      <c r="Q2275" s="265">
        <v>0.95</v>
      </c>
    </row>
    <row r="2276" spans="1:17" ht="15" customHeight="1">
      <c r="A2276" s="147">
        <v>2391</v>
      </c>
      <c r="B2276" s="51" t="s">
        <v>44</v>
      </c>
      <c r="C2276" s="51" t="s">
        <v>2663</v>
      </c>
      <c r="D2276" s="51">
        <v>100024966</v>
      </c>
      <c r="E2276" s="53" t="s">
        <v>2664</v>
      </c>
      <c r="F2276" s="124">
        <v>10</v>
      </c>
      <c r="G2276" s="124">
        <v>750</v>
      </c>
      <c r="H2276" s="369">
        <v>136.21</v>
      </c>
      <c r="I2276" s="215" t="s">
        <v>346</v>
      </c>
      <c r="J2276" s="215" t="s">
        <v>102</v>
      </c>
      <c r="K2276" s="266">
        <v>49081020132</v>
      </c>
      <c r="L2276" s="265" t="s">
        <v>649</v>
      </c>
      <c r="M2276" s="266">
        <v>40049081020130</v>
      </c>
      <c r="N2276" s="264">
        <v>1.631</v>
      </c>
      <c r="O2276" s="265" t="s">
        <v>649</v>
      </c>
      <c r="P2276" s="265">
        <v>16.36</v>
      </c>
      <c r="Q2276" s="265">
        <v>1.1000000000000001</v>
      </c>
    </row>
    <row r="2277" spans="1:17" ht="15" customHeight="1">
      <c r="A2277" s="147">
        <v>2392</v>
      </c>
      <c r="B2277" s="51" t="s">
        <v>44</v>
      </c>
      <c r="C2277" s="51" t="s">
        <v>2665</v>
      </c>
      <c r="D2277" s="51">
        <v>100024152</v>
      </c>
      <c r="E2277" s="53" t="s">
        <v>2666</v>
      </c>
      <c r="F2277" s="124">
        <v>10</v>
      </c>
      <c r="G2277" s="124">
        <v>240</v>
      </c>
      <c r="H2277" s="369">
        <v>147.31</v>
      </c>
      <c r="I2277" s="215" t="s">
        <v>346</v>
      </c>
      <c r="J2277" s="215" t="s">
        <v>102</v>
      </c>
      <c r="K2277" s="266">
        <v>49081026073</v>
      </c>
      <c r="L2277" s="265" t="s">
        <v>649</v>
      </c>
      <c r="M2277" s="266">
        <v>40049081026071</v>
      </c>
      <c r="N2277" s="264">
        <v>1.905</v>
      </c>
      <c r="O2277" s="265" t="s">
        <v>649</v>
      </c>
      <c r="P2277" s="265">
        <v>20.5</v>
      </c>
      <c r="Q2277" s="265">
        <v>2.77</v>
      </c>
    </row>
    <row r="2278" spans="1:17" ht="15" customHeight="1">
      <c r="A2278" s="147">
        <v>2393</v>
      </c>
      <c r="B2278" s="51" t="s">
        <v>44</v>
      </c>
      <c r="C2278" s="51" t="s">
        <v>2667</v>
      </c>
      <c r="D2278" s="51">
        <v>100024156</v>
      </c>
      <c r="E2278" s="53" t="s">
        <v>2668</v>
      </c>
      <c r="F2278" s="124">
        <v>10</v>
      </c>
      <c r="G2278" s="124">
        <v>750</v>
      </c>
      <c r="H2278" s="369">
        <v>136.21</v>
      </c>
      <c r="I2278" s="215" t="s">
        <v>346</v>
      </c>
      <c r="J2278" s="215" t="s">
        <v>102</v>
      </c>
      <c r="K2278" s="265" t="s">
        <v>649</v>
      </c>
      <c r="L2278" s="265" t="s">
        <v>649</v>
      </c>
      <c r="M2278" s="265" t="s">
        <v>649</v>
      </c>
      <c r="N2278" s="264">
        <v>1.173</v>
      </c>
      <c r="O2278" s="265" t="s">
        <v>649</v>
      </c>
      <c r="P2278" s="265">
        <v>14.57</v>
      </c>
      <c r="Q2278" s="265">
        <v>0.95</v>
      </c>
    </row>
    <row r="2279" spans="1:17" ht="15" customHeight="1">
      <c r="A2279" s="147">
        <v>2394</v>
      </c>
      <c r="B2279" s="51" t="s">
        <v>44</v>
      </c>
      <c r="C2279" s="51" t="s">
        <v>2669</v>
      </c>
      <c r="D2279" s="51">
        <v>100024967</v>
      </c>
      <c r="E2279" s="53" t="s">
        <v>2670</v>
      </c>
      <c r="F2279" s="124">
        <v>10</v>
      </c>
      <c r="G2279" s="124">
        <v>750</v>
      </c>
      <c r="H2279" s="369">
        <v>136.21</v>
      </c>
      <c r="I2279" s="215" t="s">
        <v>346</v>
      </c>
      <c r="J2279" s="215" t="s">
        <v>102</v>
      </c>
      <c r="K2279" s="266">
        <v>49081022501</v>
      </c>
      <c r="L2279" s="265" t="s">
        <v>649</v>
      </c>
      <c r="M2279" s="266">
        <v>40049081022509</v>
      </c>
      <c r="N2279" s="264">
        <v>1.56</v>
      </c>
      <c r="O2279" s="265" t="s">
        <v>649</v>
      </c>
      <c r="P2279" s="265">
        <v>15.75</v>
      </c>
      <c r="Q2279" s="265">
        <v>1.1000000000000001</v>
      </c>
    </row>
    <row r="2280" spans="1:17" ht="15" customHeight="1">
      <c r="A2280" s="147">
        <v>2395</v>
      </c>
      <c r="B2280" s="51" t="s">
        <v>44</v>
      </c>
      <c r="C2280" s="51" t="s">
        <v>2671</v>
      </c>
      <c r="D2280" s="51">
        <v>100024157</v>
      </c>
      <c r="E2280" s="53" t="s">
        <v>2672</v>
      </c>
      <c r="F2280" s="124">
        <v>10</v>
      </c>
      <c r="G2280" s="265" t="s">
        <v>649</v>
      </c>
      <c r="H2280" s="369">
        <v>147.31</v>
      </c>
      <c r="I2280" s="215" t="s">
        <v>346</v>
      </c>
      <c r="J2280" s="215" t="s">
        <v>102</v>
      </c>
      <c r="K2280" s="266">
        <v>49081026103</v>
      </c>
      <c r="L2280" s="265" t="s">
        <v>649</v>
      </c>
      <c r="M2280" s="266">
        <v>40049081026101</v>
      </c>
      <c r="N2280" s="264">
        <v>1.599</v>
      </c>
      <c r="O2280" s="265" t="s">
        <v>649</v>
      </c>
      <c r="P2280" s="265">
        <v>33.22</v>
      </c>
      <c r="Q2280" s="265">
        <v>2.11</v>
      </c>
    </row>
    <row r="2281" spans="1:17" ht="15" customHeight="1">
      <c r="A2281" s="147">
        <v>2396</v>
      </c>
      <c r="B2281" s="51" t="s">
        <v>44</v>
      </c>
      <c r="C2281" s="51" t="s">
        <v>2673</v>
      </c>
      <c r="D2281" s="51">
        <v>100024158</v>
      </c>
      <c r="E2281" s="53" t="s">
        <v>2674</v>
      </c>
      <c r="F2281" s="124">
        <v>10</v>
      </c>
      <c r="G2281" s="124">
        <v>180</v>
      </c>
      <c r="H2281" s="369">
        <v>147.31</v>
      </c>
      <c r="I2281" s="215" t="s">
        <v>346</v>
      </c>
      <c r="J2281" s="215" t="s">
        <v>102</v>
      </c>
      <c r="K2281" s="266">
        <v>49081026127</v>
      </c>
      <c r="L2281" s="265" t="s">
        <v>649</v>
      </c>
      <c r="M2281" s="266">
        <v>40049081026125</v>
      </c>
      <c r="N2281" s="264">
        <v>1.8340000000000001</v>
      </c>
      <c r="O2281" s="265" t="s">
        <v>649</v>
      </c>
      <c r="P2281" s="265">
        <v>18.100000000000001</v>
      </c>
      <c r="Q2281" s="265">
        <v>2.65</v>
      </c>
    </row>
    <row r="2282" spans="1:17" ht="15" customHeight="1">
      <c r="A2282" s="147">
        <v>2397</v>
      </c>
      <c r="B2282" s="51" t="s">
        <v>44</v>
      </c>
      <c r="C2282" s="51" t="s">
        <v>2675</v>
      </c>
      <c r="D2282" s="51">
        <v>100024164</v>
      </c>
      <c r="E2282" s="53" t="s">
        <v>2676</v>
      </c>
      <c r="F2282" s="124">
        <v>10</v>
      </c>
      <c r="G2282" s="124">
        <v>750</v>
      </c>
      <c r="H2282" s="369">
        <v>136.21</v>
      </c>
      <c r="I2282" s="215" t="s">
        <v>346</v>
      </c>
      <c r="J2282" s="215" t="s">
        <v>102</v>
      </c>
      <c r="K2282" s="266">
        <v>49081021405</v>
      </c>
      <c r="L2282" s="265" t="s">
        <v>649</v>
      </c>
      <c r="M2282" s="266">
        <v>40049081021403</v>
      </c>
      <c r="N2282" s="264">
        <v>1.6180000000000001</v>
      </c>
      <c r="O2282" s="265" t="s">
        <v>649</v>
      </c>
      <c r="P2282" s="265">
        <v>16.11</v>
      </c>
      <c r="Q2282" s="265">
        <v>1.1000000000000001</v>
      </c>
    </row>
    <row r="2283" spans="1:17" ht="15" customHeight="1">
      <c r="A2283" s="147">
        <v>2398</v>
      </c>
      <c r="B2283" s="51" t="s">
        <v>44</v>
      </c>
      <c r="C2283" s="51" t="s">
        <v>2677</v>
      </c>
      <c r="D2283" s="51">
        <v>100024174</v>
      </c>
      <c r="E2283" s="53" t="s">
        <v>2678</v>
      </c>
      <c r="F2283" s="124">
        <v>10</v>
      </c>
      <c r="G2283" s="124">
        <v>750</v>
      </c>
      <c r="H2283" s="369">
        <v>136.21</v>
      </c>
      <c r="I2283" s="215" t="s">
        <v>346</v>
      </c>
      <c r="J2283" s="215" t="s">
        <v>102</v>
      </c>
      <c r="K2283" s="266">
        <v>49081022877</v>
      </c>
      <c r="L2283" s="265" t="s">
        <v>649</v>
      </c>
      <c r="M2283" s="266">
        <v>40049081022875</v>
      </c>
      <c r="N2283" s="264">
        <v>1.5940000000000001</v>
      </c>
      <c r="O2283" s="265" t="s">
        <v>649</v>
      </c>
      <c r="P2283" s="265">
        <v>16.055</v>
      </c>
      <c r="Q2283" s="265">
        <v>1.1000000000000001</v>
      </c>
    </row>
    <row r="2284" spans="1:17" ht="15" customHeight="1">
      <c r="A2284" s="147">
        <v>2399</v>
      </c>
      <c r="B2284" s="51" t="s">
        <v>44</v>
      </c>
      <c r="C2284" s="51" t="s">
        <v>2679</v>
      </c>
      <c r="D2284" s="51">
        <v>100024206</v>
      </c>
      <c r="E2284" s="53" t="s">
        <v>2680</v>
      </c>
      <c r="F2284" s="124">
        <v>10</v>
      </c>
      <c r="G2284" s="265" t="s">
        <v>649</v>
      </c>
      <c r="H2284" s="369">
        <v>136.21</v>
      </c>
      <c r="I2284" s="215" t="s">
        <v>346</v>
      </c>
      <c r="J2284" s="215" t="s">
        <v>102</v>
      </c>
      <c r="K2284" s="266">
        <v>49081026424</v>
      </c>
      <c r="L2284" s="265" t="s">
        <v>649</v>
      </c>
      <c r="M2284" s="266">
        <v>40049081026422</v>
      </c>
      <c r="N2284" s="264">
        <v>1.5780000000000001</v>
      </c>
      <c r="O2284" s="265" t="s">
        <v>649</v>
      </c>
      <c r="P2284" s="265">
        <v>16.18</v>
      </c>
      <c r="Q2284" s="265">
        <v>2.11</v>
      </c>
    </row>
    <row r="2285" spans="1:17" ht="15" customHeight="1">
      <c r="A2285" s="147">
        <v>2400</v>
      </c>
      <c r="B2285" s="51" t="s">
        <v>44</v>
      </c>
      <c r="C2285" s="51" t="s">
        <v>2681</v>
      </c>
      <c r="D2285" s="51">
        <v>100024208</v>
      </c>
      <c r="E2285" s="53" t="s">
        <v>2682</v>
      </c>
      <c r="F2285" s="124">
        <v>10</v>
      </c>
      <c r="G2285" s="265" t="s">
        <v>649</v>
      </c>
      <c r="H2285" s="369">
        <v>125</v>
      </c>
      <c r="I2285" s="215" t="s">
        <v>346</v>
      </c>
      <c r="J2285" s="215" t="s">
        <v>102</v>
      </c>
      <c r="K2285" s="266">
        <v>49081026431</v>
      </c>
      <c r="L2285" s="265" t="s">
        <v>649</v>
      </c>
      <c r="M2285" s="266">
        <v>40049081026439</v>
      </c>
      <c r="N2285" s="264">
        <v>1.3959999999999999</v>
      </c>
      <c r="O2285" s="265" t="s">
        <v>649</v>
      </c>
      <c r="P2285" s="265">
        <v>28.35</v>
      </c>
      <c r="Q2285" s="265">
        <v>2.11</v>
      </c>
    </row>
    <row r="2286" spans="1:17" ht="15" customHeight="1">
      <c r="A2286" s="147">
        <v>2401</v>
      </c>
      <c r="B2286" s="51" t="s">
        <v>44</v>
      </c>
      <c r="C2286" s="51" t="s">
        <v>2683</v>
      </c>
      <c r="D2286" s="51">
        <v>100024239</v>
      </c>
      <c r="E2286" s="53" t="s">
        <v>2684</v>
      </c>
      <c r="F2286" s="124">
        <v>10</v>
      </c>
      <c r="G2286" s="124">
        <v>240</v>
      </c>
      <c r="H2286" s="369">
        <v>147.31</v>
      </c>
      <c r="I2286" s="215" t="s">
        <v>346</v>
      </c>
      <c r="J2286" s="215" t="s">
        <v>102</v>
      </c>
      <c r="K2286" s="266">
        <v>49081026684</v>
      </c>
      <c r="L2286" s="265" t="s">
        <v>649</v>
      </c>
      <c r="M2286" s="266">
        <v>40049081026682</v>
      </c>
      <c r="N2286" s="264">
        <v>1.859</v>
      </c>
      <c r="O2286" s="265" t="s">
        <v>649</v>
      </c>
      <c r="P2286" s="265">
        <v>19.8</v>
      </c>
      <c r="Q2286" s="265">
        <v>2.77</v>
      </c>
    </row>
    <row r="2287" spans="1:17" ht="15" customHeight="1">
      <c r="A2287" s="147">
        <v>2402</v>
      </c>
      <c r="B2287" s="51" t="s">
        <v>44</v>
      </c>
      <c r="C2287" s="51" t="s">
        <v>2685</v>
      </c>
      <c r="D2287" s="51">
        <v>100024253</v>
      </c>
      <c r="E2287" s="53" t="s">
        <v>2686</v>
      </c>
      <c r="F2287" s="124">
        <v>10</v>
      </c>
      <c r="G2287" s="124">
        <v>750</v>
      </c>
      <c r="H2287" s="369">
        <v>136.21</v>
      </c>
      <c r="I2287" s="215" t="s">
        <v>346</v>
      </c>
      <c r="J2287" s="215" t="s">
        <v>102</v>
      </c>
      <c r="K2287" s="266">
        <v>49081031190</v>
      </c>
      <c r="L2287" s="265" t="s">
        <v>649</v>
      </c>
      <c r="M2287" s="266">
        <v>40049081031198</v>
      </c>
      <c r="N2287" s="264">
        <v>1.61</v>
      </c>
      <c r="O2287" s="265" t="s">
        <v>649</v>
      </c>
      <c r="P2287" s="265">
        <v>16.899999999999999</v>
      </c>
      <c r="Q2287" s="265">
        <v>1.1000000000000001</v>
      </c>
    </row>
    <row r="2288" spans="1:17" ht="15" customHeight="1">
      <c r="A2288" s="147">
        <v>2403</v>
      </c>
      <c r="B2288" s="51" t="s">
        <v>44</v>
      </c>
      <c r="C2288" s="51" t="s">
        <v>2687</v>
      </c>
      <c r="D2288" s="51">
        <v>100024255</v>
      </c>
      <c r="E2288" s="53" t="s">
        <v>2688</v>
      </c>
      <c r="F2288" s="124">
        <v>10</v>
      </c>
      <c r="G2288" s="124">
        <v>750</v>
      </c>
      <c r="H2288" s="369">
        <v>136.21</v>
      </c>
      <c r="I2288" s="215" t="s">
        <v>346</v>
      </c>
      <c r="J2288" s="215" t="s">
        <v>102</v>
      </c>
      <c r="K2288" s="266">
        <v>49081031473</v>
      </c>
      <c r="L2288" s="265" t="s">
        <v>649</v>
      </c>
      <c r="M2288" s="266">
        <v>40049081031471</v>
      </c>
      <c r="N2288" s="264">
        <v>1.623</v>
      </c>
      <c r="O2288" s="265" t="s">
        <v>649</v>
      </c>
      <c r="P2288" s="265">
        <v>16.5</v>
      </c>
      <c r="Q2288" s="265">
        <v>1.1000000000000001</v>
      </c>
    </row>
    <row r="2289" spans="1:17" ht="15" customHeight="1">
      <c r="A2289" s="147">
        <v>2404</v>
      </c>
      <c r="B2289" s="51" t="s">
        <v>44</v>
      </c>
      <c r="C2289" s="51" t="s">
        <v>2689</v>
      </c>
      <c r="D2289" s="51">
        <v>100024981</v>
      </c>
      <c r="E2289" s="53" t="s">
        <v>2690</v>
      </c>
      <c r="F2289" s="124">
        <v>10</v>
      </c>
      <c r="G2289" s="124">
        <v>600</v>
      </c>
      <c r="H2289" s="369">
        <v>136.21</v>
      </c>
      <c r="I2289" s="215" t="s">
        <v>346</v>
      </c>
      <c r="J2289" s="215" t="s">
        <v>102</v>
      </c>
      <c r="K2289" s="266">
        <v>49081022518</v>
      </c>
      <c r="L2289" s="265" t="s">
        <v>649</v>
      </c>
      <c r="M2289" s="266">
        <v>40049081022516</v>
      </c>
      <c r="N2289" s="264">
        <v>1.724</v>
      </c>
      <c r="O2289" s="265" t="s">
        <v>649</v>
      </c>
      <c r="P2289" s="265">
        <v>17.18</v>
      </c>
      <c r="Q2289" s="265">
        <v>1.41</v>
      </c>
    </row>
    <row r="2290" spans="1:17" ht="15" customHeight="1">
      <c r="A2290" s="147">
        <v>2405</v>
      </c>
      <c r="B2290" s="51" t="s">
        <v>44</v>
      </c>
      <c r="C2290" s="51" t="s">
        <v>2691</v>
      </c>
      <c r="D2290" s="51">
        <v>100024982</v>
      </c>
      <c r="E2290" s="53" t="s">
        <v>2692</v>
      </c>
      <c r="F2290" s="124">
        <v>10</v>
      </c>
      <c r="G2290" s="124">
        <v>240</v>
      </c>
      <c r="H2290" s="369">
        <v>147.31</v>
      </c>
      <c r="I2290" s="215" t="s">
        <v>346</v>
      </c>
      <c r="J2290" s="215" t="s">
        <v>102</v>
      </c>
      <c r="K2290" s="266">
        <v>49081022112</v>
      </c>
      <c r="L2290" s="265" t="s">
        <v>649</v>
      </c>
      <c r="M2290" s="266">
        <v>40049081022110</v>
      </c>
      <c r="N2290" s="264">
        <v>1.998</v>
      </c>
      <c r="O2290" s="265" t="s">
        <v>649</v>
      </c>
      <c r="P2290" s="265">
        <v>20.8</v>
      </c>
      <c r="Q2290" s="265">
        <v>2.77</v>
      </c>
    </row>
    <row r="2291" spans="1:17" ht="15" customHeight="1">
      <c r="A2291" s="147">
        <v>2406</v>
      </c>
      <c r="B2291" s="51" t="s">
        <v>44</v>
      </c>
      <c r="C2291" s="51" t="s">
        <v>2693</v>
      </c>
      <c r="D2291" s="51">
        <v>100024297</v>
      </c>
      <c r="E2291" s="53" t="s">
        <v>2694</v>
      </c>
      <c r="F2291" s="124">
        <v>10</v>
      </c>
      <c r="G2291" s="124">
        <v>900</v>
      </c>
      <c r="H2291" s="369">
        <v>136.21</v>
      </c>
      <c r="I2291" s="215" t="s">
        <v>346</v>
      </c>
      <c r="J2291" s="215" t="s">
        <v>102</v>
      </c>
      <c r="K2291" s="266">
        <v>49081026981</v>
      </c>
      <c r="L2291" s="265" t="s">
        <v>649</v>
      </c>
      <c r="M2291" s="266">
        <v>40049081026989</v>
      </c>
      <c r="N2291" s="264">
        <v>1.7</v>
      </c>
      <c r="O2291" s="265" t="s">
        <v>649</v>
      </c>
      <c r="P2291" s="265">
        <v>34</v>
      </c>
      <c r="Q2291" s="265">
        <v>0.8</v>
      </c>
    </row>
    <row r="2292" spans="1:17" ht="15" customHeight="1">
      <c r="A2292" s="147">
        <v>2407</v>
      </c>
      <c r="B2292" s="51" t="s">
        <v>44</v>
      </c>
      <c r="C2292" s="51" t="s">
        <v>2695</v>
      </c>
      <c r="D2292" s="51">
        <v>100024300</v>
      </c>
      <c r="E2292" s="53" t="s">
        <v>2696</v>
      </c>
      <c r="F2292" s="124">
        <v>10</v>
      </c>
      <c r="G2292" s="124">
        <v>600</v>
      </c>
      <c r="H2292" s="369">
        <v>136.21</v>
      </c>
      <c r="I2292" s="215" t="s">
        <v>346</v>
      </c>
      <c r="J2292" s="215" t="s">
        <v>102</v>
      </c>
      <c r="K2292" s="266">
        <v>49081027018</v>
      </c>
      <c r="L2292" s="265" t="s">
        <v>649</v>
      </c>
      <c r="M2292" s="266">
        <v>40049081027016</v>
      </c>
      <c r="N2292" s="264">
        <v>1.732</v>
      </c>
      <c r="O2292" s="265" t="s">
        <v>649</v>
      </c>
      <c r="P2292" s="265">
        <v>17.48</v>
      </c>
      <c r="Q2292" s="265">
        <v>1.41</v>
      </c>
    </row>
    <row r="2293" spans="1:17" ht="15" customHeight="1">
      <c r="A2293" s="147">
        <v>2408</v>
      </c>
      <c r="B2293" s="51" t="s">
        <v>44</v>
      </c>
      <c r="C2293" s="51" t="s">
        <v>2697</v>
      </c>
      <c r="D2293" s="51">
        <v>100024304</v>
      </c>
      <c r="E2293" s="53" t="s">
        <v>2698</v>
      </c>
      <c r="F2293" s="124">
        <v>10</v>
      </c>
      <c r="G2293" s="265" t="s">
        <v>649</v>
      </c>
      <c r="H2293" s="369">
        <v>136.21</v>
      </c>
      <c r="I2293" s="215" t="s">
        <v>346</v>
      </c>
      <c r="J2293" s="215" t="s">
        <v>102</v>
      </c>
      <c r="K2293" s="266">
        <v>49081027032</v>
      </c>
      <c r="L2293" s="265" t="s">
        <v>649</v>
      </c>
      <c r="M2293" s="266">
        <v>40049081027030</v>
      </c>
      <c r="N2293" s="264">
        <v>1.2969999999999999</v>
      </c>
      <c r="O2293" s="265" t="s">
        <v>649</v>
      </c>
      <c r="P2293" s="265">
        <v>16</v>
      </c>
      <c r="Q2293" s="265">
        <v>2.11</v>
      </c>
    </row>
    <row r="2294" spans="1:17" ht="15" customHeight="1">
      <c r="A2294" s="147">
        <v>2409</v>
      </c>
      <c r="B2294" s="51" t="s">
        <v>44</v>
      </c>
      <c r="C2294" s="51" t="s">
        <v>2699</v>
      </c>
      <c r="D2294" s="51">
        <v>100024305</v>
      </c>
      <c r="E2294" s="53" t="s">
        <v>2700</v>
      </c>
      <c r="F2294" s="124">
        <v>10</v>
      </c>
      <c r="G2294" s="265" t="s">
        <v>649</v>
      </c>
      <c r="H2294" s="369">
        <v>136.21</v>
      </c>
      <c r="I2294" s="215" t="s">
        <v>346</v>
      </c>
      <c r="J2294" s="215" t="s">
        <v>102</v>
      </c>
      <c r="K2294" s="266">
        <v>49081021474</v>
      </c>
      <c r="L2294" s="265" t="s">
        <v>649</v>
      </c>
      <c r="M2294" s="266">
        <v>40049081021472</v>
      </c>
      <c r="N2294" s="264">
        <v>1.6839999999999999</v>
      </c>
      <c r="O2294" s="265" t="s">
        <v>649</v>
      </c>
      <c r="P2294" s="265">
        <v>16.5</v>
      </c>
      <c r="Q2294" s="265" t="s">
        <v>649</v>
      </c>
    </row>
    <row r="2295" spans="1:17" ht="15" customHeight="1">
      <c r="A2295" s="147">
        <v>2410</v>
      </c>
      <c r="B2295" s="51" t="s">
        <v>44</v>
      </c>
      <c r="C2295" s="51" t="s">
        <v>2701</v>
      </c>
      <c r="D2295" s="51">
        <v>100024986</v>
      </c>
      <c r="E2295" s="53" t="s">
        <v>2572</v>
      </c>
      <c r="F2295" s="124">
        <v>10</v>
      </c>
      <c r="G2295" s="124">
        <v>180</v>
      </c>
      <c r="H2295" s="369">
        <v>136.21</v>
      </c>
      <c r="I2295" s="215" t="s">
        <v>346</v>
      </c>
      <c r="J2295" s="215" t="s">
        <v>102</v>
      </c>
      <c r="K2295" s="266">
        <v>49081021481</v>
      </c>
      <c r="L2295" s="265" t="s">
        <v>649</v>
      </c>
      <c r="M2295" s="266">
        <v>40049081021489</v>
      </c>
      <c r="N2295" s="264">
        <v>1.6910000000000001</v>
      </c>
      <c r="O2295" s="265" t="s">
        <v>649</v>
      </c>
      <c r="P2295" s="265">
        <v>17.739999999999998</v>
      </c>
      <c r="Q2295" s="265">
        <v>2.65</v>
      </c>
    </row>
    <row r="2296" spans="1:17" ht="15" customHeight="1">
      <c r="A2296" s="147">
        <v>2411</v>
      </c>
      <c r="B2296" s="51" t="s">
        <v>44</v>
      </c>
      <c r="C2296" s="51" t="s">
        <v>2702</v>
      </c>
      <c r="D2296" s="51">
        <v>100024988</v>
      </c>
      <c r="E2296" s="53" t="s">
        <v>2580</v>
      </c>
      <c r="F2296" s="124">
        <v>10</v>
      </c>
      <c r="G2296" s="124">
        <v>600</v>
      </c>
      <c r="H2296" s="369">
        <v>173.7</v>
      </c>
      <c r="I2296" s="215" t="s">
        <v>346</v>
      </c>
      <c r="J2296" s="215" t="s">
        <v>102</v>
      </c>
      <c r="K2296" s="266">
        <v>49081031589</v>
      </c>
      <c r="L2296" s="265" t="s">
        <v>649</v>
      </c>
      <c r="M2296" s="266">
        <v>40049081031587</v>
      </c>
      <c r="N2296" s="264">
        <v>2.1040000000000001</v>
      </c>
      <c r="O2296" s="265" t="s">
        <v>649</v>
      </c>
      <c r="P2296" s="265">
        <v>17.2</v>
      </c>
      <c r="Q2296" s="265">
        <v>1.41</v>
      </c>
    </row>
    <row r="2297" spans="1:17" ht="15" customHeight="1">
      <c r="A2297" s="147">
        <v>2412</v>
      </c>
      <c r="B2297" s="51" t="s">
        <v>44</v>
      </c>
      <c r="C2297" s="51" t="s">
        <v>2703</v>
      </c>
      <c r="D2297" s="51">
        <v>100024989</v>
      </c>
      <c r="E2297" s="53" t="s">
        <v>2582</v>
      </c>
      <c r="F2297" s="124">
        <v>10</v>
      </c>
      <c r="G2297" s="124">
        <v>750</v>
      </c>
      <c r="H2297" s="369">
        <v>162.63</v>
      </c>
      <c r="I2297" s="215" t="s">
        <v>346</v>
      </c>
      <c r="J2297" s="215" t="s">
        <v>102</v>
      </c>
      <c r="K2297" s="266">
        <v>49081031527</v>
      </c>
      <c r="L2297" s="265" t="s">
        <v>649</v>
      </c>
      <c r="M2297" s="266">
        <v>40049081031525</v>
      </c>
      <c r="N2297" s="264">
        <v>1.9219999999999999</v>
      </c>
      <c r="O2297" s="265" t="s">
        <v>649</v>
      </c>
      <c r="P2297" s="265">
        <v>15.1</v>
      </c>
      <c r="Q2297" s="265">
        <v>1.1000000000000001</v>
      </c>
    </row>
    <row r="2298" spans="1:17" ht="15" customHeight="1">
      <c r="A2298" s="147">
        <v>2413</v>
      </c>
      <c r="B2298" s="51" t="s">
        <v>44</v>
      </c>
      <c r="C2298" s="51" t="s">
        <v>2704</v>
      </c>
      <c r="D2298" s="51">
        <v>100024990</v>
      </c>
      <c r="E2298" s="53" t="s">
        <v>2705</v>
      </c>
      <c r="F2298" s="124">
        <v>10</v>
      </c>
      <c r="G2298" s="124">
        <v>180</v>
      </c>
      <c r="H2298" s="369">
        <v>237.55</v>
      </c>
      <c r="I2298" s="215" t="s">
        <v>346</v>
      </c>
      <c r="J2298" s="215" t="s">
        <v>102</v>
      </c>
      <c r="K2298" s="266">
        <v>49081031480</v>
      </c>
      <c r="L2298" s="265" t="s">
        <v>649</v>
      </c>
      <c r="M2298" s="266">
        <v>40049081031488</v>
      </c>
      <c r="N2298" s="264">
        <v>2.1040000000000001</v>
      </c>
      <c r="O2298" s="265" t="s">
        <v>649</v>
      </c>
      <c r="P2298" s="265">
        <v>24.7</v>
      </c>
      <c r="Q2298" s="265">
        <v>2.65</v>
      </c>
    </row>
    <row r="2299" spans="1:17" ht="15" customHeight="1">
      <c r="A2299" s="147">
        <v>2414</v>
      </c>
      <c r="B2299" s="51" t="s">
        <v>44</v>
      </c>
      <c r="C2299" s="51" t="s">
        <v>2706</v>
      </c>
      <c r="D2299" s="51">
        <v>100024991</v>
      </c>
      <c r="E2299" s="53" t="s">
        <v>2707</v>
      </c>
      <c r="F2299" s="124">
        <v>10</v>
      </c>
      <c r="G2299" s="124">
        <v>180</v>
      </c>
      <c r="H2299" s="369">
        <v>226.46</v>
      </c>
      <c r="I2299" s="215" t="s">
        <v>346</v>
      </c>
      <c r="J2299" s="215" t="s">
        <v>102</v>
      </c>
      <c r="K2299" s="266">
        <v>49081031602</v>
      </c>
      <c r="L2299" s="265" t="s">
        <v>649</v>
      </c>
      <c r="M2299" s="266">
        <v>40049081031600</v>
      </c>
      <c r="N2299" s="264">
        <v>2.698</v>
      </c>
      <c r="O2299" s="265" t="s">
        <v>649</v>
      </c>
      <c r="P2299" s="265">
        <v>22.7</v>
      </c>
      <c r="Q2299" s="265">
        <v>2.65</v>
      </c>
    </row>
    <row r="2300" spans="1:17" ht="15" customHeight="1">
      <c r="A2300" s="147">
        <v>2415</v>
      </c>
      <c r="B2300" s="51" t="s">
        <v>44</v>
      </c>
      <c r="C2300" s="51" t="s">
        <v>2708</v>
      </c>
      <c r="D2300" s="51">
        <v>100024992</v>
      </c>
      <c r="E2300" s="53" t="s">
        <v>2709</v>
      </c>
      <c r="F2300" s="124">
        <v>10</v>
      </c>
      <c r="G2300" s="265" t="s">
        <v>649</v>
      </c>
      <c r="H2300" s="369">
        <v>136.21</v>
      </c>
      <c r="I2300" s="215" t="s">
        <v>346</v>
      </c>
      <c r="J2300" s="215" t="s">
        <v>102</v>
      </c>
      <c r="K2300" s="266">
        <v>49081027131</v>
      </c>
      <c r="L2300" s="265" t="s">
        <v>649</v>
      </c>
      <c r="M2300" s="266">
        <v>40049081027139</v>
      </c>
      <c r="N2300" s="264">
        <v>1.595</v>
      </c>
      <c r="O2300" s="265" t="s">
        <v>649</v>
      </c>
      <c r="P2300" s="265" t="s">
        <v>649</v>
      </c>
      <c r="Q2300" s="265" t="s">
        <v>649</v>
      </c>
    </row>
    <row r="2301" spans="1:17" ht="15" customHeight="1">
      <c r="A2301" s="147">
        <v>2416</v>
      </c>
      <c r="B2301" s="51" t="s">
        <v>44</v>
      </c>
      <c r="C2301" s="51" t="s">
        <v>2710</v>
      </c>
      <c r="D2301" s="51">
        <v>100024316</v>
      </c>
      <c r="E2301" s="53" t="s">
        <v>2711</v>
      </c>
      <c r="F2301" s="124">
        <v>10</v>
      </c>
      <c r="G2301" s="124">
        <v>750</v>
      </c>
      <c r="H2301" s="369">
        <v>136.21</v>
      </c>
      <c r="I2301" s="215" t="s">
        <v>346</v>
      </c>
      <c r="J2301" s="215" t="s">
        <v>102</v>
      </c>
      <c r="K2301" s="266">
        <v>49081021504</v>
      </c>
      <c r="L2301" s="265" t="s">
        <v>649</v>
      </c>
      <c r="M2301" s="266">
        <v>40049081021502</v>
      </c>
      <c r="N2301" s="264">
        <v>1.571</v>
      </c>
      <c r="O2301" s="265" t="s">
        <v>649</v>
      </c>
      <c r="P2301" s="265">
        <v>15.755000000000001</v>
      </c>
      <c r="Q2301" s="265">
        <v>1.1000000000000001</v>
      </c>
    </row>
    <row r="2302" spans="1:17" ht="15" customHeight="1">
      <c r="A2302" s="147">
        <v>2417</v>
      </c>
      <c r="B2302" s="51" t="s">
        <v>44</v>
      </c>
      <c r="C2302" s="51" t="s">
        <v>2712</v>
      </c>
      <c r="D2302" s="51">
        <v>100024318</v>
      </c>
      <c r="E2302" s="53" t="s">
        <v>2640</v>
      </c>
      <c r="F2302" s="124">
        <v>10</v>
      </c>
      <c r="G2302" s="124">
        <v>750</v>
      </c>
      <c r="H2302" s="369">
        <v>136.21</v>
      </c>
      <c r="I2302" s="215" t="s">
        <v>346</v>
      </c>
      <c r="J2302" s="215" t="s">
        <v>102</v>
      </c>
      <c r="K2302" s="266">
        <v>49081021511</v>
      </c>
      <c r="L2302" s="265" t="s">
        <v>649</v>
      </c>
      <c r="M2302" s="266">
        <v>40049081021519</v>
      </c>
      <c r="N2302" s="264">
        <v>1.603</v>
      </c>
      <c r="O2302" s="265" t="s">
        <v>649</v>
      </c>
      <c r="P2302" s="265">
        <v>16.105</v>
      </c>
      <c r="Q2302" s="265">
        <v>1.1000000000000001</v>
      </c>
    </row>
    <row r="2303" spans="1:17" ht="15" customHeight="1">
      <c r="A2303" s="147">
        <v>2418</v>
      </c>
      <c r="B2303" s="51" t="s">
        <v>44</v>
      </c>
      <c r="C2303" s="51" t="s">
        <v>2713</v>
      </c>
      <c r="D2303" s="51">
        <v>100024321</v>
      </c>
      <c r="E2303" s="53" t="s">
        <v>2714</v>
      </c>
      <c r="F2303" s="124">
        <v>10</v>
      </c>
      <c r="G2303" s="124">
        <v>750</v>
      </c>
      <c r="H2303" s="369">
        <v>136.21</v>
      </c>
      <c r="I2303" s="215" t="s">
        <v>76</v>
      </c>
      <c r="J2303" s="215" t="s">
        <v>102</v>
      </c>
      <c r="K2303" s="266">
        <v>49081021528</v>
      </c>
      <c r="L2303" s="265" t="s">
        <v>649</v>
      </c>
      <c r="M2303" s="266">
        <v>40049081021526</v>
      </c>
      <c r="N2303" s="264">
        <v>1.5580000000000001</v>
      </c>
      <c r="O2303" s="265" t="s">
        <v>649</v>
      </c>
      <c r="P2303" s="265">
        <v>15.61</v>
      </c>
      <c r="Q2303" s="265">
        <v>1.1000000000000001</v>
      </c>
    </row>
    <row r="2304" spans="1:17" ht="15" customHeight="1">
      <c r="A2304" s="147">
        <v>2419</v>
      </c>
      <c r="B2304" s="51" t="s">
        <v>44</v>
      </c>
      <c r="C2304" s="51" t="s">
        <v>2715</v>
      </c>
      <c r="D2304" s="51">
        <v>100024326</v>
      </c>
      <c r="E2304" s="53" t="s">
        <v>2716</v>
      </c>
      <c r="F2304" s="124">
        <v>10</v>
      </c>
      <c r="G2304" s="124">
        <v>750</v>
      </c>
      <c r="H2304" s="369">
        <v>136.21</v>
      </c>
      <c r="I2304" s="215" t="s">
        <v>346</v>
      </c>
      <c r="J2304" s="215" t="s">
        <v>102</v>
      </c>
      <c r="K2304" s="266">
        <v>49081027209</v>
      </c>
      <c r="L2304" s="265" t="s">
        <v>649</v>
      </c>
      <c r="M2304" s="266">
        <v>40049081027207</v>
      </c>
      <c r="N2304" s="264">
        <v>1.38</v>
      </c>
      <c r="O2304" s="265" t="s">
        <v>649</v>
      </c>
      <c r="P2304" s="265">
        <v>16.399999999999999</v>
      </c>
      <c r="Q2304" s="265">
        <v>1.1000000000000001</v>
      </c>
    </row>
    <row r="2305" spans="1:17" ht="15" customHeight="1">
      <c r="A2305" s="147">
        <v>2420</v>
      </c>
      <c r="B2305" s="51" t="s">
        <v>44</v>
      </c>
      <c r="C2305" s="51" t="s">
        <v>2717</v>
      </c>
      <c r="D2305" s="51">
        <v>100024328</v>
      </c>
      <c r="E2305" s="53" t="s">
        <v>2718</v>
      </c>
      <c r="F2305" s="124">
        <v>10</v>
      </c>
      <c r="G2305" s="124">
        <v>750</v>
      </c>
      <c r="H2305" s="369">
        <v>136.21</v>
      </c>
      <c r="I2305" s="215" t="s">
        <v>346</v>
      </c>
      <c r="J2305" s="215" t="s">
        <v>102</v>
      </c>
      <c r="K2305" s="266">
        <v>49081021542</v>
      </c>
      <c r="L2305" s="265" t="s">
        <v>649</v>
      </c>
      <c r="M2305" s="266">
        <v>40049081021540</v>
      </c>
      <c r="N2305" s="264">
        <v>1.54</v>
      </c>
      <c r="O2305" s="265" t="s">
        <v>649</v>
      </c>
      <c r="P2305" s="265">
        <v>15.76</v>
      </c>
      <c r="Q2305" s="265">
        <v>1.1000000000000001</v>
      </c>
    </row>
    <row r="2306" spans="1:17" ht="15" customHeight="1">
      <c r="A2306" s="147">
        <v>2421</v>
      </c>
      <c r="B2306" s="51" t="s">
        <v>44</v>
      </c>
      <c r="C2306" s="51" t="s">
        <v>2719</v>
      </c>
      <c r="D2306" s="51">
        <v>100024335</v>
      </c>
      <c r="E2306" s="53" t="s">
        <v>2720</v>
      </c>
      <c r="F2306" s="124">
        <v>10</v>
      </c>
      <c r="G2306" s="124">
        <v>750</v>
      </c>
      <c r="H2306" s="369">
        <v>136.21</v>
      </c>
      <c r="I2306" s="215" t="s">
        <v>346</v>
      </c>
      <c r="J2306" s="215" t="s">
        <v>102</v>
      </c>
      <c r="K2306" s="266">
        <v>49081022709</v>
      </c>
      <c r="L2306" s="265" t="s">
        <v>649</v>
      </c>
      <c r="M2306" s="266">
        <v>40049081022707</v>
      </c>
      <c r="N2306" s="264">
        <v>1.569</v>
      </c>
      <c r="O2306" s="265" t="s">
        <v>649</v>
      </c>
      <c r="P2306" s="265">
        <v>15.9</v>
      </c>
      <c r="Q2306" s="265">
        <v>1.1000000000000001</v>
      </c>
    </row>
    <row r="2307" spans="1:17" ht="15" customHeight="1">
      <c r="A2307" s="147">
        <v>2422</v>
      </c>
      <c r="B2307" s="51" t="s">
        <v>44</v>
      </c>
      <c r="C2307" s="51" t="s">
        <v>2721</v>
      </c>
      <c r="D2307" s="51">
        <v>100024996</v>
      </c>
      <c r="E2307" s="53" t="s">
        <v>2722</v>
      </c>
      <c r="F2307" s="124">
        <v>10</v>
      </c>
      <c r="G2307" s="124">
        <v>180</v>
      </c>
      <c r="H2307" s="369">
        <v>165.57</v>
      </c>
      <c r="I2307" s="215" t="s">
        <v>346</v>
      </c>
      <c r="J2307" s="215" t="s">
        <v>102</v>
      </c>
      <c r="K2307" s="266">
        <v>49081022525</v>
      </c>
      <c r="L2307" s="265" t="s">
        <v>649</v>
      </c>
      <c r="M2307" s="266">
        <v>40049081022523</v>
      </c>
      <c r="N2307" s="264">
        <v>2.1989999999999998</v>
      </c>
      <c r="O2307" s="265" t="s">
        <v>649</v>
      </c>
      <c r="P2307" s="265">
        <v>22.59</v>
      </c>
      <c r="Q2307" s="265">
        <v>2.65</v>
      </c>
    </row>
    <row r="2308" spans="1:17" ht="15" customHeight="1">
      <c r="A2308" s="147">
        <v>2423</v>
      </c>
      <c r="B2308" s="51" t="s">
        <v>44</v>
      </c>
      <c r="C2308" s="51" t="s">
        <v>2723</v>
      </c>
      <c r="D2308" s="51">
        <v>100024997</v>
      </c>
      <c r="E2308" s="53" t="s">
        <v>2724</v>
      </c>
      <c r="F2308" s="124">
        <v>10</v>
      </c>
      <c r="G2308" s="124">
        <v>240</v>
      </c>
      <c r="H2308" s="369">
        <v>176.71</v>
      </c>
      <c r="I2308" s="215" t="s">
        <v>346</v>
      </c>
      <c r="J2308" s="215" t="s">
        <v>102</v>
      </c>
      <c r="K2308" s="266">
        <v>49081027292</v>
      </c>
      <c r="L2308" s="265" t="s">
        <v>649</v>
      </c>
      <c r="M2308" s="266">
        <v>40049081027290</v>
      </c>
      <c r="N2308" s="264">
        <v>2.5129999999999999</v>
      </c>
      <c r="O2308" s="265" t="s">
        <v>649</v>
      </c>
      <c r="P2308" s="265">
        <v>28.5</v>
      </c>
      <c r="Q2308" s="265">
        <v>2.77</v>
      </c>
    </row>
    <row r="2309" spans="1:17" ht="15" customHeight="1">
      <c r="A2309" s="147">
        <v>2424</v>
      </c>
      <c r="B2309" s="51" t="s">
        <v>44</v>
      </c>
      <c r="C2309" s="51" t="s">
        <v>2725</v>
      </c>
      <c r="D2309" s="51">
        <v>100024998</v>
      </c>
      <c r="E2309" s="53" t="s">
        <v>2726</v>
      </c>
      <c r="F2309" s="124">
        <v>10</v>
      </c>
      <c r="G2309" s="124">
        <v>600</v>
      </c>
      <c r="H2309" s="369">
        <v>154.49</v>
      </c>
      <c r="I2309" s="215" t="s">
        <v>346</v>
      </c>
      <c r="J2309" s="215" t="s">
        <v>102</v>
      </c>
      <c r="K2309" s="266">
        <v>49081029685</v>
      </c>
      <c r="L2309" s="265" t="s">
        <v>649</v>
      </c>
      <c r="M2309" s="266">
        <v>40049081029683</v>
      </c>
      <c r="N2309" s="264">
        <v>1.988</v>
      </c>
      <c r="O2309" s="265" t="s">
        <v>649</v>
      </c>
      <c r="P2309" s="265">
        <v>19.68</v>
      </c>
      <c r="Q2309" s="265">
        <v>1.41</v>
      </c>
    </row>
    <row r="2310" spans="1:17" ht="15" customHeight="1">
      <c r="A2310" s="147">
        <v>2425</v>
      </c>
      <c r="B2310" s="51" t="s">
        <v>44</v>
      </c>
      <c r="C2310" s="51" t="s">
        <v>2727</v>
      </c>
      <c r="D2310" s="51">
        <v>100025000</v>
      </c>
      <c r="E2310" s="53" t="s">
        <v>2728</v>
      </c>
      <c r="F2310" s="124">
        <v>10</v>
      </c>
      <c r="G2310" s="124">
        <v>180</v>
      </c>
      <c r="H2310" s="369">
        <v>165.57</v>
      </c>
      <c r="I2310" s="215" t="s">
        <v>346</v>
      </c>
      <c r="J2310" s="215" t="s">
        <v>102</v>
      </c>
      <c r="K2310" s="266">
        <v>49081031381</v>
      </c>
      <c r="L2310" s="265" t="s">
        <v>649</v>
      </c>
      <c r="M2310" s="266">
        <v>40049081031389</v>
      </c>
      <c r="N2310" s="264">
        <v>2.149</v>
      </c>
      <c r="O2310" s="265" t="s">
        <v>649</v>
      </c>
      <c r="P2310" s="265">
        <v>22.7</v>
      </c>
      <c r="Q2310" s="265">
        <v>2.65</v>
      </c>
    </row>
    <row r="2311" spans="1:17" ht="15" customHeight="1">
      <c r="A2311" s="147">
        <v>2426</v>
      </c>
      <c r="B2311" s="51" t="s">
        <v>44</v>
      </c>
      <c r="C2311" s="51" t="s">
        <v>2729</v>
      </c>
      <c r="D2311" s="51">
        <v>100025001</v>
      </c>
      <c r="E2311" s="53" t="s">
        <v>2730</v>
      </c>
      <c r="F2311" s="124">
        <v>10</v>
      </c>
      <c r="G2311" s="124">
        <v>180</v>
      </c>
      <c r="H2311" s="369">
        <v>165.57</v>
      </c>
      <c r="I2311" s="215" t="s">
        <v>346</v>
      </c>
      <c r="J2311" s="215" t="s">
        <v>102</v>
      </c>
      <c r="K2311" s="266">
        <v>49081027308</v>
      </c>
      <c r="L2311" s="265" t="s">
        <v>649</v>
      </c>
      <c r="M2311" s="266">
        <v>40049081027306</v>
      </c>
      <c r="N2311" s="264">
        <v>2.1440000000000001</v>
      </c>
      <c r="O2311" s="265" t="s">
        <v>649</v>
      </c>
      <c r="P2311" s="265">
        <v>22.9</v>
      </c>
      <c r="Q2311" s="265">
        <v>2.65</v>
      </c>
    </row>
    <row r="2312" spans="1:17" ht="15" customHeight="1">
      <c r="A2312" s="147">
        <v>2427</v>
      </c>
      <c r="B2312" s="51" t="s">
        <v>44</v>
      </c>
      <c r="C2312" s="51" t="s">
        <v>2731</v>
      </c>
      <c r="D2312" s="51">
        <v>100025003</v>
      </c>
      <c r="E2312" s="53" t="s">
        <v>2732</v>
      </c>
      <c r="F2312" s="124">
        <v>10</v>
      </c>
      <c r="G2312" s="124">
        <v>180</v>
      </c>
      <c r="H2312" s="369">
        <v>320.88</v>
      </c>
      <c r="I2312" s="215" t="s">
        <v>346</v>
      </c>
      <c r="J2312" s="215" t="s">
        <v>102</v>
      </c>
      <c r="K2312" s="266">
        <v>49081027322</v>
      </c>
      <c r="L2312" s="265" t="s">
        <v>649</v>
      </c>
      <c r="M2312" s="266">
        <v>40049081027320</v>
      </c>
      <c r="N2312" s="264">
        <v>2.9079999999999999</v>
      </c>
      <c r="O2312" s="265" t="s">
        <v>649</v>
      </c>
      <c r="P2312" s="265">
        <v>30.1</v>
      </c>
      <c r="Q2312" s="265">
        <v>2.65</v>
      </c>
    </row>
    <row r="2313" spans="1:17" ht="15" customHeight="1">
      <c r="A2313" s="147">
        <v>2428</v>
      </c>
      <c r="B2313" s="51" t="s">
        <v>44</v>
      </c>
      <c r="C2313" s="51" t="s">
        <v>2733</v>
      </c>
      <c r="D2313" s="51">
        <v>100025004</v>
      </c>
      <c r="E2313" s="53" t="s">
        <v>2734</v>
      </c>
      <c r="F2313" s="124">
        <v>10</v>
      </c>
      <c r="G2313" s="265" t="s">
        <v>649</v>
      </c>
      <c r="H2313" s="369">
        <v>335.89</v>
      </c>
      <c r="I2313" s="215" t="s">
        <v>346</v>
      </c>
      <c r="J2313" s="215" t="s">
        <v>102</v>
      </c>
      <c r="K2313" s="266">
        <v>49081027339</v>
      </c>
      <c r="L2313" s="265" t="s">
        <v>649</v>
      </c>
      <c r="M2313" s="266">
        <v>40049081027337</v>
      </c>
      <c r="N2313" s="264">
        <v>3.2229999999999999</v>
      </c>
      <c r="O2313" s="265" t="s">
        <v>649</v>
      </c>
      <c r="P2313" s="265">
        <v>31</v>
      </c>
      <c r="Q2313" s="265" t="s">
        <v>649</v>
      </c>
    </row>
    <row r="2314" spans="1:17" ht="15" customHeight="1">
      <c r="A2314" s="147">
        <v>2429</v>
      </c>
      <c r="B2314" s="51" t="s">
        <v>44</v>
      </c>
      <c r="C2314" s="51" t="s">
        <v>2735</v>
      </c>
      <c r="D2314" s="51">
        <v>100025005</v>
      </c>
      <c r="E2314" s="53" t="s">
        <v>2736</v>
      </c>
      <c r="F2314" s="124">
        <v>10</v>
      </c>
      <c r="G2314" s="124">
        <v>180</v>
      </c>
      <c r="H2314" s="369">
        <v>165.57</v>
      </c>
      <c r="I2314" s="215" t="s">
        <v>346</v>
      </c>
      <c r="J2314" s="215" t="s">
        <v>102</v>
      </c>
      <c r="K2314" s="266">
        <v>49081021566</v>
      </c>
      <c r="L2314" s="265" t="s">
        <v>649</v>
      </c>
      <c r="M2314" s="266">
        <v>40049081021564</v>
      </c>
      <c r="N2314" s="264">
        <v>2.149</v>
      </c>
      <c r="O2314" s="265" t="s">
        <v>649</v>
      </c>
      <c r="P2314" s="265">
        <v>22.64</v>
      </c>
      <c r="Q2314" s="265">
        <v>2.65</v>
      </c>
    </row>
    <row r="2315" spans="1:17" ht="15" customHeight="1">
      <c r="A2315" s="147">
        <v>2430</v>
      </c>
      <c r="B2315" s="51" t="s">
        <v>44</v>
      </c>
      <c r="C2315" s="51" t="s">
        <v>2737</v>
      </c>
      <c r="D2315" s="51">
        <v>100024342</v>
      </c>
      <c r="E2315" s="53" t="s">
        <v>2738</v>
      </c>
      <c r="F2315" s="124">
        <v>10</v>
      </c>
      <c r="G2315" s="124">
        <v>240</v>
      </c>
      <c r="H2315" s="369">
        <v>176.71</v>
      </c>
      <c r="I2315" s="215" t="s">
        <v>346</v>
      </c>
      <c r="J2315" s="215" t="s">
        <v>102</v>
      </c>
      <c r="K2315" s="266">
        <v>49081031275</v>
      </c>
      <c r="L2315" s="265" t="s">
        <v>649</v>
      </c>
      <c r="M2315" s="266">
        <v>40049081031273</v>
      </c>
      <c r="N2315" s="264">
        <v>2.3679999999999999</v>
      </c>
      <c r="O2315" s="265" t="s">
        <v>649</v>
      </c>
      <c r="P2315" s="265">
        <v>25.1</v>
      </c>
      <c r="Q2315" s="265">
        <v>2.77</v>
      </c>
    </row>
    <row r="2316" spans="1:17" ht="15" customHeight="1">
      <c r="A2316" s="147">
        <v>2431</v>
      </c>
      <c r="B2316" s="51" t="s">
        <v>44</v>
      </c>
      <c r="C2316" s="51" t="s">
        <v>2739</v>
      </c>
      <c r="D2316" s="51">
        <v>100025006</v>
      </c>
      <c r="E2316" s="53" t="s">
        <v>2740</v>
      </c>
      <c r="F2316" s="124">
        <v>10</v>
      </c>
      <c r="G2316" s="124">
        <v>240</v>
      </c>
      <c r="H2316" s="369">
        <v>176.71</v>
      </c>
      <c r="I2316" s="215" t="s">
        <v>346</v>
      </c>
      <c r="J2316" s="215" t="s">
        <v>102</v>
      </c>
      <c r="K2316" s="266">
        <v>49081030353</v>
      </c>
      <c r="L2316" s="265" t="s">
        <v>649</v>
      </c>
      <c r="M2316" s="266">
        <v>40049081030351</v>
      </c>
      <c r="N2316" s="264">
        <v>2.464</v>
      </c>
      <c r="O2316" s="265" t="s">
        <v>649</v>
      </c>
      <c r="P2316" s="265">
        <v>25.3</v>
      </c>
      <c r="Q2316" s="265">
        <v>2.77</v>
      </c>
    </row>
    <row r="2317" spans="1:17" ht="15" customHeight="1">
      <c r="A2317" s="147">
        <v>2432</v>
      </c>
      <c r="B2317" s="51" t="s">
        <v>44</v>
      </c>
      <c r="C2317" s="51" t="s">
        <v>2741</v>
      </c>
      <c r="D2317" s="51">
        <v>100025007</v>
      </c>
      <c r="E2317" s="53" t="s">
        <v>2742</v>
      </c>
      <c r="F2317" s="124">
        <v>10</v>
      </c>
      <c r="G2317" s="124">
        <v>180</v>
      </c>
      <c r="H2317" s="369">
        <v>165.57</v>
      </c>
      <c r="I2317" s="215" t="s">
        <v>76</v>
      </c>
      <c r="J2317" s="215" t="s">
        <v>102</v>
      </c>
      <c r="K2317" s="266">
        <v>49081021573</v>
      </c>
      <c r="L2317" s="265" t="s">
        <v>649</v>
      </c>
      <c r="M2317" s="266">
        <v>40049081021571</v>
      </c>
      <c r="N2317" s="264">
        <v>2.0990000000000002</v>
      </c>
      <c r="O2317" s="265" t="s">
        <v>649</v>
      </c>
      <c r="P2317" s="265">
        <v>22.69</v>
      </c>
      <c r="Q2317" s="265">
        <v>2.65</v>
      </c>
    </row>
    <row r="2318" spans="1:17" ht="15" customHeight="1">
      <c r="A2318" s="147">
        <v>2433</v>
      </c>
      <c r="B2318" s="51" t="s">
        <v>44</v>
      </c>
      <c r="C2318" s="51" t="s">
        <v>2743</v>
      </c>
      <c r="D2318" s="51">
        <v>100024344</v>
      </c>
      <c r="E2318" s="53" t="s">
        <v>2744</v>
      </c>
      <c r="F2318" s="124">
        <v>10</v>
      </c>
      <c r="G2318" s="124">
        <v>180</v>
      </c>
      <c r="H2318" s="369">
        <v>165.57</v>
      </c>
      <c r="I2318" s="215" t="s">
        <v>346</v>
      </c>
      <c r="J2318" s="215" t="s">
        <v>102</v>
      </c>
      <c r="K2318" s="266">
        <v>49081031565</v>
      </c>
      <c r="L2318" s="265" t="s">
        <v>649</v>
      </c>
      <c r="M2318" s="266">
        <v>40049081031563</v>
      </c>
      <c r="N2318" s="264">
        <v>2.1640000000000001</v>
      </c>
      <c r="O2318" s="265" t="s">
        <v>649</v>
      </c>
      <c r="P2318" s="265">
        <v>23.2</v>
      </c>
      <c r="Q2318" s="265">
        <v>2.65</v>
      </c>
    </row>
    <row r="2319" spans="1:17" ht="15" customHeight="1">
      <c r="A2319" s="147">
        <v>2434</v>
      </c>
      <c r="B2319" s="51" t="s">
        <v>44</v>
      </c>
      <c r="C2319" s="51" t="s">
        <v>2745</v>
      </c>
      <c r="D2319" s="51">
        <v>100024351</v>
      </c>
      <c r="E2319" s="53" t="s">
        <v>2746</v>
      </c>
      <c r="F2319" s="124">
        <v>10</v>
      </c>
      <c r="G2319" s="265" t="s">
        <v>649</v>
      </c>
      <c r="H2319" s="369">
        <v>165.57</v>
      </c>
      <c r="I2319" s="215" t="s">
        <v>346</v>
      </c>
      <c r="J2319" s="215" t="s">
        <v>102</v>
      </c>
      <c r="K2319" s="266">
        <v>49081021610</v>
      </c>
      <c r="L2319" s="265" t="s">
        <v>649</v>
      </c>
      <c r="M2319" s="266">
        <v>40049081021618</v>
      </c>
      <c r="N2319" s="264">
        <v>1.994</v>
      </c>
      <c r="O2319" s="265" t="s">
        <v>649</v>
      </c>
      <c r="P2319" s="265" t="s">
        <v>649</v>
      </c>
      <c r="Q2319" s="265" t="s">
        <v>649</v>
      </c>
    </row>
    <row r="2320" spans="1:17" ht="15" customHeight="1">
      <c r="A2320" s="147">
        <v>2435</v>
      </c>
      <c r="B2320" s="51" t="s">
        <v>44</v>
      </c>
      <c r="C2320" s="51" t="s">
        <v>2747</v>
      </c>
      <c r="D2320" s="51">
        <v>100024354</v>
      </c>
      <c r="E2320" s="53" t="s">
        <v>2748</v>
      </c>
      <c r="F2320" s="124">
        <v>10</v>
      </c>
      <c r="G2320" s="124">
        <v>600</v>
      </c>
      <c r="H2320" s="369">
        <v>165.57</v>
      </c>
      <c r="I2320" s="215" t="s">
        <v>346</v>
      </c>
      <c r="J2320" s="215" t="s">
        <v>102</v>
      </c>
      <c r="K2320" s="266">
        <v>49081021627</v>
      </c>
      <c r="L2320" s="265" t="s">
        <v>649</v>
      </c>
      <c r="M2320" s="266">
        <v>40049081021625</v>
      </c>
      <c r="N2320" s="264">
        <v>1.927</v>
      </c>
      <c r="O2320" s="265" t="s">
        <v>649</v>
      </c>
      <c r="P2320" s="265">
        <v>20.48</v>
      </c>
      <c r="Q2320" s="265">
        <v>1.41</v>
      </c>
    </row>
    <row r="2321" spans="1:17" ht="15" customHeight="1">
      <c r="A2321" s="147">
        <v>2436</v>
      </c>
      <c r="B2321" s="51" t="s">
        <v>44</v>
      </c>
      <c r="C2321" s="51" t="s">
        <v>2749</v>
      </c>
      <c r="D2321" s="51">
        <v>100025008</v>
      </c>
      <c r="E2321" s="53" t="s">
        <v>2750</v>
      </c>
      <c r="F2321" s="124">
        <v>10</v>
      </c>
      <c r="G2321" s="124">
        <v>600</v>
      </c>
      <c r="H2321" s="369">
        <v>165.57</v>
      </c>
      <c r="I2321" s="215" t="s">
        <v>76</v>
      </c>
      <c r="J2321" s="215" t="s">
        <v>102</v>
      </c>
      <c r="K2321" s="266">
        <v>49081021665</v>
      </c>
      <c r="L2321" s="265" t="s">
        <v>649</v>
      </c>
      <c r="M2321" s="266">
        <v>40049081021663</v>
      </c>
      <c r="N2321" s="264">
        <v>1.966</v>
      </c>
      <c r="O2321" s="265" t="s">
        <v>649</v>
      </c>
      <c r="P2321" s="265">
        <v>20.2</v>
      </c>
      <c r="Q2321" s="265">
        <v>1.41</v>
      </c>
    </row>
    <row r="2322" spans="1:17" ht="15" customHeight="1">
      <c r="A2322" s="147">
        <v>2437</v>
      </c>
      <c r="B2322" s="51" t="s">
        <v>44</v>
      </c>
      <c r="C2322" s="51" t="s">
        <v>2751</v>
      </c>
      <c r="D2322" s="51">
        <v>100024368</v>
      </c>
      <c r="E2322" s="53" t="s">
        <v>2752</v>
      </c>
      <c r="F2322" s="124">
        <v>10</v>
      </c>
      <c r="G2322" s="124">
        <v>240</v>
      </c>
      <c r="H2322" s="369">
        <v>176.71</v>
      </c>
      <c r="I2322" s="215" t="s">
        <v>346</v>
      </c>
      <c r="J2322" s="215" t="s">
        <v>102</v>
      </c>
      <c r="K2322" s="266">
        <v>49081022846</v>
      </c>
      <c r="L2322" s="265" t="s">
        <v>649</v>
      </c>
      <c r="M2322" s="266">
        <v>40049081022844</v>
      </c>
      <c r="N2322" s="264">
        <v>2.1850000000000001</v>
      </c>
      <c r="O2322" s="265" t="s">
        <v>649</v>
      </c>
      <c r="P2322" s="265">
        <v>23.1</v>
      </c>
      <c r="Q2322" s="265">
        <v>2.77</v>
      </c>
    </row>
    <row r="2323" spans="1:17" ht="15" customHeight="1">
      <c r="A2323" s="147">
        <v>2438</v>
      </c>
      <c r="B2323" s="51" t="s">
        <v>44</v>
      </c>
      <c r="C2323" s="51" t="s">
        <v>2753</v>
      </c>
      <c r="D2323" s="51">
        <v>100025010</v>
      </c>
      <c r="E2323" s="53" t="s">
        <v>2754</v>
      </c>
      <c r="F2323" s="124">
        <v>10</v>
      </c>
      <c r="G2323" s="124">
        <v>240</v>
      </c>
      <c r="H2323" s="369">
        <v>176.71</v>
      </c>
      <c r="I2323" s="215" t="s">
        <v>346</v>
      </c>
      <c r="J2323" s="215" t="s">
        <v>102</v>
      </c>
      <c r="K2323" s="266">
        <v>49081027674</v>
      </c>
      <c r="L2323" s="265" t="s">
        <v>649</v>
      </c>
      <c r="M2323" s="266">
        <v>40049081027672</v>
      </c>
      <c r="N2323" s="264">
        <v>2.2810000000000001</v>
      </c>
      <c r="O2323" s="265" t="s">
        <v>649</v>
      </c>
      <c r="P2323" s="265">
        <v>24.35</v>
      </c>
      <c r="Q2323" s="265">
        <v>2.77</v>
      </c>
    </row>
    <row r="2324" spans="1:17" ht="15" customHeight="1">
      <c r="A2324" s="147">
        <v>2439</v>
      </c>
      <c r="B2324" s="51" t="s">
        <v>44</v>
      </c>
      <c r="C2324" s="51" t="s">
        <v>2755</v>
      </c>
      <c r="D2324" s="51">
        <v>100024372</v>
      </c>
      <c r="E2324" s="53" t="s">
        <v>2756</v>
      </c>
      <c r="F2324" s="124">
        <v>10</v>
      </c>
      <c r="G2324" s="124">
        <v>750</v>
      </c>
      <c r="H2324" s="369">
        <v>154.49</v>
      </c>
      <c r="I2324" s="215" t="s">
        <v>346</v>
      </c>
      <c r="J2324" s="215" t="s">
        <v>102</v>
      </c>
      <c r="K2324" s="266">
        <v>49081030780</v>
      </c>
      <c r="L2324" s="265" t="s">
        <v>649</v>
      </c>
      <c r="M2324" s="266">
        <v>40049081030788</v>
      </c>
      <c r="N2324" s="264">
        <v>1.645</v>
      </c>
      <c r="O2324" s="265" t="s">
        <v>649</v>
      </c>
      <c r="P2324" s="265">
        <v>16.86</v>
      </c>
      <c r="Q2324" s="265">
        <v>1.1000000000000001</v>
      </c>
    </row>
    <row r="2325" spans="1:17" ht="15" customHeight="1">
      <c r="A2325" s="147">
        <v>2440</v>
      </c>
      <c r="B2325" s="51" t="s">
        <v>44</v>
      </c>
      <c r="C2325" s="51" t="s">
        <v>2757</v>
      </c>
      <c r="D2325" s="51">
        <v>100024389</v>
      </c>
      <c r="E2325" s="53" t="s">
        <v>2758</v>
      </c>
      <c r="F2325" s="124">
        <v>10</v>
      </c>
      <c r="G2325" s="124">
        <v>180</v>
      </c>
      <c r="H2325" s="369">
        <v>165.57</v>
      </c>
      <c r="I2325" s="215" t="s">
        <v>346</v>
      </c>
      <c r="J2325" s="215" t="s">
        <v>102</v>
      </c>
      <c r="K2325" s="266">
        <v>49081021696</v>
      </c>
      <c r="L2325" s="265" t="s">
        <v>649</v>
      </c>
      <c r="M2325" s="266">
        <v>40049081021694</v>
      </c>
      <c r="N2325" s="264">
        <v>1.8049999999999999</v>
      </c>
      <c r="O2325" s="265" t="s">
        <v>649</v>
      </c>
      <c r="P2325" s="265">
        <v>19</v>
      </c>
      <c r="Q2325" s="265">
        <v>2.65</v>
      </c>
    </row>
    <row r="2326" spans="1:17" ht="15" customHeight="1">
      <c r="A2326" s="147">
        <v>2441</v>
      </c>
      <c r="B2326" s="51" t="s">
        <v>44</v>
      </c>
      <c r="C2326" s="51" t="s">
        <v>2759</v>
      </c>
      <c r="D2326" s="51">
        <v>100025014</v>
      </c>
      <c r="E2326" s="53" t="s">
        <v>2760</v>
      </c>
      <c r="F2326" s="124">
        <v>10</v>
      </c>
      <c r="G2326" s="124">
        <v>600</v>
      </c>
      <c r="H2326" s="369">
        <v>165.57</v>
      </c>
      <c r="I2326" s="215" t="s">
        <v>76</v>
      </c>
      <c r="J2326" s="215" t="s">
        <v>102</v>
      </c>
      <c r="K2326" s="266">
        <v>49081020194</v>
      </c>
      <c r="L2326" s="265" t="s">
        <v>649</v>
      </c>
      <c r="M2326" s="266">
        <v>40049081020192</v>
      </c>
      <c r="N2326" s="264">
        <v>1.911</v>
      </c>
      <c r="O2326" s="265" t="s">
        <v>649</v>
      </c>
      <c r="P2326" s="265">
        <v>20.399999999999999</v>
      </c>
      <c r="Q2326" s="265">
        <v>1.41</v>
      </c>
    </row>
    <row r="2327" spans="1:17" ht="15" customHeight="1">
      <c r="A2327" s="147">
        <v>2442</v>
      </c>
      <c r="B2327" s="51" t="s">
        <v>44</v>
      </c>
      <c r="C2327" s="51" t="s">
        <v>2761</v>
      </c>
      <c r="D2327" s="51">
        <v>100024390</v>
      </c>
      <c r="E2327" s="53" t="s">
        <v>2762</v>
      </c>
      <c r="F2327" s="124">
        <v>10</v>
      </c>
      <c r="G2327" s="124">
        <v>180</v>
      </c>
      <c r="H2327" s="369">
        <v>176.71</v>
      </c>
      <c r="I2327" s="215" t="s">
        <v>346</v>
      </c>
      <c r="J2327" s="215" t="s">
        <v>102</v>
      </c>
      <c r="K2327" s="266">
        <v>49081027773</v>
      </c>
      <c r="L2327" s="265" t="s">
        <v>649</v>
      </c>
      <c r="M2327" s="266">
        <v>40049081027771</v>
      </c>
      <c r="N2327" s="264">
        <v>2</v>
      </c>
      <c r="O2327" s="265" t="s">
        <v>649</v>
      </c>
      <c r="P2327" s="265">
        <v>21.15</v>
      </c>
      <c r="Q2327" s="265">
        <v>2.65</v>
      </c>
    </row>
    <row r="2328" spans="1:17" ht="15" customHeight="1">
      <c r="A2328" s="147">
        <v>2443</v>
      </c>
      <c r="B2328" s="51" t="s">
        <v>44</v>
      </c>
      <c r="C2328" s="51" t="s">
        <v>2763</v>
      </c>
      <c r="D2328" s="51">
        <v>100024391</v>
      </c>
      <c r="E2328" s="53" t="s">
        <v>2764</v>
      </c>
      <c r="F2328" s="124">
        <v>10</v>
      </c>
      <c r="G2328" s="124">
        <v>180</v>
      </c>
      <c r="H2328" s="369">
        <v>176.71</v>
      </c>
      <c r="I2328" s="215" t="s">
        <v>346</v>
      </c>
      <c r="J2328" s="215" t="s">
        <v>102</v>
      </c>
      <c r="K2328" s="266">
        <v>49081027780</v>
      </c>
      <c r="L2328" s="265" t="s">
        <v>649</v>
      </c>
      <c r="M2328" s="266">
        <v>40049081027788</v>
      </c>
      <c r="N2328" s="264">
        <v>2.13</v>
      </c>
      <c r="O2328" s="265" t="s">
        <v>649</v>
      </c>
      <c r="P2328" s="265">
        <v>22.45</v>
      </c>
      <c r="Q2328" s="265">
        <v>4.38</v>
      </c>
    </row>
    <row r="2329" spans="1:17" ht="15" customHeight="1">
      <c r="A2329" s="147">
        <v>2444</v>
      </c>
      <c r="B2329" s="51" t="s">
        <v>44</v>
      </c>
      <c r="C2329" s="51" t="s">
        <v>2765</v>
      </c>
      <c r="D2329" s="51">
        <v>100025015</v>
      </c>
      <c r="E2329" s="53" t="s">
        <v>2766</v>
      </c>
      <c r="F2329" s="124">
        <v>10</v>
      </c>
      <c r="G2329" s="124">
        <v>240</v>
      </c>
      <c r="H2329" s="369">
        <v>176.71</v>
      </c>
      <c r="I2329" s="215" t="s">
        <v>346</v>
      </c>
      <c r="J2329" s="215" t="s">
        <v>102</v>
      </c>
      <c r="K2329" s="266">
        <v>49081022181</v>
      </c>
      <c r="L2329" s="265" t="s">
        <v>649</v>
      </c>
      <c r="M2329" s="266">
        <v>40049081022189</v>
      </c>
      <c r="N2329" s="264">
        <v>2.226</v>
      </c>
      <c r="O2329" s="265" t="s">
        <v>649</v>
      </c>
      <c r="P2329" s="265">
        <v>24.5</v>
      </c>
      <c r="Q2329" s="265">
        <v>2.77</v>
      </c>
    </row>
    <row r="2330" spans="1:17" ht="15" customHeight="1">
      <c r="A2330" s="147">
        <v>2445</v>
      </c>
      <c r="B2330" s="51" t="s">
        <v>44</v>
      </c>
      <c r="C2330" s="51" t="s">
        <v>2767</v>
      </c>
      <c r="D2330" s="51">
        <v>100024393</v>
      </c>
      <c r="E2330" s="53" t="s">
        <v>2768</v>
      </c>
      <c r="F2330" s="124">
        <v>10</v>
      </c>
      <c r="G2330" s="124">
        <v>180</v>
      </c>
      <c r="H2330" s="369">
        <v>154.49</v>
      </c>
      <c r="I2330" s="215" t="s">
        <v>346</v>
      </c>
      <c r="J2330" s="215" t="s">
        <v>102</v>
      </c>
      <c r="K2330" s="266">
        <v>49081021702</v>
      </c>
      <c r="L2330" s="265" t="s">
        <v>649</v>
      </c>
      <c r="M2330" s="266">
        <v>40049081021700</v>
      </c>
      <c r="N2330" s="264">
        <v>1.7</v>
      </c>
      <c r="O2330" s="265" t="s">
        <v>649</v>
      </c>
      <c r="P2330" s="265">
        <v>17.8</v>
      </c>
      <c r="Q2330" s="265">
        <v>2.65</v>
      </c>
    </row>
    <row r="2331" spans="1:17" ht="15" customHeight="1">
      <c r="A2331" s="147">
        <v>2446</v>
      </c>
      <c r="B2331" s="51" t="s">
        <v>44</v>
      </c>
      <c r="C2331" s="51" t="s">
        <v>2769</v>
      </c>
      <c r="D2331" s="51">
        <v>100024404</v>
      </c>
      <c r="E2331" s="53" t="s">
        <v>2770</v>
      </c>
      <c r="F2331" s="124">
        <v>10</v>
      </c>
      <c r="G2331" s="265" t="s">
        <v>649</v>
      </c>
      <c r="H2331" s="369">
        <v>165.57</v>
      </c>
      <c r="I2331" s="215" t="s">
        <v>346</v>
      </c>
      <c r="J2331" s="215" t="s">
        <v>102</v>
      </c>
      <c r="K2331" s="266">
        <v>49081021733</v>
      </c>
      <c r="L2331" s="265" t="s">
        <v>649</v>
      </c>
      <c r="M2331" s="266">
        <v>40049081021731</v>
      </c>
      <c r="N2331" s="264">
        <v>1.9259999999999999</v>
      </c>
      <c r="O2331" s="265" t="s">
        <v>649</v>
      </c>
      <c r="P2331" s="265" t="s">
        <v>649</v>
      </c>
      <c r="Q2331" s="265" t="s">
        <v>649</v>
      </c>
    </row>
    <row r="2332" spans="1:17" ht="15" customHeight="1">
      <c r="A2332" s="147">
        <v>2447</v>
      </c>
      <c r="B2332" s="51" t="s">
        <v>44</v>
      </c>
      <c r="C2332" s="51" t="s">
        <v>2771</v>
      </c>
      <c r="D2332" s="51">
        <v>100024409</v>
      </c>
      <c r="E2332" s="53" t="s">
        <v>2772</v>
      </c>
      <c r="F2332" s="124">
        <v>10</v>
      </c>
      <c r="G2332" s="124">
        <v>180</v>
      </c>
      <c r="H2332" s="369">
        <v>165.57</v>
      </c>
      <c r="I2332" s="215" t="s">
        <v>346</v>
      </c>
      <c r="J2332" s="215" t="s">
        <v>102</v>
      </c>
      <c r="K2332" s="266">
        <v>49081027940</v>
      </c>
      <c r="L2332" s="265" t="s">
        <v>649</v>
      </c>
      <c r="M2332" s="266">
        <v>40049081027948</v>
      </c>
      <c r="N2332" s="264">
        <v>1.9359999999999999</v>
      </c>
      <c r="O2332" s="265" t="s">
        <v>649</v>
      </c>
      <c r="P2332" s="265">
        <v>19.899999999999999</v>
      </c>
      <c r="Q2332" s="265">
        <v>2.65</v>
      </c>
    </row>
    <row r="2333" spans="1:17" ht="15" customHeight="1">
      <c r="A2333" s="147">
        <v>2448</v>
      </c>
      <c r="B2333" s="51" t="s">
        <v>44</v>
      </c>
      <c r="C2333" s="51" t="s">
        <v>2773</v>
      </c>
      <c r="D2333" s="51">
        <v>100024411</v>
      </c>
      <c r="E2333" s="53" t="s">
        <v>2774</v>
      </c>
      <c r="F2333" s="124">
        <v>10</v>
      </c>
      <c r="G2333" s="124">
        <v>180</v>
      </c>
      <c r="H2333" s="369">
        <v>176.71</v>
      </c>
      <c r="I2333" s="215" t="s">
        <v>346</v>
      </c>
      <c r="J2333" s="215" t="s">
        <v>102</v>
      </c>
      <c r="K2333" s="266">
        <v>49081027964</v>
      </c>
      <c r="L2333" s="265" t="s">
        <v>649</v>
      </c>
      <c r="M2333" s="266">
        <v>40049081027962</v>
      </c>
      <c r="N2333" s="264">
        <v>2.2509999999999999</v>
      </c>
      <c r="O2333" s="265" t="s">
        <v>649</v>
      </c>
      <c r="P2333" s="265">
        <v>24.62</v>
      </c>
      <c r="Q2333" s="265">
        <v>4.38</v>
      </c>
    </row>
    <row r="2334" spans="1:17" ht="15" customHeight="1">
      <c r="A2334" s="147">
        <v>2449</v>
      </c>
      <c r="B2334" s="51" t="s">
        <v>44</v>
      </c>
      <c r="C2334" s="51" t="s">
        <v>2775</v>
      </c>
      <c r="D2334" s="51">
        <v>100025019</v>
      </c>
      <c r="E2334" s="53" t="s">
        <v>2776</v>
      </c>
      <c r="F2334" s="124">
        <v>10</v>
      </c>
      <c r="G2334" s="265" t="s">
        <v>649</v>
      </c>
      <c r="H2334" s="369">
        <v>165.57</v>
      </c>
      <c r="I2334" s="215" t="s">
        <v>346</v>
      </c>
      <c r="J2334" s="215" t="s">
        <v>102</v>
      </c>
      <c r="K2334" s="266">
        <v>49081021740</v>
      </c>
      <c r="L2334" s="265" t="s">
        <v>649</v>
      </c>
      <c r="M2334" s="266">
        <v>40049081021748</v>
      </c>
      <c r="N2334" s="264">
        <v>1.984</v>
      </c>
      <c r="O2334" s="265" t="s">
        <v>649</v>
      </c>
      <c r="P2334" s="265">
        <v>19</v>
      </c>
      <c r="Q2334" s="265" t="s">
        <v>649</v>
      </c>
    </row>
    <row r="2335" spans="1:17" ht="15" customHeight="1">
      <c r="A2335" s="147">
        <v>2450</v>
      </c>
      <c r="B2335" s="51" t="s">
        <v>44</v>
      </c>
      <c r="C2335" s="51" t="s">
        <v>2777</v>
      </c>
      <c r="D2335" s="51">
        <v>100025020</v>
      </c>
      <c r="E2335" s="53" t="s">
        <v>2778</v>
      </c>
      <c r="F2335" s="124">
        <v>10</v>
      </c>
      <c r="G2335" s="124">
        <v>180</v>
      </c>
      <c r="H2335" s="369">
        <v>165.57</v>
      </c>
      <c r="I2335" s="215" t="s">
        <v>346</v>
      </c>
      <c r="J2335" s="215" t="s">
        <v>102</v>
      </c>
      <c r="K2335" s="266">
        <v>49081021757</v>
      </c>
      <c r="L2335" s="265" t="s">
        <v>649</v>
      </c>
      <c r="M2335" s="266">
        <v>40049081021755</v>
      </c>
      <c r="N2335" s="264">
        <v>1.929</v>
      </c>
      <c r="O2335" s="265" t="s">
        <v>649</v>
      </c>
      <c r="P2335" s="265">
        <v>20.27</v>
      </c>
      <c r="Q2335" s="265">
        <v>2.65</v>
      </c>
    </row>
    <row r="2336" spans="1:17" ht="15" customHeight="1">
      <c r="A2336" s="147">
        <v>2451</v>
      </c>
      <c r="B2336" s="51" t="s">
        <v>44</v>
      </c>
      <c r="C2336" s="51" t="s">
        <v>2779</v>
      </c>
      <c r="D2336" s="51">
        <v>100024429</v>
      </c>
      <c r="E2336" s="53" t="s">
        <v>2780</v>
      </c>
      <c r="F2336" s="124">
        <v>10</v>
      </c>
      <c r="G2336" s="124">
        <v>180</v>
      </c>
      <c r="H2336" s="369">
        <v>176.71</v>
      </c>
      <c r="I2336" s="215" t="s">
        <v>346</v>
      </c>
      <c r="J2336" s="215" t="s">
        <v>102</v>
      </c>
      <c r="K2336" s="266">
        <v>49081028145</v>
      </c>
      <c r="L2336" s="265" t="s">
        <v>649</v>
      </c>
      <c r="M2336" s="266">
        <v>40049081028143</v>
      </c>
      <c r="N2336" s="264">
        <v>2.2440000000000002</v>
      </c>
      <c r="O2336" s="265" t="s">
        <v>649</v>
      </c>
      <c r="P2336" s="265">
        <v>24</v>
      </c>
      <c r="Q2336" s="265">
        <v>4.38</v>
      </c>
    </row>
    <row r="2337" spans="1:17" ht="15" customHeight="1">
      <c r="A2337" s="147">
        <v>2452</v>
      </c>
      <c r="B2337" s="51" t="s">
        <v>44</v>
      </c>
      <c r="C2337" s="51" t="s">
        <v>2781</v>
      </c>
      <c r="D2337" s="51">
        <v>100025021</v>
      </c>
      <c r="E2337" s="53" t="s">
        <v>2782</v>
      </c>
      <c r="F2337" s="124">
        <v>10</v>
      </c>
      <c r="G2337" s="124">
        <v>600</v>
      </c>
      <c r="H2337" s="369">
        <v>165.57</v>
      </c>
      <c r="I2337" s="215" t="s">
        <v>346</v>
      </c>
      <c r="J2337" s="215" t="s">
        <v>102</v>
      </c>
      <c r="K2337" s="266">
        <v>49081030889</v>
      </c>
      <c r="L2337" s="265" t="s">
        <v>649</v>
      </c>
      <c r="M2337" s="266">
        <v>40049081030887</v>
      </c>
      <c r="N2337" s="264">
        <v>1.8340000000000001</v>
      </c>
      <c r="O2337" s="265" t="s">
        <v>649</v>
      </c>
      <c r="P2337" s="265">
        <v>20.8</v>
      </c>
      <c r="Q2337" s="265">
        <v>1.41</v>
      </c>
    </row>
    <row r="2338" spans="1:17" ht="15" customHeight="1">
      <c r="A2338" s="147">
        <v>2453</v>
      </c>
      <c r="B2338" s="51" t="s">
        <v>44</v>
      </c>
      <c r="C2338" s="51" t="s">
        <v>2783</v>
      </c>
      <c r="D2338" s="51">
        <v>100024469</v>
      </c>
      <c r="E2338" s="53" t="s">
        <v>2784</v>
      </c>
      <c r="F2338" s="124">
        <v>10</v>
      </c>
      <c r="G2338" s="124">
        <v>180</v>
      </c>
      <c r="H2338" s="369">
        <v>165.57</v>
      </c>
      <c r="I2338" s="215" t="s">
        <v>346</v>
      </c>
      <c r="J2338" s="215" t="s">
        <v>102</v>
      </c>
      <c r="K2338" s="266">
        <v>49081028404</v>
      </c>
      <c r="L2338" s="265" t="s">
        <v>649</v>
      </c>
      <c r="M2338" s="266">
        <v>40049081028402</v>
      </c>
      <c r="N2338" s="264">
        <v>1.7789999999999999</v>
      </c>
      <c r="O2338" s="265" t="s">
        <v>649</v>
      </c>
      <c r="P2338" s="265">
        <v>20.350000000000001</v>
      </c>
      <c r="Q2338" s="265">
        <v>2.65</v>
      </c>
    </row>
    <row r="2339" spans="1:17" ht="15" customHeight="1">
      <c r="A2339" s="147">
        <v>2454</v>
      </c>
      <c r="B2339" s="51" t="s">
        <v>44</v>
      </c>
      <c r="C2339" s="51" t="s">
        <v>2785</v>
      </c>
      <c r="D2339" s="51">
        <v>100024501</v>
      </c>
      <c r="E2339" s="53" t="s">
        <v>2786</v>
      </c>
      <c r="F2339" s="124">
        <v>10</v>
      </c>
      <c r="G2339" s="265" t="s">
        <v>649</v>
      </c>
      <c r="H2339" s="369">
        <v>176.71</v>
      </c>
      <c r="I2339" s="215" t="s">
        <v>346</v>
      </c>
      <c r="J2339" s="215" t="s">
        <v>102</v>
      </c>
      <c r="K2339" s="266">
        <v>49081028725</v>
      </c>
      <c r="L2339" s="265" t="s">
        <v>649</v>
      </c>
      <c r="M2339" s="266">
        <v>40049081028723</v>
      </c>
      <c r="N2339" s="264">
        <v>2.339</v>
      </c>
      <c r="O2339" s="265" t="s">
        <v>649</v>
      </c>
      <c r="P2339" s="265">
        <v>13.1</v>
      </c>
      <c r="Q2339" s="265" t="s">
        <v>649</v>
      </c>
    </row>
    <row r="2340" spans="1:17" ht="15" customHeight="1">
      <c r="A2340" s="147">
        <v>2455</v>
      </c>
      <c r="B2340" s="51" t="s">
        <v>44</v>
      </c>
      <c r="C2340" s="51" t="s">
        <v>2787</v>
      </c>
      <c r="D2340" s="51">
        <v>100024507</v>
      </c>
      <c r="E2340" s="53" t="s">
        <v>2788</v>
      </c>
      <c r="F2340" s="124">
        <v>10</v>
      </c>
      <c r="G2340" s="124">
        <v>600</v>
      </c>
      <c r="H2340" s="369">
        <v>165.57</v>
      </c>
      <c r="I2340" s="215" t="s">
        <v>346</v>
      </c>
      <c r="J2340" s="215" t="s">
        <v>102</v>
      </c>
      <c r="K2340" s="266">
        <v>49081022891</v>
      </c>
      <c r="L2340" s="265" t="s">
        <v>649</v>
      </c>
      <c r="M2340" s="266">
        <v>40049081022899</v>
      </c>
      <c r="N2340" s="264">
        <v>1.944</v>
      </c>
      <c r="O2340" s="265" t="s">
        <v>649</v>
      </c>
      <c r="P2340" s="265">
        <v>20.58</v>
      </c>
      <c r="Q2340" s="265">
        <v>1.41</v>
      </c>
    </row>
    <row r="2341" spans="1:17" ht="15" customHeight="1">
      <c r="A2341" s="147">
        <v>2456</v>
      </c>
      <c r="B2341" s="51" t="s">
        <v>44</v>
      </c>
      <c r="C2341" s="51" t="s">
        <v>2789</v>
      </c>
      <c r="D2341" s="51">
        <v>100024520</v>
      </c>
      <c r="E2341" s="53" t="s">
        <v>2790</v>
      </c>
      <c r="F2341" s="124">
        <v>10</v>
      </c>
      <c r="G2341" s="124">
        <v>600</v>
      </c>
      <c r="H2341" s="369">
        <v>165.57</v>
      </c>
      <c r="I2341" s="215" t="s">
        <v>346</v>
      </c>
      <c r="J2341" s="215" t="s">
        <v>102</v>
      </c>
      <c r="K2341" s="266">
        <v>49081030773</v>
      </c>
      <c r="L2341" s="265" t="s">
        <v>649</v>
      </c>
      <c r="M2341" s="266">
        <v>40049081030771</v>
      </c>
      <c r="N2341" s="264">
        <v>2.0089999999999999</v>
      </c>
      <c r="O2341" s="265" t="s">
        <v>649</v>
      </c>
      <c r="P2341" s="265">
        <v>20.63</v>
      </c>
      <c r="Q2341" s="265">
        <v>1.41</v>
      </c>
    </row>
    <row r="2342" spans="1:17" ht="15" customHeight="1">
      <c r="A2342" s="147">
        <v>2457</v>
      </c>
      <c r="B2342" s="51" t="s">
        <v>44</v>
      </c>
      <c r="C2342" s="51" t="s">
        <v>2791</v>
      </c>
      <c r="D2342" s="51">
        <v>100025034</v>
      </c>
      <c r="E2342" s="53" t="s">
        <v>2696</v>
      </c>
      <c r="F2342" s="124">
        <v>10</v>
      </c>
      <c r="G2342" s="124">
        <v>180</v>
      </c>
      <c r="H2342" s="369">
        <v>165.57</v>
      </c>
      <c r="I2342" s="215" t="s">
        <v>346</v>
      </c>
      <c r="J2342" s="215" t="s">
        <v>102</v>
      </c>
      <c r="K2342" s="266">
        <v>49081022105</v>
      </c>
      <c r="L2342" s="265" t="s">
        <v>649</v>
      </c>
      <c r="M2342" s="266">
        <v>40049081022103</v>
      </c>
      <c r="N2342" s="264">
        <v>2.0990000000000002</v>
      </c>
      <c r="O2342" s="265" t="s">
        <v>649</v>
      </c>
      <c r="P2342" s="265">
        <v>21.94</v>
      </c>
      <c r="Q2342" s="265">
        <v>2.65</v>
      </c>
    </row>
    <row r="2343" spans="1:17" ht="15" customHeight="1">
      <c r="A2343" s="147">
        <v>2458</v>
      </c>
      <c r="B2343" s="51" t="s">
        <v>44</v>
      </c>
      <c r="C2343" s="51" t="s">
        <v>2792</v>
      </c>
      <c r="D2343" s="51">
        <v>100024534</v>
      </c>
      <c r="E2343" s="53" t="s">
        <v>2793</v>
      </c>
      <c r="F2343" s="124">
        <v>10</v>
      </c>
      <c r="G2343" s="124">
        <v>240</v>
      </c>
      <c r="H2343" s="369">
        <v>176.71</v>
      </c>
      <c r="I2343" s="215" t="s">
        <v>346</v>
      </c>
      <c r="J2343" s="215" t="s">
        <v>102</v>
      </c>
      <c r="K2343" s="266">
        <v>49081022129</v>
      </c>
      <c r="L2343" s="265" t="s">
        <v>649</v>
      </c>
      <c r="M2343" s="266">
        <v>40049081022127</v>
      </c>
      <c r="N2343" s="264">
        <v>2.4140000000000001</v>
      </c>
      <c r="O2343" s="265" t="s">
        <v>649</v>
      </c>
      <c r="P2343" s="265">
        <v>25.55</v>
      </c>
      <c r="Q2343" s="265">
        <v>2.77</v>
      </c>
    </row>
    <row r="2344" spans="1:17" ht="15" customHeight="1">
      <c r="A2344" s="147">
        <v>2459</v>
      </c>
      <c r="B2344" s="51" t="s">
        <v>44</v>
      </c>
      <c r="C2344" s="51" t="s">
        <v>2794</v>
      </c>
      <c r="D2344" s="51">
        <v>100025036</v>
      </c>
      <c r="E2344" s="53" t="s">
        <v>2795</v>
      </c>
      <c r="F2344" s="124">
        <v>10</v>
      </c>
      <c r="G2344" s="124">
        <v>180</v>
      </c>
      <c r="H2344" s="369">
        <v>165.57</v>
      </c>
      <c r="I2344" s="215" t="s">
        <v>346</v>
      </c>
      <c r="J2344" s="215" t="s">
        <v>102</v>
      </c>
      <c r="K2344" s="266">
        <v>49081021801</v>
      </c>
      <c r="L2344" s="265" t="s">
        <v>649</v>
      </c>
      <c r="M2344" s="266">
        <v>40049081021809</v>
      </c>
      <c r="N2344" s="264">
        <v>2.044</v>
      </c>
      <c r="O2344" s="265" t="s">
        <v>649</v>
      </c>
      <c r="P2344" s="265">
        <v>22.5</v>
      </c>
      <c r="Q2344" s="265">
        <v>2.65</v>
      </c>
    </row>
    <row r="2345" spans="1:17" ht="15" customHeight="1">
      <c r="A2345" s="147">
        <v>2460</v>
      </c>
      <c r="B2345" s="51" t="s">
        <v>44</v>
      </c>
      <c r="C2345" s="51" t="s">
        <v>2796</v>
      </c>
      <c r="D2345" s="51">
        <v>100024539</v>
      </c>
      <c r="E2345" s="53" t="s">
        <v>2797</v>
      </c>
      <c r="F2345" s="124">
        <v>10</v>
      </c>
      <c r="G2345" s="124">
        <v>240</v>
      </c>
      <c r="H2345" s="369">
        <v>176.71</v>
      </c>
      <c r="I2345" s="215" t="s">
        <v>346</v>
      </c>
      <c r="J2345" s="215" t="s">
        <v>102</v>
      </c>
      <c r="K2345" s="266">
        <v>49081029609</v>
      </c>
      <c r="L2345" s="265" t="s">
        <v>649</v>
      </c>
      <c r="M2345" s="266">
        <v>40049081029607</v>
      </c>
      <c r="N2345" s="264">
        <v>2.133</v>
      </c>
      <c r="O2345" s="265" t="s">
        <v>649</v>
      </c>
      <c r="P2345" s="265">
        <v>23.3</v>
      </c>
      <c r="Q2345" s="265">
        <v>2.77</v>
      </c>
    </row>
    <row r="2346" spans="1:17" ht="15" customHeight="1">
      <c r="A2346" s="147">
        <v>2461</v>
      </c>
      <c r="B2346" s="51" t="s">
        <v>44</v>
      </c>
      <c r="C2346" s="51" t="s">
        <v>2798</v>
      </c>
      <c r="D2346" s="51">
        <v>100024540</v>
      </c>
      <c r="E2346" s="53" t="s">
        <v>2799</v>
      </c>
      <c r="F2346" s="124">
        <v>10</v>
      </c>
      <c r="G2346" s="124">
        <v>240</v>
      </c>
      <c r="H2346" s="369">
        <v>176.71</v>
      </c>
      <c r="I2346" s="215" t="s">
        <v>346</v>
      </c>
      <c r="J2346" s="215" t="s">
        <v>102</v>
      </c>
      <c r="K2346" s="266">
        <v>49081029029</v>
      </c>
      <c r="L2346" s="265" t="s">
        <v>649</v>
      </c>
      <c r="M2346" s="266">
        <v>40049081029027</v>
      </c>
      <c r="N2346" s="264">
        <v>2.2629999999999999</v>
      </c>
      <c r="O2346" s="265" t="s">
        <v>649</v>
      </c>
      <c r="P2346" s="265">
        <v>24.3</v>
      </c>
      <c r="Q2346" s="265">
        <v>2.77</v>
      </c>
    </row>
    <row r="2347" spans="1:17" ht="15" customHeight="1">
      <c r="A2347" s="147">
        <v>2462</v>
      </c>
      <c r="B2347" s="51" t="s">
        <v>44</v>
      </c>
      <c r="C2347" s="51" t="s">
        <v>2800</v>
      </c>
      <c r="D2347" s="51">
        <v>100024541</v>
      </c>
      <c r="E2347" s="53" t="s">
        <v>2801</v>
      </c>
      <c r="F2347" s="124">
        <v>10</v>
      </c>
      <c r="G2347" s="124">
        <v>240</v>
      </c>
      <c r="H2347" s="369">
        <v>176.71</v>
      </c>
      <c r="I2347" s="215" t="s">
        <v>346</v>
      </c>
      <c r="J2347" s="215" t="s">
        <v>102</v>
      </c>
      <c r="K2347" s="266">
        <v>49081021818</v>
      </c>
      <c r="L2347" s="265" t="s">
        <v>649</v>
      </c>
      <c r="M2347" s="266">
        <v>40049081021816</v>
      </c>
      <c r="N2347" s="264">
        <v>2.359</v>
      </c>
      <c r="O2347" s="265" t="s">
        <v>649</v>
      </c>
      <c r="P2347" s="265">
        <v>25.6</v>
      </c>
      <c r="Q2347" s="265">
        <v>2.77</v>
      </c>
    </row>
    <row r="2348" spans="1:17" ht="15" customHeight="1">
      <c r="A2348" s="147">
        <v>2463</v>
      </c>
      <c r="B2348" s="51" t="s">
        <v>44</v>
      </c>
      <c r="C2348" s="51" t="s">
        <v>2802</v>
      </c>
      <c r="D2348" s="51">
        <v>100025048</v>
      </c>
      <c r="E2348" s="53" t="s">
        <v>2803</v>
      </c>
      <c r="F2348" s="124">
        <v>10</v>
      </c>
      <c r="G2348" s="124">
        <v>180</v>
      </c>
      <c r="H2348" s="369">
        <v>210.6</v>
      </c>
      <c r="I2348" s="215" t="s">
        <v>346</v>
      </c>
      <c r="J2348" s="215" t="s">
        <v>102</v>
      </c>
      <c r="K2348" s="266">
        <v>49081031541</v>
      </c>
      <c r="L2348" s="265" t="s">
        <v>649</v>
      </c>
      <c r="M2348" s="266">
        <v>40049081031549</v>
      </c>
      <c r="N2348" s="264">
        <v>2.444</v>
      </c>
      <c r="O2348" s="265" t="s">
        <v>649</v>
      </c>
      <c r="P2348" s="265">
        <v>20.9</v>
      </c>
      <c r="Q2348" s="265">
        <v>2.65</v>
      </c>
    </row>
    <row r="2349" spans="1:17" ht="15" customHeight="1">
      <c r="A2349" s="147">
        <v>2464</v>
      </c>
      <c r="B2349" s="51" t="s">
        <v>44</v>
      </c>
      <c r="C2349" s="51" t="s">
        <v>2804</v>
      </c>
      <c r="D2349" s="51">
        <v>100025049</v>
      </c>
      <c r="E2349" s="53" t="s">
        <v>2805</v>
      </c>
      <c r="F2349" s="124">
        <v>10</v>
      </c>
      <c r="G2349" s="124">
        <v>180</v>
      </c>
      <c r="H2349" s="369">
        <v>343.34</v>
      </c>
      <c r="I2349" s="215" t="s">
        <v>346</v>
      </c>
      <c r="J2349" s="215" t="s">
        <v>102</v>
      </c>
      <c r="K2349" s="266">
        <v>49081031619</v>
      </c>
      <c r="L2349" s="265" t="s">
        <v>649</v>
      </c>
      <c r="M2349" s="266">
        <v>40049081031617</v>
      </c>
      <c r="N2349" s="264">
        <v>3.153</v>
      </c>
      <c r="O2349" s="265" t="s">
        <v>649</v>
      </c>
      <c r="P2349" s="265">
        <v>29.1</v>
      </c>
      <c r="Q2349" s="265">
        <v>2.65</v>
      </c>
    </row>
    <row r="2350" spans="1:17" ht="15" customHeight="1">
      <c r="A2350" s="147">
        <v>2465</v>
      </c>
      <c r="B2350" s="51" t="s">
        <v>44</v>
      </c>
      <c r="C2350" s="51" t="s">
        <v>2806</v>
      </c>
      <c r="D2350" s="51">
        <v>100025050</v>
      </c>
      <c r="E2350" s="53" t="s">
        <v>2807</v>
      </c>
      <c r="F2350" s="124">
        <v>10</v>
      </c>
      <c r="G2350" s="124">
        <v>240</v>
      </c>
      <c r="H2350" s="369">
        <v>358.21</v>
      </c>
      <c r="I2350" s="215" t="s">
        <v>346</v>
      </c>
      <c r="J2350" s="215" t="s">
        <v>102</v>
      </c>
      <c r="K2350" s="266">
        <v>49081031626</v>
      </c>
      <c r="L2350" s="265" t="s">
        <v>649</v>
      </c>
      <c r="M2350" s="266">
        <v>40049081031624</v>
      </c>
      <c r="N2350" s="264">
        <v>3.468</v>
      </c>
      <c r="O2350" s="265" t="s">
        <v>649</v>
      </c>
      <c r="P2350" s="265">
        <v>32.799999999999997</v>
      </c>
      <c r="Q2350" s="265">
        <v>2.77</v>
      </c>
    </row>
    <row r="2351" spans="1:17" ht="15" customHeight="1">
      <c r="A2351" s="147">
        <v>2466</v>
      </c>
      <c r="B2351" s="51" t="s">
        <v>44</v>
      </c>
      <c r="C2351" s="51" t="s">
        <v>2808</v>
      </c>
      <c r="D2351" s="51">
        <v>100025051</v>
      </c>
      <c r="E2351" s="53" t="s">
        <v>2809</v>
      </c>
      <c r="F2351" s="124">
        <v>10</v>
      </c>
      <c r="G2351" s="124">
        <v>600</v>
      </c>
      <c r="H2351" s="369">
        <v>199.54</v>
      </c>
      <c r="I2351" s="215" t="s">
        <v>346</v>
      </c>
      <c r="J2351" s="215" t="s">
        <v>102</v>
      </c>
      <c r="K2351" s="266">
        <v>49081031633</v>
      </c>
      <c r="L2351" s="265" t="s">
        <v>649</v>
      </c>
      <c r="M2351" s="266">
        <v>40049081031631</v>
      </c>
      <c r="N2351" s="264">
        <v>2.2330000000000001</v>
      </c>
      <c r="O2351" s="265" t="s">
        <v>649</v>
      </c>
      <c r="P2351" s="265">
        <v>18.100000000000001</v>
      </c>
      <c r="Q2351" s="265">
        <v>1.41</v>
      </c>
    </row>
    <row r="2352" spans="1:17" ht="15" customHeight="1">
      <c r="A2352" s="147">
        <v>2467</v>
      </c>
      <c r="B2352" s="51" t="s">
        <v>44</v>
      </c>
      <c r="C2352" s="51" t="s">
        <v>2810</v>
      </c>
      <c r="D2352" s="51">
        <v>100024562</v>
      </c>
      <c r="E2352" s="53" t="s">
        <v>2811</v>
      </c>
      <c r="F2352" s="124">
        <v>10</v>
      </c>
      <c r="G2352" s="124">
        <v>600</v>
      </c>
      <c r="H2352" s="369">
        <v>165.57</v>
      </c>
      <c r="I2352" s="215" t="s">
        <v>346</v>
      </c>
      <c r="J2352" s="215" t="s">
        <v>102</v>
      </c>
      <c r="K2352" s="266">
        <v>49081029630</v>
      </c>
      <c r="L2352" s="265" t="s">
        <v>649</v>
      </c>
      <c r="M2352" s="266">
        <v>40049081029638</v>
      </c>
      <c r="N2352" s="264">
        <v>1.99</v>
      </c>
      <c r="O2352" s="265" t="s">
        <v>649</v>
      </c>
      <c r="P2352" s="265">
        <v>20.18</v>
      </c>
      <c r="Q2352" s="265">
        <v>1.41</v>
      </c>
    </row>
    <row r="2353" spans="1:17" ht="15" customHeight="1">
      <c r="A2353" s="147">
        <v>2468</v>
      </c>
      <c r="B2353" s="51" t="s">
        <v>44</v>
      </c>
      <c r="C2353" s="51" t="s">
        <v>2812</v>
      </c>
      <c r="D2353" s="51">
        <v>100024563</v>
      </c>
      <c r="E2353" s="53" t="s">
        <v>2813</v>
      </c>
      <c r="F2353" s="124">
        <v>10</v>
      </c>
      <c r="G2353" s="124">
        <v>600</v>
      </c>
      <c r="H2353" s="369">
        <v>165.57</v>
      </c>
      <c r="I2353" s="215" t="s">
        <v>346</v>
      </c>
      <c r="J2353" s="215" t="s">
        <v>102</v>
      </c>
      <c r="K2353" s="266">
        <v>49081021863</v>
      </c>
      <c r="L2353" s="265" t="s">
        <v>649</v>
      </c>
      <c r="M2353" s="266">
        <v>40049081021861</v>
      </c>
      <c r="N2353" s="264">
        <v>1.923</v>
      </c>
      <c r="O2353" s="265" t="s">
        <v>649</v>
      </c>
      <c r="P2353" s="265">
        <v>20.58</v>
      </c>
      <c r="Q2353" s="265">
        <v>1.41</v>
      </c>
    </row>
    <row r="2354" spans="1:17" ht="15" customHeight="1">
      <c r="A2354" s="147">
        <v>2469</v>
      </c>
      <c r="B2354" s="51" t="s">
        <v>44</v>
      </c>
      <c r="C2354" s="51" t="s">
        <v>2814</v>
      </c>
      <c r="D2354" s="51">
        <v>100024564</v>
      </c>
      <c r="E2354" s="53" t="s">
        <v>2815</v>
      </c>
      <c r="F2354" s="124">
        <v>10</v>
      </c>
      <c r="G2354" s="124">
        <v>750</v>
      </c>
      <c r="H2354" s="369">
        <v>154.49</v>
      </c>
      <c r="I2354" s="215" t="s">
        <v>346</v>
      </c>
      <c r="J2354" s="215" t="s">
        <v>102</v>
      </c>
      <c r="K2354" s="266">
        <v>49081022259</v>
      </c>
      <c r="L2354" s="265" t="s">
        <v>649</v>
      </c>
      <c r="M2354" s="266">
        <v>40049081022257</v>
      </c>
      <c r="N2354" s="264">
        <v>1.6020000000000001</v>
      </c>
      <c r="O2354" s="265" t="s">
        <v>649</v>
      </c>
      <c r="P2354" s="265">
        <v>17.21</v>
      </c>
      <c r="Q2354" s="265">
        <v>1.1000000000000001</v>
      </c>
    </row>
    <row r="2355" spans="1:17" ht="15" customHeight="1">
      <c r="A2355" s="147">
        <v>2470</v>
      </c>
      <c r="B2355" s="51" t="s">
        <v>44</v>
      </c>
      <c r="C2355" s="51" t="s">
        <v>2816</v>
      </c>
      <c r="D2355" s="51">
        <v>100025054</v>
      </c>
      <c r="E2355" s="53" t="s">
        <v>2817</v>
      </c>
      <c r="F2355" s="124">
        <v>10</v>
      </c>
      <c r="G2355" s="124">
        <v>600</v>
      </c>
      <c r="H2355" s="369">
        <v>165.57</v>
      </c>
      <c r="I2355" s="215" t="s">
        <v>346</v>
      </c>
      <c r="J2355" s="215" t="s">
        <v>102</v>
      </c>
      <c r="K2355" s="266">
        <v>49081021887</v>
      </c>
      <c r="L2355" s="265" t="s">
        <v>649</v>
      </c>
      <c r="M2355" s="266">
        <v>40049081021885</v>
      </c>
      <c r="N2355" s="264">
        <v>1.962</v>
      </c>
      <c r="O2355" s="265" t="s">
        <v>649</v>
      </c>
      <c r="P2355" s="265">
        <v>20.58</v>
      </c>
      <c r="Q2355" s="265">
        <v>1.41</v>
      </c>
    </row>
    <row r="2356" spans="1:17" ht="15" customHeight="1">
      <c r="A2356" s="147">
        <v>2471</v>
      </c>
      <c r="B2356" s="51" t="s">
        <v>44</v>
      </c>
      <c r="C2356" s="51" t="s">
        <v>2818</v>
      </c>
      <c r="D2356" s="51">
        <v>100024568</v>
      </c>
      <c r="E2356" s="53" t="s">
        <v>2819</v>
      </c>
      <c r="F2356" s="124">
        <v>10</v>
      </c>
      <c r="G2356" s="124">
        <v>180</v>
      </c>
      <c r="H2356" s="369">
        <v>176.71</v>
      </c>
      <c r="I2356" s="215" t="s">
        <v>346</v>
      </c>
      <c r="J2356" s="215" t="s">
        <v>102</v>
      </c>
      <c r="K2356" s="266">
        <v>49081030766</v>
      </c>
      <c r="L2356" s="265" t="s">
        <v>649</v>
      </c>
      <c r="M2356" s="266">
        <v>40049081030764</v>
      </c>
      <c r="N2356" s="264">
        <v>2.0510000000000002</v>
      </c>
      <c r="O2356" s="265" t="s">
        <v>649</v>
      </c>
      <c r="P2356" s="265">
        <v>21.65</v>
      </c>
      <c r="Q2356" s="265">
        <v>2.65</v>
      </c>
    </row>
    <row r="2357" spans="1:17" ht="15" customHeight="1">
      <c r="A2357" s="147">
        <v>2472</v>
      </c>
      <c r="B2357" s="51" t="s">
        <v>44</v>
      </c>
      <c r="C2357" s="51" t="s">
        <v>2820</v>
      </c>
      <c r="D2357" s="51">
        <v>100024569</v>
      </c>
      <c r="E2357" s="53" t="s">
        <v>2738</v>
      </c>
      <c r="F2357" s="124">
        <v>10</v>
      </c>
      <c r="G2357" s="124">
        <v>240</v>
      </c>
      <c r="H2357" s="369">
        <v>176.71</v>
      </c>
      <c r="I2357" s="215" t="s">
        <v>346</v>
      </c>
      <c r="J2357" s="215" t="s">
        <v>102</v>
      </c>
      <c r="K2357" s="266">
        <v>49081031053</v>
      </c>
      <c r="L2357" s="265" t="s">
        <v>649</v>
      </c>
      <c r="M2357" s="266">
        <v>40049081031051</v>
      </c>
      <c r="N2357" s="264">
        <v>2.181</v>
      </c>
      <c r="O2357" s="265" t="s">
        <v>649</v>
      </c>
      <c r="P2357" s="265">
        <v>23.3</v>
      </c>
      <c r="Q2357" s="265">
        <v>2.77</v>
      </c>
    </row>
    <row r="2358" spans="1:17" ht="15" customHeight="1">
      <c r="A2358" s="147">
        <v>2473</v>
      </c>
      <c r="B2358" s="51" t="s">
        <v>44</v>
      </c>
      <c r="C2358" s="51" t="s">
        <v>2821</v>
      </c>
      <c r="D2358" s="51">
        <v>100025055</v>
      </c>
      <c r="E2358" s="53" t="s">
        <v>2822</v>
      </c>
      <c r="F2358" s="124">
        <v>10</v>
      </c>
      <c r="G2358" s="124">
        <v>240</v>
      </c>
      <c r="H2358" s="369">
        <v>176.71</v>
      </c>
      <c r="I2358" s="215" t="s">
        <v>346</v>
      </c>
      <c r="J2358" s="215" t="s">
        <v>102</v>
      </c>
      <c r="K2358" s="266">
        <v>49081021894</v>
      </c>
      <c r="L2358" s="265" t="s">
        <v>649</v>
      </c>
      <c r="M2358" s="266">
        <v>40049081021892</v>
      </c>
      <c r="N2358" s="264">
        <v>2.2770000000000001</v>
      </c>
      <c r="O2358" s="265" t="s">
        <v>649</v>
      </c>
      <c r="P2358" s="265">
        <v>24.41</v>
      </c>
      <c r="Q2358" s="265">
        <v>2.77</v>
      </c>
    </row>
    <row r="2359" spans="1:17" ht="15" customHeight="1">
      <c r="A2359" s="147">
        <v>2474</v>
      </c>
      <c r="B2359" s="51" t="s">
        <v>44</v>
      </c>
      <c r="C2359" s="51" t="s">
        <v>2823</v>
      </c>
      <c r="D2359" s="51">
        <v>100024571</v>
      </c>
      <c r="E2359" s="53" t="s">
        <v>2824</v>
      </c>
      <c r="F2359" s="124">
        <v>10</v>
      </c>
      <c r="G2359" s="124">
        <v>750</v>
      </c>
      <c r="H2359" s="369">
        <v>154.49</v>
      </c>
      <c r="I2359" s="215" t="s">
        <v>346</v>
      </c>
      <c r="J2359" s="215" t="s">
        <v>102</v>
      </c>
      <c r="K2359" s="266">
        <v>49081022266</v>
      </c>
      <c r="L2359" s="265" t="s">
        <v>649</v>
      </c>
      <c r="M2359" s="266">
        <v>40049081022264</v>
      </c>
      <c r="N2359" s="264">
        <v>1.641</v>
      </c>
      <c r="O2359" s="265" t="s">
        <v>649</v>
      </c>
      <c r="P2359" s="265">
        <v>16.91</v>
      </c>
      <c r="Q2359" s="265">
        <v>1.1000000000000001</v>
      </c>
    </row>
    <row r="2360" spans="1:17" ht="15" customHeight="1">
      <c r="A2360" s="147">
        <v>2475</v>
      </c>
      <c r="B2360" s="51" t="s">
        <v>44</v>
      </c>
      <c r="C2360" s="51" t="s">
        <v>2825</v>
      </c>
      <c r="D2360" s="51">
        <v>100025059</v>
      </c>
      <c r="E2360" s="53" t="s">
        <v>2826</v>
      </c>
      <c r="F2360" s="124">
        <v>10</v>
      </c>
      <c r="G2360" s="124">
        <v>600</v>
      </c>
      <c r="H2360" s="369">
        <v>165.57</v>
      </c>
      <c r="I2360" s="215" t="s">
        <v>76</v>
      </c>
      <c r="J2360" s="215" t="s">
        <v>102</v>
      </c>
      <c r="K2360" s="266">
        <v>49081021924</v>
      </c>
      <c r="L2360" s="265" t="s">
        <v>649</v>
      </c>
      <c r="M2360" s="266">
        <v>40049081021922</v>
      </c>
      <c r="N2360" s="264">
        <v>1.9119999999999999</v>
      </c>
      <c r="O2360" s="265" t="s">
        <v>649</v>
      </c>
      <c r="P2360" s="265">
        <v>20.18</v>
      </c>
      <c r="Q2360" s="265">
        <v>1.41</v>
      </c>
    </row>
    <row r="2361" spans="1:17" ht="15" customHeight="1">
      <c r="A2361" s="147">
        <v>2476</v>
      </c>
      <c r="B2361" s="51" t="s">
        <v>44</v>
      </c>
      <c r="C2361" s="51" t="s">
        <v>2827</v>
      </c>
      <c r="D2361" s="51">
        <v>100024575</v>
      </c>
      <c r="E2361" s="53" t="s">
        <v>2828</v>
      </c>
      <c r="F2361" s="124">
        <v>10</v>
      </c>
      <c r="G2361" s="124">
        <v>240</v>
      </c>
      <c r="H2361" s="369">
        <v>176.71</v>
      </c>
      <c r="I2361" s="215" t="s">
        <v>346</v>
      </c>
      <c r="J2361" s="215" t="s">
        <v>102</v>
      </c>
      <c r="K2361" s="266">
        <v>49081021931</v>
      </c>
      <c r="L2361" s="265" t="s">
        <v>649</v>
      </c>
      <c r="M2361" s="266">
        <v>40049081021939</v>
      </c>
      <c r="N2361" s="264">
        <v>2.1309999999999998</v>
      </c>
      <c r="O2361" s="265" t="s">
        <v>649</v>
      </c>
      <c r="P2361" s="265">
        <v>23.15</v>
      </c>
      <c r="Q2361" s="265">
        <v>2.77</v>
      </c>
    </row>
    <row r="2362" spans="1:17" ht="15" customHeight="1">
      <c r="A2362" s="147">
        <v>2477</v>
      </c>
      <c r="B2362" s="51" t="s">
        <v>44</v>
      </c>
      <c r="C2362" s="51" t="s">
        <v>2829</v>
      </c>
      <c r="D2362" s="51">
        <v>100025060</v>
      </c>
      <c r="E2362" s="53" t="s">
        <v>2830</v>
      </c>
      <c r="F2362" s="124">
        <v>10</v>
      </c>
      <c r="G2362" s="124">
        <v>240</v>
      </c>
      <c r="H2362" s="369">
        <v>176.71</v>
      </c>
      <c r="I2362" s="215" t="s">
        <v>76</v>
      </c>
      <c r="J2362" s="215" t="s">
        <v>102</v>
      </c>
      <c r="K2362" s="266">
        <v>49081021948</v>
      </c>
      <c r="L2362" s="265" t="s">
        <v>649</v>
      </c>
      <c r="M2362" s="266">
        <v>40049081021946</v>
      </c>
      <c r="N2362" s="264">
        <v>2.2269999999999999</v>
      </c>
      <c r="O2362" s="265" t="s">
        <v>649</v>
      </c>
      <c r="P2362" s="265">
        <v>24.4</v>
      </c>
      <c r="Q2362" s="265">
        <v>2.77</v>
      </c>
    </row>
    <row r="2363" spans="1:17" ht="15" customHeight="1">
      <c r="A2363" s="147">
        <v>2478</v>
      </c>
      <c r="B2363" s="51" t="s">
        <v>44</v>
      </c>
      <c r="C2363" s="51" t="s">
        <v>2831</v>
      </c>
      <c r="D2363" s="51">
        <v>100024576</v>
      </c>
      <c r="E2363" s="53" t="s">
        <v>2832</v>
      </c>
      <c r="F2363" s="124">
        <v>10</v>
      </c>
      <c r="G2363" s="124">
        <v>750</v>
      </c>
      <c r="H2363" s="369">
        <v>154.49</v>
      </c>
      <c r="I2363" s="215" t="s">
        <v>346</v>
      </c>
      <c r="J2363" s="215" t="s">
        <v>102</v>
      </c>
      <c r="K2363" s="266">
        <v>49081021955</v>
      </c>
      <c r="L2363" s="265" t="s">
        <v>649</v>
      </c>
      <c r="M2363" s="266">
        <v>40049081021953</v>
      </c>
      <c r="N2363" s="264">
        <v>1.591</v>
      </c>
      <c r="O2363" s="265" t="s">
        <v>649</v>
      </c>
      <c r="P2363" s="265">
        <v>16.905000000000001</v>
      </c>
      <c r="Q2363" s="265">
        <v>1.1000000000000001</v>
      </c>
    </row>
    <row r="2364" spans="1:17" ht="15" customHeight="1">
      <c r="A2364" s="147">
        <v>2479</v>
      </c>
      <c r="B2364" s="51" t="s">
        <v>44</v>
      </c>
      <c r="C2364" s="51" t="s">
        <v>2833</v>
      </c>
      <c r="D2364" s="51">
        <v>100025061</v>
      </c>
      <c r="E2364" s="53" t="s">
        <v>2834</v>
      </c>
      <c r="F2364" s="124">
        <v>10</v>
      </c>
      <c r="G2364" s="124">
        <v>180</v>
      </c>
      <c r="H2364" s="369">
        <v>154.49</v>
      </c>
      <c r="I2364" s="215" t="s">
        <v>346</v>
      </c>
      <c r="J2364" s="215" t="s">
        <v>102</v>
      </c>
      <c r="K2364" s="266">
        <v>49081021962</v>
      </c>
      <c r="L2364" s="265" t="s">
        <v>649</v>
      </c>
      <c r="M2364" s="266">
        <v>40049081021960</v>
      </c>
      <c r="N2364" s="264">
        <v>1.7010000000000001</v>
      </c>
      <c r="O2364" s="265" t="s">
        <v>649</v>
      </c>
      <c r="P2364" s="265">
        <v>35.6</v>
      </c>
      <c r="Q2364" s="265">
        <v>2.65</v>
      </c>
    </row>
    <row r="2365" spans="1:17" ht="15" customHeight="1">
      <c r="A2365" s="147">
        <v>2480</v>
      </c>
      <c r="B2365" s="51" t="s">
        <v>44</v>
      </c>
      <c r="C2365" s="51" t="s">
        <v>2835</v>
      </c>
      <c r="D2365" s="51">
        <v>100024585</v>
      </c>
      <c r="E2365" s="53" t="s">
        <v>2836</v>
      </c>
      <c r="F2365" s="124">
        <v>10</v>
      </c>
      <c r="G2365" s="124">
        <v>750</v>
      </c>
      <c r="H2365" s="369">
        <v>154.49</v>
      </c>
      <c r="I2365" s="215" t="s">
        <v>346</v>
      </c>
      <c r="J2365" s="215" t="s">
        <v>102</v>
      </c>
      <c r="K2365" s="266">
        <v>49081030957</v>
      </c>
      <c r="L2365" s="265" t="s">
        <v>649</v>
      </c>
      <c r="M2365" s="266">
        <v>40049081030955</v>
      </c>
      <c r="N2365" s="264">
        <v>1.79</v>
      </c>
      <c r="O2365" s="265" t="s">
        <v>649</v>
      </c>
      <c r="P2365" s="265">
        <v>17.899999999999999</v>
      </c>
      <c r="Q2365" s="265">
        <v>1.1000000000000001</v>
      </c>
    </row>
    <row r="2366" spans="1:17" ht="15" customHeight="1">
      <c r="A2366" s="147">
        <v>2481</v>
      </c>
      <c r="B2366" s="51" t="s">
        <v>44</v>
      </c>
      <c r="C2366" s="51" t="s">
        <v>2837</v>
      </c>
      <c r="D2366" s="51">
        <v>100024587</v>
      </c>
      <c r="E2366" s="53" t="s">
        <v>2838</v>
      </c>
      <c r="F2366" s="124">
        <v>10</v>
      </c>
      <c r="G2366" s="124">
        <v>180</v>
      </c>
      <c r="H2366" s="369">
        <v>165.57</v>
      </c>
      <c r="I2366" s="215" t="s">
        <v>346</v>
      </c>
      <c r="J2366" s="215" t="s">
        <v>102</v>
      </c>
      <c r="K2366" s="266">
        <v>49081029289</v>
      </c>
      <c r="L2366" s="265" t="s">
        <v>649</v>
      </c>
      <c r="M2366" s="266">
        <v>40049081029287</v>
      </c>
      <c r="N2366" s="264">
        <v>1.907</v>
      </c>
      <c r="O2366" s="265" t="s">
        <v>649</v>
      </c>
      <c r="P2366" s="265">
        <v>20</v>
      </c>
      <c r="Q2366" s="265">
        <v>2.65</v>
      </c>
    </row>
    <row r="2367" spans="1:17" ht="15" customHeight="1">
      <c r="A2367" s="147">
        <v>2482</v>
      </c>
      <c r="B2367" s="51" t="s">
        <v>44</v>
      </c>
      <c r="C2367" s="51" t="s">
        <v>2839</v>
      </c>
      <c r="D2367" s="51">
        <v>100024588</v>
      </c>
      <c r="E2367" s="53" t="s">
        <v>2840</v>
      </c>
      <c r="F2367" s="124">
        <v>10</v>
      </c>
      <c r="G2367" s="265" t="s">
        <v>649</v>
      </c>
      <c r="H2367" s="369">
        <v>176.71</v>
      </c>
      <c r="I2367" s="215" t="s">
        <v>346</v>
      </c>
      <c r="J2367" s="215" t="s">
        <v>102</v>
      </c>
      <c r="K2367" s="266">
        <v>49081029296</v>
      </c>
      <c r="L2367" s="265" t="s">
        <v>649</v>
      </c>
      <c r="M2367" s="266">
        <v>40049081029294</v>
      </c>
      <c r="N2367" s="264">
        <v>2.222</v>
      </c>
      <c r="O2367" s="265" t="s">
        <v>649</v>
      </c>
      <c r="P2367" s="265">
        <v>19.100000000000001</v>
      </c>
      <c r="Q2367" s="265" t="s">
        <v>649</v>
      </c>
    </row>
    <row r="2368" spans="1:17" ht="15" customHeight="1">
      <c r="A2368" s="147">
        <v>2483</v>
      </c>
      <c r="B2368" s="51" t="s">
        <v>44</v>
      </c>
      <c r="C2368" s="51" t="s">
        <v>2841</v>
      </c>
      <c r="D2368" s="51">
        <v>100024591</v>
      </c>
      <c r="E2368" s="53" t="s">
        <v>2842</v>
      </c>
      <c r="F2368" s="124">
        <v>10</v>
      </c>
      <c r="G2368" s="124">
        <v>600</v>
      </c>
      <c r="H2368" s="369">
        <v>165.57</v>
      </c>
      <c r="I2368" s="215" t="s">
        <v>346</v>
      </c>
      <c r="J2368" s="215" t="s">
        <v>102</v>
      </c>
      <c r="K2368" s="266">
        <v>49081020095</v>
      </c>
      <c r="L2368" s="265" t="s">
        <v>649</v>
      </c>
      <c r="M2368" s="266">
        <v>40049081020093</v>
      </c>
      <c r="N2368" s="264">
        <v>1.9830000000000001</v>
      </c>
      <c r="O2368" s="265" t="s">
        <v>649</v>
      </c>
      <c r="P2368" s="265">
        <v>20.43</v>
      </c>
      <c r="Q2368" s="265">
        <v>1.41</v>
      </c>
    </row>
    <row r="2369" spans="1:17" ht="15" customHeight="1">
      <c r="A2369" s="147">
        <v>2484</v>
      </c>
      <c r="B2369" s="51" t="s">
        <v>44</v>
      </c>
      <c r="C2369" s="51" t="s">
        <v>2843</v>
      </c>
      <c r="D2369" s="51">
        <v>100024598</v>
      </c>
      <c r="E2369" s="53" t="s">
        <v>2844</v>
      </c>
      <c r="F2369" s="124">
        <v>10</v>
      </c>
      <c r="G2369" s="124">
        <v>180</v>
      </c>
      <c r="H2369" s="369">
        <v>165.57</v>
      </c>
      <c r="I2369" s="215" t="s">
        <v>346</v>
      </c>
      <c r="J2369" s="215" t="s">
        <v>102</v>
      </c>
      <c r="K2369" s="266">
        <v>49081029371</v>
      </c>
      <c r="L2369" s="265" t="s">
        <v>649</v>
      </c>
      <c r="M2369" s="266">
        <v>40049081029379</v>
      </c>
      <c r="N2369" s="264">
        <v>1.9279999999999999</v>
      </c>
      <c r="O2369" s="265" t="s">
        <v>649</v>
      </c>
      <c r="P2369" s="265">
        <v>20.260000000000002</v>
      </c>
      <c r="Q2369" s="265">
        <v>2.65</v>
      </c>
    </row>
    <row r="2370" spans="1:17" ht="15" customHeight="1">
      <c r="A2370" s="147">
        <v>2485</v>
      </c>
      <c r="B2370" s="51" t="s">
        <v>44</v>
      </c>
      <c r="C2370" s="51" t="s">
        <v>2845</v>
      </c>
      <c r="D2370" s="51">
        <v>100025063</v>
      </c>
      <c r="E2370" s="53" t="s">
        <v>2846</v>
      </c>
      <c r="F2370" s="124">
        <v>10</v>
      </c>
      <c r="G2370" s="124">
        <v>600</v>
      </c>
      <c r="H2370" s="369">
        <v>165.57</v>
      </c>
      <c r="I2370" s="215" t="s">
        <v>346</v>
      </c>
      <c r="J2370" s="215" t="s">
        <v>102</v>
      </c>
      <c r="K2370" s="266">
        <v>49081029425</v>
      </c>
      <c r="L2370" s="265" t="s">
        <v>649</v>
      </c>
      <c r="M2370" s="266">
        <v>40049081029423</v>
      </c>
      <c r="N2370" s="264">
        <v>2.0190000000000001</v>
      </c>
      <c r="O2370" s="265" t="s">
        <v>649</v>
      </c>
      <c r="P2370" s="265">
        <v>20.53</v>
      </c>
      <c r="Q2370" s="265">
        <v>1.41</v>
      </c>
    </row>
    <row r="2371" spans="1:17" ht="15" customHeight="1">
      <c r="A2371" s="147">
        <v>2486</v>
      </c>
      <c r="B2371" s="51" t="s">
        <v>44</v>
      </c>
      <c r="C2371" s="51" t="s">
        <v>2847</v>
      </c>
      <c r="D2371" s="51">
        <v>100024606</v>
      </c>
      <c r="E2371" s="53" t="s">
        <v>2848</v>
      </c>
      <c r="F2371" s="124">
        <v>10</v>
      </c>
      <c r="G2371" s="124">
        <v>600</v>
      </c>
      <c r="H2371" s="369">
        <v>165.57</v>
      </c>
      <c r="I2371" s="215" t="s">
        <v>346</v>
      </c>
      <c r="J2371" s="215" t="s">
        <v>102</v>
      </c>
      <c r="K2371" s="266">
        <v>49081022044</v>
      </c>
      <c r="L2371" s="265" t="s">
        <v>649</v>
      </c>
      <c r="M2371" s="266">
        <v>40049081022042</v>
      </c>
      <c r="N2371" s="264">
        <v>1.958</v>
      </c>
      <c r="O2371" s="265" t="s">
        <v>649</v>
      </c>
      <c r="P2371" s="265">
        <v>20.58</v>
      </c>
      <c r="Q2371" s="265">
        <v>1.41</v>
      </c>
    </row>
    <row r="2372" spans="1:17" ht="15" customHeight="1">
      <c r="A2372" s="147">
        <v>2487</v>
      </c>
      <c r="B2372" s="51" t="s">
        <v>44</v>
      </c>
      <c r="C2372" s="51" t="s">
        <v>2850</v>
      </c>
      <c r="D2372" s="51">
        <v>100023783</v>
      </c>
      <c r="E2372" s="53" t="s">
        <v>2851</v>
      </c>
      <c r="F2372" s="124">
        <v>10</v>
      </c>
      <c r="G2372" s="124">
        <v>1200</v>
      </c>
      <c r="H2372" s="369">
        <v>85.85</v>
      </c>
      <c r="I2372" s="215" t="s">
        <v>346</v>
      </c>
      <c r="J2372" s="215" t="s">
        <v>102</v>
      </c>
      <c r="K2372" s="266">
        <v>49081030155</v>
      </c>
      <c r="L2372" s="265" t="s">
        <v>649</v>
      </c>
      <c r="M2372" s="266">
        <v>40049081030153</v>
      </c>
      <c r="N2372" s="264">
        <v>0.82199999999999995</v>
      </c>
      <c r="O2372" s="265" t="s">
        <v>649</v>
      </c>
      <c r="P2372" s="265">
        <v>8.6</v>
      </c>
      <c r="Q2372" s="265">
        <v>0.65</v>
      </c>
    </row>
    <row r="2373" spans="1:17" ht="15" customHeight="1">
      <c r="A2373" s="147">
        <v>2488</v>
      </c>
      <c r="B2373" s="51" t="s">
        <v>44</v>
      </c>
      <c r="C2373" s="51" t="s">
        <v>2852</v>
      </c>
      <c r="D2373" s="51">
        <v>100024877</v>
      </c>
      <c r="E2373" s="53" t="s">
        <v>2853</v>
      </c>
      <c r="F2373" s="124">
        <v>10</v>
      </c>
      <c r="G2373" s="124">
        <v>900</v>
      </c>
      <c r="H2373" s="369">
        <v>93.54</v>
      </c>
      <c r="I2373" s="215" t="s">
        <v>76</v>
      </c>
      <c r="J2373" s="215" t="s">
        <v>102</v>
      </c>
      <c r="K2373" s="266">
        <v>49081020491</v>
      </c>
      <c r="L2373" s="265" t="s">
        <v>649</v>
      </c>
      <c r="M2373" s="266">
        <v>40049081020499</v>
      </c>
      <c r="N2373" s="264">
        <v>0.99199999999999999</v>
      </c>
      <c r="O2373" s="265" t="s">
        <v>649</v>
      </c>
      <c r="P2373" s="265">
        <v>10.23</v>
      </c>
      <c r="Q2373" s="265">
        <v>0.8</v>
      </c>
    </row>
    <row r="2374" spans="1:17" ht="15" customHeight="1">
      <c r="A2374" s="147">
        <v>2489</v>
      </c>
      <c r="B2374" s="51" t="s">
        <v>44</v>
      </c>
      <c r="C2374" s="51" t="s">
        <v>2854</v>
      </c>
      <c r="D2374" s="51">
        <v>100024878</v>
      </c>
      <c r="E2374" s="53" t="s">
        <v>2855</v>
      </c>
      <c r="F2374" s="124">
        <v>10</v>
      </c>
      <c r="G2374" s="124">
        <v>600</v>
      </c>
      <c r="H2374" s="369">
        <v>104.64</v>
      </c>
      <c r="I2374" s="215" t="s">
        <v>346</v>
      </c>
      <c r="J2374" s="215" t="s">
        <v>102</v>
      </c>
      <c r="K2374" s="266">
        <v>49081023270</v>
      </c>
      <c r="L2374" s="265" t="s">
        <v>649</v>
      </c>
      <c r="M2374" s="266">
        <v>40049081023278</v>
      </c>
      <c r="N2374" s="264">
        <v>1.171</v>
      </c>
      <c r="O2374" s="265" t="s">
        <v>649</v>
      </c>
      <c r="P2374" s="265">
        <v>12.13</v>
      </c>
      <c r="Q2374" s="265">
        <v>1.41</v>
      </c>
    </row>
    <row r="2375" spans="1:17" ht="15" customHeight="1">
      <c r="A2375" s="147">
        <v>2490</v>
      </c>
      <c r="B2375" s="51" t="s">
        <v>44</v>
      </c>
      <c r="C2375" s="51" t="s">
        <v>2856</v>
      </c>
      <c r="D2375" s="51">
        <v>100023822</v>
      </c>
      <c r="E2375" s="53" t="s">
        <v>2857</v>
      </c>
      <c r="F2375" s="124">
        <v>10</v>
      </c>
      <c r="G2375" s="124">
        <v>900</v>
      </c>
      <c r="H2375" s="369">
        <v>93.54</v>
      </c>
      <c r="I2375" s="215" t="s">
        <v>346</v>
      </c>
      <c r="J2375" s="215" t="s">
        <v>102</v>
      </c>
      <c r="K2375" s="266">
        <v>49081023416</v>
      </c>
      <c r="L2375" s="265" t="s">
        <v>649</v>
      </c>
      <c r="M2375" s="266">
        <v>40049081023414</v>
      </c>
      <c r="N2375" s="264">
        <v>1.0349999999999999</v>
      </c>
      <c r="O2375" s="265" t="s">
        <v>649</v>
      </c>
      <c r="P2375" s="265">
        <v>9.3000000000000007</v>
      </c>
      <c r="Q2375" s="265">
        <v>0.8</v>
      </c>
    </row>
    <row r="2376" spans="1:17" ht="15" customHeight="1">
      <c r="A2376" s="147">
        <v>2491</v>
      </c>
      <c r="B2376" s="51" t="s">
        <v>44</v>
      </c>
      <c r="C2376" s="51" t="s">
        <v>2858</v>
      </c>
      <c r="D2376" s="51">
        <v>100024897</v>
      </c>
      <c r="E2376" s="53" t="s">
        <v>2859</v>
      </c>
      <c r="F2376" s="124">
        <v>10</v>
      </c>
      <c r="G2376" s="124">
        <v>900</v>
      </c>
      <c r="H2376" s="369">
        <v>93.54</v>
      </c>
      <c r="I2376" s="215" t="s">
        <v>346</v>
      </c>
      <c r="J2376" s="215" t="s">
        <v>102</v>
      </c>
      <c r="K2376" s="266">
        <v>49081022594</v>
      </c>
      <c r="L2376" s="265" t="s">
        <v>649</v>
      </c>
      <c r="M2376" s="266">
        <v>40049081022592</v>
      </c>
      <c r="N2376" s="264">
        <v>0.97299999999999998</v>
      </c>
      <c r="O2376" s="265" t="s">
        <v>649</v>
      </c>
      <c r="P2376" s="265">
        <v>10</v>
      </c>
      <c r="Q2376" s="265">
        <v>0.8</v>
      </c>
    </row>
    <row r="2377" spans="1:17" ht="15" customHeight="1">
      <c r="A2377" s="147">
        <v>2492</v>
      </c>
      <c r="B2377" s="51" t="s">
        <v>44</v>
      </c>
      <c r="C2377" s="51" t="s">
        <v>2860</v>
      </c>
      <c r="D2377" s="51">
        <v>100023858</v>
      </c>
      <c r="E2377" s="53" t="s">
        <v>2454</v>
      </c>
      <c r="F2377" s="124">
        <v>10</v>
      </c>
      <c r="G2377" s="124">
        <v>600</v>
      </c>
      <c r="H2377" s="369">
        <v>104.64</v>
      </c>
      <c r="I2377" s="215" t="s">
        <v>346</v>
      </c>
      <c r="J2377" s="215" t="s">
        <v>102</v>
      </c>
      <c r="K2377" s="266">
        <v>49081020682</v>
      </c>
      <c r="L2377" s="265" t="s">
        <v>649</v>
      </c>
      <c r="M2377" s="266">
        <v>40049081020680</v>
      </c>
      <c r="N2377" s="264">
        <v>1.1519999999999999</v>
      </c>
      <c r="O2377" s="265" t="s">
        <v>649</v>
      </c>
      <c r="P2377" s="265">
        <v>12.13</v>
      </c>
      <c r="Q2377" s="265">
        <v>1.41</v>
      </c>
    </row>
    <row r="2378" spans="1:17" ht="15" customHeight="1">
      <c r="A2378" s="147">
        <v>2493</v>
      </c>
      <c r="B2378" s="51" t="s">
        <v>44</v>
      </c>
      <c r="C2378" s="51" t="s">
        <v>2861</v>
      </c>
      <c r="D2378" s="51">
        <v>100024904</v>
      </c>
      <c r="E2378" s="53" t="s">
        <v>2862</v>
      </c>
      <c r="F2378" s="124">
        <v>10</v>
      </c>
      <c r="G2378" s="124">
        <v>750</v>
      </c>
      <c r="H2378" s="369">
        <v>191.49</v>
      </c>
      <c r="I2378" s="215" t="s">
        <v>346</v>
      </c>
      <c r="J2378" s="215" t="s">
        <v>102</v>
      </c>
      <c r="K2378" s="266">
        <v>49081022785</v>
      </c>
      <c r="L2378" s="265" t="s">
        <v>649</v>
      </c>
      <c r="M2378" s="266">
        <v>40049081022783</v>
      </c>
      <c r="N2378" s="264">
        <v>1.643</v>
      </c>
      <c r="O2378" s="265" t="s">
        <v>649</v>
      </c>
      <c r="P2378" s="265">
        <v>17.309999999999999</v>
      </c>
      <c r="Q2378" s="265">
        <v>1.1000000000000001</v>
      </c>
    </row>
    <row r="2379" spans="1:17" ht="15" customHeight="1">
      <c r="A2379" s="147">
        <v>2494</v>
      </c>
      <c r="B2379" s="51" t="s">
        <v>44</v>
      </c>
      <c r="C2379" s="51" t="s">
        <v>2863</v>
      </c>
      <c r="D2379" s="51">
        <v>100024905</v>
      </c>
      <c r="E2379" s="53" t="s">
        <v>2864</v>
      </c>
      <c r="F2379" s="124">
        <v>10</v>
      </c>
      <c r="G2379" s="124">
        <v>240</v>
      </c>
      <c r="H2379" s="369">
        <v>198.47</v>
      </c>
      <c r="I2379" s="215" t="s">
        <v>346</v>
      </c>
      <c r="J2379" s="215" t="s">
        <v>102</v>
      </c>
      <c r="K2379" s="266">
        <v>49081022808</v>
      </c>
      <c r="L2379" s="265" t="s">
        <v>649</v>
      </c>
      <c r="M2379" s="266">
        <v>40049081022806</v>
      </c>
      <c r="N2379" s="264">
        <v>1.8220000000000001</v>
      </c>
      <c r="O2379" s="265" t="s">
        <v>649</v>
      </c>
      <c r="P2379" s="265">
        <v>20.350000000000001</v>
      </c>
      <c r="Q2379" s="265">
        <v>2.77</v>
      </c>
    </row>
    <row r="2380" spans="1:17" ht="15" customHeight="1">
      <c r="A2380" s="147">
        <v>2495</v>
      </c>
      <c r="B2380" s="51" t="s">
        <v>44</v>
      </c>
      <c r="C2380" s="51" t="s">
        <v>2865</v>
      </c>
      <c r="D2380" s="51">
        <v>100023960</v>
      </c>
      <c r="E2380" s="53" t="s">
        <v>2632</v>
      </c>
      <c r="F2380" s="124">
        <v>10</v>
      </c>
      <c r="G2380" s="124">
        <v>900</v>
      </c>
      <c r="H2380" s="369">
        <v>93.54</v>
      </c>
      <c r="I2380" s="215" t="s">
        <v>346</v>
      </c>
      <c r="J2380" s="215" t="s">
        <v>102</v>
      </c>
      <c r="K2380" s="266">
        <v>49081020873</v>
      </c>
      <c r="L2380" s="265" t="s">
        <v>649</v>
      </c>
      <c r="M2380" s="266">
        <v>40049081020871</v>
      </c>
      <c r="N2380" s="264">
        <v>1.0349999999999999</v>
      </c>
      <c r="O2380" s="265" t="s">
        <v>649</v>
      </c>
      <c r="P2380" s="265">
        <v>10.199999999999999</v>
      </c>
      <c r="Q2380" s="265">
        <v>0.8</v>
      </c>
    </row>
    <row r="2381" spans="1:17" ht="15" customHeight="1">
      <c r="A2381" s="147">
        <v>2496</v>
      </c>
      <c r="B2381" s="51" t="s">
        <v>44</v>
      </c>
      <c r="C2381" s="51" t="s">
        <v>2866</v>
      </c>
      <c r="D2381" s="51">
        <v>100024918</v>
      </c>
      <c r="E2381" s="53" t="s">
        <v>2867</v>
      </c>
      <c r="F2381" s="124">
        <v>10</v>
      </c>
      <c r="G2381" s="124">
        <v>900</v>
      </c>
      <c r="H2381" s="369">
        <v>93.54</v>
      </c>
      <c r="I2381" s="215" t="s">
        <v>76</v>
      </c>
      <c r="J2381" s="215" t="s">
        <v>102</v>
      </c>
      <c r="K2381" s="266">
        <v>49081022303</v>
      </c>
      <c r="L2381" s="265" t="s">
        <v>649</v>
      </c>
      <c r="M2381" s="266">
        <v>40049081022301</v>
      </c>
      <c r="N2381" s="264">
        <v>1.0349999999999999</v>
      </c>
      <c r="O2381" s="265" t="s">
        <v>649</v>
      </c>
      <c r="P2381" s="265">
        <v>10.97</v>
      </c>
      <c r="Q2381" s="265">
        <v>0.8</v>
      </c>
    </row>
    <row r="2382" spans="1:17" ht="15" customHeight="1">
      <c r="A2382" s="147">
        <v>2497</v>
      </c>
      <c r="B2382" s="51" t="s">
        <v>44</v>
      </c>
      <c r="C2382" s="51" t="s">
        <v>2868</v>
      </c>
      <c r="D2382" s="51">
        <v>100024919</v>
      </c>
      <c r="E2382" s="53" t="s">
        <v>2634</v>
      </c>
      <c r="F2382" s="124">
        <v>10</v>
      </c>
      <c r="G2382" s="124">
        <v>600</v>
      </c>
      <c r="H2382" s="369">
        <v>104.64</v>
      </c>
      <c r="I2382" s="215" t="s">
        <v>346</v>
      </c>
      <c r="J2382" s="215" t="s">
        <v>102</v>
      </c>
      <c r="K2382" s="266">
        <v>49081022433</v>
      </c>
      <c r="L2382" s="265" t="s">
        <v>649</v>
      </c>
      <c r="M2382" s="266">
        <v>40049081022431</v>
      </c>
      <c r="N2382" s="264">
        <v>1.214</v>
      </c>
      <c r="O2382" s="265" t="s">
        <v>649</v>
      </c>
      <c r="P2382" s="265">
        <v>13</v>
      </c>
      <c r="Q2382" s="265">
        <v>1.41</v>
      </c>
    </row>
    <row r="2383" spans="1:17" ht="15" customHeight="1">
      <c r="A2383" s="147">
        <v>2498</v>
      </c>
      <c r="B2383" s="51" t="s">
        <v>44</v>
      </c>
      <c r="C2383" s="51" t="s">
        <v>2869</v>
      </c>
      <c r="D2383" s="51">
        <v>100024005</v>
      </c>
      <c r="E2383" s="53" t="s">
        <v>2870</v>
      </c>
      <c r="F2383" s="124">
        <v>10</v>
      </c>
      <c r="G2383" s="124">
        <v>1200</v>
      </c>
      <c r="H2383" s="369">
        <v>85.85</v>
      </c>
      <c r="I2383" s="215" t="s">
        <v>346</v>
      </c>
      <c r="J2383" s="215" t="s">
        <v>102</v>
      </c>
      <c r="K2383" s="266">
        <v>49081031336</v>
      </c>
      <c r="L2383" s="265" t="s">
        <v>649</v>
      </c>
      <c r="M2383" s="266">
        <v>40049081031334</v>
      </c>
      <c r="N2383" s="264">
        <v>0.88200000000000001</v>
      </c>
      <c r="O2383" s="265" t="s">
        <v>649</v>
      </c>
      <c r="P2383" s="265">
        <v>8.6999999999999993</v>
      </c>
      <c r="Q2383" s="265">
        <v>0.65</v>
      </c>
    </row>
    <row r="2384" spans="1:17" ht="15" customHeight="1">
      <c r="A2384" s="147">
        <v>2499</v>
      </c>
      <c r="B2384" s="51" t="s">
        <v>44</v>
      </c>
      <c r="C2384" s="51" t="s">
        <v>2871</v>
      </c>
      <c r="D2384" s="51">
        <v>100024920</v>
      </c>
      <c r="E2384" s="53" t="s">
        <v>2872</v>
      </c>
      <c r="F2384" s="124">
        <v>10</v>
      </c>
      <c r="G2384" s="124">
        <v>900</v>
      </c>
      <c r="H2384" s="369">
        <v>93.54</v>
      </c>
      <c r="I2384" s="215" t="s">
        <v>346</v>
      </c>
      <c r="J2384" s="215" t="s">
        <v>102</v>
      </c>
      <c r="K2384" s="266">
        <v>49081022310</v>
      </c>
      <c r="L2384" s="265" t="s">
        <v>649</v>
      </c>
      <c r="M2384" s="266">
        <v>40049081022318</v>
      </c>
      <c r="N2384" s="264">
        <v>1.0149999999999999</v>
      </c>
      <c r="O2384" s="265" t="s">
        <v>649</v>
      </c>
      <c r="P2384" s="265">
        <v>10.199999999999999</v>
      </c>
      <c r="Q2384" s="265">
        <v>0.8</v>
      </c>
    </row>
    <row r="2385" spans="1:17" ht="15" customHeight="1">
      <c r="A2385" s="147">
        <v>2500</v>
      </c>
      <c r="B2385" s="51" t="s">
        <v>44</v>
      </c>
      <c r="C2385" s="51" t="s">
        <v>2873</v>
      </c>
      <c r="D2385" s="51">
        <v>100024009</v>
      </c>
      <c r="E2385" s="53" t="s">
        <v>2874</v>
      </c>
      <c r="F2385" s="124">
        <v>10</v>
      </c>
      <c r="G2385" s="124">
        <v>600</v>
      </c>
      <c r="H2385" s="369">
        <v>104.64</v>
      </c>
      <c r="I2385" s="215" t="s">
        <v>76</v>
      </c>
      <c r="J2385" s="215" t="s">
        <v>102</v>
      </c>
      <c r="K2385" s="266">
        <v>49081022426</v>
      </c>
      <c r="L2385" s="265" t="s">
        <v>649</v>
      </c>
      <c r="M2385" s="266">
        <v>40049081022424</v>
      </c>
      <c r="N2385" s="264">
        <v>1.194</v>
      </c>
      <c r="O2385" s="265" t="s">
        <v>649</v>
      </c>
      <c r="P2385" s="265">
        <v>12.33</v>
      </c>
      <c r="Q2385" s="265">
        <v>1.41</v>
      </c>
    </row>
    <row r="2386" spans="1:17" ht="15" customHeight="1">
      <c r="A2386" s="147">
        <v>2501</v>
      </c>
      <c r="B2386" s="51" t="s">
        <v>44</v>
      </c>
      <c r="C2386" s="51" t="s">
        <v>2875</v>
      </c>
      <c r="D2386" s="51">
        <v>100024921</v>
      </c>
      <c r="E2386" s="53" t="s">
        <v>2876</v>
      </c>
      <c r="F2386" s="124">
        <v>10</v>
      </c>
      <c r="G2386" s="124">
        <v>750</v>
      </c>
      <c r="H2386" s="369">
        <v>191.49</v>
      </c>
      <c r="I2386" s="215" t="s">
        <v>346</v>
      </c>
      <c r="J2386" s="215" t="s">
        <v>102</v>
      </c>
      <c r="K2386" s="266">
        <v>49081022631</v>
      </c>
      <c r="L2386" s="265" t="s">
        <v>649</v>
      </c>
      <c r="M2386" s="266">
        <v>40049081022639</v>
      </c>
      <c r="N2386" s="264">
        <v>1.6850000000000001</v>
      </c>
      <c r="O2386" s="265" t="s">
        <v>649</v>
      </c>
      <c r="P2386" s="265">
        <v>17.510000000000002</v>
      </c>
      <c r="Q2386" s="265">
        <v>1.1000000000000001</v>
      </c>
    </row>
    <row r="2387" spans="1:17" ht="15" customHeight="1">
      <c r="A2387" s="147">
        <v>2502</v>
      </c>
      <c r="B2387" s="51" t="s">
        <v>44</v>
      </c>
      <c r="C2387" s="51" t="s">
        <v>2877</v>
      </c>
      <c r="D2387" s="51">
        <v>100024922</v>
      </c>
      <c r="E2387" s="53" t="s">
        <v>2878</v>
      </c>
      <c r="F2387" s="124">
        <v>10</v>
      </c>
      <c r="G2387" s="124">
        <v>240</v>
      </c>
      <c r="H2387" s="369">
        <v>198.47</v>
      </c>
      <c r="I2387" s="215" t="s">
        <v>346</v>
      </c>
      <c r="J2387" s="215" t="s">
        <v>102</v>
      </c>
      <c r="K2387" s="266">
        <v>49081022655</v>
      </c>
      <c r="L2387" s="265" t="s">
        <v>649</v>
      </c>
      <c r="M2387" s="266">
        <v>40049081022653</v>
      </c>
      <c r="N2387" s="264">
        <v>1.8640000000000001</v>
      </c>
      <c r="O2387" s="265" t="s">
        <v>649</v>
      </c>
      <c r="P2387" s="265">
        <v>20.55</v>
      </c>
      <c r="Q2387" s="265">
        <v>2.77</v>
      </c>
    </row>
    <row r="2388" spans="1:17" ht="15" customHeight="1">
      <c r="A2388" s="147">
        <v>2503</v>
      </c>
      <c r="B2388" s="51" t="s">
        <v>44</v>
      </c>
      <c r="C2388" s="51" t="s">
        <v>2879</v>
      </c>
      <c r="D2388" s="51">
        <v>100024257</v>
      </c>
      <c r="E2388" s="53" t="s">
        <v>2880</v>
      </c>
      <c r="F2388" s="124">
        <v>10</v>
      </c>
      <c r="G2388" s="124">
        <v>750</v>
      </c>
      <c r="H2388" s="369">
        <v>129.27000000000001</v>
      </c>
      <c r="I2388" s="215" t="s">
        <v>346</v>
      </c>
      <c r="J2388" s="215" t="s">
        <v>102</v>
      </c>
      <c r="K2388" s="266">
        <v>49081020255</v>
      </c>
      <c r="L2388" s="265" t="s">
        <v>649</v>
      </c>
      <c r="M2388" s="266">
        <v>40049081020253</v>
      </c>
      <c r="N2388" s="264">
        <v>1.423</v>
      </c>
      <c r="O2388" s="265" t="s">
        <v>649</v>
      </c>
      <c r="P2388" s="265">
        <v>13.1</v>
      </c>
      <c r="Q2388" s="265">
        <v>1.1000000000000001</v>
      </c>
    </row>
    <row r="2389" spans="1:17" ht="15" customHeight="1">
      <c r="A2389" s="147">
        <v>2504</v>
      </c>
      <c r="B2389" s="51" t="s">
        <v>44</v>
      </c>
      <c r="C2389" s="51" t="s">
        <v>2881</v>
      </c>
      <c r="D2389" s="51">
        <v>100024262</v>
      </c>
      <c r="E2389" s="53" t="s">
        <v>2882</v>
      </c>
      <c r="F2389" s="124">
        <v>10</v>
      </c>
      <c r="G2389" s="124">
        <v>750</v>
      </c>
      <c r="H2389" s="369">
        <v>129.27000000000001</v>
      </c>
      <c r="I2389" s="215" t="s">
        <v>346</v>
      </c>
      <c r="J2389" s="215" t="s">
        <v>102</v>
      </c>
      <c r="K2389" s="266">
        <v>49081020248</v>
      </c>
      <c r="L2389" s="265" t="s">
        <v>649</v>
      </c>
      <c r="M2389" s="266">
        <v>40049081020246</v>
      </c>
      <c r="N2389" s="264">
        <v>1.391</v>
      </c>
      <c r="O2389" s="265" t="s">
        <v>649</v>
      </c>
      <c r="P2389" s="265">
        <v>13.904999999999999</v>
      </c>
      <c r="Q2389" s="265">
        <v>1.1000000000000001</v>
      </c>
    </row>
    <row r="2390" spans="1:17" ht="15" customHeight="1">
      <c r="A2390" s="147">
        <v>2505</v>
      </c>
      <c r="B2390" s="51" t="s">
        <v>44</v>
      </c>
      <c r="C2390" s="51" t="s">
        <v>2883</v>
      </c>
      <c r="D2390" s="51">
        <v>100024267</v>
      </c>
      <c r="E2390" s="53" t="s">
        <v>2884</v>
      </c>
      <c r="F2390" s="124">
        <v>10</v>
      </c>
      <c r="G2390" s="124">
        <v>750</v>
      </c>
      <c r="H2390" s="369">
        <v>129.27000000000001</v>
      </c>
      <c r="I2390" s="215" t="s">
        <v>346</v>
      </c>
      <c r="J2390" s="215" t="s">
        <v>102</v>
      </c>
      <c r="K2390" s="266">
        <v>49081021443</v>
      </c>
      <c r="L2390" s="265" t="s">
        <v>649</v>
      </c>
      <c r="M2390" s="266">
        <v>40049081021441</v>
      </c>
      <c r="N2390" s="264">
        <v>1.3660000000000001</v>
      </c>
      <c r="O2390" s="265" t="s">
        <v>649</v>
      </c>
      <c r="P2390" s="265">
        <v>13.85</v>
      </c>
      <c r="Q2390" s="265">
        <v>1.1000000000000001</v>
      </c>
    </row>
    <row r="2391" spans="1:17" ht="15" customHeight="1">
      <c r="A2391" s="147">
        <v>2506</v>
      </c>
      <c r="B2391" s="51" t="s">
        <v>44</v>
      </c>
      <c r="C2391" s="51" t="s">
        <v>2885</v>
      </c>
      <c r="D2391" s="51">
        <v>100024273</v>
      </c>
      <c r="E2391" s="53" t="s">
        <v>2886</v>
      </c>
      <c r="F2391" s="124">
        <v>10</v>
      </c>
      <c r="G2391" s="124">
        <v>750</v>
      </c>
      <c r="H2391" s="369">
        <v>129.27000000000001</v>
      </c>
      <c r="I2391" s="215" t="s">
        <v>346</v>
      </c>
      <c r="J2391" s="215" t="s">
        <v>102</v>
      </c>
      <c r="K2391" s="266">
        <v>49081020231</v>
      </c>
      <c r="L2391" s="265" t="s">
        <v>649</v>
      </c>
      <c r="M2391" s="266">
        <v>40049081020239</v>
      </c>
      <c r="N2391" s="264">
        <v>1.399</v>
      </c>
      <c r="O2391" s="265" t="s">
        <v>649</v>
      </c>
      <c r="P2391" s="265">
        <v>13</v>
      </c>
      <c r="Q2391" s="265">
        <v>1.1000000000000001</v>
      </c>
    </row>
    <row r="2392" spans="1:17" ht="15" customHeight="1">
      <c r="A2392" s="147">
        <v>2507</v>
      </c>
      <c r="B2392" s="51" t="s">
        <v>44</v>
      </c>
      <c r="C2392" s="51" t="s">
        <v>2887</v>
      </c>
      <c r="D2392" s="51">
        <v>100024277</v>
      </c>
      <c r="E2392" s="53" t="s">
        <v>2888</v>
      </c>
      <c r="F2392" s="124">
        <v>10</v>
      </c>
      <c r="G2392" s="124">
        <v>750</v>
      </c>
      <c r="H2392" s="369">
        <v>129.27000000000001</v>
      </c>
      <c r="I2392" s="215" t="s">
        <v>346</v>
      </c>
      <c r="J2392" s="215" t="s">
        <v>102</v>
      </c>
      <c r="K2392" s="266">
        <v>49081026882</v>
      </c>
      <c r="L2392" s="265" t="s">
        <v>649</v>
      </c>
      <c r="M2392" s="266">
        <v>40049081026880</v>
      </c>
      <c r="N2392" s="264">
        <v>1.351</v>
      </c>
      <c r="O2392" s="265" t="s">
        <v>649</v>
      </c>
      <c r="P2392" s="265">
        <v>16.8</v>
      </c>
      <c r="Q2392" s="265">
        <v>1.1000000000000001</v>
      </c>
    </row>
    <row r="2393" spans="1:17" ht="15" customHeight="1">
      <c r="A2393" s="147">
        <v>2508</v>
      </c>
      <c r="B2393" s="51" t="s">
        <v>44</v>
      </c>
      <c r="C2393" s="51" t="s">
        <v>2889</v>
      </c>
      <c r="D2393" s="51">
        <v>100024975</v>
      </c>
      <c r="E2393" s="53" t="s">
        <v>2867</v>
      </c>
      <c r="F2393" s="124">
        <v>10</v>
      </c>
      <c r="G2393" s="124">
        <v>750</v>
      </c>
      <c r="H2393" s="369">
        <v>129.27000000000001</v>
      </c>
      <c r="I2393" s="215" t="s">
        <v>76</v>
      </c>
      <c r="J2393" s="215" t="s">
        <v>102</v>
      </c>
      <c r="K2393" s="266">
        <v>49081022136</v>
      </c>
      <c r="L2393" s="265" t="s">
        <v>649</v>
      </c>
      <c r="M2393" s="266">
        <v>40049081022134</v>
      </c>
      <c r="N2393" s="264">
        <v>1.423</v>
      </c>
      <c r="O2393" s="265" t="s">
        <v>649</v>
      </c>
      <c r="P2393" s="265">
        <v>14.255000000000001</v>
      </c>
      <c r="Q2393" s="265">
        <v>1.1000000000000001</v>
      </c>
    </row>
    <row r="2394" spans="1:17" ht="15" customHeight="1">
      <c r="A2394" s="147">
        <v>2509</v>
      </c>
      <c r="B2394" s="51" t="s">
        <v>44</v>
      </c>
      <c r="C2394" s="51" t="s">
        <v>2890</v>
      </c>
      <c r="D2394" s="51">
        <v>100024976</v>
      </c>
      <c r="E2394" s="53" t="s">
        <v>2634</v>
      </c>
      <c r="F2394" s="124">
        <v>10</v>
      </c>
      <c r="G2394" s="124">
        <v>240</v>
      </c>
      <c r="H2394" s="369">
        <v>140.13</v>
      </c>
      <c r="I2394" s="215" t="s">
        <v>346</v>
      </c>
      <c r="J2394" s="215" t="s">
        <v>102</v>
      </c>
      <c r="K2394" s="266">
        <v>49081022471</v>
      </c>
      <c r="L2394" s="265" t="s">
        <v>649</v>
      </c>
      <c r="M2394" s="266">
        <v>40049081022479</v>
      </c>
      <c r="N2394" s="264">
        <v>1.6970000000000001</v>
      </c>
      <c r="O2394" s="265" t="s">
        <v>649</v>
      </c>
      <c r="P2394" s="265">
        <v>17.8</v>
      </c>
      <c r="Q2394" s="265">
        <v>2.77</v>
      </c>
    </row>
    <row r="2395" spans="1:17" ht="15" customHeight="1">
      <c r="A2395" s="147">
        <v>2510</v>
      </c>
      <c r="B2395" s="51" t="s">
        <v>44</v>
      </c>
      <c r="C2395" s="51" t="s">
        <v>2891</v>
      </c>
      <c r="D2395" s="51">
        <v>100024290</v>
      </c>
      <c r="E2395" s="53" t="s">
        <v>2892</v>
      </c>
      <c r="F2395" s="124">
        <v>10</v>
      </c>
      <c r="G2395" s="124">
        <v>900</v>
      </c>
      <c r="H2395" s="369">
        <v>95.77</v>
      </c>
      <c r="I2395" s="215" t="s">
        <v>346</v>
      </c>
      <c r="J2395" s="215" t="s">
        <v>102</v>
      </c>
      <c r="K2395" s="266">
        <v>49081031183</v>
      </c>
      <c r="L2395" s="265" t="s">
        <v>649</v>
      </c>
      <c r="M2395" s="266">
        <v>40049081031181</v>
      </c>
      <c r="N2395" s="264">
        <v>1.2410000000000001</v>
      </c>
      <c r="O2395" s="265" t="s">
        <v>649</v>
      </c>
      <c r="P2395" s="265">
        <v>12.75</v>
      </c>
      <c r="Q2395" s="265">
        <v>0.8</v>
      </c>
    </row>
    <row r="2396" spans="1:17" ht="15" customHeight="1">
      <c r="A2396" s="147">
        <v>2511</v>
      </c>
      <c r="B2396" s="51" t="s">
        <v>44</v>
      </c>
      <c r="C2396" s="51" t="s">
        <v>2893</v>
      </c>
      <c r="D2396" s="51">
        <v>100024292</v>
      </c>
      <c r="E2396" s="53" t="s">
        <v>2722</v>
      </c>
      <c r="F2396" s="124">
        <v>10</v>
      </c>
      <c r="G2396" s="124">
        <v>750</v>
      </c>
      <c r="H2396" s="369">
        <v>129.27000000000001</v>
      </c>
      <c r="I2396" s="215" t="s">
        <v>346</v>
      </c>
      <c r="J2396" s="215" t="s">
        <v>102</v>
      </c>
      <c r="K2396" s="266">
        <v>49081020262</v>
      </c>
      <c r="L2396" s="265" t="s">
        <v>649</v>
      </c>
      <c r="M2396" s="266">
        <v>40049081020260</v>
      </c>
      <c r="N2396" s="264">
        <v>1.028</v>
      </c>
      <c r="O2396" s="265" t="s">
        <v>649</v>
      </c>
      <c r="P2396" s="265">
        <v>13.3</v>
      </c>
      <c r="Q2396" s="265">
        <v>1.1000000000000001</v>
      </c>
    </row>
    <row r="2397" spans="1:17" ht="15" customHeight="1">
      <c r="A2397" s="147">
        <v>2512</v>
      </c>
      <c r="B2397" s="51" t="s">
        <v>44</v>
      </c>
      <c r="C2397" s="51" t="s">
        <v>2894</v>
      </c>
      <c r="D2397" s="51">
        <v>100024980</v>
      </c>
      <c r="E2397" s="53" t="s">
        <v>2895</v>
      </c>
      <c r="F2397" s="124">
        <v>10</v>
      </c>
      <c r="G2397" s="124">
        <v>750</v>
      </c>
      <c r="H2397" s="369">
        <v>129.27000000000001</v>
      </c>
      <c r="I2397" s="215" t="s">
        <v>346</v>
      </c>
      <c r="J2397" s="215" t="s">
        <v>102</v>
      </c>
      <c r="K2397" s="266">
        <v>49081031015</v>
      </c>
      <c r="L2397" s="265" t="s">
        <v>649</v>
      </c>
      <c r="M2397" s="266">
        <v>40049081031013</v>
      </c>
      <c r="N2397" s="264">
        <v>1.39</v>
      </c>
      <c r="O2397" s="265" t="s">
        <v>649</v>
      </c>
      <c r="P2397" s="265">
        <v>14.25</v>
      </c>
      <c r="Q2397" s="265">
        <v>1.1000000000000001</v>
      </c>
    </row>
    <row r="2398" spans="1:17" ht="15" customHeight="1">
      <c r="A2398" s="147">
        <v>2513</v>
      </c>
      <c r="B2398" s="51" t="s">
        <v>44</v>
      </c>
      <c r="C2398" s="51" t="s">
        <v>2896</v>
      </c>
      <c r="D2398" s="51">
        <v>100024498</v>
      </c>
      <c r="E2398" s="53" t="s">
        <v>2897</v>
      </c>
      <c r="F2398" s="124">
        <v>1</v>
      </c>
      <c r="G2398" s="124">
        <v>180</v>
      </c>
      <c r="H2398" s="369">
        <v>290.89999999999998</v>
      </c>
      <c r="I2398" s="215" t="s">
        <v>346</v>
      </c>
      <c r="J2398" s="215" t="s">
        <v>102</v>
      </c>
      <c r="K2398" s="266">
        <v>49081022327</v>
      </c>
      <c r="L2398" s="265" t="s">
        <v>649</v>
      </c>
      <c r="M2398" s="266">
        <v>40049081022325</v>
      </c>
      <c r="N2398" s="264">
        <v>2.782</v>
      </c>
      <c r="O2398" s="265" t="s">
        <v>649</v>
      </c>
      <c r="P2398" s="265" t="s">
        <v>649</v>
      </c>
      <c r="Q2398" s="265" t="s">
        <v>649</v>
      </c>
    </row>
    <row r="2399" spans="1:17" ht="15" customHeight="1">
      <c r="A2399" s="147">
        <v>2514</v>
      </c>
      <c r="B2399" s="51" t="s">
        <v>44</v>
      </c>
      <c r="C2399" s="51" t="s">
        <v>2898</v>
      </c>
      <c r="D2399" s="51">
        <v>100024530</v>
      </c>
      <c r="E2399" s="53" t="s">
        <v>2880</v>
      </c>
      <c r="F2399" s="124">
        <v>10</v>
      </c>
      <c r="G2399" s="124">
        <v>600</v>
      </c>
      <c r="H2399" s="369">
        <v>156.46</v>
      </c>
      <c r="I2399" s="215" t="s">
        <v>346</v>
      </c>
      <c r="J2399" s="215" t="s">
        <v>102</v>
      </c>
      <c r="K2399" s="266">
        <v>49081031213</v>
      </c>
      <c r="L2399" s="265" t="s">
        <v>649</v>
      </c>
      <c r="M2399" s="266">
        <v>40049081031211</v>
      </c>
      <c r="N2399" s="264">
        <v>1.758</v>
      </c>
      <c r="O2399" s="265" t="s">
        <v>649</v>
      </c>
      <c r="P2399" s="265">
        <v>18</v>
      </c>
      <c r="Q2399" s="265">
        <v>1.41</v>
      </c>
    </row>
    <row r="2400" spans="1:17" ht="15" customHeight="1">
      <c r="A2400" s="147">
        <v>2515</v>
      </c>
      <c r="B2400" s="51" t="s">
        <v>44</v>
      </c>
      <c r="C2400" s="51" t="s">
        <v>2899</v>
      </c>
      <c r="D2400" s="51">
        <v>100025038</v>
      </c>
      <c r="E2400" s="53" t="s">
        <v>2632</v>
      </c>
      <c r="F2400" s="124">
        <v>10</v>
      </c>
      <c r="G2400" s="124">
        <v>600</v>
      </c>
      <c r="H2400" s="369">
        <v>156.46</v>
      </c>
      <c r="I2400" s="215" t="s">
        <v>346</v>
      </c>
      <c r="J2400" s="215" t="s">
        <v>102</v>
      </c>
      <c r="K2400" s="266">
        <v>49081029050</v>
      </c>
      <c r="L2400" s="265" t="s">
        <v>649</v>
      </c>
      <c r="M2400" s="266">
        <v>40049081029058</v>
      </c>
      <c r="N2400" s="264">
        <v>1.758</v>
      </c>
      <c r="O2400" s="265" t="s">
        <v>649</v>
      </c>
      <c r="P2400" s="265">
        <v>18.3</v>
      </c>
      <c r="Q2400" s="265">
        <v>1.41</v>
      </c>
    </row>
    <row r="2401" spans="1:17" ht="15" customHeight="1">
      <c r="A2401" s="147">
        <v>2516</v>
      </c>
      <c r="B2401" s="51" t="s">
        <v>44</v>
      </c>
      <c r="C2401" s="51" t="s">
        <v>2900</v>
      </c>
      <c r="D2401" s="51">
        <v>100024544</v>
      </c>
      <c r="E2401" s="53" t="s">
        <v>2901</v>
      </c>
      <c r="F2401" s="124">
        <v>10</v>
      </c>
      <c r="G2401" s="124">
        <v>180</v>
      </c>
      <c r="H2401" s="369">
        <v>156.46</v>
      </c>
      <c r="I2401" s="215" t="s">
        <v>346</v>
      </c>
      <c r="J2401" s="215" t="s">
        <v>102</v>
      </c>
      <c r="K2401" s="266">
        <v>49081021825</v>
      </c>
      <c r="L2401" s="265" t="s">
        <v>649</v>
      </c>
      <c r="M2401" s="266">
        <v>40049081021823</v>
      </c>
      <c r="N2401" s="264">
        <v>1.6910000000000001</v>
      </c>
      <c r="O2401" s="265" t="s">
        <v>649</v>
      </c>
      <c r="P2401" s="265">
        <v>17.48</v>
      </c>
      <c r="Q2401" s="265">
        <v>2.65</v>
      </c>
    </row>
    <row r="2402" spans="1:17" ht="15" customHeight="1">
      <c r="A2402" s="147">
        <v>2517</v>
      </c>
      <c r="B2402" s="51" t="s">
        <v>44</v>
      </c>
      <c r="C2402" s="51" t="s">
        <v>2902</v>
      </c>
      <c r="D2402" s="51">
        <v>100025040</v>
      </c>
      <c r="E2402" s="53" t="s">
        <v>2722</v>
      </c>
      <c r="F2402" s="124">
        <v>10</v>
      </c>
      <c r="G2402" s="124">
        <v>600</v>
      </c>
      <c r="H2402" s="369">
        <v>156.46</v>
      </c>
      <c r="I2402" s="215" t="s">
        <v>76</v>
      </c>
      <c r="J2402" s="215" t="s">
        <v>102</v>
      </c>
      <c r="K2402" s="266">
        <v>49081020118</v>
      </c>
      <c r="L2402" s="265" t="s">
        <v>649</v>
      </c>
      <c r="M2402" s="266">
        <v>40049081020116</v>
      </c>
      <c r="N2402" s="264">
        <v>1.73</v>
      </c>
      <c r="O2402" s="265" t="s">
        <v>649</v>
      </c>
      <c r="P2402" s="265">
        <v>20.5</v>
      </c>
      <c r="Q2402" s="265">
        <v>1.41</v>
      </c>
    </row>
    <row r="2403" spans="1:17" ht="15" customHeight="1">
      <c r="A2403" s="147">
        <v>2518</v>
      </c>
      <c r="B2403" s="51" t="s">
        <v>44</v>
      </c>
      <c r="C2403" s="51" t="s">
        <v>2903</v>
      </c>
      <c r="D2403" s="51">
        <v>100025041</v>
      </c>
      <c r="E2403" s="53" t="s">
        <v>2724</v>
      </c>
      <c r="F2403" s="124">
        <v>10</v>
      </c>
      <c r="G2403" s="124">
        <v>240</v>
      </c>
      <c r="H2403" s="369">
        <v>167.52</v>
      </c>
      <c r="I2403" s="215" t="s">
        <v>346</v>
      </c>
      <c r="J2403" s="215" t="s">
        <v>102</v>
      </c>
      <c r="K2403" s="266">
        <v>49081022693</v>
      </c>
      <c r="L2403" s="265" t="s">
        <v>649</v>
      </c>
      <c r="M2403" s="266">
        <v>40049081022691</v>
      </c>
      <c r="N2403" s="264">
        <v>2.044</v>
      </c>
      <c r="O2403" s="265" t="s">
        <v>649</v>
      </c>
      <c r="P2403" s="265">
        <v>22.15</v>
      </c>
      <c r="Q2403" s="265">
        <v>2.77</v>
      </c>
    </row>
    <row r="2404" spans="1:17" ht="15" customHeight="1">
      <c r="A2404" s="147">
        <v>2519</v>
      </c>
      <c r="B2404" s="51" t="s">
        <v>44</v>
      </c>
      <c r="C2404" s="51" t="s">
        <v>2904</v>
      </c>
      <c r="D2404" s="51">
        <v>100024550</v>
      </c>
      <c r="E2404" s="53" t="s">
        <v>2726</v>
      </c>
      <c r="F2404" s="124">
        <v>10</v>
      </c>
      <c r="G2404" s="124">
        <v>750</v>
      </c>
      <c r="H2404" s="369">
        <v>145.36000000000001</v>
      </c>
      <c r="I2404" s="215" t="s">
        <v>346</v>
      </c>
      <c r="J2404" s="215" t="s">
        <v>102</v>
      </c>
      <c r="K2404" s="266">
        <v>49081029098</v>
      </c>
      <c r="L2404" s="265" t="s">
        <v>649</v>
      </c>
      <c r="M2404" s="266">
        <v>40049081029096</v>
      </c>
      <c r="N2404" s="264">
        <v>1.518</v>
      </c>
      <c r="O2404" s="265" t="s">
        <v>649</v>
      </c>
      <c r="P2404" s="265">
        <v>15.3</v>
      </c>
      <c r="Q2404" s="265">
        <v>1.1000000000000001</v>
      </c>
    </row>
    <row r="2405" spans="1:17" ht="15" customHeight="1">
      <c r="A2405" s="147">
        <v>2520</v>
      </c>
      <c r="B2405" s="51" t="s">
        <v>44</v>
      </c>
      <c r="C2405" s="51" t="s">
        <v>2905</v>
      </c>
      <c r="D2405" s="51">
        <v>100024553</v>
      </c>
      <c r="E2405" s="53" t="s">
        <v>2906</v>
      </c>
      <c r="F2405" s="124">
        <v>10</v>
      </c>
      <c r="G2405" s="124">
        <v>600</v>
      </c>
      <c r="H2405" s="369">
        <v>156.46</v>
      </c>
      <c r="I2405" s="215" t="s">
        <v>346</v>
      </c>
      <c r="J2405" s="215" t="s">
        <v>102</v>
      </c>
      <c r="K2405" s="266">
        <v>49081030346</v>
      </c>
      <c r="L2405" s="265" t="s">
        <v>649</v>
      </c>
      <c r="M2405" s="266">
        <v>40049081030344</v>
      </c>
      <c r="N2405" s="264">
        <v>1.68</v>
      </c>
      <c r="O2405" s="265" t="s">
        <v>649</v>
      </c>
      <c r="P2405" s="265">
        <v>17.32</v>
      </c>
      <c r="Q2405" s="265">
        <v>1.41</v>
      </c>
    </row>
    <row r="2406" spans="1:17" ht="15" customHeight="1">
      <c r="A2406" s="147">
        <v>2521</v>
      </c>
      <c r="B2406" s="51" t="s">
        <v>44</v>
      </c>
      <c r="C2406" s="51" t="s">
        <v>2907</v>
      </c>
      <c r="D2406" s="51">
        <v>100025043</v>
      </c>
      <c r="E2406" s="53" t="s">
        <v>2730</v>
      </c>
      <c r="F2406" s="124">
        <v>10</v>
      </c>
      <c r="G2406" s="124">
        <v>600</v>
      </c>
      <c r="H2406" s="369">
        <v>156.46</v>
      </c>
      <c r="I2406" s="215" t="s">
        <v>76</v>
      </c>
      <c r="J2406" s="215" t="s">
        <v>102</v>
      </c>
      <c r="K2406" s="266">
        <v>49081022624</v>
      </c>
      <c r="L2406" s="265" t="s">
        <v>649</v>
      </c>
      <c r="M2406" s="266">
        <v>40049081022622</v>
      </c>
      <c r="N2406" s="264">
        <v>1.675</v>
      </c>
      <c r="O2406" s="265" t="s">
        <v>649</v>
      </c>
      <c r="P2406" s="265">
        <v>17.329999999999998</v>
      </c>
      <c r="Q2406" s="265">
        <v>1.41</v>
      </c>
    </row>
    <row r="2407" spans="1:17" ht="15" customHeight="1">
      <c r="A2407" s="147">
        <v>2522</v>
      </c>
      <c r="B2407" s="51" t="s">
        <v>44</v>
      </c>
      <c r="C2407" s="51" t="s">
        <v>2908</v>
      </c>
      <c r="D2407" s="51">
        <v>100024557</v>
      </c>
      <c r="E2407" s="53" t="s">
        <v>2909</v>
      </c>
      <c r="F2407" s="124">
        <v>10</v>
      </c>
      <c r="G2407" s="124">
        <v>600</v>
      </c>
      <c r="H2407" s="369">
        <v>167.52</v>
      </c>
      <c r="I2407" s="215" t="s">
        <v>346</v>
      </c>
      <c r="J2407" s="215" t="s">
        <v>102</v>
      </c>
      <c r="K2407" s="266">
        <v>49081029135</v>
      </c>
      <c r="L2407" s="265" t="s">
        <v>649</v>
      </c>
      <c r="M2407" s="266">
        <v>40049081029133</v>
      </c>
      <c r="N2407" s="264">
        <v>1.99</v>
      </c>
      <c r="O2407" s="265" t="s">
        <v>649</v>
      </c>
      <c r="P2407" s="265">
        <v>21.2</v>
      </c>
      <c r="Q2407" s="265">
        <v>1.41</v>
      </c>
    </row>
    <row r="2408" spans="1:17" ht="15" customHeight="1">
      <c r="A2408" s="147">
        <v>2523</v>
      </c>
      <c r="B2408" s="51" t="s">
        <v>44</v>
      </c>
      <c r="C2408" s="51" t="s">
        <v>2910</v>
      </c>
      <c r="D2408" s="51">
        <v>100024558</v>
      </c>
      <c r="E2408" s="53" t="s">
        <v>2911</v>
      </c>
      <c r="F2408" s="124">
        <v>10</v>
      </c>
      <c r="G2408" s="124">
        <v>750</v>
      </c>
      <c r="H2408" s="369">
        <v>145.36000000000001</v>
      </c>
      <c r="I2408" s="215" t="s">
        <v>346</v>
      </c>
      <c r="J2408" s="215" t="s">
        <v>102</v>
      </c>
      <c r="K2408" s="266">
        <v>49081029142</v>
      </c>
      <c r="L2408" s="265" t="s">
        <v>649</v>
      </c>
      <c r="M2408" s="266">
        <v>40049081029140</v>
      </c>
      <c r="N2408" s="264">
        <v>1.464</v>
      </c>
      <c r="O2408" s="265" t="s">
        <v>649</v>
      </c>
      <c r="P2408" s="265">
        <v>15.1</v>
      </c>
      <c r="Q2408" s="265">
        <v>1.1000000000000001</v>
      </c>
    </row>
    <row r="2409" spans="1:17" ht="15" customHeight="1">
      <c r="A2409" s="147">
        <v>2524</v>
      </c>
      <c r="B2409" s="51" t="s">
        <v>44</v>
      </c>
      <c r="C2409" s="51" t="s">
        <v>2912</v>
      </c>
      <c r="D2409" s="51">
        <v>100024560</v>
      </c>
      <c r="E2409" s="53" t="s">
        <v>2895</v>
      </c>
      <c r="F2409" s="124">
        <v>10</v>
      </c>
      <c r="G2409" s="124">
        <v>600</v>
      </c>
      <c r="H2409" s="369">
        <v>156.46</v>
      </c>
      <c r="I2409" s="215" t="s">
        <v>346</v>
      </c>
      <c r="J2409" s="215" t="s">
        <v>102</v>
      </c>
      <c r="K2409" s="266">
        <v>49081030230</v>
      </c>
      <c r="L2409" s="265" t="s">
        <v>649</v>
      </c>
      <c r="M2409" s="266">
        <v>40049081030238</v>
      </c>
      <c r="N2409" s="264">
        <v>1.69</v>
      </c>
      <c r="O2409" s="265" t="s">
        <v>649</v>
      </c>
      <c r="P2409" s="265">
        <v>17.38</v>
      </c>
      <c r="Q2409" s="265">
        <v>1.41</v>
      </c>
    </row>
    <row r="2410" spans="1:17" ht="15" customHeight="1">
      <c r="A2410" s="147">
        <v>2525</v>
      </c>
      <c r="B2410" s="51" t="s">
        <v>44</v>
      </c>
      <c r="C2410" s="51" t="s">
        <v>2913</v>
      </c>
      <c r="D2410" s="51">
        <v>100025046</v>
      </c>
      <c r="E2410" s="53" t="s">
        <v>2914</v>
      </c>
      <c r="F2410" s="124">
        <v>10</v>
      </c>
      <c r="G2410" s="124">
        <v>180</v>
      </c>
      <c r="H2410" s="369">
        <v>298.91000000000003</v>
      </c>
      <c r="I2410" s="215" t="s">
        <v>346</v>
      </c>
      <c r="J2410" s="215" t="s">
        <v>102</v>
      </c>
      <c r="K2410" s="266">
        <v>49081022792</v>
      </c>
      <c r="L2410" s="265" t="s">
        <v>649</v>
      </c>
      <c r="M2410" s="266">
        <v>40049081022790</v>
      </c>
      <c r="N2410" s="264">
        <v>2.4390000000000001</v>
      </c>
      <c r="O2410" s="265" t="s">
        <v>649</v>
      </c>
      <c r="P2410" s="265">
        <v>26.29</v>
      </c>
      <c r="Q2410" s="265">
        <v>2.65</v>
      </c>
    </row>
    <row r="2411" spans="1:17" ht="15" customHeight="1">
      <c r="A2411" s="147">
        <v>2526</v>
      </c>
      <c r="B2411" s="51" t="s">
        <v>44</v>
      </c>
      <c r="C2411" s="51" t="s">
        <v>2915</v>
      </c>
      <c r="D2411" s="51">
        <v>100025047</v>
      </c>
      <c r="E2411" s="53" t="s">
        <v>2916</v>
      </c>
      <c r="F2411" s="124">
        <v>10</v>
      </c>
      <c r="G2411" s="124">
        <v>240</v>
      </c>
      <c r="H2411" s="369">
        <v>290.89999999999998</v>
      </c>
      <c r="I2411" s="215" t="s">
        <v>346</v>
      </c>
      <c r="J2411" s="215" t="s">
        <v>102</v>
      </c>
      <c r="K2411" s="266">
        <v>49081029159</v>
      </c>
      <c r="L2411" s="265" t="s">
        <v>649</v>
      </c>
      <c r="M2411" s="266">
        <v>40049081029157</v>
      </c>
      <c r="N2411" s="264">
        <v>2.754</v>
      </c>
      <c r="O2411" s="265" t="s">
        <v>649</v>
      </c>
      <c r="P2411" s="265">
        <v>27.7</v>
      </c>
      <c r="Q2411" s="265">
        <v>2.77</v>
      </c>
    </row>
    <row r="2412" spans="1:17" ht="15" customHeight="1">
      <c r="A2412" s="147">
        <v>2527</v>
      </c>
      <c r="B2412" s="51" t="s">
        <v>44</v>
      </c>
      <c r="C2412" s="51" t="s">
        <v>2918</v>
      </c>
      <c r="D2412" s="51">
        <v>100029467</v>
      </c>
      <c r="E2412" s="53" t="s">
        <v>2919</v>
      </c>
      <c r="F2412" s="124">
        <v>10</v>
      </c>
      <c r="G2412" s="124">
        <v>750</v>
      </c>
      <c r="H2412" s="369">
        <v>184.23</v>
      </c>
      <c r="I2412" s="215" t="s">
        <v>346</v>
      </c>
      <c r="J2412" s="215" t="s">
        <v>102</v>
      </c>
      <c r="K2412" s="266">
        <v>49081030421</v>
      </c>
      <c r="L2412" s="265" t="s">
        <v>649</v>
      </c>
      <c r="M2412" s="266">
        <v>40049081030429</v>
      </c>
      <c r="N2412" s="264">
        <v>1.764</v>
      </c>
      <c r="O2412" s="265" t="s">
        <v>649</v>
      </c>
      <c r="P2412" s="265">
        <v>17.899999999999999</v>
      </c>
      <c r="Q2412" s="265">
        <v>1.1000000000000001</v>
      </c>
    </row>
    <row r="2413" spans="1:17" ht="15" customHeight="1">
      <c r="A2413" s="147">
        <v>2528</v>
      </c>
      <c r="B2413" s="51" t="s">
        <v>44</v>
      </c>
      <c r="C2413" s="51" t="s">
        <v>2920</v>
      </c>
      <c r="D2413" s="51">
        <v>100024864</v>
      </c>
      <c r="E2413" s="53" t="s">
        <v>2921</v>
      </c>
      <c r="F2413" s="124">
        <v>10</v>
      </c>
      <c r="G2413" s="124">
        <v>600</v>
      </c>
      <c r="H2413" s="369">
        <v>159.15</v>
      </c>
      <c r="I2413" s="215" t="s">
        <v>346</v>
      </c>
      <c r="J2413" s="215" t="s">
        <v>102</v>
      </c>
      <c r="K2413" s="266">
        <v>49081022716</v>
      </c>
      <c r="L2413" s="265" t="s">
        <v>649</v>
      </c>
      <c r="M2413" s="266">
        <v>40049081022714</v>
      </c>
      <c r="N2413" s="264">
        <v>1.806</v>
      </c>
      <c r="O2413" s="265" t="s">
        <v>649</v>
      </c>
      <c r="P2413" s="265">
        <v>18.079999999999998</v>
      </c>
      <c r="Q2413" s="265">
        <v>1.41</v>
      </c>
    </row>
    <row r="2414" spans="1:17" ht="15" customHeight="1">
      <c r="A2414" s="147">
        <v>2529</v>
      </c>
      <c r="B2414" s="51" t="s">
        <v>44</v>
      </c>
      <c r="C2414" s="51" t="s">
        <v>2922</v>
      </c>
      <c r="D2414" s="51">
        <v>100024883</v>
      </c>
      <c r="E2414" s="53" t="s">
        <v>2923</v>
      </c>
      <c r="F2414" s="124">
        <v>10</v>
      </c>
      <c r="G2414" s="124">
        <v>750</v>
      </c>
      <c r="H2414" s="369">
        <v>159.15</v>
      </c>
      <c r="I2414" s="215" t="s">
        <v>76</v>
      </c>
      <c r="J2414" s="215" t="s">
        <v>102</v>
      </c>
      <c r="K2414" s="266">
        <v>49081020507</v>
      </c>
      <c r="L2414" s="265" t="s">
        <v>649</v>
      </c>
      <c r="M2414" s="266">
        <v>40049081020505</v>
      </c>
      <c r="N2414" s="264">
        <v>1.62</v>
      </c>
      <c r="O2414" s="265" t="s">
        <v>649</v>
      </c>
      <c r="P2414" s="265">
        <v>16.649999999999999</v>
      </c>
      <c r="Q2414" s="265">
        <v>1.1000000000000001</v>
      </c>
    </row>
    <row r="2415" spans="1:17" ht="15" customHeight="1">
      <c r="A2415" s="147">
        <v>2530</v>
      </c>
      <c r="B2415" s="51" t="s">
        <v>44</v>
      </c>
      <c r="C2415" s="51" t="s">
        <v>2924</v>
      </c>
      <c r="D2415" s="51">
        <v>100023870</v>
      </c>
      <c r="E2415" s="53" t="s">
        <v>2925</v>
      </c>
      <c r="F2415" s="124">
        <v>10</v>
      </c>
      <c r="G2415" s="124">
        <v>750</v>
      </c>
      <c r="H2415" s="369">
        <v>159.15</v>
      </c>
      <c r="I2415" s="215" t="s">
        <v>346</v>
      </c>
      <c r="J2415" s="215" t="s">
        <v>102</v>
      </c>
      <c r="K2415" s="266">
        <v>49081023690</v>
      </c>
      <c r="L2415" s="265" t="s">
        <v>649</v>
      </c>
      <c r="M2415" s="266">
        <v>40049081023698</v>
      </c>
      <c r="N2415" s="264">
        <v>1.524</v>
      </c>
      <c r="O2415" s="265" t="s">
        <v>649</v>
      </c>
      <c r="P2415" s="265">
        <v>15.2</v>
      </c>
      <c r="Q2415" s="265">
        <v>1.1000000000000001</v>
      </c>
    </row>
    <row r="2416" spans="1:17" ht="15" customHeight="1">
      <c r="A2416" s="147">
        <v>2531</v>
      </c>
      <c r="B2416" s="51" t="s">
        <v>44</v>
      </c>
      <c r="C2416" s="51" t="s">
        <v>2926</v>
      </c>
      <c r="D2416" s="51">
        <v>100024901</v>
      </c>
      <c r="E2416" s="53" t="s">
        <v>2927</v>
      </c>
      <c r="F2416" s="124">
        <v>10</v>
      </c>
      <c r="G2416" s="124">
        <v>750</v>
      </c>
      <c r="H2416" s="369">
        <v>159.15</v>
      </c>
      <c r="I2416" s="215" t="s">
        <v>76</v>
      </c>
      <c r="J2416" s="215" t="s">
        <v>102</v>
      </c>
      <c r="K2416" s="266">
        <v>49081020729</v>
      </c>
      <c r="L2416" s="265" t="s">
        <v>649</v>
      </c>
      <c r="M2416" s="266">
        <v>40049081020727</v>
      </c>
      <c r="N2416" s="264">
        <v>1.6</v>
      </c>
      <c r="O2416" s="265" t="s">
        <v>649</v>
      </c>
      <c r="P2416" s="265">
        <v>16.559999999999999</v>
      </c>
      <c r="Q2416" s="265">
        <v>1.1000000000000001</v>
      </c>
    </row>
    <row r="2417" spans="1:17" ht="15" customHeight="1">
      <c r="A2417" s="147">
        <v>2532</v>
      </c>
      <c r="B2417" s="51" t="s">
        <v>44</v>
      </c>
      <c r="C2417" s="51" t="s">
        <v>2928</v>
      </c>
      <c r="D2417" s="51">
        <v>100024902</v>
      </c>
      <c r="E2417" s="53" t="s">
        <v>2929</v>
      </c>
      <c r="F2417" s="124">
        <v>10</v>
      </c>
      <c r="G2417" s="124">
        <v>240</v>
      </c>
      <c r="H2417" s="369">
        <v>170.28</v>
      </c>
      <c r="I2417" s="215" t="s">
        <v>346</v>
      </c>
      <c r="J2417" s="215" t="s">
        <v>102</v>
      </c>
      <c r="K2417" s="266">
        <v>49081022396</v>
      </c>
      <c r="L2417" s="265" t="s">
        <v>649</v>
      </c>
      <c r="M2417" s="266">
        <v>40049081022394</v>
      </c>
      <c r="N2417" s="264">
        <v>1.7789999999999999</v>
      </c>
      <c r="O2417" s="265" t="s">
        <v>649</v>
      </c>
      <c r="P2417" s="265">
        <v>20</v>
      </c>
      <c r="Q2417" s="265">
        <v>2.77</v>
      </c>
    </row>
    <row r="2418" spans="1:17" ht="15" customHeight="1">
      <c r="A2418" s="147">
        <v>2533</v>
      </c>
      <c r="B2418" s="51" t="s">
        <v>44</v>
      </c>
      <c r="C2418" s="51" t="s">
        <v>2930</v>
      </c>
      <c r="D2418" s="51">
        <v>100023873</v>
      </c>
      <c r="E2418" s="53" t="s">
        <v>2931</v>
      </c>
      <c r="F2418" s="124">
        <v>10</v>
      </c>
      <c r="G2418" s="124">
        <v>900</v>
      </c>
      <c r="H2418" s="369">
        <v>148.18</v>
      </c>
      <c r="I2418" s="215" t="s">
        <v>346</v>
      </c>
      <c r="J2418" s="215" t="s">
        <v>102</v>
      </c>
      <c r="K2418" s="266">
        <v>49081023720</v>
      </c>
      <c r="L2418" s="265" t="s">
        <v>649</v>
      </c>
      <c r="M2418" s="266">
        <v>40049081023728</v>
      </c>
      <c r="N2418" s="264">
        <v>1.383</v>
      </c>
      <c r="O2418" s="265" t="s">
        <v>649</v>
      </c>
      <c r="P2418" s="265">
        <v>14.4</v>
      </c>
      <c r="Q2418" s="265">
        <v>0.8</v>
      </c>
    </row>
    <row r="2419" spans="1:17" ht="15" customHeight="1">
      <c r="A2419" s="147">
        <v>2534</v>
      </c>
      <c r="B2419" s="51" t="s">
        <v>44</v>
      </c>
      <c r="C2419" s="51" t="s">
        <v>2932</v>
      </c>
      <c r="D2419" s="51">
        <v>100023874</v>
      </c>
      <c r="E2419" s="53" t="s">
        <v>2933</v>
      </c>
      <c r="F2419" s="124">
        <v>10</v>
      </c>
      <c r="G2419" s="124">
        <v>750</v>
      </c>
      <c r="H2419" s="369">
        <v>148.18</v>
      </c>
      <c r="I2419" s="215" t="s">
        <v>346</v>
      </c>
      <c r="J2419" s="215" t="s">
        <v>102</v>
      </c>
      <c r="K2419" s="266">
        <v>49081022341</v>
      </c>
      <c r="L2419" s="265" t="s">
        <v>649</v>
      </c>
      <c r="M2419" s="266">
        <v>40049081022349</v>
      </c>
      <c r="N2419" s="264">
        <v>1.4470000000000001</v>
      </c>
      <c r="O2419" s="265" t="s">
        <v>649</v>
      </c>
      <c r="P2419" s="265">
        <v>15.12</v>
      </c>
      <c r="Q2419" s="265">
        <v>0.95</v>
      </c>
    </row>
    <row r="2420" spans="1:17" ht="15" customHeight="1">
      <c r="A2420" s="147">
        <v>2535</v>
      </c>
      <c r="B2420" s="51" t="s">
        <v>44</v>
      </c>
      <c r="C2420" s="51" t="s">
        <v>2934</v>
      </c>
      <c r="D2420" s="51">
        <v>100023919</v>
      </c>
      <c r="E2420" s="53" t="s">
        <v>2935</v>
      </c>
      <c r="F2420" s="124">
        <v>10</v>
      </c>
      <c r="G2420" s="124">
        <v>750</v>
      </c>
      <c r="H2420" s="369">
        <v>159.15</v>
      </c>
      <c r="I2420" s="215" t="s">
        <v>346</v>
      </c>
      <c r="J2420" s="215" t="s">
        <v>102</v>
      </c>
      <c r="K2420" s="266">
        <v>49081024208</v>
      </c>
      <c r="L2420" s="265" t="s">
        <v>649</v>
      </c>
      <c r="M2420" s="266">
        <v>40049081024206</v>
      </c>
      <c r="N2420" s="264">
        <v>1.6439999999999999</v>
      </c>
      <c r="O2420" s="265" t="s">
        <v>649</v>
      </c>
      <c r="P2420" s="265">
        <v>16.805</v>
      </c>
      <c r="Q2420" s="265">
        <v>1.1000000000000001</v>
      </c>
    </row>
    <row r="2421" spans="1:17" ht="15" customHeight="1">
      <c r="A2421" s="147">
        <v>2536</v>
      </c>
      <c r="B2421" s="51" t="s">
        <v>44</v>
      </c>
      <c r="C2421" s="51" t="s">
        <v>2936</v>
      </c>
      <c r="D2421" s="51">
        <v>100023946</v>
      </c>
      <c r="E2421" s="53" t="s">
        <v>2937</v>
      </c>
      <c r="F2421" s="124">
        <v>10</v>
      </c>
      <c r="G2421" s="124">
        <v>750</v>
      </c>
      <c r="H2421" s="369">
        <v>159.15</v>
      </c>
      <c r="I2421" s="215" t="s">
        <v>346</v>
      </c>
      <c r="J2421" s="215" t="s">
        <v>102</v>
      </c>
      <c r="K2421" s="266">
        <v>49081020859</v>
      </c>
      <c r="L2421" s="265" t="s">
        <v>649</v>
      </c>
      <c r="M2421" s="266">
        <v>40049081020857</v>
      </c>
      <c r="N2421" s="264">
        <v>1.6240000000000001</v>
      </c>
      <c r="O2421" s="265" t="s">
        <v>649</v>
      </c>
      <c r="P2421" s="265">
        <v>16</v>
      </c>
      <c r="Q2421" s="265">
        <v>1.1000000000000001</v>
      </c>
    </row>
    <row r="2422" spans="1:17" ht="15" customHeight="1">
      <c r="A2422" s="147">
        <v>2537</v>
      </c>
      <c r="B2422" s="51" t="s">
        <v>44</v>
      </c>
      <c r="C2422" s="51" t="s">
        <v>2938</v>
      </c>
      <c r="D2422" s="51">
        <v>100023947</v>
      </c>
      <c r="E2422" s="53" t="s">
        <v>2939</v>
      </c>
      <c r="F2422" s="124">
        <v>10</v>
      </c>
      <c r="G2422" s="124">
        <v>600</v>
      </c>
      <c r="H2422" s="369">
        <v>170.28</v>
      </c>
      <c r="I2422" s="215" t="s">
        <v>346</v>
      </c>
      <c r="J2422" s="215" t="s">
        <v>102</v>
      </c>
      <c r="K2422" s="266">
        <v>49081024437</v>
      </c>
      <c r="L2422" s="265" t="s">
        <v>649</v>
      </c>
      <c r="M2422" s="266">
        <v>40049081024435</v>
      </c>
      <c r="N2422" s="264">
        <v>1.6679999999999999</v>
      </c>
      <c r="O2422" s="265" t="s">
        <v>649</v>
      </c>
      <c r="P2422" s="265">
        <v>15.1</v>
      </c>
      <c r="Q2422" s="265">
        <v>1.41</v>
      </c>
    </row>
    <row r="2423" spans="1:17" ht="15" customHeight="1">
      <c r="A2423" s="147">
        <v>2538</v>
      </c>
      <c r="B2423" s="51" t="s">
        <v>44</v>
      </c>
      <c r="C2423" s="51" t="s">
        <v>2940</v>
      </c>
      <c r="D2423" s="51">
        <v>100023976</v>
      </c>
      <c r="E2423" s="53" t="s">
        <v>2941</v>
      </c>
      <c r="F2423" s="124">
        <v>10</v>
      </c>
      <c r="G2423" s="124">
        <v>750</v>
      </c>
      <c r="H2423" s="369">
        <v>159.15</v>
      </c>
      <c r="I2423" s="215" t="s">
        <v>346</v>
      </c>
      <c r="J2423" s="215" t="s">
        <v>102</v>
      </c>
      <c r="K2423" s="266">
        <v>49081024710</v>
      </c>
      <c r="L2423" s="265" t="s">
        <v>649</v>
      </c>
      <c r="M2423" s="266">
        <v>40049081024718</v>
      </c>
      <c r="N2423" s="264">
        <v>1.552</v>
      </c>
      <c r="O2423" s="265" t="s">
        <v>649</v>
      </c>
      <c r="P2423" s="265">
        <v>16.28</v>
      </c>
      <c r="Q2423" s="265">
        <v>1.1000000000000001</v>
      </c>
    </row>
    <row r="2424" spans="1:17" ht="15" customHeight="1">
      <c r="A2424" s="147">
        <v>2539</v>
      </c>
      <c r="B2424" s="51" t="s">
        <v>44</v>
      </c>
      <c r="C2424" s="51" t="s">
        <v>2942</v>
      </c>
      <c r="D2424" s="51">
        <v>100023990</v>
      </c>
      <c r="E2424" s="53" t="s">
        <v>2943</v>
      </c>
      <c r="F2424" s="124">
        <v>10</v>
      </c>
      <c r="G2424" s="124">
        <v>750</v>
      </c>
      <c r="H2424" s="369">
        <v>159.15</v>
      </c>
      <c r="I2424" s="215" t="s">
        <v>346</v>
      </c>
      <c r="J2424" s="215" t="s">
        <v>102</v>
      </c>
      <c r="K2424" s="266">
        <v>49081024819</v>
      </c>
      <c r="L2424" s="265" t="s">
        <v>649</v>
      </c>
      <c r="M2424" s="266">
        <v>40049081024817</v>
      </c>
      <c r="N2424" s="264">
        <v>1.55</v>
      </c>
      <c r="O2424" s="265" t="s">
        <v>649</v>
      </c>
      <c r="P2424" s="265">
        <v>16.559999999999999</v>
      </c>
      <c r="Q2424" s="265">
        <v>1.1000000000000001</v>
      </c>
    </row>
    <row r="2425" spans="1:17" ht="15" customHeight="1">
      <c r="A2425" s="147">
        <v>2540</v>
      </c>
      <c r="B2425" s="51" t="s">
        <v>44</v>
      </c>
      <c r="C2425" s="51" t="s">
        <v>2944</v>
      </c>
      <c r="D2425" s="51">
        <v>100023991</v>
      </c>
      <c r="E2425" s="53" t="s">
        <v>2945</v>
      </c>
      <c r="F2425" s="124">
        <v>10</v>
      </c>
      <c r="G2425" s="124">
        <v>600</v>
      </c>
      <c r="H2425" s="369">
        <v>170.28</v>
      </c>
      <c r="I2425" s="215" t="s">
        <v>346</v>
      </c>
      <c r="J2425" s="215" t="s">
        <v>102</v>
      </c>
      <c r="K2425" s="266">
        <v>49081024826</v>
      </c>
      <c r="L2425" s="265" t="s">
        <v>649</v>
      </c>
      <c r="M2425" s="266">
        <v>40049081024824</v>
      </c>
      <c r="N2425" s="264">
        <v>1.5940000000000001</v>
      </c>
      <c r="O2425" s="265" t="s">
        <v>649</v>
      </c>
      <c r="P2425" s="265">
        <v>15.3</v>
      </c>
      <c r="Q2425" s="265">
        <v>1.41</v>
      </c>
    </row>
    <row r="2426" spans="1:17" ht="15" customHeight="1">
      <c r="A2426" s="147">
        <v>2541</v>
      </c>
      <c r="B2426" s="51" t="s">
        <v>44</v>
      </c>
      <c r="C2426" s="51" t="s">
        <v>2946</v>
      </c>
      <c r="D2426" s="51">
        <v>100024023</v>
      </c>
      <c r="E2426" s="53" t="s">
        <v>2947</v>
      </c>
      <c r="F2426" s="124">
        <v>10</v>
      </c>
      <c r="G2426" s="265" t="s">
        <v>649</v>
      </c>
      <c r="H2426" s="369">
        <v>148.18</v>
      </c>
      <c r="I2426" s="215" t="s">
        <v>346</v>
      </c>
      <c r="J2426" s="215" t="s">
        <v>102</v>
      </c>
      <c r="K2426" s="266">
        <v>49081025076</v>
      </c>
      <c r="L2426" s="265" t="s">
        <v>649</v>
      </c>
      <c r="M2426" s="266">
        <v>40049081025074</v>
      </c>
      <c r="N2426" s="264">
        <v>1.5680000000000001</v>
      </c>
      <c r="O2426" s="265" t="s">
        <v>649</v>
      </c>
      <c r="P2426" s="265">
        <v>15.5</v>
      </c>
      <c r="Q2426" s="265" t="s">
        <v>649</v>
      </c>
    </row>
    <row r="2427" spans="1:17" ht="15" customHeight="1">
      <c r="A2427" s="147">
        <v>2542</v>
      </c>
      <c r="B2427" s="51" t="s">
        <v>44</v>
      </c>
      <c r="C2427" s="51" t="s">
        <v>2948</v>
      </c>
      <c r="D2427" s="51">
        <v>100024930</v>
      </c>
      <c r="E2427" s="53" t="s">
        <v>2949</v>
      </c>
      <c r="F2427" s="124">
        <v>10</v>
      </c>
      <c r="G2427" s="124">
        <v>750</v>
      </c>
      <c r="H2427" s="369">
        <v>159.15</v>
      </c>
      <c r="I2427" s="215" t="s">
        <v>346</v>
      </c>
      <c r="J2427" s="215" t="s">
        <v>102</v>
      </c>
      <c r="K2427" s="266">
        <v>49081022563</v>
      </c>
      <c r="L2427" s="265" t="s">
        <v>649</v>
      </c>
      <c r="M2427" s="266">
        <v>40049081022561</v>
      </c>
      <c r="N2427" s="264">
        <v>1.7010000000000001</v>
      </c>
      <c r="O2427" s="265" t="s">
        <v>649</v>
      </c>
      <c r="P2427" s="265">
        <v>17.55</v>
      </c>
      <c r="Q2427" s="265">
        <v>1.1000000000000001</v>
      </c>
    </row>
    <row r="2428" spans="1:17" ht="15" customHeight="1">
      <c r="A2428" s="147">
        <v>2543</v>
      </c>
      <c r="B2428" s="51" t="s">
        <v>44</v>
      </c>
      <c r="C2428" s="51" t="s">
        <v>2950</v>
      </c>
      <c r="D2428" s="51">
        <v>100024940</v>
      </c>
      <c r="E2428" s="53" t="s">
        <v>2951</v>
      </c>
      <c r="F2428" s="124">
        <v>10</v>
      </c>
      <c r="G2428" s="124">
        <v>750</v>
      </c>
      <c r="H2428" s="369">
        <v>159.15</v>
      </c>
      <c r="I2428" s="215" t="s">
        <v>346</v>
      </c>
      <c r="J2428" s="215" t="s">
        <v>102</v>
      </c>
      <c r="K2428" s="266">
        <v>49081021054</v>
      </c>
      <c r="L2428" s="265" t="s">
        <v>649</v>
      </c>
      <c r="M2428" s="266">
        <v>40049081021052</v>
      </c>
      <c r="N2428" s="264">
        <v>1.62</v>
      </c>
      <c r="O2428" s="265" t="s">
        <v>649</v>
      </c>
      <c r="P2428" s="265">
        <v>16.55</v>
      </c>
      <c r="Q2428" s="265">
        <v>1.1000000000000001</v>
      </c>
    </row>
    <row r="2429" spans="1:17" ht="15" customHeight="1">
      <c r="A2429" s="147">
        <v>2544</v>
      </c>
      <c r="B2429" s="51" t="s">
        <v>44</v>
      </c>
      <c r="C2429" s="51" t="s">
        <v>2952</v>
      </c>
      <c r="D2429" s="51">
        <v>100024053</v>
      </c>
      <c r="E2429" s="53" t="s">
        <v>2953</v>
      </c>
      <c r="F2429" s="124">
        <v>10</v>
      </c>
      <c r="G2429" s="124">
        <v>240</v>
      </c>
      <c r="H2429" s="369">
        <v>170.28</v>
      </c>
      <c r="I2429" s="215" t="s">
        <v>346</v>
      </c>
      <c r="J2429" s="215" t="s">
        <v>102</v>
      </c>
      <c r="K2429" s="266">
        <v>49081031084</v>
      </c>
      <c r="L2429" s="265" t="s">
        <v>649</v>
      </c>
      <c r="M2429" s="266">
        <v>40049081031082</v>
      </c>
      <c r="N2429" s="264">
        <v>1.7989999999999999</v>
      </c>
      <c r="O2429" s="265" t="s">
        <v>649</v>
      </c>
      <c r="P2429" s="265">
        <v>19.7</v>
      </c>
      <c r="Q2429" s="265">
        <v>2.77</v>
      </c>
    </row>
    <row r="2430" spans="1:17" ht="15" customHeight="1">
      <c r="A2430" s="147">
        <v>2545</v>
      </c>
      <c r="B2430" s="51" t="s">
        <v>44</v>
      </c>
      <c r="C2430" s="51" t="s">
        <v>2954</v>
      </c>
      <c r="D2430" s="51">
        <v>100024946</v>
      </c>
      <c r="E2430" s="53" t="s">
        <v>2955</v>
      </c>
      <c r="F2430" s="124">
        <v>10</v>
      </c>
      <c r="G2430" s="124">
        <v>750</v>
      </c>
      <c r="H2430" s="369">
        <v>159.15</v>
      </c>
      <c r="I2430" s="215" t="s">
        <v>346</v>
      </c>
      <c r="J2430" s="215" t="s">
        <v>102</v>
      </c>
      <c r="K2430" s="266">
        <v>49081021160</v>
      </c>
      <c r="L2430" s="265" t="s">
        <v>649</v>
      </c>
      <c r="M2430" s="266">
        <v>40049081021168</v>
      </c>
      <c r="N2430" s="264">
        <v>1.6020000000000001</v>
      </c>
      <c r="O2430" s="265" t="s">
        <v>649</v>
      </c>
      <c r="P2430" s="265">
        <v>16.559999999999999</v>
      </c>
      <c r="Q2430" s="265">
        <v>1.1000000000000001</v>
      </c>
    </row>
    <row r="2431" spans="1:17" ht="15" customHeight="1">
      <c r="A2431" s="147">
        <v>2546</v>
      </c>
      <c r="B2431" s="51" t="s">
        <v>44</v>
      </c>
      <c r="C2431" s="51" t="s">
        <v>2956</v>
      </c>
      <c r="D2431" s="51">
        <v>100024074</v>
      </c>
      <c r="E2431" s="53" t="s">
        <v>2957</v>
      </c>
      <c r="F2431" s="124">
        <v>10</v>
      </c>
      <c r="G2431" s="124">
        <v>240</v>
      </c>
      <c r="H2431" s="369">
        <v>170.28</v>
      </c>
      <c r="I2431" s="215" t="s">
        <v>346</v>
      </c>
      <c r="J2431" s="215" t="s">
        <v>102</v>
      </c>
      <c r="K2431" s="266">
        <v>49081022662</v>
      </c>
      <c r="L2431" s="265" t="s">
        <v>649</v>
      </c>
      <c r="M2431" s="266">
        <v>40049081022660</v>
      </c>
      <c r="N2431" s="264">
        <v>1.778</v>
      </c>
      <c r="O2431" s="265" t="s">
        <v>649</v>
      </c>
      <c r="P2431" s="265">
        <v>19</v>
      </c>
      <c r="Q2431" s="265">
        <v>2.77</v>
      </c>
    </row>
    <row r="2432" spans="1:17" ht="15" customHeight="1">
      <c r="A2432" s="147">
        <v>2547</v>
      </c>
      <c r="B2432" s="51" t="s">
        <v>44</v>
      </c>
      <c r="C2432" s="51" t="s">
        <v>2958</v>
      </c>
      <c r="D2432" s="51">
        <v>100024105</v>
      </c>
      <c r="E2432" s="53" t="s">
        <v>2959</v>
      </c>
      <c r="F2432" s="124">
        <v>10</v>
      </c>
      <c r="G2432" s="124">
        <v>750</v>
      </c>
      <c r="H2432" s="369">
        <v>159.15</v>
      </c>
      <c r="I2432" s="215" t="s">
        <v>346</v>
      </c>
      <c r="J2432" s="215" t="s">
        <v>102</v>
      </c>
      <c r="K2432" s="266">
        <v>49081030384</v>
      </c>
      <c r="L2432" s="265" t="s">
        <v>649</v>
      </c>
      <c r="M2432" s="266">
        <v>40049081030382</v>
      </c>
      <c r="N2432" s="264">
        <v>1.5580000000000001</v>
      </c>
      <c r="O2432" s="265" t="s">
        <v>649</v>
      </c>
      <c r="P2432" s="265">
        <v>16.86</v>
      </c>
      <c r="Q2432" s="265">
        <v>1.1000000000000001</v>
      </c>
    </row>
    <row r="2433" spans="1:17" ht="15" customHeight="1">
      <c r="A2433" s="147">
        <v>2548</v>
      </c>
      <c r="B2433" s="51" t="s">
        <v>44</v>
      </c>
      <c r="C2433" s="51" t="s">
        <v>2960</v>
      </c>
      <c r="D2433" s="51">
        <v>100024110</v>
      </c>
      <c r="E2433" s="53" t="s">
        <v>2961</v>
      </c>
      <c r="F2433" s="124">
        <v>10</v>
      </c>
      <c r="G2433" s="124">
        <v>750</v>
      </c>
      <c r="H2433" s="369">
        <v>159.15</v>
      </c>
      <c r="I2433" s="215" t="s">
        <v>346</v>
      </c>
      <c r="J2433" s="215" t="s">
        <v>102</v>
      </c>
      <c r="K2433" s="266">
        <v>49081030759</v>
      </c>
      <c r="L2433" s="265" t="s">
        <v>649</v>
      </c>
      <c r="M2433" s="266">
        <v>40049081030757</v>
      </c>
      <c r="N2433" s="264">
        <v>1.6279999999999999</v>
      </c>
      <c r="O2433" s="265" t="s">
        <v>649</v>
      </c>
      <c r="P2433" s="265">
        <v>16.86</v>
      </c>
      <c r="Q2433" s="265">
        <v>1.1000000000000001</v>
      </c>
    </row>
    <row r="2434" spans="1:17" ht="15" customHeight="1">
      <c r="A2434" s="147">
        <v>2549</v>
      </c>
      <c r="B2434" s="51" t="s">
        <v>44</v>
      </c>
      <c r="C2434" s="51" t="s">
        <v>2962</v>
      </c>
      <c r="D2434" s="51">
        <v>100024956</v>
      </c>
      <c r="E2434" s="53" t="s">
        <v>2921</v>
      </c>
      <c r="F2434" s="124">
        <v>10</v>
      </c>
      <c r="G2434" s="124">
        <v>180</v>
      </c>
      <c r="H2434" s="369">
        <v>200.04</v>
      </c>
      <c r="I2434" s="215" t="s">
        <v>346</v>
      </c>
      <c r="J2434" s="215" t="s">
        <v>102</v>
      </c>
      <c r="K2434" s="266">
        <v>49081031343</v>
      </c>
      <c r="L2434" s="265" t="s">
        <v>649</v>
      </c>
      <c r="M2434" s="266">
        <v>40049081031341</v>
      </c>
      <c r="N2434" s="264">
        <v>2.5870000000000002</v>
      </c>
      <c r="O2434" s="265" t="s">
        <v>649</v>
      </c>
      <c r="P2434" s="265">
        <v>25.3</v>
      </c>
      <c r="Q2434" s="265">
        <v>2.65</v>
      </c>
    </row>
    <row r="2435" spans="1:17" ht="15" customHeight="1">
      <c r="A2435" s="147">
        <v>2550</v>
      </c>
      <c r="B2435" s="51" t="s">
        <v>44</v>
      </c>
      <c r="C2435" s="51" t="s">
        <v>2963</v>
      </c>
      <c r="D2435" s="51">
        <v>100024957</v>
      </c>
      <c r="E2435" s="53" t="s">
        <v>2964</v>
      </c>
      <c r="F2435" s="124">
        <v>10</v>
      </c>
      <c r="G2435" s="124">
        <v>600</v>
      </c>
      <c r="H2435" s="369">
        <v>188.94</v>
      </c>
      <c r="I2435" s="215" t="s">
        <v>346</v>
      </c>
      <c r="J2435" s="215" t="s">
        <v>102</v>
      </c>
      <c r="K2435" s="266">
        <v>49081030254</v>
      </c>
      <c r="L2435" s="265" t="s">
        <v>649</v>
      </c>
      <c r="M2435" s="266">
        <v>40049081030252</v>
      </c>
      <c r="N2435" s="264">
        <v>2.4049999999999998</v>
      </c>
      <c r="O2435" s="265" t="s">
        <v>649</v>
      </c>
      <c r="P2435" s="265">
        <v>23.25</v>
      </c>
      <c r="Q2435" s="265">
        <v>1.41</v>
      </c>
    </row>
    <row r="2436" spans="1:17" ht="15" customHeight="1">
      <c r="A2436" s="147">
        <v>2551</v>
      </c>
      <c r="B2436" s="51" t="s">
        <v>44</v>
      </c>
      <c r="C2436" s="51" t="s">
        <v>2965</v>
      </c>
      <c r="D2436" s="51">
        <v>100024128</v>
      </c>
      <c r="E2436" s="53" t="s">
        <v>2966</v>
      </c>
      <c r="F2436" s="124">
        <v>10</v>
      </c>
      <c r="G2436" s="124">
        <v>180</v>
      </c>
      <c r="H2436" s="369">
        <v>200.04</v>
      </c>
      <c r="I2436" s="215" t="s">
        <v>346</v>
      </c>
      <c r="J2436" s="215" t="s">
        <v>102</v>
      </c>
      <c r="K2436" s="266">
        <v>49081025861</v>
      </c>
      <c r="L2436" s="265" t="s">
        <v>649</v>
      </c>
      <c r="M2436" s="266">
        <v>40049081025869</v>
      </c>
      <c r="N2436" s="264">
        <v>2.3450000000000002</v>
      </c>
      <c r="O2436" s="265" t="s">
        <v>649</v>
      </c>
      <c r="P2436" s="265">
        <v>23.3</v>
      </c>
      <c r="Q2436" s="265">
        <v>2.65</v>
      </c>
    </row>
    <row r="2437" spans="1:17" ht="15" customHeight="1">
      <c r="A2437" s="147">
        <v>2552</v>
      </c>
      <c r="B2437" s="51" t="s">
        <v>44</v>
      </c>
      <c r="C2437" s="51" t="s">
        <v>2967</v>
      </c>
      <c r="D2437" s="51">
        <v>100024132</v>
      </c>
      <c r="E2437" s="53" t="s">
        <v>2968</v>
      </c>
      <c r="F2437" s="124">
        <v>10</v>
      </c>
      <c r="G2437" s="124">
        <v>600</v>
      </c>
      <c r="H2437" s="369">
        <v>200.04</v>
      </c>
      <c r="I2437" s="215" t="s">
        <v>346</v>
      </c>
      <c r="J2437" s="215" t="s">
        <v>102</v>
      </c>
      <c r="K2437" s="266">
        <v>49081025908</v>
      </c>
      <c r="L2437" s="265" t="s">
        <v>649</v>
      </c>
      <c r="M2437" s="266">
        <v>40049081025906</v>
      </c>
      <c r="N2437" s="264">
        <v>2.3769999999999998</v>
      </c>
      <c r="O2437" s="265" t="s">
        <v>649</v>
      </c>
      <c r="P2437" s="265">
        <v>20.2</v>
      </c>
      <c r="Q2437" s="265">
        <v>1.41</v>
      </c>
    </row>
    <row r="2438" spans="1:17" ht="15" customHeight="1">
      <c r="A2438" s="147">
        <v>2553</v>
      </c>
      <c r="B2438" s="51" t="s">
        <v>44</v>
      </c>
      <c r="C2438" s="51" t="s">
        <v>2969</v>
      </c>
      <c r="D2438" s="51">
        <v>100024144</v>
      </c>
      <c r="E2438" s="53" t="s">
        <v>2970</v>
      </c>
      <c r="F2438" s="124">
        <v>10</v>
      </c>
      <c r="G2438" s="124">
        <v>600</v>
      </c>
      <c r="H2438" s="369">
        <v>200.04</v>
      </c>
      <c r="I2438" s="215" t="s">
        <v>346</v>
      </c>
      <c r="J2438" s="215" t="s">
        <v>102</v>
      </c>
      <c r="K2438" s="266">
        <v>49081026004</v>
      </c>
      <c r="L2438" s="265" t="s">
        <v>649</v>
      </c>
      <c r="M2438" s="266">
        <v>40049081026002</v>
      </c>
      <c r="N2438" s="264">
        <v>2.3290000000000002</v>
      </c>
      <c r="O2438" s="265" t="s">
        <v>649</v>
      </c>
      <c r="P2438" s="265">
        <v>22.92</v>
      </c>
      <c r="Q2438" s="265">
        <v>1.41</v>
      </c>
    </row>
    <row r="2439" spans="1:17" ht="15" customHeight="1">
      <c r="A2439" s="147">
        <v>2554</v>
      </c>
      <c r="B2439" s="51" t="s">
        <v>44</v>
      </c>
      <c r="C2439" s="51" t="s">
        <v>2971</v>
      </c>
      <c r="D2439" s="51">
        <v>100024147</v>
      </c>
      <c r="E2439" s="53" t="s">
        <v>2972</v>
      </c>
      <c r="F2439" s="124">
        <v>10</v>
      </c>
      <c r="G2439" s="124">
        <v>600</v>
      </c>
      <c r="H2439" s="369">
        <v>188.94</v>
      </c>
      <c r="I2439" s="215" t="s">
        <v>346</v>
      </c>
      <c r="J2439" s="215" t="s">
        <v>102</v>
      </c>
      <c r="K2439" s="266">
        <v>49081026028</v>
      </c>
      <c r="L2439" s="265" t="s">
        <v>649</v>
      </c>
      <c r="M2439" s="266">
        <v>40049081026026</v>
      </c>
      <c r="N2439" s="264">
        <v>2.1469999999999998</v>
      </c>
      <c r="O2439" s="265" t="s">
        <v>649</v>
      </c>
      <c r="P2439" s="265">
        <v>20.94</v>
      </c>
      <c r="Q2439" s="265">
        <v>1.25</v>
      </c>
    </row>
    <row r="2440" spans="1:17" ht="15" customHeight="1">
      <c r="A2440" s="147">
        <v>2555</v>
      </c>
      <c r="B2440" s="51" t="s">
        <v>44</v>
      </c>
      <c r="C2440" s="51" t="s">
        <v>2973</v>
      </c>
      <c r="D2440" s="51">
        <v>100024212</v>
      </c>
      <c r="E2440" s="53" t="s">
        <v>2974</v>
      </c>
      <c r="F2440" s="124">
        <v>10</v>
      </c>
      <c r="G2440" s="124">
        <v>180</v>
      </c>
      <c r="H2440" s="369">
        <v>200.04</v>
      </c>
      <c r="I2440" s="215" t="s">
        <v>346</v>
      </c>
      <c r="J2440" s="215" t="s">
        <v>102</v>
      </c>
      <c r="K2440" s="266">
        <v>49081026479</v>
      </c>
      <c r="L2440" s="265" t="s">
        <v>649</v>
      </c>
      <c r="M2440" s="266">
        <v>40049081026477</v>
      </c>
      <c r="N2440" s="264">
        <v>2.3540000000000001</v>
      </c>
      <c r="O2440" s="265" t="s">
        <v>649</v>
      </c>
      <c r="P2440" s="265">
        <v>23.45</v>
      </c>
      <c r="Q2440" s="265">
        <v>2.65</v>
      </c>
    </row>
    <row r="2441" spans="1:17" ht="15" customHeight="1">
      <c r="A2441" s="147">
        <v>2556</v>
      </c>
      <c r="B2441" s="51" t="s">
        <v>44</v>
      </c>
      <c r="C2441" s="51" t="s">
        <v>2975</v>
      </c>
      <c r="D2441" s="51">
        <v>100024232</v>
      </c>
      <c r="E2441" s="53" t="s">
        <v>2976</v>
      </c>
      <c r="F2441" s="124">
        <v>10</v>
      </c>
      <c r="G2441" s="124">
        <v>180</v>
      </c>
      <c r="H2441" s="369">
        <v>200.04</v>
      </c>
      <c r="I2441" s="215" t="s">
        <v>346</v>
      </c>
      <c r="J2441" s="215" t="s">
        <v>102</v>
      </c>
      <c r="K2441" s="266">
        <v>49081026646</v>
      </c>
      <c r="L2441" s="265" t="s">
        <v>649</v>
      </c>
      <c r="M2441" s="266">
        <v>40049081026644</v>
      </c>
      <c r="N2441" s="264">
        <v>2.4319999999999999</v>
      </c>
      <c r="O2441" s="265" t="s">
        <v>649</v>
      </c>
      <c r="P2441" s="265">
        <v>24.2</v>
      </c>
      <c r="Q2441" s="265">
        <v>2.65</v>
      </c>
    </row>
    <row r="2442" spans="1:17" ht="15" customHeight="1">
      <c r="A2442" s="147">
        <v>2557</v>
      </c>
      <c r="B2442" s="51" t="s">
        <v>44</v>
      </c>
      <c r="C2442" s="51" t="s">
        <v>2977</v>
      </c>
      <c r="D2442" s="51">
        <v>100024247</v>
      </c>
      <c r="E2442" s="53" t="s">
        <v>2978</v>
      </c>
      <c r="F2442" s="124">
        <v>10</v>
      </c>
      <c r="G2442" s="124">
        <v>600</v>
      </c>
      <c r="H2442" s="369">
        <v>200.04</v>
      </c>
      <c r="I2442" s="215" t="s">
        <v>346</v>
      </c>
      <c r="J2442" s="215" t="s">
        <v>102</v>
      </c>
      <c r="K2442" s="266">
        <v>49081026721</v>
      </c>
      <c r="L2442" s="265" t="s">
        <v>649</v>
      </c>
      <c r="M2442" s="266">
        <v>40049081026729</v>
      </c>
      <c r="N2442" s="264">
        <v>2.3610000000000002</v>
      </c>
      <c r="O2442" s="265" t="s">
        <v>649</v>
      </c>
      <c r="P2442" s="265">
        <v>24.44</v>
      </c>
      <c r="Q2442" s="265">
        <v>1.41</v>
      </c>
    </row>
    <row r="2443" spans="1:17" ht="15" customHeight="1">
      <c r="A2443" s="147">
        <v>2558</v>
      </c>
      <c r="B2443" s="51" t="s">
        <v>44</v>
      </c>
      <c r="C2443" s="51" t="s">
        <v>2979</v>
      </c>
      <c r="D2443" s="51">
        <v>100024983</v>
      </c>
      <c r="E2443" s="53" t="s">
        <v>2980</v>
      </c>
      <c r="F2443" s="124">
        <v>10</v>
      </c>
      <c r="G2443" s="124">
        <v>180</v>
      </c>
      <c r="H2443" s="369">
        <v>200.04</v>
      </c>
      <c r="I2443" s="215" t="s">
        <v>346</v>
      </c>
      <c r="J2443" s="215" t="s">
        <v>102</v>
      </c>
      <c r="K2443" s="266">
        <v>49081022600</v>
      </c>
      <c r="L2443" s="265" t="s">
        <v>649</v>
      </c>
      <c r="M2443" s="266">
        <v>40049081022608</v>
      </c>
      <c r="N2443" s="264">
        <v>2.5</v>
      </c>
      <c r="O2443" s="265" t="s">
        <v>649</v>
      </c>
      <c r="P2443" s="265">
        <v>24.59</v>
      </c>
      <c r="Q2443" s="265">
        <v>2.65</v>
      </c>
    </row>
    <row r="2444" spans="1:17" ht="15" customHeight="1">
      <c r="A2444" s="147">
        <v>2559</v>
      </c>
      <c r="B2444" s="51" t="s">
        <v>44</v>
      </c>
      <c r="C2444" s="51" t="s">
        <v>2981</v>
      </c>
      <c r="D2444" s="51">
        <v>100024295</v>
      </c>
      <c r="E2444" s="53" t="s">
        <v>2982</v>
      </c>
      <c r="F2444" s="124">
        <v>10</v>
      </c>
      <c r="G2444" s="124">
        <v>240</v>
      </c>
      <c r="H2444" s="369">
        <v>211.05</v>
      </c>
      <c r="I2444" s="215" t="s">
        <v>346</v>
      </c>
      <c r="J2444" s="215" t="s">
        <v>102</v>
      </c>
      <c r="K2444" s="266">
        <v>49081030537</v>
      </c>
      <c r="L2444" s="265" t="s">
        <v>649</v>
      </c>
      <c r="M2444" s="266">
        <v>40049081030306</v>
      </c>
      <c r="N2444" s="264">
        <v>2.774</v>
      </c>
      <c r="O2444" s="265" t="s">
        <v>649</v>
      </c>
      <c r="P2444" s="265">
        <v>27.6</v>
      </c>
      <c r="Q2444" s="265">
        <v>2.77</v>
      </c>
    </row>
    <row r="2445" spans="1:17" ht="15" customHeight="1">
      <c r="A2445" s="147">
        <v>2560</v>
      </c>
      <c r="B2445" s="51" t="s">
        <v>44</v>
      </c>
      <c r="C2445" s="51" t="s">
        <v>2983</v>
      </c>
      <c r="D2445" s="51">
        <v>100024994</v>
      </c>
      <c r="E2445" s="53" t="s">
        <v>2984</v>
      </c>
      <c r="F2445" s="124">
        <v>10</v>
      </c>
      <c r="G2445" s="124">
        <v>600</v>
      </c>
      <c r="H2445" s="369">
        <v>200.04</v>
      </c>
      <c r="I2445" s="215" t="s">
        <v>346</v>
      </c>
      <c r="J2445" s="215" t="s">
        <v>102</v>
      </c>
      <c r="K2445" s="266">
        <v>49081031046</v>
      </c>
      <c r="L2445" s="265" t="s">
        <v>649</v>
      </c>
      <c r="M2445" s="266">
        <v>40049081031044</v>
      </c>
      <c r="N2445" s="264">
        <v>2.371</v>
      </c>
      <c r="O2445" s="265" t="s">
        <v>649</v>
      </c>
      <c r="P2445" s="265">
        <v>22.1</v>
      </c>
      <c r="Q2445" s="265">
        <v>1.41</v>
      </c>
    </row>
    <row r="2446" spans="1:17" ht="15" customHeight="1">
      <c r="A2446" s="147">
        <v>2561</v>
      </c>
      <c r="B2446" s="51" t="s">
        <v>44</v>
      </c>
      <c r="C2446" s="51" t="s">
        <v>2985</v>
      </c>
      <c r="D2446" s="51">
        <v>100024999</v>
      </c>
      <c r="E2446" s="53" t="s">
        <v>2986</v>
      </c>
      <c r="F2446" s="124">
        <v>10</v>
      </c>
      <c r="G2446" s="124">
        <v>180</v>
      </c>
      <c r="H2446" s="369">
        <v>275.58</v>
      </c>
      <c r="I2446" s="215" t="s">
        <v>346</v>
      </c>
      <c r="J2446" s="215" t="s">
        <v>102</v>
      </c>
      <c r="K2446" s="266">
        <v>49081022723</v>
      </c>
      <c r="L2446" s="265" t="s">
        <v>649</v>
      </c>
      <c r="M2446" s="266">
        <v>40049081022721</v>
      </c>
      <c r="N2446" s="264">
        <v>3.1360000000000001</v>
      </c>
      <c r="O2446" s="265" t="s">
        <v>649</v>
      </c>
      <c r="P2446" s="265">
        <v>32</v>
      </c>
      <c r="Q2446" s="265">
        <v>2.65</v>
      </c>
    </row>
    <row r="2447" spans="1:17" ht="15" customHeight="1">
      <c r="A2447" s="147">
        <v>2562</v>
      </c>
      <c r="B2447" s="51" t="s">
        <v>44</v>
      </c>
      <c r="C2447" s="51" t="s">
        <v>2987</v>
      </c>
      <c r="D2447" s="51">
        <v>100024338</v>
      </c>
      <c r="E2447" s="53" t="s">
        <v>2988</v>
      </c>
      <c r="F2447" s="124">
        <v>10</v>
      </c>
      <c r="G2447" s="124">
        <v>180</v>
      </c>
      <c r="H2447" s="369">
        <v>229.35</v>
      </c>
      <c r="I2447" s="215" t="s">
        <v>346</v>
      </c>
      <c r="J2447" s="215" t="s">
        <v>102</v>
      </c>
      <c r="K2447" s="266">
        <v>49081031657</v>
      </c>
      <c r="L2447" s="265" t="s">
        <v>649</v>
      </c>
      <c r="M2447" s="266">
        <v>40049081031655</v>
      </c>
      <c r="N2447" s="264">
        <v>2.9249999999999998</v>
      </c>
      <c r="O2447" s="265" t="s">
        <v>649</v>
      </c>
      <c r="P2447" s="265">
        <v>30</v>
      </c>
      <c r="Q2447" s="265">
        <v>2.65</v>
      </c>
    </row>
    <row r="2448" spans="1:17" ht="15" customHeight="1">
      <c r="A2448" s="147">
        <v>2563</v>
      </c>
      <c r="B2448" s="51" t="s">
        <v>44</v>
      </c>
      <c r="C2448" s="51" t="s">
        <v>2989</v>
      </c>
      <c r="D2448" s="51">
        <v>100024340</v>
      </c>
      <c r="E2448" s="53" t="s">
        <v>2990</v>
      </c>
      <c r="F2448" s="124">
        <v>10</v>
      </c>
      <c r="G2448" s="124">
        <v>180</v>
      </c>
      <c r="H2448" s="369">
        <v>275.58</v>
      </c>
      <c r="I2448" s="215" t="s">
        <v>346</v>
      </c>
      <c r="J2448" s="215" t="s">
        <v>102</v>
      </c>
      <c r="K2448" s="266">
        <v>49081030698</v>
      </c>
      <c r="L2448" s="265" t="s">
        <v>649</v>
      </c>
      <c r="M2448" s="266">
        <v>40049081030696</v>
      </c>
      <c r="N2448" s="264">
        <v>3.0819999999999999</v>
      </c>
      <c r="O2448" s="265" t="s">
        <v>649</v>
      </c>
      <c r="P2448" s="265">
        <v>27.5</v>
      </c>
      <c r="Q2448" s="265">
        <v>2.65</v>
      </c>
    </row>
    <row r="2449" spans="1:17" ht="15" customHeight="1">
      <c r="A2449" s="147">
        <v>2564</v>
      </c>
      <c r="B2449" s="51" t="s">
        <v>44</v>
      </c>
      <c r="C2449" s="51" t="s">
        <v>2991</v>
      </c>
      <c r="D2449" s="51">
        <v>100025012</v>
      </c>
      <c r="E2449" s="53" t="s">
        <v>2992</v>
      </c>
      <c r="F2449" s="124">
        <v>10</v>
      </c>
      <c r="G2449" s="124">
        <v>180</v>
      </c>
      <c r="H2449" s="369">
        <v>240.47</v>
      </c>
      <c r="I2449" s="215" t="s">
        <v>76</v>
      </c>
      <c r="J2449" s="215" t="s">
        <v>102</v>
      </c>
      <c r="K2449" s="266">
        <v>49081021689</v>
      </c>
      <c r="L2449" s="265" t="s">
        <v>649</v>
      </c>
      <c r="M2449" s="266">
        <v>40049081021687</v>
      </c>
      <c r="N2449" s="264">
        <v>2.9039999999999999</v>
      </c>
      <c r="O2449" s="265" t="s">
        <v>649</v>
      </c>
      <c r="P2449" s="265">
        <v>30.3</v>
      </c>
      <c r="Q2449" s="265">
        <v>2.65</v>
      </c>
    </row>
    <row r="2450" spans="1:17" ht="15" customHeight="1">
      <c r="A2450" s="147">
        <v>2565</v>
      </c>
      <c r="B2450" s="51" t="s">
        <v>44</v>
      </c>
      <c r="C2450" s="51" t="s">
        <v>2993</v>
      </c>
      <c r="D2450" s="51">
        <v>100025013</v>
      </c>
      <c r="E2450" s="53" t="s">
        <v>2994</v>
      </c>
      <c r="F2450" s="124">
        <v>10</v>
      </c>
      <c r="G2450" s="124">
        <v>240</v>
      </c>
      <c r="H2450" s="369">
        <v>251.51</v>
      </c>
      <c r="I2450" s="215" t="s">
        <v>346</v>
      </c>
      <c r="J2450" s="215" t="s">
        <v>102</v>
      </c>
      <c r="K2450" s="266">
        <v>49081022853</v>
      </c>
      <c r="L2450" s="265" t="s">
        <v>649</v>
      </c>
      <c r="M2450" s="266">
        <v>40049081022851</v>
      </c>
      <c r="N2450" s="264">
        <v>3.2189999999999999</v>
      </c>
      <c r="O2450" s="265" t="s">
        <v>649</v>
      </c>
      <c r="P2450" s="265">
        <v>33.75</v>
      </c>
      <c r="Q2450" s="265">
        <v>2.77</v>
      </c>
    </row>
    <row r="2451" spans="1:17" ht="15" customHeight="1">
      <c r="A2451" s="147">
        <v>2566</v>
      </c>
      <c r="B2451" s="51" t="s">
        <v>44</v>
      </c>
      <c r="C2451" s="51" t="s">
        <v>2995</v>
      </c>
      <c r="D2451" s="51">
        <v>100024381</v>
      </c>
      <c r="E2451" s="53" t="s">
        <v>2996</v>
      </c>
      <c r="F2451" s="124">
        <v>10</v>
      </c>
      <c r="G2451" s="124">
        <v>900</v>
      </c>
      <c r="H2451" s="369">
        <v>229.35</v>
      </c>
      <c r="I2451" s="215" t="s">
        <v>346</v>
      </c>
      <c r="J2451" s="215" t="s">
        <v>102</v>
      </c>
      <c r="K2451" s="266">
        <v>49081027728</v>
      </c>
      <c r="L2451" s="265" t="s">
        <v>649</v>
      </c>
      <c r="M2451" s="266">
        <v>40049081027726</v>
      </c>
      <c r="N2451" s="264">
        <v>2.6930000000000001</v>
      </c>
      <c r="O2451" s="265" t="s">
        <v>649</v>
      </c>
      <c r="P2451" s="265">
        <v>27.6</v>
      </c>
      <c r="Q2451" s="265">
        <v>0.8</v>
      </c>
    </row>
    <row r="2452" spans="1:17" ht="15" customHeight="1">
      <c r="A2452" s="147">
        <v>2567</v>
      </c>
      <c r="B2452" s="51" t="s">
        <v>44</v>
      </c>
      <c r="C2452" s="51" t="s">
        <v>2997</v>
      </c>
      <c r="D2452" s="51">
        <v>100024394</v>
      </c>
      <c r="E2452" s="53" t="s">
        <v>2998</v>
      </c>
      <c r="F2452" s="124">
        <v>10</v>
      </c>
      <c r="G2452" s="124">
        <v>180</v>
      </c>
      <c r="H2452" s="369">
        <v>240.47</v>
      </c>
      <c r="I2452" s="215" t="s">
        <v>346</v>
      </c>
      <c r="J2452" s="215" t="s">
        <v>102</v>
      </c>
      <c r="K2452" s="266">
        <v>49081027803</v>
      </c>
      <c r="L2452" s="265" t="s">
        <v>649</v>
      </c>
      <c r="M2452" s="266">
        <v>40049081027801</v>
      </c>
      <c r="N2452" s="264">
        <v>2.7429999999999999</v>
      </c>
      <c r="O2452" s="265" t="s">
        <v>649</v>
      </c>
      <c r="P2452" s="265">
        <v>25</v>
      </c>
      <c r="Q2452" s="265">
        <v>2.65</v>
      </c>
    </row>
    <row r="2453" spans="1:17" ht="15" customHeight="1">
      <c r="A2453" s="147">
        <v>2568</v>
      </c>
      <c r="B2453" s="51" t="s">
        <v>44</v>
      </c>
      <c r="C2453" s="51" t="s">
        <v>2999</v>
      </c>
      <c r="D2453" s="51">
        <v>100025016</v>
      </c>
      <c r="E2453" s="53" t="s">
        <v>3000</v>
      </c>
      <c r="F2453" s="124">
        <v>10</v>
      </c>
      <c r="G2453" s="124">
        <v>180</v>
      </c>
      <c r="H2453" s="369">
        <v>240.47</v>
      </c>
      <c r="I2453" s="215" t="s">
        <v>346</v>
      </c>
      <c r="J2453" s="215" t="s">
        <v>102</v>
      </c>
      <c r="K2453" s="266">
        <v>49081021719</v>
      </c>
      <c r="L2453" s="265" t="s">
        <v>649</v>
      </c>
      <c r="M2453" s="266">
        <v>40049081021717</v>
      </c>
      <c r="N2453" s="264">
        <v>2.8490000000000002</v>
      </c>
      <c r="O2453" s="265" t="s">
        <v>649</v>
      </c>
      <c r="P2453" s="265">
        <v>30.14</v>
      </c>
      <c r="Q2453" s="265">
        <v>2.65</v>
      </c>
    </row>
    <row r="2454" spans="1:17" ht="15" customHeight="1">
      <c r="A2454" s="147">
        <v>2569</v>
      </c>
      <c r="B2454" s="51" t="s">
        <v>44</v>
      </c>
      <c r="C2454" s="51" t="s">
        <v>3001</v>
      </c>
      <c r="D2454" s="51">
        <v>100024395</v>
      </c>
      <c r="E2454" s="53" t="s">
        <v>3002</v>
      </c>
      <c r="F2454" s="124">
        <v>10</v>
      </c>
      <c r="G2454" s="124">
        <v>180</v>
      </c>
      <c r="H2454" s="369">
        <v>251.51</v>
      </c>
      <c r="I2454" s="215" t="s">
        <v>346</v>
      </c>
      <c r="J2454" s="215" t="s">
        <v>102</v>
      </c>
      <c r="K2454" s="266">
        <v>49081027810</v>
      </c>
      <c r="L2454" s="265" t="s">
        <v>649</v>
      </c>
      <c r="M2454" s="266">
        <v>40049081027818</v>
      </c>
      <c r="N2454" s="264">
        <v>2.9380000000000002</v>
      </c>
      <c r="O2454" s="265" t="s">
        <v>649</v>
      </c>
      <c r="P2454" s="265">
        <v>32</v>
      </c>
      <c r="Q2454" s="265">
        <v>2.65</v>
      </c>
    </row>
    <row r="2455" spans="1:17" ht="15" customHeight="1">
      <c r="A2455" s="147">
        <v>2570</v>
      </c>
      <c r="B2455" s="51" t="s">
        <v>44</v>
      </c>
      <c r="C2455" s="51" t="s">
        <v>3003</v>
      </c>
      <c r="D2455" s="51">
        <v>100024396</v>
      </c>
      <c r="E2455" s="53" t="s">
        <v>3004</v>
      </c>
      <c r="F2455" s="124">
        <v>10</v>
      </c>
      <c r="G2455" s="124">
        <v>180</v>
      </c>
      <c r="H2455" s="369">
        <v>251.51</v>
      </c>
      <c r="I2455" s="215" t="s">
        <v>346</v>
      </c>
      <c r="J2455" s="215" t="s">
        <v>102</v>
      </c>
      <c r="K2455" s="266">
        <v>49081027827</v>
      </c>
      <c r="L2455" s="265" t="s">
        <v>649</v>
      </c>
      <c r="M2455" s="266">
        <v>40049081027825</v>
      </c>
      <c r="N2455" s="264">
        <v>3.0680000000000001</v>
      </c>
      <c r="O2455" s="265" t="s">
        <v>649</v>
      </c>
      <c r="P2455" s="265">
        <v>32.700000000000003</v>
      </c>
      <c r="Q2455" s="265">
        <v>4.38</v>
      </c>
    </row>
    <row r="2456" spans="1:17" ht="15" customHeight="1">
      <c r="A2456" s="147">
        <v>2571</v>
      </c>
      <c r="B2456" s="51" t="s">
        <v>44</v>
      </c>
      <c r="C2456" s="51" t="s">
        <v>3005</v>
      </c>
      <c r="D2456" s="51">
        <v>100025017</v>
      </c>
      <c r="E2456" s="53" t="s">
        <v>3006</v>
      </c>
      <c r="F2456" s="124">
        <v>10</v>
      </c>
      <c r="G2456" s="124">
        <v>180</v>
      </c>
      <c r="H2456" s="369">
        <v>251.51</v>
      </c>
      <c r="I2456" s="215" t="s">
        <v>346</v>
      </c>
      <c r="J2456" s="215" t="s">
        <v>102</v>
      </c>
      <c r="K2456" s="266">
        <v>49081021726</v>
      </c>
      <c r="L2456" s="265" t="s">
        <v>649</v>
      </c>
      <c r="M2456" s="266">
        <v>40049081021724</v>
      </c>
      <c r="N2456" s="264">
        <v>3.1640000000000001</v>
      </c>
      <c r="O2456" s="265" t="s">
        <v>649</v>
      </c>
      <c r="P2456" s="265">
        <v>33.44</v>
      </c>
      <c r="Q2456" s="265">
        <v>4.38</v>
      </c>
    </row>
    <row r="2457" spans="1:17" ht="15" customHeight="1">
      <c r="A2457" s="147">
        <v>2572</v>
      </c>
      <c r="B2457" s="51" t="s">
        <v>44</v>
      </c>
      <c r="C2457" s="51" t="s">
        <v>3007</v>
      </c>
      <c r="D2457" s="51">
        <v>100025018</v>
      </c>
      <c r="E2457" s="53" t="s">
        <v>3008</v>
      </c>
      <c r="F2457" s="124">
        <v>10</v>
      </c>
      <c r="G2457" s="124">
        <v>180</v>
      </c>
      <c r="H2457" s="369">
        <v>240.47</v>
      </c>
      <c r="I2457" s="215" t="s">
        <v>346</v>
      </c>
      <c r="J2457" s="215" t="s">
        <v>102</v>
      </c>
      <c r="K2457" s="266">
        <v>49081027902</v>
      </c>
      <c r="L2457" s="265" t="s">
        <v>649</v>
      </c>
      <c r="M2457" s="266">
        <v>40049081027900</v>
      </c>
      <c r="N2457" s="264">
        <v>2.8639999999999999</v>
      </c>
      <c r="O2457" s="265" t="s">
        <v>649</v>
      </c>
      <c r="P2457" s="265">
        <v>29.7</v>
      </c>
      <c r="Q2457" s="265">
        <v>2.65</v>
      </c>
    </row>
    <row r="2458" spans="1:17" ht="15" customHeight="1">
      <c r="A2458" s="147">
        <v>2573</v>
      </c>
      <c r="B2458" s="51" t="s">
        <v>44</v>
      </c>
      <c r="C2458" s="51" t="s">
        <v>3009</v>
      </c>
      <c r="D2458" s="51">
        <v>100024421</v>
      </c>
      <c r="E2458" s="53" t="s">
        <v>3010</v>
      </c>
      <c r="F2458" s="124">
        <v>10</v>
      </c>
      <c r="G2458" s="124">
        <v>180</v>
      </c>
      <c r="H2458" s="369">
        <v>240.47</v>
      </c>
      <c r="I2458" s="215" t="s">
        <v>346</v>
      </c>
      <c r="J2458" s="215" t="s">
        <v>102</v>
      </c>
      <c r="K2458" s="266">
        <v>49081022860</v>
      </c>
      <c r="L2458" s="265" t="s">
        <v>649</v>
      </c>
      <c r="M2458" s="266">
        <v>40049081022868</v>
      </c>
      <c r="N2458" s="264">
        <v>2.9220000000000002</v>
      </c>
      <c r="O2458" s="265" t="s">
        <v>649</v>
      </c>
      <c r="P2458" s="265">
        <v>30.1</v>
      </c>
      <c r="Q2458" s="265">
        <v>2.65</v>
      </c>
    </row>
    <row r="2459" spans="1:17" ht="15" customHeight="1">
      <c r="A2459" s="147">
        <v>2574</v>
      </c>
      <c r="B2459" s="51" t="s">
        <v>44</v>
      </c>
      <c r="C2459" s="51" t="s">
        <v>3011</v>
      </c>
      <c r="D2459" s="51">
        <v>100024432</v>
      </c>
      <c r="E2459" s="53" t="s">
        <v>3012</v>
      </c>
      <c r="F2459" s="124">
        <v>10</v>
      </c>
      <c r="G2459" s="124">
        <v>180</v>
      </c>
      <c r="H2459" s="369">
        <v>240.47</v>
      </c>
      <c r="I2459" s="215" t="s">
        <v>346</v>
      </c>
      <c r="J2459" s="215" t="s">
        <v>102</v>
      </c>
      <c r="K2459" s="266">
        <v>49081028176</v>
      </c>
      <c r="L2459" s="265" t="s">
        <v>649</v>
      </c>
      <c r="M2459" s="266">
        <v>40049081028174</v>
      </c>
      <c r="N2459" s="264">
        <v>2.7610000000000001</v>
      </c>
      <c r="O2459" s="265" t="s">
        <v>649</v>
      </c>
      <c r="P2459" s="265">
        <v>29.42</v>
      </c>
      <c r="Q2459" s="265">
        <v>2.65</v>
      </c>
    </row>
    <row r="2460" spans="1:17" ht="15" customHeight="1">
      <c r="A2460" s="147">
        <v>2575</v>
      </c>
      <c r="B2460" s="51" t="s">
        <v>44</v>
      </c>
      <c r="C2460" s="51" t="s">
        <v>3013</v>
      </c>
      <c r="D2460" s="51">
        <v>100024433</v>
      </c>
      <c r="E2460" s="53" t="s">
        <v>3014</v>
      </c>
      <c r="F2460" s="124">
        <v>10</v>
      </c>
      <c r="G2460" s="124">
        <v>180</v>
      </c>
      <c r="H2460" s="369">
        <v>240.47</v>
      </c>
      <c r="I2460" s="215" t="s">
        <v>346</v>
      </c>
      <c r="J2460" s="215" t="s">
        <v>102</v>
      </c>
      <c r="K2460" s="266">
        <v>49081028183</v>
      </c>
      <c r="L2460" s="265" t="s">
        <v>649</v>
      </c>
      <c r="M2460" s="266">
        <v>40049081028181</v>
      </c>
      <c r="N2460" s="264">
        <v>2.867</v>
      </c>
      <c r="O2460" s="265" t="s">
        <v>649</v>
      </c>
      <c r="P2460" s="265">
        <v>31</v>
      </c>
      <c r="Q2460" s="265">
        <v>2.65</v>
      </c>
    </row>
    <row r="2461" spans="1:17" ht="15" customHeight="1">
      <c r="A2461" s="147">
        <v>2576</v>
      </c>
      <c r="B2461" s="51" t="s">
        <v>44</v>
      </c>
      <c r="C2461" s="51" t="s">
        <v>3015</v>
      </c>
      <c r="D2461" s="51">
        <v>100024480</v>
      </c>
      <c r="E2461" s="53" t="s">
        <v>3016</v>
      </c>
      <c r="F2461" s="124">
        <v>10</v>
      </c>
      <c r="G2461" s="124">
        <v>180</v>
      </c>
      <c r="H2461" s="369">
        <v>240.47</v>
      </c>
      <c r="I2461" s="215" t="s">
        <v>346</v>
      </c>
      <c r="J2461" s="215" t="s">
        <v>102</v>
      </c>
      <c r="K2461" s="266">
        <v>49081028473</v>
      </c>
      <c r="L2461" s="265" t="s">
        <v>649</v>
      </c>
      <c r="M2461" s="266">
        <v>40049081028471</v>
      </c>
      <c r="N2461" s="264">
        <v>2.7170000000000001</v>
      </c>
      <c r="O2461" s="265" t="s">
        <v>649</v>
      </c>
      <c r="P2461" s="265">
        <v>30</v>
      </c>
      <c r="Q2461" s="265">
        <v>2.65</v>
      </c>
    </row>
    <row r="2462" spans="1:17" ht="15" customHeight="1">
      <c r="A2462" s="147">
        <v>2577</v>
      </c>
      <c r="B2462" s="51" t="s">
        <v>44</v>
      </c>
      <c r="C2462" s="51" t="s">
        <v>3017</v>
      </c>
      <c r="D2462" s="51">
        <v>100024481</v>
      </c>
      <c r="E2462" s="53" t="s">
        <v>3018</v>
      </c>
      <c r="F2462" s="124">
        <v>10</v>
      </c>
      <c r="G2462" s="265" t="s">
        <v>649</v>
      </c>
      <c r="H2462" s="369">
        <v>251.51</v>
      </c>
      <c r="I2462" s="215" t="s">
        <v>346</v>
      </c>
      <c r="J2462" s="215" t="s">
        <v>102</v>
      </c>
      <c r="K2462" s="266">
        <v>49081028480</v>
      </c>
      <c r="L2462" s="265" t="s">
        <v>649</v>
      </c>
      <c r="M2462" s="266">
        <v>40049081028488</v>
      </c>
      <c r="N2462" s="264">
        <v>3.032</v>
      </c>
      <c r="O2462" s="265" t="s">
        <v>649</v>
      </c>
      <c r="P2462" s="265">
        <v>34</v>
      </c>
      <c r="Q2462" s="265" t="s">
        <v>649</v>
      </c>
    </row>
    <row r="2463" spans="1:17" ht="15" customHeight="1">
      <c r="A2463" s="147">
        <v>2578</v>
      </c>
      <c r="B2463" s="51" t="s">
        <v>44</v>
      </c>
      <c r="C2463" s="51" t="s">
        <v>3019</v>
      </c>
      <c r="D2463" s="51">
        <v>100024502</v>
      </c>
      <c r="E2463" s="53" t="s">
        <v>3020</v>
      </c>
      <c r="F2463" s="124">
        <v>10</v>
      </c>
      <c r="G2463" s="124">
        <v>180</v>
      </c>
      <c r="H2463" s="369">
        <v>251.51</v>
      </c>
      <c r="I2463" s="215" t="s">
        <v>346</v>
      </c>
      <c r="J2463" s="215" t="s">
        <v>102</v>
      </c>
      <c r="K2463" s="266">
        <v>49081028732</v>
      </c>
      <c r="L2463" s="265" t="s">
        <v>649</v>
      </c>
      <c r="M2463" s="266">
        <v>40049081028730</v>
      </c>
      <c r="N2463" s="264">
        <v>3.2770000000000001</v>
      </c>
      <c r="O2463" s="265" t="s">
        <v>649</v>
      </c>
      <c r="P2463" s="265">
        <v>35</v>
      </c>
      <c r="Q2463" s="265">
        <v>4.38</v>
      </c>
    </row>
    <row r="2464" spans="1:17" ht="15" customHeight="1">
      <c r="A2464" s="147">
        <v>2579</v>
      </c>
      <c r="B2464" s="51" t="s">
        <v>44</v>
      </c>
      <c r="C2464" s="51" t="s">
        <v>3021</v>
      </c>
      <c r="D2464" s="51">
        <v>100024511</v>
      </c>
      <c r="E2464" s="53" t="s">
        <v>3022</v>
      </c>
      <c r="F2464" s="124">
        <v>10</v>
      </c>
      <c r="G2464" s="124">
        <v>180</v>
      </c>
      <c r="H2464" s="369">
        <v>240.47</v>
      </c>
      <c r="I2464" s="215" t="s">
        <v>346</v>
      </c>
      <c r="J2464" s="215" t="s">
        <v>102</v>
      </c>
      <c r="K2464" s="266">
        <v>49081028817</v>
      </c>
      <c r="L2464" s="265" t="s">
        <v>649</v>
      </c>
      <c r="M2464" s="266">
        <v>40049081028815</v>
      </c>
      <c r="N2464" s="264">
        <v>2.8820000000000001</v>
      </c>
      <c r="O2464" s="265" t="s">
        <v>649</v>
      </c>
      <c r="P2464" s="265">
        <v>30.6</v>
      </c>
      <c r="Q2464" s="265">
        <v>2.65</v>
      </c>
    </row>
    <row r="2465" spans="1:17" ht="15" customHeight="1">
      <c r="A2465" s="147">
        <v>2580</v>
      </c>
      <c r="B2465" s="51" t="s">
        <v>44</v>
      </c>
      <c r="C2465" s="51" t="s">
        <v>3023</v>
      </c>
      <c r="D2465" s="51">
        <v>100024512</v>
      </c>
      <c r="E2465" s="53" t="s">
        <v>3024</v>
      </c>
      <c r="F2465" s="124">
        <v>10</v>
      </c>
      <c r="G2465" s="265" t="s">
        <v>649</v>
      </c>
      <c r="H2465" s="369">
        <v>251.51</v>
      </c>
      <c r="I2465" s="215" t="s">
        <v>346</v>
      </c>
      <c r="J2465" s="215" t="s">
        <v>102</v>
      </c>
      <c r="K2465" s="266">
        <v>49081028824</v>
      </c>
      <c r="L2465" s="265" t="s">
        <v>649</v>
      </c>
      <c r="M2465" s="266">
        <v>40049081028822</v>
      </c>
      <c r="N2465" s="264">
        <v>3.101</v>
      </c>
      <c r="O2465" s="265" t="s">
        <v>649</v>
      </c>
      <c r="P2465" s="265">
        <v>32.700000000000003</v>
      </c>
      <c r="Q2465" s="265" t="s">
        <v>649</v>
      </c>
    </row>
    <row r="2466" spans="1:17" ht="15" customHeight="1">
      <c r="A2466" s="147">
        <v>2581</v>
      </c>
      <c r="B2466" s="51" t="s">
        <v>44</v>
      </c>
      <c r="C2466" s="51" t="s">
        <v>3025</v>
      </c>
      <c r="D2466" s="51">
        <v>100025035</v>
      </c>
      <c r="E2466" s="53" t="s">
        <v>3026</v>
      </c>
      <c r="F2466" s="124">
        <v>10</v>
      </c>
      <c r="G2466" s="124">
        <v>180</v>
      </c>
      <c r="H2466" s="369">
        <v>240.47</v>
      </c>
      <c r="I2466" s="215" t="s">
        <v>346</v>
      </c>
      <c r="J2466" s="215" t="s">
        <v>102</v>
      </c>
      <c r="K2466" s="266">
        <v>49081029005</v>
      </c>
      <c r="L2466" s="265" t="s">
        <v>649</v>
      </c>
      <c r="M2466" s="266">
        <v>40049081029003</v>
      </c>
      <c r="N2466" s="264">
        <v>3.0369999999999999</v>
      </c>
      <c r="O2466" s="265" t="s">
        <v>649</v>
      </c>
      <c r="P2466" s="265">
        <v>31.35</v>
      </c>
      <c r="Q2466" s="265">
        <v>2.65</v>
      </c>
    </row>
    <row r="2467" spans="1:17" ht="15" customHeight="1">
      <c r="A2467" s="147">
        <v>2582</v>
      </c>
      <c r="B2467" s="51" t="s">
        <v>44</v>
      </c>
      <c r="C2467" s="51" t="s">
        <v>3027</v>
      </c>
      <c r="D2467" s="51">
        <v>100024536</v>
      </c>
      <c r="E2467" s="53" t="s">
        <v>3028</v>
      </c>
      <c r="F2467" s="124">
        <v>10</v>
      </c>
      <c r="G2467" s="124">
        <v>240</v>
      </c>
      <c r="H2467" s="369">
        <v>251.51</v>
      </c>
      <c r="I2467" s="215" t="s">
        <v>346</v>
      </c>
      <c r="J2467" s="215" t="s">
        <v>102</v>
      </c>
      <c r="K2467" s="266">
        <v>49081030650</v>
      </c>
      <c r="L2467" s="265" t="s">
        <v>649</v>
      </c>
      <c r="M2467" s="266">
        <v>40049081030658</v>
      </c>
      <c r="N2467" s="264">
        <v>3.3519999999999999</v>
      </c>
      <c r="O2467" s="265" t="s">
        <v>649</v>
      </c>
      <c r="P2467" s="265">
        <v>34.5</v>
      </c>
      <c r="Q2467" s="265">
        <v>2.77</v>
      </c>
    </row>
    <row r="2468" spans="1:17" ht="15" customHeight="1">
      <c r="A2468" s="147">
        <v>2583</v>
      </c>
      <c r="B2468" s="51" t="s">
        <v>44</v>
      </c>
      <c r="C2468" s="51" t="s">
        <v>3029</v>
      </c>
      <c r="D2468" s="51">
        <v>100025037</v>
      </c>
      <c r="E2468" s="53" t="s">
        <v>3030</v>
      </c>
      <c r="F2468" s="124">
        <v>10</v>
      </c>
      <c r="G2468" s="124">
        <v>180</v>
      </c>
      <c r="H2468" s="369">
        <v>240.47</v>
      </c>
      <c r="I2468" s="215" t="s">
        <v>346</v>
      </c>
      <c r="J2468" s="215" t="s">
        <v>102</v>
      </c>
      <c r="K2468" s="266">
        <v>49081029036</v>
      </c>
      <c r="L2468" s="265" t="s">
        <v>649</v>
      </c>
      <c r="M2468" s="266">
        <v>40049081029034</v>
      </c>
      <c r="N2468" s="264">
        <v>2.9820000000000002</v>
      </c>
      <c r="O2468" s="265" t="s">
        <v>649</v>
      </c>
      <c r="P2468" s="265">
        <v>22</v>
      </c>
      <c r="Q2468" s="265">
        <v>2.65</v>
      </c>
    </row>
    <row r="2469" spans="1:17" ht="15" customHeight="1">
      <c r="A2469" s="147">
        <v>2584</v>
      </c>
      <c r="B2469" s="51" t="s">
        <v>44</v>
      </c>
      <c r="C2469" s="51" t="s">
        <v>3031</v>
      </c>
      <c r="D2469" s="51">
        <v>100024542</v>
      </c>
      <c r="E2469" s="53" t="s">
        <v>3032</v>
      </c>
      <c r="F2469" s="124">
        <v>10</v>
      </c>
      <c r="G2469" s="124">
        <v>240</v>
      </c>
      <c r="H2469" s="369">
        <v>251.51</v>
      </c>
      <c r="I2469" s="215" t="s">
        <v>346</v>
      </c>
      <c r="J2469" s="215" t="s">
        <v>102</v>
      </c>
      <c r="K2469" s="266">
        <v>49081029678</v>
      </c>
      <c r="L2469" s="265" t="s">
        <v>649</v>
      </c>
      <c r="M2469" s="266">
        <v>40049081029676</v>
      </c>
      <c r="N2469" s="264">
        <v>3.2970000000000002</v>
      </c>
      <c r="O2469" s="265" t="s">
        <v>649</v>
      </c>
      <c r="P2469" s="265">
        <v>35</v>
      </c>
      <c r="Q2469" s="265">
        <v>2.77</v>
      </c>
    </row>
    <row r="2470" spans="1:17" ht="15" customHeight="1">
      <c r="A2470" s="147">
        <v>2585</v>
      </c>
      <c r="B2470" s="51" t="s">
        <v>44</v>
      </c>
      <c r="C2470" s="51" t="s">
        <v>3033</v>
      </c>
      <c r="D2470" s="51">
        <v>100025057</v>
      </c>
      <c r="E2470" s="53" t="s">
        <v>3034</v>
      </c>
      <c r="F2470" s="124">
        <v>10</v>
      </c>
      <c r="G2470" s="124">
        <v>180</v>
      </c>
      <c r="H2470" s="369">
        <v>240.47</v>
      </c>
      <c r="I2470" s="215" t="s">
        <v>346</v>
      </c>
      <c r="J2470" s="215" t="s">
        <v>102</v>
      </c>
      <c r="K2470" s="266">
        <v>49081021900</v>
      </c>
      <c r="L2470" s="265" t="s">
        <v>649</v>
      </c>
      <c r="M2470" s="266">
        <v>40049081021908</v>
      </c>
      <c r="N2470" s="264">
        <v>2.9</v>
      </c>
      <c r="O2470" s="265" t="s">
        <v>649</v>
      </c>
      <c r="P2470" s="265">
        <v>30.15</v>
      </c>
      <c r="Q2470" s="265">
        <v>2.65</v>
      </c>
    </row>
    <row r="2471" spans="1:17" ht="15" customHeight="1">
      <c r="A2471" s="147">
        <v>2586</v>
      </c>
      <c r="B2471" s="51" t="s">
        <v>44</v>
      </c>
      <c r="C2471" s="51" t="s">
        <v>3035</v>
      </c>
      <c r="D2471" s="51">
        <v>100024572</v>
      </c>
      <c r="E2471" s="53" t="s">
        <v>3036</v>
      </c>
      <c r="F2471" s="124">
        <v>10</v>
      </c>
      <c r="G2471" s="124">
        <v>240</v>
      </c>
      <c r="H2471" s="369">
        <v>251.51</v>
      </c>
      <c r="I2471" s="215" t="s">
        <v>346</v>
      </c>
      <c r="J2471" s="215" t="s">
        <v>102</v>
      </c>
      <c r="K2471" s="266">
        <v>49081031107</v>
      </c>
      <c r="L2471" s="265" t="s">
        <v>649</v>
      </c>
      <c r="M2471" s="266">
        <v>40049081031105</v>
      </c>
      <c r="N2471" s="264">
        <v>3.2149999999999999</v>
      </c>
      <c r="O2471" s="265" t="s">
        <v>649</v>
      </c>
      <c r="P2471" s="265">
        <v>33.799999999999997</v>
      </c>
      <c r="Q2471" s="265">
        <v>2.77</v>
      </c>
    </row>
    <row r="2472" spans="1:17" ht="15" customHeight="1">
      <c r="A2472" s="147">
        <v>2587</v>
      </c>
      <c r="B2472" s="51" t="s">
        <v>44</v>
      </c>
      <c r="C2472" s="51" t="s">
        <v>3037</v>
      </c>
      <c r="D2472" s="51">
        <v>100025062</v>
      </c>
      <c r="E2472" s="53" t="s">
        <v>3038</v>
      </c>
      <c r="F2472" s="124">
        <v>10</v>
      </c>
      <c r="G2472" s="124">
        <v>180</v>
      </c>
      <c r="H2472" s="369">
        <v>240.47</v>
      </c>
      <c r="I2472" s="215" t="s">
        <v>76</v>
      </c>
      <c r="J2472" s="215" t="s">
        <v>102</v>
      </c>
      <c r="K2472" s="266">
        <v>49081021979</v>
      </c>
      <c r="L2472" s="265" t="s">
        <v>649</v>
      </c>
      <c r="M2472" s="266">
        <v>40049081021977</v>
      </c>
      <c r="N2472" s="264">
        <v>2.85</v>
      </c>
      <c r="O2472" s="265" t="s">
        <v>649</v>
      </c>
      <c r="P2472" s="265">
        <v>30.2</v>
      </c>
      <c r="Q2472" s="265">
        <v>2.65</v>
      </c>
    </row>
    <row r="2473" spans="1:17" ht="15" customHeight="1">
      <c r="A2473" s="147">
        <v>2588</v>
      </c>
      <c r="B2473" s="51" t="s">
        <v>44</v>
      </c>
      <c r="C2473" s="51" t="s">
        <v>3039</v>
      </c>
      <c r="D2473" s="51">
        <v>100024580</v>
      </c>
      <c r="E2473" s="53" t="s">
        <v>3040</v>
      </c>
      <c r="F2473" s="124">
        <v>10</v>
      </c>
      <c r="G2473" s="265" t="s">
        <v>649</v>
      </c>
      <c r="H2473" s="369">
        <v>251.51</v>
      </c>
      <c r="I2473" s="215" t="s">
        <v>346</v>
      </c>
      <c r="J2473" s="215" t="s">
        <v>102</v>
      </c>
      <c r="K2473" s="266">
        <v>49081029241</v>
      </c>
      <c r="L2473" s="265" t="s">
        <v>649</v>
      </c>
      <c r="M2473" s="266">
        <v>40049081029249</v>
      </c>
      <c r="N2473" s="264">
        <v>3.1320000000000001</v>
      </c>
      <c r="O2473" s="265" t="s">
        <v>649</v>
      </c>
      <c r="P2473" s="265" t="s">
        <v>649</v>
      </c>
      <c r="Q2473" s="265" t="s">
        <v>649</v>
      </c>
    </row>
    <row r="2474" spans="1:17" ht="15" customHeight="1">
      <c r="A2474" s="147">
        <v>2589</v>
      </c>
      <c r="B2474" s="51" t="s">
        <v>44</v>
      </c>
      <c r="C2474" s="51" t="s">
        <v>3041</v>
      </c>
      <c r="D2474" s="51">
        <v>100024605</v>
      </c>
      <c r="E2474" s="53" t="s">
        <v>3042</v>
      </c>
      <c r="F2474" s="124">
        <v>10</v>
      </c>
      <c r="G2474" s="124">
        <v>180</v>
      </c>
      <c r="H2474" s="369">
        <v>240.47</v>
      </c>
      <c r="I2474" s="215" t="s">
        <v>346</v>
      </c>
      <c r="J2474" s="215" t="s">
        <v>102</v>
      </c>
      <c r="K2474" s="266">
        <v>49081030742</v>
      </c>
      <c r="L2474" s="265" t="s">
        <v>649</v>
      </c>
      <c r="M2474" s="266">
        <v>40049081030740</v>
      </c>
      <c r="N2474" s="264">
        <v>2.9569999999999999</v>
      </c>
      <c r="O2474" s="265" t="s">
        <v>649</v>
      </c>
      <c r="P2474" s="265">
        <v>30.55</v>
      </c>
      <c r="Q2474" s="265">
        <v>2.65</v>
      </c>
    </row>
    <row r="2475" spans="1:17" ht="15" customHeight="1">
      <c r="A2475" s="147">
        <v>2590</v>
      </c>
      <c r="B2475" s="51" t="s">
        <v>44</v>
      </c>
      <c r="C2475" s="51" t="s">
        <v>3044</v>
      </c>
      <c r="D2475" s="51">
        <v>100024608</v>
      </c>
      <c r="E2475" s="53" t="s">
        <v>3045</v>
      </c>
      <c r="F2475" s="124">
        <v>1</v>
      </c>
      <c r="G2475" s="265" t="s">
        <v>649</v>
      </c>
      <c r="H2475" s="369">
        <v>49.13</v>
      </c>
      <c r="I2475" s="215" t="s">
        <v>346</v>
      </c>
      <c r="J2475" s="215" t="s">
        <v>102</v>
      </c>
      <c r="K2475" s="266">
        <v>49081232603</v>
      </c>
      <c r="L2475" s="265" t="s">
        <v>649</v>
      </c>
      <c r="M2475" s="266">
        <v>40049081232601</v>
      </c>
      <c r="N2475" s="264">
        <v>0.255</v>
      </c>
      <c r="O2475" s="265" t="s">
        <v>649</v>
      </c>
      <c r="P2475" s="265">
        <v>0.255</v>
      </c>
      <c r="Q2475" s="265" t="s">
        <v>649</v>
      </c>
    </row>
    <row r="2476" spans="1:17" ht="15" customHeight="1">
      <c r="A2476" s="147">
        <v>2591</v>
      </c>
      <c r="B2476" s="51" t="s">
        <v>44</v>
      </c>
      <c r="C2476" s="51" t="s">
        <v>3046</v>
      </c>
      <c r="D2476" s="51">
        <v>100024609</v>
      </c>
      <c r="E2476" s="53" t="s">
        <v>3047</v>
      </c>
      <c r="F2476" s="124">
        <v>25</v>
      </c>
      <c r="G2476" s="124">
        <v>2250</v>
      </c>
      <c r="H2476" s="369">
        <v>58.63</v>
      </c>
      <c r="I2476" s="215" t="s">
        <v>346</v>
      </c>
      <c r="J2476" s="215" t="s">
        <v>102</v>
      </c>
      <c r="K2476" s="266">
        <v>49081232412</v>
      </c>
      <c r="L2476" s="265" t="s">
        <v>649</v>
      </c>
      <c r="M2476" s="266">
        <v>40049081232410</v>
      </c>
      <c r="N2476" s="264">
        <v>0.41899999999999998</v>
      </c>
      <c r="O2476" s="265" t="s">
        <v>649</v>
      </c>
      <c r="P2476" s="265">
        <v>11.24</v>
      </c>
      <c r="Q2476" s="265">
        <v>0.8</v>
      </c>
    </row>
    <row r="2477" spans="1:17" ht="15" customHeight="1">
      <c r="A2477" s="147">
        <v>2592</v>
      </c>
      <c r="B2477" s="51" t="s">
        <v>44</v>
      </c>
      <c r="C2477" s="51" t="s">
        <v>3048</v>
      </c>
      <c r="D2477" s="51">
        <v>100025064</v>
      </c>
      <c r="E2477" s="53" t="s">
        <v>3049</v>
      </c>
      <c r="F2477" s="124">
        <v>25</v>
      </c>
      <c r="G2477" s="124">
        <v>1875</v>
      </c>
      <c r="H2477" s="369">
        <v>60.52</v>
      </c>
      <c r="I2477" s="215" t="s">
        <v>346</v>
      </c>
      <c r="J2477" s="215" t="s">
        <v>102</v>
      </c>
      <c r="K2477" s="266">
        <v>49081232429</v>
      </c>
      <c r="L2477" s="265" t="s">
        <v>649</v>
      </c>
      <c r="M2477" s="266">
        <v>40049081232427</v>
      </c>
      <c r="N2477" s="264">
        <v>0.438</v>
      </c>
      <c r="O2477" s="265" t="s">
        <v>649</v>
      </c>
      <c r="P2477" s="265">
        <v>12.02</v>
      </c>
      <c r="Q2477" s="265">
        <v>0.95</v>
      </c>
    </row>
    <row r="2478" spans="1:17" ht="15" customHeight="1">
      <c r="A2478" s="147">
        <v>2593</v>
      </c>
      <c r="B2478" s="51" t="s">
        <v>44</v>
      </c>
      <c r="C2478" s="51" t="s">
        <v>3050</v>
      </c>
      <c r="D2478" s="51">
        <v>100024610</v>
      </c>
      <c r="E2478" s="53" t="s">
        <v>3051</v>
      </c>
      <c r="F2478" s="124">
        <v>25</v>
      </c>
      <c r="G2478" s="124">
        <v>3750</v>
      </c>
      <c r="H2478" s="369">
        <v>53.17</v>
      </c>
      <c r="I2478" s="215" t="s">
        <v>346</v>
      </c>
      <c r="J2478" s="215" t="s">
        <v>102</v>
      </c>
      <c r="K2478" s="266">
        <v>49081232405</v>
      </c>
      <c r="L2478" s="265" t="s">
        <v>649</v>
      </c>
      <c r="M2478" s="266">
        <v>40049081232403</v>
      </c>
      <c r="N2478" s="264">
        <v>0.313</v>
      </c>
      <c r="O2478" s="265" t="s">
        <v>649</v>
      </c>
      <c r="P2478" s="265">
        <v>3.65</v>
      </c>
      <c r="Q2478" s="265">
        <v>0.5</v>
      </c>
    </row>
    <row r="2479" spans="1:17" ht="15" customHeight="1">
      <c r="A2479" s="147">
        <v>2594</v>
      </c>
      <c r="B2479" s="51" t="s">
        <v>44</v>
      </c>
      <c r="C2479" s="51" t="s">
        <v>3052</v>
      </c>
      <c r="D2479" s="51">
        <v>100025065</v>
      </c>
      <c r="E2479" s="53" t="s">
        <v>3053</v>
      </c>
      <c r="F2479" s="124">
        <v>25</v>
      </c>
      <c r="G2479" s="124">
        <v>2250</v>
      </c>
      <c r="H2479" s="369">
        <v>58.63</v>
      </c>
      <c r="I2479" s="215" t="s">
        <v>346</v>
      </c>
      <c r="J2479" s="215" t="s">
        <v>102</v>
      </c>
      <c r="K2479" s="266">
        <v>49081232023</v>
      </c>
      <c r="L2479" s="265" t="s">
        <v>649</v>
      </c>
      <c r="M2479" s="266">
        <v>40049081232021</v>
      </c>
      <c r="N2479" s="264">
        <v>0.40400000000000003</v>
      </c>
      <c r="O2479" s="265" t="s">
        <v>649</v>
      </c>
      <c r="P2479" s="265">
        <v>11.88</v>
      </c>
      <c r="Q2479" s="265">
        <v>0.8</v>
      </c>
    </row>
    <row r="2480" spans="1:17" ht="15" customHeight="1">
      <c r="A2480" s="147">
        <v>2595</v>
      </c>
      <c r="B2480" s="51" t="s">
        <v>44</v>
      </c>
      <c r="C2480" s="51" t="s">
        <v>3054</v>
      </c>
      <c r="D2480" s="51">
        <v>100025066</v>
      </c>
      <c r="E2480" s="53" t="s">
        <v>3055</v>
      </c>
      <c r="F2480" s="124">
        <v>25</v>
      </c>
      <c r="G2480" s="124">
        <v>1875</v>
      </c>
      <c r="H2480" s="369">
        <v>60.52</v>
      </c>
      <c r="I2480" s="215" t="s">
        <v>346</v>
      </c>
      <c r="J2480" s="215" t="s">
        <v>102</v>
      </c>
      <c r="K2480" s="266">
        <v>49081232030</v>
      </c>
      <c r="L2480" s="265" t="s">
        <v>649</v>
      </c>
      <c r="M2480" s="266">
        <v>40049081232038</v>
      </c>
      <c r="N2480" s="264">
        <v>0.42299999999999999</v>
      </c>
      <c r="O2480" s="265" t="s">
        <v>649</v>
      </c>
      <c r="P2480" s="265">
        <v>11.515000000000001</v>
      </c>
      <c r="Q2480" s="265">
        <v>0.95</v>
      </c>
    </row>
    <row r="2481" spans="1:17" ht="15" customHeight="1">
      <c r="A2481" s="147">
        <v>2596</v>
      </c>
      <c r="B2481" s="51" t="s">
        <v>44</v>
      </c>
      <c r="C2481" s="51" t="s">
        <v>3056</v>
      </c>
      <c r="D2481" s="51">
        <v>100024612</v>
      </c>
      <c r="E2481" s="53" t="s">
        <v>3057</v>
      </c>
      <c r="F2481" s="124">
        <v>25</v>
      </c>
      <c r="G2481" s="124">
        <v>3750</v>
      </c>
      <c r="H2481" s="369">
        <v>53.17</v>
      </c>
      <c r="I2481" s="215" t="s">
        <v>346</v>
      </c>
      <c r="J2481" s="215" t="s">
        <v>102</v>
      </c>
      <c r="K2481" s="266">
        <v>49081232016</v>
      </c>
      <c r="L2481" s="265" t="s">
        <v>649</v>
      </c>
      <c r="M2481" s="266">
        <v>40049081232014</v>
      </c>
      <c r="N2481" s="264">
        <v>0.29799999999999999</v>
      </c>
      <c r="O2481" s="265" t="s">
        <v>649</v>
      </c>
      <c r="P2481" s="265">
        <v>7.93</v>
      </c>
      <c r="Q2481" s="265">
        <v>0.5</v>
      </c>
    </row>
    <row r="2482" spans="1:17" ht="15" customHeight="1">
      <c r="A2482" s="147">
        <v>2597</v>
      </c>
      <c r="B2482" s="51" t="s">
        <v>44</v>
      </c>
      <c r="C2482" s="51" t="s">
        <v>3058</v>
      </c>
      <c r="D2482" s="51">
        <v>100025068</v>
      </c>
      <c r="E2482" s="53" t="s">
        <v>3059</v>
      </c>
      <c r="F2482" s="124">
        <v>25</v>
      </c>
      <c r="G2482" s="124">
        <v>2250</v>
      </c>
      <c r="H2482" s="369">
        <v>66.77</v>
      </c>
      <c r="I2482" s="215" t="s">
        <v>346</v>
      </c>
      <c r="J2482" s="215" t="s">
        <v>102</v>
      </c>
      <c r="K2482" s="266">
        <v>49081232528</v>
      </c>
      <c r="L2482" s="265" t="s">
        <v>649</v>
      </c>
      <c r="M2482" s="266">
        <v>40049081232526</v>
      </c>
      <c r="N2482" s="264">
        <v>0.56100000000000005</v>
      </c>
      <c r="O2482" s="265" t="s">
        <v>649</v>
      </c>
      <c r="P2482" s="265">
        <v>14.02</v>
      </c>
      <c r="Q2482" s="265">
        <v>0.8</v>
      </c>
    </row>
    <row r="2483" spans="1:17" ht="15" customHeight="1">
      <c r="A2483" s="147">
        <v>2598</v>
      </c>
      <c r="B2483" s="51" t="s">
        <v>44</v>
      </c>
      <c r="C2483" s="51" t="s">
        <v>3060</v>
      </c>
      <c r="D2483" s="51">
        <v>100025069</v>
      </c>
      <c r="E2483" s="53" t="s">
        <v>3061</v>
      </c>
      <c r="F2483" s="124">
        <v>25</v>
      </c>
      <c r="G2483" s="124">
        <v>1875</v>
      </c>
      <c r="H2483" s="369">
        <v>68.98</v>
      </c>
      <c r="I2483" s="215" t="s">
        <v>346</v>
      </c>
      <c r="J2483" s="215" t="s">
        <v>102</v>
      </c>
      <c r="K2483" s="266">
        <v>49081232535</v>
      </c>
      <c r="L2483" s="265" t="s">
        <v>649</v>
      </c>
      <c r="M2483" s="266">
        <v>40049081232533</v>
      </c>
      <c r="N2483" s="264">
        <v>0.61399999999999999</v>
      </c>
      <c r="O2483" s="265" t="s">
        <v>649</v>
      </c>
      <c r="P2483" s="265">
        <v>15.355</v>
      </c>
      <c r="Q2483" s="265">
        <v>1.1000000000000001</v>
      </c>
    </row>
    <row r="2484" spans="1:17" ht="15" customHeight="1">
      <c r="A2484" s="147">
        <v>2599</v>
      </c>
      <c r="B2484" s="51" t="s">
        <v>44</v>
      </c>
      <c r="C2484" s="51" t="s">
        <v>3062</v>
      </c>
      <c r="D2484" s="51">
        <v>100024614</v>
      </c>
      <c r="E2484" s="53" t="s">
        <v>3063</v>
      </c>
      <c r="F2484" s="124">
        <v>25</v>
      </c>
      <c r="G2484" s="124">
        <v>3000</v>
      </c>
      <c r="H2484" s="369">
        <v>60.04</v>
      </c>
      <c r="I2484" s="215" t="s">
        <v>346</v>
      </c>
      <c r="J2484" s="215" t="s">
        <v>102</v>
      </c>
      <c r="K2484" s="266">
        <v>49081232504</v>
      </c>
      <c r="L2484" s="265" t="s">
        <v>649</v>
      </c>
      <c r="M2484" s="266">
        <v>40049081232502</v>
      </c>
      <c r="N2484" s="264">
        <v>0.50600000000000001</v>
      </c>
      <c r="O2484" s="265" t="s">
        <v>649</v>
      </c>
      <c r="P2484" s="265">
        <v>10.6</v>
      </c>
      <c r="Q2484" s="265">
        <v>0.65</v>
      </c>
    </row>
    <row r="2485" spans="1:17" ht="15" customHeight="1">
      <c r="A2485" s="147">
        <v>2600</v>
      </c>
      <c r="B2485" s="51" t="s">
        <v>44</v>
      </c>
      <c r="C2485" s="51" t="s">
        <v>3064</v>
      </c>
      <c r="D2485" s="51">
        <v>100025070</v>
      </c>
      <c r="E2485" s="53" t="s">
        <v>3065</v>
      </c>
      <c r="F2485" s="124">
        <v>25</v>
      </c>
      <c r="G2485" s="124">
        <v>2250</v>
      </c>
      <c r="H2485" s="369">
        <v>64.48</v>
      </c>
      <c r="I2485" s="215" t="s">
        <v>346</v>
      </c>
      <c r="J2485" s="215" t="s">
        <v>102</v>
      </c>
      <c r="K2485" s="266">
        <v>49081232511</v>
      </c>
      <c r="L2485" s="265" t="s">
        <v>649</v>
      </c>
      <c r="M2485" s="266">
        <v>40049081232519</v>
      </c>
      <c r="N2485" s="264">
        <v>0.52</v>
      </c>
      <c r="O2485" s="265" t="s">
        <v>649</v>
      </c>
      <c r="P2485" s="265">
        <v>13</v>
      </c>
      <c r="Q2485" s="265">
        <v>0.8</v>
      </c>
    </row>
    <row r="2486" spans="1:17" ht="15" customHeight="1">
      <c r="A2486" s="147">
        <v>2601</v>
      </c>
      <c r="B2486" s="51" t="s">
        <v>44</v>
      </c>
      <c r="C2486" s="51" t="s">
        <v>3066</v>
      </c>
      <c r="D2486" s="51">
        <v>100024615</v>
      </c>
      <c r="E2486" s="53" t="s">
        <v>3067</v>
      </c>
      <c r="F2486" s="124">
        <v>1</v>
      </c>
      <c r="G2486" s="265" t="s">
        <v>649</v>
      </c>
      <c r="H2486" s="369">
        <v>55.51</v>
      </c>
      <c r="I2486" s="215" t="s">
        <v>346</v>
      </c>
      <c r="J2486" s="215" t="s">
        <v>102</v>
      </c>
      <c r="K2486" s="266">
        <v>49081232092</v>
      </c>
      <c r="L2486" s="265" t="s">
        <v>649</v>
      </c>
      <c r="M2486" s="266">
        <v>40049081232090</v>
      </c>
      <c r="N2486" s="264">
        <v>0.307</v>
      </c>
      <c r="O2486" s="265" t="s">
        <v>649</v>
      </c>
      <c r="P2486" s="265">
        <v>0.3</v>
      </c>
      <c r="Q2486" s="265" t="s">
        <v>649</v>
      </c>
    </row>
    <row r="2487" spans="1:17" ht="15" customHeight="1">
      <c r="A2487" s="147">
        <v>2602</v>
      </c>
      <c r="B2487" s="51" t="s">
        <v>44</v>
      </c>
      <c r="C2487" s="51" t="s">
        <v>3068</v>
      </c>
      <c r="D2487" s="51">
        <v>100025071</v>
      </c>
      <c r="E2487" s="53" t="s">
        <v>3069</v>
      </c>
      <c r="F2487" s="124">
        <v>25</v>
      </c>
      <c r="G2487" s="124">
        <v>1875</v>
      </c>
      <c r="H2487" s="369">
        <v>66.77</v>
      </c>
      <c r="I2487" s="215" t="s">
        <v>346</v>
      </c>
      <c r="J2487" s="215" t="s">
        <v>102</v>
      </c>
      <c r="K2487" s="266">
        <v>49081232061</v>
      </c>
      <c r="L2487" s="265" t="s">
        <v>649</v>
      </c>
      <c r="M2487" s="266">
        <v>40049081232069</v>
      </c>
      <c r="N2487" s="264">
        <v>0.54</v>
      </c>
      <c r="O2487" s="265" t="s">
        <v>649</v>
      </c>
      <c r="P2487" s="265">
        <v>13.5</v>
      </c>
      <c r="Q2487" s="265">
        <v>0.95</v>
      </c>
    </row>
    <row r="2488" spans="1:17" ht="15" customHeight="1">
      <c r="A2488" s="147">
        <v>2603</v>
      </c>
      <c r="B2488" s="51" t="s">
        <v>44</v>
      </c>
      <c r="C2488" s="51" t="s">
        <v>3070</v>
      </c>
      <c r="D2488" s="51">
        <v>100025072</v>
      </c>
      <c r="E2488" s="53" t="s">
        <v>3071</v>
      </c>
      <c r="F2488" s="124">
        <v>25</v>
      </c>
      <c r="G2488" s="124">
        <v>1875</v>
      </c>
      <c r="H2488" s="369">
        <v>68.98</v>
      </c>
      <c r="I2488" s="215" t="s">
        <v>76</v>
      </c>
      <c r="J2488" s="215" t="s">
        <v>102</v>
      </c>
      <c r="K2488" s="266">
        <v>49081232078</v>
      </c>
      <c r="L2488" s="265" t="s">
        <v>649</v>
      </c>
      <c r="M2488" s="266">
        <v>40049081232076</v>
      </c>
      <c r="N2488" s="264">
        <v>0.61599999999999999</v>
      </c>
      <c r="O2488" s="265" t="s">
        <v>649</v>
      </c>
      <c r="P2488" s="265">
        <v>15.4</v>
      </c>
      <c r="Q2488" s="265">
        <v>1.1000000000000001</v>
      </c>
    </row>
    <row r="2489" spans="1:17" ht="15" customHeight="1">
      <c r="A2489" s="147">
        <v>2604</v>
      </c>
      <c r="B2489" s="51" t="s">
        <v>44</v>
      </c>
      <c r="C2489" s="51" t="s">
        <v>3072</v>
      </c>
      <c r="D2489" s="51">
        <v>100025073</v>
      </c>
      <c r="E2489" s="53" t="s">
        <v>3073</v>
      </c>
      <c r="F2489" s="124">
        <v>25</v>
      </c>
      <c r="G2489" s="124">
        <v>1875</v>
      </c>
      <c r="H2489" s="369">
        <v>68.98</v>
      </c>
      <c r="I2489" s="215" t="s">
        <v>76</v>
      </c>
      <c r="J2489" s="215" t="s">
        <v>102</v>
      </c>
      <c r="K2489" s="266">
        <v>49081232115</v>
      </c>
      <c r="L2489" s="265" t="s">
        <v>649</v>
      </c>
      <c r="M2489" s="266">
        <v>40049081232113</v>
      </c>
      <c r="N2489" s="264">
        <v>0.629</v>
      </c>
      <c r="O2489" s="265" t="s">
        <v>649</v>
      </c>
      <c r="P2489" s="265">
        <v>15.73</v>
      </c>
      <c r="Q2489" s="265">
        <v>1.1000000000000001</v>
      </c>
    </row>
    <row r="2490" spans="1:17" ht="15" customHeight="1">
      <c r="A2490" s="147">
        <v>2605</v>
      </c>
      <c r="B2490" s="51" t="s">
        <v>44</v>
      </c>
      <c r="C2490" s="51" t="s">
        <v>3074</v>
      </c>
      <c r="D2490" s="51">
        <v>100024617</v>
      </c>
      <c r="E2490" s="53" t="s">
        <v>3075</v>
      </c>
      <c r="F2490" s="124">
        <v>25</v>
      </c>
      <c r="G2490" s="124">
        <v>3000</v>
      </c>
      <c r="H2490" s="369">
        <v>60.04</v>
      </c>
      <c r="I2490" s="215" t="s">
        <v>346</v>
      </c>
      <c r="J2490" s="215" t="s">
        <v>102</v>
      </c>
      <c r="K2490" s="266">
        <v>49081232047</v>
      </c>
      <c r="L2490" s="265" t="s">
        <v>649</v>
      </c>
      <c r="M2490" s="266">
        <v>40049081232045</v>
      </c>
      <c r="N2490" s="264">
        <v>0.48799999999999999</v>
      </c>
      <c r="O2490" s="265" t="s">
        <v>649</v>
      </c>
      <c r="P2490" s="265">
        <v>10.050000000000001</v>
      </c>
      <c r="Q2490" s="265">
        <v>0.65</v>
      </c>
    </row>
    <row r="2491" spans="1:17" ht="15" customHeight="1">
      <c r="A2491" s="147">
        <v>2606</v>
      </c>
      <c r="B2491" s="51" t="s">
        <v>44</v>
      </c>
      <c r="C2491" s="51" t="s">
        <v>3076</v>
      </c>
      <c r="D2491" s="51">
        <v>100025074</v>
      </c>
      <c r="E2491" s="53" t="s">
        <v>3077</v>
      </c>
      <c r="F2491" s="124">
        <v>25</v>
      </c>
      <c r="G2491" s="124">
        <v>2250</v>
      </c>
      <c r="H2491" s="369">
        <v>64.48</v>
      </c>
      <c r="I2491" s="215" t="s">
        <v>76</v>
      </c>
      <c r="J2491" s="215" t="s">
        <v>102</v>
      </c>
      <c r="K2491" s="266">
        <v>49081232054</v>
      </c>
      <c r="L2491" s="265" t="s">
        <v>649</v>
      </c>
      <c r="M2491" s="266">
        <v>40049081232052</v>
      </c>
      <c r="N2491" s="264">
        <v>0.5</v>
      </c>
      <c r="O2491" s="265" t="s">
        <v>649</v>
      </c>
      <c r="P2491" s="265">
        <v>12.5</v>
      </c>
      <c r="Q2491" s="265">
        <v>0.8</v>
      </c>
    </row>
    <row r="2492" spans="1:17" ht="15" customHeight="1">
      <c r="A2492" s="147">
        <v>2607</v>
      </c>
      <c r="B2492" s="51" t="s">
        <v>44</v>
      </c>
      <c r="C2492" s="51" t="s">
        <v>3079</v>
      </c>
      <c r="D2492" s="51">
        <v>100024880</v>
      </c>
      <c r="E2492" s="53" t="s">
        <v>3080</v>
      </c>
      <c r="F2492" s="124">
        <v>10</v>
      </c>
      <c r="G2492" s="265" t="s">
        <v>649</v>
      </c>
      <c r="H2492" s="369">
        <v>159.97999999999999</v>
      </c>
      <c r="I2492" s="215" t="s">
        <v>346</v>
      </c>
      <c r="J2492" s="215" t="s">
        <v>102</v>
      </c>
      <c r="K2492" s="266">
        <v>49081020088</v>
      </c>
      <c r="L2492" s="265" t="s">
        <v>649</v>
      </c>
      <c r="M2492" s="266">
        <v>40049081020086</v>
      </c>
      <c r="N2492" s="264">
        <v>1.796</v>
      </c>
      <c r="O2492" s="265" t="s">
        <v>649</v>
      </c>
      <c r="P2492" s="265" t="s">
        <v>649</v>
      </c>
      <c r="Q2492" s="265" t="s">
        <v>649</v>
      </c>
    </row>
    <row r="2493" spans="1:17" ht="15" customHeight="1">
      <c r="A2493" s="147">
        <v>2608</v>
      </c>
      <c r="B2493" s="51" t="s">
        <v>44</v>
      </c>
      <c r="C2493" s="51" t="s">
        <v>3081</v>
      </c>
      <c r="D2493" s="51">
        <v>100024881</v>
      </c>
      <c r="E2493" s="53" t="s">
        <v>3082</v>
      </c>
      <c r="F2493" s="124">
        <v>10</v>
      </c>
      <c r="G2493" s="124">
        <v>240</v>
      </c>
      <c r="H2493" s="369">
        <v>171.06</v>
      </c>
      <c r="I2493" s="215" t="s">
        <v>346</v>
      </c>
      <c r="J2493" s="215" t="s">
        <v>102</v>
      </c>
      <c r="K2493" s="266">
        <v>49081023294</v>
      </c>
      <c r="L2493" s="265" t="s">
        <v>649</v>
      </c>
      <c r="M2493" s="266">
        <v>40049081023292</v>
      </c>
      <c r="N2493" s="264">
        <v>1.9750000000000001</v>
      </c>
      <c r="O2493" s="265" t="s">
        <v>649</v>
      </c>
      <c r="P2493" s="265">
        <v>22.5</v>
      </c>
      <c r="Q2493" s="265">
        <v>2.77</v>
      </c>
    </row>
    <row r="2494" spans="1:17" ht="15" customHeight="1">
      <c r="A2494" s="147">
        <v>2609</v>
      </c>
      <c r="B2494" s="51" t="s">
        <v>44</v>
      </c>
      <c r="C2494" s="51" t="s">
        <v>3083</v>
      </c>
      <c r="D2494" s="51">
        <v>100023833</v>
      </c>
      <c r="E2494" s="53" t="s">
        <v>3084</v>
      </c>
      <c r="F2494" s="124">
        <v>10</v>
      </c>
      <c r="G2494" s="124">
        <v>600</v>
      </c>
      <c r="H2494" s="369">
        <v>159.97999999999999</v>
      </c>
      <c r="I2494" s="215" t="s">
        <v>346</v>
      </c>
      <c r="J2494" s="215" t="s">
        <v>102</v>
      </c>
      <c r="K2494" s="266">
        <v>49081023478</v>
      </c>
      <c r="L2494" s="265" t="s">
        <v>649</v>
      </c>
      <c r="M2494" s="266">
        <v>40049081023476</v>
      </c>
      <c r="N2494" s="264">
        <v>1.9590000000000001</v>
      </c>
      <c r="O2494" s="265" t="s">
        <v>649</v>
      </c>
      <c r="P2494" s="265">
        <v>19.59</v>
      </c>
      <c r="Q2494" s="265">
        <v>1.41</v>
      </c>
    </row>
    <row r="2495" spans="1:17" ht="15" customHeight="1">
      <c r="A2495" s="147">
        <v>2610</v>
      </c>
      <c r="B2495" s="51" t="s">
        <v>44</v>
      </c>
      <c r="C2495" s="51" t="s">
        <v>3085</v>
      </c>
      <c r="D2495" s="51">
        <v>100023834</v>
      </c>
      <c r="E2495" s="53" t="s">
        <v>3086</v>
      </c>
      <c r="F2495" s="124">
        <v>10</v>
      </c>
      <c r="G2495" s="124">
        <v>600</v>
      </c>
      <c r="H2495" s="369">
        <v>159.97999999999999</v>
      </c>
      <c r="I2495" s="215" t="s">
        <v>346</v>
      </c>
      <c r="J2495" s="215" t="s">
        <v>102</v>
      </c>
      <c r="K2495" s="266">
        <v>49081020606</v>
      </c>
      <c r="L2495" s="265" t="s">
        <v>649</v>
      </c>
      <c r="M2495" s="266">
        <v>40049081020604</v>
      </c>
      <c r="N2495" s="264">
        <v>1.792</v>
      </c>
      <c r="O2495" s="265" t="s">
        <v>649</v>
      </c>
      <c r="P2495" s="265">
        <v>19.73</v>
      </c>
      <c r="Q2495" s="265">
        <v>1.41</v>
      </c>
    </row>
    <row r="2496" spans="1:17" ht="15" customHeight="1">
      <c r="A2496" s="147">
        <v>2611</v>
      </c>
      <c r="B2496" s="51" t="s">
        <v>44</v>
      </c>
      <c r="C2496" s="51" t="s">
        <v>3087</v>
      </c>
      <c r="D2496" s="51">
        <v>100024889</v>
      </c>
      <c r="E2496" s="53" t="s">
        <v>3088</v>
      </c>
      <c r="F2496" s="124">
        <v>10</v>
      </c>
      <c r="G2496" s="124">
        <v>600</v>
      </c>
      <c r="H2496" s="369">
        <v>148.88</v>
      </c>
      <c r="I2496" s="215" t="s">
        <v>346</v>
      </c>
      <c r="J2496" s="215" t="s">
        <v>102</v>
      </c>
      <c r="K2496" s="266">
        <v>49081029623</v>
      </c>
      <c r="L2496" s="265" t="s">
        <v>649</v>
      </c>
      <c r="M2496" s="266">
        <v>40049081026927</v>
      </c>
      <c r="N2496" s="264">
        <v>1.9</v>
      </c>
      <c r="O2496" s="265" t="s">
        <v>649</v>
      </c>
      <c r="P2496" s="265">
        <v>19</v>
      </c>
      <c r="Q2496" s="265">
        <v>1.41</v>
      </c>
    </row>
    <row r="2497" spans="1:17" ht="15" customHeight="1">
      <c r="A2497" s="147">
        <v>2612</v>
      </c>
      <c r="B2497" s="51" t="s">
        <v>44</v>
      </c>
      <c r="C2497" s="51" t="s">
        <v>3089</v>
      </c>
      <c r="D2497" s="51">
        <v>100024900</v>
      </c>
      <c r="E2497" s="53" t="s">
        <v>3090</v>
      </c>
      <c r="F2497" s="124">
        <v>10</v>
      </c>
      <c r="G2497" s="124">
        <v>600</v>
      </c>
      <c r="H2497" s="369">
        <v>159.97999999999999</v>
      </c>
      <c r="I2497" s="215" t="s">
        <v>346</v>
      </c>
      <c r="J2497" s="215" t="s">
        <v>102</v>
      </c>
      <c r="K2497" s="266">
        <v>49081023669</v>
      </c>
      <c r="L2497" s="265" t="s">
        <v>649</v>
      </c>
      <c r="M2497" s="266">
        <v>40049081023667</v>
      </c>
      <c r="N2497" s="264">
        <v>1.776</v>
      </c>
      <c r="O2497" s="265" t="s">
        <v>649</v>
      </c>
      <c r="P2497" s="265">
        <v>20.14</v>
      </c>
      <c r="Q2497" s="265">
        <v>1.41</v>
      </c>
    </row>
    <row r="2498" spans="1:17" ht="15" customHeight="1">
      <c r="A2498" s="147">
        <v>2613</v>
      </c>
      <c r="B2498" s="51" t="s">
        <v>44</v>
      </c>
      <c r="C2498" s="51" t="s">
        <v>3091</v>
      </c>
      <c r="D2498" s="51">
        <v>100023864</v>
      </c>
      <c r="E2498" s="53" t="s">
        <v>3092</v>
      </c>
      <c r="F2498" s="124">
        <v>10</v>
      </c>
      <c r="G2498" s="124">
        <v>240</v>
      </c>
      <c r="H2498" s="369">
        <v>171.06</v>
      </c>
      <c r="I2498" s="215" t="s">
        <v>346</v>
      </c>
      <c r="J2498" s="215" t="s">
        <v>102</v>
      </c>
      <c r="K2498" s="266">
        <v>49081023676</v>
      </c>
      <c r="L2498" s="265" t="s">
        <v>649</v>
      </c>
      <c r="M2498" s="266">
        <v>40049081023674</v>
      </c>
      <c r="N2498" s="264">
        <v>1.9550000000000001</v>
      </c>
      <c r="O2498" s="265" t="s">
        <v>649</v>
      </c>
      <c r="P2498" s="265">
        <v>22.6</v>
      </c>
      <c r="Q2498" s="265">
        <v>2.77</v>
      </c>
    </row>
    <row r="2499" spans="1:17" ht="15" customHeight="1">
      <c r="A2499" s="147">
        <v>2614</v>
      </c>
      <c r="B2499" s="51" t="s">
        <v>44</v>
      </c>
      <c r="C2499" s="51" t="s">
        <v>3093</v>
      </c>
      <c r="D2499" s="51">
        <v>100023865</v>
      </c>
      <c r="E2499" s="53" t="s">
        <v>3094</v>
      </c>
      <c r="F2499" s="124">
        <v>10</v>
      </c>
      <c r="G2499" s="124">
        <v>600</v>
      </c>
      <c r="H2499" s="369">
        <v>148.88</v>
      </c>
      <c r="I2499" s="215" t="s">
        <v>346</v>
      </c>
      <c r="J2499" s="215" t="s">
        <v>102</v>
      </c>
      <c r="K2499" s="266">
        <v>49081030971</v>
      </c>
      <c r="L2499" s="265" t="s">
        <v>649</v>
      </c>
      <c r="M2499" s="266">
        <v>40049081030979</v>
      </c>
      <c r="N2499" s="264">
        <v>1.5589999999999999</v>
      </c>
      <c r="O2499" s="265" t="s">
        <v>649</v>
      </c>
      <c r="P2499" s="265">
        <v>17.45</v>
      </c>
      <c r="Q2499" s="265">
        <v>1.41</v>
      </c>
    </row>
    <row r="2500" spans="1:17" ht="15" customHeight="1">
      <c r="A2500" s="147">
        <v>2615</v>
      </c>
      <c r="B2500" s="51" t="s">
        <v>44</v>
      </c>
      <c r="C2500" s="51" t="s">
        <v>3095</v>
      </c>
      <c r="D2500" s="51">
        <v>100023866</v>
      </c>
      <c r="E2500" s="53" t="s">
        <v>3096</v>
      </c>
      <c r="F2500" s="124">
        <v>10</v>
      </c>
      <c r="G2500" s="124">
        <v>240</v>
      </c>
      <c r="H2500" s="369">
        <v>148.88</v>
      </c>
      <c r="I2500" s="215" t="s">
        <v>346</v>
      </c>
      <c r="J2500" s="215" t="s">
        <v>102</v>
      </c>
      <c r="K2500" s="266">
        <v>49081023683</v>
      </c>
      <c r="L2500" s="265" t="s">
        <v>649</v>
      </c>
      <c r="M2500" s="266">
        <v>40049081023681</v>
      </c>
      <c r="N2500" s="264">
        <v>1.623</v>
      </c>
      <c r="O2500" s="265" t="s">
        <v>649</v>
      </c>
      <c r="P2500" s="265">
        <v>19.100000000000001</v>
      </c>
      <c r="Q2500" s="265">
        <v>2.77</v>
      </c>
    </row>
    <row r="2501" spans="1:17" ht="15" customHeight="1">
      <c r="A2501" s="147">
        <v>2616</v>
      </c>
      <c r="B2501" s="51" t="s">
        <v>44</v>
      </c>
      <c r="C2501" s="51" t="s">
        <v>3097</v>
      </c>
      <c r="D2501" s="51">
        <v>100024906</v>
      </c>
      <c r="E2501" s="53" t="s">
        <v>3098</v>
      </c>
      <c r="F2501" s="124">
        <v>10</v>
      </c>
      <c r="G2501" s="124">
        <v>180</v>
      </c>
      <c r="H2501" s="369">
        <v>243.53</v>
      </c>
      <c r="I2501" s="215" t="s">
        <v>76</v>
      </c>
      <c r="J2501" s="215" t="s">
        <v>102</v>
      </c>
      <c r="K2501" s="266">
        <v>49081022204</v>
      </c>
      <c r="L2501" s="265" t="s">
        <v>649</v>
      </c>
      <c r="M2501" s="266">
        <v>40049081022202</v>
      </c>
      <c r="N2501" s="264">
        <v>2.4460000000000002</v>
      </c>
      <c r="O2501" s="265" t="s">
        <v>649</v>
      </c>
      <c r="P2501" s="265">
        <v>27.34</v>
      </c>
      <c r="Q2501" s="265">
        <v>2.65</v>
      </c>
    </row>
    <row r="2502" spans="1:17" ht="15" customHeight="1">
      <c r="A2502" s="147">
        <v>2617</v>
      </c>
      <c r="B2502" s="51" t="s">
        <v>44</v>
      </c>
      <c r="C2502" s="51" t="s">
        <v>3099</v>
      </c>
      <c r="D2502" s="51">
        <v>100024907</v>
      </c>
      <c r="E2502" s="53" t="s">
        <v>3100</v>
      </c>
      <c r="F2502" s="124">
        <v>10</v>
      </c>
      <c r="G2502" s="124">
        <v>240</v>
      </c>
      <c r="H2502" s="369">
        <v>250.53</v>
      </c>
      <c r="I2502" s="215" t="s">
        <v>76</v>
      </c>
      <c r="J2502" s="215" t="s">
        <v>102</v>
      </c>
      <c r="K2502" s="266">
        <v>49081022730</v>
      </c>
      <c r="L2502" s="265" t="s">
        <v>649</v>
      </c>
      <c r="M2502" s="266">
        <v>40049081022738</v>
      </c>
      <c r="N2502" s="264">
        <v>2.6269999999999998</v>
      </c>
      <c r="O2502" s="265" t="s">
        <v>649</v>
      </c>
      <c r="P2502" s="265">
        <v>29.65</v>
      </c>
      <c r="Q2502" s="265">
        <v>2.77</v>
      </c>
    </row>
    <row r="2503" spans="1:17" ht="15" customHeight="1">
      <c r="A2503" s="147">
        <v>2618</v>
      </c>
      <c r="B2503" s="51" t="s">
        <v>44</v>
      </c>
      <c r="C2503" s="51" t="s">
        <v>3101</v>
      </c>
      <c r="D2503" s="51">
        <v>100024948</v>
      </c>
      <c r="E2503" s="53" t="s">
        <v>3102</v>
      </c>
      <c r="F2503" s="124">
        <v>10</v>
      </c>
      <c r="G2503" s="265" t="s">
        <v>649</v>
      </c>
      <c r="H2503" s="369">
        <v>159.97999999999999</v>
      </c>
      <c r="I2503" s="215" t="s">
        <v>346</v>
      </c>
      <c r="J2503" s="215" t="s">
        <v>102</v>
      </c>
      <c r="K2503" s="266">
        <v>49081025519</v>
      </c>
      <c r="L2503" s="265" t="s">
        <v>649</v>
      </c>
      <c r="M2503" s="266">
        <v>40049081025517</v>
      </c>
      <c r="N2503" s="264">
        <v>1.784</v>
      </c>
      <c r="O2503" s="265" t="s">
        <v>649</v>
      </c>
      <c r="P2503" s="265" t="s">
        <v>649</v>
      </c>
      <c r="Q2503" s="265" t="s">
        <v>649</v>
      </c>
    </row>
    <row r="2504" spans="1:17" ht="15" customHeight="1">
      <c r="A2504" s="147">
        <v>2619</v>
      </c>
      <c r="B2504" s="51" t="s">
        <v>44</v>
      </c>
      <c r="C2504" s="51" t="s">
        <v>3103</v>
      </c>
      <c r="D2504" s="51">
        <v>100024949</v>
      </c>
      <c r="E2504" s="53" t="s">
        <v>3104</v>
      </c>
      <c r="F2504" s="124">
        <v>10</v>
      </c>
      <c r="G2504" s="265" t="s">
        <v>649</v>
      </c>
      <c r="H2504" s="369">
        <v>171.06</v>
      </c>
      <c r="I2504" s="215" t="s">
        <v>346</v>
      </c>
      <c r="J2504" s="215" t="s">
        <v>102</v>
      </c>
      <c r="K2504" s="266">
        <v>49081031299</v>
      </c>
      <c r="L2504" s="265" t="s">
        <v>649</v>
      </c>
      <c r="M2504" s="266">
        <v>40049081031297</v>
      </c>
      <c r="N2504" s="264">
        <v>1.9630000000000001</v>
      </c>
      <c r="O2504" s="265" t="s">
        <v>649</v>
      </c>
      <c r="P2504" s="265" t="s">
        <v>649</v>
      </c>
      <c r="Q2504" s="265" t="s">
        <v>649</v>
      </c>
    </row>
    <row r="2505" spans="1:17" ht="15" customHeight="1">
      <c r="A2505" s="147">
        <v>2620</v>
      </c>
      <c r="B2505" s="51" t="s">
        <v>44</v>
      </c>
      <c r="C2505" s="51" t="s">
        <v>3105</v>
      </c>
      <c r="D2505" s="51">
        <v>100024098</v>
      </c>
      <c r="E2505" s="53" t="s">
        <v>3106</v>
      </c>
      <c r="F2505" s="124">
        <v>10</v>
      </c>
      <c r="G2505" s="124">
        <v>240</v>
      </c>
      <c r="H2505" s="369">
        <v>171.06</v>
      </c>
      <c r="I2505" s="215" t="s">
        <v>346</v>
      </c>
      <c r="J2505" s="215" t="s">
        <v>102</v>
      </c>
      <c r="K2505" s="266">
        <v>49081030964</v>
      </c>
      <c r="L2505" s="265" t="s">
        <v>649</v>
      </c>
      <c r="M2505" s="266">
        <v>40049081030962</v>
      </c>
      <c r="N2505" s="264">
        <v>1.9419999999999999</v>
      </c>
      <c r="O2505" s="265" t="s">
        <v>649</v>
      </c>
      <c r="P2505" s="265">
        <v>22.5</v>
      </c>
      <c r="Q2505" s="265">
        <v>2.77</v>
      </c>
    </row>
    <row r="2506" spans="1:17" ht="15" customHeight="1">
      <c r="A2506" s="147">
        <v>2621</v>
      </c>
      <c r="B2506" s="51" t="s">
        <v>44</v>
      </c>
      <c r="C2506" s="51" t="s">
        <v>3107</v>
      </c>
      <c r="D2506" s="51">
        <v>100024103</v>
      </c>
      <c r="E2506" s="53" t="s">
        <v>3108</v>
      </c>
      <c r="F2506" s="124">
        <v>10</v>
      </c>
      <c r="G2506" s="124">
        <v>240</v>
      </c>
      <c r="H2506" s="369">
        <v>4.42</v>
      </c>
      <c r="I2506" s="215" t="s">
        <v>346</v>
      </c>
      <c r="J2506" s="215" t="s">
        <v>102</v>
      </c>
      <c r="K2506" s="266">
        <v>49081031459</v>
      </c>
      <c r="L2506" s="265" t="s">
        <v>649</v>
      </c>
      <c r="M2506" s="266">
        <v>40049081031457</v>
      </c>
      <c r="N2506" s="264">
        <v>1.9430000000000001</v>
      </c>
      <c r="O2506" s="265" t="s">
        <v>649</v>
      </c>
      <c r="P2506" s="265">
        <v>23</v>
      </c>
      <c r="Q2506" s="265">
        <v>2.77</v>
      </c>
    </row>
    <row r="2507" spans="1:17" ht="15" customHeight="1">
      <c r="A2507" s="147">
        <v>2622</v>
      </c>
      <c r="B2507" s="51" t="s">
        <v>44</v>
      </c>
      <c r="C2507" s="51" t="s">
        <v>3109</v>
      </c>
      <c r="D2507" s="51">
        <v>100024950</v>
      </c>
      <c r="E2507" s="53" t="s">
        <v>3110</v>
      </c>
      <c r="F2507" s="124">
        <v>10</v>
      </c>
      <c r="G2507" s="124">
        <v>180</v>
      </c>
      <c r="H2507" s="369">
        <v>243.53</v>
      </c>
      <c r="I2507" s="215" t="s">
        <v>346</v>
      </c>
      <c r="J2507" s="215" t="s">
        <v>102</v>
      </c>
      <c r="K2507" s="266">
        <v>49081031688</v>
      </c>
      <c r="L2507" s="265" t="s">
        <v>649</v>
      </c>
      <c r="M2507" s="266">
        <v>40049081031686</v>
      </c>
      <c r="N2507" s="264">
        <v>2.4340000000000002</v>
      </c>
      <c r="O2507" s="265" t="s">
        <v>649</v>
      </c>
      <c r="P2507" s="265">
        <v>27.1</v>
      </c>
      <c r="Q2507" s="265">
        <v>2.65</v>
      </c>
    </row>
    <row r="2508" spans="1:17" ht="15" customHeight="1">
      <c r="A2508" s="147">
        <v>2623</v>
      </c>
      <c r="B2508" s="51" t="s">
        <v>44</v>
      </c>
      <c r="C2508" s="51" t="s">
        <v>3111</v>
      </c>
      <c r="D2508" s="51">
        <v>100024951</v>
      </c>
      <c r="E2508" s="53" t="s">
        <v>3112</v>
      </c>
      <c r="F2508" s="124">
        <v>10</v>
      </c>
      <c r="G2508" s="124">
        <v>240</v>
      </c>
      <c r="H2508" s="369">
        <v>250.53</v>
      </c>
      <c r="I2508" s="215" t="s">
        <v>346</v>
      </c>
      <c r="J2508" s="215" t="s">
        <v>102</v>
      </c>
      <c r="K2508" s="266">
        <v>49081031251</v>
      </c>
      <c r="L2508" s="265" t="s">
        <v>649</v>
      </c>
      <c r="M2508" s="266">
        <v>40049081031259</v>
      </c>
      <c r="N2508" s="264">
        <v>2.613</v>
      </c>
      <c r="O2508" s="265" t="s">
        <v>649</v>
      </c>
      <c r="P2508" s="265">
        <v>29.8</v>
      </c>
      <c r="Q2508" s="265">
        <v>2.77</v>
      </c>
    </row>
    <row r="2509" spans="1:17" ht="15" customHeight="1">
      <c r="A2509" s="147">
        <v>2624</v>
      </c>
      <c r="B2509" s="51" t="s">
        <v>44</v>
      </c>
      <c r="C2509" s="51" t="s">
        <v>3113</v>
      </c>
      <c r="D2509" s="51">
        <v>100024968</v>
      </c>
      <c r="E2509" s="53" t="s">
        <v>3114</v>
      </c>
      <c r="F2509" s="124">
        <v>10</v>
      </c>
      <c r="G2509" s="124">
        <v>180</v>
      </c>
      <c r="H2509" s="369">
        <v>193.51</v>
      </c>
      <c r="I2509" s="215" t="s">
        <v>346</v>
      </c>
      <c r="J2509" s="215" t="s">
        <v>102</v>
      </c>
      <c r="K2509" s="266">
        <v>49081026165</v>
      </c>
      <c r="L2509" s="265" t="s">
        <v>649</v>
      </c>
      <c r="M2509" s="266">
        <v>40049081026163</v>
      </c>
      <c r="N2509" s="264">
        <v>2.3839999999999999</v>
      </c>
      <c r="O2509" s="265" t="s">
        <v>649</v>
      </c>
      <c r="P2509" s="265">
        <v>25.5</v>
      </c>
      <c r="Q2509" s="265">
        <v>2.65</v>
      </c>
    </row>
    <row r="2510" spans="1:17" ht="15" customHeight="1">
      <c r="A2510" s="147">
        <v>2625</v>
      </c>
      <c r="B2510" s="51" t="s">
        <v>44</v>
      </c>
      <c r="C2510" s="51" t="s">
        <v>3115</v>
      </c>
      <c r="D2510" s="51">
        <v>100024969</v>
      </c>
      <c r="E2510" s="53" t="s">
        <v>3116</v>
      </c>
      <c r="F2510" s="124">
        <v>10</v>
      </c>
      <c r="G2510" s="124">
        <v>180</v>
      </c>
      <c r="H2510" s="369">
        <v>182.38</v>
      </c>
      <c r="I2510" s="215" t="s">
        <v>76</v>
      </c>
      <c r="J2510" s="215" t="s">
        <v>102</v>
      </c>
      <c r="K2510" s="266">
        <v>49081022587</v>
      </c>
      <c r="L2510" s="265" t="s">
        <v>649</v>
      </c>
      <c r="M2510" s="266">
        <v>40049081022585</v>
      </c>
      <c r="N2510" s="264">
        <v>2.202</v>
      </c>
      <c r="O2510" s="265" t="s">
        <v>649</v>
      </c>
      <c r="P2510" s="265">
        <v>22.7</v>
      </c>
      <c r="Q2510" s="265">
        <v>2.65</v>
      </c>
    </row>
    <row r="2511" spans="1:17" ht="15" customHeight="1">
      <c r="A2511" s="147">
        <v>2626</v>
      </c>
      <c r="B2511" s="51" t="s">
        <v>44</v>
      </c>
      <c r="C2511" s="51" t="s">
        <v>3117</v>
      </c>
      <c r="D2511" s="51">
        <v>100024179</v>
      </c>
      <c r="E2511" s="53" t="s">
        <v>3118</v>
      </c>
      <c r="F2511" s="124">
        <v>10</v>
      </c>
      <c r="G2511" s="124">
        <v>180</v>
      </c>
      <c r="H2511" s="369">
        <v>193.51</v>
      </c>
      <c r="I2511" s="215" t="s">
        <v>346</v>
      </c>
      <c r="J2511" s="215" t="s">
        <v>102</v>
      </c>
      <c r="K2511" s="266">
        <v>49081026240</v>
      </c>
      <c r="L2511" s="265" t="s">
        <v>649</v>
      </c>
      <c r="M2511" s="266">
        <v>40049081026248</v>
      </c>
      <c r="N2511" s="264">
        <v>2.36</v>
      </c>
      <c r="O2511" s="265" t="s">
        <v>649</v>
      </c>
      <c r="P2511" s="265">
        <v>25.9</v>
      </c>
      <c r="Q2511" s="265">
        <v>2.65</v>
      </c>
    </row>
    <row r="2512" spans="1:17" ht="15" customHeight="1">
      <c r="A2512" s="147">
        <v>2627</v>
      </c>
      <c r="B2512" s="51" t="s">
        <v>44</v>
      </c>
      <c r="C2512" s="51" t="s">
        <v>3119</v>
      </c>
      <c r="D2512" s="51">
        <v>100024180</v>
      </c>
      <c r="E2512" s="53" t="s">
        <v>3120</v>
      </c>
      <c r="F2512" s="124">
        <v>10</v>
      </c>
      <c r="G2512" s="124">
        <v>240</v>
      </c>
      <c r="H2512" s="369">
        <v>204.52</v>
      </c>
      <c r="I2512" s="215" t="s">
        <v>346</v>
      </c>
      <c r="J2512" s="215" t="s">
        <v>102</v>
      </c>
      <c r="K2512" s="266">
        <v>49081031671</v>
      </c>
      <c r="L2512" s="265" t="s">
        <v>649</v>
      </c>
      <c r="M2512" s="266">
        <v>40049081031679</v>
      </c>
      <c r="N2512" s="264">
        <v>2.6339999999999999</v>
      </c>
      <c r="O2512" s="265" t="s">
        <v>649</v>
      </c>
      <c r="P2512" s="265">
        <v>29.1</v>
      </c>
      <c r="Q2512" s="265">
        <v>2.77</v>
      </c>
    </row>
    <row r="2513" spans="1:17" ht="15" customHeight="1">
      <c r="A2513" s="147">
        <v>2628</v>
      </c>
      <c r="B2513" s="51" t="s">
        <v>44</v>
      </c>
      <c r="C2513" s="51" t="s">
        <v>3121</v>
      </c>
      <c r="D2513" s="51">
        <v>100024188</v>
      </c>
      <c r="E2513" s="53" t="s">
        <v>3122</v>
      </c>
      <c r="F2513" s="124">
        <v>10</v>
      </c>
      <c r="G2513" s="265" t="s">
        <v>649</v>
      </c>
      <c r="H2513" s="369">
        <v>193.51</v>
      </c>
      <c r="I2513" s="215" t="s">
        <v>346</v>
      </c>
      <c r="J2513" s="215" t="s">
        <v>102</v>
      </c>
      <c r="K2513" s="266">
        <v>49081026325</v>
      </c>
      <c r="L2513" s="265" t="s">
        <v>649</v>
      </c>
      <c r="M2513" s="266">
        <v>40049081026323</v>
      </c>
      <c r="N2513" s="264">
        <v>2.3919999999999999</v>
      </c>
      <c r="O2513" s="265" t="s">
        <v>649</v>
      </c>
      <c r="P2513" s="265" t="s">
        <v>649</v>
      </c>
      <c r="Q2513" s="265" t="s">
        <v>649</v>
      </c>
    </row>
    <row r="2514" spans="1:17" ht="15" customHeight="1">
      <c r="A2514" s="147">
        <v>2629</v>
      </c>
      <c r="B2514" s="51" t="s">
        <v>44</v>
      </c>
      <c r="C2514" s="51" t="s">
        <v>3123</v>
      </c>
      <c r="D2514" s="51">
        <v>100024209</v>
      </c>
      <c r="E2514" s="53" t="s">
        <v>3124</v>
      </c>
      <c r="F2514" s="124">
        <v>10</v>
      </c>
      <c r="G2514" s="124">
        <v>180</v>
      </c>
      <c r="H2514" s="369">
        <v>193.51</v>
      </c>
      <c r="I2514" s="215" t="s">
        <v>346</v>
      </c>
      <c r="J2514" s="215" t="s">
        <v>102</v>
      </c>
      <c r="K2514" s="266">
        <v>49081026448</v>
      </c>
      <c r="L2514" s="265" t="s">
        <v>649</v>
      </c>
      <c r="M2514" s="266">
        <v>40049081026446</v>
      </c>
      <c r="N2514" s="264">
        <v>1.9570000000000001</v>
      </c>
      <c r="O2514" s="265" t="s">
        <v>649</v>
      </c>
      <c r="P2514" s="265">
        <v>24.15</v>
      </c>
      <c r="Q2514" s="265">
        <v>2.65</v>
      </c>
    </row>
    <row r="2515" spans="1:17" ht="15" customHeight="1">
      <c r="A2515" s="147">
        <v>2630</v>
      </c>
      <c r="B2515" s="51" t="s">
        <v>44</v>
      </c>
      <c r="C2515" s="51" t="s">
        <v>3125</v>
      </c>
      <c r="D2515" s="51">
        <v>100024229</v>
      </c>
      <c r="E2515" s="53" t="s">
        <v>3126</v>
      </c>
      <c r="F2515" s="124">
        <v>10</v>
      </c>
      <c r="G2515" s="265" t="s">
        <v>649</v>
      </c>
      <c r="H2515" s="369">
        <v>182.38</v>
      </c>
      <c r="I2515" s="215" t="s">
        <v>346</v>
      </c>
      <c r="J2515" s="215" t="s">
        <v>102</v>
      </c>
      <c r="K2515" s="266">
        <v>49081031145</v>
      </c>
      <c r="L2515" s="265" t="s">
        <v>649</v>
      </c>
      <c r="M2515" s="266">
        <v>40049081031143</v>
      </c>
      <c r="N2515" s="264">
        <v>2.1429999999999998</v>
      </c>
      <c r="O2515" s="265" t="s">
        <v>649</v>
      </c>
      <c r="P2515" s="265">
        <v>22</v>
      </c>
      <c r="Q2515" s="265" t="s">
        <v>649</v>
      </c>
    </row>
    <row r="2516" spans="1:17" ht="15" customHeight="1">
      <c r="A2516" s="147">
        <v>2631</v>
      </c>
      <c r="B2516" s="51" t="s">
        <v>44</v>
      </c>
      <c r="C2516" s="51" t="s">
        <v>3127</v>
      </c>
      <c r="D2516" s="51">
        <v>100024240</v>
      </c>
      <c r="E2516" s="53" t="s">
        <v>3090</v>
      </c>
      <c r="F2516" s="124">
        <v>10</v>
      </c>
      <c r="G2516" s="124">
        <v>180</v>
      </c>
      <c r="H2516" s="369">
        <v>193.51</v>
      </c>
      <c r="I2516" s="215" t="s">
        <v>346</v>
      </c>
      <c r="J2516" s="215" t="s">
        <v>102</v>
      </c>
      <c r="K2516" s="266">
        <v>49081026691</v>
      </c>
      <c r="L2516" s="265" t="s">
        <v>649</v>
      </c>
      <c r="M2516" s="266">
        <v>40049081026699</v>
      </c>
      <c r="N2516" s="264">
        <v>2.351</v>
      </c>
      <c r="O2516" s="265" t="s">
        <v>649</v>
      </c>
      <c r="P2516" s="265">
        <v>28.5</v>
      </c>
      <c r="Q2516" s="265">
        <v>2.65</v>
      </c>
    </row>
    <row r="2517" spans="1:17" ht="15" customHeight="1">
      <c r="A2517" s="147">
        <v>2632</v>
      </c>
      <c r="B2517" s="51" t="s">
        <v>44</v>
      </c>
      <c r="C2517" s="51" t="s">
        <v>3128</v>
      </c>
      <c r="D2517" s="51">
        <v>100024243</v>
      </c>
      <c r="E2517" s="53" t="s">
        <v>3129</v>
      </c>
      <c r="F2517" s="124">
        <v>10</v>
      </c>
      <c r="G2517" s="124">
        <v>180</v>
      </c>
      <c r="H2517" s="369">
        <v>182.38</v>
      </c>
      <c r="I2517" s="215" t="s">
        <v>346</v>
      </c>
      <c r="J2517" s="215" t="s">
        <v>102</v>
      </c>
      <c r="K2517" s="266">
        <v>49081030797</v>
      </c>
      <c r="L2517" s="265" t="s">
        <v>649</v>
      </c>
      <c r="M2517" s="266">
        <v>40049081030795</v>
      </c>
      <c r="N2517" s="264">
        <v>2.169</v>
      </c>
      <c r="O2517" s="265" t="s">
        <v>649</v>
      </c>
      <c r="P2517" s="265">
        <v>23.45</v>
      </c>
      <c r="Q2517" s="265">
        <v>2.65</v>
      </c>
    </row>
    <row r="2518" spans="1:17" ht="15" customHeight="1">
      <c r="A2518" s="147">
        <v>2633</v>
      </c>
      <c r="B2518" s="51" t="s">
        <v>44</v>
      </c>
      <c r="C2518" s="51" t="s">
        <v>3130</v>
      </c>
      <c r="D2518" s="51">
        <v>100024441</v>
      </c>
      <c r="E2518" s="53" t="s">
        <v>3131</v>
      </c>
      <c r="F2518" s="124">
        <v>10</v>
      </c>
      <c r="G2518" s="124">
        <v>180</v>
      </c>
      <c r="H2518" s="369">
        <v>222.84</v>
      </c>
      <c r="I2518" s="215" t="s">
        <v>346</v>
      </c>
      <c r="J2518" s="215" t="s">
        <v>102</v>
      </c>
      <c r="K2518" s="266">
        <v>49081028251</v>
      </c>
      <c r="L2518" s="265" t="s">
        <v>649</v>
      </c>
      <c r="M2518" s="266">
        <v>40049081028259</v>
      </c>
      <c r="N2518" s="264">
        <v>2.851</v>
      </c>
      <c r="O2518" s="265" t="s">
        <v>649</v>
      </c>
      <c r="P2518" s="265">
        <v>31.2</v>
      </c>
      <c r="Q2518" s="265">
        <v>2.65</v>
      </c>
    </row>
    <row r="2519" spans="1:17" ht="15" customHeight="1">
      <c r="A2519" s="147">
        <v>2634</v>
      </c>
      <c r="B2519" s="51" t="s">
        <v>44</v>
      </c>
      <c r="C2519" s="51" t="s">
        <v>3132</v>
      </c>
      <c r="D2519" s="51">
        <v>100025022</v>
      </c>
      <c r="E2519" s="53" t="s">
        <v>3133</v>
      </c>
      <c r="F2519" s="124">
        <v>10</v>
      </c>
      <c r="G2519" s="124">
        <v>180</v>
      </c>
      <c r="H2519" s="369">
        <v>222.84</v>
      </c>
      <c r="I2519" s="215" t="s">
        <v>346</v>
      </c>
      <c r="J2519" s="215" t="s">
        <v>102</v>
      </c>
      <c r="K2519" s="266">
        <v>49081020163</v>
      </c>
      <c r="L2519" s="265" t="s">
        <v>649</v>
      </c>
      <c r="M2519" s="266">
        <v>40049081020161</v>
      </c>
      <c r="N2519" s="264">
        <v>2.8260000000000001</v>
      </c>
      <c r="O2519" s="265" t="s">
        <v>649</v>
      </c>
      <c r="P2519" s="265">
        <v>30.35</v>
      </c>
      <c r="Q2519" s="265">
        <v>2.65</v>
      </c>
    </row>
    <row r="2520" spans="1:17" ht="15" customHeight="1">
      <c r="A2520" s="147">
        <v>2635</v>
      </c>
      <c r="B2520" s="51" t="s">
        <v>44</v>
      </c>
      <c r="C2520" s="51" t="s">
        <v>3134</v>
      </c>
      <c r="D2520" s="51">
        <v>100024456</v>
      </c>
      <c r="E2520" s="53" t="s">
        <v>3135</v>
      </c>
      <c r="F2520" s="124">
        <v>10</v>
      </c>
      <c r="G2520" s="124">
        <v>240</v>
      </c>
      <c r="H2520" s="369">
        <v>233.88</v>
      </c>
      <c r="I2520" s="215" t="s">
        <v>346</v>
      </c>
      <c r="J2520" s="215" t="s">
        <v>102</v>
      </c>
      <c r="K2520" s="266">
        <v>49081028367</v>
      </c>
      <c r="L2520" s="265" t="s">
        <v>649</v>
      </c>
      <c r="M2520" s="266">
        <v>40049081028365</v>
      </c>
      <c r="N2520" s="264">
        <v>3.141</v>
      </c>
      <c r="O2520" s="265" t="s">
        <v>649</v>
      </c>
      <c r="P2520" s="265">
        <v>29.5</v>
      </c>
      <c r="Q2520" s="265">
        <v>2.77</v>
      </c>
    </row>
    <row r="2521" spans="1:17" ht="15" customHeight="1">
      <c r="A2521" s="147">
        <v>2636</v>
      </c>
      <c r="B2521" s="51" t="s">
        <v>44</v>
      </c>
      <c r="C2521" s="51" t="s">
        <v>3136</v>
      </c>
      <c r="D2521" s="51">
        <v>100025023</v>
      </c>
      <c r="E2521" s="53" t="s">
        <v>3137</v>
      </c>
      <c r="F2521" s="124">
        <v>10</v>
      </c>
      <c r="G2521" s="124">
        <v>180</v>
      </c>
      <c r="H2521" s="369">
        <v>211.78</v>
      </c>
      <c r="I2521" s="215" t="s">
        <v>346</v>
      </c>
      <c r="J2521" s="215" t="s">
        <v>102</v>
      </c>
      <c r="K2521" s="266">
        <v>49081029692</v>
      </c>
      <c r="L2521" s="265" t="s">
        <v>649</v>
      </c>
      <c r="M2521" s="266">
        <v>40049081029690</v>
      </c>
      <c r="N2521" s="264">
        <v>2.6150000000000002</v>
      </c>
      <c r="O2521" s="265" t="s">
        <v>649</v>
      </c>
      <c r="P2521" s="265">
        <v>28.04</v>
      </c>
      <c r="Q2521" s="265">
        <v>2.65</v>
      </c>
    </row>
    <row r="2522" spans="1:17" ht="15" customHeight="1">
      <c r="A2522" s="147">
        <v>2637</v>
      </c>
      <c r="B2522" s="51" t="s">
        <v>44</v>
      </c>
      <c r="C2522" s="51" t="s">
        <v>3138</v>
      </c>
      <c r="D2522" s="51">
        <v>100024467</v>
      </c>
      <c r="E2522" s="53" t="s">
        <v>3139</v>
      </c>
      <c r="F2522" s="124">
        <v>10</v>
      </c>
      <c r="G2522" s="124">
        <v>900</v>
      </c>
      <c r="H2522" s="369">
        <v>211.78</v>
      </c>
      <c r="I2522" s="215" t="s">
        <v>346</v>
      </c>
      <c r="J2522" s="215" t="s">
        <v>102</v>
      </c>
      <c r="K2522" s="266">
        <v>49081030193</v>
      </c>
      <c r="L2522" s="265" t="s">
        <v>649</v>
      </c>
      <c r="M2522" s="266">
        <v>40049081030191</v>
      </c>
      <c r="N2522" s="264">
        <v>2.5649999999999999</v>
      </c>
      <c r="O2522" s="265" t="s">
        <v>649</v>
      </c>
      <c r="P2522" s="265">
        <v>29.15</v>
      </c>
      <c r="Q2522" s="265">
        <v>0.8</v>
      </c>
    </row>
    <row r="2523" spans="1:17" ht="15" customHeight="1">
      <c r="A2523" s="147">
        <v>2638</v>
      </c>
      <c r="B2523" s="51" t="s">
        <v>44</v>
      </c>
      <c r="C2523" s="51" t="s">
        <v>3140</v>
      </c>
      <c r="D2523" s="51">
        <v>100025029</v>
      </c>
      <c r="E2523" s="53" t="s">
        <v>3141</v>
      </c>
      <c r="F2523" s="124">
        <v>10</v>
      </c>
      <c r="G2523" s="124">
        <v>180</v>
      </c>
      <c r="H2523" s="369">
        <v>222.84</v>
      </c>
      <c r="I2523" s="215" t="s">
        <v>346</v>
      </c>
      <c r="J2523" s="215" t="s">
        <v>102</v>
      </c>
      <c r="K2523" s="266">
        <v>49081028459</v>
      </c>
      <c r="L2523" s="265" t="s">
        <v>649</v>
      </c>
      <c r="M2523" s="266">
        <v>40049081028457</v>
      </c>
      <c r="N2523" s="264">
        <v>2.7709999999999999</v>
      </c>
      <c r="O2523" s="265" t="s">
        <v>649</v>
      </c>
      <c r="P2523" s="265">
        <v>30.4</v>
      </c>
      <c r="Q2523" s="265">
        <v>2.65</v>
      </c>
    </row>
    <row r="2524" spans="1:17" ht="15" customHeight="1">
      <c r="A2524" s="147">
        <v>2639</v>
      </c>
      <c r="B2524" s="51" t="s">
        <v>44</v>
      </c>
      <c r="C2524" s="51" t="s">
        <v>3142</v>
      </c>
      <c r="D2524" s="51">
        <v>100024474</v>
      </c>
      <c r="E2524" s="53" t="s">
        <v>3143</v>
      </c>
      <c r="F2524" s="124">
        <v>10</v>
      </c>
      <c r="G2524" s="124">
        <v>180</v>
      </c>
      <c r="H2524" s="369">
        <v>211.78</v>
      </c>
      <c r="I2524" s="215" t="s">
        <v>346</v>
      </c>
      <c r="J2524" s="215" t="s">
        <v>102</v>
      </c>
      <c r="K2524" s="266">
        <v>49081030988</v>
      </c>
      <c r="L2524" s="265" t="s">
        <v>649</v>
      </c>
      <c r="M2524" s="266">
        <v>40049081030986</v>
      </c>
      <c r="N2524" s="264">
        <v>2.4500000000000002</v>
      </c>
      <c r="O2524" s="265" t="s">
        <v>649</v>
      </c>
      <c r="P2524" s="265">
        <v>27.3</v>
      </c>
      <c r="Q2524" s="265">
        <v>2.65</v>
      </c>
    </row>
    <row r="2525" spans="1:17" ht="15" customHeight="1">
      <c r="A2525" s="147">
        <v>2640</v>
      </c>
      <c r="B2525" s="51" t="s">
        <v>44</v>
      </c>
      <c r="C2525" s="51" t="s">
        <v>3144</v>
      </c>
      <c r="D2525" s="51">
        <v>100024499</v>
      </c>
      <c r="E2525" s="53" t="s">
        <v>3145</v>
      </c>
      <c r="F2525" s="124">
        <v>10</v>
      </c>
      <c r="G2525" s="124">
        <v>180</v>
      </c>
      <c r="H2525" s="369">
        <v>363.61</v>
      </c>
      <c r="I2525" s="215" t="s">
        <v>346</v>
      </c>
      <c r="J2525" s="215" t="s">
        <v>102</v>
      </c>
      <c r="K2525" s="266">
        <v>49081028657</v>
      </c>
      <c r="L2525" s="265" t="s">
        <v>649</v>
      </c>
      <c r="M2525" s="266">
        <v>40049081028655</v>
      </c>
      <c r="N2525" s="264">
        <v>3.5350000000000001</v>
      </c>
      <c r="O2525" s="265" t="s">
        <v>649</v>
      </c>
      <c r="P2525" s="265">
        <v>38.75</v>
      </c>
      <c r="Q2525" s="265">
        <v>2.65</v>
      </c>
    </row>
    <row r="2526" spans="1:17" ht="15" customHeight="1">
      <c r="A2526" s="147">
        <v>2641</v>
      </c>
      <c r="B2526" s="51" t="s">
        <v>44</v>
      </c>
      <c r="C2526" s="51" t="s">
        <v>3146</v>
      </c>
      <c r="D2526" s="51">
        <v>100024592</v>
      </c>
      <c r="E2526" s="53" t="s">
        <v>3147</v>
      </c>
      <c r="F2526" s="124">
        <v>10</v>
      </c>
      <c r="G2526" s="265" t="s">
        <v>649</v>
      </c>
      <c r="H2526" s="369">
        <v>222.84</v>
      </c>
      <c r="I2526" s="215" t="s">
        <v>346</v>
      </c>
      <c r="J2526" s="215" t="s">
        <v>102</v>
      </c>
      <c r="K2526" s="266">
        <v>49081029333</v>
      </c>
      <c r="L2526" s="265" t="s">
        <v>649</v>
      </c>
      <c r="M2526" s="266">
        <v>40049081029331</v>
      </c>
      <c r="N2526" s="264">
        <v>2.8069999999999999</v>
      </c>
      <c r="O2526" s="265" t="s">
        <v>649</v>
      </c>
      <c r="P2526" s="265" t="s">
        <v>649</v>
      </c>
      <c r="Q2526" s="265" t="s">
        <v>649</v>
      </c>
    </row>
    <row r="2527" spans="1:17" ht="15" customHeight="1">
      <c r="A2527" s="147">
        <v>2642</v>
      </c>
      <c r="B2527" s="51" t="s">
        <v>44</v>
      </c>
      <c r="C2527" s="51" t="s">
        <v>3148</v>
      </c>
      <c r="D2527" s="51">
        <v>100024593</v>
      </c>
      <c r="E2527" s="53" t="s">
        <v>3149</v>
      </c>
      <c r="F2527" s="124">
        <v>10</v>
      </c>
      <c r="G2527" s="124">
        <v>240</v>
      </c>
      <c r="H2527" s="369">
        <v>233.88</v>
      </c>
      <c r="I2527" s="215" t="s">
        <v>346</v>
      </c>
      <c r="J2527" s="215" t="s">
        <v>102</v>
      </c>
      <c r="K2527" s="266">
        <v>49081029340</v>
      </c>
      <c r="L2527" s="265" t="s">
        <v>649</v>
      </c>
      <c r="M2527" s="266">
        <v>40049081029348</v>
      </c>
      <c r="N2527" s="264">
        <v>3.1219999999999999</v>
      </c>
      <c r="O2527" s="265" t="s">
        <v>649</v>
      </c>
      <c r="P2527" s="265">
        <v>34.200000000000003</v>
      </c>
      <c r="Q2527" s="265">
        <v>2.77</v>
      </c>
    </row>
    <row r="2528" spans="1:17" ht="15" customHeight="1">
      <c r="A2528" s="147">
        <v>2643</v>
      </c>
      <c r="B2528" s="51" t="s">
        <v>44</v>
      </c>
      <c r="C2528" s="51" t="s">
        <v>3150</v>
      </c>
      <c r="D2528" s="51">
        <v>100024596</v>
      </c>
      <c r="E2528" s="53" t="s">
        <v>3151</v>
      </c>
      <c r="F2528" s="124">
        <v>10</v>
      </c>
      <c r="G2528" s="124">
        <v>180</v>
      </c>
      <c r="H2528" s="369">
        <v>222.84</v>
      </c>
      <c r="I2528" s="215" t="s">
        <v>346</v>
      </c>
      <c r="J2528" s="215" t="s">
        <v>102</v>
      </c>
      <c r="K2528" s="266">
        <v>49081029364</v>
      </c>
      <c r="L2528" s="265" t="s">
        <v>649</v>
      </c>
      <c r="M2528" s="266">
        <v>40049081029362</v>
      </c>
      <c r="N2528" s="264">
        <v>2.7789999999999999</v>
      </c>
      <c r="O2528" s="265" t="s">
        <v>649</v>
      </c>
      <c r="P2528" s="265">
        <v>30.4</v>
      </c>
      <c r="Q2528" s="265">
        <v>2.65</v>
      </c>
    </row>
    <row r="2529" spans="1:17" ht="15" customHeight="1">
      <c r="A2529" s="147">
        <v>2644</v>
      </c>
      <c r="B2529" s="51" t="s">
        <v>44</v>
      </c>
      <c r="C2529" s="51" t="s">
        <v>3153</v>
      </c>
      <c r="D2529" s="51">
        <v>100024857</v>
      </c>
      <c r="E2529" s="53" t="s">
        <v>3154</v>
      </c>
      <c r="F2529" s="124">
        <v>20</v>
      </c>
      <c r="G2529" s="124">
        <v>1200</v>
      </c>
      <c r="H2529" s="369">
        <v>191.49</v>
      </c>
      <c r="I2529" s="215" t="s">
        <v>346</v>
      </c>
      <c r="J2529" s="215" t="s">
        <v>102</v>
      </c>
      <c r="K2529" s="266">
        <v>49081022907</v>
      </c>
      <c r="L2529" s="265" t="s">
        <v>649</v>
      </c>
      <c r="M2529" s="266">
        <v>40049081022905</v>
      </c>
      <c r="N2529" s="264">
        <v>1.9</v>
      </c>
      <c r="O2529" s="265" t="s">
        <v>649</v>
      </c>
      <c r="P2529" s="265">
        <v>19.899999999999999</v>
      </c>
      <c r="Q2529" s="265">
        <v>1.41</v>
      </c>
    </row>
    <row r="2530" spans="1:17" ht="15" customHeight="1">
      <c r="A2530" s="147">
        <v>2645</v>
      </c>
      <c r="B2530" s="51" t="s">
        <v>44</v>
      </c>
      <c r="C2530" s="51" t="s">
        <v>3155</v>
      </c>
      <c r="D2530" s="51">
        <v>100023759</v>
      </c>
      <c r="E2530" s="53" t="s">
        <v>3156</v>
      </c>
      <c r="F2530" s="124">
        <v>10</v>
      </c>
      <c r="G2530" s="124">
        <v>240</v>
      </c>
      <c r="H2530" s="369">
        <v>198.47</v>
      </c>
      <c r="I2530" s="215" t="s">
        <v>346</v>
      </c>
      <c r="J2530" s="215" t="s">
        <v>102</v>
      </c>
      <c r="K2530" s="266">
        <v>49081022969</v>
      </c>
      <c r="L2530" s="265" t="s">
        <v>649</v>
      </c>
      <c r="M2530" s="266">
        <v>40049081022967</v>
      </c>
      <c r="N2530" s="264">
        <v>2.0790000000000002</v>
      </c>
      <c r="O2530" s="265" t="s">
        <v>649</v>
      </c>
      <c r="P2530" s="265">
        <v>24.1</v>
      </c>
      <c r="Q2530" s="265">
        <v>2.77</v>
      </c>
    </row>
    <row r="2531" spans="1:17" ht="15" customHeight="1">
      <c r="A2531" s="147">
        <v>2646</v>
      </c>
      <c r="B2531" s="51" t="s">
        <v>44</v>
      </c>
      <c r="C2531" s="51" t="s">
        <v>3157</v>
      </c>
      <c r="D2531" s="51">
        <v>100024860</v>
      </c>
      <c r="E2531" s="53" t="s">
        <v>3158</v>
      </c>
      <c r="F2531" s="124">
        <v>10</v>
      </c>
      <c r="G2531" s="124">
        <v>600</v>
      </c>
      <c r="H2531" s="369">
        <v>191.49</v>
      </c>
      <c r="I2531" s="215" t="s">
        <v>346</v>
      </c>
      <c r="J2531" s="215" t="s">
        <v>102</v>
      </c>
      <c r="K2531" s="266">
        <v>49081022440</v>
      </c>
      <c r="L2531" s="265" t="s">
        <v>649</v>
      </c>
      <c r="M2531" s="266">
        <v>40049081022448</v>
      </c>
      <c r="N2531" s="264">
        <v>1.9430000000000001</v>
      </c>
      <c r="O2531" s="265" t="s">
        <v>649</v>
      </c>
      <c r="P2531" s="265">
        <v>17.98</v>
      </c>
      <c r="Q2531" s="265">
        <v>1.41</v>
      </c>
    </row>
    <row r="2532" spans="1:17" ht="15" customHeight="1">
      <c r="A2532" s="147">
        <v>2647</v>
      </c>
      <c r="B2532" s="51" t="s">
        <v>44</v>
      </c>
      <c r="C2532" s="51" t="s">
        <v>3159</v>
      </c>
      <c r="D2532" s="51">
        <v>100024866</v>
      </c>
      <c r="E2532" s="53" t="s">
        <v>3160</v>
      </c>
      <c r="F2532" s="124">
        <v>20</v>
      </c>
      <c r="G2532" s="265" t="s">
        <v>649</v>
      </c>
      <c r="H2532" s="369">
        <v>191.49</v>
      </c>
      <c r="I2532" s="215" t="s">
        <v>76</v>
      </c>
      <c r="J2532" s="215" t="s">
        <v>102</v>
      </c>
      <c r="K2532" s="266">
        <v>49081022976</v>
      </c>
      <c r="L2532" s="265" t="s">
        <v>649</v>
      </c>
      <c r="M2532" s="266">
        <v>40049081022974</v>
      </c>
      <c r="N2532" s="264">
        <v>1.879</v>
      </c>
      <c r="O2532" s="265" t="s">
        <v>649</v>
      </c>
      <c r="P2532" s="265" t="s">
        <v>649</v>
      </c>
      <c r="Q2532" s="265" t="s">
        <v>649</v>
      </c>
    </row>
    <row r="2533" spans="1:17" ht="15" customHeight="1">
      <c r="A2533" s="147">
        <v>2648</v>
      </c>
      <c r="B2533" s="51" t="s">
        <v>44</v>
      </c>
      <c r="C2533" s="51" t="s">
        <v>3161</v>
      </c>
      <c r="D2533" s="51">
        <v>100023770</v>
      </c>
      <c r="E2533" s="53" t="s">
        <v>3162</v>
      </c>
      <c r="F2533" s="124">
        <v>10</v>
      </c>
      <c r="G2533" s="124">
        <v>750</v>
      </c>
      <c r="H2533" s="369">
        <v>191.49</v>
      </c>
      <c r="I2533" s="215" t="s">
        <v>346</v>
      </c>
      <c r="J2533" s="215" t="s">
        <v>102</v>
      </c>
      <c r="K2533" s="266">
        <v>49081020385</v>
      </c>
      <c r="L2533" s="265" t="s">
        <v>649</v>
      </c>
      <c r="M2533" s="266">
        <v>40049081020383</v>
      </c>
      <c r="N2533" s="264">
        <v>1.79</v>
      </c>
      <c r="O2533" s="265" t="s">
        <v>649</v>
      </c>
      <c r="P2533" s="265">
        <v>17.899999999999999</v>
      </c>
      <c r="Q2533" s="265">
        <v>1.1000000000000001</v>
      </c>
    </row>
    <row r="2534" spans="1:17" ht="15" customHeight="1">
      <c r="A2534" s="147">
        <v>2649</v>
      </c>
      <c r="B2534" s="51" t="s">
        <v>44</v>
      </c>
      <c r="C2534" s="51" t="s">
        <v>3163</v>
      </c>
      <c r="D2534" s="51">
        <v>100024873</v>
      </c>
      <c r="E2534" s="53" t="s">
        <v>3164</v>
      </c>
      <c r="F2534" s="124">
        <v>10</v>
      </c>
      <c r="G2534" s="124">
        <v>750</v>
      </c>
      <c r="H2534" s="369">
        <v>191.49</v>
      </c>
      <c r="I2534" s="215" t="s">
        <v>76</v>
      </c>
      <c r="J2534" s="215" t="s">
        <v>102</v>
      </c>
      <c r="K2534" s="266">
        <v>49081020170</v>
      </c>
      <c r="L2534" s="265" t="s">
        <v>649</v>
      </c>
      <c r="M2534" s="266">
        <v>40049081020178</v>
      </c>
      <c r="N2534" s="264">
        <v>1.756</v>
      </c>
      <c r="O2534" s="265" t="s">
        <v>649</v>
      </c>
      <c r="P2534" s="265">
        <v>18.79</v>
      </c>
      <c r="Q2534" s="265">
        <v>1.1000000000000001</v>
      </c>
    </row>
    <row r="2535" spans="1:17" ht="15" customHeight="1">
      <c r="A2535" s="147">
        <v>2650</v>
      </c>
      <c r="B2535" s="51" t="s">
        <v>44</v>
      </c>
      <c r="C2535" s="51" t="s">
        <v>3165</v>
      </c>
      <c r="D2535" s="51">
        <v>100023771</v>
      </c>
      <c r="E2535" s="53" t="s">
        <v>3166</v>
      </c>
      <c r="F2535" s="124">
        <v>10</v>
      </c>
      <c r="G2535" s="124">
        <v>600</v>
      </c>
      <c r="H2535" s="369">
        <v>198.47</v>
      </c>
      <c r="I2535" s="215" t="s">
        <v>346</v>
      </c>
      <c r="J2535" s="215" t="s">
        <v>102</v>
      </c>
      <c r="K2535" s="266">
        <v>49081022167</v>
      </c>
      <c r="L2535" s="265" t="s">
        <v>649</v>
      </c>
      <c r="M2535" s="266">
        <v>40049081022165</v>
      </c>
      <c r="N2535" s="264">
        <v>1.9379999999999999</v>
      </c>
      <c r="O2535" s="265" t="s">
        <v>649</v>
      </c>
      <c r="P2535" s="265">
        <v>19.38</v>
      </c>
      <c r="Q2535" s="265">
        <v>1.41</v>
      </c>
    </row>
    <row r="2536" spans="1:17" ht="15" customHeight="1">
      <c r="A2536" s="147">
        <v>2651</v>
      </c>
      <c r="B2536" s="51" t="s">
        <v>44</v>
      </c>
      <c r="C2536" s="51" t="s">
        <v>3167</v>
      </c>
      <c r="D2536" s="51">
        <v>100023772</v>
      </c>
      <c r="E2536" s="53" t="s">
        <v>3168</v>
      </c>
      <c r="F2536" s="124">
        <v>10</v>
      </c>
      <c r="G2536" s="124">
        <v>240</v>
      </c>
      <c r="H2536" s="369">
        <v>198.47</v>
      </c>
      <c r="I2536" s="215" t="s">
        <v>346</v>
      </c>
      <c r="J2536" s="215" t="s">
        <v>102</v>
      </c>
      <c r="K2536" s="266">
        <v>49081020408</v>
      </c>
      <c r="L2536" s="265" t="s">
        <v>649</v>
      </c>
      <c r="M2536" s="266">
        <v>40049081020406</v>
      </c>
      <c r="N2536" s="264">
        <v>2.1</v>
      </c>
      <c r="O2536" s="265" t="s">
        <v>649</v>
      </c>
      <c r="P2536" s="265">
        <v>21</v>
      </c>
      <c r="Q2536" s="265">
        <v>2.77</v>
      </c>
    </row>
    <row r="2537" spans="1:17" ht="15" customHeight="1">
      <c r="A2537" s="147">
        <v>2652</v>
      </c>
      <c r="B2537" s="51" t="s">
        <v>44</v>
      </c>
      <c r="C2537" s="51" t="s">
        <v>3169</v>
      </c>
      <c r="D2537" s="51">
        <v>100024874</v>
      </c>
      <c r="E2537" s="53" t="s">
        <v>3170</v>
      </c>
      <c r="F2537" s="124">
        <v>10</v>
      </c>
      <c r="G2537" s="124">
        <v>240</v>
      </c>
      <c r="H2537" s="369">
        <v>198.47</v>
      </c>
      <c r="I2537" s="215" t="s">
        <v>76</v>
      </c>
      <c r="J2537" s="215" t="s">
        <v>102</v>
      </c>
      <c r="K2537" s="266">
        <v>49081020415</v>
      </c>
      <c r="L2537" s="265" t="s">
        <v>649</v>
      </c>
      <c r="M2537" s="266">
        <v>40049081020413</v>
      </c>
      <c r="N2537" s="264">
        <v>1.9350000000000001</v>
      </c>
      <c r="O2537" s="265" t="s">
        <v>649</v>
      </c>
      <c r="P2537" s="265">
        <v>21.91</v>
      </c>
      <c r="Q2537" s="265">
        <v>2.77</v>
      </c>
    </row>
    <row r="2538" spans="1:17" ht="15" customHeight="1">
      <c r="A2538" s="147">
        <v>2653</v>
      </c>
      <c r="B2538" s="51" t="s">
        <v>44</v>
      </c>
      <c r="C2538" s="51" t="s">
        <v>3171</v>
      </c>
      <c r="D2538" s="51">
        <v>100023775</v>
      </c>
      <c r="E2538" s="53" t="s">
        <v>3172</v>
      </c>
      <c r="F2538" s="124">
        <v>10</v>
      </c>
      <c r="G2538" s="124">
        <v>750</v>
      </c>
      <c r="H2538" s="369">
        <v>180.98</v>
      </c>
      <c r="I2538" s="215" t="s">
        <v>346</v>
      </c>
      <c r="J2538" s="215" t="s">
        <v>102</v>
      </c>
      <c r="K2538" s="266">
        <v>49081020422</v>
      </c>
      <c r="L2538" s="265" t="s">
        <v>649</v>
      </c>
      <c r="M2538" s="266">
        <v>40049081020420</v>
      </c>
      <c r="N2538" s="264">
        <v>1.6519999999999999</v>
      </c>
      <c r="O2538" s="265" t="s">
        <v>649</v>
      </c>
      <c r="P2538" s="265">
        <v>16.515000000000001</v>
      </c>
      <c r="Q2538" s="265">
        <v>0.95</v>
      </c>
    </row>
    <row r="2539" spans="1:17" ht="15" customHeight="1">
      <c r="A2539" s="147">
        <v>2654</v>
      </c>
      <c r="B2539" s="51" t="s">
        <v>44</v>
      </c>
      <c r="C2539" s="51" t="s">
        <v>3173</v>
      </c>
      <c r="D2539" s="51">
        <v>100023776</v>
      </c>
      <c r="E2539" s="53" t="s">
        <v>3174</v>
      </c>
      <c r="F2539" s="124">
        <v>10</v>
      </c>
      <c r="G2539" s="124">
        <v>750</v>
      </c>
      <c r="H2539" s="369">
        <v>180.98</v>
      </c>
      <c r="I2539" s="215" t="s">
        <v>76</v>
      </c>
      <c r="J2539" s="215" t="s">
        <v>102</v>
      </c>
      <c r="K2539" s="266">
        <v>49081023157</v>
      </c>
      <c r="L2539" s="265" t="s">
        <v>649</v>
      </c>
      <c r="M2539" s="266">
        <v>40049081023155</v>
      </c>
      <c r="N2539" s="264">
        <v>1.7310000000000001</v>
      </c>
      <c r="O2539" s="265" t="s">
        <v>649</v>
      </c>
      <c r="P2539" s="265">
        <v>17.309999999999999</v>
      </c>
      <c r="Q2539" s="265">
        <v>1.1000000000000001</v>
      </c>
    </row>
    <row r="2540" spans="1:17" ht="15" customHeight="1">
      <c r="A2540" s="147">
        <v>2655</v>
      </c>
      <c r="B2540" s="51" t="s">
        <v>44</v>
      </c>
      <c r="C2540" s="51" t="s">
        <v>3175</v>
      </c>
      <c r="D2540" s="51">
        <v>100024893</v>
      </c>
      <c r="E2540" s="53" t="s">
        <v>3176</v>
      </c>
      <c r="F2540" s="124">
        <v>10</v>
      </c>
      <c r="G2540" s="124">
        <v>750</v>
      </c>
      <c r="H2540" s="369">
        <v>191.49</v>
      </c>
      <c r="I2540" s="215" t="s">
        <v>346</v>
      </c>
      <c r="J2540" s="215" t="s">
        <v>102</v>
      </c>
      <c r="K2540" s="266">
        <v>49081020651</v>
      </c>
      <c r="L2540" s="265" t="s">
        <v>649</v>
      </c>
      <c r="M2540" s="265" t="s">
        <v>649</v>
      </c>
      <c r="N2540" s="264">
        <v>1.756</v>
      </c>
      <c r="O2540" s="265" t="s">
        <v>649</v>
      </c>
      <c r="P2540" s="265">
        <v>17.355</v>
      </c>
      <c r="Q2540" s="265">
        <v>1.1000000000000001</v>
      </c>
    </row>
    <row r="2541" spans="1:17" ht="15" customHeight="1">
      <c r="A2541" s="147">
        <v>2656</v>
      </c>
      <c r="B2541" s="51" t="s">
        <v>44</v>
      </c>
      <c r="C2541" s="51" t="s">
        <v>3177</v>
      </c>
      <c r="D2541" s="51">
        <v>100023849</v>
      </c>
      <c r="E2541" s="53" t="s">
        <v>3178</v>
      </c>
      <c r="F2541" s="124">
        <v>10</v>
      </c>
      <c r="G2541" s="124">
        <v>180</v>
      </c>
      <c r="H2541" s="369">
        <v>198.47</v>
      </c>
      <c r="I2541" s="215" t="s">
        <v>346</v>
      </c>
      <c r="J2541" s="215" t="s">
        <v>102</v>
      </c>
      <c r="K2541" s="266">
        <v>49081030995</v>
      </c>
      <c r="L2541" s="265" t="s">
        <v>649</v>
      </c>
      <c r="M2541" s="266">
        <v>40049081030993</v>
      </c>
      <c r="N2541" s="264">
        <v>1.77</v>
      </c>
      <c r="O2541" s="265" t="s">
        <v>649</v>
      </c>
      <c r="P2541" s="265">
        <v>17.7</v>
      </c>
      <c r="Q2541" s="265">
        <v>2.65</v>
      </c>
    </row>
    <row r="2542" spans="1:17" ht="15" customHeight="1">
      <c r="A2542" s="147">
        <v>2657</v>
      </c>
      <c r="B2542" s="51" t="s">
        <v>44</v>
      </c>
      <c r="C2542" s="51" t="s">
        <v>3179</v>
      </c>
      <c r="D2542" s="51">
        <v>100024894</v>
      </c>
      <c r="E2542" s="53" t="s">
        <v>3180</v>
      </c>
      <c r="F2542" s="124">
        <v>10</v>
      </c>
      <c r="G2542" s="124">
        <v>240</v>
      </c>
      <c r="H2542" s="369">
        <v>198.47</v>
      </c>
      <c r="I2542" s="215" t="s">
        <v>346</v>
      </c>
      <c r="J2542" s="215" t="s">
        <v>102</v>
      </c>
      <c r="K2542" s="266">
        <v>49081235772</v>
      </c>
      <c r="L2542" s="265" t="s">
        <v>649</v>
      </c>
      <c r="M2542" s="266">
        <v>40049081023575</v>
      </c>
      <c r="N2542" s="264">
        <v>1.9350000000000001</v>
      </c>
      <c r="O2542" s="265" t="s">
        <v>649</v>
      </c>
      <c r="P2542" s="265">
        <v>21.9</v>
      </c>
      <c r="Q2542" s="265">
        <v>2.77</v>
      </c>
    </row>
    <row r="2543" spans="1:17" ht="15" customHeight="1">
      <c r="A2543" s="147">
        <v>2658</v>
      </c>
      <c r="B2543" s="51" t="s">
        <v>44</v>
      </c>
      <c r="C2543" s="51" t="s">
        <v>3181</v>
      </c>
      <c r="D2543" s="51">
        <v>100024910</v>
      </c>
      <c r="E2543" s="53" t="s">
        <v>3182</v>
      </c>
      <c r="F2543" s="124">
        <v>10</v>
      </c>
      <c r="G2543" s="124">
        <v>750</v>
      </c>
      <c r="H2543" s="369">
        <v>191.49</v>
      </c>
      <c r="I2543" s="215" t="s">
        <v>76</v>
      </c>
      <c r="J2543" s="215" t="s">
        <v>102</v>
      </c>
      <c r="K2543" s="266">
        <v>49081024055</v>
      </c>
      <c r="L2543" s="265" t="s">
        <v>649</v>
      </c>
      <c r="M2543" s="266">
        <v>40049081024053</v>
      </c>
      <c r="N2543" s="264">
        <v>1.8160000000000001</v>
      </c>
      <c r="O2543" s="265" t="s">
        <v>649</v>
      </c>
      <c r="P2543" s="265">
        <v>18.16</v>
      </c>
      <c r="Q2543" s="265">
        <v>1.1000000000000001</v>
      </c>
    </row>
    <row r="2544" spans="1:17" ht="15" customHeight="1">
      <c r="A2544" s="147">
        <v>2659</v>
      </c>
      <c r="B2544" s="51" t="s">
        <v>44</v>
      </c>
      <c r="C2544" s="51" t="s">
        <v>3183</v>
      </c>
      <c r="D2544" s="51">
        <v>100024911</v>
      </c>
      <c r="E2544" s="53" t="s">
        <v>3184</v>
      </c>
      <c r="F2544" s="124">
        <v>10</v>
      </c>
      <c r="G2544" s="124">
        <v>750</v>
      </c>
      <c r="H2544" s="369">
        <v>191.49</v>
      </c>
      <c r="I2544" s="215" t="s">
        <v>346</v>
      </c>
      <c r="J2544" s="215" t="s">
        <v>102</v>
      </c>
      <c r="K2544" s="266">
        <v>49081020781</v>
      </c>
      <c r="L2544" s="265" t="s">
        <v>649</v>
      </c>
      <c r="M2544" s="266">
        <v>40049081020789</v>
      </c>
      <c r="N2544" s="264">
        <v>1.78</v>
      </c>
      <c r="O2544" s="265" t="s">
        <v>649</v>
      </c>
      <c r="P2544" s="265">
        <v>18.91</v>
      </c>
      <c r="Q2544" s="265">
        <v>1.1000000000000001</v>
      </c>
    </row>
    <row r="2545" spans="1:17" ht="15" customHeight="1">
      <c r="A2545" s="147">
        <v>2660</v>
      </c>
      <c r="B2545" s="51" t="s">
        <v>44</v>
      </c>
      <c r="C2545" s="51" t="s">
        <v>3185</v>
      </c>
      <c r="D2545" s="51">
        <v>100024912</v>
      </c>
      <c r="E2545" s="53" t="s">
        <v>3186</v>
      </c>
      <c r="F2545" s="124">
        <v>10</v>
      </c>
      <c r="G2545" s="124">
        <v>240</v>
      </c>
      <c r="H2545" s="369">
        <v>198.47</v>
      </c>
      <c r="I2545" s="215" t="s">
        <v>346</v>
      </c>
      <c r="J2545" s="215" t="s">
        <v>102</v>
      </c>
      <c r="K2545" s="266">
        <v>49081020798</v>
      </c>
      <c r="L2545" s="265" t="s">
        <v>649</v>
      </c>
      <c r="M2545" s="266">
        <v>40049081020796</v>
      </c>
      <c r="N2545" s="264">
        <v>1.9590000000000001</v>
      </c>
      <c r="O2545" s="265" t="s">
        <v>649</v>
      </c>
      <c r="P2545" s="265">
        <v>19.850000000000001</v>
      </c>
      <c r="Q2545" s="265">
        <v>2.77</v>
      </c>
    </row>
    <row r="2546" spans="1:17" ht="15" customHeight="1">
      <c r="A2546" s="147">
        <v>2661</v>
      </c>
      <c r="B2546" s="51" t="s">
        <v>44</v>
      </c>
      <c r="C2546" s="51" t="s">
        <v>3187</v>
      </c>
      <c r="D2546" s="51">
        <v>100023905</v>
      </c>
      <c r="E2546" s="53" t="s">
        <v>3188</v>
      </c>
      <c r="F2546" s="124">
        <v>10</v>
      </c>
      <c r="G2546" s="124">
        <v>750</v>
      </c>
      <c r="H2546" s="369">
        <v>180.98</v>
      </c>
      <c r="I2546" s="215" t="s">
        <v>346</v>
      </c>
      <c r="J2546" s="215" t="s">
        <v>102</v>
      </c>
      <c r="K2546" s="266">
        <v>49081024086</v>
      </c>
      <c r="L2546" s="265" t="s">
        <v>649</v>
      </c>
      <c r="M2546" s="266">
        <v>40049081024084</v>
      </c>
      <c r="N2546" s="264">
        <v>1.661</v>
      </c>
      <c r="O2546" s="265" t="s">
        <v>649</v>
      </c>
      <c r="P2546" s="265">
        <v>16.605</v>
      </c>
      <c r="Q2546" s="265">
        <v>1.1000000000000001</v>
      </c>
    </row>
    <row r="2547" spans="1:17" ht="15" customHeight="1">
      <c r="A2547" s="147">
        <v>2662</v>
      </c>
      <c r="B2547" s="51" t="s">
        <v>44</v>
      </c>
      <c r="C2547" s="51" t="s">
        <v>3189</v>
      </c>
      <c r="D2547" s="51">
        <v>100023906</v>
      </c>
      <c r="E2547" s="53" t="s">
        <v>3190</v>
      </c>
      <c r="F2547" s="124">
        <v>20</v>
      </c>
      <c r="G2547" s="265" t="s">
        <v>649</v>
      </c>
      <c r="H2547" s="369">
        <v>180.98</v>
      </c>
      <c r="I2547" s="215" t="s">
        <v>346</v>
      </c>
      <c r="J2547" s="215" t="s">
        <v>102</v>
      </c>
      <c r="K2547" s="266">
        <v>49081024093</v>
      </c>
      <c r="L2547" s="265" t="s">
        <v>649</v>
      </c>
      <c r="M2547" s="266">
        <v>40049081024091</v>
      </c>
      <c r="N2547" s="264">
        <v>1.55</v>
      </c>
      <c r="O2547" s="265" t="s">
        <v>649</v>
      </c>
      <c r="P2547" s="265">
        <v>31</v>
      </c>
      <c r="Q2547" s="265" t="s">
        <v>649</v>
      </c>
    </row>
    <row r="2548" spans="1:17" ht="15" customHeight="1">
      <c r="A2548" s="147">
        <v>2663</v>
      </c>
      <c r="B2548" s="51" t="s">
        <v>44</v>
      </c>
      <c r="C2548" s="51" t="s">
        <v>3191</v>
      </c>
      <c r="D2548" s="51">
        <v>100024914</v>
      </c>
      <c r="E2548" s="53" t="s">
        <v>3192</v>
      </c>
      <c r="F2548" s="124">
        <v>10</v>
      </c>
      <c r="G2548" s="124">
        <v>750</v>
      </c>
      <c r="H2548" s="369">
        <v>191.49</v>
      </c>
      <c r="I2548" s="215" t="s">
        <v>346</v>
      </c>
      <c r="J2548" s="215" t="s">
        <v>102</v>
      </c>
      <c r="K2548" s="266">
        <v>49081024413</v>
      </c>
      <c r="L2548" s="265" t="s">
        <v>649</v>
      </c>
      <c r="M2548" s="266">
        <v>40049081024411</v>
      </c>
      <c r="N2548" s="264">
        <v>1.78</v>
      </c>
      <c r="O2548" s="265" t="s">
        <v>649</v>
      </c>
      <c r="P2548" s="265">
        <v>17.559999999999999</v>
      </c>
      <c r="Q2548" s="265">
        <v>1.1000000000000001</v>
      </c>
    </row>
    <row r="2549" spans="1:17" ht="15" customHeight="1">
      <c r="A2549" s="147">
        <v>2664</v>
      </c>
      <c r="B2549" s="51" t="s">
        <v>44</v>
      </c>
      <c r="C2549" s="51" t="s">
        <v>3193</v>
      </c>
      <c r="D2549" s="51">
        <v>100023968</v>
      </c>
      <c r="E2549" s="53" t="s">
        <v>3194</v>
      </c>
      <c r="F2549" s="124">
        <v>10</v>
      </c>
      <c r="G2549" s="124">
        <v>750</v>
      </c>
      <c r="H2549" s="369">
        <v>191.49</v>
      </c>
      <c r="I2549" s="215" t="s">
        <v>346</v>
      </c>
      <c r="J2549" s="215" t="s">
        <v>102</v>
      </c>
      <c r="K2549" s="266">
        <v>49081020897</v>
      </c>
      <c r="L2549" s="265" t="s">
        <v>649</v>
      </c>
      <c r="M2549" s="266">
        <v>40049081020895</v>
      </c>
      <c r="N2549" s="264">
        <v>1.706</v>
      </c>
      <c r="O2549" s="265" t="s">
        <v>649</v>
      </c>
      <c r="P2549" s="265">
        <v>18.954999999999998</v>
      </c>
      <c r="Q2549" s="265">
        <v>1.1000000000000001</v>
      </c>
    </row>
    <row r="2550" spans="1:17" ht="15" customHeight="1">
      <c r="A2550" s="147">
        <v>2665</v>
      </c>
      <c r="B2550" s="51" t="s">
        <v>44</v>
      </c>
      <c r="C2550" s="51" t="s">
        <v>3195</v>
      </c>
      <c r="D2550" s="51">
        <v>100024917</v>
      </c>
      <c r="E2550" s="53" t="s">
        <v>3196</v>
      </c>
      <c r="F2550" s="124">
        <v>10</v>
      </c>
      <c r="G2550" s="124">
        <v>240</v>
      </c>
      <c r="H2550" s="369">
        <v>198.47</v>
      </c>
      <c r="I2550" s="215" t="s">
        <v>76</v>
      </c>
      <c r="J2550" s="215" t="s">
        <v>102</v>
      </c>
      <c r="K2550" s="266">
        <v>49081024680</v>
      </c>
      <c r="L2550" s="265" t="s">
        <v>649</v>
      </c>
      <c r="M2550" s="266">
        <v>40049081024688</v>
      </c>
      <c r="N2550" s="264">
        <v>1.885</v>
      </c>
      <c r="O2550" s="265" t="s">
        <v>649</v>
      </c>
      <c r="P2550" s="265">
        <v>22</v>
      </c>
      <c r="Q2550" s="265">
        <v>2.77</v>
      </c>
    </row>
    <row r="2551" spans="1:17" ht="15" customHeight="1">
      <c r="A2551" s="147">
        <v>2666</v>
      </c>
      <c r="B2551" s="51" t="s">
        <v>44</v>
      </c>
      <c r="C2551" s="51" t="s">
        <v>3197</v>
      </c>
      <c r="D2551" s="51">
        <v>100023971</v>
      </c>
      <c r="E2551" s="53" t="s">
        <v>3198</v>
      </c>
      <c r="F2551" s="124">
        <v>20</v>
      </c>
      <c r="G2551" s="265" t="s">
        <v>649</v>
      </c>
      <c r="H2551" s="369">
        <v>180.98</v>
      </c>
      <c r="I2551" s="215" t="s">
        <v>346</v>
      </c>
      <c r="J2551" s="215" t="s">
        <v>102</v>
      </c>
      <c r="K2551" s="266">
        <v>49081024697</v>
      </c>
      <c r="L2551" s="265" t="s">
        <v>649</v>
      </c>
      <c r="M2551" s="266">
        <v>40049081024695</v>
      </c>
      <c r="N2551" s="264">
        <v>1.5960000000000001</v>
      </c>
      <c r="O2551" s="265" t="s">
        <v>649</v>
      </c>
      <c r="P2551" s="265">
        <v>31.92</v>
      </c>
      <c r="Q2551" s="265" t="s">
        <v>649</v>
      </c>
    </row>
    <row r="2552" spans="1:17" ht="15" customHeight="1">
      <c r="A2552" s="147">
        <v>2667</v>
      </c>
      <c r="B2552" s="51" t="s">
        <v>44</v>
      </c>
      <c r="C2552" s="51" t="s">
        <v>3199</v>
      </c>
      <c r="D2552" s="51">
        <v>100024010</v>
      </c>
      <c r="E2552" s="53" t="s">
        <v>3200</v>
      </c>
      <c r="F2552" s="124">
        <v>10</v>
      </c>
      <c r="G2552" s="124">
        <v>600</v>
      </c>
      <c r="H2552" s="369">
        <v>191.49</v>
      </c>
      <c r="I2552" s="215" t="s">
        <v>346</v>
      </c>
      <c r="J2552" s="215" t="s">
        <v>102</v>
      </c>
      <c r="K2552" s="266">
        <v>49081024970</v>
      </c>
      <c r="L2552" s="265" t="s">
        <v>649</v>
      </c>
      <c r="M2552" s="266">
        <v>40049081024978</v>
      </c>
      <c r="N2552" s="264">
        <v>1.7809999999999999</v>
      </c>
      <c r="O2552" s="265" t="s">
        <v>649</v>
      </c>
      <c r="P2552" s="265">
        <v>19</v>
      </c>
      <c r="Q2552" s="265">
        <v>1.41</v>
      </c>
    </row>
    <row r="2553" spans="1:17" ht="15" customHeight="1">
      <c r="A2553" s="147">
        <v>2668</v>
      </c>
      <c r="B2553" s="51" t="s">
        <v>44</v>
      </c>
      <c r="C2553" s="51" t="s">
        <v>3201</v>
      </c>
      <c r="D2553" s="51">
        <v>100024923</v>
      </c>
      <c r="E2553" s="53" t="s">
        <v>3202</v>
      </c>
      <c r="F2553" s="124">
        <v>10</v>
      </c>
      <c r="G2553" s="124">
        <v>180</v>
      </c>
      <c r="H2553" s="369">
        <v>191.49</v>
      </c>
      <c r="I2553" s="215" t="s">
        <v>346</v>
      </c>
      <c r="J2553" s="215" t="s">
        <v>102</v>
      </c>
      <c r="K2553" s="266">
        <v>49081020958</v>
      </c>
      <c r="L2553" s="265" t="s">
        <v>649</v>
      </c>
      <c r="M2553" s="266">
        <v>40049081020956</v>
      </c>
      <c r="N2553" s="264">
        <v>1.857</v>
      </c>
      <c r="O2553" s="265" t="s">
        <v>649</v>
      </c>
      <c r="P2553" s="265">
        <v>20.39</v>
      </c>
      <c r="Q2553" s="265">
        <v>2.65</v>
      </c>
    </row>
    <row r="2554" spans="1:17" ht="15" customHeight="1">
      <c r="A2554" s="147">
        <v>2669</v>
      </c>
      <c r="B2554" s="51" t="s">
        <v>44</v>
      </c>
      <c r="C2554" s="51" t="s">
        <v>3203</v>
      </c>
      <c r="D2554" s="51">
        <v>100024924</v>
      </c>
      <c r="E2554" s="53" t="s">
        <v>3204</v>
      </c>
      <c r="F2554" s="124">
        <v>10</v>
      </c>
      <c r="G2554" s="124">
        <v>240</v>
      </c>
      <c r="H2554" s="369">
        <v>198.47</v>
      </c>
      <c r="I2554" s="215" t="s">
        <v>346</v>
      </c>
      <c r="J2554" s="215" t="s">
        <v>102</v>
      </c>
      <c r="K2554" s="266">
        <v>49081025007</v>
      </c>
      <c r="L2554" s="265" t="s">
        <v>649</v>
      </c>
      <c r="M2554" s="266">
        <v>40049081025005</v>
      </c>
      <c r="N2554" s="264">
        <v>2.036</v>
      </c>
      <c r="O2554" s="265" t="s">
        <v>649</v>
      </c>
      <c r="P2554" s="265">
        <v>22.7</v>
      </c>
      <c r="Q2554" s="265">
        <v>2.77</v>
      </c>
    </row>
    <row r="2555" spans="1:17" ht="15" customHeight="1">
      <c r="A2555" s="147">
        <v>2670</v>
      </c>
      <c r="B2555" s="51" t="s">
        <v>44</v>
      </c>
      <c r="C2555" s="51" t="s">
        <v>3205</v>
      </c>
      <c r="D2555" s="51">
        <v>100024931</v>
      </c>
      <c r="E2555" s="53" t="s">
        <v>3206</v>
      </c>
      <c r="F2555" s="124">
        <v>10</v>
      </c>
      <c r="G2555" s="124">
        <v>600</v>
      </c>
      <c r="H2555" s="369">
        <v>222.22</v>
      </c>
      <c r="I2555" s="215" t="s">
        <v>76</v>
      </c>
      <c r="J2555" s="215" t="s">
        <v>102</v>
      </c>
      <c r="K2555" s="266">
        <v>49081031534</v>
      </c>
      <c r="L2555" s="265" t="s">
        <v>649</v>
      </c>
      <c r="M2555" s="266">
        <v>40049081031532</v>
      </c>
      <c r="N2555" s="264">
        <v>2.1970000000000001</v>
      </c>
      <c r="O2555" s="265" t="s">
        <v>649</v>
      </c>
      <c r="P2555" s="265">
        <v>20.9</v>
      </c>
      <c r="Q2555" s="265">
        <v>1.41</v>
      </c>
    </row>
    <row r="2556" spans="1:17" ht="15" customHeight="1">
      <c r="A2556" s="147">
        <v>2671</v>
      </c>
      <c r="B2556" s="51" t="s">
        <v>44</v>
      </c>
      <c r="C2556" s="51" t="s">
        <v>3207</v>
      </c>
      <c r="D2556" s="51">
        <v>100024932</v>
      </c>
      <c r="E2556" s="53" t="s">
        <v>3208</v>
      </c>
      <c r="F2556" s="124">
        <v>10</v>
      </c>
      <c r="G2556" s="124">
        <v>240</v>
      </c>
      <c r="H2556" s="369">
        <v>229.21</v>
      </c>
      <c r="I2556" s="215" t="s">
        <v>346</v>
      </c>
      <c r="J2556" s="215" t="s">
        <v>102</v>
      </c>
      <c r="K2556" s="266">
        <v>49081031497</v>
      </c>
      <c r="L2556" s="265" t="s">
        <v>649</v>
      </c>
      <c r="M2556" s="266">
        <v>40049081031495</v>
      </c>
      <c r="N2556" s="264">
        <v>2.3759999999999999</v>
      </c>
      <c r="O2556" s="265" t="s">
        <v>649</v>
      </c>
      <c r="P2556" s="265">
        <v>23.9</v>
      </c>
      <c r="Q2556" s="265">
        <v>2.77</v>
      </c>
    </row>
    <row r="2557" spans="1:17" ht="15" customHeight="1">
      <c r="A2557" s="147">
        <v>2672</v>
      </c>
      <c r="B2557" s="51" t="s">
        <v>44</v>
      </c>
      <c r="C2557" s="51" t="s">
        <v>3209</v>
      </c>
      <c r="D2557" s="51">
        <v>100024936</v>
      </c>
      <c r="E2557" s="53" t="s">
        <v>3210</v>
      </c>
      <c r="F2557" s="124">
        <v>20</v>
      </c>
      <c r="G2557" s="124">
        <v>1500</v>
      </c>
      <c r="H2557" s="369">
        <v>191.49</v>
      </c>
      <c r="I2557" s="215" t="s">
        <v>346</v>
      </c>
      <c r="J2557" s="215" t="s">
        <v>102</v>
      </c>
      <c r="K2557" s="266">
        <v>49081021016</v>
      </c>
      <c r="L2557" s="265" t="s">
        <v>649</v>
      </c>
      <c r="M2557" s="266">
        <v>40049081021014</v>
      </c>
      <c r="N2557" s="264">
        <v>1.756</v>
      </c>
      <c r="O2557" s="265" t="s">
        <v>649</v>
      </c>
      <c r="P2557" s="265">
        <v>18.7</v>
      </c>
      <c r="Q2557" s="265">
        <v>1.1000000000000001</v>
      </c>
    </row>
    <row r="2558" spans="1:17" ht="15" customHeight="1">
      <c r="A2558" s="147">
        <v>2673</v>
      </c>
      <c r="B2558" s="51" t="s">
        <v>44</v>
      </c>
      <c r="C2558" s="51" t="s">
        <v>3211</v>
      </c>
      <c r="D2558" s="51">
        <v>100024937</v>
      </c>
      <c r="E2558" s="53" t="s">
        <v>3212</v>
      </c>
      <c r="F2558" s="124">
        <v>10</v>
      </c>
      <c r="G2558" s="124">
        <v>240</v>
      </c>
      <c r="H2558" s="369">
        <v>198.47</v>
      </c>
      <c r="I2558" s="215" t="s">
        <v>346</v>
      </c>
      <c r="J2558" s="215" t="s">
        <v>102</v>
      </c>
      <c r="K2558" s="266">
        <v>49081029562</v>
      </c>
      <c r="L2558" s="265" t="s">
        <v>649</v>
      </c>
      <c r="M2558" s="266">
        <v>40049081029560</v>
      </c>
      <c r="N2558" s="264">
        <v>1.9350000000000001</v>
      </c>
      <c r="O2558" s="265" t="s">
        <v>649</v>
      </c>
      <c r="P2558" s="265">
        <v>21.7</v>
      </c>
      <c r="Q2558" s="265">
        <v>2.77</v>
      </c>
    </row>
    <row r="2559" spans="1:17" ht="15" customHeight="1">
      <c r="A2559" s="147">
        <v>2674</v>
      </c>
      <c r="B2559" s="51" t="s">
        <v>44</v>
      </c>
      <c r="C2559" s="51" t="s">
        <v>3213</v>
      </c>
      <c r="D2559" s="51">
        <v>100024104</v>
      </c>
      <c r="E2559" s="53" t="s">
        <v>3214</v>
      </c>
      <c r="F2559" s="124">
        <v>10</v>
      </c>
      <c r="G2559" s="124">
        <v>750</v>
      </c>
      <c r="H2559" s="369">
        <v>191.49</v>
      </c>
      <c r="I2559" s="215" t="s">
        <v>346</v>
      </c>
      <c r="J2559" s="215" t="s">
        <v>102</v>
      </c>
      <c r="K2559" s="266">
        <v>49081030360</v>
      </c>
      <c r="L2559" s="265" t="s">
        <v>649</v>
      </c>
      <c r="M2559" s="266">
        <v>40049081030368</v>
      </c>
      <c r="N2559" s="264">
        <v>1.694</v>
      </c>
      <c r="O2559" s="265" t="s">
        <v>649</v>
      </c>
      <c r="P2559" s="265">
        <v>19.059999999999999</v>
      </c>
      <c r="Q2559" s="265">
        <v>1.1000000000000001</v>
      </c>
    </row>
    <row r="2560" spans="1:17" ht="15" customHeight="1">
      <c r="A2560" s="147">
        <v>2675</v>
      </c>
      <c r="B2560" s="51" t="s">
        <v>44</v>
      </c>
      <c r="C2560" s="51" t="s">
        <v>3215</v>
      </c>
      <c r="D2560" s="51">
        <v>100025009</v>
      </c>
      <c r="E2560" s="53" t="s">
        <v>3216</v>
      </c>
      <c r="F2560" s="124">
        <v>10</v>
      </c>
      <c r="G2560" s="124">
        <v>180</v>
      </c>
      <c r="H2560" s="369">
        <v>298.91000000000003</v>
      </c>
      <c r="I2560" s="215" t="s">
        <v>76</v>
      </c>
      <c r="J2560" s="215" t="s">
        <v>102</v>
      </c>
      <c r="K2560" s="266">
        <v>49081021658</v>
      </c>
      <c r="L2560" s="265" t="s">
        <v>649</v>
      </c>
      <c r="M2560" s="266">
        <v>40049081021656</v>
      </c>
      <c r="N2560" s="264">
        <v>2.6749999999999998</v>
      </c>
      <c r="O2560" s="265" t="s">
        <v>649</v>
      </c>
      <c r="P2560" s="265">
        <v>29.2</v>
      </c>
      <c r="Q2560" s="265">
        <v>2.65</v>
      </c>
    </row>
    <row r="2561" spans="1:17" ht="15" customHeight="1">
      <c r="A2561" s="147">
        <v>2676</v>
      </c>
      <c r="B2561" s="51" t="s">
        <v>44</v>
      </c>
      <c r="C2561" s="51" t="s">
        <v>3217</v>
      </c>
      <c r="D2561" s="51">
        <v>100025011</v>
      </c>
      <c r="E2561" s="53" t="s">
        <v>3218</v>
      </c>
      <c r="F2561" s="124">
        <v>10</v>
      </c>
      <c r="G2561" s="124">
        <v>240</v>
      </c>
      <c r="H2561" s="369">
        <v>313.79000000000002</v>
      </c>
      <c r="I2561" s="215" t="s">
        <v>346</v>
      </c>
      <c r="J2561" s="215" t="s">
        <v>102</v>
      </c>
      <c r="K2561" s="266">
        <v>49081021672</v>
      </c>
      <c r="L2561" s="265" t="s">
        <v>649</v>
      </c>
      <c r="M2561" s="266">
        <v>40049081021670</v>
      </c>
      <c r="N2561" s="264">
        <v>2.99</v>
      </c>
      <c r="O2561" s="265" t="s">
        <v>649</v>
      </c>
      <c r="P2561" s="265">
        <v>32.549999999999997</v>
      </c>
      <c r="Q2561" s="265">
        <v>2.77</v>
      </c>
    </row>
    <row r="2562" spans="1:17" ht="15" customHeight="1">
      <c r="A2562" s="147">
        <v>2677</v>
      </c>
      <c r="B2562" s="51" t="s">
        <v>44</v>
      </c>
      <c r="C2562" s="51" t="s">
        <v>3219</v>
      </c>
      <c r="D2562" s="51">
        <v>100024533</v>
      </c>
      <c r="E2562" s="53" t="s">
        <v>3220</v>
      </c>
      <c r="F2562" s="124">
        <v>10</v>
      </c>
      <c r="G2562" s="124">
        <v>180</v>
      </c>
      <c r="H2562" s="369">
        <v>298.91000000000003</v>
      </c>
      <c r="I2562" s="215" t="s">
        <v>346</v>
      </c>
      <c r="J2562" s="215" t="s">
        <v>102</v>
      </c>
      <c r="K2562" s="266">
        <v>49081028985</v>
      </c>
      <c r="L2562" s="265" t="s">
        <v>649</v>
      </c>
      <c r="M2562" s="266">
        <v>40049081028983</v>
      </c>
      <c r="N2562" s="264">
        <v>2.8079999999999998</v>
      </c>
      <c r="O2562" s="265" t="s">
        <v>649</v>
      </c>
      <c r="P2562" s="265">
        <v>28.9</v>
      </c>
      <c r="Q2562" s="265">
        <v>2.65</v>
      </c>
    </row>
    <row r="2563" spans="1:17" ht="15" customHeight="1">
      <c r="A2563" s="147">
        <v>2678</v>
      </c>
      <c r="B2563" s="51" t="s">
        <v>44</v>
      </c>
      <c r="C2563" s="51" t="s">
        <v>3221</v>
      </c>
      <c r="D2563" s="51">
        <v>100024535</v>
      </c>
      <c r="E2563" s="53" t="s">
        <v>3222</v>
      </c>
      <c r="F2563" s="124">
        <v>10</v>
      </c>
      <c r="G2563" s="124">
        <v>240</v>
      </c>
      <c r="H2563" s="369">
        <v>313.79000000000002</v>
      </c>
      <c r="I2563" s="215" t="s">
        <v>346</v>
      </c>
      <c r="J2563" s="215" t="s">
        <v>102</v>
      </c>
      <c r="K2563" s="266">
        <v>49081022648</v>
      </c>
      <c r="L2563" s="265" t="s">
        <v>649</v>
      </c>
      <c r="M2563" s="266">
        <v>40049081022646</v>
      </c>
      <c r="N2563" s="264">
        <v>2.4140000000000001</v>
      </c>
      <c r="O2563" s="265" t="s">
        <v>649</v>
      </c>
      <c r="P2563" s="265">
        <v>33.950000000000003</v>
      </c>
      <c r="Q2563" s="265">
        <v>2.77</v>
      </c>
    </row>
    <row r="2564" spans="1:17" ht="15" customHeight="1">
      <c r="A2564" s="147">
        <v>2679</v>
      </c>
      <c r="B2564" s="51" t="s">
        <v>44</v>
      </c>
      <c r="C2564" s="51" t="s">
        <v>3223</v>
      </c>
      <c r="D2564" s="51">
        <v>100024567</v>
      </c>
      <c r="E2564" s="53" t="s">
        <v>3224</v>
      </c>
      <c r="F2564" s="124">
        <v>10</v>
      </c>
      <c r="G2564" s="124">
        <v>180</v>
      </c>
      <c r="H2564" s="369">
        <v>298.91000000000003</v>
      </c>
      <c r="I2564" s="215" t="s">
        <v>346</v>
      </c>
      <c r="J2564" s="215" t="s">
        <v>102</v>
      </c>
      <c r="K2564" s="266">
        <v>49081021870</v>
      </c>
      <c r="L2564" s="265" t="s">
        <v>649</v>
      </c>
      <c r="M2564" s="266">
        <v>40049081021878</v>
      </c>
      <c r="N2564" s="264">
        <v>2.6709999999999998</v>
      </c>
      <c r="O2564" s="265" t="s">
        <v>649</v>
      </c>
      <c r="P2564" s="265">
        <v>28.94</v>
      </c>
      <c r="Q2564" s="265">
        <v>2.65</v>
      </c>
    </row>
    <row r="2565" spans="1:17" ht="15" customHeight="1">
      <c r="A2565" s="147">
        <v>2680</v>
      </c>
      <c r="B2565" s="51" t="s">
        <v>44</v>
      </c>
      <c r="C2565" s="51" t="s">
        <v>3225</v>
      </c>
      <c r="D2565" s="51">
        <v>100024570</v>
      </c>
      <c r="E2565" s="53" t="s">
        <v>3226</v>
      </c>
      <c r="F2565" s="124">
        <v>10</v>
      </c>
      <c r="G2565" s="124">
        <v>240</v>
      </c>
      <c r="H2565" s="369">
        <v>313.79000000000002</v>
      </c>
      <c r="I2565" s="215" t="s">
        <v>346</v>
      </c>
      <c r="J2565" s="215" t="s">
        <v>102</v>
      </c>
      <c r="K2565" s="266">
        <v>49081022884</v>
      </c>
      <c r="L2565" s="265" t="s">
        <v>649</v>
      </c>
      <c r="M2565" s="266">
        <v>40049081022882</v>
      </c>
      <c r="N2565" s="264">
        <v>2.9860000000000002</v>
      </c>
      <c r="O2565" s="265" t="s">
        <v>649</v>
      </c>
      <c r="P2565" s="265">
        <v>32.549999999999997</v>
      </c>
      <c r="Q2565" s="265">
        <v>2.77</v>
      </c>
    </row>
    <row r="2566" spans="1:17" ht="15" customHeight="1">
      <c r="A2566" s="147">
        <v>2681</v>
      </c>
      <c r="B2566" s="51" t="s">
        <v>44</v>
      </c>
      <c r="C2566" s="51" t="s">
        <v>3227</v>
      </c>
      <c r="D2566" s="51">
        <v>100024604</v>
      </c>
      <c r="E2566" s="53" t="s">
        <v>3228</v>
      </c>
      <c r="F2566" s="124">
        <v>10</v>
      </c>
      <c r="G2566" s="124">
        <v>180</v>
      </c>
      <c r="H2566" s="369">
        <v>298.91000000000003</v>
      </c>
      <c r="I2566" s="215" t="s">
        <v>346</v>
      </c>
      <c r="J2566" s="215" t="s">
        <v>102</v>
      </c>
      <c r="K2566" s="266">
        <v>49081029593</v>
      </c>
      <c r="L2566" s="265" t="s">
        <v>649</v>
      </c>
      <c r="M2566" s="266">
        <v>40049081029591</v>
      </c>
      <c r="N2566" s="264">
        <v>2.7280000000000002</v>
      </c>
      <c r="O2566" s="265" t="s">
        <v>649</v>
      </c>
      <c r="P2566" s="265">
        <v>29.34</v>
      </c>
      <c r="Q2566" s="265">
        <v>2.65</v>
      </c>
    </row>
    <row r="2567" spans="1:17" ht="15" customHeight="1">
      <c r="A2567" s="147">
        <v>2682</v>
      </c>
      <c r="B2567" s="51" t="s">
        <v>44</v>
      </c>
      <c r="C2567" s="51" t="s">
        <v>3230</v>
      </c>
      <c r="D2567" s="103">
        <v>100028410</v>
      </c>
      <c r="E2567" s="53" t="s">
        <v>3231</v>
      </c>
      <c r="F2567" s="124">
        <v>50</v>
      </c>
      <c r="G2567" s="124">
        <v>3750</v>
      </c>
      <c r="H2567" s="369">
        <v>7.57</v>
      </c>
      <c r="I2567" s="215" t="s">
        <v>816</v>
      </c>
      <c r="J2567" s="215" t="s">
        <v>77</v>
      </c>
      <c r="K2567" s="266">
        <v>49081070014</v>
      </c>
      <c r="L2567" s="265" t="s">
        <v>649</v>
      </c>
      <c r="M2567" s="266">
        <v>40049081070012</v>
      </c>
      <c r="N2567" s="264">
        <v>0.161</v>
      </c>
      <c r="O2567" s="265" t="s">
        <v>649</v>
      </c>
      <c r="P2567" s="265">
        <v>8.06</v>
      </c>
      <c r="Q2567" s="265">
        <v>1.1000000000000001</v>
      </c>
    </row>
    <row r="2568" spans="1:17" ht="15" customHeight="1">
      <c r="A2568" s="147">
        <v>2683</v>
      </c>
      <c r="B2568" s="51" t="s">
        <v>44</v>
      </c>
      <c r="C2568" s="51" t="s">
        <v>3232</v>
      </c>
      <c r="D2568" s="153">
        <v>100028411</v>
      </c>
      <c r="E2568" s="53" t="s">
        <v>3233</v>
      </c>
      <c r="F2568" s="124">
        <v>50</v>
      </c>
      <c r="G2568" s="124">
        <v>3750</v>
      </c>
      <c r="H2568" s="369">
        <v>7.57</v>
      </c>
      <c r="I2568" s="215" t="s">
        <v>816</v>
      </c>
      <c r="J2568" s="215" t="s">
        <v>77</v>
      </c>
      <c r="K2568" s="266">
        <v>49081070014</v>
      </c>
      <c r="L2568" s="265" t="s">
        <v>649</v>
      </c>
      <c r="M2568" s="266">
        <v>40049081070012</v>
      </c>
      <c r="N2568" s="264">
        <v>0.161</v>
      </c>
      <c r="O2568" s="265" t="s">
        <v>649</v>
      </c>
      <c r="P2568" s="265">
        <v>8.06</v>
      </c>
      <c r="Q2568" s="265">
        <v>1.1000000000000001</v>
      </c>
    </row>
    <row r="2569" spans="1:17" ht="15" customHeight="1">
      <c r="A2569" s="147">
        <v>2684</v>
      </c>
      <c r="B2569" s="51" t="s">
        <v>44</v>
      </c>
      <c r="C2569" s="51" t="s">
        <v>3234</v>
      </c>
      <c r="D2569" s="153">
        <v>100028412</v>
      </c>
      <c r="E2569" s="53" t="s">
        <v>3235</v>
      </c>
      <c r="F2569" s="124">
        <v>50</v>
      </c>
      <c r="G2569" s="124">
        <v>6000</v>
      </c>
      <c r="H2569" s="369">
        <v>5.0199999999999996</v>
      </c>
      <c r="I2569" s="215" t="s">
        <v>816</v>
      </c>
      <c r="J2569" s="215" t="s">
        <v>77</v>
      </c>
      <c r="K2569" s="266">
        <v>49081070014</v>
      </c>
      <c r="L2569" s="265" t="s">
        <v>649</v>
      </c>
      <c r="M2569" s="266">
        <v>40049081070012</v>
      </c>
      <c r="N2569" s="264">
        <v>0.161</v>
      </c>
      <c r="O2569" s="265" t="s">
        <v>649</v>
      </c>
      <c r="P2569" s="265">
        <v>6.31</v>
      </c>
      <c r="Q2569" s="265">
        <v>0.65</v>
      </c>
    </row>
    <row r="2570" spans="1:17" ht="15" customHeight="1">
      <c r="A2570" s="147">
        <v>2686</v>
      </c>
      <c r="B2570" s="51" t="s">
        <v>44</v>
      </c>
      <c r="C2570" s="51" t="s">
        <v>3236</v>
      </c>
      <c r="D2570" s="153">
        <v>100031681</v>
      </c>
      <c r="E2570" s="53" t="s">
        <v>3237</v>
      </c>
      <c r="F2570" s="124">
        <v>50</v>
      </c>
      <c r="G2570" s="124">
        <v>3750</v>
      </c>
      <c r="H2570" s="369">
        <v>7.57</v>
      </c>
      <c r="I2570" s="215" t="s">
        <v>816</v>
      </c>
      <c r="J2570" s="215" t="s">
        <v>77</v>
      </c>
      <c r="K2570" s="266">
        <v>49081070014</v>
      </c>
      <c r="L2570" s="265" t="s">
        <v>649</v>
      </c>
      <c r="M2570" s="266">
        <v>40049081070012</v>
      </c>
      <c r="N2570" s="264">
        <v>0.161</v>
      </c>
      <c r="O2570" s="265" t="s">
        <v>649</v>
      </c>
      <c r="P2570" s="265">
        <v>9.17</v>
      </c>
      <c r="Q2570" s="265">
        <v>1.1000000000000001</v>
      </c>
    </row>
    <row r="2571" spans="1:17" ht="15" customHeight="1">
      <c r="A2571" s="147">
        <v>2687</v>
      </c>
      <c r="B2571" s="51" t="s">
        <v>44</v>
      </c>
      <c r="C2571" s="51" t="s">
        <v>3238</v>
      </c>
      <c r="D2571" s="103">
        <v>100028414</v>
      </c>
      <c r="E2571" s="53" t="s">
        <v>3239</v>
      </c>
      <c r="F2571" s="124">
        <v>50</v>
      </c>
      <c r="G2571" s="124">
        <v>4500</v>
      </c>
      <c r="H2571" s="369">
        <v>5.0199999999999996</v>
      </c>
      <c r="I2571" s="215" t="s">
        <v>816</v>
      </c>
      <c r="J2571" s="215" t="s">
        <v>77</v>
      </c>
      <c r="K2571" s="266">
        <v>49081070014</v>
      </c>
      <c r="L2571" s="265" t="s">
        <v>649</v>
      </c>
      <c r="M2571" s="266">
        <v>40049081070012</v>
      </c>
      <c r="N2571" s="264">
        <v>0.161</v>
      </c>
      <c r="O2571" s="265" t="s">
        <v>649</v>
      </c>
      <c r="P2571" s="265">
        <v>7.53</v>
      </c>
      <c r="Q2571" s="265">
        <v>0.8</v>
      </c>
    </row>
    <row r="2572" spans="1:17" ht="15" customHeight="1">
      <c r="A2572" s="147">
        <v>2688</v>
      </c>
      <c r="B2572" s="51" t="s">
        <v>44</v>
      </c>
      <c r="C2572" s="51" t="s">
        <v>3240</v>
      </c>
      <c r="D2572" s="103">
        <v>100025075</v>
      </c>
      <c r="E2572" s="53" t="s">
        <v>3241</v>
      </c>
      <c r="F2572" s="124">
        <v>50</v>
      </c>
      <c r="G2572" s="124">
        <v>1800</v>
      </c>
      <c r="H2572" s="369">
        <v>19.89</v>
      </c>
      <c r="I2572" s="215" t="s">
        <v>816</v>
      </c>
      <c r="J2572" s="215" t="s">
        <v>77</v>
      </c>
      <c r="K2572" s="266">
        <v>49081070014</v>
      </c>
      <c r="L2572" s="265" t="s">
        <v>649</v>
      </c>
      <c r="M2572" s="266">
        <v>40049081070012</v>
      </c>
      <c r="N2572" s="264">
        <v>0.161</v>
      </c>
      <c r="O2572" s="265" t="s">
        <v>649</v>
      </c>
      <c r="P2572" s="265">
        <v>27.1</v>
      </c>
      <c r="Q2572" s="265">
        <v>2.65</v>
      </c>
    </row>
    <row r="2573" spans="1:17" ht="15" customHeight="1">
      <c r="A2573" s="147">
        <v>2689</v>
      </c>
      <c r="B2573" s="51" t="s">
        <v>44</v>
      </c>
      <c r="C2573" s="51" t="s">
        <v>3242</v>
      </c>
      <c r="D2573" s="103">
        <v>100025076</v>
      </c>
      <c r="E2573" s="53" t="s">
        <v>3243</v>
      </c>
      <c r="F2573" s="124">
        <v>50</v>
      </c>
      <c r="G2573" s="124">
        <v>1800</v>
      </c>
      <c r="H2573" s="369">
        <v>19.89</v>
      </c>
      <c r="I2573" s="215" t="s">
        <v>816</v>
      </c>
      <c r="J2573" s="215" t="s">
        <v>77</v>
      </c>
      <c r="K2573" s="266">
        <v>49081070014</v>
      </c>
      <c r="L2573" s="265" t="s">
        <v>649</v>
      </c>
      <c r="M2573" s="266">
        <v>40049081070012</v>
      </c>
      <c r="N2573" s="264">
        <v>0.161</v>
      </c>
      <c r="O2573" s="265" t="s">
        <v>649</v>
      </c>
      <c r="P2573" s="265">
        <v>27.59</v>
      </c>
      <c r="Q2573" s="265">
        <v>2.65</v>
      </c>
    </row>
    <row r="2574" spans="1:17" ht="15" customHeight="1">
      <c r="A2574" s="147">
        <v>2690</v>
      </c>
      <c r="B2574" s="51" t="s">
        <v>44</v>
      </c>
      <c r="C2574" s="51" t="s">
        <v>3244</v>
      </c>
      <c r="D2574" s="103">
        <v>100024619</v>
      </c>
      <c r="E2574" s="53" t="s">
        <v>3245</v>
      </c>
      <c r="F2574" s="124">
        <v>50</v>
      </c>
      <c r="G2574" s="124">
        <v>1800</v>
      </c>
      <c r="H2574" s="369">
        <v>19.89</v>
      </c>
      <c r="I2574" s="215" t="s">
        <v>816</v>
      </c>
      <c r="J2574" s="215" t="s">
        <v>77</v>
      </c>
      <c r="K2574" s="266">
        <v>49081070014</v>
      </c>
      <c r="L2574" s="265" t="s">
        <v>649</v>
      </c>
      <c r="M2574" s="266">
        <v>40049081070012</v>
      </c>
      <c r="N2574" s="264">
        <v>0.161</v>
      </c>
      <c r="O2574" s="265" t="s">
        <v>649</v>
      </c>
      <c r="P2574" s="265">
        <v>26.4</v>
      </c>
      <c r="Q2574" s="265">
        <v>2.65</v>
      </c>
    </row>
    <row r="2575" spans="1:17" ht="15" customHeight="1">
      <c r="A2575" s="147">
        <v>2691</v>
      </c>
      <c r="B2575" s="51" t="s">
        <v>44</v>
      </c>
      <c r="C2575" s="51" t="s">
        <v>3246</v>
      </c>
      <c r="D2575" s="103">
        <v>100024620</v>
      </c>
      <c r="E2575" s="53" t="s">
        <v>3247</v>
      </c>
      <c r="F2575" s="124">
        <v>50</v>
      </c>
      <c r="G2575" s="124">
        <v>1800</v>
      </c>
      <c r="H2575" s="369">
        <v>19.89</v>
      </c>
      <c r="I2575" s="215" t="s">
        <v>816</v>
      </c>
      <c r="J2575" s="215" t="s">
        <v>77</v>
      </c>
      <c r="K2575" s="266">
        <v>49081070014</v>
      </c>
      <c r="L2575" s="265" t="s">
        <v>649</v>
      </c>
      <c r="M2575" s="266">
        <v>40049081070012</v>
      </c>
      <c r="N2575" s="264">
        <v>0.161</v>
      </c>
      <c r="O2575" s="265" t="s">
        <v>649</v>
      </c>
      <c r="P2575" s="265">
        <v>23.09</v>
      </c>
      <c r="Q2575" s="265">
        <v>2.65</v>
      </c>
    </row>
    <row r="2576" spans="1:17" ht="15" customHeight="1">
      <c r="A2576" s="147">
        <v>2692</v>
      </c>
      <c r="B2576" s="51" t="s">
        <v>44</v>
      </c>
      <c r="C2576" s="51" t="s">
        <v>3248</v>
      </c>
      <c r="D2576" s="103">
        <v>100024621</v>
      </c>
      <c r="E2576" s="53" t="s">
        <v>3249</v>
      </c>
      <c r="F2576" s="124">
        <v>50</v>
      </c>
      <c r="G2576" s="124">
        <v>1800</v>
      </c>
      <c r="H2576" s="369">
        <v>19.89</v>
      </c>
      <c r="I2576" s="215" t="s">
        <v>816</v>
      </c>
      <c r="J2576" s="215" t="s">
        <v>77</v>
      </c>
      <c r="K2576" s="266">
        <v>49081070014</v>
      </c>
      <c r="L2576" s="265" t="s">
        <v>649</v>
      </c>
      <c r="M2576" s="266">
        <v>40049081070012</v>
      </c>
      <c r="N2576" s="264">
        <v>0.161</v>
      </c>
      <c r="O2576" s="265" t="s">
        <v>649</v>
      </c>
      <c r="P2576" s="265">
        <v>27.1</v>
      </c>
      <c r="Q2576" s="265">
        <v>2.65</v>
      </c>
    </row>
    <row r="2577" spans="1:17" ht="15" customHeight="1">
      <c r="A2577" s="147">
        <v>2693</v>
      </c>
      <c r="B2577" s="51" t="s">
        <v>44</v>
      </c>
      <c r="C2577" s="51" t="s">
        <v>3250</v>
      </c>
      <c r="D2577" s="103">
        <v>100024622</v>
      </c>
      <c r="E2577" s="53" t="s">
        <v>3251</v>
      </c>
      <c r="F2577" s="124">
        <v>50</v>
      </c>
      <c r="G2577" s="124">
        <v>1800</v>
      </c>
      <c r="H2577" s="369">
        <v>19.89</v>
      </c>
      <c r="I2577" s="215" t="s">
        <v>816</v>
      </c>
      <c r="J2577" s="215" t="s">
        <v>77</v>
      </c>
      <c r="K2577" s="266">
        <v>49081070014</v>
      </c>
      <c r="L2577" s="265" t="s">
        <v>649</v>
      </c>
      <c r="M2577" s="266">
        <v>40049081070012</v>
      </c>
      <c r="N2577" s="264">
        <v>0.161</v>
      </c>
      <c r="O2577" s="265" t="s">
        <v>649</v>
      </c>
      <c r="P2577" s="265">
        <v>25.6</v>
      </c>
      <c r="Q2577" s="265">
        <v>2.65</v>
      </c>
    </row>
    <row r="2578" spans="1:17" ht="15" customHeight="1">
      <c r="A2578" s="147">
        <v>2694</v>
      </c>
      <c r="B2578" s="51" t="s">
        <v>44</v>
      </c>
      <c r="C2578" s="51" t="s">
        <v>3252</v>
      </c>
      <c r="D2578" s="103">
        <v>100024623</v>
      </c>
      <c r="E2578" s="53" t="s">
        <v>3247</v>
      </c>
      <c r="F2578" s="124">
        <v>50</v>
      </c>
      <c r="G2578" s="124">
        <v>1800</v>
      </c>
      <c r="H2578" s="369">
        <v>19.89</v>
      </c>
      <c r="I2578" s="215" t="s">
        <v>816</v>
      </c>
      <c r="J2578" s="215" t="s">
        <v>77</v>
      </c>
      <c r="K2578" s="266">
        <v>49081070014</v>
      </c>
      <c r="L2578" s="265" t="s">
        <v>649</v>
      </c>
      <c r="M2578" s="266">
        <v>40049081070012</v>
      </c>
      <c r="N2578" s="264">
        <v>0.161</v>
      </c>
      <c r="O2578" s="265" t="s">
        <v>649</v>
      </c>
      <c r="P2578" s="265">
        <v>27.09</v>
      </c>
      <c r="Q2578" s="265">
        <v>2.65</v>
      </c>
    </row>
    <row r="2579" spans="1:17" ht="15" customHeight="1">
      <c r="A2579" s="147">
        <v>2695</v>
      </c>
      <c r="B2579" s="51" t="s">
        <v>44</v>
      </c>
      <c r="C2579" s="51" t="s">
        <v>3253</v>
      </c>
      <c r="D2579" s="103">
        <v>100025077</v>
      </c>
      <c r="E2579" s="53" t="s">
        <v>3249</v>
      </c>
      <c r="F2579" s="124">
        <v>50</v>
      </c>
      <c r="G2579" s="124">
        <v>1800</v>
      </c>
      <c r="H2579" s="369">
        <v>19.89</v>
      </c>
      <c r="I2579" s="215" t="s">
        <v>816</v>
      </c>
      <c r="J2579" s="215" t="s">
        <v>77</v>
      </c>
      <c r="K2579" s="266">
        <v>49081070014</v>
      </c>
      <c r="L2579" s="265" t="s">
        <v>649</v>
      </c>
      <c r="M2579" s="266">
        <v>40049081070012</v>
      </c>
      <c r="N2579" s="264">
        <v>0.161</v>
      </c>
      <c r="O2579" s="265" t="s">
        <v>649</v>
      </c>
      <c r="P2579" s="265">
        <v>27.1</v>
      </c>
      <c r="Q2579" s="265">
        <v>2.65</v>
      </c>
    </row>
    <row r="2580" spans="1:17" ht="15" customHeight="1">
      <c r="A2580" s="147">
        <v>2696</v>
      </c>
      <c r="B2580" s="51" t="s">
        <v>44</v>
      </c>
      <c r="C2580" s="51" t="s">
        <v>3254</v>
      </c>
      <c r="D2580" s="103">
        <v>100025078</v>
      </c>
      <c r="E2580" s="53" t="s">
        <v>3251</v>
      </c>
      <c r="F2580" s="124">
        <v>50</v>
      </c>
      <c r="G2580" s="124">
        <v>1800</v>
      </c>
      <c r="H2580" s="369">
        <v>19.89</v>
      </c>
      <c r="I2580" s="215" t="s">
        <v>816</v>
      </c>
      <c r="J2580" s="215" t="s">
        <v>77</v>
      </c>
      <c r="K2580" s="266">
        <v>49081070014</v>
      </c>
      <c r="L2580" s="265" t="s">
        <v>649</v>
      </c>
      <c r="M2580" s="266">
        <v>40049081070012</v>
      </c>
      <c r="N2580" s="264">
        <v>0.161</v>
      </c>
      <c r="O2580" s="265" t="s">
        <v>649</v>
      </c>
      <c r="P2580" s="265">
        <v>27.6</v>
      </c>
      <c r="Q2580" s="265">
        <v>2.65</v>
      </c>
    </row>
    <row r="2581" spans="1:17" ht="15" customHeight="1">
      <c r="A2581" s="147">
        <v>2697</v>
      </c>
      <c r="B2581" s="51" t="s">
        <v>44</v>
      </c>
      <c r="C2581" s="51" t="s">
        <v>3255</v>
      </c>
      <c r="D2581" s="103">
        <v>100028741</v>
      </c>
      <c r="E2581" s="53" t="s">
        <v>3256</v>
      </c>
      <c r="F2581" s="124">
        <v>50</v>
      </c>
      <c r="G2581" s="124">
        <v>1800</v>
      </c>
      <c r="H2581" s="369">
        <v>19.89</v>
      </c>
      <c r="I2581" s="215" t="s">
        <v>816</v>
      </c>
      <c r="J2581" s="215" t="s">
        <v>77</v>
      </c>
      <c r="K2581" s="266">
        <v>49081070014</v>
      </c>
      <c r="L2581" s="265" t="s">
        <v>649</v>
      </c>
      <c r="M2581" s="266">
        <v>40049081070012</v>
      </c>
      <c r="N2581" s="264">
        <v>0.161</v>
      </c>
      <c r="O2581" s="265" t="s">
        <v>649</v>
      </c>
      <c r="P2581" s="265">
        <v>30.12</v>
      </c>
      <c r="Q2581" s="265">
        <v>2.65</v>
      </c>
    </row>
    <row r="2582" spans="1:17" ht="15" customHeight="1">
      <c r="A2582" s="147">
        <v>2698</v>
      </c>
      <c r="B2582" s="51" t="s">
        <v>44</v>
      </c>
      <c r="C2582" s="51" t="s">
        <v>3257</v>
      </c>
      <c r="D2582" s="103">
        <v>100025080</v>
      </c>
      <c r="E2582" s="53" t="s">
        <v>3258</v>
      </c>
      <c r="F2582" s="124">
        <v>50</v>
      </c>
      <c r="G2582" s="124">
        <v>1800</v>
      </c>
      <c r="H2582" s="369">
        <v>19.89</v>
      </c>
      <c r="I2582" s="215" t="s">
        <v>816</v>
      </c>
      <c r="J2582" s="215" t="s">
        <v>77</v>
      </c>
      <c r="K2582" s="266">
        <v>49081070014</v>
      </c>
      <c r="L2582" s="265" t="s">
        <v>649</v>
      </c>
      <c r="M2582" s="266">
        <v>40049081070012</v>
      </c>
      <c r="N2582" s="264">
        <v>0.161</v>
      </c>
      <c r="O2582" s="265" t="s">
        <v>649</v>
      </c>
      <c r="P2582" s="265">
        <v>28.59</v>
      </c>
      <c r="Q2582" s="265">
        <v>2.65</v>
      </c>
    </row>
    <row r="2583" spans="1:17" ht="15" customHeight="1">
      <c r="A2583" s="147">
        <v>2699</v>
      </c>
      <c r="B2583" s="51" t="s">
        <v>44</v>
      </c>
      <c r="C2583" s="51" t="s">
        <v>3259</v>
      </c>
      <c r="D2583" s="103">
        <v>100025082</v>
      </c>
      <c r="E2583" s="53" t="s">
        <v>3260</v>
      </c>
      <c r="F2583" s="124">
        <v>50</v>
      </c>
      <c r="G2583" s="124">
        <v>1800</v>
      </c>
      <c r="H2583" s="369">
        <v>19.89</v>
      </c>
      <c r="I2583" s="215" t="s">
        <v>816</v>
      </c>
      <c r="J2583" s="215" t="s">
        <v>77</v>
      </c>
      <c r="K2583" s="266">
        <v>49081070014</v>
      </c>
      <c r="L2583" s="265" t="s">
        <v>649</v>
      </c>
      <c r="M2583" s="266">
        <v>40049081070012</v>
      </c>
      <c r="N2583" s="264">
        <v>0.161</v>
      </c>
      <c r="O2583" s="265" t="s">
        <v>649</v>
      </c>
      <c r="P2583" s="265">
        <v>28.59</v>
      </c>
      <c r="Q2583" s="265">
        <v>2.65</v>
      </c>
    </row>
    <row r="2584" spans="1:17" ht="15" customHeight="1">
      <c r="A2584" s="147">
        <v>2700</v>
      </c>
      <c r="B2584" s="51" t="s">
        <v>44</v>
      </c>
      <c r="C2584" s="51" t="s">
        <v>3261</v>
      </c>
      <c r="D2584" s="103">
        <v>100024625</v>
      </c>
      <c r="E2584" s="53" t="s">
        <v>3262</v>
      </c>
      <c r="F2584" s="124">
        <v>50</v>
      </c>
      <c r="G2584" s="124">
        <v>1800</v>
      </c>
      <c r="H2584" s="369">
        <v>19.89</v>
      </c>
      <c r="I2584" s="215" t="s">
        <v>816</v>
      </c>
      <c r="J2584" s="215" t="s">
        <v>77</v>
      </c>
      <c r="K2584" s="266">
        <v>49081070014</v>
      </c>
      <c r="L2584" s="265" t="s">
        <v>649</v>
      </c>
      <c r="M2584" s="266">
        <v>40049081070012</v>
      </c>
      <c r="N2584" s="264">
        <v>0.161</v>
      </c>
      <c r="O2584" s="265" t="s">
        <v>649</v>
      </c>
      <c r="P2584" s="265">
        <v>28.1</v>
      </c>
      <c r="Q2584" s="265">
        <v>2.65</v>
      </c>
    </row>
    <row r="2585" spans="1:17" ht="15" customHeight="1">
      <c r="A2585" s="147">
        <v>2701</v>
      </c>
      <c r="B2585" s="51" t="s">
        <v>44</v>
      </c>
      <c r="C2585" s="51" t="s">
        <v>3263</v>
      </c>
      <c r="D2585" s="103">
        <v>100028742</v>
      </c>
      <c r="E2585" s="53" t="s">
        <v>3264</v>
      </c>
      <c r="F2585" s="124">
        <v>50</v>
      </c>
      <c r="G2585" s="124">
        <v>1800</v>
      </c>
      <c r="H2585" s="369">
        <v>19.89</v>
      </c>
      <c r="I2585" s="215" t="s">
        <v>816</v>
      </c>
      <c r="J2585" s="215" t="s">
        <v>77</v>
      </c>
      <c r="K2585" s="266">
        <v>49081070014</v>
      </c>
      <c r="L2585" s="265" t="s">
        <v>649</v>
      </c>
      <c r="M2585" s="266">
        <v>40049081070012</v>
      </c>
      <c r="N2585" s="264">
        <v>0.161</v>
      </c>
      <c r="O2585" s="265" t="s">
        <v>649</v>
      </c>
      <c r="P2585" s="265">
        <v>28.6</v>
      </c>
      <c r="Q2585" s="265">
        <v>2.65</v>
      </c>
    </row>
    <row r="2586" spans="1:17" ht="15" customHeight="1">
      <c r="A2586" s="147">
        <v>2702</v>
      </c>
      <c r="B2586" s="51" t="s">
        <v>44</v>
      </c>
      <c r="C2586" s="51" t="s">
        <v>3266</v>
      </c>
      <c r="D2586" s="51">
        <v>100023790</v>
      </c>
      <c r="E2586" s="53" t="s">
        <v>3267</v>
      </c>
      <c r="F2586" s="124">
        <v>10</v>
      </c>
      <c r="G2586" s="124">
        <v>1200</v>
      </c>
      <c r="H2586" s="369">
        <v>79.58</v>
      </c>
      <c r="I2586" s="215" t="s">
        <v>346</v>
      </c>
      <c r="J2586" s="215" t="s">
        <v>102</v>
      </c>
      <c r="K2586" s="266">
        <v>49081023201</v>
      </c>
      <c r="L2586" s="265" t="s">
        <v>649</v>
      </c>
      <c r="M2586" s="266">
        <v>40049081023209</v>
      </c>
      <c r="N2586" s="264">
        <v>1.085</v>
      </c>
      <c r="O2586" s="265" t="s">
        <v>649</v>
      </c>
      <c r="P2586" s="265">
        <v>10.85</v>
      </c>
      <c r="Q2586" s="265">
        <v>0.65</v>
      </c>
    </row>
    <row r="2587" spans="1:17" ht="15" customHeight="1">
      <c r="A2587" s="147">
        <v>2703</v>
      </c>
      <c r="B2587" s="51" t="s">
        <v>44</v>
      </c>
      <c r="C2587" s="51" t="s">
        <v>3268</v>
      </c>
      <c r="D2587" s="51">
        <v>100024916</v>
      </c>
      <c r="E2587" s="53" t="s">
        <v>3269</v>
      </c>
      <c r="F2587" s="124">
        <v>10</v>
      </c>
      <c r="G2587" s="124">
        <v>1200</v>
      </c>
      <c r="H2587" s="369">
        <v>79.58</v>
      </c>
      <c r="I2587" s="215" t="s">
        <v>346</v>
      </c>
      <c r="J2587" s="215" t="s">
        <v>102</v>
      </c>
      <c r="K2587" s="266">
        <v>49081020866</v>
      </c>
      <c r="L2587" s="265" t="s">
        <v>649</v>
      </c>
      <c r="M2587" s="266">
        <v>40049081020864</v>
      </c>
      <c r="N2587" s="264">
        <v>0.91300000000000003</v>
      </c>
      <c r="O2587" s="265" t="s">
        <v>649</v>
      </c>
      <c r="P2587" s="265">
        <v>10.55</v>
      </c>
      <c r="Q2587" s="265">
        <v>0.65</v>
      </c>
    </row>
    <row r="2588" spans="1:17" ht="15" customHeight="1">
      <c r="A2588" s="147">
        <v>2704</v>
      </c>
      <c r="B2588" s="51" t="s">
        <v>44</v>
      </c>
      <c r="C2588" s="51" t="s">
        <v>3270</v>
      </c>
      <c r="D2588" s="51">
        <v>100023956</v>
      </c>
      <c r="E2588" s="53" t="s">
        <v>3271</v>
      </c>
      <c r="F2588" s="124">
        <v>10</v>
      </c>
      <c r="G2588" s="124">
        <v>1200</v>
      </c>
      <c r="H2588" s="369">
        <v>79.58</v>
      </c>
      <c r="I2588" s="215" t="s">
        <v>346</v>
      </c>
      <c r="J2588" s="215" t="s">
        <v>102</v>
      </c>
      <c r="K2588" s="266">
        <v>49081024529</v>
      </c>
      <c r="L2588" s="265" t="s">
        <v>649</v>
      </c>
      <c r="M2588" s="266">
        <v>40049081024527</v>
      </c>
      <c r="N2588" s="264">
        <v>1.1200000000000001</v>
      </c>
      <c r="O2588" s="265" t="s">
        <v>649</v>
      </c>
      <c r="P2588" s="265">
        <v>11.2</v>
      </c>
      <c r="Q2588" s="265">
        <v>0.65</v>
      </c>
    </row>
    <row r="2589" spans="1:17" ht="15" customHeight="1">
      <c r="A2589" s="147">
        <v>2705</v>
      </c>
      <c r="B2589" s="51" t="s">
        <v>44</v>
      </c>
      <c r="C2589" s="51" t="s">
        <v>3272</v>
      </c>
      <c r="D2589" s="51">
        <v>100024000</v>
      </c>
      <c r="E2589" s="53" t="s">
        <v>3273</v>
      </c>
      <c r="F2589" s="124">
        <v>10</v>
      </c>
      <c r="G2589" s="124">
        <v>1200</v>
      </c>
      <c r="H2589" s="369">
        <v>79.58</v>
      </c>
      <c r="I2589" s="215" t="s">
        <v>346</v>
      </c>
      <c r="J2589" s="215" t="s">
        <v>102</v>
      </c>
      <c r="K2589" s="266">
        <v>49081024901</v>
      </c>
      <c r="L2589" s="265" t="s">
        <v>649</v>
      </c>
      <c r="M2589" s="266">
        <v>40049081024909</v>
      </c>
      <c r="N2589" s="264">
        <v>1.08</v>
      </c>
      <c r="O2589" s="265" t="s">
        <v>649</v>
      </c>
      <c r="P2589" s="265">
        <v>10.8</v>
      </c>
      <c r="Q2589" s="265">
        <v>0.65</v>
      </c>
    </row>
    <row r="2590" spans="1:17" ht="15" customHeight="1">
      <c r="A2590" s="147">
        <v>2706</v>
      </c>
      <c r="B2590" s="51" t="s">
        <v>44</v>
      </c>
      <c r="C2590" s="51" t="s">
        <v>3274</v>
      </c>
      <c r="D2590" s="51">
        <v>100024002</v>
      </c>
      <c r="E2590" s="53" t="s">
        <v>3275</v>
      </c>
      <c r="F2590" s="124">
        <v>10</v>
      </c>
      <c r="G2590" s="124">
        <v>1200</v>
      </c>
      <c r="H2590" s="369">
        <v>79.58</v>
      </c>
      <c r="I2590" s="215" t="s">
        <v>346</v>
      </c>
      <c r="J2590" s="215" t="s">
        <v>102</v>
      </c>
      <c r="K2590" s="266">
        <v>49081020934</v>
      </c>
      <c r="L2590" s="265" t="s">
        <v>649</v>
      </c>
      <c r="M2590" s="266">
        <v>40049081020932</v>
      </c>
      <c r="N2590" s="264">
        <v>0.91300000000000003</v>
      </c>
      <c r="O2590" s="265" t="s">
        <v>649</v>
      </c>
      <c r="P2590" s="265">
        <v>10.6</v>
      </c>
      <c r="Q2590" s="265">
        <v>0.65</v>
      </c>
    </row>
    <row r="2591" spans="1:17" ht="15" customHeight="1">
      <c r="A2591" s="147">
        <v>2707</v>
      </c>
      <c r="B2591" s="51" t="s">
        <v>44</v>
      </c>
      <c r="C2591" s="51" t="s">
        <v>3276</v>
      </c>
      <c r="D2591" s="51">
        <v>100024119</v>
      </c>
      <c r="E2591" s="53" t="s">
        <v>3277</v>
      </c>
      <c r="F2591" s="124">
        <v>10</v>
      </c>
      <c r="G2591" s="124">
        <v>750</v>
      </c>
      <c r="H2591" s="369">
        <v>105.38</v>
      </c>
      <c r="I2591" s="215" t="s">
        <v>346</v>
      </c>
      <c r="J2591" s="215" t="s">
        <v>102</v>
      </c>
      <c r="K2591" s="266">
        <v>49081025762</v>
      </c>
      <c r="L2591" s="265" t="s">
        <v>649</v>
      </c>
      <c r="M2591" s="266">
        <v>40049081025760</v>
      </c>
      <c r="N2591" s="264">
        <v>1.1739999999999999</v>
      </c>
      <c r="O2591" s="265" t="s">
        <v>649</v>
      </c>
      <c r="P2591" s="265">
        <v>16.3</v>
      </c>
      <c r="Q2591" s="265">
        <v>1.1000000000000001</v>
      </c>
    </row>
    <row r="2592" spans="1:17" ht="15" customHeight="1">
      <c r="A2592" s="147">
        <v>2708</v>
      </c>
      <c r="B2592" s="51" t="s">
        <v>44</v>
      </c>
      <c r="C2592" s="51" t="s">
        <v>3278</v>
      </c>
      <c r="D2592" s="51">
        <v>100024148</v>
      </c>
      <c r="E2592" s="53" t="s">
        <v>3279</v>
      </c>
      <c r="F2592" s="124">
        <v>10</v>
      </c>
      <c r="G2592" s="124">
        <v>750</v>
      </c>
      <c r="H2592" s="369">
        <v>105.38</v>
      </c>
      <c r="I2592" s="215" t="s">
        <v>346</v>
      </c>
      <c r="J2592" s="215" t="s">
        <v>102</v>
      </c>
      <c r="K2592" s="266">
        <v>49081026035</v>
      </c>
      <c r="L2592" s="265" t="s">
        <v>649</v>
      </c>
      <c r="M2592" s="266">
        <v>40049081026033</v>
      </c>
      <c r="N2592" s="264">
        <v>1.147</v>
      </c>
      <c r="O2592" s="265" t="s">
        <v>649</v>
      </c>
      <c r="P2592" s="265">
        <v>14.42</v>
      </c>
      <c r="Q2592" s="265">
        <v>0.95</v>
      </c>
    </row>
    <row r="2593" spans="1:17" ht="15" customHeight="1">
      <c r="A2593" s="147">
        <v>2709</v>
      </c>
      <c r="B2593" s="51" t="s">
        <v>44</v>
      </c>
      <c r="C2593" s="51" t="s">
        <v>3280</v>
      </c>
      <c r="D2593" s="51">
        <v>100024284</v>
      </c>
      <c r="E2593" s="53" t="s">
        <v>3281</v>
      </c>
      <c r="F2593" s="124">
        <v>10</v>
      </c>
      <c r="G2593" s="124">
        <v>750</v>
      </c>
      <c r="H2593" s="369">
        <v>105.38</v>
      </c>
      <c r="I2593" s="215" t="s">
        <v>346</v>
      </c>
      <c r="J2593" s="215" t="s">
        <v>102</v>
      </c>
      <c r="K2593" s="266">
        <v>49081022495</v>
      </c>
      <c r="L2593" s="265" t="s">
        <v>649</v>
      </c>
      <c r="M2593" s="266">
        <v>40049081022493</v>
      </c>
      <c r="N2593" s="264">
        <v>1.204</v>
      </c>
      <c r="O2593" s="265" t="s">
        <v>649</v>
      </c>
      <c r="P2593" s="265">
        <v>18.5</v>
      </c>
      <c r="Q2593" s="265">
        <v>1.1000000000000001</v>
      </c>
    </row>
    <row r="2594" spans="1:17" ht="15" customHeight="1">
      <c r="A2594" s="147">
        <v>2710</v>
      </c>
      <c r="B2594" s="51" t="s">
        <v>44</v>
      </c>
      <c r="C2594" s="51" t="s">
        <v>3282</v>
      </c>
      <c r="D2594" s="51">
        <v>100024349</v>
      </c>
      <c r="E2594" s="53" t="s">
        <v>3283</v>
      </c>
      <c r="F2594" s="124">
        <v>20</v>
      </c>
      <c r="G2594" s="265" t="s">
        <v>649</v>
      </c>
      <c r="H2594" s="369">
        <v>131.11000000000001</v>
      </c>
      <c r="I2594" s="215" t="s">
        <v>346</v>
      </c>
      <c r="J2594" s="215" t="s">
        <v>102</v>
      </c>
      <c r="K2594" s="266">
        <v>49081027469</v>
      </c>
      <c r="L2594" s="265" t="s">
        <v>649</v>
      </c>
      <c r="M2594" s="266">
        <v>40049081027467</v>
      </c>
      <c r="N2594" s="264">
        <v>1.903</v>
      </c>
      <c r="O2594" s="265" t="s">
        <v>649</v>
      </c>
      <c r="P2594" s="265">
        <v>40</v>
      </c>
      <c r="Q2594" s="265" t="s">
        <v>649</v>
      </c>
    </row>
    <row r="2595" spans="1:17" ht="15" customHeight="1">
      <c r="A2595" s="147">
        <v>2711</v>
      </c>
      <c r="B2595" s="51" t="s">
        <v>44</v>
      </c>
      <c r="C2595" s="51" t="s">
        <v>3284</v>
      </c>
      <c r="D2595" s="51">
        <v>100024388</v>
      </c>
      <c r="E2595" s="53" t="s">
        <v>3285</v>
      </c>
      <c r="F2595" s="124">
        <v>10</v>
      </c>
      <c r="G2595" s="124">
        <v>750</v>
      </c>
      <c r="H2595" s="369">
        <v>131.11000000000001</v>
      </c>
      <c r="I2595" s="215" t="s">
        <v>346</v>
      </c>
      <c r="J2595" s="215" t="s">
        <v>102</v>
      </c>
      <c r="K2595" s="266">
        <v>49081030315</v>
      </c>
      <c r="L2595" s="265" t="s">
        <v>649</v>
      </c>
      <c r="M2595" s="266">
        <v>40049081030313</v>
      </c>
      <c r="N2595" s="264">
        <v>1.9279999999999999</v>
      </c>
      <c r="O2595" s="265" t="s">
        <v>649</v>
      </c>
      <c r="P2595" s="265">
        <v>20.350000000000001</v>
      </c>
      <c r="Q2595" s="265">
        <v>1.1000000000000001</v>
      </c>
    </row>
    <row r="2596" spans="1:17" ht="15" customHeight="1">
      <c r="A2596" s="147">
        <v>2712</v>
      </c>
      <c r="B2596" s="51" t="s">
        <v>44</v>
      </c>
      <c r="C2596" s="51" t="s">
        <v>3286</v>
      </c>
      <c r="D2596" s="51">
        <v>100024399</v>
      </c>
      <c r="E2596" s="53" t="s">
        <v>3287</v>
      </c>
      <c r="F2596" s="124">
        <v>20</v>
      </c>
      <c r="G2596" s="265" t="s">
        <v>649</v>
      </c>
      <c r="H2596" s="369">
        <v>131.11000000000001</v>
      </c>
      <c r="I2596" s="215" t="s">
        <v>346</v>
      </c>
      <c r="J2596" s="215" t="s">
        <v>102</v>
      </c>
      <c r="K2596" s="266">
        <v>49081022754</v>
      </c>
      <c r="L2596" s="265" t="s">
        <v>649</v>
      </c>
      <c r="M2596" s="266">
        <v>40049081022752</v>
      </c>
      <c r="N2596" s="264">
        <v>1.823</v>
      </c>
      <c r="O2596" s="265" t="s">
        <v>649</v>
      </c>
      <c r="P2596" s="265">
        <v>39.5</v>
      </c>
      <c r="Q2596" s="265" t="s">
        <v>649</v>
      </c>
    </row>
    <row r="2597" spans="1:17" ht="15" customHeight="1">
      <c r="A2597" s="147">
        <v>2713</v>
      </c>
      <c r="B2597" s="51" t="s">
        <v>44</v>
      </c>
      <c r="C2597" s="51" t="s">
        <v>3288</v>
      </c>
      <c r="D2597" s="51">
        <v>100024436</v>
      </c>
      <c r="E2597" s="53" t="s">
        <v>3289</v>
      </c>
      <c r="F2597" s="124">
        <v>10</v>
      </c>
      <c r="G2597" s="124">
        <v>750</v>
      </c>
      <c r="H2597" s="369">
        <v>131.11000000000001</v>
      </c>
      <c r="I2597" s="215" t="s">
        <v>346</v>
      </c>
      <c r="J2597" s="215" t="s">
        <v>102</v>
      </c>
      <c r="K2597" s="266">
        <v>49081022365</v>
      </c>
      <c r="L2597" s="265" t="s">
        <v>649</v>
      </c>
      <c r="M2597" s="266">
        <v>40049081022363</v>
      </c>
      <c r="N2597" s="264">
        <v>1.8129999999999999</v>
      </c>
      <c r="O2597" s="265" t="s">
        <v>649</v>
      </c>
      <c r="P2597" s="265">
        <v>19.260000000000002</v>
      </c>
      <c r="Q2597" s="265">
        <v>1.1000000000000001</v>
      </c>
    </row>
    <row r="2598" spans="1:17" ht="15" customHeight="1">
      <c r="A2598" s="147">
        <v>2714</v>
      </c>
      <c r="B2598" s="51" t="s">
        <v>44</v>
      </c>
      <c r="C2598" s="51" t="s">
        <v>3290</v>
      </c>
      <c r="D2598" s="51">
        <v>100024522</v>
      </c>
      <c r="E2598" s="53" t="s">
        <v>3291</v>
      </c>
      <c r="F2598" s="124">
        <v>10</v>
      </c>
      <c r="G2598" s="124">
        <v>750</v>
      </c>
      <c r="H2598" s="369">
        <v>131.11000000000001</v>
      </c>
      <c r="I2598" s="215" t="s">
        <v>346</v>
      </c>
      <c r="J2598" s="215" t="s">
        <v>102</v>
      </c>
      <c r="K2598" s="266">
        <v>49081028916</v>
      </c>
      <c r="L2598" s="265" t="s">
        <v>649</v>
      </c>
      <c r="M2598" s="266">
        <v>40049081028914</v>
      </c>
      <c r="N2598" s="264">
        <v>1.893</v>
      </c>
      <c r="O2598" s="265" t="s">
        <v>649</v>
      </c>
      <c r="P2598" s="265">
        <v>19.61</v>
      </c>
      <c r="Q2598" s="265">
        <v>1.1000000000000001</v>
      </c>
    </row>
    <row r="2599" spans="1:17" ht="15" customHeight="1">
      <c r="A2599" s="147">
        <v>2715</v>
      </c>
      <c r="B2599" s="51" t="s">
        <v>44</v>
      </c>
      <c r="C2599" s="51" t="s">
        <v>3292</v>
      </c>
      <c r="D2599" s="51">
        <v>100024527</v>
      </c>
      <c r="E2599" s="53" t="s">
        <v>3293</v>
      </c>
      <c r="F2599" s="124">
        <v>20</v>
      </c>
      <c r="G2599" s="124">
        <v>360</v>
      </c>
      <c r="H2599" s="369">
        <v>131.11000000000001</v>
      </c>
      <c r="I2599" s="215" t="s">
        <v>346</v>
      </c>
      <c r="J2599" s="215" t="s">
        <v>102</v>
      </c>
      <c r="K2599" s="266">
        <v>49081028947</v>
      </c>
      <c r="L2599" s="265" t="s">
        <v>649</v>
      </c>
      <c r="M2599" s="266">
        <v>40049081028945</v>
      </c>
      <c r="N2599" s="264">
        <v>1.8380000000000001</v>
      </c>
      <c r="O2599" s="265" t="s">
        <v>649</v>
      </c>
      <c r="P2599" s="265">
        <v>38</v>
      </c>
      <c r="Q2599" s="265">
        <v>2.65</v>
      </c>
    </row>
    <row r="2600" spans="1:17" ht="15" customHeight="1">
      <c r="A2600" s="147">
        <v>2716</v>
      </c>
      <c r="B2600" s="51" t="s">
        <v>44</v>
      </c>
      <c r="C2600" s="51" t="s">
        <v>3295</v>
      </c>
      <c r="D2600" s="51">
        <v>100024885</v>
      </c>
      <c r="E2600" s="53" t="s">
        <v>3296</v>
      </c>
      <c r="F2600" s="124">
        <v>10</v>
      </c>
      <c r="G2600" s="124">
        <v>600</v>
      </c>
      <c r="H2600" s="369">
        <v>136.44999999999999</v>
      </c>
      <c r="I2600" s="215" t="s">
        <v>346</v>
      </c>
      <c r="J2600" s="215" t="s">
        <v>102</v>
      </c>
      <c r="K2600" s="266">
        <v>49081020101</v>
      </c>
      <c r="L2600" s="265" t="s">
        <v>649</v>
      </c>
      <c r="M2600" s="266">
        <v>40049081020109</v>
      </c>
      <c r="N2600" s="264">
        <v>1.4219999999999999</v>
      </c>
      <c r="O2600" s="265" t="s">
        <v>649</v>
      </c>
      <c r="P2600" s="265">
        <v>17.78</v>
      </c>
      <c r="Q2600" s="265">
        <v>1.41</v>
      </c>
    </row>
    <row r="2601" spans="1:17" ht="15" customHeight="1">
      <c r="A2601" s="147">
        <v>2717</v>
      </c>
      <c r="B2601" s="51" t="s">
        <v>44</v>
      </c>
      <c r="C2601" s="51" t="s">
        <v>3297</v>
      </c>
      <c r="D2601" s="51">
        <v>100023804</v>
      </c>
      <c r="E2601" s="53" t="s">
        <v>3298</v>
      </c>
      <c r="F2601" s="124">
        <v>10</v>
      </c>
      <c r="G2601" s="124">
        <v>750</v>
      </c>
      <c r="H2601" s="369">
        <v>125.31</v>
      </c>
      <c r="I2601" s="215" t="s">
        <v>346</v>
      </c>
      <c r="J2601" s="215" t="s">
        <v>102</v>
      </c>
      <c r="K2601" s="266">
        <v>49081030896</v>
      </c>
      <c r="L2601" s="265" t="s">
        <v>649</v>
      </c>
      <c r="M2601" s="266">
        <v>40049081030894</v>
      </c>
      <c r="N2601" s="264">
        <v>1.2050000000000001</v>
      </c>
      <c r="O2601" s="265" t="s">
        <v>649</v>
      </c>
      <c r="P2601" s="265">
        <v>13.05</v>
      </c>
      <c r="Q2601" s="265">
        <v>1.1000000000000001</v>
      </c>
    </row>
    <row r="2602" spans="1:17" ht="15" customHeight="1">
      <c r="A2602" s="147">
        <v>2718</v>
      </c>
      <c r="B2602" s="51" t="s">
        <v>44</v>
      </c>
      <c r="C2602" s="51" t="s">
        <v>3299</v>
      </c>
      <c r="D2602" s="51">
        <v>100023821</v>
      </c>
      <c r="E2602" s="53" t="s">
        <v>3300</v>
      </c>
      <c r="F2602" s="124">
        <v>10</v>
      </c>
      <c r="G2602" s="124">
        <v>600</v>
      </c>
      <c r="H2602" s="369">
        <v>136.44999999999999</v>
      </c>
      <c r="I2602" s="215" t="s">
        <v>346</v>
      </c>
      <c r="J2602" s="215" t="s">
        <v>102</v>
      </c>
      <c r="K2602" s="266">
        <v>49081023218</v>
      </c>
      <c r="L2602" s="265" t="s">
        <v>649</v>
      </c>
      <c r="M2602" s="266">
        <v>40049081023216</v>
      </c>
      <c r="N2602" s="264">
        <v>1.4039999999999999</v>
      </c>
      <c r="O2602" s="265" t="s">
        <v>649</v>
      </c>
      <c r="P2602" s="265">
        <v>15.08</v>
      </c>
      <c r="Q2602" s="265">
        <v>1.41</v>
      </c>
    </row>
    <row r="2603" spans="1:17" ht="15" customHeight="1">
      <c r="A2603" s="147">
        <v>2719</v>
      </c>
      <c r="B2603" s="51" t="s">
        <v>44</v>
      </c>
      <c r="C2603" s="51" t="s">
        <v>3301</v>
      </c>
      <c r="D2603" s="51">
        <v>100023877</v>
      </c>
      <c r="E2603" s="53" t="s">
        <v>3302</v>
      </c>
      <c r="F2603" s="124">
        <v>10</v>
      </c>
      <c r="G2603" s="124">
        <v>600</v>
      </c>
      <c r="H2603" s="369">
        <v>136.44999999999999</v>
      </c>
      <c r="I2603" s="215" t="s">
        <v>346</v>
      </c>
      <c r="J2603" s="215" t="s">
        <v>102</v>
      </c>
      <c r="K2603" s="266">
        <v>49081023768</v>
      </c>
      <c r="L2603" s="265" t="s">
        <v>649</v>
      </c>
      <c r="M2603" s="266">
        <v>40049081023766</v>
      </c>
      <c r="N2603" s="264">
        <v>1.3260000000000001</v>
      </c>
      <c r="O2603" s="265" t="s">
        <v>649</v>
      </c>
      <c r="P2603" s="265">
        <v>14.88</v>
      </c>
      <c r="Q2603" s="265">
        <v>1.25</v>
      </c>
    </row>
    <row r="2604" spans="1:17" ht="15" customHeight="1">
      <c r="A2604" s="147">
        <v>2720</v>
      </c>
      <c r="B2604" s="51" t="s">
        <v>44</v>
      </c>
      <c r="C2604" s="51" t="s">
        <v>3303</v>
      </c>
      <c r="D2604" s="51">
        <v>100023878</v>
      </c>
      <c r="E2604" s="53" t="s">
        <v>3304</v>
      </c>
      <c r="F2604" s="124">
        <v>10</v>
      </c>
      <c r="G2604" s="124">
        <v>600</v>
      </c>
      <c r="H2604" s="369">
        <v>136.44999999999999</v>
      </c>
      <c r="I2604" s="215" t="s">
        <v>346</v>
      </c>
      <c r="J2604" s="215" t="s">
        <v>102</v>
      </c>
      <c r="K2604" s="266">
        <v>49081022839</v>
      </c>
      <c r="L2604" s="265" t="s">
        <v>649</v>
      </c>
      <c r="M2604" s="266">
        <v>40049081022837</v>
      </c>
      <c r="N2604" s="264">
        <v>1.4019999999999999</v>
      </c>
      <c r="O2604" s="265" t="s">
        <v>649</v>
      </c>
      <c r="P2604" s="265">
        <v>14.78</v>
      </c>
      <c r="Q2604" s="265">
        <v>1.41</v>
      </c>
    </row>
    <row r="2605" spans="1:17" ht="15" customHeight="1">
      <c r="A2605" s="147">
        <v>2721</v>
      </c>
      <c r="B2605" s="51" t="s">
        <v>44</v>
      </c>
      <c r="C2605" s="51" t="s">
        <v>3305</v>
      </c>
      <c r="D2605" s="51">
        <v>100023879</v>
      </c>
      <c r="E2605" s="53" t="s">
        <v>3306</v>
      </c>
      <c r="F2605" s="124">
        <v>10</v>
      </c>
      <c r="G2605" s="265" t="s">
        <v>649</v>
      </c>
      <c r="H2605" s="369">
        <v>150.72999999999999</v>
      </c>
      <c r="I2605" s="215" t="s">
        <v>346</v>
      </c>
      <c r="J2605" s="215" t="s">
        <v>102</v>
      </c>
      <c r="K2605" s="266">
        <v>49081023775</v>
      </c>
      <c r="L2605" s="265" t="s">
        <v>649</v>
      </c>
      <c r="M2605" s="266">
        <v>40049081023773</v>
      </c>
      <c r="N2605" s="264">
        <v>1.446</v>
      </c>
      <c r="O2605" s="265" t="s">
        <v>649</v>
      </c>
      <c r="P2605" s="265">
        <v>16.02</v>
      </c>
      <c r="Q2605" s="265" t="s">
        <v>649</v>
      </c>
    </row>
    <row r="2606" spans="1:17" ht="15" customHeight="1">
      <c r="A2606" s="147">
        <v>2722</v>
      </c>
      <c r="B2606" s="51" t="s">
        <v>44</v>
      </c>
      <c r="C2606" s="51" t="s">
        <v>3307</v>
      </c>
      <c r="D2606" s="51">
        <v>100024903</v>
      </c>
      <c r="E2606" s="53" t="s">
        <v>3308</v>
      </c>
      <c r="F2606" s="124">
        <v>10</v>
      </c>
      <c r="G2606" s="124">
        <v>240</v>
      </c>
      <c r="H2606" s="369">
        <v>150.72999999999999</v>
      </c>
      <c r="I2606" s="215" t="s">
        <v>346</v>
      </c>
      <c r="J2606" s="215" t="s">
        <v>102</v>
      </c>
      <c r="K2606" s="266">
        <v>49081023782</v>
      </c>
      <c r="L2606" s="265" t="s">
        <v>649</v>
      </c>
      <c r="M2606" s="266">
        <v>40049081023780</v>
      </c>
      <c r="N2606" s="264">
        <v>1.581</v>
      </c>
      <c r="O2606" s="265" t="s">
        <v>649</v>
      </c>
      <c r="P2606" s="265">
        <v>17.8</v>
      </c>
      <c r="Q2606" s="265">
        <v>2.77</v>
      </c>
    </row>
    <row r="2607" spans="1:17" ht="15" customHeight="1">
      <c r="A2607" s="147">
        <v>2723</v>
      </c>
      <c r="B2607" s="51" t="s">
        <v>44</v>
      </c>
      <c r="C2607" s="51" t="s">
        <v>3309</v>
      </c>
      <c r="D2607" s="51">
        <v>100023881</v>
      </c>
      <c r="E2607" s="53" t="s">
        <v>3310</v>
      </c>
      <c r="F2607" s="124">
        <v>10</v>
      </c>
      <c r="G2607" s="124">
        <v>750</v>
      </c>
      <c r="H2607" s="369">
        <v>125.31</v>
      </c>
      <c r="I2607" s="215" t="s">
        <v>346</v>
      </c>
      <c r="J2607" s="215" t="s">
        <v>102</v>
      </c>
      <c r="K2607" s="266">
        <v>49081023799</v>
      </c>
      <c r="L2607" s="265" t="s">
        <v>649</v>
      </c>
      <c r="M2607" s="266">
        <v>40049081023797</v>
      </c>
      <c r="N2607" s="264">
        <v>1.2490000000000001</v>
      </c>
      <c r="O2607" s="265" t="s">
        <v>649</v>
      </c>
      <c r="P2607" s="265">
        <v>14.2</v>
      </c>
      <c r="Q2607" s="265">
        <v>1.1000000000000001</v>
      </c>
    </row>
    <row r="2608" spans="1:17" ht="15" customHeight="1">
      <c r="A2608" s="147">
        <v>2724</v>
      </c>
      <c r="B2608" s="51" t="s">
        <v>44</v>
      </c>
      <c r="C2608" s="51" t="s">
        <v>3311</v>
      </c>
      <c r="D2608" s="51">
        <v>100024908</v>
      </c>
      <c r="E2608" s="53" t="s">
        <v>3312</v>
      </c>
      <c r="F2608" s="124">
        <v>10</v>
      </c>
      <c r="G2608" s="124">
        <v>180</v>
      </c>
      <c r="H2608" s="369">
        <v>211.22</v>
      </c>
      <c r="I2608" s="215" t="s">
        <v>346</v>
      </c>
      <c r="J2608" s="215" t="s">
        <v>102</v>
      </c>
      <c r="K2608" s="266">
        <v>49081022082</v>
      </c>
      <c r="L2608" s="265" t="s">
        <v>649</v>
      </c>
      <c r="M2608" s="266">
        <v>40049081022080</v>
      </c>
      <c r="N2608" s="264">
        <v>2.0720000000000001</v>
      </c>
      <c r="O2608" s="265" t="s">
        <v>649</v>
      </c>
      <c r="P2608" s="265">
        <v>22.6</v>
      </c>
      <c r="Q2608" s="265">
        <v>2.65</v>
      </c>
    </row>
    <row r="2609" spans="1:17" ht="15" customHeight="1">
      <c r="A2609" s="147">
        <v>2725</v>
      </c>
      <c r="B2609" s="51" t="s">
        <v>44</v>
      </c>
      <c r="C2609" s="51" t="s">
        <v>3313</v>
      </c>
      <c r="D2609" s="51">
        <v>100023900</v>
      </c>
      <c r="E2609" s="53" t="s">
        <v>3314</v>
      </c>
      <c r="F2609" s="124">
        <v>10</v>
      </c>
      <c r="G2609" s="124">
        <v>240</v>
      </c>
      <c r="H2609" s="369">
        <v>218.18</v>
      </c>
      <c r="I2609" s="215" t="s">
        <v>346</v>
      </c>
      <c r="J2609" s="215" t="s">
        <v>102</v>
      </c>
      <c r="K2609" s="266">
        <v>49081023997</v>
      </c>
      <c r="L2609" s="265" t="s">
        <v>649</v>
      </c>
      <c r="M2609" s="266">
        <v>40049081023995</v>
      </c>
      <c r="N2609" s="264">
        <v>2.2509999999999999</v>
      </c>
      <c r="O2609" s="265" t="s">
        <v>649</v>
      </c>
      <c r="P2609" s="265">
        <v>24.9</v>
      </c>
      <c r="Q2609" s="265">
        <v>2.77</v>
      </c>
    </row>
    <row r="2610" spans="1:17" ht="15" customHeight="1">
      <c r="A2610" s="147">
        <v>2726</v>
      </c>
      <c r="B2610" s="51" t="s">
        <v>44</v>
      </c>
      <c r="C2610" s="51" t="s">
        <v>3315</v>
      </c>
      <c r="D2610" s="51">
        <v>100024971</v>
      </c>
      <c r="E2610" s="53" t="s">
        <v>3316</v>
      </c>
      <c r="F2610" s="124">
        <v>10</v>
      </c>
      <c r="G2610" s="124">
        <v>180</v>
      </c>
      <c r="H2610" s="369">
        <v>177.5</v>
      </c>
      <c r="I2610" s="215" t="s">
        <v>346</v>
      </c>
      <c r="J2610" s="215" t="s">
        <v>102</v>
      </c>
      <c r="K2610" s="266">
        <v>49081022099</v>
      </c>
      <c r="L2610" s="265" t="s">
        <v>649</v>
      </c>
      <c r="M2610" s="266">
        <v>40049081022097</v>
      </c>
      <c r="N2610" s="264">
        <v>1.8979999999999999</v>
      </c>
      <c r="O2610" s="265" t="s">
        <v>649</v>
      </c>
      <c r="P2610" s="265">
        <v>19.690000000000001</v>
      </c>
      <c r="Q2610" s="265">
        <v>2.65</v>
      </c>
    </row>
    <row r="2611" spans="1:17" ht="15" customHeight="1">
      <c r="A2611" s="147">
        <v>2727</v>
      </c>
      <c r="B2611" s="51" t="s">
        <v>44</v>
      </c>
      <c r="C2611" s="51" t="s">
        <v>3317</v>
      </c>
      <c r="D2611" s="51">
        <v>100024216</v>
      </c>
      <c r="E2611" s="53" t="s">
        <v>3318</v>
      </c>
      <c r="F2611" s="124">
        <v>10</v>
      </c>
      <c r="G2611" s="265" t="s">
        <v>649</v>
      </c>
      <c r="H2611" s="369">
        <v>177.5</v>
      </c>
      <c r="I2611" s="215" t="s">
        <v>346</v>
      </c>
      <c r="J2611" s="215" t="s">
        <v>102</v>
      </c>
      <c r="K2611" s="266">
        <v>49081026516</v>
      </c>
      <c r="L2611" s="265" t="s">
        <v>649</v>
      </c>
      <c r="M2611" s="266">
        <v>40049081026514</v>
      </c>
      <c r="N2611" s="264">
        <v>1.4710000000000001</v>
      </c>
      <c r="O2611" s="265" t="s">
        <v>649</v>
      </c>
      <c r="P2611" s="265">
        <v>19.68</v>
      </c>
      <c r="Q2611" s="265">
        <v>2.11</v>
      </c>
    </row>
    <row r="2612" spans="1:17" ht="15" customHeight="1">
      <c r="A2612" s="147">
        <v>2728</v>
      </c>
      <c r="B2612" s="51" t="s">
        <v>44</v>
      </c>
      <c r="C2612" s="51" t="s">
        <v>3319</v>
      </c>
      <c r="D2612" s="51">
        <v>100024248</v>
      </c>
      <c r="E2612" s="53" t="s">
        <v>3304</v>
      </c>
      <c r="F2612" s="124">
        <v>10</v>
      </c>
      <c r="G2612" s="124">
        <v>180</v>
      </c>
      <c r="H2612" s="369">
        <v>177.5</v>
      </c>
      <c r="I2612" s="215" t="s">
        <v>346</v>
      </c>
      <c r="J2612" s="215" t="s">
        <v>102</v>
      </c>
      <c r="K2612" s="266">
        <v>49081026738</v>
      </c>
      <c r="L2612" s="265" t="s">
        <v>649</v>
      </c>
      <c r="M2612" s="266">
        <v>40049081026736</v>
      </c>
      <c r="N2612" s="264">
        <v>1.865</v>
      </c>
      <c r="O2612" s="265" t="s">
        <v>649</v>
      </c>
      <c r="P2612" s="265">
        <v>20.5</v>
      </c>
      <c r="Q2612" s="265">
        <v>2.65</v>
      </c>
    </row>
    <row r="2613" spans="1:17" ht="15" customHeight="1">
      <c r="A2613" s="147">
        <v>2729</v>
      </c>
      <c r="B2613" s="51" t="s">
        <v>44</v>
      </c>
      <c r="C2613" s="51" t="s">
        <v>3320</v>
      </c>
      <c r="D2613" s="51">
        <v>100024249</v>
      </c>
      <c r="E2613" s="53" t="s">
        <v>3308</v>
      </c>
      <c r="F2613" s="124">
        <v>10</v>
      </c>
      <c r="G2613" s="265" t="s">
        <v>649</v>
      </c>
      <c r="H2613" s="369">
        <v>188.57</v>
      </c>
      <c r="I2613" s="215" t="s">
        <v>346</v>
      </c>
      <c r="J2613" s="215" t="s">
        <v>102</v>
      </c>
      <c r="K2613" s="266">
        <v>49081026745</v>
      </c>
      <c r="L2613" s="265" t="s">
        <v>649</v>
      </c>
      <c r="M2613" s="266">
        <v>40049081026743</v>
      </c>
      <c r="N2613" s="264">
        <v>2.1389999999999998</v>
      </c>
      <c r="O2613" s="265" t="s">
        <v>649</v>
      </c>
      <c r="P2613" s="265">
        <v>21</v>
      </c>
      <c r="Q2613" s="265" t="s">
        <v>649</v>
      </c>
    </row>
    <row r="2614" spans="1:17" ht="15" customHeight="1">
      <c r="A2614" s="147">
        <v>2730</v>
      </c>
      <c r="B2614" s="51" t="s">
        <v>44</v>
      </c>
      <c r="C2614" s="51" t="s">
        <v>3321</v>
      </c>
      <c r="D2614" s="51">
        <v>100024401</v>
      </c>
      <c r="E2614" s="53" t="s">
        <v>3322</v>
      </c>
      <c r="F2614" s="124">
        <v>10</v>
      </c>
      <c r="G2614" s="124">
        <v>180</v>
      </c>
      <c r="H2614" s="369">
        <v>214.32</v>
      </c>
      <c r="I2614" s="215" t="s">
        <v>346</v>
      </c>
      <c r="J2614" s="215" t="s">
        <v>102</v>
      </c>
      <c r="K2614" s="266">
        <v>49081027865</v>
      </c>
      <c r="L2614" s="265" t="s">
        <v>649</v>
      </c>
      <c r="M2614" s="266">
        <v>40049081027863</v>
      </c>
      <c r="N2614" s="264">
        <v>2.234</v>
      </c>
      <c r="O2614" s="265" t="s">
        <v>649</v>
      </c>
      <c r="P2614" s="265">
        <v>22.8</v>
      </c>
      <c r="Q2614" s="265">
        <v>2.65</v>
      </c>
    </row>
    <row r="2615" spans="1:17" ht="15" customHeight="1">
      <c r="A2615" s="147">
        <v>2731</v>
      </c>
      <c r="B2615" s="51" t="s">
        <v>44</v>
      </c>
      <c r="C2615" s="51" t="s">
        <v>3323</v>
      </c>
      <c r="D2615" s="51">
        <v>100025026</v>
      </c>
      <c r="E2615" s="53" t="s">
        <v>3324</v>
      </c>
      <c r="F2615" s="124">
        <v>10</v>
      </c>
      <c r="G2615" s="124">
        <v>180</v>
      </c>
      <c r="H2615" s="369">
        <v>214.32</v>
      </c>
      <c r="I2615" s="215" t="s">
        <v>76</v>
      </c>
      <c r="J2615" s="215" t="s">
        <v>102</v>
      </c>
      <c r="K2615" s="266">
        <v>49081020187</v>
      </c>
      <c r="L2615" s="265" t="s">
        <v>649</v>
      </c>
      <c r="M2615" s="266">
        <v>40049081020185</v>
      </c>
      <c r="N2615" s="264">
        <v>2.2890000000000001</v>
      </c>
      <c r="O2615" s="265" t="s">
        <v>649</v>
      </c>
      <c r="P2615" s="265">
        <v>24.17</v>
      </c>
      <c r="Q2615" s="265">
        <v>2.65</v>
      </c>
    </row>
    <row r="2616" spans="1:17" ht="15" customHeight="1">
      <c r="A2616" s="147">
        <v>2732</v>
      </c>
      <c r="B2616" s="51" t="s">
        <v>44</v>
      </c>
      <c r="C2616" s="51" t="s">
        <v>3325</v>
      </c>
      <c r="D2616" s="51">
        <v>100024482</v>
      </c>
      <c r="E2616" s="53" t="s">
        <v>3326</v>
      </c>
      <c r="F2616" s="124">
        <v>10</v>
      </c>
      <c r="G2616" s="124">
        <v>180</v>
      </c>
      <c r="H2616" s="369">
        <v>214.32</v>
      </c>
      <c r="I2616" s="215" t="s">
        <v>346</v>
      </c>
      <c r="J2616" s="215" t="s">
        <v>102</v>
      </c>
      <c r="K2616" s="266">
        <v>49081028503</v>
      </c>
      <c r="L2616" s="265" t="s">
        <v>649</v>
      </c>
      <c r="M2616" s="266">
        <v>40049081028501</v>
      </c>
      <c r="N2616" s="264">
        <v>2.1280000000000001</v>
      </c>
      <c r="O2616" s="265" t="s">
        <v>649</v>
      </c>
      <c r="P2616" s="265">
        <v>24.2</v>
      </c>
      <c r="Q2616" s="265">
        <v>2.65</v>
      </c>
    </row>
    <row r="2617" spans="1:17" ht="15" customHeight="1">
      <c r="A2617" s="147">
        <v>2733</v>
      </c>
      <c r="B2617" s="51" t="s">
        <v>44</v>
      </c>
      <c r="C2617" s="51" t="s">
        <v>3327</v>
      </c>
      <c r="D2617" s="51">
        <v>100025031</v>
      </c>
      <c r="E2617" s="53" t="s">
        <v>3328</v>
      </c>
      <c r="F2617" s="124">
        <v>10</v>
      </c>
      <c r="G2617" s="124">
        <v>180</v>
      </c>
      <c r="H2617" s="369">
        <v>214.32</v>
      </c>
      <c r="I2617" s="215" t="s">
        <v>346</v>
      </c>
      <c r="J2617" s="215" t="s">
        <v>102</v>
      </c>
      <c r="K2617" s="266">
        <v>49081028510</v>
      </c>
      <c r="L2617" s="265" t="s">
        <v>649</v>
      </c>
      <c r="M2617" s="266">
        <v>40049081028518</v>
      </c>
      <c r="N2617" s="264">
        <v>2.234</v>
      </c>
      <c r="O2617" s="265" t="s">
        <v>649</v>
      </c>
      <c r="P2617" s="265">
        <v>25.2</v>
      </c>
      <c r="Q2617" s="265">
        <v>2.65</v>
      </c>
    </row>
    <row r="2618" spans="1:17" ht="15" customHeight="1">
      <c r="A2618" s="147">
        <v>2734</v>
      </c>
      <c r="B2618" s="51" t="s">
        <v>44</v>
      </c>
      <c r="C2618" s="51" t="s">
        <v>3329</v>
      </c>
      <c r="D2618" s="51">
        <v>100024483</v>
      </c>
      <c r="E2618" s="53" t="s">
        <v>3330</v>
      </c>
      <c r="F2618" s="124">
        <v>10</v>
      </c>
      <c r="G2618" s="265" t="s">
        <v>649</v>
      </c>
      <c r="H2618" s="369">
        <v>225.4</v>
      </c>
      <c r="I2618" s="215" t="s">
        <v>346</v>
      </c>
      <c r="J2618" s="215" t="s">
        <v>102</v>
      </c>
      <c r="K2618" s="266">
        <v>49081028527</v>
      </c>
      <c r="L2618" s="265" t="s">
        <v>649</v>
      </c>
      <c r="M2618" s="266">
        <v>40049081028525</v>
      </c>
      <c r="N2618" s="264">
        <v>2.323</v>
      </c>
      <c r="O2618" s="265" t="s">
        <v>649</v>
      </c>
      <c r="P2618" s="265">
        <v>12</v>
      </c>
      <c r="Q2618" s="265" t="s">
        <v>649</v>
      </c>
    </row>
    <row r="2619" spans="1:17" ht="15" customHeight="1">
      <c r="A2619" s="147">
        <v>2735</v>
      </c>
      <c r="B2619" s="51" t="s">
        <v>44</v>
      </c>
      <c r="C2619" s="51" t="s">
        <v>3332</v>
      </c>
      <c r="D2619" s="51">
        <v>100024909</v>
      </c>
      <c r="E2619" s="53" t="s">
        <v>3333</v>
      </c>
      <c r="F2619" s="124">
        <v>10</v>
      </c>
      <c r="G2619" s="124">
        <v>240</v>
      </c>
      <c r="H2619" s="369">
        <v>215.18</v>
      </c>
      <c r="I2619" s="215" t="s">
        <v>346</v>
      </c>
      <c r="J2619" s="215" t="s">
        <v>102</v>
      </c>
      <c r="K2619" s="266">
        <v>49081024017</v>
      </c>
      <c r="L2619" s="265" t="s">
        <v>649</v>
      </c>
      <c r="M2619" s="266">
        <v>40049081024015</v>
      </c>
      <c r="N2619" s="264">
        <v>2.2999999999999998</v>
      </c>
      <c r="O2619" s="265" t="s">
        <v>649</v>
      </c>
      <c r="P2619" s="265">
        <v>25.7</v>
      </c>
      <c r="Q2619" s="265">
        <v>2.77</v>
      </c>
    </row>
    <row r="2620" spans="1:17" ht="15" customHeight="1">
      <c r="A2620" s="147">
        <v>2736</v>
      </c>
      <c r="B2620" s="51" t="s">
        <v>44</v>
      </c>
      <c r="C2620" s="51" t="s">
        <v>3334</v>
      </c>
      <c r="D2620" s="51">
        <v>100024887</v>
      </c>
      <c r="E2620" s="53" t="s">
        <v>3335</v>
      </c>
      <c r="F2620" s="124">
        <v>10</v>
      </c>
      <c r="G2620" s="124">
        <v>750</v>
      </c>
      <c r="H2620" s="369">
        <v>132.65</v>
      </c>
      <c r="I2620" s="215" t="s">
        <v>346</v>
      </c>
      <c r="J2620" s="215" t="s">
        <v>102</v>
      </c>
      <c r="K2620" s="266">
        <v>49081020545</v>
      </c>
      <c r="L2620" s="265" t="s">
        <v>649</v>
      </c>
      <c r="M2620" s="266">
        <v>40049081020543</v>
      </c>
      <c r="N2620" s="264">
        <v>1.4710000000000001</v>
      </c>
      <c r="O2620" s="265" t="s">
        <v>649</v>
      </c>
      <c r="P2620" s="265">
        <v>15.3</v>
      </c>
      <c r="Q2620" s="265">
        <v>1.1000000000000001</v>
      </c>
    </row>
    <row r="2621" spans="1:17" ht="15" customHeight="1">
      <c r="A2621" s="147">
        <v>2737</v>
      </c>
      <c r="B2621" s="51" t="s">
        <v>44</v>
      </c>
      <c r="C2621" s="51" t="s">
        <v>3336</v>
      </c>
      <c r="D2621" s="51">
        <v>100023885</v>
      </c>
      <c r="E2621" s="53" t="s">
        <v>3337</v>
      </c>
      <c r="F2621" s="124">
        <v>10</v>
      </c>
      <c r="G2621" s="124">
        <v>750</v>
      </c>
      <c r="H2621" s="369">
        <v>132.65</v>
      </c>
      <c r="I2621" s="215" t="s">
        <v>346</v>
      </c>
      <c r="J2621" s="215" t="s">
        <v>102</v>
      </c>
      <c r="K2621" s="266">
        <v>49081023829</v>
      </c>
      <c r="L2621" s="265" t="s">
        <v>649</v>
      </c>
      <c r="M2621" s="266">
        <v>40049081023827</v>
      </c>
      <c r="N2621" s="264">
        <v>1.4510000000000001</v>
      </c>
      <c r="O2621" s="265" t="s">
        <v>649</v>
      </c>
      <c r="P2621" s="265">
        <v>14.6</v>
      </c>
      <c r="Q2621" s="265">
        <v>1.1000000000000001</v>
      </c>
    </row>
    <row r="2622" spans="1:17" ht="15" customHeight="1">
      <c r="A2622" s="147">
        <v>2738</v>
      </c>
      <c r="B2622" s="51" t="s">
        <v>44</v>
      </c>
      <c r="C2622" s="51" t="s">
        <v>3338</v>
      </c>
      <c r="D2622" s="51">
        <v>100023886</v>
      </c>
      <c r="E2622" s="53" t="s">
        <v>3339</v>
      </c>
      <c r="F2622" s="124">
        <v>10</v>
      </c>
      <c r="G2622" s="265" t="s">
        <v>649</v>
      </c>
      <c r="H2622" s="369">
        <v>143.82</v>
      </c>
      <c r="I2622" s="215" t="s">
        <v>346</v>
      </c>
      <c r="J2622" s="215" t="s">
        <v>102</v>
      </c>
      <c r="K2622" s="266">
        <v>49081023836</v>
      </c>
      <c r="L2622" s="265" t="s">
        <v>649</v>
      </c>
      <c r="M2622" s="266">
        <v>40049081023834</v>
      </c>
      <c r="N2622" s="264">
        <v>1.4950000000000001</v>
      </c>
      <c r="O2622" s="265" t="s">
        <v>649</v>
      </c>
      <c r="P2622" s="265">
        <v>15.3</v>
      </c>
      <c r="Q2622" s="265" t="s">
        <v>649</v>
      </c>
    </row>
    <row r="2623" spans="1:17" ht="15" customHeight="1">
      <c r="A2623" s="147">
        <v>2739</v>
      </c>
      <c r="B2623" s="51" t="s">
        <v>44</v>
      </c>
      <c r="C2623" s="51" t="s">
        <v>3340</v>
      </c>
      <c r="D2623" s="51">
        <v>100023888</v>
      </c>
      <c r="E2623" s="53" t="s">
        <v>3341</v>
      </c>
      <c r="F2623" s="124">
        <v>10</v>
      </c>
      <c r="G2623" s="124">
        <v>750</v>
      </c>
      <c r="H2623" s="369">
        <v>121.5</v>
      </c>
      <c r="I2623" s="215" t="s">
        <v>346</v>
      </c>
      <c r="J2623" s="215" t="s">
        <v>102</v>
      </c>
      <c r="K2623" s="266">
        <v>49081023850</v>
      </c>
      <c r="L2623" s="265" t="s">
        <v>649</v>
      </c>
      <c r="M2623" s="266">
        <v>40049081023858</v>
      </c>
      <c r="N2623" s="264">
        <v>1.298</v>
      </c>
      <c r="O2623" s="265" t="s">
        <v>649</v>
      </c>
      <c r="P2623" s="265">
        <v>13.3</v>
      </c>
      <c r="Q2623" s="265">
        <v>1.1000000000000001</v>
      </c>
    </row>
    <row r="2624" spans="1:17" ht="15" customHeight="1">
      <c r="A2624" s="147">
        <v>2740</v>
      </c>
      <c r="B2624" s="51" t="s">
        <v>44</v>
      </c>
      <c r="C2624" s="51" t="s">
        <v>3342</v>
      </c>
      <c r="D2624" s="51">
        <v>100024973</v>
      </c>
      <c r="E2624" s="53" t="s">
        <v>3343</v>
      </c>
      <c r="F2624" s="124">
        <v>10</v>
      </c>
      <c r="G2624" s="124">
        <v>180</v>
      </c>
      <c r="H2624" s="369">
        <v>173.7</v>
      </c>
      <c r="I2624" s="215" t="s">
        <v>346</v>
      </c>
      <c r="J2624" s="215" t="s">
        <v>102</v>
      </c>
      <c r="K2624" s="266">
        <v>49081029807</v>
      </c>
      <c r="L2624" s="265" t="s">
        <v>649</v>
      </c>
      <c r="M2624" s="266">
        <v>40049081029805</v>
      </c>
      <c r="N2624" s="264">
        <v>1.982</v>
      </c>
      <c r="O2624" s="265" t="s">
        <v>649</v>
      </c>
      <c r="P2624" s="265">
        <v>20.100000000000001</v>
      </c>
      <c r="Q2624" s="265">
        <v>2.65</v>
      </c>
    </row>
    <row r="2625" spans="1:17" ht="15" customHeight="1">
      <c r="A2625" s="147">
        <v>2741</v>
      </c>
      <c r="B2625" s="51" t="s">
        <v>44</v>
      </c>
      <c r="C2625" s="51" t="s">
        <v>3344</v>
      </c>
      <c r="D2625" s="51">
        <v>100024220</v>
      </c>
      <c r="E2625" s="53" t="s">
        <v>3345</v>
      </c>
      <c r="F2625" s="124">
        <v>10</v>
      </c>
      <c r="G2625" s="265" t="s">
        <v>649</v>
      </c>
      <c r="H2625" s="369">
        <v>173.7</v>
      </c>
      <c r="I2625" s="215" t="s">
        <v>346</v>
      </c>
      <c r="J2625" s="215" t="s">
        <v>102</v>
      </c>
      <c r="K2625" s="266">
        <v>49081026554</v>
      </c>
      <c r="L2625" s="265" t="s">
        <v>649</v>
      </c>
      <c r="M2625" s="266">
        <v>40049081026552</v>
      </c>
      <c r="N2625" s="264">
        <v>1.5549999999999999</v>
      </c>
      <c r="O2625" s="265" t="s">
        <v>649</v>
      </c>
      <c r="P2625" s="265">
        <v>18.46</v>
      </c>
      <c r="Q2625" s="265">
        <v>2.11</v>
      </c>
    </row>
    <row r="2626" spans="1:17" ht="15" customHeight="1">
      <c r="A2626" s="147">
        <v>2742</v>
      </c>
      <c r="B2626" s="51" t="s">
        <v>44</v>
      </c>
      <c r="C2626" s="51" t="s">
        <v>3346</v>
      </c>
      <c r="D2626" s="51">
        <v>100024221</v>
      </c>
      <c r="E2626" s="53" t="s">
        <v>3347</v>
      </c>
      <c r="F2626" s="124">
        <v>10</v>
      </c>
      <c r="G2626" s="265" t="s">
        <v>649</v>
      </c>
      <c r="H2626" s="369">
        <v>173.7</v>
      </c>
      <c r="I2626" s="215" t="s">
        <v>346</v>
      </c>
      <c r="J2626" s="215" t="s">
        <v>102</v>
      </c>
      <c r="K2626" s="266">
        <v>49081026561</v>
      </c>
      <c r="L2626" s="265" t="s">
        <v>649</v>
      </c>
      <c r="M2626" s="266">
        <v>40049081026569</v>
      </c>
      <c r="N2626" s="264">
        <v>1.9419999999999999</v>
      </c>
      <c r="O2626" s="265" t="s">
        <v>649</v>
      </c>
      <c r="P2626" s="265">
        <v>19.3</v>
      </c>
      <c r="Q2626" s="265">
        <v>2.11</v>
      </c>
    </row>
    <row r="2627" spans="1:17" ht="15" customHeight="1">
      <c r="A2627" s="147">
        <v>2743</v>
      </c>
      <c r="B2627" s="51" t="s">
        <v>44</v>
      </c>
      <c r="C2627" s="51" t="s">
        <v>3348</v>
      </c>
      <c r="D2627" s="51">
        <v>100024402</v>
      </c>
      <c r="E2627" s="53" t="s">
        <v>3349</v>
      </c>
      <c r="F2627" s="124">
        <v>10</v>
      </c>
      <c r="G2627" s="124">
        <v>180</v>
      </c>
      <c r="H2627" s="369">
        <v>210.6</v>
      </c>
      <c r="I2627" s="215" t="s">
        <v>346</v>
      </c>
      <c r="J2627" s="215" t="s">
        <v>102</v>
      </c>
      <c r="K2627" s="266">
        <v>49081027872</v>
      </c>
      <c r="L2627" s="265" t="s">
        <v>649</v>
      </c>
      <c r="M2627" s="266">
        <v>40049081027870</v>
      </c>
      <c r="N2627" s="264">
        <v>2.2839999999999998</v>
      </c>
      <c r="O2627" s="265" t="s">
        <v>649</v>
      </c>
      <c r="P2627" s="265">
        <v>24.04</v>
      </c>
      <c r="Q2627" s="265">
        <v>2.65</v>
      </c>
    </row>
    <row r="2628" spans="1:17" ht="15" customHeight="1">
      <c r="A2628" s="147">
        <v>2744</v>
      </c>
      <c r="B2628" s="51" t="s">
        <v>44</v>
      </c>
      <c r="C2628" s="51" t="s">
        <v>3350</v>
      </c>
      <c r="D2628" s="51">
        <v>100025028</v>
      </c>
      <c r="E2628" s="53" t="s">
        <v>3351</v>
      </c>
      <c r="F2628" s="124">
        <v>10</v>
      </c>
      <c r="G2628" s="124">
        <v>180</v>
      </c>
      <c r="H2628" s="369">
        <v>210.6</v>
      </c>
      <c r="I2628" s="215" t="s">
        <v>346</v>
      </c>
      <c r="J2628" s="215" t="s">
        <v>102</v>
      </c>
      <c r="K2628" s="266">
        <v>49081021764</v>
      </c>
      <c r="L2628" s="265" t="s">
        <v>649</v>
      </c>
      <c r="M2628" s="266">
        <v>40049081021762</v>
      </c>
      <c r="N2628" s="264">
        <v>2.339</v>
      </c>
      <c r="O2628" s="265" t="s">
        <v>649</v>
      </c>
      <c r="P2628" s="265">
        <v>24.54</v>
      </c>
      <c r="Q2628" s="265">
        <v>2.65</v>
      </c>
    </row>
    <row r="2629" spans="1:17" ht="15" customHeight="1">
      <c r="A2629" s="147">
        <v>2745</v>
      </c>
      <c r="B2629" s="51" t="s">
        <v>44</v>
      </c>
      <c r="C2629" s="51" t="s">
        <v>3352</v>
      </c>
      <c r="D2629" s="51">
        <v>100024463</v>
      </c>
      <c r="E2629" s="53" t="s">
        <v>3353</v>
      </c>
      <c r="F2629" s="124">
        <v>1</v>
      </c>
      <c r="G2629" s="124">
        <v>60</v>
      </c>
      <c r="H2629" s="369">
        <v>199.54</v>
      </c>
      <c r="I2629" s="215" t="s">
        <v>346</v>
      </c>
      <c r="J2629" s="215" t="s">
        <v>102</v>
      </c>
      <c r="K2629" s="266">
        <v>49081031510</v>
      </c>
      <c r="L2629" s="265" t="s">
        <v>649</v>
      </c>
      <c r="M2629" s="266">
        <v>40049081031518</v>
      </c>
      <c r="N2629" s="264">
        <v>2.0179999999999998</v>
      </c>
      <c r="O2629" s="265" t="s">
        <v>649</v>
      </c>
      <c r="P2629" s="265">
        <v>20.9</v>
      </c>
      <c r="Q2629" s="265">
        <v>1.41</v>
      </c>
    </row>
    <row r="2630" spans="1:17" ht="15" customHeight="1">
      <c r="A2630" s="147">
        <v>2746</v>
      </c>
      <c r="B2630" s="51" t="s">
        <v>44</v>
      </c>
      <c r="C2630" s="51" t="s">
        <v>3354</v>
      </c>
      <c r="D2630" s="51">
        <v>100024464</v>
      </c>
      <c r="E2630" s="53" t="s">
        <v>3355</v>
      </c>
      <c r="F2630" s="124">
        <v>10</v>
      </c>
      <c r="G2630" s="124">
        <v>600</v>
      </c>
      <c r="H2630" s="369">
        <v>199.54</v>
      </c>
      <c r="I2630" s="215" t="s">
        <v>346</v>
      </c>
      <c r="J2630" s="215" t="s">
        <v>102</v>
      </c>
      <c r="K2630" s="266">
        <v>49081031503</v>
      </c>
      <c r="L2630" s="265" t="s">
        <v>649</v>
      </c>
      <c r="M2630" s="266">
        <v>40049081031501</v>
      </c>
      <c r="N2630" s="264">
        <v>2.1280000000000001</v>
      </c>
      <c r="O2630" s="265" t="s">
        <v>649</v>
      </c>
      <c r="P2630" s="265">
        <v>21.7</v>
      </c>
      <c r="Q2630" s="265">
        <v>1.41</v>
      </c>
    </row>
    <row r="2631" spans="1:17" ht="15" customHeight="1">
      <c r="A2631" s="147">
        <v>2747</v>
      </c>
      <c r="B2631" s="51" t="s">
        <v>44</v>
      </c>
      <c r="C2631" s="51" t="s">
        <v>3356</v>
      </c>
      <c r="D2631" s="51">
        <v>100024486</v>
      </c>
      <c r="E2631" s="53" t="s">
        <v>3357</v>
      </c>
      <c r="F2631" s="124">
        <v>10</v>
      </c>
      <c r="G2631" s="265" t="s">
        <v>649</v>
      </c>
      <c r="H2631" s="369">
        <v>210.6</v>
      </c>
      <c r="I2631" s="215" t="s">
        <v>346</v>
      </c>
      <c r="J2631" s="215" t="s">
        <v>102</v>
      </c>
      <c r="K2631" s="266">
        <v>49081028558</v>
      </c>
      <c r="L2631" s="265" t="s">
        <v>649</v>
      </c>
      <c r="M2631" s="266">
        <v>40049081028556</v>
      </c>
      <c r="N2631" s="264">
        <v>2.1779999999999999</v>
      </c>
      <c r="O2631" s="265" t="s">
        <v>649</v>
      </c>
      <c r="P2631" s="265">
        <v>23.3</v>
      </c>
      <c r="Q2631" s="265" t="s">
        <v>649</v>
      </c>
    </row>
    <row r="2632" spans="1:17" ht="15" customHeight="1">
      <c r="A2632" s="147">
        <v>2748</v>
      </c>
      <c r="B2632" s="51" t="s">
        <v>44</v>
      </c>
      <c r="C2632" s="51" t="s">
        <v>3358</v>
      </c>
      <c r="D2632" s="51">
        <v>100024487</v>
      </c>
      <c r="E2632" s="53" t="s">
        <v>3359</v>
      </c>
      <c r="F2632" s="124">
        <v>10</v>
      </c>
      <c r="G2632" s="265" t="s">
        <v>649</v>
      </c>
      <c r="H2632" s="369">
        <v>210.6</v>
      </c>
      <c r="I2632" s="215" t="s">
        <v>346</v>
      </c>
      <c r="J2632" s="215" t="s">
        <v>102</v>
      </c>
      <c r="K2632" s="266">
        <v>49081028565</v>
      </c>
      <c r="L2632" s="265" t="s">
        <v>649</v>
      </c>
      <c r="M2632" s="266">
        <v>40049081028563</v>
      </c>
      <c r="N2632" s="264">
        <v>2.2839999999999998</v>
      </c>
      <c r="O2632" s="265" t="s">
        <v>649</v>
      </c>
      <c r="P2632" s="265">
        <v>24.6</v>
      </c>
      <c r="Q2632" s="265" t="s">
        <v>649</v>
      </c>
    </row>
    <row r="2633" spans="1:17" ht="15" customHeight="1">
      <c r="A2633" s="147">
        <v>2749</v>
      </c>
      <c r="B2633" s="51" t="s">
        <v>44</v>
      </c>
      <c r="C2633" s="51" t="s">
        <v>3360</v>
      </c>
      <c r="D2633" s="51">
        <v>100024488</v>
      </c>
      <c r="E2633" s="53" t="s">
        <v>3361</v>
      </c>
      <c r="F2633" s="124">
        <v>10</v>
      </c>
      <c r="G2633" s="265" t="s">
        <v>649</v>
      </c>
      <c r="H2633" s="369">
        <v>221.64</v>
      </c>
      <c r="I2633" s="215" t="s">
        <v>346</v>
      </c>
      <c r="J2633" s="215" t="s">
        <v>102</v>
      </c>
      <c r="K2633" s="266">
        <v>49081028572</v>
      </c>
      <c r="L2633" s="265" t="s">
        <v>649</v>
      </c>
      <c r="M2633" s="266">
        <v>40049081028570</v>
      </c>
      <c r="N2633" s="264">
        <v>2.3730000000000002</v>
      </c>
      <c r="O2633" s="265" t="s">
        <v>649</v>
      </c>
      <c r="P2633" s="265">
        <v>12</v>
      </c>
      <c r="Q2633" s="265" t="s">
        <v>649</v>
      </c>
    </row>
    <row r="2634" spans="1:17" ht="15" customHeight="1">
      <c r="A2634" s="147">
        <v>2750</v>
      </c>
      <c r="B2634" s="51" t="s">
        <v>44</v>
      </c>
      <c r="C2634" s="51" t="s">
        <v>3363</v>
      </c>
      <c r="D2634" s="51">
        <v>100024451</v>
      </c>
      <c r="E2634" s="53" t="s">
        <v>3364</v>
      </c>
      <c r="F2634" s="124">
        <v>10</v>
      </c>
      <c r="G2634" s="124">
        <v>180</v>
      </c>
      <c r="H2634" s="369">
        <v>302.60000000000002</v>
      </c>
      <c r="I2634" s="215" t="s">
        <v>346</v>
      </c>
      <c r="J2634" s="215" t="s">
        <v>102</v>
      </c>
      <c r="K2634" s="266">
        <v>49081022761</v>
      </c>
      <c r="L2634" s="265" t="s">
        <v>649</v>
      </c>
      <c r="M2634" s="266">
        <v>40049081022769</v>
      </c>
      <c r="N2634" s="264">
        <v>1.73</v>
      </c>
      <c r="O2634" s="265" t="s">
        <v>649</v>
      </c>
      <c r="P2634" s="265">
        <v>33.799999999999997</v>
      </c>
      <c r="Q2634" s="265">
        <v>4.38</v>
      </c>
    </row>
    <row r="2635" spans="1:17" ht="15" customHeight="1">
      <c r="A2635" s="147">
        <v>2751</v>
      </c>
      <c r="B2635" s="51" t="s">
        <v>44</v>
      </c>
      <c r="C2635" s="51" t="s">
        <v>3366</v>
      </c>
      <c r="D2635" s="51">
        <v>100023782</v>
      </c>
      <c r="E2635" s="53" t="s">
        <v>3367</v>
      </c>
      <c r="F2635" s="124">
        <v>10</v>
      </c>
      <c r="G2635" s="124">
        <v>750</v>
      </c>
      <c r="H2635" s="369">
        <v>246.94</v>
      </c>
      <c r="I2635" s="215" t="s">
        <v>346</v>
      </c>
      <c r="J2635" s="215" t="s">
        <v>102</v>
      </c>
      <c r="K2635" s="266">
        <v>49081031305</v>
      </c>
      <c r="L2635" s="265" t="s">
        <v>649</v>
      </c>
      <c r="M2635" s="266">
        <v>40049081031303</v>
      </c>
      <c r="N2635" s="264">
        <v>2.23</v>
      </c>
      <c r="O2635" s="265" t="s">
        <v>649</v>
      </c>
      <c r="P2635" s="265">
        <v>22.3</v>
      </c>
      <c r="Q2635" s="265">
        <v>1.1000000000000001</v>
      </c>
    </row>
    <row r="2636" spans="1:17" ht="15" customHeight="1">
      <c r="A2636" s="147">
        <v>2752</v>
      </c>
      <c r="B2636" s="51" t="s">
        <v>44</v>
      </c>
      <c r="C2636" s="51" t="s">
        <v>3368</v>
      </c>
      <c r="D2636" s="51">
        <v>100024001</v>
      </c>
      <c r="E2636" s="53" t="s">
        <v>3369</v>
      </c>
      <c r="F2636" s="124">
        <v>10</v>
      </c>
      <c r="G2636" s="265" t="s">
        <v>649</v>
      </c>
      <c r="H2636" s="369">
        <v>136.44999999999999</v>
      </c>
      <c r="I2636" s="215" t="s">
        <v>346</v>
      </c>
      <c r="J2636" s="215" t="s">
        <v>102</v>
      </c>
      <c r="K2636" s="266">
        <v>49081024918</v>
      </c>
      <c r="L2636" s="265" t="s">
        <v>649</v>
      </c>
      <c r="M2636" s="266">
        <v>40049081024916</v>
      </c>
      <c r="N2636" s="264">
        <v>1.4330000000000001</v>
      </c>
      <c r="O2636" s="265" t="s">
        <v>649</v>
      </c>
      <c r="P2636" s="265">
        <v>1.7</v>
      </c>
      <c r="Q2636" s="265">
        <v>17</v>
      </c>
    </row>
    <row r="2637" spans="1:17" ht="15" customHeight="1">
      <c r="A2637" s="147">
        <v>2753</v>
      </c>
      <c r="B2637" s="51" t="s">
        <v>44</v>
      </c>
      <c r="C2637" s="51" t="s">
        <v>3370</v>
      </c>
      <c r="D2637" s="51">
        <v>100024003</v>
      </c>
      <c r="E2637" s="53" t="s">
        <v>3371</v>
      </c>
      <c r="F2637" s="124">
        <v>10</v>
      </c>
      <c r="G2637" s="124">
        <v>900</v>
      </c>
      <c r="H2637" s="369">
        <v>136.44999999999999</v>
      </c>
      <c r="I2637" s="215" t="s">
        <v>346</v>
      </c>
      <c r="J2637" s="215" t="s">
        <v>102</v>
      </c>
      <c r="K2637" s="266">
        <v>49081020941</v>
      </c>
      <c r="L2637" s="265" t="s">
        <v>649</v>
      </c>
      <c r="M2637" s="266">
        <v>40049081020949</v>
      </c>
      <c r="N2637" s="264">
        <v>1.427</v>
      </c>
      <c r="O2637" s="265" t="s">
        <v>649</v>
      </c>
      <c r="P2637" s="265">
        <v>15.8</v>
      </c>
      <c r="Q2637" s="265">
        <v>0.8</v>
      </c>
    </row>
    <row r="2638" spans="1:17" ht="15" customHeight="1">
      <c r="A2638" s="147">
        <v>2754</v>
      </c>
      <c r="B2638" s="51" t="s">
        <v>44</v>
      </c>
      <c r="C2638" s="51" t="s">
        <v>3372</v>
      </c>
      <c r="D2638" s="51">
        <v>100024272</v>
      </c>
      <c r="E2638" s="53" t="s">
        <v>3373</v>
      </c>
      <c r="F2638" s="124">
        <v>10</v>
      </c>
      <c r="G2638" s="124">
        <v>750</v>
      </c>
      <c r="H2638" s="369">
        <v>169.43</v>
      </c>
      <c r="I2638" s="215" t="s">
        <v>346</v>
      </c>
      <c r="J2638" s="215" t="s">
        <v>102</v>
      </c>
      <c r="K2638" s="266">
        <v>49081026868</v>
      </c>
      <c r="L2638" s="265" t="s">
        <v>649</v>
      </c>
      <c r="M2638" s="266">
        <v>40049081026866</v>
      </c>
      <c r="N2638" s="264">
        <v>1.9179999999999999</v>
      </c>
      <c r="O2638" s="265" t="s">
        <v>649</v>
      </c>
      <c r="P2638" s="265">
        <v>21.26</v>
      </c>
      <c r="Q2638" s="265">
        <v>1.1000000000000001</v>
      </c>
    </row>
    <row r="2639" spans="1:17" ht="15" customHeight="1">
      <c r="A2639" s="147">
        <v>2755</v>
      </c>
      <c r="B2639" s="51" t="s">
        <v>44</v>
      </c>
      <c r="C2639" s="51" t="s">
        <v>3374</v>
      </c>
      <c r="D2639" s="51">
        <v>100024528</v>
      </c>
      <c r="E2639" s="53" t="s">
        <v>3375</v>
      </c>
      <c r="F2639" s="124">
        <v>10</v>
      </c>
      <c r="G2639" s="124">
        <v>180</v>
      </c>
      <c r="H2639" s="369">
        <v>205.79</v>
      </c>
      <c r="I2639" s="215" t="s">
        <v>346</v>
      </c>
      <c r="J2639" s="215" t="s">
        <v>102</v>
      </c>
      <c r="K2639" s="266">
        <v>49081028954</v>
      </c>
      <c r="L2639" s="265" t="s">
        <v>649</v>
      </c>
      <c r="M2639" s="266">
        <v>40049081028952</v>
      </c>
      <c r="N2639" s="264">
        <v>2.7759999999999998</v>
      </c>
      <c r="O2639" s="265" t="s">
        <v>649</v>
      </c>
      <c r="P2639" s="265">
        <v>29.64</v>
      </c>
      <c r="Q2639" s="265">
        <v>2.65</v>
      </c>
    </row>
    <row r="2640" spans="1:17" ht="15" customHeight="1">
      <c r="A2640" s="147">
        <v>2756</v>
      </c>
      <c r="B2640" s="51" t="s">
        <v>45</v>
      </c>
      <c r="C2640" s="51" t="s">
        <v>3378</v>
      </c>
      <c r="D2640" s="51">
        <v>100028394</v>
      </c>
      <c r="E2640" s="53" t="s">
        <v>3379</v>
      </c>
      <c r="F2640" s="124">
        <v>1</v>
      </c>
      <c r="G2640" s="265" t="s">
        <v>649</v>
      </c>
      <c r="H2640" s="369">
        <v>16.64</v>
      </c>
      <c r="I2640" s="215" t="s">
        <v>346</v>
      </c>
      <c r="J2640" s="215" t="s">
        <v>102</v>
      </c>
      <c r="K2640" s="265" t="s">
        <v>649</v>
      </c>
      <c r="L2640" s="265" t="s">
        <v>649</v>
      </c>
      <c r="M2640" s="265" t="s">
        <v>649</v>
      </c>
      <c r="N2640" s="264">
        <v>0.124</v>
      </c>
      <c r="O2640" s="265" t="s">
        <v>649</v>
      </c>
      <c r="P2640" s="265">
        <v>0.124</v>
      </c>
      <c r="Q2640" s="265" t="s">
        <v>649</v>
      </c>
    </row>
    <row r="2641" spans="1:17" ht="15" customHeight="1">
      <c r="A2641" s="147">
        <v>2757</v>
      </c>
      <c r="B2641" s="51" t="s">
        <v>45</v>
      </c>
      <c r="C2641" s="51" t="s">
        <v>3380</v>
      </c>
      <c r="D2641" s="51">
        <v>100028395</v>
      </c>
      <c r="E2641" s="53" t="s">
        <v>3381</v>
      </c>
      <c r="F2641" s="124">
        <v>1</v>
      </c>
      <c r="G2641" s="265" t="s">
        <v>649</v>
      </c>
      <c r="H2641" s="369">
        <v>17.05</v>
      </c>
      <c r="I2641" s="215" t="s">
        <v>346</v>
      </c>
      <c r="J2641" s="215" t="s">
        <v>102</v>
      </c>
      <c r="K2641" s="266">
        <v>49081012014</v>
      </c>
      <c r="L2641" s="265" t="s">
        <v>649</v>
      </c>
      <c r="M2641" s="266">
        <v>40049081012012</v>
      </c>
      <c r="N2641" s="264">
        <v>0.13</v>
      </c>
      <c r="O2641" s="265" t="s">
        <v>649</v>
      </c>
      <c r="P2641" s="265">
        <v>0.13</v>
      </c>
      <c r="Q2641" s="265" t="s">
        <v>649</v>
      </c>
    </row>
    <row r="2642" spans="1:17" ht="15" customHeight="1">
      <c r="A2642" s="147">
        <v>2758</v>
      </c>
      <c r="B2642" s="51" t="s">
        <v>45</v>
      </c>
      <c r="C2642" s="51" t="s">
        <v>3382</v>
      </c>
      <c r="D2642" s="51">
        <v>100028396</v>
      </c>
      <c r="E2642" s="53" t="s">
        <v>3383</v>
      </c>
      <c r="F2642" s="124">
        <v>1</v>
      </c>
      <c r="G2642" s="265" t="s">
        <v>649</v>
      </c>
      <c r="H2642" s="369">
        <v>17.600000000000001</v>
      </c>
      <c r="I2642" s="215" t="s">
        <v>76</v>
      </c>
      <c r="J2642" s="215" t="s">
        <v>102</v>
      </c>
      <c r="K2642" s="265" t="s">
        <v>649</v>
      </c>
      <c r="L2642" s="265" t="s">
        <v>649</v>
      </c>
      <c r="M2642" s="265" t="s">
        <v>649</v>
      </c>
      <c r="N2642" s="264">
        <v>0.16600000000000001</v>
      </c>
      <c r="O2642" s="265" t="s">
        <v>649</v>
      </c>
      <c r="P2642" s="265">
        <v>0.16600000000000001</v>
      </c>
      <c r="Q2642" s="265" t="s">
        <v>649</v>
      </c>
    </row>
    <row r="2643" spans="1:17" ht="15" customHeight="1">
      <c r="A2643" s="147">
        <v>2759</v>
      </c>
      <c r="B2643" s="51" t="s">
        <v>45</v>
      </c>
      <c r="C2643" s="51" t="s">
        <v>3384</v>
      </c>
      <c r="D2643" s="51">
        <v>100028397</v>
      </c>
      <c r="E2643" s="53" t="s">
        <v>3385</v>
      </c>
      <c r="F2643" s="124">
        <v>1</v>
      </c>
      <c r="G2643" s="265" t="s">
        <v>649</v>
      </c>
      <c r="H2643" s="369">
        <v>16.809999999999999</v>
      </c>
      <c r="I2643" s="215" t="s">
        <v>346</v>
      </c>
      <c r="J2643" s="215" t="s">
        <v>102</v>
      </c>
      <c r="K2643" s="266">
        <v>49081012052</v>
      </c>
      <c r="L2643" s="265" t="s">
        <v>649</v>
      </c>
      <c r="M2643" s="266">
        <v>40049081012050</v>
      </c>
      <c r="N2643" s="264">
        <v>0.20499999999999999</v>
      </c>
      <c r="O2643" s="265" t="s">
        <v>649</v>
      </c>
      <c r="P2643" s="265">
        <v>0.20499999999999999</v>
      </c>
      <c r="Q2643" s="265" t="s">
        <v>649</v>
      </c>
    </row>
    <row r="2644" spans="1:17" ht="15" customHeight="1">
      <c r="A2644" s="147">
        <v>2760</v>
      </c>
      <c r="B2644" s="51" t="s">
        <v>45</v>
      </c>
      <c r="C2644" s="51" t="s">
        <v>3386</v>
      </c>
      <c r="D2644" s="51">
        <v>100028398</v>
      </c>
      <c r="E2644" s="53" t="s">
        <v>3387</v>
      </c>
      <c r="F2644" s="124">
        <v>1</v>
      </c>
      <c r="G2644" s="265" t="s">
        <v>649</v>
      </c>
      <c r="H2644" s="369">
        <v>17.440000000000001</v>
      </c>
      <c r="I2644" s="215" t="s">
        <v>76</v>
      </c>
      <c r="J2644" s="215" t="s">
        <v>102</v>
      </c>
      <c r="K2644" s="266">
        <v>49081012069</v>
      </c>
      <c r="L2644" s="265" t="s">
        <v>649</v>
      </c>
      <c r="M2644" s="266">
        <v>40049081012067</v>
      </c>
      <c r="N2644" s="264">
        <v>0.185</v>
      </c>
      <c r="O2644" s="265" t="s">
        <v>649</v>
      </c>
      <c r="P2644" s="265">
        <v>0.185</v>
      </c>
      <c r="Q2644" s="265" t="s">
        <v>649</v>
      </c>
    </row>
    <row r="2645" spans="1:17" ht="15" customHeight="1">
      <c r="A2645" s="147">
        <v>2761</v>
      </c>
      <c r="B2645" s="51" t="s">
        <v>45</v>
      </c>
      <c r="C2645" s="51" t="s">
        <v>3388</v>
      </c>
      <c r="D2645" s="51">
        <v>100023756</v>
      </c>
      <c r="E2645" s="53" t="s">
        <v>3389</v>
      </c>
      <c r="F2645" s="124">
        <v>1</v>
      </c>
      <c r="G2645" s="265" t="s">
        <v>649</v>
      </c>
      <c r="H2645" s="369">
        <v>17.600000000000001</v>
      </c>
      <c r="I2645" s="215" t="s">
        <v>76</v>
      </c>
      <c r="J2645" s="215" t="s">
        <v>102</v>
      </c>
      <c r="K2645" s="266">
        <v>49081012076</v>
      </c>
      <c r="L2645" s="265" t="s">
        <v>649</v>
      </c>
      <c r="M2645" s="266">
        <v>40049081012074</v>
      </c>
      <c r="N2645" s="264">
        <v>0.38500000000000001</v>
      </c>
      <c r="O2645" s="265" t="s">
        <v>649</v>
      </c>
      <c r="P2645" s="265">
        <v>0.38500000000000001</v>
      </c>
      <c r="Q2645" s="265" t="s">
        <v>649</v>
      </c>
    </row>
    <row r="2646" spans="1:17" ht="15" customHeight="1">
      <c r="A2646" s="147">
        <v>2762</v>
      </c>
      <c r="B2646" s="51" t="s">
        <v>45</v>
      </c>
      <c r="C2646" s="51" t="s">
        <v>3390</v>
      </c>
      <c r="D2646" s="51">
        <v>100023757</v>
      </c>
      <c r="E2646" s="53" t="s">
        <v>3391</v>
      </c>
      <c r="F2646" s="124">
        <v>1</v>
      </c>
      <c r="G2646" s="265" t="s">
        <v>649</v>
      </c>
      <c r="H2646" s="369">
        <v>17.600000000000001</v>
      </c>
      <c r="I2646" s="215" t="s">
        <v>76</v>
      </c>
      <c r="J2646" s="215" t="s">
        <v>102</v>
      </c>
      <c r="K2646" s="266">
        <v>49081012083</v>
      </c>
      <c r="L2646" s="265" t="s">
        <v>649</v>
      </c>
      <c r="M2646" s="266">
        <v>40049081012081</v>
      </c>
      <c r="N2646" s="264">
        <v>0.37</v>
      </c>
      <c r="O2646" s="265" t="s">
        <v>649</v>
      </c>
      <c r="P2646" s="265">
        <v>0.37</v>
      </c>
      <c r="Q2646" s="265" t="s">
        <v>649</v>
      </c>
    </row>
    <row r="2647" spans="1:17" ht="15" customHeight="1">
      <c r="A2647" s="147">
        <v>2763</v>
      </c>
      <c r="B2647" s="51" t="s">
        <v>45</v>
      </c>
      <c r="C2647" s="51" t="s">
        <v>3392</v>
      </c>
      <c r="D2647" s="51">
        <v>100028399</v>
      </c>
      <c r="E2647" s="53" t="s">
        <v>3393</v>
      </c>
      <c r="F2647" s="124">
        <v>1</v>
      </c>
      <c r="G2647" s="265" t="s">
        <v>649</v>
      </c>
      <c r="H2647" s="369">
        <v>16.64</v>
      </c>
      <c r="I2647" s="215" t="s">
        <v>346</v>
      </c>
      <c r="J2647" s="215" t="s">
        <v>102</v>
      </c>
      <c r="K2647" s="265" t="s">
        <v>649</v>
      </c>
      <c r="L2647" s="265" t="s">
        <v>649</v>
      </c>
      <c r="M2647" s="265" t="s">
        <v>649</v>
      </c>
      <c r="N2647" s="264">
        <v>9.5000000000000001E-2</v>
      </c>
      <c r="O2647" s="265" t="s">
        <v>649</v>
      </c>
      <c r="P2647" s="265">
        <v>9.5000000000000001E-2</v>
      </c>
      <c r="Q2647" s="265" t="s">
        <v>649</v>
      </c>
    </row>
    <row r="2648" spans="1:17" ht="15" customHeight="1">
      <c r="A2648" s="147">
        <v>2764</v>
      </c>
      <c r="B2648" s="51" t="s">
        <v>45</v>
      </c>
      <c r="C2648" s="51" t="s">
        <v>3394</v>
      </c>
      <c r="D2648" s="51">
        <v>100028400</v>
      </c>
      <c r="E2648" s="53" t="s">
        <v>3395</v>
      </c>
      <c r="F2648" s="124">
        <v>1</v>
      </c>
      <c r="G2648" s="265" t="s">
        <v>649</v>
      </c>
      <c r="H2648" s="369">
        <v>17.05</v>
      </c>
      <c r="I2648" s="215" t="s">
        <v>76</v>
      </c>
      <c r="J2648" s="215" t="s">
        <v>102</v>
      </c>
      <c r="K2648" s="266">
        <v>49081012113</v>
      </c>
      <c r="L2648" s="265" t="s">
        <v>649</v>
      </c>
      <c r="M2648" s="266">
        <v>40049081012111</v>
      </c>
      <c r="N2648" s="264">
        <v>0.13100000000000001</v>
      </c>
      <c r="O2648" s="265" t="s">
        <v>649</v>
      </c>
      <c r="P2648" s="265">
        <v>0.13100000000000001</v>
      </c>
      <c r="Q2648" s="265" t="s">
        <v>649</v>
      </c>
    </row>
    <row r="2649" spans="1:17" ht="15" customHeight="1">
      <c r="A2649" s="147">
        <v>2765</v>
      </c>
      <c r="B2649" s="51" t="s">
        <v>45</v>
      </c>
      <c r="C2649" s="51" t="s">
        <v>3396</v>
      </c>
      <c r="D2649" s="51">
        <v>100028401</v>
      </c>
      <c r="E2649" s="53" t="s">
        <v>3397</v>
      </c>
      <c r="F2649" s="124">
        <v>1</v>
      </c>
      <c r="G2649" s="265" t="s">
        <v>649</v>
      </c>
      <c r="H2649" s="369">
        <v>17.600000000000001</v>
      </c>
      <c r="I2649" s="215" t="s">
        <v>76</v>
      </c>
      <c r="J2649" s="215" t="s">
        <v>102</v>
      </c>
      <c r="K2649" s="265" t="s">
        <v>649</v>
      </c>
      <c r="L2649" s="265" t="s">
        <v>649</v>
      </c>
      <c r="M2649" s="265" t="s">
        <v>649</v>
      </c>
      <c r="N2649" s="264">
        <v>0.16</v>
      </c>
      <c r="O2649" s="265" t="s">
        <v>649</v>
      </c>
      <c r="P2649" s="265">
        <v>0.16</v>
      </c>
      <c r="Q2649" s="265" t="s">
        <v>649</v>
      </c>
    </row>
    <row r="2650" spans="1:17" ht="15" customHeight="1">
      <c r="A2650" s="147">
        <v>2766</v>
      </c>
      <c r="B2650" s="51" t="s">
        <v>45</v>
      </c>
      <c r="C2650" s="51" t="s">
        <v>3399</v>
      </c>
      <c r="D2650" s="51">
        <v>100028319</v>
      </c>
      <c r="E2650" s="53" t="s">
        <v>3400</v>
      </c>
      <c r="F2650" s="124">
        <v>1</v>
      </c>
      <c r="G2650" s="265" t="s">
        <v>649</v>
      </c>
      <c r="H2650" s="369">
        <v>22.79</v>
      </c>
      <c r="I2650" s="215" t="s">
        <v>346</v>
      </c>
      <c r="J2650" s="215" t="s">
        <v>102</v>
      </c>
      <c r="K2650" s="266">
        <v>49081012229</v>
      </c>
      <c r="L2650" s="265" t="s">
        <v>649</v>
      </c>
      <c r="M2650" s="266">
        <v>40049081012227</v>
      </c>
      <c r="N2650" s="264">
        <v>0.26</v>
      </c>
      <c r="O2650" s="265" t="s">
        <v>649</v>
      </c>
      <c r="P2650" s="265">
        <v>0.26</v>
      </c>
      <c r="Q2650" s="265" t="s">
        <v>649</v>
      </c>
    </row>
    <row r="2651" spans="1:17" ht="15" customHeight="1">
      <c r="A2651" s="147">
        <v>2767</v>
      </c>
      <c r="B2651" s="51" t="s">
        <v>45</v>
      </c>
      <c r="C2651" s="51" t="s">
        <v>3401</v>
      </c>
      <c r="D2651" s="51">
        <v>100028321</v>
      </c>
      <c r="E2651" s="53" t="s">
        <v>3402</v>
      </c>
      <c r="F2651" s="124">
        <v>1</v>
      </c>
      <c r="G2651" s="265" t="s">
        <v>649</v>
      </c>
      <c r="H2651" s="369">
        <v>28.93</v>
      </c>
      <c r="I2651" s="215" t="s">
        <v>346</v>
      </c>
      <c r="J2651" s="215" t="s">
        <v>102</v>
      </c>
      <c r="K2651" s="266">
        <v>49081012243</v>
      </c>
      <c r="L2651" s="265" t="s">
        <v>649</v>
      </c>
      <c r="M2651" s="266">
        <v>40049081012241</v>
      </c>
      <c r="N2651" s="264">
        <v>0.49</v>
      </c>
      <c r="O2651" s="265" t="s">
        <v>649</v>
      </c>
      <c r="P2651" s="265">
        <v>0.49</v>
      </c>
      <c r="Q2651" s="265" t="s">
        <v>649</v>
      </c>
    </row>
    <row r="2652" spans="1:17" ht="15" customHeight="1">
      <c r="A2652" s="147">
        <v>2768</v>
      </c>
      <c r="B2652" s="51" t="s">
        <v>45</v>
      </c>
      <c r="C2652" s="51" t="s">
        <v>3403</v>
      </c>
      <c r="D2652" s="51">
        <v>100028322</v>
      </c>
      <c r="E2652" s="53" t="s">
        <v>3404</v>
      </c>
      <c r="F2652" s="124">
        <v>1</v>
      </c>
      <c r="G2652" s="265" t="s">
        <v>649</v>
      </c>
      <c r="H2652" s="369">
        <v>16.64</v>
      </c>
      <c r="I2652" s="215" t="s">
        <v>346</v>
      </c>
      <c r="J2652" s="215" t="s">
        <v>102</v>
      </c>
      <c r="K2652" s="266">
        <v>49081011437</v>
      </c>
      <c r="L2652" s="265" t="s">
        <v>649</v>
      </c>
      <c r="M2652" s="266">
        <v>40049081011435</v>
      </c>
      <c r="N2652" s="264">
        <v>0.125</v>
      </c>
      <c r="O2652" s="265" t="s">
        <v>649</v>
      </c>
      <c r="P2652" s="265">
        <v>0.125</v>
      </c>
      <c r="Q2652" s="265" t="s">
        <v>649</v>
      </c>
    </row>
    <row r="2653" spans="1:17" ht="15" customHeight="1">
      <c r="A2653" s="147">
        <v>2769</v>
      </c>
      <c r="B2653" s="51" t="s">
        <v>45</v>
      </c>
      <c r="C2653" s="51" t="s">
        <v>3405</v>
      </c>
      <c r="D2653" s="51">
        <v>100028323</v>
      </c>
      <c r="E2653" s="53" t="s">
        <v>3406</v>
      </c>
      <c r="F2653" s="124">
        <v>1</v>
      </c>
      <c r="G2653" s="265" t="s">
        <v>649</v>
      </c>
      <c r="H2653" s="369">
        <v>17.600000000000001</v>
      </c>
      <c r="I2653" s="215" t="s">
        <v>346</v>
      </c>
      <c r="J2653" s="215" t="s">
        <v>102</v>
      </c>
      <c r="K2653" s="266">
        <v>49081011482</v>
      </c>
      <c r="L2653" s="265" t="s">
        <v>649</v>
      </c>
      <c r="M2653" s="266">
        <v>40049081011480</v>
      </c>
      <c r="N2653" s="264">
        <v>0.28499999999999998</v>
      </c>
      <c r="O2653" s="265" t="s">
        <v>649</v>
      </c>
      <c r="P2653" s="265">
        <v>0.28499999999999998</v>
      </c>
      <c r="Q2653" s="265" t="s">
        <v>649</v>
      </c>
    </row>
    <row r="2654" spans="1:17" ht="15" customHeight="1">
      <c r="A2654" s="147">
        <v>2770</v>
      </c>
      <c r="B2654" s="51" t="s">
        <v>45</v>
      </c>
      <c r="C2654" s="51" t="s">
        <v>3407</v>
      </c>
      <c r="D2654" s="51">
        <v>100030528</v>
      </c>
      <c r="E2654" s="53" t="s">
        <v>3408</v>
      </c>
      <c r="F2654" s="124">
        <v>25</v>
      </c>
      <c r="G2654" s="265" t="s">
        <v>649</v>
      </c>
      <c r="H2654" s="369">
        <v>16.64</v>
      </c>
      <c r="I2654" s="215" t="s">
        <v>76</v>
      </c>
      <c r="J2654" s="215" t="s">
        <v>102</v>
      </c>
      <c r="K2654" s="266">
        <v>49081012441</v>
      </c>
      <c r="L2654" s="265" t="s">
        <v>649</v>
      </c>
      <c r="M2654" s="266">
        <v>40049081012449</v>
      </c>
      <c r="N2654" s="264">
        <v>0.124</v>
      </c>
      <c r="O2654" s="265" t="s">
        <v>649</v>
      </c>
      <c r="P2654" s="265">
        <v>0.124</v>
      </c>
      <c r="Q2654" s="265" t="s">
        <v>649</v>
      </c>
    </row>
    <row r="2655" spans="1:17" ht="15" customHeight="1">
      <c r="A2655" s="147">
        <v>2771</v>
      </c>
      <c r="B2655" s="51" t="s">
        <v>45</v>
      </c>
      <c r="C2655" s="51" t="s">
        <v>3409</v>
      </c>
      <c r="D2655" s="51">
        <v>100028324</v>
      </c>
      <c r="E2655" s="53" t="s">
        <v>3410</v>
      </c>
      <c r="F2655" s="124">
        <v>1</v>
      </c>
      <c r="G2655" s="265" t="s">
        <v>649</v>
      </c>
      <c r="H2655" s="369">
        <v>17.600000000000001</v>
      </c>
      <c r="I2655" s="215" t="s">
        <v>346</v>
      </c>
      <c r="J2655" s="215" t="s">
        <v>102</v>
      </c>
      <c r="K2655" s="266">
        <v>49081011499</v>
      </c>
      <c r="L2655" s="265" t="s">
        <v>649</v>
      </c>
      <c r="M2655" s="266">
        <v>40049081011497</v>
      </c>
      <c r="N2655" s="264">
        <v>0.19</v>
      </c>
      <c r="O2655" s="265" t="s">
        <v>649</v>
      </c>
      <c r="P2655" s="265">
        <v>0.19</v>
      </c>
      <c r="Q2655" s="265" t="s">
        <v>649</v>
      </c>
    </row>
    <row r="2656" spans="1:17" ht="15" customHeight="1">
      <c r="A2656" s="147">
        <v>2772</v>
      </c>
      <c r="B2656" s="51" t="s">
        <v>45</v>
      </c>
      <c r="C2656" s="51" t="s">
        <v>3411</v>
      </c>
      <c r="D2656" s="51">
        <v>100028325</v>
      </c>
      <c r="E2656" s="53" t="s">
        <v>3412</v>
      </c>
      <c r="F2656" s="124">
        <v>1</v>
      </c>
      <c r="G2656" s="265" t="s">
        <v>649</v>
      </c>
      <c r="H2656" s="369">
        <v>16.809999999999999</v>
      </c>
      <c r="I2656" s="215" t="s">
        <v>76</v>
      </c>
      <c r="J2656" s="215" t="s">
        <v>102</v>
      </c>
      <c r="K2656" s="266">
        <v>49081011505</v>
      </c>
      <c r="L2656" s="265" t="s">
        <v>649</v>
      </c>
      <c r="M2656" s="266">
        <v>40049081011503</v>
      </c>
      <c r="N2656" s="264">
        <v>0.17</v>
      </c>
      <c r="O2656" s="265" t="s">
        <v>649</v>
      </c>
      <c r="P2656" s="265">
        <v>0.17</v>
      </c>
      <c r="Q2656" s="265" t="s">
        <v>649</v>
      </c>
    </row>
    <row r="2657" spans="1:17" ht="15" customHeight="1">
      <c r="A2657" s="147">
        <v>2773</v>
      </c>
      <c r="B2657" s="51" t="s">
        <v>45</v>
      </c>
      <c r="C2657" s="51" t="s">
        <v>3413</v>
      </c>
      <c r="D2657" s="51">
        <v>100028326</v>
      </c>
      <c r="E2657" s="53" t="s">
        <v>3414</v>
      </c>
      <c r="F2657" s="124">
        <v>1</v>
      </c>
      <c r="G2657" s="265" t="s">
        <v>649</v>
      </c>
      <c r="H2657" s="369">
        <v>16.809999999999999</v>
      </c>
      <c r="I2657" s="215" t="s">
        <v>346</v>
      </c>
      <c r="J2657" s="215" t="s">
        <v>102</v>
      </c>
      <c r="K2657" s="266">
        <v>49081012465</v>
      </c>
      <c r="L2657" s="265" t="s">
        <v>649</v>
      </c>
      <c r="M2657" s="266">
        <v>40049081012463</v>
      </c>
      <c r="N2657" s="264">
        <v>0.2</v>
      </c>
      <c r="O2657" s="265" t="s">
        <v>649</v>
      </c>
      <c r="P2657" s="265">
        <v>0.2</v>
      </c>
      <c r="Q2657" s="265" t="s">
        <v>649</v>
      </c>
    </row>
    <row r="2658" spans="1:17" ht="15" customHeight="1">
      <c r="A2658" s="147">
        <v>2774</v>
      </c>
      <c r="B2658" s="51" t="s">
        <v>45</v>
      </c>
      <c r="C2658" s="51" t="s">
        <v>3415</v>
      </c>
      <c r="D2658" s="51">
        <v>100028328</v>
      </c>
      <c r="E2658" s="53" t="s">
        <v>3416</v>
      </c>
      <c r="F2658" s="124">
        <v>1</v>
      </c>
      <c r="G2658" s="265" t="s">
        <v>649</v>
      </c>
      <c r="H2658" s="369">
        <v>17.440000000000001</v>
      </c>
      <c r="I2658" s="215" t="s">
        <v>346</v>
      </c>
      <c r="J2658" s="215" t="s">
        <v>102</v>
      </c>
      <c r="K2658" s="266">
        <v>49081012472</v>
      </c>
      <c r="L2658" s="265" t="s">
        <v>649</v>
      </c>
      <c r="M2658" s="266">
        <v>40049081012470</v>
      </c>
      <c r="N2658" s="264">
        <v>0.21</v>
      </c>
      <c r="O2658" s="265" t="s">
        <v>649</v>
      </c>
      <c r="P2658" s="265">
        <v>0.21</v>
      </c>
      <c r="Q2658" s="265" t="s">
        <v>649</v>
      </c>
    </row>
    <row r="2659" spans="1:17" ht="15" customHeight="1">
      <c r="A2659" s="147">
        <v>2775</v>
      </c>
      <c r="B2659" s="51" t="s">
        <v>45</v>
      </c>
      <c r="C2659" s="51" t="s">
        <v>3417</v>
      </c>
      <c r="D2659" s="51">
        <v>100028329</v>
      </c>
      <c r="E2659" s="53" t="s">
        <v>3418</v>
      </c>
      <c r="F2659" s="124">
        <v>1</v>
      </c>
      <c r="G2659" s="265" t="s">
        <v>649</v>
      </c>
      <c r="H2659" s="369">
        <v>17.600000000000001</v>
      </c>
      <c r="I2659" s="215" t="s">
        <v>346</v>
      </c>
      <c r="J2659" s="215" t="s">
        <v>102</v>
      </c>
      <c r="K2659" s="266">
        <v>49081012205</v>
      </c>
      <c r="L2659" s="265" t="s">
        <v>649</v>
      </c>
      <c r="M2659" s="266">
        <v>40049081012203</v>
      </c>
      <c r="N2659" s="264">
        <v>0.28999999999999998</v>
      </c>
      <c r="O2659" s="265" t="s">
        <v>649</v>
      </c>
      <c r="P2659" s="265">
        <v>0.28999999999999998</v>
      </c>
      <c r="Q2659" s="265" t="s">
        <v>649</v>
      </c>
    </row>
    <row r="2660" spans="1:17" ht="15" customHeight="1">
      <c r="A2660" s="147">
        <v>2776</v>
      </c>
      <c r="B2660" s="51" t="s">
        <v>45</v>
      </c>
      <c r="C2660" s="51" t="s">
        <v>3419</v>
      </c>
      <c r="D2660" s="51">
        <v>100031048</v>
      </c>
      <c r="E2660" s="53" t="s">
        <v>3420</v>
      </c>
      <c r="F2660" s="124">
        <v>1</v>
      </c>
      <c r="G2660" s="265" t="s">
        <v>649</v>
      </c>
      <c r="H2660" s="369">
        <v>16.809999999999999</v>
      </c>
      <c r="I2660" s="215" t="s">
        <v>76</v>
      </c>
      <c r="J2660" s="215" t="s">
        <v>102</v>
      </c>
      <c r="K2660" s="266">
        <v>49081011512</v>
      </c>
      <c r="L2660" s="265" t="s">
        <v>649</v>
      </c>
      <c r="M2660" s="266">
        <v>40049081011510</v>
      </c>
      <c r="N2660" s="264">
        <v>0.19500000000000001</v>
      </c>
      <c r="O2660" s="265" t="s">
        <v>649</v>
      </c>
      <c r="P2660" s="265">
        <v>0.19500000000000001</v>
      </c>
      <c r="Q2660" s="265" t="s">
        <v>649</v>
      </c>
    </row>
    <row r="2661" spans="1:17" ht="15" customHeight="1">
      <c r="A2661" s="147">
        <v>2777</v>
      </c>
      <c r="B2661" s="51" t="s">
        <v>45</v>
      </c>
      <c r="C2661" s="51" t="s">
        <v>3421</v>
      </c>
      <c r="D2661" s="51">
        <v>100028331</v>
      </c>
      <c r="E2661" s="53" t="s">
        <v>3422</v>
      </c>
      <c r="F2661" s="124">
        <v>1</v>
      </c>
      <c r="G2661" s="265" t="s">
        <v>649</v>
      </c>
      <c r="H2661" s="369">
        <v>34.18</v>
      </c>
      <c r="I2661" s="215" t="s">
        <v>76</v>
      </c>
      <c r="J2661" s="215" t="s">
        <v>102</v>
      </c>
      <c r="K2661" s="266">
        <v>49081011529</v>
      </c>
      <c r="L2661" s="265" t="s">
        <v>649</v>
      </c>
      <c r="M2661" s="266">
        <v>40049081011527</v>
      </c>
      <c r="N2661" s="264">
        <v>0.26400000000000001</v>
      </c>
      <c r="O2661" s="265" t="s">
        <v>649</v>
      </c>
      <c r="P2661" s="265">
        <v>0.26400000000000001</v>
      </c>
      <c r="Q2661" s="265" t="s">
        <v>649</v>
      </c>
    </row>
    <row r="2662" spans="1:17" ht="15" customHeight="1">
      <c r="A2662" s="147">
        <v>2778</v>
      </c>
      <c r="B2662" s="51" t="s">
        <v>45</v>
      </c>
      <c r="C2662" s="51" t="s">
        <v>3423</v>
      </c>
      <c r="D2662" s="51">
        <v>100028332</v>
      </c>
      <c r="E2662" s="53" t="s">
        <v>3424</v>
      </c>
      <c r="F2662" s="124">
        <v>1</v>
      </c>
      <c r="G2662" s="265" t="s">
        <v>649</v>
      </c>
      <c r="H2662" s="369">
        <v>42.11</v>
      </c>
      <c r="I2662" s="215" t="s">
        <v>346</v>
      </c>
      <c r="J2662" s="215" t="s">
        <v>102</v>
      </c>
      <c r="K2662" s="266">
        <v>49081011536</v>
      </c>
      <c r="L2662" s="265" t="s">
        <v>649</v>
      </c>
      <c r="M2662" s="266">
        <v>40049081011534</v>
      </c>
      <c r="N2662" s="264">
        <v>0.37</v>
      </c>
      <c r="O2662" s="265" t="s">
        <v>649</v>
      </c>
      <c r="P2662" s="265">
        <v>0.37</v>
      </c>
      <c r="Q2662" s="265" t="s">
        <v>649</v>
      </c>
    </row>
    <row r="2663" spans="1:17" ht="15" customHeight="1">
      <c r="A2663" s="147">
        <v>2779</v>
      </c>
      <c r="B2663" s="51" t="s">
        <v>45</v>
      </c>
      <c r="C2663" s="51" t="s">
        <v>3425</v>
      </c>
      <c r="D2663" s="51">
        <v>100028333</v>
      </c>
      <c r="E2663" s="53" t="s">
        <v>3426</v>
      </c>
      <c r="F2663" s="124">
        <v>1</v>
      </c>
      <c r="G2663" s="265" t="s">
        <v>649</v>
      </c>
      <c r="H2663" s="369">
        <v>50.15</v>
      </c>
      <c r="I2663" s="215" t="s">
        <v>76</v>
      </c>
      <c r="J2663" s="215" t="s">
        <v>102</v>
      </c>
      <c r="K2663" s="266">
        <v>49081011543</v>
      </c>
      <c r="L2663" s="265" t="s">
        <v>649</v>
      </c>
      <c r="M2663" s="266">
        <v>40049081011541</v>
      </c>
      <c r="N2663" s="264">
        <v>0.47499999999999998</v>
      </c>
      <c r="O2663" s="265" t="s">
        <v>649</v>
      </c>
      <c r="P2663" s="265">
        <v>0.47499999999999998</v>
      </c>
      <c r="Q2663" s="265" t="s">
        <v>649</v>
      </c>
    </row>
    <row r="2664" spans="1:17" ht="15" customHeight="1">
      <c r="A2664" s="147">
        <v>2780</v>
      </c>
      <c r="B2664" s="51" t="s">
        <v>45</v>
      </c>
      <c r="C2664" s="51" t="s">
        <v>3427</v>
      </c>
      <c r="D2664" s="51">
        <v>100028334</v>
      </c>
      <c r="E2664" s="53" t="s">
        <v>3428</v>
      </c>
      <c r="F2664" s="124">
        <v>1</v>
      </c>
      <c r="G2664" s="265" t="s">
        <v>649</v>
      </c>
      <c r="H2664" s="369">
        <v>42.11</v>
      </c>
      <c r="I2664" s="215" t="s">
        <v>76</v>
      </c>
      <c r="J2664" s="215" t="s">
        <v>102</v>
      </c>
      <c r="K2664" s="266">
        <v>49081011550</v>
      </c>
      <c r="L2664" s="265" t="s">
        <v>649</v>
      </c>
      <c r="M2664" s="266">
        <v>40049081011558</v>
      </c>
      <c r="N2664" s="264">
        <v>0.28000000000000003</v>
      </c>
      <c r="O2664" s="265" t="s">
        <v>649</v>
      </c>
      <c r="P2664" s="265">
        <v>0.28000000000000003</v>
      </c>
      <c r="Q2664" s="265" t="s">
        <v>649</v>
      </c>
    </row>
    <row r="2665" spans="1:17" ht="15" customHeight="1">
      <c r="A2665" s="147">
        <v>2781</v>
      </c>
      <c r="B2665" s="51" t="s">
        <v>45</v>
      </c>
      <c r="C2665" s="51" t="s">
        <v>3429</v>
      </c>
      <c r="D2665" s="51">
        <v>100028335</v>
      </c>
      <c r="E2665" s="53" t="s">
        <v>3430</v>
      </c>
      <c r="F2665" s="124">
        <v>1</v>
      </c>
      <c r="G2665" s="265" t="s">
        <v>649</v>
      </c>
      <c r="H2665" s="369">
        <v>50.15</v>
      </c>
      <c r="I2665" s="215" t="s">
        <v>76</v>
      </c>
      <c r="J2665" s="215" t="s">
        <v>102</v>
      </c>
      <c r="K2665" s="266">
        <v>49081011567</v>
      </c>
      <c r="L2665" s="265" t="s">
        <v>649</v>
      </c>
      <c r="M2665" s="266">
        <v>40049081011565</v>
      </c>
      <c r="N2665" s="264">
        <v>0.30599999999999999</v>
      </c>
      <c r="O2665" s="265" t="s">
        <v>649</v>
      </c>
      <c r="P2665" s="265">
        <v>0.30599999999999999</v>
      </c>
      <c r="Q2665" s="265" t="s">
        <v>649</v>
      </c>
    </row>
    <row r="2666" spans="1:17" ht="15" customHeight="1">
      <c r="A2666" s="147">
        <v>2782</v>
      </c>
      <c r="B2666" s="51" t="s">
        <v>45</v>
      </c>
      <c r="C2666" s="51" t="s">
        <v>3431</v>
      </c>
      <c r="D2666" s="51">
        <v>100028336</v>
      </c>
      <c r="E2666" s="53" t="s">
        <v>3432</v>
      </c>
      <c r="F2666" s="124">
        <v>1</v>
      </c>
      <c r="G2666" s="265" t="s">
        <v>649</v>
      </c>
      <c r="H2666" s="369">
        <v>42.11</v>
      </c>
      <c r="I2666" s="215" t="s">
        <v>76</v>
      </c>
      <c r="J2666" s="215" t="s">
        <v>102</v>
      </c>
      <c r="K2666" s="266">
        <v>49081011574</v>
      </c>
      <c r="L2666" s="265" t="s">
        <v>649</v>
      </c>
      <c r="M2666" s="266">
        <v>40049081011572</v>
      </c>
      <c r="N2666" s="264">
        <v>0.39500000000000002</v>
      </c>
      <c r="O2666" s="265" t="s">
        <v>649</v>
      </c>
      <c r="P2666" s="265">
        <v>0.39500000000000002</v>
      </c>
      <c r="Q2666" s="265" t="s">
        <v>649</v>
      </c>
    </row>
    <row r="2667" spans="1:17" ht="15" customHeight="1">
      <c r="A2667" s="147">
        <v>2783</v>
      </c>
      <c r="B2667" s="51" t="s">
        <v>45</v>
      </c>
      <c r="C2667" s="51" t="s">
        <v>3433</v>
      </c>
      <c r="D2667" s="51">
        <v>100028337</v>
      </c>
      <c r="E2667" s="53" t="s">
        <v>3434</v>
      </c>
      <c r="F2667" s="124">
        <v>1</v>
      </c>
      <c r="G2667" s="265" t="s">
        <v>649</v>
      </c>
      <c r="H2667" s="369">
        <v>50.15</v>
      </c>
      <c r="I2667" s="215" t="s">
        <v>346</v>
      </c>
      <c r="J2667" s="215" t="s">
        <v>102</v>
      </c>
      <c r="K2667" s="266">
        <v>49081011581</v>
      </c>
      <c r="L2667" s="265" t="s">
        <v>649</v>
      </c>
      <c r="M2667" s="266">
        <v>40049081011589</v>
      </c>
      <c r="N2667" s="264">
        <v>0.40300000000000002</v>
      </c>
      <c r="O2667" s="265" t="s">
        <v>649</v>
      </c>
      <c r="P2667" s="265">
        <v>0.40300000000000002</v>
      </c>
      <c r="Q2667" s="265" t="s">
        <v>649</v>
      </c>
    </row>
    <row r="2668" spans="1:17" ht="15" customHeight="1">
      <c r="A2668" s="147">
        <v>2784</v>
      </c>
      <c r="B2668" s="51" t="s">
        <v>45</v>
      </c>
      <c r="C2668" s="51" t="s">
        <v>3435</v>
      </c>
      <c r="D2668" s="51">
        <v>100028338</v>
      </c>
      <c r="E2668" s="53" t="s">
        <v>3436</v>
      </c>
      <c r="F2668" s="124">
        <v>1</v>
      </c>
      <c r="G2668" s="265" t="s">
        <v>649</v>
      </c>
      <c r="H2668" s="369">
        <v>44.41</v>
      </c>
      <c r="I2668" s="215" t="s">
        <v>76</v>
      </c>
      <c r="J2668" s="215" t="s">
        <v>102</v>
      </c>
      <c r="K2668" s="266">
        <v>49081011635</v>
      </c>
      <c r="L2668" s="265" t="s">
        <v>649</v>
      </c>
      <c r="M2668" s="266">
        <v>40049081011633</v>
      </c>
      <c r="N2668" s="264">
        <v>0.503</v>
      </c>
      <c r="O2668" s="265" t="s">
        <v>649</v>
      </c>
      <c r="P2668" s="265">
        <v>0.503</v>
      </c>
      <c r="Q2668" s="265" t="s">
        <v>649</v>
      </c>
    </row>
    <row r="2669" spans="1:17" ht="15" customHeight="1">
      <c r="A2669" s="147">
        <v>2785</v>
      </c>
      <c r="B2669" s="51" t="s">
        <v>45</v>
      </c>
      <c r="C2669" s="51" t="s">
        <v>3437</v>
      </c>
      <c r="D2669" s="51">
        <v>100028339</v>
      </c>
      <c r="E2669" s="53" t="s">
        <v>3438</v>
      </c>
      <c r="F2669" s="124">
        <v>1</v>
      </c>
      <c r="G2669" s="265" t="s">
        <v>649</v>
      </c>
      <c r="H2669" s="369">
        <v>50.15</v>
      </c>
      <c r="I2669" s="215" t="s">
        <v>76</v>
      </c>
      <c r="J2669" s="215" t="s">
        <v>102</v>
      </c>
      <c r="K2669" s="266">
        <v>49081011598</v>
      </c>
      <c r="L2669" s="265" t="s">
        <v>649</v>
      </c>
      <c r="M2669" s="266">
        <v>40049081011596</v>
      </c>
      <c r="N2669" s="264">
        <v>0.46</v>
      </c>
      <c r="O2669" s="265" t="s">
        <v>649</v>
      </c>
      <c r="P2669" s="265">
        <v>0.46</v>
      </c>
      <c r="Q2669" s="265" t="s">
        <v>649</v>
      </c>
    </row>
    <row r="2670" spans="1:17" ht="15" customHeight="1">
      <c r="A2670" s="147">
        <v>2786</v>
      </c>
      <c r="B2670" s="51" t="s">
        <v>45</v>
      </c>
      <c r="C2670" s="51" t="s">
        <v>3439</v>
      </c>
      <c r="D2670" s="51">
        <v>100027317</v>
      </c>
      <c r="E2670" s="53" t="s">
        <v>3440</v>
      </c>
      <c r="F2670" s="124">
        <v>1</v>
      </c>
      <c r="G2670" s="265" t="s">
        <v>649</v>
      </c>
      <c r="H2670" s="369">
        <v>37.909999999999997</v>
      </c>
      <c r="I2670" s="215" t="s">
        <v>346</v>
      </c>
      <c r="J2670" s="215" t="s">
        <v>102</v>
      </c>
      <c r="K2670" s="266">
        <v>49081011109</v>
      </c>
      <c r="L2670" s="265" t="s">
        <v>649</v>
      </c>
      <c r="M2670" s="266">
        <v>40049081011107</v>
      </c>
      <c r="N2670" s="264">
        <v>0.68500000000000005</v>
      </c>
      <c r="O2670" s="265" t="s">
        <v>649</v>
      </c>
      <c r="P2670" s="265">
        <v>0.68500000000000005</v>
      </c>
      <c r="Q2670" s="265" t="s">
        <v>649</v>
      </c>
    </row>
    <row r="2671" spans="1:17" ht="15" customHeight="1">
      <c r="A2671" s="147">
        <v>2787</v>
      </c>
      <c r="B2671" s="51" t="s">
        <v>45</v>
      </c>
      <c r="C2671" s="51" t="s">
        <v>3441</v>
      </c>
      <c r="D2671" s="51">
        <v>100027318</v>
      </c>
      <c r="E2671" s="53" t="s">
        <v>3442</v>
      </c>
      <c r="F2671" s="124">
        <v>1</v>
      </c>
      <c r="G2671" s="265" t="s">
        <v>649</v>
      </c>
      <c r="H2671" s="369">
        <v>37.909999999999997</v>
      </c>
      <c r="I2671" s="215" t="s">
        <v>346</v>
      </c>
      <c r="J2671" s="215" t="s">
        <v>102</v>
      </c>
      <c r="K2671" s="266">
        <v>49081011116</v>
      </c>
      <c r="L2671" s="265" t="s">
        <v>649</v>
      </c>
      <c r="M2671" s="266">
        <v>40049081011114</v>
      </c>
      <c r="N2671" s="264">
        <v>0.57899999999999996</v>
      </c>
      <c r="O2671" s="265" t="s">
        <v>649</v>
      </c>
      <c r="P2671" s="265">
        <v>0.57899999999999996</v>
      </c>
      <c r="Q2671" s="265" t="s">
        <v>649</v>
      </c>
    </row>
    <row r="2672" spans="1:17" ht="15" customHeight="1">
      <c r="A2672" s="147">
        <v>2788</v>
      </c>
      <c r="B2672" s="51" t="s">
        <v>45</v>
      </c>
      <c r="C2672" s="51" t="s">
        <v>3443</v>
      </c>
      <c r="D2672" s="51">
        <v>100027319</v>
      </c>
      <c r="E2672" s="53" t="s">
        <v>3444</v>
      </c>
      <c r="F2672" s="124">
        <v>1</v>
      </c>
      <c r="G2672" s="265" t="s">
        <v>649</v>
      </c>
      <c r="H2672" s="369">
        <v>37.909999999999997</v>
      </c>
      <c r="I2672" s="215" t="s">
        <v>76</v>
      </c>
      <c r="J2672" s="215" t="s">
        <v>102</v>
      </c>
      <c r="K2672" s="266">
        <v>49081011123</v>
      </c>
      <c r="L2672" s="265" t="s">
        <v>649</v>
      </c>
      <c r="M2672" s="266">
        <v>40049081011121</v>
      </c>
      <c r="N2672" s="264">
        <v>0.73</v>
      </c>
      <c r="O2672" s="265" t="s">
        <v>649</v>
      </c>
      <c r="P2672" s="265">
        <v>0.73</v>
      </c>
      <c r="Q2672" s="265" t="s">
        <v>649</v>
      </c>
    </row>
    <row r="2673" spans="1:17" ht="15" customHeight="1">
      <c r="A2673" s="147">
        <v>2789</v>
      </c>
      <c r="B2673" s="51" t="s">
        <v>45</v>
      </c>
      <c r="C2673" s="51" t="s">
        <v>3445</v>
      </c>
      <c r="D2673" s="51">
        <v>100027326</v>
      </c>
      <c r="E2673" s="53" t="s">
        <v>3446</v>
      </c>
      <c r="F2673" s="124">
        <v>1</v>
      </c>
      <c r="G2673" s="265" t="s">
        <v>649</v>
      </c>
      <c r="H2673" s="369">
        <v>37.909999999999997</v>
      </c>
      <c r="I2673" s="215" t="s">
        <v>76</v>
      </c>
      <c r="J2673" s="215" t="s">
        <v>102</v>
      </c>
      <c r="K2673" s="266">
        <v>49081011086</v>
      </c>
      <c r="L2673" s="265" t="s">
        <v>649</v>
      </c>
      <c r="M2673" s="266">
        <v>40049081011084</v>
      </c>
      <c r="N2673" s="264">
        <v>0.68500000000000005</v>
      </c>
      <c r="O2673" s="265" t="s">
        <v>649</v>
      </c>
      <c r="P2673" s="265">
        <v>0.68500000000000005</v>
      </c>
      <c r="Q2673" s="265" t="s">
        <v>649</v>
      </c>
    </row>
    <row r="2674" spans="1:17" ht="15" customHeight="1">
      <c r="A2674" s="147">
        <v>2790</v>
      </c>
      <c r="B2674" s="51" t="s">
        <v>45</v>
      </c>
      <c r="C2674" s="51" t="s">
        <v>3447</v>
      </c>
      <c r="D2674" s="51">
        <v>100027327</v>
      </c>
      <c r="E2674" s="53" t="s">
        <v>3448</v>
      </c>
      <c r="F2674" s="124">
        <v>1</v>
      </c>
      <c r="G2674" s="265" t="s">
        <v>649</v>
      </c>
      <c r="H2674" s="369">
        <v>37.909999999999997</v>
      </c>
      <c r="I2674" s="215" t="s">
        <v>76</v>
      </c>
      <c r="J2674" s="215" t="s">
        <v>102</v>
      </c>
      <c r="K2674" s="266">
        <v>49081011048</v>
      </c>
      <c r="L2674" s="265" t="s">
        <v>649</v>
      </c>
      <c r="M2674" s="266">
        <v>40049081011046</v>
      </c>
      <c r="N2674" s="264">
        <v>0.57899999999999996</v>
      </c>
      <c r="O2674" s="265" t="s">
        <v>649</v>
      </c>
      <c r="P2674" s="265">
        <v>0.57899999999999996</v>
      </c>
      <c r="Q2674" s="265" t="s">
        <v>649</v>
      </c>
    </row>
    <row r="2675" spans="1:17" ht="15" customHeight="1">
      <c r="A2675" s="147">
        <v>2791</v>
      </c>
      <c r="B2675" s="51" t="s">
        <v>45</v>
      </c>
      <c r="C2675" s="51" t="s">
        <v>3449</v>
      </c>
      <c r="D2675" s="51">
        <v>100027328</v>
      </c>
      <c r="E2675" s="53" t="s">
        <v>3450</v>
      </c>
      <c r="F2675" s="124">
        <v>50</v>
      </c>
      <c r="G2675" s="265" t="s">
        <v>649</v>
      </c>
      <c r="H2675" s="369">
        <v>37.909999999999997</v>
      </c>
      <c r="I2675" s="215" t="s">
        <v>76</v>
      </c>
      <c r="J2675" s="215" t="s">
        <v>102</v>
      </c>
      <c r="K2675" s="266">
        <v>49081011093</v>
      </c>
      <c r="L2675" s="265" t="s">
        <v>649</v>
      </c>
      <c r="M2675" s="266">
        <v>40049081011091</v>
      </c>
      <c r="N2675" s="264">
        <v>0.80500000000000005</v>
      </c>
      <c r="O2675" s="265" t="s">
        <v>649</v>
      </c>
      <c r="P2675" s="265">
        <v>0.80500000000000005</v>
      </c>
      <c r="Q2675" s="265" t="s">
        <v>649</v>
      </c>
    </row>
    <row r="2676" spans="1:17" ht="15" customHeight="1">
      <c r="A2676" s="147">
        <v>2792</v>
      </c>
      <c r="B2676" s="51" t="s">
        <v>45</v>
      </c>
      <c r="C2676" s="51" t="s">
        <v>3451</v>
      </c>
      <c r="D2676" s="51">
        <v>100031693</v>
      </c>
      <c r="E2676" s="53" t="s">
        <v>3452</v>
      </c>
      <c r="F2676" s="124">
        <v>50</v>
      </c>
      <c r="G2676" s="265" t="s">
        <v>649</v>
      </c>
      <c r="H2676" s="369">
        <v>66.36</v>
      </c>
      <c r="I2676" s="215" t="s">
        <v>76</v>
      </c>
      <c r="J2676" s="215" t="s">
        <v>102</v>
      </c>
      <c r="K2676" s="265" t="s">
        <v>649</v>
      </c>
      <c r="L2676" s="265" t="s">
        <v>649</v>
      </c>
      <c r="M2676" s="265" t="s">
        <v>649</v>
      </c>
      <c r="N2676" s="264">
        <v>1.2150000000000001</v>
      </c>
      <c r="O2676" s="265" t="s">
        <v>649</v>
      </c>
      <c r="P2676" s="265">
        <v>1.2150000000000001</v>
      </c>
      <c r="Q2676" s="265" t="s">
        <v>649</v>
      </c>
    </row>
    <row r="2677" spans="1:17" ht="15" customHeight="1">
      <c r="A2677" s="147">
        <v>2793</v>
      </c>
      <c r="B2677" s="51" t="s">
        <v>45</v>
      </c>
      <c r="C2677" s="51" t="s">
        <v>3453</v>
      </c>
      <c r="D2677" s="51">
        <v>100031694</v>
      </c>
      <c r="E2677" s="53" t="s">
        <v>3454</v>
      </c>
      <c r="F2677" s="124">
        <v>50</v>
      </c>
      <c r="G2677" s="265" t="s">
        <v>649</v>
      </c>
      <c r="H2677" s="369">
        <v>66.94</v>
      </c>
      <c r="I2677" s="215" t="s">
        <v>76</v>
      </c>
      <c r="J2677" s="215" t="s">
        <v>102</v>
      </c>
      <c r="K2677" s="265" t="s">
        <v>649</v>
      </c>
      <c r="L2677" s="265" t="s">
        <v>649</v>
      </c>
      <c r="M2677" s="265" t="s">
        <v>649</v>
      </c>
      <c r="N2677" s="264">
        <v>1.2789999999999999</v>
      </c>
      <c r="O2677" s="265" t="s">
        <v>649</v>
      </c>
      <c r="P2677" s="265">
        <v>1.2789999999999999</v>
      </c>
      <c r="Q2677" s="265" t="s">
        <v>649</v>
      </c>
    </row>
    <row r="2678" spans="1:17" ht="15" customHeight="1">
      <c r="A2678" s="147">
        <v>2794</v>
      </c>
      <c r="B2678" s="51" t="s">
        <v>45</v>
      </c>
      <c r="C2678" s="51" t="s">
        <v>3455</v>
      </c>
      <c r="D2678" s="51">
        <v>100031695</v>
      </c>
      <c r="E2678" s="53" t="s">
        <v>3456</v>
      </c>
      <c r="F2678" s="124">
        <v>50</v>
      </c>
      <c r="G2678" s="265" t="s">
        <v>649</v>
      </c>
      <c r="H2678" s="369">
        <v>68.09</v>
      </c>
      <c r="I2678" s="215" t="s">
        <v>76</v>
      </c>
      <c r="J2678" s="215" t="s">
        <v>102</v>
      </c>
      <c r="K2678" s="265" t="s">
        <v>649</v>
      </c>
      <c r="L2678" s="265" t="s">
        <v>649</v>
      </c>
      <c r="M2678" s="265" t="s">
        <v>649</v>
      </c>
      <c r="N2678" s="264">
        <v>1.3109999999999999</v>
      </c>
      <c r="O2678" s="265" t="s">
        <v>649</v>
      </c>
      <c r="P2678" s="265">
        <v>1.3109999999999999</v>
      </c>
      <c r="Q2678" s="265" t="s">
        <v>649</v>
      </c>
    </row>
    <row r="2679" spans="1:17" ht="15" customHeight="1">
      <c r="A2679" s="147">
        <v>2795</v>
      </c>
      <c r="B2679" s="51" t="s">
        <v>45</v>
      </c>
      <c r="C2679" s="51" t="s">
        <v>3457</v>
      </c>
      <c r="D2679" s="51">
        <v>100031696</v>
      </c>
      <c r="E2679" s="53" t="s">
        <v>3458</v>
      </c>
      <c r="F2679" s="124">
        <v>50</v>
      </c>
      <c r="G2679" s="265" t="s">
        <v>649</v>
      </c>
      <c r="H2679" s="369">
        <v>66.760000000000005</v>
      </c>
      <c r="I2679" s="215" t="s">
        <v>76</v>
      </c>
      <c r="J2679" s="215" t="s">
        <v>102</v>
      </c>
      <c r="K2679" s="265" t="s">
        <v>649</v>
      </c>
      <c r="L2679" s="265" t="s">
        <v>649</v>
      </c>
      <c r="M2679" s="265" t="s">
        <v>649</v>
      </c>
      <c r="N2679" s="264">
        <v>1.329</v>
      </c>
      <c r="O2679" s="265" t="s">
        <v>649</v>
      </c>
      <c r="P2679" s="265">
        <v>1.329</v>
      </c>
      <c r="Q2679" s="265" t="s">
        <v>649</v>
      </c>
    </row>
    <row r="2680" spans="1:17" ht="15" customHeight="1">
      <c r="A2680" s="147">
        <v>2796</v>
      </c>
      <c r="B2680" s="51" t="s">
        <v>45</v>
      </c>
      <c r="C2680" s="51" t="s">
        <v>3459</v>
      </c>
      <c r="D2680" s="51">
        <v>100031697</v>
      </c>
      <c r="E2680" s="53" t="s">
        <v>3460</v>
      </c>
      <c r="F2680" s="124">
        <v>50</v>
      </c>
      <c r="G2680" s="265" t="s">
        <v>649</v>
      </c>
      <c r="H2680" s="369">
        <v>68.400000000000006</v>
      </c>
      <c r="I2680" s="215" t="s">
        <v>76</v>
      </c>
      <c r="J2680" s="215" t="s">
        <v>102</v>
      </c>
      <c r="K2680" s="265" t="s">
        <v>649</v>
      </c>
      <c r="L2680" s="265" t="s">
        <v>649</v>
      </c>
      <c r="M2680" s="265" t="s">
        <v>649</v>
      </c>
      <c r="N2680" s="264">
        <v>1.329</v>
      </c>
      <c r="O2680" s="265" t="s">
        <v>649</v>
      </c>
      <c r="P2680" s="265">
        <v>1.329</v>
      </c>
      <c r="Q2680" s="265" t="s">
        <v>649</v>
      </c>
    </row>
    <row r="2681" spans="1:17" ht="15" customHeight="1">
      <c r="A2681" s="147">
        <v>2797</v>
      </c>
      <c r="B2681" s="51" t="s">
        <v>45</v>
      </c>
      <c r="C2681" s="51" t="s">
        <v>3461</v>
      </c>
      <c r="D2681" s="51">
        <v>100028343</v>
      </c>
      <c r="E2681" s="53" t="s">
        <v>3462</v>
      </c>
      <c r="F2681" s="124">
        <v>1</v>
      </c>
      <c r="G2681" s="265" t="s">
        <v>649</v>
      </c>
      <c r="H2681" s="369">
        <v>14.82</v>
      </c>
      <c r="I2681" s="215" t="s">
        <v>346</v>
      </c>
      <c r="J2681" s="215" t="s">
        <v>102</v>
      </c>
      <c r="K2681" s="266">
        <v>49081010904</v>
      </c>
      <c r="L2681" s="265" t="s">
        <v>649</v>
      </c>
      <c r="M2681" s="266">
        <v>40049081010902</v>
      </c>
      <c r="N2681" s="264">
        <v>0.1</v>
      </c>
      <c r="O2681" s="265" t="s">
        <v>649</v>
      </c>
      <c r="P2681" s="265">
        <v>0.1</v>
      </c>
      <c r="Q2681" s="265" t="s">
        <v>649</v>
      </c>
    </row>
    <row r="2682" spans="1:17" ht="15" customHeight="1">
      <c r="A2682" s="147">
        <v>2798</v>
      </c>
      <c r="B2682" s="51" t="s">
        <v>45</v>
      </c>
      <c r="C2682" s="51" t="s">
        <v>3463</v>
      </c>
      <c r="D2682" s="51">
        <v>100028344</v>
      </c>
      <c r="E2682" s="53" t="s">
        <v>3464</v>
      </c>
      <c r="F2682" s="124">
        <v>1</v>
      </c>
      <c r="G2682" s="265" t="s">
        <v>649</v>
      </c>
      <c r="H2682" s="369">
        <v>18.18</v>
      </c>
      <c r="I2682" s="215" t="s">
        <v>346</v>
      </c>
      <c r="J2682" s="215" t="s">
        <v>102</v>
      </c>
      <c r="K2682" s="266">
        <v>49081010911</v>
      </c>
      <c r="L2682" s="265" t="s">
        <v>649</v>
      </c>
      <c r="M2682" s="266">
        <v>40049081010919</v>
      </c>
      <c r="N2682" s="264">
        <v>0.13</v>
      </c>
      <c r="O2682" s="265" t="s">
        <v>649</v>
      </c>
      <c r="P2682" s="265">
        <v>0.13</v>
      </c>
      <c r="Q2682" s="265" t="s">
        <v>649</v>
      </c>
    </row>
    <row r="2683" spans="1:17" ht="15" customHeight="1">
      <c r="A2683" s="147">
        <v>2799</v>
      </c>
      <c r="B2683" s="51" t="s">
        <v>45</v>
      </c>
      <c r="C2683" s="51" t="s">
        <v>3465</v>
      </c>
      <c r="D2683" s="51">
        <v>100028345</v>
      </c>
      <c r="E2683" s="53" t="s">
        <v>3466</v>
      </c>
      <c r="F2683" s="124">
        <v>1</v>
      </c>
      <c r="G2683" s="265" t="s">
        <v>649</v>
      </c>
      <c r="H2683" s="369">
        <v>24</v>
      </c>
      <c r="I2683" s="215" t="s">
        <v>346</v>
      </c>
      <c r="J2683" s="215" t="s">
        <v>102</v>
      </c>
      <c r="K2683" s="266">
        <v>49081010928</v>
      </c>
      <c r="L2683" s="265" t="s">
        <v>649</v>
      </c>
      <c r="M2683" s="266">
        <v>40049081010926</v>
      </c>
      <c r="N2683" s="264">
        <v>0.215</v>
      </c>
      <c r="O2683" s="265" t="s">
        <v>649</v>
      </c>
      <c r="P2683" s="265">
        <v>0.215</v>
      </c>
      <c r="Q2683" s="265" t="s">
        <v>649</v>
      </c>
    </row>
    <row r="2684" spans="1:17" ht="15" customHeight="1">
      <c r="A2684" s="147">
        <v>2800</v>
      </c>
      <c r="B2684" s="51" t="s">
        <v>45</v>
      </c>
      <c r="C2684" s="51" t="s">
        <v>3467</v>
      </c>
      <c r="D2684" s="51">
        <v>100028346</v>
      </c>
      <c r="E2684" s="53" t="s">
        <v>3468</v>
      </c>
      <c r="F2684" s="124">
        <v>1</v>
      </c>
      <c r="G2684" s="265" t="s">
        <v>649</v>
      </c>
      <c r="H2684" s="369">
        <v>16.36</v>
      </c>
      <c r="I2684" s="215" t="s">
        <v>346</v>
      </c>
      <c r="J2684" s="215" t="s">
        <v>102</v>
      </c>
      <c r="K2684" s="266">
        <v>49081010966</v>
      </c>
      <c r="L2684" s="265" t="s">
        <v>649</v>
      </c>
      <c r="M2684" s="266">
        <v>40049081010964</v>
      </c>
      <c r="N2684" s="264">
        <v>0.15</v>
      </c>
      <c r="O2684" s="265" t="s">
        <v>649</v>
      </c>
      <c r="P2684" s="265">
        <v>0.15</v>
      </c>
      <c r="Q2684" s="265" t="s">
        <v>649</v>
      </c>
    </row>
    <row r="2685" spans="1:17" ht="15" customHeight="1">
      <c r="A2685" s="147">
        <v>2801</v>
      </c>
      <c r="B2685" s="51" t="s">
        <v>45</v>
      </c>
      <c r="C2685" s="51" t="s">
        <v>3469</v>
      </c>
      <c r="D2685" s="51">
        <v>100028347</v>
      </c>
      <c r="E2685" s="53" t="s">
        <v>3470</v>
      </c>
      <c r="F2685" s="124">
        <v>1</v>
      </c>
      <c r="G2685" s="265" t="s">
        <v>649</v>
      </c>
      <c r="H2685" s="369">
        <v>17.190000000000001</v>
      </c>
      <c r="I2685" s="215" t="s">
        <v>346</v>
      </c>
      <c r="J2685" s="215" t="s">
        <v>102</v>
      </c>
      <c r="K2685" s="266">
        <v>49081010973</v>
      </c>
      <c r="L2685" s="265" t="s">
        <v>649</v>
      </c>
      <c r="M2685" s="266">
        <v>40049081010971</v>
      </c>
      <c r="N2685" s="264">
        <v>0.14499999999999999</v>
      </c>
      <c r="O2685" s="265" t="s">
        <v>649</v>
      </c>
      <c r="P2685" s="265">
        <v>0.14499999999999999</v>
      </c>
      <c r="Q2685" s="265" t="s">
        <v>649</v>
      </c>
    </row>
    <row r="2686" spans="1:17" ht="15" customHeight="1">
      <c r="A2686" s="147">
        <v>2802</v>
      </c>
      <c r="B2686" s="51" t="s">
        <v>45</v>
      </c>
      <c r="C2686" s="51" t="s">
        <v>3471</v>
      </c>
      <c r="D2686" s="51">
        <v>100028348</v>
      </c>
      <c r="E2686" s="53" t="s">
        <v>3472</v>
      </c>
      <c r="F2686" s="124">
        <v>1</v>
      </c>
      <c r="G2686" s="265" t="s">
        <v>649</v>
      </c>
      <c r="H2686" s="369">
        <v>14.03</v>
      </c>
      <c r="I2686" s="215" t="s">
        <v>76</v>
      </c>
      <c r="J2686" s="215" t="s">
        <v>102</v>
      </c>
      <c r="K2686" s="266">
        <v>49081010409</v>
      </c>
      <c r="L2686" s="265" t="s">
        <v>649</v>
      </c>
      <c r="M2686" s="266">
        <v>40049081010407</v>
      </c>
      <c r="N2686" s="264">
        <v>0.12</v>
      </c>
      <c r="O2686" s="265" t="s">
        <v>649</v>
      </c>
      <c r="P2686" s="265">
        <v>0.12</v>
      </c>
      <c r="Q2686" s="265" t="s">
        <v>649</v>
      </c>
    </row>
    <row r="2687" spans="1:17" ht="15" customHeight="1">
      <c r="A2687" s="147">
        <v>2803</v>
      </c>
      <c r="B2687" s="51" t="s">
        <v>45</v>
      </c>
      <c r="C2687" s="51" t="s">
        <v>3473</v>
      </c>
      <c r="D2687" s="51">
        <v>100028349</v>
      </c>
      <c r="E2687" s="53" t="s">
        <v>3474</v>
      </c>
      <c r="F2687" s="124">
        <v>1</v>
      </c>
      <c r="G2687" s="265" t="s">
        <v>649</v>
      </c>
      <c r="H2687" s="369">
        <v>17.2</v>
      </c>
      <c r="I2687" s="215" t="s">
        <v>346</v>
      </c>
      <c r="J2687" s="215" t="s">
        <v>102</v>
      </c>
      <c r="K2687" s="266">
        <v>49081010416</v>
      </c>
      <c r="L2687" s="265" t="s">
        <v>649</v>
      </c>
      <c r="M2687" s="266">
        <v>40049081010414</v>
      </c>
      <c r="N2687" s="264">
        <v>0.187</v>
      </c>
      <c r="O2687" s="265" t="s">
        <v>649</v>
      </c>
      <c r="P2687" s="265">
        <v>0.187</v>
      </c>
      <c r="Q2687" s="265" t="s">
        <v>649</v>
      </c>
    </row>
    <row r="2688" spans="1:17" ht="15" customHeight="1">
      <c r="A2688" s="147">
        <v>2804</v>
      </c>
      <c r="B2688" s="51" t="s">
        <v>45</v>
      </c>
      <c r="C2688" s="51" t="s">
        <v>3475</v>
      </c>
      <c r="D2688" s="51">
        <v>100028350</v>
      </c>
      <c r="E2688" s="53" t="s">
        <v>3476</v>
      </c>
      <c r="F2688" s="124">
        <v>1</v>
      </c>
      <c r="G2688" s="265" t="s">
        <v>649</v>
      </c>
      <c r="H2688" s="369">
        <v>22.86</v>
      </c>
      <c r="I2688" s="215" t="s">
        <v>346</v>
      </c>
      <c r="J2688" s="215" t="s">
        <v>102</v>
      </c>
      <c r="K2688" s="266">
        <v>49081010423</v>
      </c>
      <c r="L2688" s="265" t="s">
        <v>649</v>
      </c>
      <c r="M2688" s="266">
        <v>40049081010421</v>
      </c>
      <c r="N2688" s="264">
        <v>0.24</v>
      </c>
      <c r="O2688" s="265" t="s">
        <v>649</v>
      </c>
      <c r="P2688" s="265">
        <v>0.24</v>
      </c>
      <c r="Q2688" s="265" t="s">
        <v>649</v>
      </c>
    </row>
    <row r="2689" spans="1:17" ht="15" customHeight="1">
      <c r="A2689" s="147">
        <v>2805</v>
      </c>
      <c r="B2689" s="51" t="s">
        <v>45</v>
      </c>
      <c r="C2689" s="51" t="s">
        <v>3477</v>
      </c>
      <c r="D2689" s="51">
        <v>100028351</v>
      </c>
      <c r="E2689" s="53" t="s">
        <v>3478</v>
      </c>
      <c r="F2689" s="124">
        <v>1</v>
      </c>
      <c r="G2689" s="265" t="s">
        <v>649</v>
      </c>
      <c r="H2689" s="369">
        <v>14.82</v>
      </c>
      <c r="I2689" s="215" t="s">
        <v>76</v>
      </c>
      <c r="J2689" s="215" t="s">
        <v>102</v>
      </c>
      <c r="K2689" s="266">
        <v>49081011857</v>
      </c>
      <c r="L2689" s="265" t="s">
        <v>649</v>
      </c>
      <c r="M2689" s="266">
        <v>40049081011855</v>
      </c>
      <c r="N2689" s="264">
        <v>0.24299999999999999</v>
      </c>
      <c r="O2689" s="265" t="s">
        <v>649</v>
      </c>
      <c r="P2689" s="265">
        <v>0.24299999999999999</v>
      </c>
      <c r="Q2689" s="265" t="s">
        <v>649</v>
      </c>
    </row>
    <row r="2690" spans="1:17" ht="15" customHeight="1">
      <c r="A2690" s="147">
        <v>2806</v>
      </c>
      <c r="B2690" s="51" t="s">
        <v>45</v>
      </c>
      <c r="C2690" s="51" t="s">
        <v>3479</v>
      </c>
      <c r="D2690" s="51">
        <v>100028352</v>
      </c>
      <c r="E2690" s="53" t="s">
        <v>3480</v>
      </c>
      <c r="F2690" s="124">
        <v>1</v>
      </c>
      <c r="G2690" s="265" t="s">
        <v>649</v>
      </c>
      <c r="H2690" s="369">
        <v>24.76</v>
      </c>
      <c r="I2690" s="215" t="s">
        <v>346</v>
      </c>
      <c r="J2690" s="215" t="s">
        <v>102</v>
      </c>
      <c r="K2690" s="266">
        <v>49081011864</v>
      </c>
      <c r="L2690" s="265" t="s">
        <v>649</v>
      </c>
      <c r="M2690" s="266">
        <v>40049081011862</v>
      </c>
      <c r="N2690" s="264">
        <v>0.35799999999999998</v>
      </c>
      <c r="O2690" s="265" t="s">
        <v>649</v>
      </c>
      <c r="P2690" s="265">
        <v>0.35799999999999998</v>
      </c>
      <c r="Q2690" s="265" t="s">
        <v>649</v>
      </c>
    </row>
    <row r="2691" spans="1:17" ht="15" customHeight="1">
      <c r="A2691" s="147">
        <v>2807</v>
      </c>
      <c r="B2691" s="51" t="s">
        <v>45</v>
      </c>
      <c r="C2691" s="51" t="s">
        <v>3481</v>
      </c>
      <c r="D2691" s="51">
        <v>100028353</v>
      </c>
      <c r="E2691" s="53" t="s">
        <v>3482</v>
      </c>
      <c r="F2691" s="124">
        <v>1</v>
      </c>
      <c r="G2691" s="265" t="s">
        <v>649</v>
      </c>
      <c r="H2691" s="369">
        <v>27.44</v>
      </c>
      <c r="I2691" s="215" t="s">
        <v>76</v>
      </c>
      <c r="J2691" s="215" t="s">
        <v>102</v>
      </c>
      <c r="K2691" s="266">
        <v>49081011871</v>
      </c>
      <c r="L2691" s="265" t="s">
        <v>649</v>
      </c>
      <c r="M2691" s="266">
        <v>40049081011879</v>
      </c>
      <c r="N2691" s="264">
        <v>0.43</v>
      </c>
      <c r="O2691" s="265" t="s">
        <v>649</v>
      </c>
      <c r="P2691" s="265">
        <v>0.43</v>
      </c>
      <c r="Q2691" s="265" t="s">
        <v>649</v>
      </c>
    </row>
    <row r="2692" spans="1:17" ht="15" customHeight="1">
      <c r="A2692" s="147">
        <v>2808</v>
      </c>
      <c r="B2692" s="51" t="s">
        <v>45</v>
      </c>
      <c r="C2692" s="51" t="s">
        <v>3483</v>
      </c>
      <c r="D2692" s="51">
        <v>100028354</v>
      </c>
      <c r="E2692" s="53" t="s">
        <v>3484</v>
      </c>
      <c r="F2692" s="124">
        <v>1</v>
      </c>
      <c r="G2692" s="265" t="s">
        <v>649</v>
      </c>
      <c r="H2692" s="369">
        <v>35.090000000000003</v>
      </c>
      <c r="I2692" s="215" t="s">
        <v>346</v>
      </c>
      <c r="J2692" s="215" t="s">
        <v>102</v>
      </c>
      <c r="K2692" s="266">
        <v>49081011901</v>
      </c>
      <c r="L2692" s="265" t="s">
        <v>649</v>
      </c>
      <c r="M2692" s="266">
        <v>40049081011909</v>
      </c>
      <c r="N2692" s="264">
        <v>0.315</v>
      </c>
      <c r="O2692" s="265" t="s">
        <v>649</v>
      </c>
      <c r="P2692" s="265">
        <v>0.315</v>
      </c>
      <c r="Q2692" s="265" t="s">
        <v>649</v>
      </c>
    </row>
    <row r="2693" spans="1:17" ht="15" customHeight="1">
      <c r="A2693" s="147">
        <v>2809</v>
      </c>
      <c r="B2693" s="51" t="s">
        <v>45</v>
      </c>
      <c r="C2693" s="51" t="s">
        <v>3485</v>
      </c>
      <c r="D2693" s="51">
        <v>100028355</v>
      </c>
      <c r="E2693" s="53" t="s">
        <v>3486</v>
      </c>
      <c r="F2693" s="124">
        <v>1</v>
      </c>
      <c r="G2693" s="265" t="s">
        <v>649</v>
      </c>
      <c r="H2693" s="369">
        <v>44.91</v>
      </c>
      <c r="I2693" s="215" t="s">
        <v>346</v>
      </c>
      <c r="J2693" s="215" t="s">
        <v>102</v>
      </c>
      <c r="K2693" s="266">
        <v>49081011918</v>
      </c>
      <c r="L2693" s="265" t="s">
        <v>649</v>
      </c>
      <c r="M2693" s="266">
        <v>40049081011916</v>
      </c>
      <c r="N2693" s="264">
        <v>0.33500000000000002</v>
      </c>
      <c r="O2693" s="265" t="s">
        <v>649</v>
      </c>
      <c r="P2693" s="265">
        <v>0.33500000000000002</v>
      </c>
      <c r="Q2693" s="265" t="s">
        <v>649</v>
      </c>
    </row>
    <row r="2694" spans="1:17" ht="15" customHeight="1">
      <c r="A2694" s="147">
        <v>2810</v>
      </c>
      <c r="B2694" s="51" t="s">
        <v>45</v>
      </c>
      <c r="C2694" s="51" t="s">
        <v>3487</v>
      </c>
      <c r="D2694" s="51">
        <v>100028356</v>
      </c>
      <c r="E2694" s="53" t="s">
        <v>3488</v>
      </c>
      <c r="F2694" s="124">
        <v>1</v>
      </c>
      <c r="G2694" s="265" t="s">
        <v>649</v>
      </c>
      <c r="H2694" s="369">
        <v>35.090000000000003</v>
      </c>
      <c r="I2694" s="215" t="s">
        <v>346</v>
      </c>
      <c r="J2694" s="215" t="s">
        <v>102</v>
      </c>
      <c r="K2694" s="266">
        <v>49081011925</v>
      </c>
      <c r="L2694" s="265" t="s">
        <v>649</v>
      </c>
      <c r="M2694" s="266">
        <v>40049081011923</v>
      </c>
      <c r="N2694" s="264">
        <v>0.34</v>
      </c>
      <c r="O2694" s="265" t="s">
        <v>649</v>
      </c>
      <c r="P2694" s="265">
        <v>0.34</v>
      </c>
      <c r="Q2694" s="265" t="s">
        <v>649</v>
      </c>
    </row>
    <row r="2695" spans="1:17" ht="15" customHeight="1">
      <c r="A2695" s="147">
        <v>2811</v>
      </c>
      <c r="B2695" s="51" t="s">
        <v>45</v>
      </c>
      <c r="C2695" s="51" t="s">
        <v>3489</v>
      </c>
      <c r="D2695" s="51">
        <v>100028357</v>
      </c>
      <c r="E2695" s="53" t="s">
        <v>3490</v>
      </c>
      <c r="F2695" s="124">
        <v>1</v>
      </c>
      <c r="G2695" s="265" t="s">
        <v>649</v>
      </c>
      <c r="H2695" s="369">
        <v>44.91</v>
      </c>
      <c r="I2695" s="215" t="s">
        <v>346</v>
      </c>
      <c r="J2695" s="215" t="s">
        <v>102</v>
      </c>
      <c r="K2695" s="266">
        <v>49081011932</v>
      </c>
      <c r="L2695" s="265" t="s">
        <v>649</v>
      </c>
      <c r="M2695" s="266">
        <v>40049081011930</v>
      </c>
      <c r="N2695" s="264">
        <v>0.39500000000000002</v>
      </c>
      <c r="O2695" s="265" t="s">
        <v>649</v>
      </c>
      <c r="P2695" s="265">
        <v>0.39500000000000002</v>
      </c>
      <c r="Q2695" s="265" t="s">
        <v>649</v>
      </c>
    </row>
    <row r="2696" spans="1:17" ht="15" customHeight="1">
      <c r="A2696" s="147">
        <v>2812</v>
      </c>
      <c r="B2696" s="51" t="s">
        <v>45</v>
      </c>
      <c r="C2696" s="51" t="s">
        <v>3491</v>
      </c>
      <c r="D2696" s="51">
        <v>100028359</v>
      </c>
      <c r="E2696" s="53" t="s">
        <v>3492</v>
      </c>
      <c r="F2696" s="124">
        <v>1</v>
      </c>
      <c r="G2696" s="265" t="s">
        <v>649</v>
      </c>
      <c r="H2696" s="369">
        <v>44.91</v>
      </c>
      <c r="I2696" s="215" t="s">
        <v>76</v>
      </c>
      <c r="J2696" s="215" t="s">
        <v>102</v>
      </c>
      <c r="K2696" s="266">
        <v>49081011949</v>
      </c>
      <c r="L2696" s="265" t="s">
        <v>649</v>
      </c>
      <c r="M2696" s="266">
        <v>40049081011947</v>
      </c>
      <c r="N2696" s="264">
        <v>0.44500000000000001</v>
      </c>
      <c r="O2696" s="265" t="s">
        <v>649</v>
      </c>
      <c r="P2696" s="265">
        <v>0.44500000000000001</v>
      </c>
      <c r="Q2696" s="265" t="s">
        <v>649</v>
      </c>
    </row>
    <row r="2697" spans="1:17" ht="15" customHeight="1">
      <c r="A2697" s="147">
        <v>2813</v>
      </c>
      <c r="B2697" s="51" t="s">
        <v>45</v>
      </c>
      <c r="C2697" s="51" t="s">
        <v>3493</v>
      </c>
      <c r="D2697" s="51">
        <v>100028362</v>
      </c>
      <c r="E2697" s="53" t="s">
        <v>3494</v>
      </c>
      <c r="F2697" s="124">
        <v>1</v>
      </c>
      <c r="G2697" s="265" t="s">
        <v>649</v>
      </c>
      <c r="H2697" s="369">
        <v>45.21</v>
      </c>
      <c r="I2697" s="215" t="s">
        <v>346</v>
      </c>
      <c r="J2697" s="215" t="s">
        <v>102</v>
      </c>
      <c r="K2697" s="266">
        <v>49081011956</v>
      </c>
      <c r="L2697" s="265" t="s">
        <v>649</v>
      </c>
      <c r="M2697" s="266">
        <v>40049081011954</v>
      </c>
      <c r="N2697" s="264">
        <v>0.47499999999999998</v>
      </c>
      <c r="O2697" s="265" t="s">
        <v>649</v>
      </c>
      <c r="P2697" s="265">
        <v>0.47499999999999998</v>
      </c>
      <c r="Q2697" s="265" t="s">
        <v>649</v>
      </c>
    </row>
    <row r="2698" spans="1:17" ht="15" customHeight="1">
      <c r="A2698" s="147">
        <v>2814</v>
      </c>
      <c r="B2698" s="51" t="s">
        <v>45</v>
      </c>
      <c r="C2698" s="51" t="s">
        <v>3495</v>
      </c>
      <c r="D2698" s="51">
        <v>100028363</v>
      </c>
      <c r="E2698" s="53" t="s">
        <v>3496</v>
      </c>
      <c r="F2698" s="124">
        <v>1</v>
      </c>
      <c r="G2698" s="265" t="s">
        <v>649</v>
      </c>
      <c r="H2698" s="369">
        <v>42.11</v>
      </c>
      <c r="I2698" s="215" t="s">
        <v>346</v>
      </c>
      <c r="J2698" s="215" t="s">
        <v>102</v>
      </c>
      <c r="K2698" s="266">
        <v>49081011888</v>
      </c>
      <c r="L2698" s="265" t="s">
        <v>649</v>
      </c>
      <c r="M2698" s="266">
        <v>40049081011886</v>
      </c>
      <c r="N2698" s="264">
        <v>0.27500000000000002</v>
      </c>
      <c r="O2698" s="265" t="s">
        <v>649</v>
      </c>
      <c r="P2698" s="265">
        <v>0.27500000000000002</v>
      </c>
      <c r="Q2698" s="265" t="s">
        <v>649</v>
      </c>
    </row>
    <row r="2699" spans="1:17" ht="15" customHeight="1">
      <c r="A2699" s="147">
        <v>2815</v>
      </c>
      <c r="B2699" s="51" t="s">
        <v>45</v>
      </c>
      <c r="C2699" s="51" t="s">
        <v>3497</v>
      </c>
      <c r="D2699" s="51">
        <v>100028364</v>
      </c>
      <c r="E2699" s="53" t="s">
        <v>3498</v>
      </c>
      <c r="F2699" s="124">
        <v>1</v>
      </c>
      <c r="G2699" s="265" t="s">
        <v>649</v>
      </c>
      <c r="H2699" s="369">
        <v>46.64</v>
      </c>
      <c r="I2699" s="215" t="s">
        <v>346</v>
      </c>
      <c r="J2699" s="215" t="s">
        <v>102</v>
      </c>
      <c r="K2699" s="266">
        <v>49081011895</v>
      </c>
      <c r="L2699" s="265" t="s">
        <v>649</v>
      </c>
      <c r="M2699" s="266">
        <v>40049081011893</v>
      </c>
      <c r="N2699" s="264">
        <v>0.46500000000000002</v>
      </c>
      <c r="O2699" s="265" t="s">
        <v>649</v>
      </c>
      <c r="P2699" s="265">
        <v>0.46500000000000002</v>
      </c>
      <c r="Q2699" s="265" t="s">
        <v>649</v>
      </c>
    </row>
    <row r="2700" spans="1:17" ht="15" customHeight="1">
      <c r="A2700" s="147">
        <v>2816</v>
      </c>
      <c r="B2700" s="51" t="s">
        <v>45</v>
      </c>
      <c r="C2700" s="51" t="s">
        <v>3499</v>
      </c>
      <c r="D2700" s="51">
        <v>100031237</v>
      </c>
      <c r="E2700" s="53" t="s">
        <v>3500</v>
      </c>
      <c r="F2700" s="124">
        <v>1</v>
      </c>
      <c r="G2700" s="265" t="s">
        <v>649</v>
      </c>
      <c r="H2700" s="369">
        <v>66.78</v>
      </c>
      <c r="I2700" s="215" t="s">
        <v>346</v>
      </c>
      <c r="J2700" s="215" t="s">
        <v>102</v>
      </c>
      <c r="K2700" s="266">
        <v>49081011987</v>
      </c>
      <c r="L2700" s="265" t="s">
        <v>649</v>
      </c>
      <c r="M2700" s="266">
        <v>40049081011985</v>
      </c>
      <c r="N2700" s="264">
        <v>0.74</v>
      </c>
      <c r="O2700" s="265" t="s">
        <v>649</v>
      </c>
      <c r="P2700" s="265">
        <v>0.74</v>
      </c>
      <c r="Q2700" s="265" t="s">
        <v>649</v>
      </c>
    </row>
    <row r="2701" spans="1:17" ht="15" customHeight="1">
      <c r="A2701" s="147">
        <v>2817</v>
      </c>
      <c r="B2701" s="51" t="s">
        <v>45</v>
      </c>
      <c r="C2701" s="51" t="s">
        <v>3501</v>
      </c>
      <c r="D2701" s="51">
        <v>100023744</v>
      </c>
      <c r="E2701" s="53" t="s">
        <v>3502</v>
      </c>
      <c r="F2701" s="124">
        <v>1</v>
      </c>
      <c r="G2701" s="265" t="s">
        <v>649</v>
      </c>
      <c r="H2701" s="369">
        <v>67.87</v>
      </c>
      <c r="I2701" s="215" t="s">
        <v>346</v>
      </c>
      <c r="J2701" s="215" t="s">
        <v>102</v>
      </c>
      <c r="K2701" s="266">
        <v>49081013325</v>
      </c>
      <c r="L2701" s="265" t="s">
        <v>649</v>
      </c>
      <c r="M2701" s="266">
        <v>40049081013323</v>
      </c>
      <c r="N2701" s="264">
        <v>0.7</v>
      </c>
      <c r="O2701" s="265" t="s">
        <v>649</v>
      </c>
      <c r="P2701" s="265">
        <v>0.7</v>
      </c>
      <c r="Q2701" s="265" t="s">
        <v>649</v>
      </c>
    </row>
    <row r="2702" spans="1:17" ht="15" customHeight="1">
      <c r="A2702" s="147">
        <v>2818</v>
      </c>
      <c r="B2702" s="51" t="s">
        <v>45</v>
      </c>
      <c r="C2702" s="51" t="s">
        <v>3503</v>
      </c>
      <c r="D2702" s="51">
        <v>100023745</v>
      </c>
      <c r="E2702" s="53" t="s">
        <v>3504</v>
      </c>
      <c r="F2702" s="124">
        <v>1</v>
      </c>
      <c r="G2702" s="265" t="s">
        <v>649</v>
      </c>
      <c r="H2702" s="369">
        <v>75.78</v>
      </c>
      <c r="I2702" s="215" t="s">
        <v>346</v>
      </c>
      <c r="J2702" s="215" t="s">
        <v>102</v>
      </c>
      <c r="K2702" s="266">
        <v>49081013356</v>
      </c>
      <c r="L2702" s="265" t="s">
        <v>649</v>
      </c>
      <c r="M2702" s="266">
        <v>40049081013354</v>
      </c>
      <c r="N2702" s="264">
        <v>0.879</v>
      </c>
      <c r="O2702" s="265" t="s">
        <v>649</v>
      </c>
      <c r="P2702" s="265">
        <v>0.879</v>
      </c>
      <c r="Q2702" s="265" t="s">
        <v>649</v>
      </c>
    </row>
    <row r="2703" spans="1:17" ht="15" customHeight="1">
      <c r="A2703" s="147">
        <v>2819</v>
      </c>
      <c r="B2703" s="51" t="s">
        <v>45</v>
      </c>
      <c r="C2703" s="51" t="s">
        <v>3505</v>
      </c>
      <c r="D2703" s="51">
        <v>100023746</v>
      </c>
      <c r="E2703" s="53" t="s">
        <v>3506</v>
      </c>
      <c r="F2703" s="124">
        <v>1</v>
      </c>
      <c r="G2703" s="265" t="s">
        <v>649</v>
      </c>
      <c r="H2703" s="369">
        <v>60.15</v>
      </c>
      <c r="I2703" s="215" t="s">
        <v>346</v>
      </c>
      <c r="J2703" s="215" t="s">
        <v>102</v>
      </c>
      <c r="K2703" s="266">
        <v>49081013295</v>
      </c>
      <c r="L2703" s="265" t="s">
        <v>649</v>
      </c>
      <c r="M2703" s="266">
        <v>40049081013293</v>
      </c>
      <c r="N2703" s="264">
        <v>0.47899999999999998</v>
      </c>
      <c r="O2703" s="265" t="s">
        <v>649</v>
      </c>
      <c r="P2703" s="265">
        <v>0.47899999999999998</v>
      </c>
      <c r="Q2703" s="265" t="s">
        <v>649</v>
      </c>
    </row>
    <row r="2704" spans="1:17" ht="15" customHeight="1">
      <c r="A2704" s="147">
        <v>2820</v>
      </c>
      <c r="B2704" s="51" t="s">
        <v>45</v>
      </c>
      <c r="C2704" s="51" t="s">
        <v>3507</v>
      </c>
      <c r="D2704" s="51">
        <v>100023747</v>
      </c>
      <c r="E2704" s="53" t="s">
        <v>3508</v>
      </c>
      <c r="F2704" s="124">
        <v>1</v>
      </c>
      <c r="G2704" s="265" t="s">
        <v>649</v>
      </c>
      <c r="H2704" s="369">
        <v>60.15</v>
      </c>
      <c r="I2704" s="215" t="s">
        <v>346</v>
      </c>
      <c r="J2704" s="215" t="s">
        <v>102</v>
      </c>
      <c r="K2704" s="266">
        <v>49081013301</v>
      </c>
      <c r="L2704" s="265" t="s">
        <v>649</v>
      </c>
      <c r="M2704" s="266">
        <v>40049081013309</v>
      </c>
      <c r="N2704" s="264">
        <v>0.54500000000000004</v>
      </c>
      <c r="O2704" s="265" t="s">
        <v>649</v>
      </c>
      <c r="P2704" s="265">
        <v>0.54500000000000004</v>
      </c>
      <c r="Q2704" s="265" t="s">
        <v>649</v>
      </c>
    </row>
    <row r="2705" spans="1:17" ht="15" customHeight="1">
      <c r="A2705" s="147">
        <v>2821</v>
      </c>
      <c r="B2705" s="51" t="s">
        <v>45</v>
      </c>
      <c r="C2705" s="51" t="s">
        <v>3509</v>
      </c>
      <c r="D2705" s="51">
        <v>100023748</v>
      </c>
      <c r="E2705" s="53" t="s">
        <v>3510</v>
      </c>
      <c r="F2705" s="124">
        <v>1</v>
      </c>
      <c r="G2705" s="265" t="s">
        <v>649</v>
      </c>
      <c r="H2705" s="369">
        <v>88.08</v>
      </c>
      <c r="I2705" s="215" t="s">
        <v>346</v>
      </c>
      <c r="J2705" s="215" t="s">
        <v>102</v>
      </c>
      <c r="K2705" s="266">
        <v>49081013417</v>
      </c>
      <c r="L2705" s="265" t="s">
        <v>649</v>
      </c>
      <c r="M2705" s="266">
        <v>40049081013415</v>
      </c>
      <c r="N2705" s="264">
        <v>1.0049999999999999</v>
      </c>
      <c r="O2705" s="265" t="s">
        <v>649</v>
      </c>
      <c r="P2705" s="265">
        <v>1.0049999999999999</v>
      </c>
      <c r="Q2705" s="265" t="s">
        <v>649</v>
      </c>
    </row>
    <row r="2706" spans="1:17" ht="15" customHeight="1">
      <c r="A2706" s="147">
        <v>2822</v>
      </c>
      <c r="B2706" s="51" t="s">
        <v>45</v>
      </c>
      <c r="C2706" s="51" t="s">
        <v>3511</v>
      </c>
      <c r="D2706" s="51">
        <v>100023749</v>
      </c>
      <c r="E2706" s="53" t="s">
        <v>3512</v>
      </c>
      <c r="F2706" s="124">
        <v>1</v>
      </c>
      <c r="G2706" s="265" t="s">
        <v>649</v>
      </c>
      <c r="H2706" s="369">
        <v>95.04</v>
      </c>
      <c r="I2706" s="215" t="s">
        <v>346</v>
      </c>
      <c r="J2706" s="215" t="s">
        <v>102</v>
      </c>
      <c r="K2706" s="266">
        <v>49081013448</v>
      </c>
      <c r="L2706" s="265" t="s">
        <v>649</v>
      </c>
      <c r="M2706" s="266">
        <v>40049081013446</v>
      </c>
      <c r="N2706" s="264">
        <v>1.2649999999999999</v>
      </c>
      <c r="O2706" s="265" t="s">
        <v>649</v>
      </c>
      <c r="P2706" s="265">
        <v>1.2649999999999999</v>
      </c>
      <c r="Q2706" s="265" t="s">
        <v>649</v>
      </c>
    </row>
    <row r="2707" spans="1:17" ht="15" customHeight="1">
      <c r="A2707" s="147">
        <v>2823</v>
      </c>
      <c r="B2707" s="51" t="s">
        <v>45</v>
      </c>
      <c r="C2707" s="51" t="s">
        <v>3513</v>
      </c>
      <c r="D2707" s="51">
        <v>100023750</v>
      </c>
      <c r="E2707" s="53" t="s">
        <v>3514</v>
      </c>
      <c r="F2707" s="124">
        <v>1</v>
      </c>
      <c r="G2707" s="265" t="s">
        <v>649</v>
      </c>
      <c r="H2707" s="369">
        <v>78.989999999999995</v>
      </c>
      <c r="I2707" s="215" t="s">
        <v>346</v>
      </c>
      <c r="J2707" s="215" t="s">
        <v>102</v>
      </c>
      <c r="K2707" s="266">
        <v>49081013387</v>
      </c>
      <c r="L2707" s="265" t="s">
        <v>649</v>
      </c>
      <c r="M2707" s="266">
        <v>40049081013385</v>
      </c>
      <c r="N2707" s="264">
        <v>0.71199999999999997</v>
      </c>
      <c r="O2707" s="265" t="s">
        <v>649</v>
      </c>
      <c r="P2707" s="265">
        <v>0.71199999999999997</v>
      </c>
      <c r="Q2707" s="265" t="s">
        <v>649</v>
      </c>
    </row>
    <row r="2708" spans="1:17" ht="15" customHeight="1">
      <c r="A2708" s="147">
        <v>2824</v>
      </c>
      <c r="B2708" s="51" t="s">
        <v>45</v>
      </c>
      <c r="C2708" s="51" t="s">
        <v>3515</v>
      </c>
      <c r="D2708" s="51">
        <v>100023751</v>
      </c>
      <c r="E2708" s="53" t="s">
        <v>3516</v>
      </c>
      <c r="F2708" s="124">
        <v>1</v>
      </c>
      <c r="G2708" s="265" t="s">
        <v>649</v>
      </c>
      <c r="H2708" s="369">
        <v>78.989999999999995</v>
      </c>
      <c r="I2708" s="215" t="s">
        <v>346</v>
      </c>
      <c r="J2708" s="215" t="s">
        <v>102</v>
      </c>
      <c r="K2708" s="266">
        <v>49081013394</v>
      </c>
      <c r="L2708" s="265" t="s">
        <v>649</v>
      </c>
      <c r="M2708" s="266">
        <v>40049081013392</v>
      </c>
      <c r="N2708" s="264">
        <v>0.81299999999999994</v>
      </c>
      <c r="O2708" s="265" t="s">
        <v>649</v>
      </c>
      <c r="P2708" s="265">
        <v>0.81299999999999994</v>
      </c>
      <c r="Q2708" s="265" t="s">
        <v>649</v>
      </c>
    </row>
    <row r="2709" spans="1:17" ht="15" customHeight="1">
      <c r="A2709" s="147">
        <v>2825</v>
      </c>
      <c r="B2709" s="51" t="s">
        <v>45</v>
      </c>
      <c r="C2709" s="51" t="s">
        <v>3517</v>
      </c>
      <c r="D2709" s="51">
        <v>100023752</v>
      </c>
      <c r="E2709" s="53" t="s">
        <v>3510</v>
      </c>
      <c r="F2709" s="124">
        <v>1</v>
      </c>
      <c r="G2709" s="265" t="s">
        <v>649</v>
      </c>
      <c r="H2709" s="369">
        <v>108.89</v>
      </c>
      <c r="I2709" s="215" t="s">
        <v>346</v>
      </c>
      <c r="J2709" s="215" t="s">
        <v>102</v>
      </c>
      <c r="K2709" s="266">
        <v>49081013509</v>
      </c>
      <c r="L2709" s="265" t="s">
        <v>649</v>
      </c>
      <c r="M2709" s="266">
        <v>40049081013507</v>
      </c>
      <c r="N2709" s="264">
        <v>1.266</v>
      </c>
      <c r="O2709" s="265" t="s">
        <v>649</v>
      </c>
      <c r="P2709" s="265">
        <v>1.266</v>
      </c>
      <c r="Q2709" s="265" t="s">
        <v>649</v>
      </c>
    </row>
    <row r="2710" spans="1:17" ht="15" customHeight="1">
      <c r="A2710" s="147">
        <v>2826</v>
      </c>
      <c r="B2710" s="51" t="s">
        <v>45</v>
      </c>
      <c r="C2710" s="51" t="s">
        <v>3518</v>
      </c>
      <c r="D2710" s="51">
        <v>100023753</v>
      </c>
      <c r="E2710" s="53" t="s">
        <v>3519</v>
      </c>
      <c r="F2710" s="124">
        <v>1</v>
      </c>
      <c r="G2710" s="265" t="s">
        <v>649</v>
      </c>
      <c r="H2710" s="369">
        <v>117.8</v>
      </c>
      <c r="I2710" s="215" t="s">
        <v>346</v>
      </c>
      <c r="J2710" s="215" t="s">
        <v>102</v>
      </c>
      <c r="K2710" s="266">
        <v>49081013516</v>
      </c>
      <c r="L2710" s="265" t="s">
        <v>649</v>
      </c>
      <c r="M2710" s="266">
        <v>40049081013514</v>
      </c>
      <c r="N2710" s="264">
        <v>1.585</v>
      </c>
      <c r="O2710" s="265" t="s">
        <v>649</v>
      </c>
      <c r="P2710" s="265">
        <v>1.585</v>
      </c>
      <c r="Q2710" s="265" t="s">
        <v>649</v>
      </c>
    </row>
    <row r="2711" spans="1:17" ht="15" customHeight="1">
      <c r="A2711" s="147">
        <v>2827</v>
      </c>
      <c r="B2711" s="51" t="s">
        <v>45</v>
      </c>
      <c r="C2711" s="51" t="s">
        <v>3520</v>
      </c>
      <c r="D2711" s="51">
        <v>100023754</v>
      </c>
      <c r="E2711" s="53" t="s">
        <v>3521</v>
      </c>
      <c r="F2711" s="124">
        <v>1</v>
      </c>
      <c r="G2711" s="265" t="s">
        <v>649</v>
      </c>
      <c r="H2711" s="369">
        <v>97.24</v>
      </c>
      <c r="I2711" s="215" t="s">
        <v>346</v>
      </c>
      <c r="J2711" s="215" t="s">
        <v>102</v>
      </c>
      <c r="K2711" s="266">
        <v>49081013479</v>
      </c>
      <c r="L2711" s="265" t="s">
        <v>649</v>
      </c>
      <c r="M2711" s="266">
        <v>40049081013477</v>
      </c>
      <c r="N2711" s="264">
        <v>0.96</v>
      </c>
      <c r="O2711" s="265" t="s">
        <v>649</v>
      </c>
      <c r="P2711" s="265">
        <v>0.96</v>
      </c>
      <c r="Q2711" s="265" t="s">
        <v>649</v>
      </c>
    </row>
    <row r="2712" spans="1:17" ht="15" customHeight="1">
      <c r="A2712" s="147">
        <v>2828</v>
      </c>
      <c r="B2712" s="51" t="s">
        <v>45</v>
      </c>
      <c r="C2712" s="51" t="s">
        <v>3522</v>
      </c>
      <c r="D2712" s="51">
        <v>100023755</v>
      </c>
      <c r="E2712" s="53" t="s">
        <v>3523</v>
      </c>
      <c r="F2712" s="124">
        <v>1</v>
      </c>
      <c r="G2712" s="265" t="s">
        <v>649</v>
      </c>
      <c r="H2712" s="369">
        <v>97.24</v>
      </c>
      <c r="I2712" s="215" t="s">
        <v>346</v>
      </c>
      <c r="J2712" s="215" t="s">
        <v>102</v>
      </c>
      <c r="K2712" s="266">
        <v>49081013486</v>
      </c>
      <c r="L2712" s="265" t="s">
        <v>649</v>
      </c>
      <c r="M2712" s="266">
        <v>40049081013484</v>
      </c>
      <c r="N2712" s="264">
        <v>1.0509999999999999</v>
      </c>
      <c r="O2712" s="265" t="s">
        <v>649</v>
      </c>
      <c r="P2712" s="265">
        <v>1.0509999999999999</v>
      </c>
      <c r="Q2712" s="265" t="s">
        <v>649</v>
      </c>
    </row>
    <row r="2713" spans="1:17" ht="15" customHeight="1">
      <c r="A2713" s="147">
        <v>2829</v>
      </c>
      <c r="B2713" s="51" t="s">
        <v>45</v>
      </c>
      <c r="C2713" s="51" t="s">
        <v>3524</v>
      </c>
      <c r="D2713" s="51">
        <v>100028365</v>
      </c>
      <c r="E2713" s="53" t="s">
        <v>3525</v>
      </c>
      <c r="F2713" s="124">
        <v>1</v>
      </c>
      <c r="G2713" s="265" t="s">
        <v>649</v>
      </c>
      <c r="H2713" s="369">
        <v>21.44</v>
      </c>
      <c r="I2713" s="215" t="s">
        <v>76</v>
      </c>
      <c r="J2713" s="215" t="s">
        <v>102</v>
      </c>
      <c r="K2713" s="266">
        <v>49081161323</v>
      </c>
      <c r="L2713" s="265" t="s">
        <v>649</v>
      </c>
      <c r="M2713" s="266">
        <v>40049081161321</v>
      </c>
      <c r="N2713" s="264">
        <v>0.22</v>
      </c>
      <c r="O2713" s="265" t="s">
        <v>649</v>
      </c>
      <c r="P2713" s="265">
        <v>0.22</v>
      </c>
      <c r="Q2713" s="265" t="s">
        <v>649</v>
      </c>
    </row>
    <row r="2714" spans="1:17" ht="15" customHeight="1">
      <c r="A2714" s="147">
        <v>2830</v>
      </c>
      <c r="B2714" s="51" t="s">
        <v>45</v>
      </c>
      <c r="C2714" s="51" t="s">
        <v>3526</v>
      </c>
      <c r="D2714" s="51">
        <v>100028366</v>
      </c>
      <c r="E2714" s="53" t="s">
        <v>3527</v>
      </c>
      <c r="F2714" s="124">
        <v>1</v>
      </c>
      <c r="G2714" s="265" t="s">
        <v>649</v>
      </c>
      <c r="H2714" s="369">
        <v>26.75</v>
      </c>
      <c r="I2714" s="215" t="s">
        <v>346</v>
      </c>
      <c r="J2714" s="215" t="s">
        <v>102</v>
      </c>
      <c r="K2714" s="266">
        <v>49081161330</v>
      </c>
      <c r="L2714" s="265" t="s">
        <v>649</v>
      </c>
      <c r="M2714" s="266">
        <v>40049081161338</v>
      </c>
      <c r="N2714" s="264">
        <v>0.20499999999999999</v>
      </c>
      <c r="O2714" s="265" t="s">
        <v>649</v>
      </c>
      <c r="P2714" s="265">
        <v>0.20499999999999999</v>
      </c>
      <c r="Q2714" s="265" t="s">
        <v>649</v>
      </c>
    </row>
    <row r="2715" spans="1:17" ht="15" customHeight="1">
      <c r="A2715" s="147">
        <v>2831</v>
      </c>
      <c r="B2715" s="51" t="s">
        <v>45</v>
      </c>
      <c r="C2715" s="51" t="s">
        <v>3529</v>
      </c>
      <c r="D2715" s="51">
        <v>100028226</v>
      </c>
      <c r="E2715" s="53" t="s">
        <v>3530</v>
      </c>
      <c r="F2715" s="124">
        <v>1</v>
      </c>
      <c r="G2715" s="265" t="s">
        <v>649</v>
      </c>
      <c r="H2715" s="369">
        <v>53.05</v>
      </c>
      <c r="I2715" s="215" t="s">
        <v>346</v>
      </c>
      <c r="J2715" s="215" t="s">
        <v>102</v>
      </c>
      <c r="K2715" s="266">
        <v>49081012762</v>
      </c>
      <c r="L2715" s="265" t="s">
        <v>649</v>
      </c>
      <c r="M2715" s="266">
        <v>40049081012760</v>
      </c>
      <c r="N2715" s="264">
        <v>0.38500000000000001</v>
      </c>
      <c r="O2715" s="265" t="s">
        <v>649</v>
      </c>
      <c r="P2715" s="265">
        <v>0.38500000000000001</v>
      </c>
      <c r="Q2715" s="265" t="s">
        <v>649</v>
      </c>
    </row>
    <row r="2716" spans="1:17" ht="15" customHeight="1">
      <c r="A2716" s="147">
        <v>2832</v>
      </c>
      <c r="B2716" s="51" t="s">
        <v>45</v>
      </c>
      <c r="C2716" s="51" t="s">
        <v>3531</v>
      </c>
      <c r="D2716" s="51">
        <v>100028227</v>
      </c>
      <c r="E2716" s="53" t="s">
        <v>3532</v>
      </c>
      <c r="F2716" s="124">
        <v>1</v>
      </c>
      <c r="G2716" s="265" t="s">
        <v>649</v>
      </c>
      <c r="H2716" s="369">
        <v>53.05</v>
      </c>
      <c r="I2716" s="215" t="s">
        <v>346</v>
      </c>
      <c r="J2716" s="215" t="s">
        <v>102</v>
      </c>
      <c r="K2716" s="266">
        <v>49081012793</v>
      </c>
      <c r="L2716" s="265" t="s">
        <v>649</v>
      </c>
      <c r="M2716" s="266">
        <v>40049081012791</v>
      </c>
      <c r="N2716" s="264">
        <v>0.46500000000000002</v>
      </c>
      <c r="O2716" s="265" t="s">
        <v>649</v>
      </c>
      <c r="P2716" s="265">
        <v>0.46500000000000002</v>
      </c>
      <c r="Q2716" s="265" t="s">
        <v>649</v>
      </c>
    </row>
    <row r="2717" spans="1:17" ht="15" customHeight="1">
      <c r="A2717" s="147">
        <v>2833</v>
      </c>
      <c r="B2717" s="51" t="s">
        <v>45</v>
      </c>
      <c r="C2717" s="51" t="s">
        <v>3533</v>
      </c>
      <c r="D2717" s="51">
        <v>100028228</v>
      </c>
      <c r="E2717" s="53" t="s">
        <v>3534</v>
      </c>
      <c r="F2717" s="124">
        <v>1</v>
      </c>
      <c r="G2717" s="265" t="s">
        <v>649</v>
      </c>
      <c r="H2717" s="369">
        <v>60.93</v>
      </c>
      <c r="I2717" s="215" t="s">
        <v>346</v>
      </c>
      <c r="J2717" s="215" t="s">
        <v>102</v>
      </c>
      <c r="K2717" s="266">
        <v>49081012823</v>
      </c>
      <c r="L2717" s="265" t="s">
        <v>649</v>
      </c>
      <c r="M2717" s="266">
        <v>40049081012821</v>
      </c>
      <c r="N2717" s="264">
        <v>0.505</v>
      </c>
      <c r="O2717" s="265" t="s">
        <v>649</v>
      </c>
      <c r="P2717" s="265">
        <v>0.505</v>
      </c>
      <c r="Q2717" s="265" t="s">
        <v>649</v>
      </c>
    </row>
    <row r="2718" spans="1:17" ht="15" customHeight="1">
      <c r="A2718" s="147">
        <v>2834</v>
      </c>
      <c r="B2718" s="51" t="s">
        <v>45</v>
      </c>
      <c r="C2718" s="51" t="s">
        <v>3535</v>
      </c>
      <c r="D2718" s="51">
        <v>100028229</v>
      </c>
      <c r="E2718" s="53" t="s">
        <v>3536</v>
      </c>
      <c r="F2718" s="124">
        <v>1</v>
      </c>
      <c r="G2718" s="265" t="s">
        <v>649</v>
      </c>
      <c r="H2718" s="369">
        <v>60.93</v>
      </c>
      <c r="I2718" s="215" t="s">
        <v>346</v>
      </c>
      <c r="J2718" s="215" t="s">
        <v>102</v>
      </c>
      <c r="K2718" s="266">
        <v>49081012854</v>
      </c>
      <c r="L2718" s="265" t="s">
        <v>649</v>
      </c>
      <c r="M2718" s="266">
        <v>40049081012852</v>
      </c>
      <c r="N2718" s="264">
        <v>0.56999999999999995</v>
      </c>
      <c r="O2718" s="265" t="s">
        <v>649</v>
      </c>
      <c r="P2718" s="265">
        <v>0.56999999999999995</v>
      </c>
      <c r="Q2718" s="265" t="s">
        <v>649</v>
      </c>
    </row>
    <row r="2719" spans="1:17" ht="15" customHeight="1">
      <c r="A2719" s="147">
        <v>2835</v>
      </c>
      <c r="B2719" s="51" t="s">
        <v>45</v>
      </c>
      <c r="C2719" s="51" t="s">
        <v>3537</v>
      </c>
      <c r="D2719" s="51">
        <v>100028230</v>
      </c>
      <c r="E2719" s="53" t="s">
        <v>3538</v>
      </c>
      <c r="F2719" s="124">
        <v>1</v>
      </c>
      <c r="G2719" s="265" t="s">
        <v>649</v>
      </c>
      <c r="H2719" s="369">
        <v>60.93</v>
      </c>
      <c r="I2719" s="215" t="s">
        <v>76</v>
      </c>
      <c r="J2719" s="215" t="s">
        <v>102</v>
      </c>
      <c r="K2719" s="266">
        <v>49081012885</v>
      </c>
      <c r="L2719" s="265" t="s">
        <v>649</v>
      </c>
      <c r="M2719" s="266">
        <v>40049081012883</v>
      </c>
      <c r="N2719" s="264">
        <v>0.64400000000000002</v>
      </c>
      <c r="O2719" s="265" t="s">
        <v>649</v>
      </c>
      <c r="P2719" s="265">
        <v>0.64400000000000002</v>
      </c>
      <c r="Q2719" s="265" t="s">
        <v>649</v>
      </c>
    </row>
    <row r="2720" spans="1:17" ht="15" customHeight="1">
      <c r="A2720" s="147">
        <v>2836</v>
      </c>
      <c r="B2720" s="51" t="s">
        <v>45</v>
      </c>
      <c r="C2720" s="51" t="s">
        <v>3539</v>
      </c>
      <c r="D2720" s="51">
        <v>100028231</v>
      </c>
      <c r="E2720" s="53" t="s">
        <v>3540</v>
      </c>
      <c r="F2720" s="124">
        <v>1</v>
      </c>
      <c r="G2720" s="265" t="s">
        <v>649</v>
      </c>
      <c r="H2720" s="369">
        <v>45.39</v>
      </c>
      <c r="I2720" s="215" t="s">
        <v>346</v>
      </c>
      <c r="J2720" s="215" t="s">
        <v>102</v>
      </c>
      <c r="K2720" s="266">
        <v>49081012700</v>
      </c>
      <c r="L2720" s="265" t="s">
        <v>649</v>
      </c>
      <c r="M2720" s="266">
        <v>40049081012708</v>
      </c>
      <c r="N2720" s="264">
        <v>0.24399999999999999</v>
      </c>
      <c r="O2720" s="265" t="s">
        <v>649</v>
      </c>
      <c r="P2720" s="265">
        <v>0.24399999999999999</v>
      </c>
      <c r="Q2720" s="265" t="s">
        <v>649</v>
      </c>
    </row>
    <row r="2721" spans="1:17" ht="15" customHeight="1">
      <c r="A2721" s="147">
        <v>2837</v>
      </c>
      <c r="B2721" s="51" t="s">
        <v>45</v>
      </c>
      <c r="C2721" s="51" t="s">
        <v>3541</v>
      </c>
      <c r="D2721" s="51">
        <v>100028232</v>
      </c>
      <c r="E2721" s="53" t="s">
        <v>3542</v>
      </c>
      <c r="F2721" s="124">
        <v>1</v>
      </c>
      <c r="G2721" s="265" t="s">
        <v>649</v>
      </c>
      <c r="H2721" s="369">
        <v>45.39</v>
      </c>
      <c r="I2721" s="215" t="s">
        <v>76</v>
      </c>
      <c r="J2721" s="215" t="s">
        <v>102</v>
      </c>
      <c r="K2721" s="266">
        <v>49081012731</v>
      </c>
      <c r="L2721" s="265" t="s">
        <v>649</v>
      </c>
      <c r="M2721" s="266">
        <v>40049081012739</v>
      </c>
      <c r="N2721" s="264">
        <v>0.31</v>
      </c>
      <c r="O2721" s="265" t="s">
        <v>649</v>
      </c>
      <c r="P2721" s="265">
        <v>0.31</v>
      </c>
      <c r="Q2721" s="265" t="s">
        <v>649</v>
      </c>
    </row>
    <row r="2722" spans="1:17" ht="15" customHeight="1">
      <c r="A2722" s="147">
        <v>2838</v>
      </c>
      <c r="B2722" s="51" t="s">
        <v>45</v>
      </c>
      <c r="C2722" s="51" t="s">
        <v>3543</v>
      </c>
      <c r="D2722" s="51">
        <v>100028234</v>
      </c>
      <c r="E2722" s="53" t="s">
        <v>3544</v>
      </c>
      <c r="F2722" s="124">
        <v>1</v>
      </c>
      <c r="G2722" s="265" t="s">
        <v>649</v>
      </c>
      <c r="H2722" s="369">
        <v>63.32</v>
      </c>
      <c r="I2722" s="215" t="s">
        <v>346</v>
      </c>
      <c r="J2722" s="215" t="s">
        <v>102</v>
      </c>
      <c r="K2722" s="266">
        <v>49081012779</v>
      </c>
      <c r="L2722" s="265" t="s">
        <v>649</v>
      </c>
      <c r="M2722" s="266">
        <v>40049081012777</v>
      </c>
      <c r="N2722" s="264">
        <v>0.52</v>
      </c>
      <c r="O2722" s="265" t="s">
        <v>649</v>
      </c>
      <c r="P2722" s="265">
        <v>0.52</v>
      </c>
      <c r="Q2722" s="265" t="s">
        <v>649</v>
      </c>
    </row>
    <row r="2723" spans="1:17" ht="15" customHeight="1">
      <c r="A2723" s="147">
        <v>2839</v>
      </c>
      <c r="B2723" s="51" t="s">
        <v>45</v>
      </c>
      <c r="C2723" s="51" t="s">
        <v>3545</v>
      </c>
      <c r="D2723" s="51">
        <v>100028235</v>
      </c>
      <c r="E2723" s="53" t="s">
        <v>3546</v>
      </c>
      <c r="F2723" s="124">
        <v>1</v>
      </c>
      <c r="G2723" s="265" t="s">
        <v>649</v>
      </c>
      <c r="H2723" s="369">
        <v>63.32</v>
      </c>
      <c r="I2723" s="215" t="s">
        <v>76</v>
      </c>
      <c r="J2723" s="215" t="s">
        <v>102</v>
      </c>
      <c r="K2723" s="266">
        <v>49081012809</v>
      </c>
      <c r="L2723" s="265" t="s">
        <v>649</v>
      </c>
      <c r="M2723" s="266">
        <v>40049081012807</v>
      </c>
      <c r="N2723" s="264">
        <v>0.63</v>
      </c>
      <c r="O2723" s="265" t="s">
        <v>649</v>
      </c>
      <c r="P2723" s="265">
        <v>0.63</v>
      </c>
      <c r="Q2723" s="265" t="s">
        <v>649</v>
      </c>
    </row>
    <row r="2724" spans="1:17" ht="15" customHeight="1">
      <c r="A2724" s="147">
        <v>2840</v>
      </c>
      <c r="B2724" s="51" t="s">
        <v>45</v>
      </c>
      <c r="C2724" s="51" t="s">
        <v>3547</v>
      </c>
      <c r="D2724" s="51">
        <v>100028236</v>
      </c>
      <c r="E2724" s="53" t="s">
        <v>3548</v>
      </c>
      <c r="F2724" s="124">
        <v>1</v>
      </c>
      <c r="G2724" s="265" t="s">
        <v>649</v>
      </c>
      <c r="H2724" s="369">
        <v>70.28</v>
      </c>
      <c r="I2724" s="215" t="s">
        <v>346</v>
      </c>
      <c r="J2724" s="215" t="s">
        <v>102</v>
      </c>
      <c r="K2724" s="266">
        <v>49081012830</v>
      </c>
      <c r="L2724" s="265" t="s">
        <v>649</v>
      </c>
      <c r="M2724" s="266">
        <v>40049081012838</v>
      </c>
      <c r="N2724" s="264">
        <v>0.66</v>
      </c>
      <c r="O2724" s="265" t="s">
        <v>649</v>
      </c>
      <c r="P2724" s="265">
        <v>0.66</v>
      </c>
      <c r="Q2724" s="265" t="s">
        <v>649</v>
      </c>
    </row>
    <row r="2725" spans="1:17" ht="15" customHeight="1">
      <c r="A2725" s="147">
        <v>2841</v>
      </c>
      <c r="B2725" s="51" t="s">
        <v>45</v>
      </c>
      <c r="C2725" s="51" t="s">
        <v>3549</v>
      </c>
      <c r="D2725" s="51">
        <v>100028237</v>
      </c>
      <c r="E2725" s="53" t="s">
        <v>3550</v>
      </c>
      <c r="F2725" s="124">
        <v>1</v>
      </c>
      <c r="G2725" s="265" t="s">
        <v>649</v>
      </c>
      <c r="H2725" s="369">
        <v>70.28</v>
      </c>
      <c r="I2725" s="215" t="s">
        <v>346</v>
      </c>
      <c r="J2725" s="215" t="s">
        <v>102</v>
      </c>
      <c r="K2725" s="266">
        <v>49081012861</v>
      </c>
      <c r="L2725" s="265" t="s">
        <v>649</v>
      </c>
      <c r="M2725" s="266">
        <v>40049081012869</v>
      </c>
      <c r="N2725" s="264">
        <v>0.72</v>
      </c>
      <c r="O2725" s="265" t="s">
        <v>649</v>
      </c>
      <c r="P2725" s="265">
        <v>0.72</v>
      </c>
      <c r="Q2725" s="265" t="s">
        <v>649</v>
      </c>
    </row>
    <row r="2726" spans="1:17" ht="15" customHeight="1">
      <c r="A2726" s="147">
        <v>2842</v>
      </c>
      <c r="B2726" s="51" t="s">
        <v>45</v>
      </c>
      <c r="C2726" s="51" t="s">
        <v>3551</v>
      </c>
      <c r="D2726" s="51">
        <v>100028238</v>
      </c>
      <c r="E2726" s="53" t="s">
        <v>3552</v>
      </c>
      <c r="F2726" s="124">
        <v>1</v>
      </c>
      <c r="G2726" s="265" t="s">
        <v>649</v>
      </c>
      <c r="H2726" s="369">
        <v>70.28</v>
      </c>
      <c r="I2726" s="215" t="s">
        <v>346</v>
      </c>
      <c r="J2726" s="215" t="s">
        <v>102</v>
      </c>
      <c r="K2726" s="266">
        <v>49081012892</v>
      </c>
      <c r="L2726" s="265" t="s">
        <v>649</v>
      </c>
      <c r="M2726" s="266">
        <v>40049081012890</v>
      </c>
      <c r="N2726" s="264">
        <v>0.89500000000000002</v>
      </c>
      <c r="O2726" s="265" t="s">
        <v>649</v>
      </c>
      <c r="P2726" s="265">
        <v>0.89500000000000002</v>
      </c>
      <c r="Q2726" s="265" t="s">
        <v>649</v>
      </c>
    </row>
    <row r="2727" spans="1:17" ht="15" customHeight="1">
      <c r="A2727" s="147">
        <v>2843</v>
      </c>
      <c r="B2727" s="51" t="s">
        <v>45</v>
      </c>
      <c r="C2727" s="51" t="s">
        <v>3553</v>
      </c>
      <c r="D2727" s="51">
        <v>100028239</v>
      </c>
      <c r="E2727" s="53" t="s">
        <v>3554</v>
      </c>
      <c r="F2727" s="124">
        <v>1</v>
      </c>
      <c r="G2727" s="265" t="s">
        <v>649</v>
      </c>
      <c r="H2727" s="369">
        <v>54.21</v>
      </c>
      <c r="I2727" s="215" t="s">
        <v>346</v>
      </c>
      <c r="J2727" s="215" t="s">
        <v>102</v>
      </c>
      <c r="K2727" s="266">
        <v>49081012717</v>
      </c>
      <c r="L2727" s="265" t="s">
        <v>649</v>
      </c>
      <c r="M2727" s="266">
        <v>40049081012715</v>
      </c>
      <c r="N2727" s="264">
        <v>0.34200000000000003</v>
      </c>
      <c r="O2727" s="265" t="s">
        <v>649</v>
      </c>
      <c r="P2727" s="265">
        <v>0.34200000000000003</v>
      </c>
      <c r="Q2727" s="265" t="s">
        <v>649</v>
      </c>
    </row>
    <row r="2728" spans="1:17" ht="15" customHeight="1">
      <c r="A2728" s="147">
        <v>2844</v>
      </c>
      <c r="B2728" s="51" t="s">
        <v>45</v>
      </c>
      <c r="C2728" s="51" t="s">
        <v>3555</v>
      </c>
      <c r="D2728" s="51">
        <v>100028240</v>
      </c>
      <c r="E2728" s="53" t="s">
        <v>3556</v>
      </c>
      <c r="F2728" s="124">
        <v>1</v>
      </c>
      <c r="G2728" s="265" t="s">
        <v>649</v>
      </c>
      <c r="H2728" s="369">
        <v>54.21</v>
      </c>
      <c r="I2728" s="215" t="s">
        <v>76</v>
      </c>
      <c r="J2728" s="215" t="s">
        <v>102</v>
      </c>
      <c r="K2728" s="266">
        <v>49081012748</v>
      </c>
      <c r="L2728" s="265" t="s">
        <v>649</v>
      </c>
      <c r="M2728" s="266">
        <v>40049081012746</v>
      </c>
      <c r="N2728" s="264">
        <v>0.443</v>
      </c>
      <c r="O2728" s="265" t="s">
        <v>649</v>
      </c>
      <c r="P2728" s="265">
        <v>0.443</v>
      </c>
      <c r="Q2728" s="265" t="s">
        <v>649</v>
      </c>
    </row>
    <row r="2729" spans="1:17" ht="15" customHeight="1">
      <c r="A2729" s="147">
        <v>2845</v>
      </c>
      <c r="B2729" s="51" t="s">
        <v>45</v>
      </c>
      <c r="C2729" s="51" t="s">
        <v>3557</v>
      </c>
      <c r="D2729" s="51">
        <v>100028242</v>
      </c>
      <c r="E2729" s="53" t="s">
        <v>3558</v>
      </c>
      <c r="F2729" s="124">
        <v>1</v>
      </c>
      <c r="G2729" s="265" t="s">
        <v>649</v>
      </c>
      <c r="H2729" s="369">
        <v>80.010000000000005</v>
      </c>
      <c r="I2729" s="215" t="s">
        <v>346</v>
      </c>
      <c r="J2729" s="215" t="s">
        <v>102</v>
      </c>
      <c r="K2729" s="266">
        <v>49081012786</v>
      </c>
      <c r="L2729" s="265" t="s">
        <v>649</v>
      </c>
      <c r="M2729" s="266">
        <v>40049081012784</v>
      </c>
      <c r="N2729" s="264">
        <v>0.67</v>
      </c>
      <c r="O2729" s="265" t="s">
        <v>649</v>
      </c>
      <c r="P2729" s="265">
        <v>0.67</v>
      </c>
      <c r="Q2729" s="265" t="s">
        <v>649</v>
      </c>
    </row>
    <row r="2730" spans="1:17" ht="15" customHeight="1">
      <c r="A2730" s="147">
        <v>2846</v>
      </c>
      <c r="B2730" s="51" t="s">
        <v>45</v>
      </c>
      <c r="C2730" s="51" t="s">
        <v>3559</v>
      </c>
      <c r="D2730" s="51">
        <v>100028243</v>
      </c>
      <c r="E2730" s="53" t="s">
        <v>3560</v>
      </c>
      <c r="F2730" s="124">
        <v>1</v>
      </c>
      <c r="G2730" s="265" t="s">
        <v>649</v>
      </c>
      <c r="H2730" s="369">
        <v>80.010000000000005</v>
      </c>
      <c r="I2730" s="215" t="s">
        <v>346</v>
      </c>
      <c r="J2730" s="215" t="s">
        <v>102</v>
      </c>
      <c r="K2730" s="266">
        <v>49081012816</v>
      </c>
      <c r="L2730" s="265" t="s">
        <v>649</v>
      </c>
      <c r="M2730" s="266">
        <v>40049081012814</v>
      </c>
      <c r="N2730" s="264">
        <v>0.78</v>
      </c>
      <c r="O2730" s="265" t="s">
        <v>649</v>
      </c>
      <c r="P2730" s="265">
        <v>0.78</v>
      </c>
      <c r="Q2730" s="265" t="s">
        <v>649</v>
      </c>
    </row>
    <row r="2731" spans="1:17" ht="15" customHeight="1">
      <c r="A2731" s="147">
        <v>2847</v>
      </c>
      <c r="B2731" s="51" t="s">
        <v>45</v>
      </c>
      <c r="C2731" s="51" t="s">
        <v>3561</v>
      </c>
      <c r="D2731" s="51">
        <v>100028244</v>
      </c>
      <c r="E2731" s="53" t="s">
        <v>3562</v>
      </c>
      <c r="F2731" s="124">
        <v>1</v>
      </c>
      <c r="G2731" s="265" t="s">
        <v>649</v>
      </c>
      <c r="H2731" s="369">
        <v>88.92</v>
      </c>
      <c r="I2731" s="215" t="s">
        <v>346</v>
      </c>
      <c r="J2731" s="215" t="s">
        <v>102</v>
      </c>
      <c r="K2731" s="266">
        <v>49081012847</v>
      </c>
      <c r="L2731" s="265" t="s">
        <v>649</v>
      </c>
      <c r="M2731" s="266">
        <v>40049081012845</v>
      </c>
      <c r="N2731" s="264">
        <v>0.87</v>
      </c>
      <c r="O2731" s="265" t="s">
        <v>649</v>
      </c>
      <c r="P2731" s="265">
        <v>0.87</v>
      </c>
      <c r="Q2731" s="265" t="s">
        <v>649</v>
      </c>
    </row>
    <row r="2732" spans="1:17" ht="15" customHeight="1">
      <c r="A2732" s="147">
        <v>2848</v>
      </c>
      <c r="B2732" s="51" t="s">
        <v>45</v>
      </c>
      <c r="C2732" s="51" t="s">
        <v>3563</v>
      </c>
      <c r="D2732" s="51">
        <v>100028245</v>
      </c>
      <c r="E2732" s="53" t="s">
        <v>3564</v>
      </c>
      <c r="F2732" s="124">
        <v>1</v>
      </c>
      <c r="G2732" s="265" t="s">
        <v>649</v>
      </c>
      <c r="H2732" s="369">
        <v>88.92</v>
      </c>
      <c r="I2732" s="215" t="s">
        <v>346</v>
      </c>
      <c r="J2732" s="215" t="s">
        <v>102</v>
      </c>
      <c r="K2732" s="266">
        <v>49081012878</v>
      </c>
      <c r="L2732" s="265" t="s">
        <v>649</v>
      </c>
      <c r="M2732" s="266">
        <v>40049081012876</v>
      </c>
      <c r="N2732" s="264">
        <v>0.995</v>
      </c>
      <c r="O2732" s="265" t="s">
        <v>649</v>
      </c>
      <c r="P2732" s="265">
        <v>0.995</v>
      </c>
      <c r="Q2732" s="265" t="s">
        <v>649</v>
      </c>
    </row>
    <row r="2733" spans="1:17" ht="15" customHeight="1">
      <c r="A2733" s="147">
        <v>2849</v>
      </c>
      <c r="B2733" s="51" t="s">
        <v>45</v>
      </c>
      <c r="C2733" s="51" t="s">
        <v>3565</v>
      </c>
      <c r="D2733" s="51">
        <v>100028246</v>
      </c>
      <c r="E2733" s="53" t="s">
        <v>3566</v>
      </c>
      <c r="F2733" s="124">
        <v>1</v>
      </c>
      <c r="G2733" s="265" t="s">
        <v>649</v>
      </c>
      <c r="H2733" s="369">
        <v>88.92</v>
      </c>
      <c r="I2733" s="215" t="s">
        <v>346</v>
      </c>
      <c r="J2733" s="215" t="s">
        <v>102</v>
      </c>
      <c r="K2733" s="266">
        <v>49081012908</v>
      </c>
      <c r="L2733" s="265" t="s">
        <v>649</v>
      </c>
      <c r="M2733" s="266">
        <v>40049081012906</v>
      </c>
      <c r="N2733" s="264">
        <v>1.1000000000000001</v>
      </c>
      <c r="O2733" s="265" t="s">
        <v>649</v>
      </c>
      <c r="P2733" s="265">
        <v>1.1000000000000001</v>
      </c>
      <c r="Q2733" s="265" t="s">
        <v>649</v>
      </c>
    </row>
    <row r="2734" spans="1:17" ht="15" customHeight="1">
      <c r="A2734" s="147">
        <v>2850</v>
      </c>
      <c r="B2734" s="51" t="s">
        <v>45</v>
      </c>
      <c r="C2734" s="51" t="s">
        <v>3567</v>
      </c>
      <c r="D2734" s="51">
        <v>100028247</v>
      </c>
      <c r="E2734" s="53" t="s">
        <v>3568</v>
      </c>
      <c r="F2734" s="124">
        <v>1</v>
      </c>
      <c r="G2734" s="265" t="s">
        <v>649</v>
      </c>
      <c r="H2734" s="369">
        <v>68.37</v>
      </c>
      <c r="I2734" s="215" t="s">
        <v>346</v>
      </c>
      <c r="J2734" s="215" t="s">
        <v>102</v>
      </c>
      <c r="K2734" s="266">
        <v>49081012724</v>
      </c>
      <c r="L2734" s="265" t="s">
        <v>649</v>
      </c>
      <c r="M2734" s="266">
        <v>40049081012722</v>
      </c>
      <c r="N2734" s="264">
        <v>0.46500000000000002</v>
      </c>
      <c r="O2734" s="265" t="s">
        <v>649</v>
      </c>
      <c r="P2734" s="265">
        <v>0.46500000000000002</v>
      </c>
      <c r="Q2734" s="265" t="s">
        <v>649</v>
      </c>
    </row>
    <row r="2735" spans="1:17" ht="15" customHeight="1">
      <c r="A2735" s="147">
        <v>2851</v>
      </c>
      <c r="B2735" s="51" t="s">
        <v>45</v>
      </c>
      <c r="C2735" s="51" t="s">
        <v>3569</v>
      </c>
      <c r="D2735" s="51">
        <v>100028248</v>
      </c>
      <c r="E2735" s="53" t="s">
        <v>3570</v>
      </c>
      <c r="F2735" s="124">
        <v>1</v>
      </c>
      <c r="G2735" s="265" t="s">
        <v>649</v>
      </c>
      <c r="H2735" s="369">
        <v>68.37</v>
      </c>
      <c r="I2735" s="215" t="s">
        <v>346</v>
      </c>
      <c r="J2735" s="215" t="s">
        <v>102</v>
      </c>
      <c r="K2735" s="266">
        <v>49081012755</v>
      </c>
      <c r="L2735" s="265" t="s">
        <v>649</v>
      </c>
      <c r="M2735" s="266">
        <v>40049081012753</v>
      </c>
      <c r="N2735" s="264">
        <v>0.56499999999999995</v>
      </c>
      <c r="O2735" s="265" t="s">
        <v>649</v>
      </c>
      <c r="P2735" s="265">
        <v>0.56499999999999995</v>
      </c>
      <c r="Q2735" s="265" t="s">
        <v>649</v>
      </c>
    </row>
    <row r="2736" spans="1:17" ht="15" customHeight="1">
      <c r="A2736" s="147">
        <v>2852</v>
      </c>
      <c r="B2736" s="51" t="s">
        <v>45</v>
      </c>
      <c r="C2736" s="51" t="s">
        <v>3572</v>
      </c>
      <c r="D2736" s="51">
        <v>100028233</v>
      </c>
      <c r="E2736" s="53" t="s">
        <v>3573</v>
      </c>
      <c r="F2736" s="124">
        <v>20</v>
      </c>
      <c r="G2736" s="124">
        <v>2700</v>
      </c>
      <c r="H2736" s="369">
        <v>3.69</v>
      </c>
      <c r="I2736" s="215" t="s">
        <v>346</v>
      </c>
      <c r="J2736" s="215" t="s">
        <v>102</v>
      </c>
      <c r="K2736" s="266">
        <v>49081005054</v>
      </c>
      <c r="L2736" s="265" t="s">
        <v>649</v>
      </c>
      <c r="M2736" s="266">
        <v>40049081005052</v>
      </c>
      <c r="N2736" s="264">
        <v>3.4249999999999998</v>
      </c>
      <c r="O2736" s="265">
        <v>20</v>
      </c>
      <c r="P2736" s="265">
        <v>34.25</v>
      </c>
      <c r="Q2736" s="265">
        <v>0.31</v>
      </c>
    </row>
    <row r="2737" spans="1:17" ht="15" customHeight="1">
      <c r="A2737" s="147">
        <v>2853</v>
      </c>
      <c r="B2737" s="51" t="s">
        <v>45</v>
      </c>
      <c r="C2737" s="51" t="s">
        <v>3574</v>
      </c>
      <c r="D2737" s="51">
        <v>100028241</v>
      </c>
      <c r="E2737" s="53" t="s">
        <v>3575</v>
      </c>
      <c r="F2737" s="124">
        <v>20</v>
      </c>
      <c r="G2737" s="124">
        <v>2700</v>
      </c>
      <c r="H2737" s="369">
        <v>4.12</v>
      </c>
      <c r="I2737" s="215" t="s">
        <v>346</v>
      </c>
      <c r="J2737" s="215" t="s">
        <v>102</v>
      </c>
      <c r="K2737" s="266">
        <v>49081005061</v>
      </c>
      <c r="L2737" s="265" t="s">
        <v>649</v>
      </c>
      <c r="M2737" s="266">
        <v>40049081005069</v>
      </c>
      <c r="N2737" s="264">
        <v>4.4249999999999998</v>
      </c>
      <c r="O2737" s="265">
        <v>20</v>
      </c>
      <c r="P2737" s="265">
        <v>44.25</v>
      </c>
      <c r="Q2737" s="265">
        <v>0.31</v>
      </c>
    </row>
    <row r="2738" spans="1:17" ht="15" customHeight="1">
      <c r="A2738" s="147">
        <v>2854</v>
      </c>
      <c r="B2738" s="51" t="s">
        <v>45</v>
      </c>
      <c r="C2738" s="51" t="s">
        <v>3576</v>
      </c>
      <c r="D2738" s="51">
        <v>100028249</v>
      </c>
      <c r="E2738" s="53" t="s">
        <v>3577</v>
      </c>
      <c r="F2738" s="124">
        <v>20</v>
      </c>
      <c r="G2738" s="265" t="s">
        <v>649</v>
      </c>
      <c r="H2738" s="369">
        <v>4.6500000000000004</v>
      </c>
      <c r="I2738" s="215" t="s">
        <v>346</v>
      </c>
      <c r="J2738" s="215" t="s">
        <v>102</v>
      </c>
      <c r="K2738" s="266">
        <v>49081005078</v>
      </c>
      <c r="L2738" s="265" t="s">
        <v>649</v>
      </c>
      <c r="M2738" s="266">
        <v>40049081005076</v>
      </c>
      <c r="N2738" s="264">
        <v>5.0999999999999996</v>
      </c>
      <c r="O2738" s="265">
        <v>20</v>
      </c>
      <c r="P2738" s="265">
        <v>51</v>
      </c>
      <c r="Q2738" s="265" t="s">
        <v>649</v>
      </c>
    </row>
    <row r="2739" spans="1:17" ht="15" customHeight="1">
      <c r="A2739" s="147">
        <v>2855</v>
      </c>
      <c r="B2739" s="51" t="s">
        <v>45</v>
      </c>
      <c r="C2739" s="51" t="s">
        <v>3579</v>
      </c>
      <c r="D2739" s="51">
        <v>100028367</v>
      </c>
      <c r="E2739" s="53" t="s">
        <v>3580</v>
      </c>
      <c r="F2739" s="124">
        <v>1</v>
      </c>
      <c r="G2739" s="265" t="s">
        <v>649</v>
      </c>
      <c r="H2739" s="369">
        <v>33.799999999999997</v>
      </c>
      <c r="I2739" s="215" t="s">
        <v>346</v>
      </c>
      <c r="J2739" s="215" t="s">
        <v>102</v>
      </c>
      <c r="K2739" s="266">
        <v>49081011307</v>
      </c>
      <c r="L2739" s="265" t="s">
        <v>649</v>
      </c>
      <c r="M2739" s="266">
        <v>40049081011305</v>
      </c>
      <c r="N2739" s="264">
        <v>0.44</v>
      </c>
      <c r="O2739" s="265" t="s">
        <v>649</v>
      </c>
      <c r="P2739" s="265">
        <v>0.44</v>
      </c>
      <c r="Q2739" s="265" t="s">
        <v>649</v>
      </c>
    </row>
    <row r="2740" spans="1:17" ht="15" customHeight="1">
      <c r="A2740" s="147">
        <v>2856</v>
      </c>
      <c r="B2740" s="51" t="s">
        <v>45</v>
      </c>
      <c r="C2740" s="51" t="s">
        <v>3581</v>
      </c>
      <c r="D2740" s="51">
        <v>100028368</v>
      </c>
      <c r="E2740" s="53" t="s">
        <v>3582</v>
      </c>
      <c r="F2740" s="124">
        <v>1</v>
      </c>
      <c r="G2740" s="265" t="s">
        <v>649</v>
      </c>
      <c r="H2740" s="369">
        <v>37.6</v>
      </c>
      <c r="I2740" s="215" t="s">
        <v>346</v>
      </c>
      <c r="J2740" s="215" t="s">
        <v>102</v>
      </c>
      <c r="K2740" s="266">
        <v>49081011314</v>
      </c>
      <c r="L2740" s="265" t="s">
        <v>649</v>
      </c>
      <c r="M2740" s="266">
        <v>40049081011312</v>
      </c>
      <c r="N2740" s="264">
        <v>0.505</v>
      </c>
      <c r="O2740" s="265" t="s">
        <v>649</v>
      </c>
      <c r="P2740" s="265">
        <v>0.505</v>
      </c>
      <c r="Q2740" s="265" t="s">
        <v>649</v>
      </c>
    </row>
    <row r="2741" spans="1:17" ht="15" customHeight="1">
      <c r="A2741" s="147">
        <v>2857</v>
      </c>
      <c r="B2741" s="51" t="s">
        <v>45</v>
      </c>
      <c r="C2741" s="51" t="s">
        <v>3583</v>
      </c>
      <c r="D2741" s="51">
        <v>100028369</v>
      </c>
      <c r="E2741" s="53" t="s">
        <v>3584</v>
      </c>
      <c r="F2741" s="124">
        <v>1</v>
      </c>
      <c r="G2741" s="265" t="s">
        <v>649</v>
      </c>
      <c r="H2741" s="369">
        <v>46.46</v>
      </c>
      <c r="I2741" s="215" t="s">
        <v>346</v>
      </c>
      <c r="J2741" s="215" t="s">
        <v>102</v>
      </c>
      <c r="K2741" s="266">
        <v>49081011321</v>
      </c>
      <c r="L2741" s="265" t="s">
        <v>649</v>
      </c>
      <c r="M2741" s="266">
        <v>40049081011329</v>
      </c>
      <c r="N2741" s="264">
        <v>0.56499999999999995</v>
      </c>
      <c r="O2741" s="265" t="s">
        <v>649</v>
      </c>
      <c r="P2741" s="265">
        <v>0.56499999999999995</v>
      </c>
      <c r="Q2741" s="265" t="s">
        <v>649</v>
      </c>
    </row>
    <row r="2742" spans="1:17" ht="15" customHeight="1">
      <c r="A2742" s="147">
        <v>2858</v>
      </c>
      <c r="B2742" s="51" t="s">
        <v>45</v>
      </c>
      <c r="C2742" s="51" t="s">
        <v>3585</v>
      </c>
      <c r="D2742" s="51">
        <v>100028370</v>
      </c>
      <c r="E2742" s="53" t="s">
        <v>3586</v>
      </c>
      <c r="F2742" s="124">
        <v>1</v>
      </c>
      <c r="G2742" s="265" t="s">
        <v>649</v>
      </c>
      <c r="H2742" s="369">
        <v>30.76</v>
      </c>
      <c r="I2742" s="215" t="s">
        <v>346</v>
      </c>
      <c r="J2742" s="215" t="s">
        <v>102</v>
      </c>
      <c r="K2742" s="266">
        <v>49081011406</v>
      </c>
      <c r="L2742" s="265" t="s">
        <v>649</v>
      </c>
      <c r="M2742" s="266">
        <v>40049081011404</v>
      </c>
      <c r="N2742" s="264">
        <v>0.48</v>
      </c>
      <c r="O2742" s="265" t="s">
        <v>649</v>
      </c>
      <c r="P2742" s="265">
        <v>0.48</v>
      </c>
      <c r="Q2742" s="265" t="s">
        <v>649</v>
      </c>
    </row>
    <row r="2743" spans="1:17" ht="15" customHeight="1">
      <c r="A2743" s="147">
        <v>2859</v>
      </c>
      <c r="B2743" s="51" t="s">
        <v>45</v>
      </c>
      <c r="C2743" s="51" t="s">
        <v>3587</v>
      </c>
      <c r="D2743" s="51">
        <v>100028371</v>
      </c>
      <c r="E2743" s="53" t="s">
        <v>3588</v>
      </c>
      <c r="F2743" s="124">
        <v>1</v>
      </c>
      <c r="G2743" s="265" t="s">
        <v>649</v>
      </c>
      <c r="H2743" s="369">
        <v>35.619999999999997</v>
      </c>
      <c r="I2743" s="215" t="s">
        <v>346</v>
      </c>
      <c r="J2743" s="215" t="s">
        <v>102</v>
      </c>
      <c r="K2743" s="266">
        <v>49081011413</v>
      </c>
      <c r="L2743" s="265" t="s">
        <v>649</v>
      </c>
      <c r="M2743" s="266">
        <v>40049081011411</v>
      </c>
      <c r="N2743" s="264">
        <v>0.53500000000000003</v>
      </c>
      <c r="O2743" s="265" t="s">
        <v>649</v>
      </c>
      <c r="P2743" s="265">
        <v>0.53500000000000003</v>
      </c>
      <c r="Q2743" s="265" t="s">
        <v>649</v>
      </c>
    </row>
    <row r="2744" spans="1:17" ht="15" customHeight="1">
      <c r="A2744" s="147">
        <v>2860</v>
      </c>
      <c r="B2744" s="51" t="s">
        <v>45</v>
      </c>
      <c r="C2744" s="51" t="s">
        <v>3589</v>
      </c>
      <c r="D2744" s="51">
        <v>100028372</v>
      </c>
      <c r="E2744" s="53" t="s">
        <v>3590</v>
      </c>
      <c r="F2744" s="124">
        <v>1</v>
      </c>
      <c r="G2744" s="265" t="s">
        <v>649</v>
      </c>
      <c r="H2744" s="369">
        <v>44.45</v>
      </c>
      <c r="I2744" s="215" t="s">
        <v>346</v>
      </c>
      <c r="J2744" s="215" t="s">
        <v>102</v>
      </c>
      <c r="K2744" s="266">
        <v>49081011420</v>
      </c>
      <c r="L2744" s="265" t="s">
        <v>649</v>
      </c>
      <c r="M2744" s="266">
        <v>40049081011428</v>
      </c>
      <c r="N2744" s="264">
        <v>0.61499999999999999</v>
      </c>
      <c r="O2744" s="265" t="s">
        <v>649</v>
      </c>
      <c r="P2744" s="265">
        <v>0.61499999999999999</v>
      </c>
      <c r="Q2744" s="265" t="s">
        <v>649</v>
      </c>
    </row>
    <row r="2745" spans="1:17" ht="15" customHeight="1">
      <c r="A2745" s="147">
        <v>2861</v>
      </c>
      <c r="B2745" s="51" t="s">
        <v>45</v>
      </c>
      <c r="C2745" s="51" t="s">
        <v>3591</v>
      </c>
      <c r="D2745" s="51">
        <v>100028373</v>
      </c>
      <c r="E2745" s="53" t="s">
        <v>3592</v>
      </c>
      <c r="F2745" s="124">
        <v>1</v>
      </c>
      <c r="G2745" s="265" t="s">
        <v>649</v>
      </c>
      <c r="H2745" s="369">
        <v>14.03</v>
      </c>
      <c r="I2745" s="215" t="s">
        <v>346</v>
      </c>
      <c r="J2745" s="215" t="s">
        <v>102</v>
      </c>
      <c r="K2745" s="266">
        <v>49081010553</v>
      </c>
      <c r="L2745" s="265" t="s">
        <v>649</v>
      </c>
      <c r="M2745" s="266">
        <v>40049081010551</v>
      </c>
      <c r="N2745" s="264">
        <v>0.14499999999999999</v>
      </c>
      <c r="O2745" s="265" t="s">
        <v>649</v>
      </c>
      <c r="P2745" s="265">
        <v>0.14499999999999999</v>
      </c>
      <c r="Q2745" s="265" t="s">
        <v>649</v>
      </c>
    </row>
    <row r="2746" spans="1:17" ht="15" customHeight="1">
      <c r="A2746" s="147">
        <v>2862</v>
      </c>
      <c r="B2746" s="51" t="s">
        <v>45</v>
      </c>
      <c r="C2746" s="51" t="s">
        <v>3593</v>
      </c>
      <c r="D2746" s="51">
        <v>100028374</v>
      </c>
      <c r="E2746" s="53" t="s">
        <v>3594</v>
      </c>
      <c r="F2746" s="124">
        <v>1</v>
      </c>
      <c r="G2746" s="265" t="s">
        <v>649</v>
      </c>
      <c r="H2746" s="369">
        <v>17.2</v>
      </c>
      <c r="I2746" s="215" t="s">
        <v>346</v>
      </c>
      <c r="J2746" s="215" t="s">
        <v>102</v>
      </c>
      <c r="K2746" s="266">
        <v>49081010560</v>
      </c>
      <c r="L2746" s="265" t="s">
        <v>649</v>
      </c>
      <c r="M2746" s="266">
        <v>40049081010568</v>
      </c>
      <c r="N2746" s="264">
        <v>0.215</v>
      </c>
      <c r="O2746" s="265" t="s">
        <v>649</v>
      </c>
      <c r="P2746" s="265">
        <v>0.215</v>
      </c>
      <c r="Q2746" s="265" t="s">
        <v>649</v>
      </c>
    </row>
    <row r="2747" spans="1:17" ht="15" customHeight="1">
      <c r="A2747" s="147">
        <v>2863</v>
      </c>
      <c r="B2747" s="51" t="s">
        <v>45</v>
      </c>
      <c r="C2747" s="51" t="s">
        <v>3595</v>
      </c>
      <c r="D2747" s="51">
        <v>100028375</v>
      </c>
      <c r="E2747" s="53" t="s">
        <v>3596</v>
      </c>
      <c r="F2747" s="124">
        <v>1</v>
      </c>
      <c r="G2747" s="265" t="s">
        <v>649</v>
      </c>
      <c r="H2747" s="369">
        <v>22.86</v>
      </c>
      <c r="I2747" s="215" t="s">
        <v>346</v>
      </c>
      <c r="J2747" s="215" t="s">
        <v>102</v>
      </c>
      <c r="K2747" s="266">
        <v>49081010577</v>
      </c>
      <c r="L2747" s="265" t="s">
        <v>649</v>
      </c>
      <c r="M2747" s="266">
        <v>40049081010575</v>
      </c>
      <c r="N2747" s="264">
        <v>0.27</v>
      </c>
      <c r="O2747" s="265" t="s">
        <v>649</v>
      </c>
      <c r="P2747" s="265">
        <v>0.27</v>
      </c>
      <c r="Q2747" s="265" t="s">
        <v>649</v>
      </c>
    </row>
    <row r="2748" spans="1:17" ht="15" customHeight="1">
      <c r="A2748" s="147">
        <v>2864</v>
      </c>
      <c r="B2748" s="51" t="s">
        <v>45</v>
      </c>
      <c r="C2748" s="51" t="s">
        <v>3597</v>
      </c>
      <c r="D2748" s="51">
        <v>100028376</v>
      </c>
      <c r="E2748" s="53" t="s">
        <v>3598</v>
      </c>
      <c r="F2748" s="124">
        <v>1</v>
      </c>
      <c r="G2748" s="265" t="s">
        <v>649</v>
      </c>
      <c r="H2748" s="369">
        <v>14.03</v>
      </c>
      <c r="I2748" s="215" t="s">
        <v>346</v>
      </c>
      <c r="J2748" s="215" t="s">
        <v>102</v>
      </c>
      <c r="K2748" s="266">
        <v>49081010607</v>
      </c>
      <c r="L2748" s="265" t="s">
        <v>649</v>
      </c>
      <c r="M2748" s="266">
        <v>40049081010605</v>
      </c>
      <c r="N2748" s="264">
        <v>0.15</v>
      </c>
      <c r="O2748" s="265" t="s">
        <v>649</v>
      </c>
      <c r="P2748" s="265">
        <v>0.15</v>
      </c>
      <c r="Q2748" s="265" t="s">
        <v>649</v>
      </c>
    </row>
    <row r="2749" spans="1:17" ht="15" customHeight="1">
      <c r="A2749" s="147">
        <v>2865</v>
      </c>
      <c r="B2749" s="51" t="s">
        <v>45</v>
      </c>
      <c r="C2749" s="51" t="s">
        <v>3599</v>
      </c>
      <c r="D2749" s="51">
        <v>100028377</v>
      </c>
      <c r="E2749" s="53" t="s">
        <v>3600</v>
      </c>
      <c r="F2749" s="124">
        <v>1</v>
      </c>
      <c r="G2749" s="265" t="s">
        <v>649</v>
      </c>
      <c r="H2749" s="369">
        <v>17.2</v>
      </c>
      <c r="I2749" s="215" t="s">
        <v>346</v>
      </c>
      <c r="J2749" s="215" t="s">
        <v>102</v>
      </c>
      <c r="K2749" s="266">
        <v>49081010614</v>
      </c>
      <c r="L2749" s="265" t="s">
        <v>649</v>
      </c>
      <c r="M2749" s="266">
        <v>40049081010612</v>
      </c>
      <c r="N2749" s="264">
        <v>0.215</v>
      </c>
      <c r="O2749" s="265" t="s">
        <v>649</v>
      </c>
      <c r="P2749" s="265">
        <v>0.215</v>
      </c>
      <c r="Q2749" s="265" t="s">
        <v>649</v>
      </c>
    </row>
    <row r="2750" spans="1:17" ht="15" customHeight="1">
      <c r="A2750" s="147">
        <v>2866</v>
      </c>
      <c r="B2750" s="51" t="s">
        <v>45</v>
      </c>
      <c r="C2750" s="51" t="s">
        <v>3601</v>
      </c>
      <c r="D2750" s="51">
        <v>100028378</v>
      </c>
      <c r="E2750" s="53" t="s">
        <v>3602</v>
      </c>
      <c r="F2750" s="124">
        <v>1</v>
      </c>
      <c r="G2750" s="265" t="s">
        <v>649</v>
      </c>
      <c r="H2750" s="369">
        <v>22.86</v>
      </c>
      <c r="I2750" s="215" t="s">
        <v>346</v>
      </c>
      <c r="J2750" s="215" t="s">
        <v>102</v>
      </c>
      <c r="K2750" s="266">
        <v>49081010621</v>
      </c>
      <c r="L2750" s="265" t="s">
        <v>649</v>
      </c>
      <c r="M2750" s="266">
        <v>40049081010629</v>
      </c>
      <c r="N2750" s="264">
        <v>0.29499999999999998</v>
      </c>
      <c r="O2750" s="265" t="s">
        <v>649</v>
      </c>
      <c r="P2750" s="265">
        <v>0.29499999999999998</v>
      </c>
      <c r="Q2750" s="265" t="s">
        <v>649</v>
      </c>
    </row>
    <row r="2751" spans="1:17" ht="15" customHeight="1">
      <c r="A2751" s="147">
        <v>2867</v>
      </c>
      <c r="B2751" s="51" t="s">
        <v>45</v>
      </c>
      <c r="C2751" s="51" t="s">
        <v>3603</v>
      </c>
      <c r="D2751" s="51">
        <v>100028379</v>
      </c>
      <c r="E2751" s="53" t="s">
        <v>3604</v>
      </c>
      <c r="F2751" s="124">
        <v>1</v>
      </c>
      <c r="G2751" s="265" t="s">
        <v>649</v>
      </c>
      <c r="H2751" s="369">
        <v>14.82</v>
      </c>
      <c r="I2751" s="215" t="s">
        <v>346</v>
      </c>
      <c r="J2751" s="215" t="s">
        <v>102</v>
      </c>
      <c r="K2751" s="266">
        <v>49081011055</v>
      </c>
      <c r="L2751" s="265" t="s">
        <v>649</v>
      </c>
      <c r="M2751" s="266">
        <v>40049081011053</v>
      </c>
      <c r="N2751" s="264">
        <v>0.115</v>
      </c>
      <c r="O2751" s="265" t="s">
        <v>649</v>
      </c>
      <c r="P2751" s="265">
        <v>0.115</v>
      </c>
      <c r="Q2751" s="265" t="s">
        <v>649</v>
      </c>
    </row>
    <row r="2752" spans="1:17" ht="15" customHeight="1">
      <c r="A2752" s="147">
        <v>2868</v>
      </c>
      <c r="B2752" s="51" t="s">
        <v>45</v>
      </c>
      <c r="C2752" s="51" t="s">
        <v>3605</v>
      </c>
      <c r="D2752" s="51">
        <v>100028380</v>
      </c>
      <c r="E2752" s="53" t="s">
        <v>3606</v>
      </c>
      <c r="F2752" s="124">
        <v>1</v>
      </c>
      <c r="G2752" s="265" t="s">
        <v>649</v>
      </c>
      <c r="H2752" s="369">
        <v>18.18</v>
      </c>
      <c r="I2752" s="215" t="s">
        <v>346</v>
      </c>
      <c r="J2752" s="215" t="s">
        <v>102</v>
      </c>
      <c r="K2752" s="266">
        <v>49081011062</v>
      </c>
      <c r="L2752" s="265" t="s">
        <v>649</v>
      </c>
      <c r="M2752" s="266">
        <v>40049081011060</v>
      </c>
      <c r="N2752" s="264">
        <v>0.15</v>
      </c>
      <c r="O2752" s="265" t="s">
        <v>649</v>
      </c>
      <c r="P2752" s="265">
        <v>0.15</v>
      </c>
      <c r="Q2752" s="265" t="s">
        <v>649</v>
      </c>
    </row>
    <row r="2753" spans="1:17" ht="15" customHeight="1">
      <c r="A2753" s="147">
        <v>2869</v>
      </c>
      <c r="B2753" s="51" t="s">
        <v>45</v>
      </c>
      <c r="C2753" s="51" t="s">
        <v>3607</v>
      </c>
      <c r="D2753" s="51">
        <v>100028381</v>
      </c>
      <c r="E2753" s="53" t="s">
        <v>3608</v>
      </c>
      <c r="F2753" s="124">
        <v>1</v>
      </c>
      <c r="G2753" s="265" t="s">
        <v>649</v>
      </c>
      <c r="H2753" s="369">
        <v>24</v>
      </c>
      <c r="I2753" s="215" t="s">
        <v>346</v>
      </c>
      <c r="J2753" s="215" t="s">
        <v>102</v>
      </c>
      <c r="K2753" s="266">
        <v>49081011079</v>
      </c>
      <c r="L2753" s="265" t="s">
        <v>649</v>
      </c>
      <c r="M2753" s="266">
        <v>40049081011077</v>
      </c>
      <c r="N2753" s="264">
        <v>0.19</v>
      </c>
      <c r="O2753" s="265" t="s">
        <v>649</v>
      </c>
      <c r="P2753" s="265">
        <v>0.19</v>
      </c>
      <c r="Q2753" s="265" t="s">
        <v>649</v>
      </c>
    </row>
    <row r="2754" spans="1:17" ht="15" customHeight="1">
      <c r="A2754" s="147">
        <v>2870</v>
      </c>
      <c r="B2754" s="51" t="s">
        <v>45</v>
      </c>
      <c r="C2754" s="51" t="s">
        <v>3609</v>
      </c>
      <c r="D2754" s="51">
        <v>100028382</v>
      </c>
      <c r="E2754" s="53" t="s">
        <v>3610</v>
      </c>
      <c r="F2754" s="124">
        <v>1</v>
      </c>
      <c r="G2754" s="265" t="s">
        <v>649</v>
      </c>
      <c r="H2754" s="369">
        <v>14.82</v>
      </c>
      <c r="I2754" s="215" t="s">
        <v>346</v>
      </c>
      <c r="J2754" s="215" t="s">
        <v>102</v>
      </c>
      <c r="K2754" s="266">
        <v>49081011000</v>
      </c>
      <c r="L2754" s="265" t="s">
        <v>649</v>
      </c>
      <c r="M2754" s="266">
        <v>40049081011008</v>
      </c>
      <c r="N2754" s="264">
        <v>0.22</v>
      </c>
      <c r="O2754" s="265" t="s">
        <v>649</v>
      </c>
      <c r="P2754" s="265">
        <v>0.22</v>
      </c>
      <c r="Q2754" s="265" t="s">
        <v>649</v>
      </c>
    </row>
    <row r="2755" spans="1:17" ht="15" customHeight="1">
      <c r="A2755" s="147">
        <v>2871</v>
      </c>
      <c r="B2755" s="51" t="s">
        <v>45</v>
      </c>
      <c r="C2755" s="51" t="s">
        <v>3611</v>
      </c>
      <c r="D2755" s="51">
        <v>100028383</v>
      </c>
      <c r="E2755" s="53" t="s">
        <v>3612</v>
      </c>
      <c r="F2755" s="124">
        <v>1</v>
      </c>
      <c r="G2755" s="265" t="s">
        <v>649</v>
      </c>
      <c r="H2755" s="369">
        <v>18.18</v>
      </c>
      <c r="I2755" s="215" t="s">
        <v>346</v>
      </c>
      <c r="J2755" s="215" t="s">
        <v>102</v>
      </c>
      <c r="K2755" s="266">
        <v>49081011017</v>
      </c>
      <c r="L2755" s="265" t="s">
        <v>649</v>
      </c>
      <c r="M2755" s="266">
        <v>40049081011015</v>
      </c>
      <c r="N2755" s="264">
        <v>0.33</v>
      </c>
      <c r="O2755" s="265" t="s">
        <v>649</v>
      </c>
      <c r="P2755" s="265">
        <v>0.33</v>
      </c>
      <c r="Q2755" s="265" t="s">
        <v>649</v>
      </c>
    </row>
    <row r="2756" spans="1:17" ht="15" customHeight="1">
      <c r="A2756" s="147">
        <v>2872</v>
      </c>
      <c r="B2756" s="51" t="s">
        <v>45</v>
      </c>
      <c r="C2756" s="51" t="s">
        <v>3613</v>
      </c>
      <c r="D2756" s="51">
        <v>100028384</v>
      </c>
      <c r="E2756" s="53" t="s">
        <v>3614</v>
      </c>
      <c r="F2756" s="124">
        <v>1</v>
      </c>
      <c r="G2756" s="265" t="s">
        <v>649</v>
      </c>
      <c r="H2756" s="369">
        <v>24</v>
      </c>
      <c r="I2756" s="215" t="s">
        <v>346</v>
      </c>
      <c r="J2756" s="215" t="s">
        <v>102</v>
      </c>
      <c r="K2756" s="266">
        <v>49081011024</v>
      </c>
      <c r="L2756" s="265" t="s">
        <v>649</v>
      </c>
      <c r="M2756" s="266">
        <v>40049081011022</v>
      </c>
      <c r="N2756" s="264">
        <v>0.36</v>
      </c>
      <c r="O2756" s="265" t="s">
        <v>649</v>
      </c>
      <c r="P2756" s="265">
        <v>0.36</v>
      </c>
      <c r="Q2756" s="265" t="s">
        <v>649</v>
      </c>
    </row>
    <row r="2757" spans="1:17" ht="15" customHeight="1">
      <c r="A2757" s="147">
        <v>2873</v>
      </c>
      <c r="B2757" s="51" t="s">
        <v>45</v>
      </c>
      <c r="C2757" s="51" t="s">
        <v>3615</v>
      </c>
      <c r="D2757" s="51">
        <v>100028385</v>
      </c>
      <c r="E2757" s="53" t="s">
        <v>3616</v>
      </c>
      <c r="F2757" s="124">
        <v>1</v>
      </c>
      <c r="G2757" s="265" t="s">
        <v>649</v>
      </c>
      <c r="H2757" s="369">
        <v>14.03</v>
      </c>
      <c r="I2757" s="215" t="s">
        <v>346</v>
      </c>
      <c r="J2757" s="215" t="s">
        <v>102</v>
      </c>
      <c r="K2757" s="266">
        <v>49081010454</v>
      </c>
      <c r="L2757" s="265" t="s">
        <v>649</v>
      </c>
      <c r="M2757" s="266">
        <v>40049081010452</v>
      </c>
      <c r="N2757" s="264">
        <v>0.14499999999999999</v>
      </c>
      <c r="O2757" s="265" t="s">
        <v>649</v>
      </c>
      <c r="P2757" s="265">
        <v>0.14499999999999999</v>
      </c>
      <c r="Q2757" s="265" t="s">
        <v>649</v>
      </c>
    </row>
    <row r="2758" spans="1:17" ht="15" customHeight="1">
      <c r="A2758" s="147">
        <v>2874</v>
      </c>
      <c r="B2758" s="51" t="s">
        <v>45</v>
      </c>
      <c r="C2758" s="51" t="s">
        <v>3617</v>
      </c>
      <c r="D2758" s="51">
        <v>100028386</v>
      </c>
      <c r="E2758" s="53" t="s">
        <v>3596</v>
      </c>
      <c r="F2758" s="124">
        <v>1</v>
      </c>
      <c r="G2758" s="265" t="s">
        <v>649</v>
      </c>
      <c r="H2758" s="369">
        <v>17.2</v>
      </c>
      <c r="I2758" s="215" t="s">
        <v>346</v>
      </c>
      <c r="J2758" s="215" t="s">
        <v>102</v>
      </c>
      <c r="K2758" s="266">
        <v>49081010461</v>
      </c>
      <c r="L2758" s="265" t="s">
        <v>649</v>
      </c>
      <c r="M2758" s="266">
        <v>40049081010469</v>
      </c>
      <c r="N2758" s="264">
        <v>0.215</v>
      </c>
      <c r="O2758" s="265" t="s">
        <v>649</v>
      </c>
      <c r="P2758" s="265">
        <v>0.215</v>
      </c>
      <c r="Q2758" s="265" t="s">
        <v>649</v>
      </c>
    </row>
    <row r="2759" spans="1:17" ht="15" customHeight="1">
      <c r="A2759" s="147">
        <v>2875</v>
      </c>
      <c r="B2759" s="51" t="s">
        <v>45</v>
      </c>
      <c r="C2759" s="51" t="s">
        <v>3618</v>
      </c>
      <c r="D2759" s="51">
        <v>100028387</v>
      </c>
      <c r="E2759" s="53" t="s">
        <v>3619</v>
      </c>
      <c r="F2759" s="124">
        <v>1</v>
      </c>
      <c r="G2759" s="265" t="s">
        <v>649</v>
      </c>
      <c r="H2759" s="369">
        <v>22.86</v>
      </c>
      <c r="I2759" s="215" t="s">
        <v>346</v>
      </c>
      <c r="J2759" s="215" t="s">
        <v>102</v>
      </c>
      <c r="K2759" s="266">
        <v>49081010478</v>
      </c>
      <c r="L2759" s="265" t="s">
        <v>649</v>
      </c>
      <c r="M2759" s="266">
        <v>40049081010476</v>
      </c>
      <c r="N2759" s="264">
        <v>0.27</v>
      </c>
      <c r="O2759" s="265" t="s">
        <v>649</v>
      </c>
      <c r="P2759" s="265">
        <v>0.27</v>
      </c>
      <c r="Q2759" s="265" t="s">
        <v>649</v>
      </c>
    </row>
    <row r="2760" spans="1:17" ht="15" customHeight="1">
      <c r="A2760" s="147">
        <v>2876</v>
      </c>
      <c r="B2760" s="51" t="s">
        <v>45</v>
      </c>
      <c r="C2760" s="51" t="s">
        <v>3620</v>
      </c>
      <c r="D2760" s="51">
        <v>100028388</v>
      </c>
      <c r="E2760" s="53" t="s">
        <v>3621</v>
      </c>
      <c r="F2760" s="124">
        <v>1</v>
      </c>
      <c r="G2760" s="265" t="s">
        <v>649</v>
      </c>
      <c r="H2760" s="369">
        <v>14.03</v>
      </c>
      <c r="I2760" s="215" t="s">
        <v>346</v>
      </c>
      <c r="J2760" s="215" t="s">
        <v>102</v>
      </c>
      <c r="K2760" s="266">
        <v>49081010508</v>
      </c>
      <c r="L2760" s="265" t="s">
        <v>649</v>
      </c>
      <c r="M2760" s="266">
        <v>40049081010506</v>
      </c>
      <c r="N2760" s="264">
        <v>0.15</v>
      </c>
      <c r="O2760" s="265" t="s">
        <v>649</v>
      </c>
      <c r="P2760" s="265">
        <v>0.15</v>
      </c>
      <c r="Q2760" s="265" t="s">
        <v>649</v>
      </c>
    </row>
    <row r="2761" spans="1:17" ht="15" customHeight="1">
      <c r="A2761" s="147">
        <v>2877</v>
      </c>
      <c r="B2761" s="51" t="s">
        <v>45</v>
      </c>
      <c r="C2761" s="51" t="s">
        <v>3622</v>
      </c>
      <c r="D2761" s="51">
        <v>100028389</v>
      </c>
      <c r="E2761" s="53" t="s">
        <v>3623</v>
      </c>
      <c r="F2761" s="124">
        <v>1</v>
      </c>
      <c r="G2761" s="265" t="s">
        <v>649</v>
      </c>
      <c r="H2761" s="369">
        <v>17.2</v>
      </c>
      <c r="I2761" s="215" t="s">
        <v>346</v>
      </c>
      <c r="J2761" s="215" t="s">
        <v>102</v>
      </c>
      <c r="K2761" s="266">
        <v>49081010515</v>
      </c>
      <c r="L2761" s="265" t="s">
        <v>649</v>
      </c>
      <c r="M2761" s="266">
        <v>40049081010513</v>
      </c>
      <c r="N2761" s="264">
        <v>0.215</v>
      </c>
      <c r="O2761" s="265" t="s">
        <v>649</v>
      </c>
      <c r="P2761" s="265">
        <v>0.215</v>
      </c>
      <c r="Q2761" s="265" t="s">
        <v>649</v>
      </c>
    </row>
  </sheetData>
  <sheetProtection algorithmName="SHA-512" hashValue="GftOIF3Fjq+Xogg5FyUHhHyo1Pe9P+Rku17mr1DxDr9xc5dHsvVW3aOt+/ux7FvZqk7BSIyo2nt82iyDCid8zA==" saltValue="jxICTEfUSRnfZJRCk57efA==" spinCount="100000" sheet="1" formatCells="0" formatColumns="0" formatRows="0" sort="0" autoFilter="0" pivotTables="0"/>
  <autoFilter ref="B7:Q2761" xr:uid="{59BD7925-A56E-4C44-A6E1-1300773593FE}"/>
  <mergeCells count="1">
    <mergeCell ref="K6:M6"/>
  </mergeCells>
  <phoneticPr fontId="32" type="noConversion"/>
  <dataValidations disablePrompts="1" count="1">
    <dataValidation type="decimal" operator="lessThanOrEqual" allowBlank="1" showInputMessage="1" showErrorMessage="1" errorTitle="Invalid Entry" error="An invalid quantity has been entered. Please enter only decimal numbers. Click Retry to change entry or Cancel to clear entry." sqref="D2" xr:uid="{5634CFAB-B188-431A-A560-C370690914A0}">
      <formula1>0.35</formula1>
    </dataValidation>
  </dataValidations>
  <hyperlinks>
    <hyperlink ref="E1990" location="SDRFab!C2046" display="Fabricated TEE HHH" xr:uid="{E3DB2E49-E243-42FB-957F-E97DB2549B77}"/>
    <hyperlink ref="E2021" location="SDRFab!C2118" display="Fabricated TEE SHH" xr:uid="{63C4BED6-310C-49EB-8A94-04068C05A0BC}"/>
  </hyperlinks>
  <printOptions horizontalCentered="1"/>
  <pageMargins left="0.7" right="0.7" top="0.75" bottom="0.75" header="0.3" footer="0.3"/>
  <pageSetup scale="91" fitToHeight="0" orientation="portrait" horizontalDpi="4294967292" r:id="rId1"/>
  <headerFooter>
    <oddFooter>&amp;L&amp;8V06032014&amp;CCopyright 2014
All rights reserved
For Tigre-ADS USA customer and rep use only_x000D_&amp;1#&amp;"Aptos"&amp;11&amp;K000000 TIGRE:Internal&amp;R&amp;P</oddFooter>
  </headerFooter>
  <rowBreaks count="51" manualBreakCount="51">
    <brk id="66" max="7" man="1"/>
    <brk id="122" max="7" man="1"/>
    <brk id="181" max="7" man="1"/>
    <brk id="241" max="7" man="1"/>
    <brk id="332" max="7" man="1"/>
    <brk id="403" max="7" man="1"/>
    <brk id="445" max="7" man="1"/>
    <brk id="504" max="7" man="1"/>
    <brk id="561" max="7" man="1"/>
    <brk id="614" max="7" man="1"/>
    <brk id="676" max="7" man="1"/>
    <brk id="737" max="7" man="1"/>
    <brk id="796" max="7" man="1"/>
    <brk id="854" max="7" man="1"/>
    <brk id="912" max="7" man="1"/>
    <brk id="967" max="7" man="1"/>
    <brk id="1020" max="7" man="1"/>
    <brk id="1073" max="7" man="1"/>
    <brk id="1121" max="7" man="1"/>
    <brk id="1174" max="7" man="1"/>
    <brk id="1224" max="7" man="1"/>
    <brk id="1279" max="7" man="1"/>
    <brk id="1330" max="7" man="1"/>
    <brk id="1387" max="7" man="1"/>
    <brk id="1444" max="7" man="1"/>
    <brk id="1502" max="7" man="1"/>
    <brk id="1562" max="7" man="1"/>
    <brk id="1615" max="7" man="1"/>
    <brk id="1672" max="7" man="1"/>
    <brk id="1725" max="7" man="1"/>
    <brk id="1765" max="7" man="1"/>
    <brk id="1805" max="7" man="1"/>
    <brk id="1853" max="7" man="1"/>
    <brk id="1901" max="7" man="1"/>
    <brk id="1947" max="7" man="1"/>
    <brk id="1995" max="7" man="1"/>
    <brk id="2025" max="7" man="1"/>
    <brk id="2075" max="7" man="1"/>
    <brk id="2128" max="7" man="1"/>
    <brk id="2182" max="7" man="1"/>
    <brk id="2233" max="7" man="1"/>
    <brk id="2288" max="7" man="1"/>
    <brk id="2338" max="7" man="1"/>
    <brk id="2388" max="7" man="1"/>
    <brk id="2444" max="7" man="1"/>
    <brk id="2491" max="7" man="1"/>
    <brk id="2532" max="7" man="1"/>
    <brk id="2585" max="7" man="1"/>
    <brk id="2637" max="7" man="1"/>
    <brk id="2680" max="7" man="1"/>
    <brk id="2735"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pageSetUpPr fitToPage="1"/>
  </sheetPr>
  <dimension ref="A1:V358"/>
  <sheetViews>
    <sheetView topLeftCell="A309" workbookViewId="0">
      <selection activeCell="K122" sqref="K122"/>
    </sheetView>
  </sheetViews>
  <sheetFormatPr defaultColWidth="9.109375" defaultRowHeight="14.4" zeroHeight="1"/>
  <cols>
    <col min="1" max="1" width="2.33203125" style="5" customWidth="1"/>
    <col min="2" max="3" width="8.6640625" style="2" customWidth="1"/>
    <col min="4" max="4" width="12.6640625" style="20" customWidth="1"/>
    <col min="5" max="5" width="12.6640625" style="4" customWidth="1"/>
    <col min="6" max="6" width="50.6640625" style="2" customWidth="1"/>
    <col min="7" max="7" width="11.44140625" style="230" customWidth="1"/>
    <col min="8" max="8" width="10.6640625" style="377" customWidth="1"/>
    <col min="9" max="9" width="14.6640625" style="149" bestFit="1" customWidth="1"/>
    <col min="10" max="10" width="10.6640625" style="149" customWidth="1"/>
    <col min="11" max="11" width="10.6640625" style="2" customWidth="1"/>
    <col min="12" max="12" width="1.44140625" style="2" customWidth="1"/>
    <col min="13" max="13" width="10.6640625" style="4" customWidth="1"/>
    <col min="14" max="14" width="2.33203125" style="11" customWidth="1"/>
    <col min="15" max="15" width="12.6640625" style="277" customWidth="1"/>
    <col min="16" max="16" width="10.6640625" style="2" customWidth="1"/>
    <col min="17" max="17" width="12.33203125" style="9" bestFit="1" customWidth="1"/>
    <col min="18" max="18" width="12.6640625" style="9" customWidth="1"/>
    <col min="19" max="19" width="13.6640625" style="9" customWidth="1"/>
    <col min="20" max="20" width="9.88671875" style="382" customWidth="1"/>
    <col min="21" max="16384" width="9.109375" style="2"/>
  </cols>
  <sheetData>
    <row r="1" spans="1:22" ht="18">
      <c r="F1" s="211" t="s">
        <v>326</v>
      </c>
      <c r="G1" s="385"/>
      <c r="H1" s="386"/>
      <c r="O1" s="380"/>
      <c r="P1" s="152"/>
    </row>
    <row r="2" spans="1:22" ht="15.75" customHeight="1">
      <c r="D2" s="375"/>
      <c r="E2" s="13"/>
      <c r="J2" s="661" t="s">
        <v>59</v>
      </c>
      <c r="K2" s="661"/>
    </row>
    <row r="3" spans="1:22">
      <c r="F3" s="323" t="s">
        <v>327</v>
      </c>
      <c r="J3" s="661"/>
      <c r="K3" s="661"/>
    </row>
    <row r="4" spans="1:22" ht="15.75" customHeight="1">
      <c r="D4" s="375"/>
      <c r="E4" s="14" t="s">
        <v>5718</v>
      </c>
      <c r="F4" s="326" t="s">
        <v>5974</v>
      </c>
    </row>
    <row r="5" spans="1:22">
      <c r="E5" s="14"/>
      <c r="F5" s="325" t="s">
        <v>5973</v>
      </c>
      <c r="O5" s="381"/>
    </row>
    <row r="6" spans="1:22">
      <c r="I6" s="4"/>
      <c r="J6" s="4"/>
      <c r="O6" s="381" t="s">
        <v>63</v>
      </c>
      <c r="Q6" s="662" t="s">
        <v>64</v>
      </c>
      <c r="R6" s="662"/>
      <c r="S6" s="662"/>
    </row>
    <row r="7" spans="1:22" s="214" customFormat="1" ht="36" customHeight="1" thickBot="1">
      <c r="A7" s="43"/>
      <c r="B7" s="136"/>
      <c r="C7" s="136"/>
      <c r="D7" s="136" t="s">
        <v>48</v>
      </c>
      <c r="E7" s="136" t="s">
        <v>49</v>
      </c>
      <c r="F7" s="136" t="s">
        <v>50</v>
      </c>
      <c r="G7" s="231" t="s">
        <v>65</v>
      </c>
      <c r="H7" s="378" t="s">
        <v>66</v>
      </c>
      <c r="I7" s="157" t="s">
        <v>51</v>
      </c>
      <c r="J7" s="157" t="s">
        <v>55</v>
      </c>
      <c r="K7" s="158" t="s">
        <v>52</v>
      </c>
      <c r="M7" s="143" t="s">
        <v>67</v>
      </c>
      <c r="O7" s="498" t="s">
        <v>68</v>
      </c>
      <c r="P7" s="498" t="s">
        <v>69</v>
      </c>
      <c r="Q7" s="499" t="s">
        <v>70</v>
      </c>
      <c r="R7" s="499" t="s">
        <v>71</v>
      </c>
      <c r="S7" s="499" t="s">
        <v>72</v>
      </c>
      <c r="T7" s="500" t="s">
        <v>73</v>
      </c>
      <c r="U7" s="498" t="s">
        <v>328</v>
      </c>
      <c r="V7" s="498" t="s">
        <v>329</v>
      </c>
    </row>
    <row r="8" spans="1:22" s="17" customFormat="1" ht="16.2" thickBot="1">
      <c r="A8" s="5"/>
      <c r="B8" s="501" t="s">
        <v>5797</v>
      </c>
      <c r="C8" s="151"/>
      <c r="D8" s="151"/>
      <c r="E8" s="459"/>
      <c r="F8" s="151"/>
      <c r="G8" s="468"/>
      <c r="H8" s="151"/>
      <c r="I8" s="472"/>
      <c r="J8" s="468"/>
      <c r="K8" s="477"/>
      <c r="L8" s="238"/>
      <c r="M8" s="476"/>
      <c r="O8" s="494"/>
      <c r="P8" s="478"/>
      <c r="Q8" s="492"/>
      <c r="R8" s="492"/>
      <c r="S8" s="492"/>
      <c r="T8" s="495"/>
      <c r="U8" s="496"/>
      <c r="V8" s="497"/>
    </row>
    <row r="9" spans="1:22">
      <c r="A9" s="5" t="str">
        <f>IF(K9&gt;0,COUNT($A$8:A8)+1,"")</f>
        <v/>
      </c>
      <c r="B9" s="664"/>
      <c r="C9" s="665"/>
      <c r="D9" s="369" t="str">
        <f>_xlfn.XLOOKUP(E9,'All Products'!D:D,'All Products'!C:C,FALSE)</f>
        <v>100-3188</v>
      </c>
      <c r="E9" s="103">
        <v>300005635</v>
      </c>
      <c r="F9" s="376" t="str">
        <f>_xlfn.XLOOKUP(E9,'All Products'!D:D,'All Products'!E:E,FALSE)</f>
        <v>1-1/4 COUPLING DWV</v>
      </c>
      <c r="G9" s="232">
        <f>_xlfn.XLOOKUP(E9,'All Products'!D:D,'All Products'!F:F,FALSE)</f>
        <v>100</v>
      </c>
      <c r="H9" s="387">
        <f>_xlfn.XLOOKUP(E9,'All Products'!D:D,'All Products'!G:G,FALSE)</f>
        <v>8000</v>
      </c>
      <c r="I9" s="369" t="str">
        <f>_xlfn.XLOOKUP(E9,'All Products'!D:D,'All Products'!H:H,FALSE)</f>
        <v>Quote Required</v>
      </c>
      <c r="J9" s="183">
        <f>IFERROR(ROUNDUP(I9*Order_Quote!$L$2,2),0)</f>
        <v>0</v>
      </c>
      <c r="K9" s="119"/>
      <c r="L9" s="76"/>
      <c r="M9" s="104">
        <f t="shared" ref="M9:M80" si="0">K9/G9</f>
        <v>0</v>
      </c>
      <c r="O9" s="379" t="str">
        <f>_xlfn.XLOOKUP(E9,'All Products'!D:D,'All Products'!I:I,FALSE)</f>
        <v>Within 6 Weeks</v>
      </c>
      <c r="P9" s="379" t="str">
        <f>_xlfn.XLOOKUP(E9,'All Products'!D:D,'All Products'!J:J,FALSE)</f>
        <v>Sourced</v>
      </c>
      <c r="Q9" s="397">
        <f>_xlfn.XLOOKUP(F9,'All Products'!E:E,'All Products'!K:K,FALSE)</f>
        <v>810673013821</v>
      </c>
      <c r="R9" s="397" t="str">
        <f>_xlfn.XLOOKUP(E9,'All Products'!D:D,'All Products'!L:L,FALSE)</f>
        <v>-</v>
      </c>
      <c r="S9" s="397" t="str">
        <f>_xlfn.XLOOKUP(E9,'All Products'!D:D,'All Products'!M:M,FALSE)</f>
        <v>-</v>
      </c>
      <c r="T9" s="384">
        <f>_xlfn.XLOOKUP(E9,'All Products'!D:D,'All Products'!N:N,FALSE)</f>
        <v>0.08</v>
      </c>
      <c r="U9" s="384">
        <f>_xlfn.XLOOKUP(E9,'All Products'!D:D,'All Products'!P:P,FALSE)</f>
        <v>8</v>
      </c>
      <c r="V9" s="384" t="str">
        <f>_xlfn.XLOOKUP(E9,'All Products'!D:D,'All Products'!Q:Q,FALSE)</f>
        <v>-</v>
      </c>
    </row>
    <row r="10" spans="1:22">
      <c r="A10" s="5" t="str">
        <f>IF(K10&gt;0,COUNT($A$8:A9)+1,"")</f>
        <v/>
      </c>
      <c r="B10" s="646"/>
      <c r="C10" s="647"/>
      <c r="D10" s="369" t="str">
        <f>_xlfn.XLOOKUP(E10,'All Products'!D:D,'All Products'!C:C,FALSE)</f>
        <v>100-3189</v>
      </c>
      <c r="E10" s="103">
        <v>100028841</v>
      </c>
      <c r="F10" s="376" t="str">
        <f>_xlfn.XLOOKUP(E10,'All Products'!D:D,'All Products'!E:E,FALSE)</f>
        <v>1-1/2 COUPLING DWV</v>
      </c>
      <c r="G10" s="232">
        <f>_xlfn.XLOOKUP(E10,'All Products'!D:D,'All Products'!F:F,FALSE)</f>
        <v>100</v>
      </c>
      <c r="H10" s="387">
        <f>_xlfn.XLOOKUP(E10,'All Products'!D:D,'All Products'!G:G,FALSE)</f>
        <v>6300</v>
      </c>
      <c r="I10" s="369">
        <f>_xlfn.XLOOKUP(E10,'All Products'!D:D,'All Products'!H:H,FALSE)</f>
        <v>13.56</v>
      </c>
      <c r="J10" s="183">
        <f>IFERROR(ROUNDUP(I10*Order_Quote!$L$2,2),0)</f>
        <v>13.56</v>
      </c>
      <c r="K10" s="118"/>
      <c r="L10" s="76"/>
      <c r="M10" s="104">
        <f t="shared" si="0"/>
        <v>0</v>
      </c>
      <c r="O10" s="379" t="str">
        <f>_xlfn.XLOOKUP(E10,'All Products'!D:D,'All Products'!I:I,FALSE)</f>
        <v>In Stock</v>
      </c>
      <c r="P10" s="379" t="str">
        <f>_xlfn.XLOOKUP(E10,'All Products'!D:D,'All Products'!J:J,FALSE)</f>
        <v>Manufactured</v>
      </c>
      <c r="Q10" s="397">
        <f>_xlfn.XLOOKUP(F10,'All Products'!E:E,'All Products'!K:K,FALSE)</f>
        <v>810673013838</v>
      </c>
      <c r="R10" s="397" t="str">
        <f>_xlfn.XLOOKUP(E10,'All Products'!D:D,'All Products'!L:L,FALSE)</f>
        <v>-</v>
      </c>
      <c r="S10" s="397">
        <f>_xlfn.XLOOKUP(E10,'All Products'!D:D,'All Products'!M:M,FALSE)</f>
        <v>10810673013835</v>
      </c>
      <c r="T10" s="384">
        <f>_xlfn.XLOOKUP(E10,'All Products'!D:D,'All Products'!N:N,FALSE)</f>
        <v>0.109</v>
      </c>
      <c r="U10" s="384">
        <f>_xlfn.XLOOKUP(E10,'All Products'!D:D,'All Products'!P:P,FALSE)</f>
        <v>10.9</v>
      </c>
      <c r="V10" s="384">
        <f>_xlfn.XLOOKUP(E10,'All Products'!D:D,'All Products'!Q:Q,FALSE)</f>
        <v>0.66940792428507967</v>
      </c>
    </row>
    <row r="11" spans="1:22">
      <c r="A11" s="5" t="str">
        <f>IF(K11&gt;0,COUNT($A$8:A10)+1,"")</f>
        <v/>
      </c>
      <c r="B11" s="646"/>
      <c r="C11" s="647"/>
      <c r="D11" s="369" t="str">
        <f>_xlfn.XLOOKUP(E11,'All Products'!D:D,'All Products'!C:C,FALSE)</f>
        <v>100-3190</v>
      </c>
      <c r="E11" s="103">
        <v>100028842</v>
      </c>
      <c r="F11" s="376" t="str">
        <f>_xlfn.XLOOKUP(E11,'All Products'!D:D,'All Products'!E:E,FALSE)</f>
        <v>2 COUPLING DWV</v>
      </c>
      <c r="G11" s="232">
        <f>_xlfn.XLOOKUP(E11,'All Products'!D:D,'All Products'!F:F,FALSE)</f>
        <v>100</v>
      </c>
      <c r="H11" s="387">
        <f>_xlfn.XLOOKUP(E11,'All Products'!D:D,'All Products'!G:G,FALSE)</f>
        <v>4500</v>
      </c>
      <c r="I11" s="369">
        <f>_xlfn.XLOOKUP(E11,'All Products'!D:D,'All Products'!H:H,FALSE)</f>
        <v>18.600000000000001</v>
      </c>
      <c r="J11" s="183">
        <f>IFERROR(ROUNDUP(I11*Order_Quote!$L$2,2),0)</f>
        <v>18.600000000000001</v>
      </c>
      <c r="K11" s="118"/>
      <c r="L11" s="76"/>
      <c r="M11" s="104">
        <f t="shared" si="0"/>
        <v>0</v>
      </c>
      <c r="O11" s="379" t="str">
        <f>_xlfn.XLOOKUP(E11,'All Products'!D:D,'All Products'!I:I,FALSE)</f>
        <v>In Stock</v>
      </c>
      <c r="P11" s="379" t="str">
        <f>_xlfn.XLOOKUP(E11,'All Products'!D:D,'All Products'!J:J,FALSE)</f>
        <v>Manufactured</v>
      </c>
      <c r="Q11" s="397">
        <f>_xlfn.XLOOKUP(F11,'All Products'!E:E,'All Products'!K:K,FALSE)</f>
        <v>810673013845</v>
      </c>
      <c r="R11" s="397" t="str">
        <f>_xlfn.XLOOKUP(E11,'All Products'!D:D,'All Products'!L:L,FALSE)</f>
        <v>-</v>
      </c>
      <c r="S11" s="397">
        <f>_xlfn.XLOOKUP(E11,'All Products'!D:D,'All Products'!M:M,FALSE)</f>
        <v>10810673013842</v>
      </c>
      <c r="T11" s="384">
        <f>_xlfn.XLOOKUP(E11,'All Products'!D:D,'All Products'!N:N,FALSE)</f>
        <v>0.13900000000000001</v>
      </c>
      <c r="U11" s="384">
        <f>_xlfn.XLOOKUP(E11,'All Products'!D:D,'All Products'!P:P,FALSE)</f>
        <v>13.900000000000002</v>
      </c>
      <c r="V11" s="384">
        <f>_xlfn.XLOOKUP(E11,'All Products'!D:D,'All Products'!Q:Q,FALSE)</f>
        <v>0.98955954024750914</v>
      </c>
    </row>
    <row r="12" spans="1:22">
      <c r="A12" s="5" t="str">
        <f>IF(K12&gt;0,COUNT($A$8:A11)+1,"")</f>
        <v/>
      </c>
      <c r="B12" s="646"/>
      <c r="C12" s="647"/>
      <c r="D12" s="369" t="str">
        <f>_xlfn.XLOOKUP(E12,'All Products'!D:D,'All Products'!C:C,FALSE)</f>
        <v>100-3191</v>
      </c>
      <c r="E12" s="103">
        <v>100028843</v>
      </c>
      <c r="F12" s="376" t="str">
        <f>_xlfn.XLOOKUP(E12,'All Products'!D:D,'All Products'!E:E,FALSE)</f>
        <v>3 COUPLING DWV</v>
      </c>
      <c r="G12" s="232">
        <f>_xlfn.XLOOKUP(E12,'All Products'!D:D,'All Products'!F:F,FALSE)</f>
        <v>60</v>
      </c>
      <c r="H12" s="387">
        <f>_xlfn.XLOOKUP(E12,'All Products'!D:D,'All Products'!G:G,FALSE)</f>
        <v>1080</v>
      </c>
      <c r="I12" s="369">
        <f>_xlfn.XLOOKUP(E12,'All Products'!D:D,'All Products'!H:H,FALSE)</f>
        <v>64.819999999999993</v>
      </c>
      <c r="J12" s="183">
        <f>IFERROR(ROUNDUP(I12*Order_Quote!$L$2,2),0)</f>
        <v>64.819999999999993</v>
      </c>
      <c r="K12" s="118"/>
      <c r="L12" s="76"/>
      <c r="M12" s="104">
        <f t="shared" si="0"/>
        <v>0</v>
      </c>
      <c r="O12" s="379" t="str">
        <f>_xlfn.XLOOKUP(E12,'All Products'!D:D,'All Products'!I:I,FALSE)</f>
        <v>In Stock</v>
      </c>
      <c r="P12" s="379" t="str">
        <f>_xlfn.XLOOKUP(E12,'All Products'!D:D,'All Products'!J:J,FALSE)</f>
        <v>Manufactured</v>
      </c>
      <c r="Q12" s="397">
        <f>_xlfn.XLOOKUP(F12,'All Products'!E:E,'All Products'!K:K,FALSE)</f>
        <v>810673013869</v>
      </c>
      <c r="R12" s="397" t="str">
        <f>_xlfn.XLOOKUP(E12,'All Products'!D:D,'All Products'!L:L,FALSE)</f>
        <v>-</v>
      </c>
      <c r="S12" s="397">
        <f>_xlfn.XLOOKUP(E12,'All Products'!D:D,'All Products'!M:M,FALSE)</f>
        <v>10810673013866</v>
      </c>
      <c r="T12" s="384">
        <f>_xlfn.XLOOKUP(E12,'All Products'!D:D,'All Products'!N:N,FALSE)</f>
        <v>0.52900000000000003</v>
      </c>
      <c r="U12" s="384">
        <f>_xlfn.XLOOKUP(E12,'All Products'!D:D,'All Products'!P:P,FALSE)</f>
        <v>31.740000000000002</v>
      </c>
      <c r="V12" s="384">
        <f>_xlfn.XLOOKUP(E12,'All Products'!D:D,'All Products'!Q:Q,FALSE)</f>
        <v>2.361325291407383</v>
      </c>
    </row>
    <row r="13" spans="1:22">
      <c r="A13" s="5" t="str">
        <f>IF(K13&gt;0,COUNT($A$8:A12)+1,"")</f>
        <v/>
      </c>
      <c r="B13" s="646"/>
      <c r="C13" s="647"/>
      <c r="D13" s="369" t="str">
        <f>_xlfn.XLOOKUP(E13,'All Products'!D:D,'All Products'!C:C,FALSE)</f>
        <v>100-3192</v>
      </c>
      <c r="E13" s="103">
        <v>100028844</v>
      </c>
      <c r="F13" s="376" t="str">
        <f>_xlfn.XLOOKUP(E13,'All Products'!D:D,'All Products'!E:E,FALSE)</f>
        <v>4 COUPLING DWV</v>
      </c>
      <c r="G13" s="232">
        <f>_xlfn.XLOOKUP(E13,'All Products'!D:D,'All Products'!F:F,FALSE)</f>
        <v>25</v>
      </c>
      <c r="H13" s="387">
        <f>_xlfn.XLOOKUP(E13,'All Products'!D:D,'All Products'!G:G,FALSE)</f>
        <v>600</v>
      </c>
      <c r="I13" s="369">
        <f>_xlfn.XLOOKUP(E13,'All Products'!D:D,'All Products'!H:H,FALSE)</f>
        <v>110.08</v>
      </c>
      <c r="J13" s="183">
        <f>IFERROR(ROUNDUP(I13*Order_Quote!$L$2,2),0)</f>
        <v>110.08</v>
      </c>
      <c r="K13" s="118"/>
      <c r="L13" s="76"/>
      <c r="M13" s="104">
        <f t="shared" si="0"/>
        <v>0</v>
      </c>
      <c r="O13" s="379" t="str">
        <f>_xlfn.XLOOKUP(E13,'All Products'!D:D,'All Products'!I:I,FALSE)</f>
        <v>In Stock</v>
      </c>
      <c r="P13" s="379" t="str">
        <f>_xlfn.XLOOKUP(E13,'All Products'!D:D,'All Products'!J:J,FALSE)</f>
        <v>Manufactured</v>
      </c>
      <c r="Q13" s="397">
        <f>_xlfn.XLOOKUP(F13,'All Products'!E:E,'All Products'!K:K,FALSE)</f>
        <v>810673013852</v>
      </c>
      <c r="R13" s="397" t="str">
        <f>_xlfn.XLOOKUP(E13,'All Products'!D:D,'All Products'!L:L,FALSE)</f>
        <v>-</v>
      </c>
      <c r="S13" s="397">
        <f>_xlfn.XLOOKUP(E13,'All Products'!D:D,'All Products'!M:M,FALSE)</f>
        <v>10810673013859</v>
      </c>
      <c r="T13" s="384">
        <f>_xlfn.XLOOKUP(E13,'All Products'!D:D,'All Products'!N:N,FALSE)</f>
        <v>0.95</v>
      </c>
      <c r="U13" s="384">
        <f>_xlfn.XLOOKUP(E13,'All Products'!D:D,'All Products'!P:P,FALSE)</f>
        <v>23.75</v>
      </c>
      <c r="V13" s="384">
        <f>_xlfn.XLOOKUP(E13,'All Products'!D:D,'All Products'!Q:Q,FALSE)</f>
        <v>1.8803145838984718</v>
      </c>
    </row>
    <row r="14" spans="1:22" ht="15" thickBot="1">
      <c r="A14" s="5" t="str">
        <f>IF(K14&gt;0,COUNT($A$8:A13)+1,"")</f>
        <v/>
      </c>
      <c r="B14" s="666"/>
      <c r="C14" s="667"/>
      <c r="D14" s="369" t="str">
        <f>_xlfn.XLOOKUP(E14,'All Products'!D:D,'All Products'!C:C,FALSE)</f>
        <v>100-3193</v>
      </c>
      <c r="E14" s="103">
        <v>100028845</v>
      </c>
      <c r="F14" s="376" t="str">
        <f>_xlfn.XLOOKUP(E14,'All Products'!D:D,'All Products'!E:E,FALSE)</f>
        <v>6 COUPLING DWV</v>
      </c>
      <c r="G14" s="232">
        <f>_xlfn.XLOOKUP(E14,'All Products'!D:D,'All Products'!F:F,FALSE)</f>
        <v>15</v>
      </c>
      <c r="H14" s="387">
        <f>_xlfn.XLOOKUP(E14,'All Products'!D:D,'All Products'!G:G,FALSE)</f>
        <v>180</v>
      </c>
      <c r="I14" s="369">
        <f>_xlfn.XLOOKUP(E14,'All Products'!D:D,'All Products'!H:H,FALSE)</f>
        <v>360.96</v>
      </c>
      <c r="J14" s="183">
        <f>IFERROR(ROUNDUP(I14*Order_Quote!$L$2,2),0)</f>
        <v>360.96</v>
      </c>
      <c r="K14" s="118"/>
      <c r="L14" s="76"/>
      <c r="M14" s="104">
        <f t="shared" si="0"/>
        <v>0</v>
      </c>
      <c r="O14" s="379" t="str">
        <f>_xlfn.XLOOKUP(E14,'All Products'!D:D,'All Products'!I:I,FALSE)</f>
        <v>In Stock</v>
      </c>
      <c r="P14" s="379" t="str">
        <f>_xlfn.XLOOKUP(E14,'All Products'!D:D,'All Products'!J:J,FALSE)</f>
        <v>Manufactured</v>
      </c>
      <c r="Q14" s="504">
        <f>_xlfn.XLOOKUP(F14,'All Products'!E:E,'All Products'!K:K,FALSE)</f>
        <v>810673015351</v>
      </c>
      <c r="R14" s="397" t="str">
        <f>_xlfn.XLOOKUP(E14,'All Products'!D:D,'All Products'!L:L,FALSE)</f>
        <v>-</v>
      </c>
      <c r="S14" s="397">
        <f>_xlfn.XLOOKUP(E14,'All Products'!D:D,'All Products'!M:M,FALSE)</f>
        <v>810673015368</v>
      </c>
      <c r="T14" s="384">
        <f>_xlfn.XLOOKUP(E14,'All Products'!D:D,'All Products'!N:N,FALSE)</f>
        <v>2.31</v>
      </c>
      <c r="U14" s="384">
        <f>_xlfn.XLOOKUP(E14,'All Products'!D:D,'All Products'!P:P,FALSE)</f>
        <v>34.65</v>
      </c>
      <c r="V14" s="384">
        <f>_xlfn.XLOOKUP(E14,'All Products'!D:D,'All Products'!Q:Q,FALSE)</f>
        <v>3.6731726755225957</v>
      </c>
    </row>
    <row r="15" spans="1:22" s="17" customFormat="1" ht="16.2" thickBot="1">
      <c r="A15" s="5" t="str">
        <f>IF(K15&gt;0,COUNT($A$8:A14)+1,"")</f>
        <v/>
      </c>
      <c r="B15" s="501" t="s">
        <v>5798</v>
      </c>
      <c r="C15" s="151"/>
      <c r="D15" s="151"/>
      <c r="E15" s="459"/>
      <c r="F15" s="151"/>
      <c r="G15" s="468"/>
      <c r="H15" s="151"/>
      <c r="I15" s="472"/>
      <c r="J15" s="468"/>
      <c r="K15" s="477"/>
      <c r="L15" s="238"/>
      <c r="M15" s="476"/>
      <c r="O15" s="475"/>
      <c r="P15" s="145"/>
      <c r="Q15" s="492"/>
      <c r="R15" s="493"/>
      <c r="S15" s="493"/>
      <c r="T15" s="479"/>
      <c r="U15" s="459"/>
      <c r="V15" s="489"/>
    </row>
    <row r="16" spans="1:22">
      <c r="A16" s="5" t="str">
        <f>IF(K16&gt;0,COUNT($A$8:A15)+1,"")</f>
        <v/>
      </c>
      <c r="B16" s="664"/>
      <c r="C16" s="665"/>
      <c r="D16" s="369" t="str">
        <f>_xlfn.XLOOKUP(E16,'All Products'!D:D,'All Products'!C:C,FALSE)</f>
        <v>101-3198</v>
      </c>
      <c r="E16" s="103">
        <v>100028846</v>
      </c>
      <c r="F16" s="376" t="str">
        <f>_xlfn.XLOOKUP(E16,'All Products'!D:D,'All Products'!E:E,FALSE)</f>
        <v>1-1/2 FEMALE ADAPTER HXFPT DWV</v>
      </c>
      <c r="G16" s="232">
        <f>_xlfn.XLOOKUP(E16,'All Products'!D:D,'All Products'!F:F,FALSE)</f>
        <v>100</v>
      </c>
      <c r="H16" s="387">
        <f>_xlfn.XLOOKUP(E16,'All Products'!D:D,'All Products'!G:G,FALSE)</f>
        <v>6300</v>
      </c>
      <c r="I16" s="369">
        <f>_xlfn.XLOOKUP(E16,'All Products'!D:D,'All Products'!H:H,FALSE)</f>
        <v>25.67</v>
      </c>
      <c r="J16" s="183">
        <f>IFERROR(ROUNDUP(I16*Order_Quote!$L$2,2),0)</f>
        <v>25.67</v>
      </c>
      <c r="K16" s="118"/>
      <c r="L16" s="76"/>
      <c r="M16" s="104">
        <f t="shared" si="0"/>
        <v>0</v>
      </c>
      <c r="O16" s="379" t="str">
        <f>_xlfn.XLOOKUP(E16,'All Products'!D:D,'All Products'!I:I,FALSE)</f>
        <v>Within 3 Weeks</v>
      </c>
      <c r="P16" s="379" t="str">
        <f>_xlfn.XLOOKUP(E16,'All Products'!D:D,'All Products'!J:J,FALSE)</f>
        <v>Manufactured</v>
      </c>
      <c r="Q16" s="397">
        <f>_xlfn.XLOOKUP(F16,'All Products'!E:E,'All Products'!K:K,FALSE)</f>
        <v>810673012541</v>
      </c>
      <c r="R16" s="397" t="str">
        <f>_xlfn.XLOOKUP(E16,'All Products'!D:D,'All Products'!L:L,FALSE)</f>
        <v>-</v>
      </c>
      <c r="S16" s="397">
        <f>_xlfn.XLOOKUP(E16,'All Products'!D:D,'All Products'!M:M,FALSE)</f>
        <v>10810673012548</v>
      </c>
      <c r="T16" s="384">
        <f>_xlfn.XLOOKUP(E16,'All Products'!D:D,'All Products'!N:N,FALSE)</f>
        <v>0.127</v>
      </c>
      <c r="U16" s="384">
        <f>_xlfn.XLOOKUP(E16,'All Products'!D:D,'All Products'!P:P,FALSE)</f>
        <v>12.7</v>
      </c>
      <c r="V16" s="384">
        <f>_xlfn.XLOOKUP(E16,'All Products'!D:D,'All Products'!Q:Q,FALSE)</f>
        <v>0.66940792428507967</v>
      </c>
    </row>
    <row r="17" spans="1:22">
      <c r="A17" s="5" t="str">
        <f>IF(K17&gt;0,COUNT($A$8:A16)+1,"")</f>
        <v/>
      </c>
      <c r="B17" s="646"/>
      <c r="C17" s="647"/>
      <c r="D17" s="369" t="str">
        <f>_xlfn.XLOOKUP(E17,'All Products'!D:D,'All Products'!C:C,FALSE)</f>
        <v>101-3199</v>
      </c>
      <c r="E17" s="103">
        <v>100028847</v>
      </c>
      <c r="F17" s="376" t="str">
        <f>_xlfn.XLOOKUP(E17,'All Products'!D:D,'All Products'!E:E,FALSE)</f>
        <v>2 FEMALE ADAPTER HXFPT DWV</v>
      </c>
      <c r="G17" s="232">
        <f>_xlfn.XLOOKUP(E17,'All Products'!D:D,'All Products'!F:F,FALSE)</f>
        <v>100</v>
      </c>
      <c r="H17" s="387">
        <f>_xlfn.XLOOKUP(E17,'All Products'!D:D,'All Products'!G:G,FALSE)</f>
        <v>4500</v>
      </c>
      <c r="I17" s="369">
        <f>_xlfn.XLOOKUP(E17,'All Products'!D:D,'All Products'!H:H,FALSE)</f>
        <v>43.81</v>
      </c>
      <c r="J17" s="183">
        <f>IFERROR(ROUNDUP(I17*Order_Quote!$L$2,2),0)</f>
        <v>43.81</v>
      </c>
      <c r="K17" s="118"/>
      <c r="L17" s="76"/>
      <c r="M17" s="104">
        <f t="shared" si="0"/>
        <v>0</v>
      </c>
      <c r="O17" s="379" t="str">
        <f>_xlfn.XLOOKUP(E17,'All Products'!D:D,'All Products'!I:I,FALSE)</f>
        <v>Within 3 Weeks</v>
      </c>
      <c r="P17" s="379" t="str">
        <f>_xlfn.XLOOKUP(E17,'All Products'!D:D,'All Products'!J:J,FALSE)</f>
        <v>Manufactured</v>
      </c>
      <c r="Q17" s="397">
        <f>_xlfn.XLOOKUP(F17,'All Products'!E:E,'All Products'!K:K,FALSE)</f>
        <v>810673013319</v>
      </c>
      <c r="R17" s="397" t="str">
        <f>_xlfn.XLOOKUP(E17,'All Products'!D:D,'All Products'!L:L,FALSE)</f>
        <v>-</v>
      </c>
      <c r="S17" s="397">
        <f>_xlfn.XLOOKUP(E17,'All Products'!D:D,'All Products'!M:M,FALSE)</f>
        <v>10810673013316</v>
      </c>
      <c r="T17" s="384">
        <f>_xlfn.XLOOKUP(E17,'All Products'!D:D,'All Products'!N:N,FALSE)</f>
        <v>0.17199999999999999</v>
      </c>
      <c r="U17" s="384">
        <f>_xlfn.XLOOKUP(E17,'All Products'!D:D,'All Products'!P:P,FALSE)</f>
        <v>17.2</v>
      </c>
      <c r="V17" s="384">
        <f>_xlfn.XLOOKUP(E17,'All Products'!D:D,'All Products'!Q:Q,FALSE)</f>
        <v>0.98955954024750914</v>
      </c>
    </row>
    <row r="18" spans="1:22">
      <c r="A18" s="5" t="str">
        <f>IF(K18&gt;0,COUNT($A$8:A17)+1,"")</f>
        <v/>
      </c>
      <c r="B18" s="646"/>
      <c r="C18" s="647"/>
      <c r="D18" s="369" t="str">
        <f>_xlfn.XLOOKUP(E18,'All Products'!D:D,'All Products'!C:C,FALSE)</f>
        <v>101-3200</v>
      </c>
      <c r="E18" s="103">
        <v>100028848</v>
      </c>
      <c r="F18" s="376" t="str">
        <f>_xlfn.XLOOKUP(E18,'All Products'!D:D,'All Products'!E:E,FALSE)</f>
        <v>3 FEMALE ADAPTER HXFPT DWV</v>
      </c>
      <c r="G18" s="232">
        <f>_xlfn.XLOOKUP(E18,'All Products'!D:D,'All Products'!F:F,FALSE)</f>
        <v>30</v>
      </c>
      <c r="H18" s="387">
        <f>_xlfn.XLOOKUP(E18,'All Products'!D:D,'All Products'!G:G,FALSE)</f>
        <v>1350</v>
      </c>
      <c r="I18" s="369">
        <f>_xlfn.XLOOKUP(E18,'All Products'!D:D,'All Products'!H:H,FALSE)</f>
        <v>116.9</v>
      </c>
      <c r="J18" s="183">
        <f>IFERROR(ROUNDUP(I18*Order_Quote!$L$2,2),0)</f>
        <v>116.9</v>
      </c>
      <c r="K18" s="118"/>
      <c r="L18" s="76"/>
      <c r="M18" s="104">
        <f t="shared" si="0"/>
        <v>0</v>
      </c>
      <c r="O18" s="379" t="str">
        <f>_xlfn.XLOOKUP(E18,'All Products'!D:D,'All Products'!I:I,FALSE)</f>
        <v>In Stock</v>
      </c>
      <c r="P18" s="379" t="str">
        <f>_xlfn.XLOOKUP(E18,'All Products'!D:D,'All Products'!J:J,FALSE)</f>
        <v>Manufactured</v>
      </c>
      <c r="Q18" s="397">
        <f>_xlfn.XLOOKUP(F18,'All Products'!E:E,'All Products'!K:K,FALSE)</f>
        <v>810673013326</v>
      </c>
      <c r="R18" s="397" t="str">
        <f>_xlfn.XLOOKUP(E18,'All Products'!D:D,'All Products'!L:L,FALSE)</f>
        <v>-</v>
      </c>
      <c r="S18" s="397">
        <f>_xlfn.XLOOKUP(E18,'All Products'!D:D,'All Products'!M:M,FALSE)</f>
        <v>10810673013323</v>
      </c>
      <c r="T18" s="384">
        <f>_xlfn.XLOOKUP(E18,'All Products'!D:D,'All Products'!N:N,FALSE)</f>
        <v>0.54600000000000004</v>
      </c>
      <c r="U18" s="384">
        <f>_xlfn.XLOOKUP(E18,'All Products'!D:D,'All Products'!P:P,FALSE)</f>
        <v>16.380000000000003</v>
      </c>
      <c r="V18" s="384">
        <f>_xlfn.XLOOKUP(E18,'All Products'!D:D,'All Products'!Q:Q,FALSE)</f>
        <v>0.98955954024750914</v>
      </c>
    </row>
    <row r="19" spans="1:22">
      <c r="A19" s="5" t="str">
        <f>IF(K19&gt;0,COUNT($A$8:A18)+1,"")</f>
        <v/>
      </c>
      <c r="B19" s="646"/>
      <c r="C19" s="647"/>
      <c r="D19" s="369" t="str">
        <f>_xlfn.XLOOKUP(E19,'All Products'!D:D,'All Products'!C:C,FALSE)</f>
        <v>101-3201</v>
      </c>
      <c r="E19" s="103">
        <v>100028849</v>
      </c>
      <c r="F19" s="376" t="str">
        <f>_xlfn.XLOOKUP(E19,'All Products'!D:D,'All Products'!E:E,FALSE)</f>
        <v>4 FEMALE ADAPTER HXFPT DWV</v>
      </c>
      <c r="G19" s="232">
        <f>_xlfn.XLOOKUP(E19,'All Products'!D:D,'All Products'!F:F,FALSE)</f>
        <v>10</v>
      </c>
      <c r="H19" s="387">
        <f>_xlfn.XLOOKUP(E19,'All Products'!D:D,'All Products'!G:G,FALSE)</f>
        <v>630</v>
      </c>
      <c r="I19" s="369">
        <f>_xlfn.XLOOKUP(E19,'All Products'!D:D,'All Products'!H:H,FALSE)</f>
        <v>151.83000000000001</v>
      </c>
      <c r="J19" s="183">
        <f>IFERROR(ROUNDUP(I19*Order_Quote!$L$2,2),0)</f>
        <v>151.83000000000001</v>
      </c>
      <c r="K19" s="118"/>
      <c r="L19" s="76"/>
      <c r="M19" s="104">
        <f t="shared" si="0"/>
        <v>0</v>
      </c>
      <c r="O19" s="379" t="str">
        <f>_xlfn.XLOOKUP(E19,'All Products'!D:D,'All Products'!I:I,FALSE)</f>
        <v>In Stock</v>
      </c>
      <c r="P19" s="379" t="str">
        <f>_xlfn.XLOOKUP(E19,'All Products'!D:D,'All Products'!J:J,FALSE)</f>
        <v>Manufactured</v>
      </c>
      <c r="Q19" s="397">
        <f>_xlfn.XLOOKUP(F19,'All Products'!E:E,'All Products'!K:K,FALSE)</f>
        <v>810673013333</v>
      </c>
      <c r="R19" s="397" t="str">
        <f>_xlfn.XLOOKUP(E19,'All Products'!D:D,'All Products'!L:L,FALSE)</f>
        <v>-</v>
      </c>
      <c r="S19" s="397">
        <f>_xlfn.XLOOKUP(E19,'All Products'!D:D,'All Products'!M:M,FALSE)</f>
        <v>10810673013330</v>
      </c>
      <c r="T19" s="384">
        <f>_xlfn.XLOOKUP(E19,'All Products'!D:D,'All Products'!N:N,FALSE)</f>
        <v>0.97699999999999998</v>
      </c>
      <c r="U19" s="384">
        <f>_xlfn.XLOOKUP(E19,'All Products'!D:D,'All Products'!P:P,FALSE)</f>
        <v>9.77</v>
      </c>
      <c r="V19" s="384">
        <f>_xlfn.XLOOKUP(E19,'All Products'!D:D,'All Products'!Q:Q,FALSE)</f>
        <v>0.66940792428507967</v>
      </c>
    </row>
    <row r="20" spans="1:22" ht="15" thickBot="1">
      <c r="A20" s="5" t="str">
        <f>IF(K20&gt;0,COUNT($A$8:A19)+1,"")</f>
        <v/>
      </c>
      <c r="B20" s="666"/>
      <c r="C20" s="667"/>
      <c r="D20" s="369" t="str">
        <f>_xlfn.XLOOKUP(E20,'All Products'!D:D,'All Products'!C:C,FALSE)</f>
        <v>101-3202</v>
      </c>
      <c r="E20" s="103">
        <v>100028850</v>
      </c>
      <c r="F20" s="376" t="str">
        <f>_xlfn.XLOOKUP(E20,'All Products'!D:D,'All Products'!E:E,FALSE)</f>
        <v>6 FEMALE ADAPTER HXFPT DWV</v>
      </c>
      <c r="G20" s="232">
        <f>_xlfn.XLOOKUP(E20,'All Products'!D:D,'All Products'!F:F,FALSE)</f>
        <v>10</v>
      </c>
      <c r="H20" s="387">
        <f>_xlfn.XLOOKUP(E20,'All Products'!D:D,'All Products'!G:G,FALSE)</f>
        <v>240</v>
      </c>
      <c r="I20" s="369">
        <f>_xlfn.XLOOKUP(E20,'All Products'!D:D,'All Products'!H:H,FALSE)</f>
        <v>487.15</v>
      </c>
      <c r="J20" s="183">
        <f>IFERROR(ROUNDUP(I20*Order_Quote!$L$2,2),0)</f>
        <v>487.15</v>
      </c>
      <c r="K20" s="118"/>
      <c r="L20" s="76"/>
      <c r="M20" s="104">
        <f t="shared" si="0"/>
        <v>0</v>
      </c>
      <c r="O20" s="379" t="str">
        <f>_xlfn.XLOOKUP(E20,'All Products'!D:D,'All Products'!I:I,FALSE)</f>
        <v>In Stock</v>
      </c>
      <c r="P20" s="379" t="str">
        <f>_xlfn.XLOOKUP(E20,'All Products'!D:D,'All Products'!J:J,FALSE)</f>
        <v>Manufactured</v>
      </c>
      <c r="Q20" s="504">
        <f>_xlfn.XLOOKUP(F20,'All Products'!E:E,'All Products'!K:K,FALSE)</f>
        <v>810673014125</v>
      </c>
      <c r="R20" s="397" t="str">
        <f>_xlfn.XLOOKUP(E20,'All Products'!D:D,'All Products'!L:L,FALSE)</f>
        <v>-</v>
      </c>
      <c r="S20" s="397">
        <f>_xlfn.XLOOKUP(E20,'All Products'!D:D,'All Products'!M:M,FALSE)</f>
        <v>810673015634</v>
      </c>
      <c r="T20" s="384">
        <f>_xlfn.XLOOKUP(E20,'All Products'!D:D,'All Products'!N:N,FALSE)</f>
        <v>2.069</v>
      </c>
      <c r="U20" s="384">
        <f>_xlfn.XLOOKUP(E20,'All Products'!D:D,'All Products'!P:P,FALSE)</f>
        <v>20.689999999999998</v>
      </c>
      <c r="V20" s="384">
        <f>_xlfn.XLOOKUP(E20,'All Products'!D:D,'All Products'!Q:Q,FALSE)</f>
        <v>1.8803145838984718</v>
      </c>
    </row>
    <row r="21" spans="1:22" s="17" customFormat="1" ht="16.2" thickBot="1">
      <c r="A21" s="5" t="str">
        <f>IF(K21&gt;0,COUNT($A$8:A20)+1,"")</f>
        <v/>
      </c>
      <c r="B21" s="503" t="s">
        <v>5802</v>
      </c>
      <c r="C21" s="502"/>
      <c r="D21" s="151"/>
      <c r="E21" s="459"/>
      <c r="F21" s="151"/>
      <c r="G21" s="468"/>
      <c r="H21" s="151"/>
      <c r="I21" s="472"/>
      <c r="J21" s="468"/>
      <c r="K21" s="477"/>
      <c r="L21" s="238"/>
      <c r="M21" s="476"/>
      <c r="O21" s="475"/>
      <c r="P21" s="145"/>
      <c r="Q21" s="492"/>
      <c r="R21" s="493"/>
      <c r="S21" s="493"/>
      <c r="T21" s="479"/>
      <c r="U21" s="459"/>
      <c r="V21" s="489"/>
    </row>
    <row r="22" spans="1:22">
      <c r="A22" s="5" t="str">
        <f>IF(K22&gt;0,COUNT($A$8:A21)+1,"")</f>
        <v/>
      </c>
      <c r="B22" s="664"/>
      <c r="C22" s="665"/>
      <c r="D22" s="369" t="str">
        <f>_xlfn.XLOOKUP(E22,'All Products'!D:D,'All Products'!C:C,FALSE)</f>
        <v>109-3286</v>
      </c>
      <c r="E22" s="103">
        <v>100028887</v>
      </c>
      <c r="F22" s="376" t="str">
        <f>_xlfn.XLOOKUP(E22,'All Products'!D:D,'All Products'!E:E,FALSE)</f>
        <v>1-1/2 MALE ADAPTER HXMPT DWV</v>
      </c>
      <c r="G22" s="232">
        <f>_xlfn.XLOOKUP(E22,'All Products'!D:D,'All Products'!F:F,FALSE)</f>
        <v>50</v>
      </c>
      <c r="H22" s="387">
        <f>_xlfn.XLOOKUP(E22,'All Products'!D:D,'All Products'!G:G,FALSE)</f>
        <v>6400</v>
      </c>
      <c r="I22" s="369">
        <f>_xlfn.XLOOKUP(E22,'All Products'!D:D,'All Products'!H:H,FALSE)</f>
        <v>25.83</v>
      </c>
      <c r="J22" s="183">
        <f>IFERROR(ROUNDUP(I22*Order_Quote!$L$2,2),0)</f>
        <v>25.83</v>
      </c>
      <c r="K22" s="118"/>
      <c r="L22" s="76"/>
      <c r="M22" s="104">
        <f t="shared" ref="M22:M27" si="1">K22/G22</f>
        <v>0</v>
      </c>
      <c r="O22" s="379" t="str">
        <f>_xlfn.XLOOKUP(E22,'All Products'!D:D,'All Products'!I:I,FALSE)</f>
        <v>Within 3 Weeks</v>
      </c>
      <c r="P22" s="379" t="str">
        <f>_xlfn.XLOOKUP(E22,'All Products'!D:D,'All Products'!J:J,FALSE)</f>
        <v>Manufactured</v>
      </c>
      <c r="Q22" s="397">
        <f>_xlfn.XLOOKUP(F22,'All Products'!E:E,'All Products'!K:K,FALSE)</f>
        <v>810673013432</v>
      </c>
      <c r="R22" s="397" t="str">
        <f>_xlfn.XLOOKUP(E22,'All Products'!D:D,'All Products'!L:L,FALSE)</f>
        <v>-</v>
      </c>
      <c r="S22" s="397">
        <f>_xlfn.XLOOKUP(E22,'All Products'!D:D,'All Products'!M:M,FALSE)</f>
        <v>10810673013439</v>
      </c>
      <c r="T22" s="384">
        <f>_xlfn.XLOOKUP(E22,'All Products'!D:D,'All Products'!N:N,FALSE)</f>
        <v>0.10100000000000001</v>
      </c>
      <c r="U22" s="384">
        <f>_xlfn.XLOOKUP(E22,'All Products'!D:D,'All Products'!P:P,FALSE)</f>
        <v>5.0500000000000007</v>
      </c>
      <c r="V22" s="384">
        <f>_xlfn.XLOOKUP(E22,'All Products'!D:D,'All Products'!Q:Q,FALSE)</f>
        <v>0.32375720697715193</v>
      </c>
    </row>
    <row r="23" spans="1:22">
      <c r="A23" s="5" t="str">
        <f>IF(K23&gt;0,COUNT($A$8:A22)+1,"")</f>
        <v/>
      </c>
      <c r="B23" s="646"/>
      <c r="C23" s="647"/>
      <c r="D23" s="369" t="str">
        <f>_xlfn.XLOOKUP(E23,'All Products'!D:D,'All Products'!C:C,FALSE)</f>
        <v>109-3287</v>
      </c>
      <c r="E23" s="103">
        <v>300005641</v>
      </c>
      <c r="F23" s="376" t="str">
        <f>_xlfn.XLOOKUP(E23,'All Products'!D:D,'All Products'!E:E,FALSE)</f>
        <v>1-1/2X1-1/4 MALE ADAPTER HXMPT DWV</v>
      </c>
      <c r="G23" s="232">
        <f>_xlfn.XLOOKUP(E23,'All Products'!D:D,'All Products'!F:F,FALSE)</f>
        <v>25</v>
      </c>
      <c r="H23" s="387">
        <f>_xlfn.XLOOKUP(E23,'All Products'!D:D,'All Products'!G:G,FALSE)</f>
        <v>7500</v>
      </c>
      <c r="I23" s="369" t="str">
        <f>_xlfn.XLOOKUP(E23,'All Products'!D:D,'All Products'!H:H,FALSE)</f>
        <v>Quote Required</v>
      </c>
      <c r="J23" s="183">
        <f>IFERROR(ROUNDUP(I23*Order_Quote!$L$2,2),0)</f>
        <v>0</v>
      </c>
      <c r="K23" s="118"/>
      <c r="L23" s="76"/>
      <c r="M23" s="104">
        <v>25</v>
      </c>
      <c r="O23" s="379" t="str">
        <f>_xlfn.XLOOKUP(E23,'All Products'!D:D,'All Products'!I:I,FALSE)</f>
        <v>Within 3 Weeks</v>
      </c>
      <c r="P23" s="379" t="str">
        <f>_xlfn.XLOOKUP(E23,'All Products'!D:D,'All Products'!J:J,FALSE)</f>
        <v>Sourced</v>
      </c>
      <c r="Q23" s="397">
        <f>_xlfn.XLOOKUP(F23,'All Products'!E:E,'All Products'!K:K,FALSE)</f>
        <v>810673013425</v>
      </c>
      <c r="R23" s="397" t="str">
        <f>_xlfn.XLOOKUP(E23,'All Products'!D:D,'All Products'!L:L,FALSE)</f>
        <v>-</v>
      </c>
      <c r="S23" s="397">
        <f>_xlfn.XLOOKUP(E23,'All Products'!D:D,'All Products'!M:M,FALSE)</f>
        <v>10810673013422</v>
      </c>
      <c r="T23" s="384">
        <f>_xlfn.XLOOKUP(E23,'All Products'!D:D,'All Products'!N:N,FALSE)</f>
        <v>7.0000000000000007E-2</v>
      </c>
      <c r="U23" s="384">
        <f>_xlfn.XLOOKUP(E23,'All Products'!D:D,'All Products'!P:P,FALSE)</f>
        <v>1.7500000000000002</v>
      </c>
      <c r="V23" s="384" t="str">
        <f>_xlfn.XLOOKUP(E23,'All Products'!D:D,'All Products'!Q:Q,FALSE)</f>
        <v>-</v>
      </c>
    </row>
    <row r="24" spans="1:22">
      <c r="A24" s="5" t="str">
        <f>IF(K24&gt;0,COUNT($A$8:A23)+1,"")</f>
        <v/>
      </c>
      <c r="B24" s="646"/>
      <c r="C24" s="647"/>
      <c r="D24" s="369" t="str">
        <f>_xlfn.XLOOKUP(E24,'All Products'!D:D,'All Products'!C:C,FALSE)</f>
        <v>109-3288</v>
      </c>
      <c r="E24" s="103">
        <v>100028889</v>
      </c>
      <c r="F24" s="376" t="str">
        <f>_xlfn.XLOOKUP(E24,'All Products'!D:D,'All Products'!E:E,FALSE)</f>
        <v>2 MALE ADAPTER HXMPT DWV</v>
      </c>
      <c r="G24" s="232">
        <f>_xlfn.XLOOKUP(E24,'All Products'!D:D,'All Products'!F:F,FALSE)</f>
        <v>50</v>
      </c>
      <c r="H24" s="387">
        <f>_xlfn.XLOOKUP(E24,'All Products'!D:D,'All Products'!G:G,FALSE)</f>
        <v>7200</v>
      </c>
      <c r="I24" s="369">
        <f>_xlfn.XLOOKUP(E24,'All Products'!D:D,'All Products'!H:H,FALSE)</f>
        <v>34.68</v>
      </c>
      <c r="J24" s="183">
        <f>IFERROR(ROUNDUP(I24*Order_Quote!$L$2,2),0)</f>
        <v>34.68</v>
      </c>
      <c r="K24" s="118"/>
      <c r="L24" s="76"/>
      <c r="M24" s="104">
        <f t="shared" si="1"/>
        <v>0</v>
      </c>
      <c r="O24" s="379" t="str">
        <f>_xlfn.XLOOKUP(E24,'All Products'!D:D,'All Products'!I:I,FALSE)</f>
        <v>Within 3 Weeks</v>
      </c>
      <c r="P24" s="379" t="str">
        <f>_xlfn.XLOOKUP(E24,'All Products'!D:D,'All Products'!J:J,FALSE)</f>
        <v>Manufactured</v>
      </c>
      <c r="Q24" s="397">
        <f>_xlfn.XLOOKUP(F24,'All Products'!E:E,'All Products'!K:K,FALSE)</f>
        <v>810673013449</v>
      </c>
      <c r="R24" s="397" t="str">
        <f>_xlfn.XLOOKUP(E24,'All Products'!D:D,'All Products'!L:L,FALSE)</f>
        <v>-</v>
      </c>
      <c r="S24" s="397">
        <f>_xlfn.XLOOKUP(E24,'All Products'!D:D,'All Products'!M:M,FALSE)</f>
        <v>10810673013446</v>
      </c>
      <c r="T24" s="384">
        <f>_xlfn.XLOOKUP(E24,'All Products'!D:D,'All Products'!N:N,FALSE)</f>
        <v>0.122</v>
      </c>
      <c r="U24" s="384">
        <f>_xlfn.XLOOKUP(E24,'All Products'!D:D,'All Products'!P:P,FALSE)</f>
        <v>6.1</v>
      </c>
      <c r="V24" s="384">
        <f>_xlfn.XLOOKUP(E24,'All Products'!D:D,'All Products'!Q:Q,FALSE)</f>
        <v>0.26544609711836381</v>
      </c>
    </row>
    <row r="25" spans="1:22">
      <c r="A25" s="5" t="str">
        <f>IF(K25&gt;0,COUNT($A$8:A24)+1,"")</f>
        <v/>
      </c>
      <c r="B25" s="646"/>
      <c r="C25" s="647"/>
      <c r="D25" s="369" t="str">
        <f>_xlfn.XLOOKUP(E25,'All Products'!D:D,'All Products'!C:C,FALSE)</f>
        <v>109-3289</v>
      </c>
      <c r="E25" s="103">
        <v>100028890</v>
      </c>
      <c r="F25" s="376" t="str">
        <f>_xlfn.XLOOKUP(E25,'All Products'!D:D,'All Products'!E:E,FALSE)</f>
        <v>3 MALE ADAPTER HXMPT DWV</v>
      </c>
      <c r="G25" s="232">
        <f>_xlfn.XLOOKUP(E25,'All Products'!D:D,'All Products'!F:F,FALSE)</f>
        <v>25</v>
      </c>
      <c r="H25" s="387">
        <f>_xlfn.XLOOKUP(E25,'All Products'!D:D,'All Products'!G:G,FALSE)</f>
        <v>1125</v>
      </c>
      <c r="I25" s="369">
        <f>_xlfn.XLOOKUP(E25,'All Products'!D:D,'All Products'!H:H,FALSE)</f>
        <v>96.86</v>
      </c>
      <c r="J25" s="183">
        <f>IFERROR(ROUNDUP(I25*Order_Quote!$L$2,2),0)</f>
        <v>96.86</v>
      </c>
      <c r="K25" s="118"/>
      <c r="L25" s="76"/>
      <c r="M25" s="104">
        <f t="shared" si="1"/>
        <v>0</v>
      </c>
      <c r="O25" s="379" t="str">
        <f>_xlfn.XLOOKUP(E25,'All Products'!D:D,'All Products'!I:I,FALSE)</f>
        <v>Within 3 Weeks</v>
      </c>
      <c r="P25" s="379" t="str">
        <f>_xlfn.XLOOKUP(E25,'All Products'!D:D,'All Products'!J:J,FALSE)</f>
        <v>Manufactured</v>
      </c>
      <c r="Q25" s="397">
        <f>_xlfn.XLOOKUP(F25,'All Products'!E:E,'All Products'!K:K,FALSE)</f>
        <v>810673013456</v>
      </c>
      <c r="R25" s="397" t="str">
        <f>_xlfn.XLOOKUP(E25,'All Products'!D:D,'All Products'!L:L,FALSE)</f>
        <v>-</v>
      </c>
      <c r="S25" s="397">
        <f>_xlfn.XLOOKUP(E25,'All Products'!D:D,'All Products'!M:M,FALSE)</f>
        <v>10810673013453</v>
      </c>
      <c r="T25" s="384">
        <f>_xlfn.XLOOKUP(E25,'All Products'!D:D,'All Products'!N:N,FALSE)</f>
        <v>0.46</v>
      </c>
      <c r="U25" s="384">
        <f>_xlfn.XLOOKUP(E25,'All Products'!D:D,'All Products'!P:P,FALSE)</f>
        <v>11.5</v>
      </c>
      <c r="V25" s="384">
        <f>_xlfn.XLOOKUP(E25,'All Products'!D:D,'All Products'!Q:Q,FALSE)</f>
        <v>0.98955954024750914</v>
      </c>
    </row>
    <row r="26" spans="1:22">
      <c r="A26" s="5" t="str">
        <f>IF(K26&gt;0,COUNT($A$8:A25)+1,"")</f>
        <v/>
      </c>
      <c r="B26" s="646"/>
      <c r="C26" s="647"/>
      <c r="D26" s="369" t="str">
        <f>_xlfn.XLOOKUP(E26,'All Products'!D:D,'All Products'!C:C,FALSE)</f>
        <v>109-3290</v>
      </c>
      <c r="E26" s="103">
        <v>100028891</v>
      </c>
      <c r="F26" s="376" t="str">
        <f>_xlfn.XLOOKUP(E26,'All Products'!D:D,'All Products'!E:E,FALSE)</f>
        <v>4 MALE ADAPTER HXMPT DWV</v>
      </c>
      <c r="G26" s="232">
        <f>_xlfn.XLOOKUP(E26,'All Products'!D:D,'All Products'!F:F,FALSE)</f>
        <v>25</v>
      </c>
      <c r="H26" s="387">
        <f>_xlfn.XLOOKUP(E26,'All Products'!D:D,'All Products'!G:G,FALSE)</f>
        <v>800</v>
      </c>
      <c r="I26" s="369">
        <f>_xlfn.XLOOKUP(E26,'All Products'!D:D,'All Products'!H:H,FALSE)</f>
        <v>219.29</v>
      </c>
      <c r="J26" s="183">
        <f>IFERROR(ROUNDUP(I26*Order_Quote!$L$2,2),0)</f>
        <v>219.29</v>
      </c>
      <c r="K26" s="118"/>
      <c r="L26" s="76"/>
      <c r="M26" s="104">
        <f t="shared" si="1"/>
        <v>0</v>
      </c>
      <c r="O26" s="379" t="str">
        <f>_xlfn.XLOOKUP(E26,'All Products'!D:D,'All Products'!I:I,FALSE)</f>
        <v>Within 3 Weeks</v>
      </c>
      <c r="P26" s="379" t="str">
        <f>_xlfn.XLOOKUP(E26,'All Products'!D:D,'All Products'!J:J,FALSE)</f>
        <v>Manufactured</v>
      </c>
      <c r="Q26" s="397">
        <f>_xlfn.XLOOKUP(F26,'All Products'!E:E,'All Products'!K:K,FALSE)</f>
        <v>810673013463</v>
      </c>
      <c r="R26" s="397" t="str">
        <f>_xlfn.XLOOKUP(E26,'All Products'!D:D,'All Products'!L:L,FALSE)</f>
        <v>-</v>
      </c>
      <c r="S26" s="397">
        <f>_xlfn.XLOOKUP(E26,'All Products'!D:D,'All Products'!M:M,FALSE)</f>
        <v>810673011018</v>
      </c>
      <c r="T26" s="384">
        <f>_xlfn.XLOOKUP(E26,'All Products'!D:D,'All Products'!N:N,FALSE)</f>
        <v>0.82699999999999996</v>
      </c>
      <c r="U26" s="384">
        <f>_xlfn.XLOOKUP(E26,'All Products'!D:D,'All Products'!P:P,FALSE)</f>
        <v>20.674999999999997</v>
      </c>
      <c r="V26" s="384">
        <f>_xlfn.XLOOKUP(E26,'All Products'!D:D,'All Products'!Q:Q,FALSE)</f>
        <v>1.3788503419060438</v>
      </c>
    </row>
    <row r="27" spans="1:22" ht="15" thickBot="1">
      <c r="A27" s="5" t="str">
        <f>IF(K27&gt;0,COUNT($A$8:A26)+1,"")</f>
        <v/>
      </c>
      <c r="B27" s="666"/>
      <c r="C27" s="667"/>
      <c r="D27" s="369" t="str">
        <f>_xlfn.XLOOKUP(E27,'All Products'!D:D,'All Products'!C:C,FALSE)</f>
        <v>109-3296</v>
      </c>
      <c r="E27" s="103">
        <v>300005642</v>
      </c>
      <c r="F27" s="376" t="str">
        <f>_xlfn.XLOOKUP(E27,'All Products'!D:D,'All Products'!E:E,FALSE)</f>
        <v>6 MALE ADAPTER HXMPT DWV</v>
      </c>
      <c r="G27" s="232">
        <f>_xlfn.XLOOKUP(E27,'All Products'!D:D,'All Products'!F:F,FALSE)</f>
        <v>7</v>
      </c>
      <c r="H27" s="387">
        <f>_xlfn.XLOOKUP(E27,'All Products'!D:D,'All Products'!G:G,FALSE)</f>
        <v>245</v>
      </c>
      <c r="I27" s="369" t="str">
        <f>_xlfn.XLOOKUP(E27,'All Products'!D:D,'All Products'!H:H,FALSE)</f>
        <v>Quote Required</v>
      </c>
      <c r="J27" s="183">
        <f>IFERROR(ROUNDUP(I27*Order_Quote!$L$2,2),0)</f>
        <v>0</v>
      </c>
      <c r="K27" s="118"/>
      <c r="L27" s="76"/>
      <c r="M27" s="104">
        <f t="shared" si="1"/>
        <v>0</v>
      </c>
      <c r="O27" s="379" t="str">
        <f>_xlfn.XLOOKUP(E27,'All Products'!D:D,'All Products'!I:I,FALSE)</f>
        <v>Within 6 Weeks</v>
      </c>
      <c r="P27" s="379" t="str">
        <f>_xlfn.XLOOKUP(E27,'All Products'!D:D,'All Products'!J:J,FALSE)</f>
        <v>Sourced</v>
      </c>
      <c r="Q27" s="504">
        <f>_xlfn.XLOOKUP(F27,'All Products'!E:E,'All Products'!K:K,FALSE)</f>
        <v>812361017173</v>
      </c>
      <c r="R27" s="397" t="str">
        <f>_xlfn.XLOOKUP(E27,'All Products'!D:D,'All Products'!L:L,FALSE)</f>
        <v>-</v>
      </c>
      <c r="S27" s="397" t="str">
        <f>_xlfn.XLOOKUP(E27,'All Products'!D:D,'All Products'!M:M,FALSE)</f>
        <v>-</v>
      </c>
      <c r="T27" s="384">
        <f>_xlfn.XLOOKUP(E27,'All Products'!D:D,'All Products'!N:N,FALSE)</f>
        <v>0.28000000000000003</v>
      </c>
      <c r="U27" s="384">
        <f>_xlfn.XLOOKUP(E27,'All Products'!D:D,'All Products'!P:P,FALSE)</f>
        <v>1.9600000000000002</v>
      </c>
      <c r="V27" s="384" t="str">
        <f>_xlfn.XLOOKUP(E27,'All Products'!D:D,'All Products'!Q:Q,FALSE)</f>
        <v>-</v>
      </c>
    </row>
    <row r="28" spans="1:22" s="17" customFormat="1" ht="16.2" thickBot="1">
      <c r="A28" s="5" t="str">
        <f>IF(K28&gt;0,COUNT($A$8:A27)+1,"")</f>
        <v/>
      </c>
      <c r="B28" s="501" t="s">
        <v>5858</v>
      </c>
      <c r="C28" s="151"/>
      <c r="D28" s="151"/>
      <c r="E28" s="459"/>
      <c r="F28" s="151"/>
      <c r="G28" s="468"/>
      <c r="H28" s="151"/>
      <c r="I28" s="472"/>
      <c r="J28" s="468"/>
      <c r="K28" s="477"/>
      <c r="L28" s="238"/>
      <c r="M28" s="476"/>
      <c r="O28" s="475"/>
      <c r="P28" s="145"/>
      <c r="Q28" s="492"/>
      <c r="R28" s="493"/>
      <c r="S28" s="493"/>
      <c r="T28" s="479"/>
      <c r="U28" s="459"/>
      <c r="V28" s="489"/>
    </row>
    <row r="29" spans="1:22">
      <c r="A29" s="5" t="str">
        <f>IF(K29&gt;0,COUNT($A$8:A28)+1,"")</f>
        <v/>
      </c>
      <c r="B29" s="664"/>
      <c r="C29" s="665"/>
      <c r="D29" s="369" t="str">
        <f>_xlfn.XLOOKUP(E29,'All Products'!D:D,'All Products'!C:C,FALSE)</f>
        <v>102-3203</v>
      </c>
      <c r="E29" s="103">
        <v>100028852</v>
      </c>
      <c r="F29" s="376" t="str">
        <f>_xlfn.XLOOKUP(E29,'All Products'!D:D,'All Products'!E:E,FALSE)</f>
        <v>2X1-1/2 PIPE INCREASER REDUCER DWV</v>
      </c>
      <c r="G29" s="232">
        <f>_xlfn.XLOOKUP(E29,'All Products'!D:D,'All Products'!F:F,FALSE)</f>
        <v>25</v>
      </c>
      <c r="H29" s="387">
        <f>_xlfn.XLOOKUP(E29,'All Products'!D:D,'All Products'!G:G,FALSE)</f>
        <v>3200</v>
      </c>
      <c r="I29" s="369">
        <f>_xlfn.XLOOKUP(E29,'All Products'!D:D,'All Products'!H:H,FALSE)</f>
        <v>41.25</v>
      </c>
      <c r="J29" s="183">
        <f>IFERROR(ROUNDUP(I29*Order_Quote!$L$2,2),0)</f>
        <v>41.25</v>
      </c>
      <c r="K29" s="118"/>
      <c r="L29" s="76"/>
      <c r="M29" s="104">
        <f t="shared" si="0"/>
        <v>0</v>
      </c>
      <c r="O29" s="379" t="str">
        <f>_xlfn.XLOOKUP(E29,'All Products'!D:D,'All Products'!I:I,FALSE)</f>
        <v>In Stock</v>
      </c>
      <c r="P29" s="379" t="str">
        <f>_xlfn.XLOOKUP(E29,'All Products'!D:D,'All Products'!J:J,FALSE)</f>
        <v>Manufactured</v>
      </c>
      <c r="Q29" s="397">
        <f>_xlfn.XLOOKUP(F29,'All Products'!E:E,'All Products'!K:K,FALSE)</f>
        <v>810673014798</v>
      </c>
      <c r="R29" s="397" t="str">
        <f>_xlfn.XLOOKUP(E29,'All Products'!D:D,'All Products'!L:L,FALSE)</f>
        <v>-</v>
      </c>
      <c r="S29" s="397">
        <f>_xlfn.XLOOKUP(E29,'All Products'!D:D,'All Products'!M:M,FALSE)</f>
        <v>10810673014795</v>
      </c>
      <c r="T29" s="384">
        <f>_xlfn.XLOOKUP(E29,'All Products'!D:D,'All Products'!N:N,FALSE)</f>
        <v>0.17199999999999999</v>
      </c>
      <c r="U29" s="384">
        <f>_xlfn.XLOOKUP(E29,'All Products'!D:D,'All Products'!P:P,FALSE)</f>
        <v>4.3</v>
      </c>
      <c r="V29" s="384">
        <f>_xlfn.XLOOKUP(E29,'All Products'!D:D,'All Products'!Q:Q,FALSE)</f>
        <v>0.32375720697715193</v>
      </c>
    </row>
    <row r="30" spans="1:22">
      <c r="A30" s="5" t="str">
        <f>IF(K30&gt;0,COUNT($A$8:A29)+1,"")</f>
        <v/>
      </c>
      <c r="B30" s="646"/>
      <c r="C30" s="647"/>
      <c r="D30" s="369" t="str">
        <f>_xlfn.XLOOKUP(E30,'All Products'!D:D,'All Products'!C:C,FALSE)</f>
        <v>102-3204</v>
      </c>
      <c r="E30" s="103">
        <v>100028853</v>
      </c>
      <c r="F30" s="376" t="str">
        <f>_xlfn.XLOOKUP(E30,'All Products'!D:D,'All Products'!E:E,FALSE)</f>
        <v>3X1-1/2 PIPE INCREASER REDUCER DWV</v>
      </c>
      <c r="G30" s="232">
        <f>_xlfn.XLOOKUP(E30,'All Products'!D:D,'All Products'!F:F,FALSE)</f>
        <v>25</v>
      </c>
      <c r="H30" s="387">
        <f>_xlfn.XLOOKUP(E30,'All Products'!D:D,'All Products'!G:G,FALSE)</f>
        <v>1575</v>
      </c>
      <c r="I30" s="369">
        <f>_xlfn.XLOOKUP(E30,'All Products'!D:D,'All Products'!H:H,FALSE)</f>
        <v>120.83</v>
      </c>
      <c r="J30" s="183">
        <f>IFERROR(ROUNDUP(I30*Order_Quote!$L$2,2),0)</f>
        <v>120.83</v>
      </c>
      <c r="K30" s="118"/>
      <c r="L30" s="76"/>
      <c r="M30" s="104">
        <f t="shared" si="0"/>
        <v>0</v>
      </c>
      <c r="O30" s="379" t="str">
        <f>_xlfn.XLOOKUP(E30,'All Products'!D:D,'All Products'!I:I,FALSE)</f>
        <v>Within 3 Weeks</v>
      </c>
      <c r="P30" s="379" t="str">
        <f>_xlfn.XLOOKUP(E30,'All Products'!D:D,'All Products'!J:J,FALSE)</f>
        <v>Manufactured</v>
      </c>
      <c r="Q30" s="397">
        <f>_xlfn.XLOOKUP(F30,'All Products'!E:E,'All Products'!K:K,FALSE)</f>
        <v>810673014811</v>
      </c>
      <c r="R30" s="397" t="str">
        <f>_xlfn.XLOOKUP(E30,'All Products'!D:D,'All Products'!L:L,FALSE)</f>
        <v>-</v>
      </c>
      <c r="S30" s="397">
        <f>_xlfn.XLOOKUP(E30,'All Products'!D:D,'All Products'!M:M,FALSE)</f>
        <v>10810673014818</v>
      </c>
      <c r="T30" s="384">
        <f>_xlfn.XLOOKUP(E30,'All Products'!D:D,'All Products'!N:N,FALSE)</f>
        <v>0.45100000000000001</v>
      </c>
      <c r="U30" s="384">
        <f>_xlfn.XLOOKUP(E30,'All Products'!D:D,'All Products'!P:P,FALSE)</f>
        <v>11.275</v>
      </c>
      <c r="V30" s="384">
        <f>_xlfn.XLOOKUP(E30,'All Products'!D:D,'All Products'!Q:Q,FALSE)</f>
        <v>0.66940792428507967</v>
      </c>
    </row>
    <row r="31" spans="1:22">
      <c r="A31" s="5" t="str">
        <f>IF(K31&gt;0,COUNT($A$8:A30)+1,"")</f>
        <v/>
      </c>
      <c r="B31" s="646"/>
      <c r="C31" s="647"/>
      <c r="D31" s="369" t="str">
        <f>_xlfn.XLOOKUP(E31,'All Products'!D:D,'All Products'!C:C,FALSE)</f>
        <v>102-3205</v>
      </c>
      <c r="E31" s="103">
        <v>100028854</v>
      </c>
      <c r="F31" s="376" t="str">
        <f>_xlfn.XLOOKUP(E31,'All Products'!D:D,'All Products'!E:E,FALSE)</f>
        <v>3 X 2 PIPE INCREASER REDUCER DWV</v>
      </c>
      <c r="G31" s="232">
        <f>_xlfn.XLOOKUP(E31,'All Products'!D:D,'All Products'!F:F,FALSE)</f>
        <v>20</v>
      </c>
      <c r="H31" s="387">
        <f>_xlfn.XLOOKUP(E31,'All Products'!D:D,'All Products'!G:G,FALSE)</f>
        <v>1600</v>
      </c>
      <c r="I31" s="369">
        <f>_xlfn.XLOOKUP(E31,'All Products'!D:D,'All Products'!H:H,FALSE)</f>
        <v>94.08</v>
      </c>
      <c r="J31" s="183">
        <f>IFERROR(ROUNDUP(I31*Order_Quote!$L$2,2),0)</f>
        <v>94.08</v>
      </c>
      <c r="K31" s="118"/>
      <c r="L31" s="76"/>
      <c r="M31" s="104">
        <f t="shared" si="0"/>
        <v>0</v>
      </c>
      <c r="O31" s="379" t="str">
        <f>_xlfn.XLOOKUP(E31,'All Products'!D:D,'All Products'!I:I,FALSE)</f>
        <v>In Stock</v>
      </c>
      <c r="P31" s="379" t="str">
        <f>_xlfn.XLOOKUP(E31,'All Products'!D:D,'All Products'!J:J,FALSE)</f>
        <v>Manufactured</v>
      </c>
      <c r="Q31" s="397">
        <f>_xlfn.XLOOKUP(F31,'All Products'!E:E,'All Products'!K:K,FALSE)</f>
        <v>810673014835</v>
      </c>
      <c r="R31" s="397" t="str">
        <f>_xlfn.XLOOKUP(E31,'All Products'!D:D,'All Products'!L:L,FALSE)</f>
        <v>-</v>
      </c>
      <c r="S31" s="397">
        <f>_xlfn.XLOOKUP(E31,'All Products'!D:D,'All Products'!M:M,FALSE)</f>
        <v>10810673014832</v>
      </c>
      <c r="T31" s="384">
        <f>_xlfn.XLOOKUP(E31,'All Products'!D:D,'All Products'!N:N,FALSE)</f>
        <v>0.433</v>
      </c>
      <c r="U31" s="384">
        <f>_xlfn.XLOOKUP(E31,'All Products'!D:D,'All Products'!P:P,FALSE)</f>
        <v>8.66</v>
      </c>
      <c r="V31" s="384">
        <f>_xlfn.XLOOKUP(E31,'All Products'!D:D,'All Products'!Q:Q,FALSE)</f>
        <v>0.4856358104657279</v>
      </c>
    </row>
    <row r="32" spans="1:22">
      <c r="A32" s="5" t="str">
        <f>IF(K32&gt;0,COUNT($A$8:A31)+1,"")</f>
        <v/>
      </c>
      <c r="B32" s="646"/>
      <c r="C32" s="647"/>
      <c r="D32" s="369" t="str">
        <f>_xlfn.XLOOKUP(E32,'All Products'!D:D,'All Products'!C:C,FALSE)</f>
        <v>102-3206</v>
      </c>
      <c r="E32" s="103">
        <v>100028855</v>
      </c>
      <c r="F32" s="376" t="str">
        <f>_xlfn.XLOOKUP(E32,'All Products'!D:D,'All Products'!E:E,FALSE)</f>
        <v>4 X 2 PIPE INCREASER REDUCER DWV</v>
      </c>
      <c r="G32" s="232">
        <f>_xlfn.XLOOKUP(E32,'All Products'!D:D,'All Products'!F:F,FALSE)</f>
        <v>10</v>
      </c>
      <c r="H32" s="387">
        <f>_xlfn.XLOOKUP(E32,'All Products'!D:D,'All Products'!G:G,FALSE)</f>
        <v>630</v>
      </c>
      <c r="I32" s="369">
        <f>_xlfn.XLOOKUP(E32,'All Products'!D:D,'All Products'!H:H,FALSE)</f>
        <v>184.41</v>
      </c>
      <c r="J32" s="183">
        <f>IFERROR(ROUNDUP(I32*Order_Quote!$L$2,2),0)</f>
        <v>184.41</v>
      </c>
      <c r="K32" s="118"/>
      <c r="L32" s="76"/>
      <c r="M32" s="104">
        <f t="shared" si="0"/>
        <v>0</v>
      </c>
      <c r="O32" s="379" t="str">
        <f>_xlfn.XLOOKUP(E32,'All Products'!D:D,'All Products'!I:I,FALSE)</f>
        <v>In Stock</v>
      </c>
      <c r="P32" s="379" t="str">
        <f>_xlfn.XLOOKUP(E32,'All Products'!D:D,'All Products'!J:J,FALSE)</f>
        <v>Manufactured</v>
      </c>
      <c r="Q32" s="397">
        <f>_xlfn.XLOOKUP(F32,'All Products'!E:E,'All Products'!K:K,FALSE)</f>
        <v>810673014859</v>
      </c>
      <c r="R32" s="397" t="str">
        <f>_xlfn.XLOOKUP(E32,'All Products'!D:D,'All Products'!L:L,FALSE)</f>
        <v>-</v>
      </c>
      <c r="S32" s="397">
        <f>_xlfn.XLOOKUP(E32,'All Products'!D:D,'All Products'!M:M,FALSE)</f>
        <v>10810673014856</v>
      </c>
      <c r="T32" s="384">
        <f>_xlfn.XLOOKUP(E32,'All Products'!D:D,'All Products'!N:N,FALSE)</f>
        <v>0.82299999999999995</v>
      </c>
      <c r="U32" s="384">
        <f>_xlfn.XLOOKUP(E32,'All Products'!D:D,'All Products'!P:P,FALSE)</f>
        <v>8.23</v>
      </c>
      <c r="V32" s="384">
        <f>_xlfn.XLOOKUP(E32,'All Products'!D:D,'All Products'!Q:Q,FALSE)</f>
        <v>0.66940792428507967</v>
      </c>
    </row>
    <row r="33" spans="1:22">
      <c r="A33" s="5" t="str">
        <f>IF(K33&gt;0,COUNT($A$8:A32)+1,"")</f>
        <v/>
      </c>
      <c r="B33" s="646"/>
      <c r="C33" s="647"/>
      <c r="D33" s="369" t="str">
        <f>_xlfn.XLOOKUP(E33,'All Products'!D:D,'All Products'!C:C,FALSE)</f>
        <v>102-3207</v>
      </c>
      <c r="E33" s="103">
        <v>100028856</v>
      </c>
      <c r="F33" s="376" t="str">
        <f>_xlfn.XLOOKUP(E33,'All Products'!D:D,'All Products'!E:E,FALSE)</f>
        <v>4 X 3 PIPE INCREASER REDUCER DWV</v>
      </c>
      <c r="G33" s="232">
        <f>_xlfn.XLOOKUP(E33,'All Products'!D:D,'All Products'!F:F,FALSE)</f>
        <v>10</v>
      </c>
      <c r="H33" s="387">
        <f>_xlfn.XLOOKUP(E33,'All Products'!D:D,'All Products'!G:G,FALSE)</f>
        <v>630</v>
      </c>
      <c r="I33" s="369">
        <f>_xlfn.XLOOKUP(E33,'All Products'!D:D,'All Products'!H:H,FALSE)</f>
        <v>197.1</v>
      </c>
      <c r="J33" s="183">
        <f>IFERROR(ROUNDUP(I33*Order_Quote!$L$2,2),0)</f>
        <v>197.1</v>
      </c>
      <c r="K33" s="118"/>
      <c r="L33" s="76"/>
      <c r="M33" s="104">
        <f t="shared" si="0"/>
        <v>0</v>
      </c>
      <c r="O33" s="379" t="str">
        <f>_xlfn.XLOOKUP(E33,'All Products'!D:D,'All Products'!I:I,FALSE)</f>
        <v>In Stock</v>
      </c>
      <c r="P33" s="379" t="str">
        <f>_xlfn.XLOOKUP(E33,'All Products'!D:D,'All Products'!J:J,FALSE)</f>
        <v>Manufactured</v>
      </c>
      <c r="Q33" s="397">
        <f>_xlfn.XLOOKUP(F33,'All Products'!E:E,'All Products'!K:K,FALSE)</f>
        <v>810673014873</v>
      </c>
      <c r="R33" s="397" t="str">
        <f>_xlfn.XLOOKUP(E33,'All Products'!D:D,'All Products'!L:L,FALSE)</f>
        <v>-</v>
      </c>
      <c r="S33" s="397">
        <f>_xlfn.XLOOKUP(E33,'All Products'!D:D,'All Products'!M:M,FALSE)</f>
        <v>810673014880</v>
      </c>
      <c r="T33" s="384">
        <f>_xlfn.XLOOKUP(E33,'All Products'!D:D,'All Products'!N:N,FALSE)</f>
        <v>0.93</v>
      </c>
      <c r="U33" s="384">
        <f>_xlfn.XLOOKUP(E33,'All Products'!D:D,'All Products'!P:P,FALSE)</f>
        <v>9.3000000000000007</v>
      </c>
      <c r="V33" s="384">
        <f>_xlfn.XLOOKUP(E33,'All Products'!D:D,'All Products'!Q:Q,FALSE)</f>
        <v>0.66940792428507967</v>
      </c>
    </row>
    <row r="34" spans="1:22" ht="15" thickBot="1">
      <c r="A34" s="5" t="str">
        <f>IF(K34&gt;0,COUNT($A$8:A33)+1,"")</f>
        <v/>
      </c>
      <c r="B34" s="666"/>
      <c r="C34" s="667"/>
      <c r="D34" s="369" t="str">
        <f>_xlfn.XLOOKUP(E34,'All Products'!D:D,'All Products'!C:C,FALSE)</f>
        <v>102-1074</v>
      </c>
      <c r="E34" s="103">
        <v>100028851</v>
      </c>
      <c r="F34" s="376" t="str">
        <f>_xlfn.XLOOKUP(E34,'All Products'!D:D,'All Products'!E:E,FALSE)</f>
        <v>6 X 4 PIPE INCREASER REDUCER DWV</v>
      </c>
      <c r="G34" s="232">
        <f>_xlfn.XLOOKUP(E34,'All Products'!D:D,'All Products'!F:F,FALSE)</f>
        <v>4</v>
      </c>
      <c r="H34" s="387">
        <f>_xlfn.XLOOKUP(E34,'All Products'!D:D,'All Products'!G:G,FALSE)</f>
        <v>144</v>
      </c>
      <c r="I34" s="369">
        <f>_xlfn.XLOOKUP(E34,'All Products'!D:D,'All Products'!H:H,FALSE)</f>
        <v>766.68</v>
      </c>
      <c r="J34" s="183">
        <f>IFERROR(ROUNDUP(I34*Order_Quote!$L$2,2),0)</f>
        <v>766.68</v>
      </c>
      <c r="K34" s="118"/>
      <c r="L34" s="76"/>
      <c r="M34" s="104">
        <f t="shared" si="0"/>
        <v>0</v>
      </c>
      <c r="O34" s="379" t="str">
        <f>_xlfn.XLOOKUP(E34,'All Products'!D:D,'All Products'!I:I,FALSE)</f>
        <v>In Stock</v>
      </c>
      <c r="P34" s="379" t="str">
        <f>_xlfn.XLOOKUP(E34,'All Products'!D:D,'All Products'!J:J,FALSE)</f>
        <v>Manufactured</v>
      </c>
      <c r="Q34" s="504">
        <f>_xlfn.XLOOKUP(F34,'All Products'!E:E,'All Products'!K:K,FALSE)</f>
        <v>812361013175</v>
      </c>
      <c r="R34" s="397" t="str">
        <f>_xlfn.XLOOKUP(E34,'All Products'!D:D,'All Products'!L:L,FALSE)</f>
        <v>-</v>
      </c>
      <c r="S34" s="397">
        <f>_xlfn.XLOOKUP(E34,'All Products'!D:D,'All Products'!M:M,FALSE)</f>
        <v>812361019030</v>
      </c>
      <c r="T34" s="384">
        <f>_xlfn.XLOOKUP(E34,'All Products'!D:D,'All Products'!N:N,FALSE)</f>
        <v>2.657</v>
      </c>
      <c r="U34" s="384">
        <f>_xlfn.XLOOKUP(E34,'All Products'!D:D,'All Products'!P:P,FALSE)</f>
        <v>10.628</v>
      </c>
      <c r="V34" s="384">
        <f>_xlfn.XLOOKUP(E34,'All Products'!D:D,'All Products'!Q:Q,FALSE)</f>
        <v>1.8803145838984718</v>
      </c>
    </row>
    <row r="35" spans="1:22" s="17" customFormat="1" ht="16.2" thickBot="1">
      <c r="A35" s="5" t="str">
        <f>IF(K35&gt;0,COUNT($A$8:A34)+1,"")</f>
        <v/>
      </c>
      <c r="B35" s="501" t="s">
        <v>5799</v>
      </c>
      <c r="C35" s="151"/>
      <c r="D35" s="151"/>
      <c r="E35" s="459"/>
      <c r="F35" s="151"/>
      <c r="G35" s="468"/>
      <c r="H35" s="151"/>
      <c r="I35" s="472"/>
      <c r="J35" s="468"/>
      <c r="K35" s="477"/>
      <c r="L35" s="238"/>
      <c r="M35" s="476"/>
      <c r="O35" s="475"/>
      <c r="P35" s="145"/>
      <c r="Q35" s="492"/>
      <c r="R35" s="493"/>
      <c r="S35" s="493"/>
      <c r="T35" s="479"/>
      <c r="U35" s="459"/>
      <c r="V35" s="489"/>
    </row>
    <row r="36" spans="1:22" ht="22.5" customHeight="1">
      <c r="A36" s="5" t="str">
        <f>IF(K36&gt;0,COUNT($A$8:A35)+1,"")</f>
        <v/>
      </c>
      <c r="B36" s="664"/>
      <c r="C36" s="665"/>
      <c r="D36" s="369" t="str">
        <f>_xlfn.XLOOKUP(E36,'All Products'!D:D,'All Products'!C:C,FALSE)</f>
        <v>103-3208</v>
      </c>
      <c r="E36" s="103">
        <v>300005637</v>
      </c>
      <c r="F36" s="376" t="str">
        <f>_xlfn.XLOOKUP(E36,'All Products'!D:D,'All Products'!E:E,FALSE)</f>
        <v>1-1/2 X 1-1/4 TRAP ADAPTER MALE DWV</v>
      </c>
      <c r="G36" s="232">
        <f>_xlfn.XLOOKUP(E36,'All Products'!D:D,'All Products'!F:F,FALSE)</f>
        <v>100</v>
      </c>
      <c r="H36" s="387">
        <f>_xlfn.XLOOKUP(E36,'All Products'!D:D,'All Products'!G:G,FALSE)</f>
        <v>8000</v>
      </c>
      <c r="I36" s="369" t="str">
        <f>_xlfn.XLOOKUP(E36,'All Products'!D:D,'All Products'!H:H,FALSE)</f>
        <v>Quote Required</v>
      </c>
      <c r="J36" s="183">
        <f>IFERROR(ROUNDUP(I36*Order_Quote!$L$2,2),0)</f>
        <v>0</v>
      </c>
      <c r="K36" s="118"/>
      <c r="L36" s="76"/>
      <c r="M36" s="104">
        <f t="shared" si="0"/>
        <v>0</v>
      </c>
      <c r="O36" s="379" t="str">
        <f>_xlfn.XLOOKUP(E36,'All Products'!D:D,'All Products'!I:I,FALSE)</f>
        <v>Within 6 Weeks</v>
      </c>
      <c r="P36" s="379" t="str">
        <f>_xlfn.XLOOKUP(E36,'All Products'!D:D,'All Products'!J:J,FALSE)</f>
        <v>Sourced</v>
      </c>
      <c r="Q36" s="397">
        <f>_xlfn.XLOOKUP(F36,'All Products'!E:E,'All Products'!K:K,FALSE)</f>
        <v>810673015238</v>
      </c>
      <c r="R36" s="397" t="str">
        <f>_xlfn.XLOOKUP(E36,'All Products'!D:D,'All Products'!L:L,FALSE)</f>
        <v>-</v>
      </c>
      <c r="S36" s="397" t="str">
        <f>_xlfn.XLOOKUP(E36,'All Products'!D:D,'All Products'!M:M,FALSE)</f>
        <v>-</v>
      </c>
      <c r="T36" s="384">
        <f>_xlfn.XLOOKUP(E36,'All Products'!D:D,'All Products'!N:N,FALSE)</f>
        <v>0.08</v>
      </c>
      <c r="U36" s="384">
        <f>_xlfn.XLOOKUP(E36,'All Products'!D:D,'All Products'!P:P,FALSE)</f>
        <v>8</v>
      </c>
      <c r="V36" s="384" t="str">
        <f>_xlfn.XLOOKUP(E36,'All Products'!D:D,'All Products'!Q:Q,FALSE)</f>
        <v>-</v>
      </c>
    </row>
    <row r="37" spans="1:22" ht="22.5" customHeight="1">
      <c r="A37" s="5" t="str">
        <f>IF(K37&gt;0,COUNT($A$8:A36)+1,"")</f>
        <v/>
      </c>
      <c r="B37" s="652"/>
      <c r="C37" s="653"/>
      <c r="D37" s="369" t="str">
        <f>_xlfn.XLOOKUP(E37,'All Products'!D:D,'All Products'!C:C,FALSE)</f>
        <v>103-3209</v>
      </c>
      <c r="E37" s="103">
        <v>100028861</v>
      </c>
      <c r="F37" s="376" t="str">
        <f>_xlfn.XLOOKUP(E37,'All Products'!D:D,'All Products'!E:E,FALSE)</f>
        <v>1-1/2 TRAP ADAPTER MALE DWV</v>
      </c>
      <c r="G37" s="232">
        <f>_xlfn.XLOOKUP(E37,'All Products'!D:D,'All Products'!F:F,FALSE)</f>
        <v>50</v>
      </c>
      <c r="H37" s="387">
        <f>_xlfn.XLOOKUP(E37,'All Products'!D:D,'All Products'!G:G,FALSE)</f>
        <v>7200</v>
      </c>
      <c r="I37" s="369">
        <f>_xlfn.XLOOKUP(E37,'All Products'!D:D,'All Products'!H:H,FALSE)</f>
        <v>50.02</v>
      </c>
      <c r="J37" s="183">
        <f>IFERROR(ROUNDUP(I37*Order_Quote!$L$2,2),0)</f>
        <v>50.02</v>
      </c>
      <c r="K37" s="118"/>
      <c r="L37" s="76"/>
      <c r="M37" s="104">
        <f t="shared" si="0"/>
        <v>0</v>
      </c>
      <c r="O37" s="379" t="str">
        <f>_xlfn.XLOOKUP(E37,'All Products'!D:D,'All Products'!I:I,FALSE)</f>
        <v>Within 3 Weeks</v>
      </c>
      <c r="P37" s="379" t="str">
        <f>_xlfn.XLOOKUP(E37,'All Products'!D:D,'All Products'!J:J,FALSE)</f>
        <v>Manufactured</v>
      </c>
      <c r="Q37" s="397">
        <f>_xlfn.XLOOKUP(F37,'All Products'!E:E,'All Products'!K:K,FALSE)</f>
        <v>810673015214</v>
      </c>
      <c r="R37" s="397" t="str">
        <f>_xlfn.XLOOKUP(E37,'All Products'!D:D,'All Products'!L:L,FALSE)</f>
        <v>-</v>
      </c>
      <c r="S37" s="397">
        <f>_xlfn.XLOOKUP(E37,'All Products'!D:D,'All Products'!M:M,FALSE)</f>
        <v>810673015221</v>
      </c>
      <c r="T37" s="384">
        <f>_xlfn.XLOOKUP(E37,'All Products'!D:D,'All Products'!N:N,FALSE)</f>
        <v>8.5999999999999993E-2</v>
      </c>
      <c r="U37" s="384">
        <f>_xlfn.XLOOKUP(E37,'All Products'!D:D,'All Products'!P:P,FALSE)</f>
        <v>4.3</v>
      </c>
      <c r="V37" s="384">
        <f>_xlfn.XLOOKUP(E37,'All Products'!D:D,'All Products'!Q:Q,FALSE)</f>
        <v>0.26544609711836381</v>
      </c>
    </row>
    <row r="38" spans="1:22" ht="22.5" customHeight="1">
      <c r="A38" s="5" t="str">
        <f>IF(K38&gt;0,COUNT($A$8:A37)+1,"")</f>
        <v/>
      </c>
      <c r="B38" s="644"/>
      <c r="C38" s="645"/>
      <c r="D38" s="369" t="str">
        <f>_xlfn.XLOOKUP(E38,'All Products'!D:D,'All Products'!C:C,FALSE)</f>
        <v>103-P-3211</v>
      </c>
      <c r="E38" s="103">
        <v>100028857</v>
      </c>
      <c r="F38" s="376" t="str">
        <f>_xlfn.XLOOKUP(E38,'All Products'!D:D,'All Products'!E:E,FALSE)</f>
        <v>1-1/2X1-1/4 TRAP AD M W/PL NUT DWV</v>
      </c>
      <c r="G38" s="232">
        <f>_xlfn.XLOOKUP(E38,'All Products'!D:D,'All Products'!F:F,FALSE)</f>
        <v>75</v>
      </c>
      <c r="H38" s="387">
        <f>_xlfn.XLOOKUP(E38,'All Products'!D:D,'All Products'!G:G,FALSE)</f>
        <v>6000</v>
      </c>
      <c r="I38" s="369">
        <f>_xlfn.XLOOKUP(E38,'All Products'!D:D,'All Products'!H:H,FALSE)</f>
        <v>57.74</v>
      </c>
      <c r="J38" s="183">
        <f>IFERROR(ROUNDUP(I38*Order_Quote!$L$2,2),0)</f>
        <v>57.74</v>
      </c>
      <c r="K38" s="118"/>
      <c r="L38" s="76"/>
      <c r="M38" s="104">
        <f t="shared" si="0"/>
        <v>0</v>
      </c>
      <c r="O38" s="379" t="str">
        <f>_xlfn.XLOOKUP(E38,'All Products'!D:D,'All Products'!I:I,FALSE)</f>
        <v>In Stock</v>
      </c>
      <c r="P38" s="379" t="str">
        <f>_xlfn.XLOOKUP(E38,'All Products'!D:D,'All Products'!J:J,FALSE)</f>
        <v>Manufactured</v>
      </c>
      <c r="Q38" s="397">
        <f>_xlfn.XLOOKUP(F38,'All Products'!E:E,'All Products'!K:K,FALSE)</f>
        <v>812361011188</v>
      </c>
      <c r="R38" s="397" t="str">
        <f>_xlfn.XLOOKUP(E38,'All Products'!D:D,'All Products'!L:L,FALSE)</f>
        <v>-</v>
      </c>
      <c r="S38" s="397">
        <f>_xlfn.XLOOKUP(E38,'All Products'!D:D,'All Products'!M:M,FALSE)</f>
        <v>10812361011185</v>
      </c>
      <c r="T38" s="384">
        <f>_xlfn.XLOOKUP(E38,'All Products'!D:D,'All Products'!N:N,FALSE)</f>
        <v>0.111</v>
      </c>
      <c r="U38" s="384">
        <f>_xlfn.XLOOKUP(E38,'All Products'!D:D,'All Products'!P:P,FALSE)</f>
        <v>8.3249999999999993</v>
      </c>
      <c r="V38" s="384">
        <f>_xlfn.XLOOKUP(E38,'All Products'!D:D,'All Products'!Q:Q,FALSE)</f>
        <v>0.4856358104657279</v>
      </c>
    </row>
    <row r="39" spans="1:22" ht="22.5" customHeight="1">
      <c r="A39" s="5" t="str">
        <f>IF(K39&gt;0,COUNT($A$8:A38)+1,"")</f>
        <v/>
      </c>
      <c r="B39" s="652"/>
      <c r="C39" s="653"/>
      <c r="D39" s="369" t="str">
        <f>_xlfn.XLOOKUP(E39,'All Products'!D:D,'All Products'!C:C,FALSE)</f>
        <v>103-P-3212</v>
      </c>
      <c r="E39" s="103">
        <v>100028858</v>
      </c>
      <c r="F39" s="376" t="str">
        <f>_xlfn.XLOOKUP(E39,'All Products'!D:D,'All Products'!E:E,FALSE)</f>
        <v>1-1/2 TRAP AD MALE W/PLAST NUT DWV</v>
      </c>
      <c r="G39" s="232">
        <f>_xlfn.XLOOKUP(E39,'All Products'!D:D,'All Products'!F:F,FALSE)</f>
        <v>50</v>
      </c>
      <c r="H39" s="387">
        <f>_xlfn.XLOOKUP(E39,'All Products'!D:D,'All Products'!G:G,FALSE)</f>
        <v>4000</v>
      </c>
      <c r="I39" s="369">
        <f>_xlfn.XLOOKUP(E39,'All Products'!D:D,'All Products'!H:H,FALSE)</f>
        <v>53.17</v>
      </c>
      <c r="J39" s="183">
        <f>IFERROR(ROUNDUP(I39*Order_Quote!$L$2,2),0)</f>
        <v>53.17</v>
      </c>
      <c r="K39" s="118"/>
      <c r="L39" s="76"/>
      <c r="M39" s="104">
        <f t="shared" si="0"/>
        <v>0</v>
      </c>
      <c r="O39" s="379" t="str">
        <f>_xlfn.XLOOKUP(E39,'All Products'!D:D,'All Products'!I:I,FALSE)</f>
        <v>In Stock</v>
      </c>
      <c r="P39" s="379" t="str">
        <f>_xlfn.XLOOKUP(E39,'All Products'!D:D,'All Products'!J:J,FALSE)</f>
        <v>Manufactured</v>
      </c>
      <c r="Q39" s="397">
        <f>_xlfn.XLOOKUP(F39,'All Products'!E:E,'All Products'!K:K,FALSE)</f>
        <v>812361011201</v>
      </c>
      <c r="R39" s="397" t="str">
        <f>_xlfn.XLOOKUP(E39,'All Products'!D:D,'All Products'!L:L,FALSE)</f>
        <v>-</v>
      </c>
      <c r="S39" s="397">
        <f>_xlfn.XLOOKUP(E39,'All Products'!D:D,'All Products'!M:M,FALSE)</f>
        <v>812361011218</v>
      </c>
      <c r="T39" s="384">
        <f>_xlfn.XLOOKUP(E39,'All Products'!D:D,'All Products'!N:N,FALSE)</f>
        <v>0.114</v>
      </c>
      <c r="U39" s="384">
        <f>_xlfn.XLOOKUP(E39,'All Products'!D:D,'All Products'!P:P,FALSE)</f>
        <v>5.7</v>
      </c>
      <c r="V39" s="384">
        <f>_xlfn.XLOOKUP(E39,'All Products'!D:D,'All Products'!Q:Q,FALSE)</f>
        <v>0.4856358104657279</v>
      </c>
    </row>
    <row r="40" spans="1:22" s="17" customFormat="1" ht="45.75" customHeight="1">
      <c r="A40" s="5" t="str">
        <f>IF(K40&gt;0,COUNT($A$8:A39)+1,"")</f>
        <v/>
      </c>
      <c r="B40" s="616"/>
      <c r="C40" s="617"/>
      <c r="D40" s="369" t="str">
        <f>_xlfn.XLOOKUP(E40,'All Products'!D:D,'All Products'!C:C,FALSE)</f>
        <v>103-R-3015</v>
      </c>
      <c r="E40" s="103">
        <v>300005636</v>
      </c>
      <c r="F40" s="376" t="str">
        <f>_xlfn.XLOOKUP(E40,'All Products'!D:D,'All Products'!E:E,FALSE)</f>
        <v>1-1/2 TRAP AD M W/PL NUT&amp;W SXSJ DWV</v>
      </c>
      <c r="G40" s="232">
        <f>_xlfn.XLOOKUP(E40,'All Products'!D:D,'All Products'!F:F,FALSE)</f>
        <v>50</v>
      </c>
      <c r="H40" s="387">
        <f>_xlfn.XLOOKUP(E40,'All Products'!D:D,'All Products'!G:G,FALSE)</f>
        <v>3600</v>
      </c>
      <c r="I40" s="369" t="str">
        <f>_xlfn.XLOOKUP(E40,'All Products'!D:D,'All Products'!H:H,FALSE)</f>
        <v>Quote Required</v>
      </c>
      <c r="J40" s="183">
        <f>IFERROR(ROUNDUP(I40*Order_Quote!$L$2,2),0)</f>
        <v>0</v>
      </c>
      <c r="K40" s="118"/>
      <c r="L40" s="76"/>
      <c r="M40" s="104">
        <f t="shared" si="0"/>
        <v>0</v>
      </c>
      <c r="O40" s="379" t="str">
        <f>_xlfn.XLOOKUP(E40,'All Products'!D:D,'All Products'!I:I,FALSE)</f>
        <v>Within 6 Weeks</v>
      </c>
      <c r="P40" s="379" t="str">
        <f>_xlfn.XLOOKUP(E40,'All Products'!D:D,'All Products'!J:J,FALSE)</f>
        <v>Sourced</v>
      </c>
      <c r="Q40" s="397">
        <f>_xlfn.XLOOKUP(F40,'All Products'!E:E,'All Products'!K:K,FALSE)</f>
        <v>812361017623</v>
      </c>
      <c r="R40" s="397" t="str">
        <f>_xlfn.XLOOKUP(E40,'All Products'!D:D,'All Products'!L:L,FALSE)</f>
        <v>-</v>
      </c>
      <c r="S40" s="397" t="str">
        <f>_xlfn.XLOOKUP(E40,'All Products'!D:D,'All Products'!M:M,FALSE)</f>
        <v>-</v>
      </c>
      <c r="T40" s="384">
        <f>_xlfn.XLOOKUP(E40,'All Products'!D:D,'All Products'!N:N,FALSE)</f>
        <v>0.13</v>
      </c>
      <c r="U40" s="384">
        <f>_xlfn.XLOOKUP(E40,'All Products'!D:D,'All Products'!P:P,FALSE)</f>
        <v>6.5</v>
      </c>
      <c r="V40" s="384" t="str">
        <f>_xlfn.XLOOKUP(E40,'All Products'!D:D,'All Products'!Q:Q,FALSE)</f>
        <v>-</v>
      </c>
    </row>
    <row r="41" spans="1:22" ht="41.25" customHeight="1">
      <c r="A41" s="5" t="str">
        <f>IF(K41&gt;0,COUNT($A$8:A40)+1,"")</f>
        <v/>
      </c>
      <c r="B41" s="650"/>
      <c r="C41" s="651"/>
      <c r="D41" s="369" t="str">
        <f>_xlfn.XLOOKUP(E41,'All Products'!D:D,'All Products'!C:C,FALSE)</f>
        <v>104-3220</v>
      </c>
      <c r="E41" s="103">
        <v>300005638</v>
      </c>
      <c r="F41" s="376" t="str">
        <f>_xlfn.XLOOKUP(E41,'All Products'!D:D,'All Products'!E:E,FALSE)</f>
        <v>1-1/2X1-1/4 TRAP ADAPTER FEMALE DWV</v>
      </c>
      <c r="G41" s="232">
        <f>_xlfn.XLOOKUP(E41,'All Products'!D:D,'All Products'!F:F,FALSE)</f>
        <v>75</v>
      </c>
      <c r="H41" s="387">
        <f>_xlfn.XLOOKUP(E41,'All Products'!D:D,'All Products'!G:G,FALSE)</f>
        <v>7200</v>
      </c>
      <c r="I41" s="369" t="str">
        <f>_xlfn.XLOOKUP(E41,'All Products'!D:D,'All Products'!H:H,FALSE)</f>
        <v>Quote Required</v>
      </c>
      <c r="J41" s="183">
        <f>IFERROR(ROUNDUP(I41*Order_Quote!$L$2,2),0)</f>
        <v>0</v>
      </c>
      <c r="K41" s="118"/>
      <c r="L41" s="76"/>
      <c r="M41" s="104">
        <f t="shared" si="0"/>
        <v>0</v>
      </c>
      <c r="O41" s="379" t="str">
        <f>_xlfn.XLOOKUP(E41,'All Products'!D:D,'All Products'!I:I,FALSE)</f>
        <v>Within 6 Weeks</v>
      </c>
      <c r="P41" s="379" t="str">
        <f>_xlfn.XLOOKUP(E41,'All Products'!D:D,'All Products'!J:J,FALSE)</f>
        <v>Sourced</v>
      </c>
      <c r="Q41" s="397">
        <f>_xlfn.XLOOKUP(F41,'All Products'!E:E,'All Products'!K:K,FALSE)</f>
        <v>810673015191</v>
      </c>
      <c r="R41" s="397" t="str">
        <f>_xlfn.XLOOKUP(E41,'All Products'!D:D,'All Products'!L:L,FALSE)</f>
        <v>-</v>
      </c>
      <c r="S41" s="397">
        <f>_xlfn.XLOOKUP(E41,'All Products'!D:D,'All Products'!M:M,FALSE)</f>
        <v>10810673015198</v>
      </c>
      <c r="T41" s="384">
        <f>_xlfn.XLOOKUP(E41,'All Products'!D:D,'All Products'!N:N,FALSE)</f>
        <v>0.08</v>
      </c>
      <c r="U41" s="384">
        <f>_xlfn.XLOOKUP(E41,'All Products'!D:D,'All Products'!P:P,FALSE)</f>
        <v>6</v>
      </c>
      <c r="V41" s="384" t="str">
        <f>_xlfn.XLOOKUP(E41,'All Products'!D:D,'All Products'!Q:Q,FALSE)</f>
        <v>-</v>
      </c>
    </row>
    <row r="42" spans="1:22" ht="22.5" customHeight="1">
      <c r="A42" s="5" t="str">
        <f>IF(K42&gt;0,COUNT($A$8:A41)+1,"")</f>
        <v/>
      </c>
      <c r="B42" s="644"/>
      <c r="C42" s="645"/>
      <c r="D42" s="369" t="str">
        <f>_xlfn.XLOOKUP(E42,'All Products'!D:D,'All Products'!C:C,FALSE)</f>
        <v>104-P-3223</v>
      </c>
      <c r="E42" s="103">
        <v>100028862</v>
      </c>
      <c r="F42" s="376" t="str">
        <f>_xlfn.XLOOKUP(E42,'All Products'!D:D,'All Products'!E:E,FALSE)</f>
        <v>1-1/2X1-1/4 TRAP AD F W/PL NUT DWV</v>
      </c>
      <c r="G42" s="232">
        <f>_xlfn.XLOOKUP(E42,'All Products'!D:D,'All Products'!F:F,FALSE)</f>
        <v>50</v>
      </c>
      <c r="H42" s="387">
        <f>_xlfn.XLOOKUP(E42,'All Products'!D:D,'All Products'!G:G,FALSE)</f>
        <v>4000</v>
      </c>
      <c r="I42" s="369">
        <f>_xlfn.XLOOKUP(E42,'All Products'!D:D,'All Products'!H:H,FALSE)</f>
        <v>50.84</v>
      </c>
      <c r="J42" s="183">
        <f>IFERROR(ROUNDUP(I42*Order_Quote!$L$2,2),0)</f>
        <v>50.84</v>
      </c>
      <c r="K42" s="118"/>
      <c r="L42" s="76"/>
      <c r="M42" s="104">
        <f t="shared" si="0"/>
        <v>0</v>
      </c>
      <c r="O42" s="379" t="str">
        <f>_xlfn.XLOOKUP(E42,'All Products'!D:D,'All Products'!I:I,FALSE)</f>
        <v>In Stock</v>
      </c>
      <c r="P42" s="379" t="str">
        <f>_xlfn.XLOOKUP(E42,'All Products'!D:D,'All Products'!J:J,FALSE)</f>
        <v>Manufactured</v>
      </c>
      <c r="Q42" s="397">
        <f>_xlfn.XLOOKUP(F42,'All Products'!E:E,'All Products'!K:K,FALSE)</f>
        <v>812361011140</v>
      </c>
      <c r="R42" s="397" t="str">
        <f>_xlfn.XLOOKUP(E42,'All Products'!D:D,'All Products'!L:L,FALSE)</f>
        <v>-</v>
      </c>
      <c r="S42" s="397">
        <f>_xlfn.XLOOKUP(E42,'All Products'!D:D,'All Products'!M:M,FALSE)</f>
        <v>10812361011147</v>
      </c>
      <c r="T42" s="384">
        <f>_xlfn.XLOOKUP(E42,'All Products'!D:D,'All Products'!N:N,FALSE)</f>
        <v>0.121</v>
      </c>
      <c r="U42" s="384">
        <f>_xlfn.XLOOKUP(E42,'All Products'!D:D,'All Products'!P:P,FALSE)</f>
        <v>6.05</v>
      </c>
      <c r="V42" s="384">
        <f>_xlfn.XLOOKUP(E42,'All Products'!D:D,'All Products'!Q:Q,FALSE)</f>
        <v>0.4856358104657279</v>
      </c>
    </row>
    <row r="43" spans="1:22" ht="22.5" customHeight="1" thickBot="1">
      <c r="A43" s="5" t="str">
        <f>IF(K43&gt;0,COUNT($A$8:A42)+1,"")</f>
        <v/>
      </c>
      <c r="B43" s="666"/>
      <c r="C43" s="667"/>
      <c r="D43" s="369" t="str">
        <f>_xlfn.XLOOKUP(E43,'All Products'!D:D,'All Products'!C:C,FALSE)</f>
        <v>104-P-3224</v>
      </c>
      <c r="E43" s="103">
        <v>100028863</v>
      </c>
      <c r="F43" s="376" t="str">
        <f>_xlfn.XLOOKUP(E43,'All Products'!D:D,'All Products'!E:E,FALSE)</f>
        <v>1-1/2 TRAP AD FEMALE W/PL NUT DWV</v>
      </c>
      <c r="G43" s="232">
        <f>_xlfn.XLOOKUP(E43,'All Products'!D:D,'All Products'!F:F,FALSE)</f>
        <v>50</v>
      </c>
      <c r="H43" s="387">
        <f>_xlfn.XLOOKUP(E43,'All Products'!D:D,'All Products'!G:G,FALSE)</f>
        <v>4000</v>
      </c>
      <c r="I43" s="369">
        <f>_xlfn.XLOOKUP(E43,'All Products'!D:D,'All Products'!H:H,FALSE)</f>
        <v>50.59</v>
      </c>
      <c r="J43" s="183">
        <f>IFERROR(ROUNDUP(I43*Order_Quote!$L$2,2),0)</f>
        <v>50.59</v>
      </c>
      <c r="K43" s="118"/>
      <c r="L43" s="76"/>
      <c r="M43" s="104">
        <f t="shared" si="0"/>
        <v>0</v>
      </c>
      <c r="O43" s="379" t="str">
        <f>_xlfn.XLOOKUP(E43,'All Products'!D:D,'All Products'!I:I,FALSE)</f>
        <v>In Stock</v>
      </c>
      <c r="P43" s="379" t="str">
        <f>_xlfn.XLOOKUP(E43,'All Products'!D:D,'All Products'!J:J,FALSE)</f>
        <v>Manufactured</v>
      </c>
      <c r="Q43" s="504">
        <f>_xlfn.XLOOKUP(F43,'All Products'!E:E,'All Products'!K:K,FALSE)</f>
        <v>812361011164</v>
      </c>
      <c r="R43" s="397" t="str">
        <f>_xlfn.XLOOKUP(E43,'All Products'!D:D,'All Products'!L:L,FALSE)</f>
        <v>-</v>
      </c>
      <c r="S43" s="397">
        <f>_xlfn.XLOOKUP(E43,'All Products'!D:D,'All Products'!M:M,FALSE)</f>
        <v>812361011171</v>
      </c>
      <c r="T43" s="384">
        <f>_xlfn.XLOOKUP(E43,'All Products'!D:D,'All Products'!N:N,FALSE)</f>
        <v>0.11899999999999999</v>
      </c>
      <c r="U43" s="384">
        <f>_xlfn.XLOOKUP(E43,'All Products'!D:D,'All Products'!P:P,FALSE)</f>
        <v>5.9499999999999993</v>
      </c>
      <c r="V43" s="384">
        <f>_xlfn.XLOOKUP(E43,'All Products'!D:D,'All Products'!Q:Q,FALSE)</f>
        <v>0.4856358104657279</v>
      </c>
    </row>
    <row r="44" spans="1:22" s="17" customFormat="1" ht="16.2" thickBot="1">
      <c r="A44" s="5" t="str">
        <f>IF(K44&gt;0,COUNT($A$8:A43)+1,"")</f>
        <v/>
      </c>
      <c r="B44" s="501" t="s">
        <v>5800</v>
      </c>
      <c r="C44" s="151"/>
      <c r="D44" s="151"/>
      <c r="E44" s="459"/>
      <c r="F44" s="151"/>
      <c r="G44" s="468"/>
      <c r="H44" s="151"/>
      <c r="I44" s="472"/>
      <c r="J44" s="468"/>
      <c r="K44" s="477"/>
      <c r="L44" s="238"/>
      <c r="M44" s="476"/>
      <c r="O44" s="475"/>
      <c r="P44" s="145"/>
      <c r="Q44" s="492"/>
      <c r="R44" s="493"/>
      <c r="S44" s="493"/>
      <c r="T44" s="479"/>
      <c r="U44" s="459"/>
      <c r="V44" s="489"/>
    </row>
    <row r="45" spans="1:22">
      <c r="A45" s="5" t="str">
        <f>IF(K45&gt;0,COUNT($A$8:A44)+1,"")</f>
        <v/>
      </c>
      <c r="B45" s="664"/>
      <c r="C45" s="665"/>
      <c r="D45" s="369" t="str">
        <f>_xlfn.XLOOKUP(E45,'All Products'!D:D,'All Products'!C:C,FALSE)</f>
        <v>105-3233</v>
      </c>
      <c r="E45" s="103">
        <v>100028871</v>
      </c>
      <c r="F45" s="376" t="str">
        <f>_xlfn.XLOOKUP(E45,'All Products'!D:D,'All Products'!E:E,FALSE)</f>
        <v>1-1/2 CLEANOUT ADAP SXFPT DWV</v>
      </c>
      <c r="G45" s="232">
        <f>_xlfn.XLOOKUP(E45,'All Products'!D:D,'All Products'!F:F,FALSE)</f>
        <v>50</v>
      </c>
      <c r="H45" s="387">
        <f>_xlfn.XLOOKUP(E45,'All Products'!D:D,'All Products'!G:G,FALSE)</f>
        <v>7200</v>
      </c>
      <c r="I45" s="369">
        <f>_xlfn.XLOOKUP(E45,'All Products'!D:D,'All Products'!H:H,FALSE)</f>
        <v>32.729999999999997</v>
      </c>
      <c r="J45" s="183">
        <f>IFERROR(ROUNDUP(I45*Order_Quote!$L$2,2),0)</f>
        <v>32.729999999999997</v>
      </c>
      <c r="K45" s="118"/>
      <c r="L45" s="76"/>
      <c r="M45" s="104">
        <f t="shared" si="0"/>
        <v>0</v>
      </c>
      <c r="O45" s="379" t="str">
        <f>_xlfn.XLOOKUP(E45,'All Products'!D:D,'All Products'!I:I,FALSE)</f>
        <v>In Stock</v>
      </c>
      <c r="P45" s="379" t="str">
        <f>_xlfn.XLOOKUP(E45,'All Products'!D:D,'All Products'!J:J,FALSE)</f>
        <v>Manufactured</v>
      </c>
      <c r="Q45" s="397">
        <f>_xlfn.XLOOKUP(F45,'All Products'!E:E,'All Products'!K:K,FALSE)</f>
        <v>810673013371</v>
      </c>
      <c r="R45" s="397" t="str">
        <f>_xlfn.XLOOKUP(E45,'All Products'!D:D,'All Products'!L:L,FALSE)</f>
        <v>-</v>
      </c>
      <c r="S45" s="397">
        <f>_xlfn.XLOOKUP(E45,'All Products'!D:D,'All Products'!M:M,FALSE)</f>
        <v>810673010929</v>
      </c>
      <c r="T45" s="384">
        <f>_xlfn.XLOOKUP(E45,'All Products'!D:D,'All Products'!N:N,FALSE)</f>
        <v>9.0999999999999998E-2</v>
      </c>
      <c r="U45" s="384">
        <f>_xlfn.XLOOKUP(E45,'All Products'!D:D,'All Products'!P:P,FALSE)</f>
        <v>4.55</v>
      </c>
      <c r="V45" s="384">
        <f>_xlfn.XLOOKUP(E45,'All Products'!D:D,'All Products'!Q:Q,FALSE)</f>
        <v>0.26544609711836381</v>
      </c>
    </row>
    <row r="46" spans="1:22">
      <c r="A46" s="5" t="str">
        <f>IF(K46&gt;0,COUNT($A$8:A45)+1,"")</f>
        <v/>
      </c>
      <c r="B46" s="646"/>
      <c r="C46" s="647"/>
      <c r="D46" s="369" t="str">
        <f>_xlfn.XLOOKUP(E46,'All Products'!D:D,'All Products'!C:C,FALSE)</f>
        <v>105-3234</v>
      </c>
      <c r="E46" s="103">
        <v>100028872</v>
      </c>
      <c r="F46" s="376" t="str">
        <f>_xlfn.XLOOKUP(E46,'All Products'!D:D,'All Products'!E:E,FALSE)</f>
        <v>2 CLEANOUT ADAP SXFPT DWV</v>
      </c>
      <c r="G46" s="232">
        <f>_xlfn.XLOOKUP(E46,'All Products'!D:D,'All Products'!F:F,FALSE)</f>
        <v>50</v>
      </c>
      <c r="H46" s="387">
        <f>_xlfn.XLOOKUP(E46,'All Products'!D:D,'All Products'!G:G,FALSE)</f>
        <v>4000</v>
      </c>
      <c r="I46" s="369">
        <f>_xlfn.XLOOKUP(E46,'All Products'!D:D,'All Products'!H:H,FALSE)</f>
        <v>43.81</v>
      </c>
      <c r="J46" s="183">
        <f>IFERROR(ROUNDUP(I46*Order_Quote!$L$2,2),0)</f>
        <v>43.81</v>
      </c>
      <c r="K46" s="118"/>
      <c r="L46" s="76"/>
      <c r="M46" s="104">
        <f t="shared" si="0"/>
        <v>0</v>
      </c>
      <c r="O46" s="379" t="str">
        <f>_xlfn.XLOOKUP(E46,'All Products'!D:D,'All Products'!I:I,FALSE)</f>
        <v>In Stock</v>
      </c>
      <c r="P46" s="379" t="str">
        <f>_xlfn.XLOOKUP(E46,'All Products'!D:D,'All Products'!J:J,FALSE)</f>
        <v>Manufactured</v>
      </c>
      <c r="Q46" s="397">
        <f>_xlfn.XLOOKUP(F46,'All Products'!E:E,'All Products'!K:K,FALSE)</f>
        <v>810673013388</v>
      </c>
      <c r="R46" s="397" t="str">
        <f>_xlfn.XLOOKUP(E46,'All Products'!D:D,'All Products'!L:L,FALSE)</f>
        <v>-</v>
      </c>
      <c r="S46" s="397">
        <f>_xlfn.XLOOKUP(E46,'All Products'!D:D,'All Products'!M:M,FALSE)</f>
        <v>810673010936</v>
      </c>
      <c r="T46" s="384">
        <f>_xlfn.XLOOKUP(E46,'All Products'!D:D,'All Products'!N:N,FALSE)</f>
        <v>0.128</v>
      </c>
      <c r="U46" s="384">
        <f>_xlfn.XLOOKUP(E46,'All Products'!D:D,'All Products'!P:P,FALSE)</f>
        <v>6.4</v>
      </c>
      <c r="V46" s="384">
        <f>_xlfn.XLOOKUP(E46,'All Products'!D:D,'All Products'!Q:Q,FALSE)</f>
        <v>0.4856358104657279</v>
      </c>
    </row>
    <row r="47" spans="1:22">
      <c r="A47" s="5" t="str">
        <f>IF(K47&gt;0,COUNT($A$8:A46)+1,"")</f>
        <v/>
      </c>
      <c r="B47" s="646"/>
      <c r="C47" s="647"/>
      <c r="D47" s="369" t="str">
        <f>_xlfn.XLOOKUP(E47,'All Products'!D:D,'All Products'!C:C,FALSE)</f>
        <v>105-3235</v>
      </c>
      <c r="E47" s="103">
        <v>100028873</v>
      </c>
      <c r="F47" s="376" t="str">
        <f>_xlfn.XLOOKUP(E47,'All Products'!D:D,'All Products'!E:E,FALSE)</f>
        <v>3 CLEANOUT ADAP SXFPT DWV</v>
      </c>
      <c r="G47" s="232">
        <f>_xlfn.XLOOKUP(E47,'All Products'!D:D,'All Products'!F:F,FALSE)</f>
        <v>25</v>
      </c>
      <c r="H47" s="387">
        <f>_xlfn.XLOOKUP(E47,'All Products'!D:D,'All Products'!G:G,FALSE)</f>
        <v>1575</v>
      </c>
      <c r="I47" s="369">
        <f>_xlfn.XLOOKUP(E47,'All Products'!D:D,'All Products'!H:H,FALSE)</f>
        <v>117.65</v>
      </c>
      <c r="J47" s="183">
        <f>IFERROR(ROUNDUP(I47*Order_Quote!$L$2,2),0)</f>
        <v>117.65</v>
      </c>
      <c r="K47" s="118"/>
      <c r="L47" s="76"/>
      <c r="M47" s="104">
        <f t="shared" si="0"/>
        <v>0</v>
      </c>
      <c r="O47" s="379" t="str">
        <f>_xlfn.XLOOKUP(E47,'All Products'!D:D,'All Products'!I:I,FALSE)</f>
        <v>Within 3 Weeks</v>
      </c>
      <c r="P47" s="379" t="str">
        <f>_xlfn.XLOOKUP(E47,'All Products'!D:D,'All Products'!J:J,FALSE)</f>
        <v>Manufactured</v>
      </c>
      <c r="Q47" s="397">
        <f>_xlfn.XLOOKUP(F47,'All Products'!E:E,'All Products'!K:K,FALSE)</f>
        <v>810673013395</v>
      </c>
      <c r="R47" s="397" t="str">
        <f>_xlfn.XLOOKUP(E47,'All Products'!D:D,'All Products'!L:L,FALSE)</f>
        <v>-</v>
      </c>
      <c r="S47" s="397">
        <f>_xlfn.XLOOKUP(E47,'All Products'!D:D,'All Products'!M:M,FALSE)</f>
        <v>810673010943</v>
      </c>
      <c r="T47" s="384">
        <f>_xlfn.XLOOKUP(E47,'All Products'!D:D,'All Products'!N:N,FALSE)</f>
        <v>0.38900000000000001</v>
      </c>
      <c r="U47" s="384">
        <f>_xlfn.XLOOKUP(E47,'All Products'!D:D,'All Products'!P:P,FALSE)</f>
        <v>9.7249999999999996</v>
      </c>
      <c r="V47" s="384">
        <f>_xlfn.XLOOKUP(E47,'All Products'!D:D,'All Products'!Q:Q,FALSE)</f>
        <v>0.66940792428507967</v>
      </c>
    </row>
    <row r="48" spans="1:22">
      <c r="A48" s="5" t="str">
        <f>IF(K48&gt;0,COUNT($A$8:A47)+1,"")</f>
        <v/>
      </c>
      <c r="B48" s="646"/>
      <c r="C48" s="647"/>
      <c r="D48" s="369" t="str">
        <f>_xlfn.XLOOKUP(E48,'All Products'!D:D,'All Products'!C:C,FALSE)</f>
        <v>105-3236</v>
      </c>
      <c r="E48" s="103">
        <v>100028874</v>
      </c>
      <c r="F48" s="376" t="str">
        <f>_xlfn.XLOOKUP(E48,'All Products'!D:D,'All Products'!E:E,FALSE)</f>
        <v>4 CLEANOUT ADAP SXFPT DWV</v>
      </c>
      <c r="G48" s="232">
        <f>_xlfn.XLOOKUP(E48,'All Products'!D:D,'All Products'!F:F,FALSE)</f>
        <v>10</v>
      </c>
      <c r="H48" s="387">
        <f>_xlfn.XLOOKUP(E48,'All Products'!D:D,'All Products'!G:G,FALSE)</f>
        <v>800</v>
      </c>
      <c r="I48" s="369">
        <f>_xlfn.XLOOKUP(E48,'All Products'!D:D,'All Products'!H:H,FALSE)</f>
        <v>193.34</v>
      </c>
      <c r="J48" s="183">
        <f>IFERROR(ROUNDUP(I48*Order_Quote!$L$2,2),0)</f>
        <v>193.34</v>
      </c>
      <c r="K48" s="118"/>
      <c r="L48" s="76"/>
      <c r="M48" s="104">
        <f t="shared" si="0"/>
        <v>0</v>
      </c>
      <c r="O48" s="379" t="str">
        <f>_xlfn.XLOOKUP(E48,'All Products'!D:D,'All Products'!I:I,FALSE)</f>
        <v>In Stock</v>
      </c>
      <c r="P48" s="379" t="str">
        <f>_xlfn.XLOOKUP(E48,'All Products'!D:D,'All Products'!J:J,FALSE)</f>
        <v>Manufactured</v>
      </c>
      <c r="Q48" s="397">
        <f>_xlfn.XLOOKUP(F48,'All Products'!E:E,'All Products'!K:K,FALSE)</f>
        <v>810673013401</v>
      </c>
      <c r="R48" s="397" t="str">
        <f>_xlfn.XLOOKUP(E48,'All Products'!D:D,'All Products'!L:L,FALSE)</f>
        <v>-</v>
      </c>
      <c r="S48" s="397">
        <f>_xlfn.XLOOKUP(E48,'All Products'!D:D,'All Products'!M:M,FALSE)</f>
        <v>810673010950</v>
      </c>
      <c r="T48" s="384">
        <f>_xlfn.XLOOKUP(E48,'All Products'!D:D,'All Products'!N:N,FALSE)</f>
        <v>0.66</v>
      </c>
      <c r="U48" s="384">
        <f>_xlfn.XLOOKUP(E48,'All Products'!D:D,'All Products'!P:P,FALSE)</f>
        <v>6.6000000000000005</v>
      </c>
      <c r="V48" s="384">
        <f>_xlfn.XLOOKUP(E48,'All Products'!D:D,'All Products'!Q:Q,FALSE)</f>
        <v>0.4856358104657279</v>
      </c>
    </row>
    <row r="49" spans="1:22">
      <c r="A49" s="5" t="str">
        <f>IF(K49&gt;0,COUNT($A$8:A48)+1,"")</f>
        <v/>
      </c>
      <c r="B49" s="652"/>
      <c r="C49" s="653"/>
      <c r="D49" s="369" t="str">
        <f>_xlfn.XLOOKUP(E49,'All Products'!D:D,'All Products'!C:C,FALSE)</f>
        <v>105-3237</v>
      </c>
      <c r="E49" s="103">
        <v>300005640</v>
      </c>
      <c r="F49" s="376" t="str">
        <f>_xlfn.XLOOKUP(E49,'All Products'!D:D,'All Products'!E:E,FALSE)</f>
        <v>6 CLEANOUT ADAP SXFPT DWV</v>
      </c>
      <c r="G49" s="232">
        <f>_xlfn.XLOOKUP(E49,'All Products'!D:D,'All Products'!F:F,FALSE)</f>
        <v>10</v>
      </c>
      <c r="H49" s="387">
        <f>_xlfn.XLOOKUP(E49,'All Products'!D:D,'All Products'!G:G,FALSE)</f>
        <v>180</v>
      </c>
      <c r="I49" s="369" t="str">
        <f>_xlfn.XLOOKUP(E49,'All Products'!D:D,'All Products'!H:H,FALSE)</f>
        <v>Quote Required</v>
      </c>
      <c r="J49" s="183">
        <f>IFERROR(ROUNDUP(I49*Order_Quote!$L$2,2),0)</f>
        <v>0</v>
      </c>
      <c r="K49" s="118"/>
      <c r="L49" s="76"/>
      <c r="M49" s="104">
        <f t="shared" si="0"/>
        <v>0</v>
      </c>
      <c r="O49" s="379" t="str">
        <f>_xlfn.XLOOKUP(E49,'All Products'!D:D,'All Products'!I:I,FALSE)</f>
        <v>Within 6 Weeks</v>
      </c>
      <c r="P49" s="379" t="str">
        <f>_xlfn.XLOOKUP(E49,'All Products'!D:D,'All Products'!J:J,FALSE)</f>
        <v>Sourced</v>
      </c>
      <c r="Q49" s="397">
        <f>_xlfn.XLOOKUP(F49,'All Products'!E:E,'All Products'!K:K,FALSE)</f>
        <v>810673014149</v>
      </c>
      <c r="R49" s="397" t="str">
        <f>_xlfn.XLOOKUP(E49,'All Products'!D:D,'All Products'!L:L,FALSE)</f>
        <v>-</v>
      </c>
      <c r="S49" s="397" t="str">
        <f>_xlfn.XLOOKUP(E49,'All Products'!D:D,'All Products'!M:M,FALSE)</f>
        <v>-</v>
      </c>
      <c r="T49" s="384">
        <f>_xlfn.XLOOKUP(E49,'All Products'!D:D,'All Products'!N:N,FALSE)</f>
        <v>1.609</v>
      </c>
      <c r="U49" s="384">
        <f>_xlfn.XLOOKUP(E49,'All Products'!D:D,'All Products'!P:P,FALSE)</f>
        <v>16.09</v>
      </c>
      <c r="V49" s="384" t="str">
        <f>_xlfn.XLOOKUP(E49,'All Products'!D:D,'All Products'!Q:Q,FALSE)</f>
        <v>-</v>
      </c>
    </row>
    <row r="50" spans="1:22">
      <c r="A50" s="5" t="str">
        <f>IF(K50&gt;0,COUNT($A$8:A49)+1,"")</f>
        <v/>
      </c>
      <c r="B50" s="644"/>
      <c r="C50" s="645"/>
      <c r="D50" s="369" t="str">
        <f>_xlfn.XLOOKUP(E50,'All Products'!D:D,'All Products'!C:C,FALSE)</f>
        <v>105-X-3239</v>
      </c>
      <c r="E50" s="103">
        <v>100028866</v>
      </c>
      <c r="F50" s="376" t="str">
        <f>_xlfn.XLOOKUP(E50,'All Products'!D:D,'All Products'!E:E,FALSE)</f>
        <v>1-1/2CLEANOUT AD W/CO PLG SXFPT DWV</v>
      </c>
      <c r="G50" s="232">
        <f>_xlfn.XLOOKUP(E50,'All Products'!D:D,'All Products'!F:F,FALSE)</f>
        <v>50</v>
      </c>
      <c r="H50" s="387">
        <f>_xlfn.XLOOKUP(E50,'All Products'!D:D,'All Products'!G:G,FALSE)</f>
        <v>6400</v>
      </c>
      <c r="I50" s="369">
        <f>_xlfn.XLOOKUP(E50,'All Products'!D:D,'All Products'!H:H,FALSE)</f>
        <v>57.01</v>
      </c>
      <c r="J50" s="183">
        <f>IFERROR(ROUNDUP(I50*Order_Quote!$L$2,2),0)</f>
        <v>57.01</v>
      </c>
      <c r="K50" s="118"/>
      <c r="L50" s="76"/>
      <c r="M50" s="104">
        <f t="shared" si="0"/>
        <v>0</v>
      </c>
      <c r="O50" s="379" t="str">
        <f>_xlfn.XLOOKUP(E50,'All Products'!D:D,'All Products'!I:I,FALSE)</f>
        <v>Within 3 Weeks</v>
      </c>
      <c r="P50" s="379" t="str">
        <f>_xlfn.XLOOKUP(E50,'All Products'!D:D,'All Products'!J:J,FALSE)</f>
        <v>Manufactured</v>
      </c>
      <c r="Q50" s="397">
        <f>_xlfn.XLOOKUP(F50,'All Products'!E:E,'All Products'!K:K,FALSE)</f>
        <v>810673013340</v>
      </c>
      <c r="R50" s="397" t="str">
        <f>_xlfn.XLOOKUP(E50,'All Products'!D:D,'All Products'!L:L,FALSE)</f>
        <v>-</v>
      </c>
      <c r="S50" s="397">
        <f>_xlfn.XLOOKUP(E50,'All Products'!D:D,'All Products'!M:M,FALSE)</f>
        <v>10810673013347</v>
      </c>
      <c r="T50" s="384">
        <f>_xlfn.XLOOKUP(E50,'All Products'!D:D,'All Products'!N:N,FALSE)</f>
        <v>0.159</v>
      </c>
      <c r="U50" s="384">
        <f>_xlfn.XLOOKUP(E50,'All Products'!D:D,'All Products'!P:P,FALSE)</f>
        <v>7.95</v>
      </c>
      <c r="V50" s="384">
        <f>_xlfn.XLOOKUP(E50,'All Products'!D:D,'All Products'!Q:Q,FALSE)</f>
        <v>0.32375720697715193</v>
      </c>
    </row>
    <row r="51" spans="1:22">
      <c r="A51" s="5" t="str">
        <f>IF(K51&gt;0,COUNT($A$8:A50)+1,"")</f>
        <v/>
      </c>
      <c r="B51" s="646"/>
      <c r="C51" s="647"/>
      <c r="D51" s="369" t="str">
        <f>_xlfn.XLOOKUP(E51,'All Products'!D:D,'All Products'!C:C,FALSE)</f>
        <v>105-X-3240</v>
      </c>
      <c r="E51" s="103">
        <v>100028867</v>
      </c>
      <c r="F51" s="376" t="str">
        <f>_xlfn.XLOOKUP(E51,'All Products'!D:D,'All Products'!E:E,FALSE)</f>
        <v>2 CLEANOUT AD W/CO PLG SXFPT DWV</v>
      </c>
      <c r="G51" s="232">
        <f>_xlfn.XLOOKUP(E51,'All Products'!D:D,'All Products'!F:F,FALSE)</f>
        <v>50</v>
      </c>
      <c r="H51" s="387">
        <f>_xlfn.XLOOKUP(E51,'All Products'!D:D,'All Products'!G:G,FALSE)</f>
        <v>3150</v>
      </c>
      <c r="I51" s="369">
        <f>_xlfn.XLOOKUP(E51,'All Products'!D:D,'All Products'!H:H,FALSE)</f>
        <v>71.14</v>
      </c>
      <c r="J51" s="183">
        <f>IFERROR(ROUNDUP(I51*Order_Quote!$L$2,2),0)</f>
        <v>71.14</v>
      </c>
      <c r="K51" s="118"/>
      <c r="L51" s="76"/>
      <c r="M51" s="104">
        <f t="shared" si="0"/>
        <v>0</v>
      </c>
      <c r="O51" s="379" t="str">
        <f>_xlfn.XLOOKUP(E51,'All Products'!D:D,'All Products'!I:I,FALSE)</f>
        <v>Within 3 Weeks</v>
      </c>
      <c r="P51" s="379" t="str">
        <f>_xlfn.XLOOKUP(E51,'All Products'!D:D,'All Products'!J:J,FALSE)</f>
        <v>Manufactured</v>
      </c>
      <c r="Q51" s="397">
        <f>_xlfn.XLOOKUP(F51,'All Products'!E:E,'All Products'!K:K,FALSE)</f>
        <v>810673013357</v>
      </c>
      <c r="R51" s="397" t="str">
        <f>_xlfn.XLOOKUP(E51,'All Products'!D:D,'All Products'!L:L,FALSE)</f>
        <v>-</v>
      </c>
      <c r="S51" s="397">
        <f>_xlfn.XLOOKUP(E51,'All Products'!D:D,'All Products'!M:M,FALSE)</f>
        <v>10810673013354</v>
      </c>
      <c r="T51" s="384">
        <f>_xlfn.XLOOKUP(E51,'All Products'!D:D,'All Products'!N:N,FALSE)</f>
        <v>0.23599999999999999</v>
      </c>
      <c r="U51" s="384">
        <f>_xlfn.XLOOKUP(E51,'All Products'!D:D,'All Products'!P:P,FALSE)</f>
        <v>11.799999999999999</v>
      </c>
      <c r="V51" s="384">
        <f>_xlfn.XLOOKUP(E51,'All Products'!D:D,'All Products'!Q:Q,FALSE)</f>
        <v>0.66940792428507967</v>
      </c>
    </row>
    <row r="52" spans="1:22">
      <c r="A52" s="5" t="str">
        <f>IF(K52&gt;0,COUNT($A$8:A51)+1,"")</f>
        <v/>
      </c>
      <c r="B52" s="646"/>
      <c r="C52" s="647"/>
      <c r="D52" s="369" t="str">
        <f>_xlfn.XLOOKUP(E52,'All Products'!D:D,'All Products'!C:C,FALSE)</f>
        <v>105-X-3241</v>
      </c>
      <c r="E52" s="103">
        <v>100028868</v>
      </c>
      <c r="F52" s="376" t="str">
        <f>_xlfn.XLOOKUP(E52,'All Products'!D:D,'All Products'!E:E,FALSE)</f>
        <v>3 CLEANOUT AD W/CO PLG SXFPT DWV</v>
      </c>
      <c r="G52" s="232">
        <f>_xlfn.XLOOKUP(E52,'All Products'!D:D,'All Products'!F:F,FALSE)</f>
        <v>25</v>
      </c>
      <c r="H52" s="387">
        <f>_xlfn.XLOOKUP(E52,'All Products'!D:D,'All Products'!G:G,FALSE)</f>
        <v>1125</v>
      </c>
      <c r="I52" s="369">
        <f>_xlfn.XLOOKUP(E52,'All Products'!D:D,'All Products'!H:H,FALSE)</f>
        <v>166.25</v>
      </c>
      <c r="J52" s="183">
        <f>IFERROR(ROUNDUP(I52*Order_Quote!$L$2,2),0)</f>
        <v>166.25</v>
      </c>
      <c r="K52" s="118"/>
      <c r="L52" s="76"/>
      <c r="M52" s="104">
        <f t="shared" si="0"/>
        <v>0</v>
      </c>
      <c r="O52" s="379" t="str">
        <f>_xlfn.XLOOKUP(E52,'All Products'!D:D,'All Products'!I:I,FALSE)</f>
        <v>In Stock</v>
      </c>
      <c r="P52" s="379" t="str">
        <f>_xlfn.XLOOKUP(E52,'All Products'!D:D,'All Products'!J:J,FALSE)</f>
        <v>Manufactured</v>
      </c>
      <c r="Q52" s="397">
        <f>_xlfn.XLOOKUP(F52,'All Products'!E:E,'All Products'!K:K,FALSE)</f>
        <v>810673013784</v>
      </c>
      <c r="R52" s="397" t="str">
        <f>_xlfn.XLOOKUP(E52,'All Products'!D:D,'All Products'!L:L,FALSE)</f>
        <v>-</v>
      </c>
      <c r="S52" s="397">
        <f>_xlfn.XLOOKUP(E52,'All Products'!D:D,'All Products'!M:M,FALSE)</f>
        <v>10810673013781</v>
      </c>
      <c r="T52" s="384">
        <f>_xlfn.XLOOKUP(E52,'All Products'!D:D,'All Products'!N:N,FALSE)</f>
        <v>0.628</v>
      </c>
      <c r="U52" s="384">
        <f>_xlfn.XLOOKUP(E52,'All Products'!D:D,'All Products'!P:P,FALSE)</f>
        <v>15.7</v>
      </c>
      <c r="V52" s="384">
        <f>_xlfn.XLOOKUP(E52,'All Products'!D:D,'All Products'!Q:Q,FALSE)</f>
        <v>0.98955954024750914</v>
      </c>
    </row>
    <row r="53" spans="1:22">
      <c r="A53" s="5" t="str">
        <f>IF(K53&gt;0,COUNT($A$8:A52)+1,"")</f>
        <v/>
      </c>
      <c r="B53" s="646"/>
      <c r="C53" s="647"/>
      <c r="D53" s="369" t="str">
        <f>_xlfn.XLOOKUP(E53,'All Products'!D:D,'All Products'!C:C,FALSE)</f>
        <v>105-X-3242</v>
      </c>
      <c r="E53" s="103">
        <v>100028869</v>
      </c>
      <c r="F53" s="376" t="str">
        <f>_xlfn.XLOOKUP(E53,'All Products'!D:D,'All Products'!E:E,FALSE)</f>
        <v>4 CLEANOUT AD W/CO PLG SXFPT DWV</v>
      </c>
      <c r="G53" s="232">
        <f>_xlfn.XLOOKUP(E53,'All Products'!D:D,'All Products'!F:F,FALSE)</f>
        <v>10</v>
      </c>
      <c r="H53" s="387">
        <f>_xlfn.XLOOKUP(E53,'All Products'!D:D,'All Products'!G:G,FALSE)</f>
        <v>630</v>
      </c>
      <c r="I53" s="369">
        <f>_xlfn.XLOOKUP(E53,'All Products'!D:D,'All Products'!H:H,FALSE)</f>
        <v>265.38</v>
      </c>
      <c r="J53" s="183">
        <f>IFERROR(ROUNDUP(I53*Order_Quote!$L$2,2),0)</f>
        <v>265.38</v>
      </c>
      <c r="K53" s="118"/>
      <c r="L53" s="76"/>
      <c r="M53" s="104">
        <f t="shared" si="0"/>
        <v>0</v>
      </c>
      <c r="O53" s="379" t="str">
        <f>_xlfn.XLOOKUP(E53,'All Products'!D:D,'All Products'!I:I,FALSE)</f>
        <v>In Stock</v>
      </c>
      <c r="P53" s="379" t="str">
        <f>_xlfn.XLOOKUP(E53,'All Products'!D:D,'All Products'!J:J,FALSE)</f>
        <v>Manufactured</v>
      </c>
      <c r="Q53" s="397">
        <f>_xlfn.XLOOKUP(F53,'All Products'!E:E,'All Products'!K:K,FALSE)</f>
        <v>810673013364</v>
      </c>
      <c r="R53" s="397" t="str">
        <f>_xlfn.XLOOKUP(E53,'All Products'!D:D,'All Products'!L:L,FALSE)</f>
        <v>-</v>
      </c>
      <c r="S53" s="397">
        <f>_xlfn.XLOOKUP(E53,'All Products'!D:D,'All Products'!M:M,FALSE)</f>
        <v>10810673013361</v>
      </c>
      <c r="T53" s="384">
        <f>_xlfn.XLOOKUP(E53,'All Products'!D:D,'All Products'!N:N,FALSE)</f>
        <v>1.139</v>
      </c>
      <c r="U53" s="384">
        <f>_xlfn.XLOOKUP(E53,'All Products'!D:D,'All Products'!P:P,FALSE)</f>
        <v>11.39</v>
      </c>
      <c r="V53" s="384">
        <f>_xlfn.XLOOKUP(E53,'All Products'!D:D,'All Products'!Q:Q,FALSE)</f>
        <v>0.98955954024750914</v>
      </c>
    </row>
    <row r="54" spans="1:22">
      <c r="A54" s="5" t="str">
        <f>IF(K54&gt;0,COUNT($A$8:A53)+1,"")</f>
        <v/>
      </c>
      <c r="B54" s="652"/>
      <c r="C54" s="653"/>
      <c r="D54" s="369" t="str">
        <f>_xlfn.XLOOKUP(E54,'All Products'!D:D,'All Products'!C:C,FALSE)</f>
        <v>105-X-3243</v>
      </c>
      <c r="E54" s="103">
        <v>300005639</v>
      </c>
      <c r="F54" s="376" t="str">
        <f>_xlfn.XLOOKUP(E54,'All Products'!D:D,'All Products'!E:E,FALSE)</f>
        <v>6 CLEANOUT AD W/CO PLG SXFPT DWV</v>
      </c>
      <c r="G54" s="232">
        <f>_xlfn.XLOOKUP(E54,'All Products'!D:D,'All Products'!F:F,FALSE)</f>
        <v>10</v>
      </c>
      <c r="H54" s="387">
        <f>_xlfn.XLOOKUP(E54,'All Products'!D:D,'All Products'!G:G,FALSE)</f>
        <v>180</v>
      </c>
      <c r="I54" s="369" t="str">
        <f>_xlfn.XLOOKUP(E54,'All Products'!D:D,'All Products'!H:H,FALSE)</f>
        <v>Quote Required</v>
      </c>
      <c r="J54" s="183">
        <f>IFERROR(ROUNDUP(I54*Order_Quote!$L$2,2),0)</f>
        <v>0</v>
      </c>
      <c r="K54" s="118"/>
      <c r="L54" s="76"/>
      <c r="M54" s="104">
        <f t="shared" si="0"/>
        <v>0</v>
      </c>
      <c r="O54" s="379" t="str">
        <f>_xlfn.XLOOKUP(E54,'All Products'!D:D,'All Products'!I:I,FALSE)</f>
        <v>Within 6 Weeks</v>
      </c>
      <c r="P54" s="379" t="str">
        <f>_xlfn.XLOOKUP(E54,'All Products'!D:D,'All Products'!J:J,FALSE)</f>
        <v>Sourced</v>
      </c>
      <c r="Q54" s="397">
        <f>_xlfn.XLOOKUP(F54,'All Products'!E:E,'All Products'!K:K,FALSE)</f>
        <v>810673014132</v>
      </c>
      <c r="R54" s="397" t="str">
        <f>_xlfn.XLOOKUP(E54,'All Products'!D:D,'All Products'!L:L,FALSE)</f>
        <v>-</v>
      </c>
      <c r="S54" s="397" t="str">
        <f>_xlfn.XLOOKUP(E54,'All Products'!D:D,'All Products'!M:M,FALSE)</f>
        <v>-</v>
      </c>
      <c r="T54" s="384">
        <f>_xlfn.XLOOKUP(E54,'All Products'!D:D,'All Products'!N:N,FALSE)</f>
        <v>2.6230000000000002</v>
      </c>
      <c r="U54" s="384">
        <f>_xlfn.XLOOKUP(E54,'All Products'!D:D,'All Products'!P:P,FALSE)</f>
        <v>26.230000000000004</v>
      </c>
      <c r="V54" s="384" t="str">
        <f>_xlfn.XLOOKUP(E54,'All Products'!D:D,'All Products'!Q:Q,FALSE)</f>
        <v>-</v>
      </c>
    </row>
    <row r="55" spans="1:22">
      <c r="A55" s="5" t="str">
        <f>IF(K55&gt;0,COUNT($A$8:A54)+1,"")</f>
        <v/>
      </c>
      <c r="B55" s="644"/>
      <c r="C55" s="645"/>
      <c r="D55" s="369" t="str">
        <f>_xlfn.XLOOKUP(E55,'All Products'!D:D,'All Products'!C:C,FALSE)</f>
        <v>106-3251</v>
      </c>
      <c r="E55" s="103">
        <v>100028876</v>
      </c>
      <c r="F55" s="376" t="str">
        <f>_xlfn.XLOOKUP(E55,'All Products'!D:D,'All Products'!E:E,FALSE)</f>
        <v>1-1/2 CLEANOUT PLUG MPT DWV</v>
      </c>
      <c r="G55" s="232">
        <f>_xlfn.XLOOKUP(E55,'All Products'!D:D,'All Products'!F:F,FALSE)</f>
        <v>100</v>
      </c>
      <c r="H55" s="387">
        <f>_xlfn.XLOOKUP(E55,'All Products'!D:D,'All Products'!G:G,FALSE)</f>
        <v>14400</v>
      </c>
      <c r="I55" s="369">
        <f>_xlfn.XLOOKUP(E55,'All Products'!D:D,'All Products'!H:H,FALSE)</f>
        <v>24.26</v>
      </c>
      <c r="J55" s="183">
        <f>IFERROR(ROUNDUP(I55*Order_Quote!$L$2,2),0)</f>
        <v>24.26</v>
      </c>
      <c r="K55" s="118"/>
      <c r="L55" s="76"/>
      <c r="M55" s="104">
        <f t="shared" si="0"/>
        <v>0</v>
      </c>
      <c r="O55" s="379" t="str">
        <f>_xlfn.XLOOKUP(E55,'All Products'!D:D,'All Products'!I:I,FALSE)</f>
        <v>Within 3 Weeks</v>
      </c>
      <c r="P55" s="379" t="str">
        <f>_xlfn.XLOOKUP(E55,'All Products'!D:D,'All Products'!J:J,FALSE)</f>
        <v>Manufactured</v>
      </c>
      <c r="Q55" s="397">
        <f>_xlfn.XLOOKUP(F55,'All Products'!E:E,'All Products'!K:K,FALSE)</f>
        <v>810673013876</v>
      </c>
      <c r="R55" s="397" t="str">
        <f>_xlfn.XLOOKUP(E55,'All Products'!D:D,'All Products'!L:L,FALSE)</f>
        <v>-</v>
      </c>
      <c r="S55" s="397">
        <f>_xlfn.XLOOKUP(E55,'All Products'!D:D,'All Products'!M:M,FALSE)</f>
        <v>10810673013873</v>
      </c>
      <c r="T55" s="384">
        <f>_xlfn.XLOOKUP(E55,'All Products'!D:D,'All Products'!N:N,FALSE)</f>
        <v>7.0000000000000007E-2</v>
      </c>
      <c r="U55" s="384">
        <f>_xlfn.XLOOKUP(E55,'All Products'!D:D,'All Products'!P:P,FALSE)</f>
        <v>7.0000000000000009</v>
      </c>
      <c r="V55" s="384">
        <f>_xlfn.XLOOKUP(E55,'All Products'!D:D,'All Products'!Q:Q,FALSE)</f>
        <v>0.26544609711836381</v>
      </c>
    </row>
    <row r="56" spans="1:22">
      <c r="A56" s="5" t="str">
        <f>IF(K56&gt;0,COUNT($A$8:A55)+1,"")</f>
        <v/>
      </c>
      <c r="B56" s="646"/>
      <c r="C56" s="647"/>
      <c r="D56" s="369" t="str">
        <f>_xlfn.XLOOKUP(E56,'All Products'!D:D,'All Products'!C:C,FALSE)</f>
        <v>106-3252</v>
      </c>
      <c r="E56" s="103">
        <v>100028877</v>
      </c>
      <c r="F56" s="376" t="str">
        <f>_xlfn.XLOOKUP(E56,'All Products'!D:D,'All Products'!E:E,FALSE)</f>
        <v>2 CLEANOUT PLUG MPT DWV</v>
      </c>
      <c r="G56" s="232">
        <f>_xlfn.XLOOKUP(E56,'All Products'!D:D,'All Products'!F:F,FALSE)</f>
        <v>50</v>
      </c>
      <c r="H56" s="387">
        <f>_xlfn.XLOOKUP(E56,'All Products'!D:D,'All Products'!G:G,FALSE)</f>
        <v>9000</v>
      </c>
      <c r="I56" s="369">
        <f>_xlfn.XLOOKUP(E56,'All Products'!D:D,'All Products'!H:H,FALSE)</f>
        <v>27.32</v>
      </c>
      <c r="J56" s="183">
        <f>IFERROR(ROUNDUP(I56*Order_Quote!$L$2,2),0)</f>
        <v>27.32</v>
      </c>
      <c r="K56" s="118"/>
      <c r="L56" s="76"/>
      <c r="M56" s="104">
        <f t="shared" si="0"/>
        <v>0</v>
      </c>
      <c r="O56" s="379" t="str">
        <f>_xlfn.XLOOKUP(E56,'All Products'!D:D,'All Products'!I:I,FALSE)</f>
        <v>In Stock</v>
      </c>
      <c r="P56" s="379" t="str">
        <f>_xlfn.XLOOKUP(E56,'All Products'!D:D,'All Products'!J:J,FALSE)</f>
        <v>Manufactured</v>
      </c>
      <c r="Q56" s="397">
        <f>_xlfn.XLOOKUP(F56,'All Products'!E:E,'All Products'!K:K,FALSE)</f>
        <v>810673013883</v>
      </c>
      <c r="R56" s="397" t="str">
        <f>_xlfn.XLOOKUP(E56,'All Products'!D:D,'All Products'!L:L,FALSE)</f>
        <v>-</v>
      </c>
      <c r="S56" s="397">
        <f>_xlfn.XLOOKUP(E56,'All Products'!D:D,'All Products'!M:M,FALSE)</f>
        <v>10810673013880</v>
      </c>
      <c r="T56" s="384">
        <f>_xlfn.XLOOKUP(E56,'All Products'!D:D,'All Products'!N:N,FALSE)</f>
        <v>0.105</v>
      </c>
      <c r="U56" s="384">
        <f>_xlfn.XLOOKUP(E56,'All Products'!D:D,'All Products'!P:P,FALSE)</f>
        <v>5.25</v>
      </c>
      <c r="V56" s="384">
        <f>_xlfn.XLOOKUP(E56,'All Products'!D:D,'All Products'!Q:Q,FALSE)</f>
        <v>0.21565729329437433</v>
      </c>
    </row>
    <row r="57" spans="1:22">
      <c r="A57" s="5" t="str">
        <f>IF(K57&gt;0,COUNT($A$8:A56)+1,"")</f>
        <v/>
      </c>
      <c r="B57" s="646"/>
      <c r="C57" s="647"/>
      <c r="D57" s="369" t="str">
        <f>_xlfn.XLOOKUP(E57,'All Products'!D:D,'All Products'!C:C,FALSE)</f>
        <v>106-3253</v>
      </c>
      <c r="E57" s="103">
        <v>100028878</v>
      </c>
      <c r="F57" s="376" t="str">
        <f>_xlfn.XLOOKUP(E57,'All Products'!D:D,'All Products'!E:E,FALSE)</f>
        <v>3 CLEANOUT PLUG MPT DWV</v>
      </c>
      <c r="G57" s="232">
        <f>_xlfn.XLOOKUP(E57,'All Products'!D:D,'All Products'!F:F,FALSE)</f>
        <v>25</v>
      </c>
      <c r="H57" s="387">
        <f>_xlfn.XLOOKUP(E57,'All Products'!D:D,'All Products'!G:G,FALSE)</f>
        <v>3600</v>
      </c>
      <c r="I57" s="369">
        <f>_xlfn.XLOOKUP(E57,'All Products'!D:D,'All Products'!H:H,FALSE)</f>
        <v>48.61</v>
      </c>
      <c r="J57" s="183">
        <f>IFERROR(ROUNDUP(I57*Order_Quote!$L$2,2),0)</f>
        <v>48.61</v>
      </c>
      <c r="K57" s="118"/>
      <c r="L57" s="76"/>
      <c r="M57" s="104">
        <f t="shared" si="0"/>
        <v>0</v>
      </c>
      <c r="O57" s="379" t="str">
        <f>_xlfn.XLOOKUP(E57,'All Products'!D:D,'All Products'!I:I,FALSE)</f>
        <v>In Stock</v>
      </c>
      <c r="P57" s="379" t="str">
        <f>_xlfn.XLOOKUP(E57,'All Products'!D:D,'All Products'!J:J,FALSE)</f>
        <v>Manufactured</v>
      </c>
      <c r="Q57" s="397">
        <f>_xlfn.XLOOKUP(F57,'All Products'!E:E,'All Products'!K:K,FALSE)</f>
        <v>810673013890</v>
      </c>
      <c r="R57" s="397" t="str">
        <f>_xlfn.XLOOKUP(E57,'All Products'!D:D,'All Products'!L:L,FALSE)</f>
        <v>-</v>
      </c>
      <c r="S57" s="397">
        <f>_xlfn.XLOOKUP(E57,'All Products'!D:D,'All Products'!M:M,FALSE)</f>
        <v>10810673013897</v>
      </c>
      <c r="T57" s="384">
        <f>_xlfn.XLOOKUP(E57,'All Products'!D:D,'All Products'!N:N,FALSE)</f>
        <v>0.26100000000000001</v>
      </c>
      <c r="U57" s="384">
        <f>_xlfn.XLOOKUP(E57,'All Products'!D:D,'All Products'!P:P,FALSE)</f>
        <v>6.5250000000000004</v>
      </c>
      <c r="V57" s="384">
        <f>_xlfn.XLOOKUP(E57,'All Products'!D:D,'All Products'!Q:Q,FALSE)</f>
        <v>0.26544609711836381</v>
      </c>
    </row>
    <row r="58" spans="1:22">
      <c r="A58" s="5" t="str">
        <f>IF(K58&gt;0,COUNT($A$8:A57)+1,"")</f>
        <v/>
      </c>
      <c r="B58" s="646"/>
      <c r="C58" s="647"/>
      <c r="D58" s="369" t="str">
        <f>_xlfn.XLOOKUP(E58,'All Products'!D:D,'All Products'!C:C,FALSE)</f>
        <v>106-3254</v>
      </c>
      <c r="E58" s="103">
        <v>100028879</v>
      </c>
      <c r="F58" s="376" t="str">
        <f>_xlfn.XLOOKUP(E58,'All Products'!D:D,'All Products'!E:E,FALSE)</f>
        <v>4 CLEANOUT PLUG MPT DWV</v>
      </c>
      <c r="G58" s="232">
        <f>_xlfn.XLOOKUP(E58,'All Products'!D:D,'All Products'!F:F,FALSE)</f>
        <v>30</v>
      </c>
      <c r="H58" s="387">
        <f>_xlfn.XLOOKUP(E58,'All Products'!D:D,'All Products'!G:G,FALSE)</f>
        <v>1890</v>
      </c>
      <c r="I58" s="369">
        <f>_xlfn.XLOOKUP(E58,'All Products'!D:D,'All Products'!H:H,FALSE)</f>
        <v>72.05</v>
      </c>
      <c r="J58" s="183">
        <f>IFERROR(ROUNDUP(I58*Order_Quote!$L$2,2),0)</f>
        <v>72.05</v>
      </c>
      <c r="K58" s="118"/>
      <c r="L58" s="76"/>
      <c r="M58" s="104">
        <f t="shared" si="0"/>
        <v>0</v>
      </c>
      <c r="O58" s="379" t="str">
        <f>_xlfn.XLOOKUP(E58,'All Products'!D:D,'All Products'!I:I,FALSE)</f>
        <v>In Stock</v>
      </c>
      <c r="P58" s="379" t="str">
        <f>_xlfn.XLOOKUP(E58,'All Products'!D:D,'All Products'!J:J,FALSE)</f>
        <v>Manufactured</v>
      </c>
      <c r="Q58" s="397">
        <f>_xlfn.XLOOKUP(F58,'All Products'!E:E,'All Products'!K:K,FALSE)</f>
        <v>810673013906</v>
      </c>
      <c r="R58" s="397" t="str">
        <f>_xlfn.XLOOKUP(E58,'All Products'!D:D,'All Products'!L:L,FALSE)</f>
        <v>-</v>
      </c>
      <c r="S58" s="397">
        <f>_xlfn.XLOOKUP(E58,'All Products'!D:D,'All Products'!M:M,FALSE)</f>
        <v>10810673013903</v>
      </c>
      <c r="T58" s="384">
        <f>_xlfn.XLOOKUP(E58,'All Products'!D:D,'All Products'!N:N,FALSE)</f>
        <v>0.47099999999999997</v>
      </c>
      <c r="U58" s="384">
        <f>_xlfn.XLOOKUP(E58,'All Products'!D:D,'All Products'!P:P,FALSE)</f>
        <v>14.129999999999999</v>
      </c>
      <c r="V58" s="384">
        <f>_xlfn.XLOOKUP(E58,'All Products'!D:D,'All Products'!Q:Q,FALSE)</f>
        <v>0.66940792428507967</v>
      </c>
    </row>
    <row r="59" spans="1:22" ht="15" thickBot="1">
      <c r="A59" s="5" t="str">
        <f>IF(K59&gt;0,COUNT($A$8:A58)+1,"")</f>
        <v/>
      </c>
      <c r="B59" s="652"/>
      <c r="C59" s="653"/>
      <c r="D59" s="369" t="str">
        <f>_xlfn.XLOOKUP(E59,'All Products'!D:D,'All Products'!C:C,FALSE)</f>
        <v>106-3255</v>
      </c>
      <c r="E59" s="103">
        <v>100028880</v>
      </c>
      <c r="F59" s="376" t="str">
        <f>_xlfn.XLOOKUP(E59,'All Products'!D:D,'All Products'!E:E,FALSE)</f>
        <v>6 CLEANOUT PLUG MPT DWV</v>
      </c>
      <c r="G59" s="232">
        <f>_xlfn.XLOOKUP(E59,'All Products'!D:D,'All Products'!F:F,FALSE)</f>
        <v>10</v>
      </c>
      <c r="H59" s="387">
        <f>_xlfn.XLOOKUP(E59,'All Products'!D:D,'All Products'!G:G,FALSE)</f>
        <v>800</v>
      </c>
      <c r="I59" s="369">
        <f>_xlfn.XLOOKUP(E59,'All Products'!D:D,'All Products'!H:H,FALSE)</f>
        <v>228.76</v>
      </c>
      <c r="J59" s="183">
        <f>IFERROR(ROUNDUP(I59*Order_Quote!$L$2,2),0)</f>
        <v>228.76</v>
      </c>
      <c r="K59" s="118"/>
      <c r="L59" s="76"/>
      <c r="M59" s="104">
        <f t="shared" si="0"/>
        <v>0</v>
      </c>
      <c r="O59" s="379" t="str">
        <f>_xlfn.XLOOKUP(E59,'All Products'!D:D,'All Products'!I:I,FALSE)</f>
        <v>In Stock</v>
      </c>
      <c r="P59" s="379" t="str">
        <f>_xlfn.XLOOKUP(E59,'All Products'!D:D,'All Products'!J:J,FALSE)</f>
        <v>Manufactured</v>
      </c>
      <c r="Q59" s="504">
        <f>_xlfn.XLOOKUP(F59,'All Products'!E:E,'All Products'!K:K,FALSE)</f>
        <v>810673014156</v>
      </c>
      <c r="R59" s="397" t="str">
        <f>_xlfn.XLOOKUP(E59,'All Products'!D:D,'All Products'!L:L,FALSE)</f>
        <v>-</v>
      </c>
      <c r="S59" s="397">
        <f>_xlfn.XLOOKUP(E59,'All Products'!D:D,'All Products'!M:M,FALSE)</f>
        <v>810673016051</v>
      </c>
      <c r="T59" s="384">
        <f>_xlfn.XLOOKUP(E59,'All Products'!D:D,'All Products'!N:N,FALSE)</f>
        <v>0.86799999999999999</v>
      </c>
      <c r="U59" s="384">
        <f>_xlfn.XLOOKUP(E59,'All Products'!D:D,'All Products'!P:P,FALSE)</f>
        <v>8.68</v>
      </c>
      <c r="V59" s="384">
        <f>_xlfn.XLOOKUP(E59,'All Products'!D:D,'All Products'!Q:Q,FALSE)</f>
        <v>0.4856358104657279</v>
      </c>
    </row>
    <row r="60" spans="1:22">
      <c r="A60" s="5" t="str">
        <f>IF(K60&gt;0,COUNT($A$8:A59)+1,"")</f>
        <v/>
      </c>
      <c r="B60" s="644"/>
      <c r="C60" s="645"/>
      <c r="D60" s="369" t="str">
        <f>_xlfn.XLOOKUP(E60,'All Products'!D:D,'All Products'!C:C,FALSE)</f>
        <v>110-3292</v>
      </c>
      <c r="E60" s="103">
        <v>300006069</v>
      </c>
      <c r="F60" s="376" t="str">
        <f>_xlfn.XLOOKUP(E60,'All Products'!D:D,'All Products'!E:E,FALSE)</f>
        <v>3 FLUSH C/O PLUG MPT DWV</v>
      </c>
      <c r="G60" s="232">
        <f>_xlfn.XLOOKUP(E60,'All Products'!D:D,'All Products'!F:F,FALSE)</f>
        <v>25</v>
      </c>
      <c r="H60" s="387">
        <f>_xlfn.XLOOKUP(E60,'All Products'!D:D,'All Products'!G:G,FALSE)</f>
        <v>5250</v>
      </c>
      <c r="I60" s="369" t="str">
        <f>_xlfn.XLOOKUP(E60,'All Products'!D:D,'All Products'!H:H,FALSE)</f>
        <v>Quote Required</v>
      </c>
      <c r="J60" s="183">
        <f>IFERROR(ROUNDUP(I60*Order_Quote!$L$2,2),0)</f>
        <v>0</v>
      </c>
      <c r="K60" s="118"/>
      <c r="L60" s="76"/>
      <c r="M60" s="104">
        <f>K60/G60</f>
        <v>0</v>
      </c>
      <c r="O60" s="379" t="str">
        <f>_xlfn.XLOOKUP(E60,'All Products'!D:D,'All Products'!I:I,FALSE)</f>
        <v>Within 6 Weeks</v>
      </c>
      <c r="P60" s="379" t="str">
        <f>_xlfn.XLOOKUP(E60,'All Products'!D:D,'All Products'!J:J,FALSE)</f>
        <v>Sourced</v>
      </c>
      <c r="Q60" s="397">
        <f>_xlfn.XLOOKUP(F60,'All Products'!E:E,'All Products'!K:K,FALSE)</f>
        <v>812361017272</v>
      </c>
      <c r="R60" s="397" t="str">
        <f>_xlfn.XLOOKUP(E60,'All Products'!D:D,'All Products'!L:L,FALSE)</f>
        <v>-</v>
      </c>
      <c r="S60" s="397" t="str">
        <f>_xlfn.XLOOKUP(E60,'All Products'!D:D,'All Products'!M:M,FALSE)</f>
        <v>-</v>
      </c>
      <c r="T60" s="384">
        <f>_xlfn.XLOOKUP(E60,'All Products'!D:D,'All Products'!N:N,FALSE)</f>
        <v>0.16</v>
      </c>
      <c r="U60" s="384">
        <f>_xlfn.XLOOKUP(E60,'All Products'!D:D,'All Products'!P:P,FALSE)</f>
        <v>4</v>
      </c>
      <c r="V60" s="384" t="str">
        <f>_xlfn.XLOOKUP(E60,'All Products'!D:D,'All Products'!Q:Q,FALSE)</f>
        <v>-</v>
      </c>
    </row>
    <row r="61" spans="1:22" ht="15" thickBot="1">
      <c r="A61" s="5" t="str">
        <f>IF(K61&gt;0,COUNT($A$8:A60)+1,"")</f>
        <v/>
      </c>
      <c r="B61" s="666"/>
      <c r="C61" s="667"/>
      <c r="D61" s="369" t="str">
        <f>_xlfn.XLOOKUP(E61,'All Products'!D:D,'All Products'!C:C,FALSE)</f>
        <v>110-3293</v>
      </c>
      <c r="E61" s="103">
        <v>300006070</v>
      </c>
      <c r="F61" s="376" t="str">
        <f>_xlfn.XLOOKUP(E61,'All Products'!D:D,'All Products'!E:E,FALSE)</f>
        <v>4 FLUSH C/O PLUG MPT DWV</v>
      </c>
      <c r="G61" s="232">
        <f>_xlfn.XLOOKUP(E61,'All Products'!D:D,'All Products'!F:F,FALSE)</f>
        <v>25</v>
      </c>
      <c r="H61" s="387" t="str">
        <f>_xlfn.XLOOKUP(E61,'All Products'!D:D,'All Products'!G:G,FALSE)</f>
        <v>-</v>
      </c>
      <c r="I61" s="369" t="str">
        <f>_xlfn.XLOOKUP(E61,'All Products'!D:D,'All Products'!H:H,FALSE)</f>
        <v>Quote Required</v>
      </c>
      <c r="J61" s="183">
        <f>IFERROR(ROUNDUP(I61*Order_Quote!$L$2,2),0)</f>
        <v>0</v>
      </c>
      <c r="K61" s="118"/>
      <c r="L61" s="76"/>
      <c r="M61" s="104">
        <f>K61/G61</f>
        <v>0</v>
      </c>
      <c r="O61" s="379" t="str">
        <f>_xlfn.XLOOKUP(E61,'All Products'!D:D,'All Products'!I:I,FALSE)</f>
        <v>Within 6 Weeks</v>
      </c>
      <c r="P61" s="379" t="str">
        <f>_xlfn.XLOOKUP(E61,'All Products'!D:D,'All Products'!J:J,FALSE)</f>
        <v>Sourced</v>
      </c>
      <c r="Q61" s="504">
        <f>_xlfn.XLOOKUP(F61,'All Products'!E:E,'All Products'!K:K,FALSE)</f>
        <v>816842021437</v>
      </c>
      <c r="R61" s="397" t="str">
        <f>_xlfn.XLOOKUP(E61,'All Products'!D:D,'All Products'!L:L,FALSE)</f>
        <v>-</v>
      </c>
      <c r="S61" s="397" t="str">
        <f>_xlfn.XLOOKUP(E61,'All Products'!D:D,'All Products'!M:M,FALSE)</f>
        <v>-</v>
      </c>
      <c r="T61" s="384">
        <f>_xlfn.XLOOKUP(E61,'All Products'!D:D,'All Products'!N:N,FALSE)</f>
        <v>0.3</v>
      </c>
      <c r="U61" s="384">
        <f>_xlfn.XLOOKUP(E61,'All Products'!D:D,'All Products'!P:P,FALSE)</f>
        <v>7.5</v>
      </c>
      <c r="V61" s="384" t="str">
        <f>_xlfn.XLOOKUP(E61,'All Products'!D:D,'All Products'!Q:Q,FALSE)</f>
        <v>-</v>
      </c>
    </row>
    <row r="62" spans="1:22" s="17" customFormat="1" ht="16.2" thickBot="1">
      <c r="A62" s="5" t="str">
        <f>IF(K62&gt;0,COUNT($A$8:A61)+1,"")</f>
        <v/>
      </c>
      <c r="B62" s="501" t="s">
        <v>5801</v>
      </c>
      <c r="C62" s="151"/>
      <c r="D62" s="151"/>
      <c r="E62" s="459"/>
      <c r="F62" s="151"/>
      <c r="G62" s="468"/>
      <c r="H62" s="151"/>
      <c r="I62" s="472"/>
      <c r="J62" s="468"/>
      <c r="K62" s="477"/>
      <c r="L62" s="238"/>
      <c r="M62" s="476"/>
      <c r="O62" s="475"/>
      <c r="P62" s="145"/>
      <c r="Q62" s="492"/>
      <c r="R62" s="493"/>
      <c r="S62" s="493"/>
      <c r="T62" s="479"/>
      <c r="U62" s="459"/>
      <c r="V62" s="489"/>
    </row>
    <row r="63" spans="1:22">
      <c r="A63" s="5" t="str">
        <f>IF(K63&gt;0,COUNT($A$8:A62)+1,"")</f>
        <v/>
      </c>
      <c r="B63" s="664"/>
      <c r="C63" s="665"/>
      <c r="D63" s="369" t="str">
        <f>_xlfn.XLOOKUP(E63,'All Products'!D:D,'All Products'!C:C,FALSE)</f>
        <v>107-3263</v>
      </c>
      <c r="E63" s="103">
        <v>100028881</v>
      </c>
      <c r="F63" s="376" t="str">
        <f>_xlfn.XLOOKUP(E63,'All Products'!D:D,'All Products'!E:E,FALSE)</f>
        <v>2 X 1-1/2 FLUSH BUSHING SXH DWV</v>
      </c>
      <c r="G63" s="232">
        <f>_xlfn.XLOOKUP(E63,'All Products'!D:D,'All Products'!F:F,FALSE)</f>
        <v>50</v>
      </c>
      <c r="H63" s="387">
        <f>_xlfn.XLOOKUP(E63,'All Products'!D:D,'All Products'!G:G,FALSE)</f>
        <v>7200</v>
      </c>
      <c r="I63" s="369">
        <f>_xlfn.XLOOKUP(E63,'All Products'!D:D,'All Products'!H:H,FALSE)</f>
        <v>23.52</v>
      </c>
      <c r="J63" s="183">
        <f>IFERROR(ROUNDUP(I63*Order_Quote!$L$2,2),0)</f>
        <v>23.52</v>
      </c>
      <c r="K63" s="118"/>
      <c r="L63" s="76"/>
      <c r="M63" s="104">
        <f t="shared" si="0"/>
        <v>0</v>
      </c>
      <c r="O63" s="379" t="str">
        <f>_xlfn.XLOOKUP(E63,'All Products'!D:D,'All Products'!I:I,FALSE)</f>
        <v>In Stock</v>
      </c>
      <c r="P63" s="379" t="str">
        <f>_xlfn.XLOOKUP(E63,'All Products'!D:D,'All Products'!J:J,FALSE)</f>
        <v>Manufactured</v>
      </c>
      <c r="Q63" s="397">
        <f>_xlfn.XLOOKUP(F63,'All Products'!E:E,'All Products'!K:K,FALSE)</f>
        <v>810673014545</v>
      </c>
      <c r="R63" s="397" t="str">
        <f>_xlfn.XLOOKUP(E63,'All Products'!D:D,'All Products'!L:L,FALSE)</f>
        <v>-</v>
      </c>
      <c r="S63" s="397">
        <f>_xlfn.XLOOKUP(E63,'All Products'!D:D,'All Products'!M:M,FALSE)</f>
        <v>10810673014542</v>
      </c>
      <c r="T63" s="384">
        <f>_xlfn.XLOOKUP(E63,'All Products'!D:D,'All Products'!N:N,FALSE)</f>
        <v>0.123</v>
      </c>
      <c r="U63" s="384">
        <f>_xlfn.XLOOKUP(E63,'All Products'!D:D,'All Products'!P:P,FALSE)</f>
        <v>6.15</v>
      </c>
      <c r="V63" s="384">
        <f>_xlfn.XLOOKUP(E63,'All Products'!D:D,'All Products'!Q:Q,FALSE)</f>
        <v>0.26544609711836381</v>
      </c>
    </row>
    <row r="64" spans="1:22">
      <c r="A64" s="5" t="str">
        <f>IF(K64&gt;0,COUNT($A$8:A63)+1,"")</f>
        <v/>
      </c>
      <c r="B64" s="646"/>
      <c r="C64" s="647"/>
      <c r="D64" s="369" t="str">
        <f>_xlfn.XLOOKUP(E64,'All Products'!D:D,'All Products'!C:C,FALSE)</f>
        <v>107-3264</v>
      </c>
      <c r="E64" s="103">
        <v>100028882</v>
      </c>
      <c r="F64" s="376" t="str">
        <f>_xlfn.XLOOKUP(E64,'All Products'!D:D,'All Products'!E:E,FALSE)</f>
        <v>3 X 1-1/2 FLUSH BUSHING SXH DWV</v>
      </c>
      <c r="G64" s="232">
        <f>_xlfn.XLOOKUP(E64,'All Products'!D:D,'All Products'!F:F,FALSE)</f>
        <v>30</v>
      </c>
      <c r="H64" s="387">
        <f>_xlfn.XLOOKUP(E64,'All Products'!D:D,'All Products'!G:G,FALSE)</f>
        <v>1890</v>
      </c>
      <c r="I64" s="369">
        <f>_xlfn.XLOOKUP(E64,'All Products'!D:D,'All Products'!H:H,FALSE)</f>
        <v>113.18</v>
      </c>
      <c r="J64" s="183">
        <f>IFERROR(ROUNDUP(I64*Order_Quote!$L$2,2),0)</f>
        <v>113.18</v>
      </c>
      <c r="K64" s="118"/>
      <c r="L64" s="76"/>
      <c r="M64" s="104">
        <f t="shared" si="0"/>
        <v>0</v>
      </c>
      <c r="O64" s="379" t="str">
        <f>_xlfn.XLOOKUP(E64,'All Products'!D:D,'All Products'!I:I,FALSE)</f>
        <v>Within 3 Weeks</v>
      </c>
      <c r="P64" s="379" t="str">
        <f>_xlfn.XLOOKUP(E64,'All Products'!D:D,'All Products'!J:J,FALSE)</f>
        <v>Manufactured</v>
      </c>
      <c r="Q64" s="397">
        <f>_xlfn.XLOOKUP(F64,'All Products'!E:E,'All Products'!K:K,FALSE)</f>
        <v>810673014569</v>
      </c>
      <c r="R64" s="397" t="str">
        <f>_xlfn.XLOOKUP(E64,'All Products'!D:D,'All Products'!L:L,FALSE)</f>
        <v>-</v>
      </c>
      <c r="S64" s="397">
        <f>_xlfn.XLOOKUP(E64,'All Products'!D:D,'All Products'!M:M,FALSE)</f>
        <v>10810673014566</v>
      </c>
      <c r="T64" s="384">
        <f>_xlfn.XLOOKUP(E64,'All Products'!D:D,'All Products'!N:N,FALSE)</f>
        <v>0.40400000000000003</v>
      </c>
      <c r="U64" s="384">
        <f>_xlfn.XLOOKUP(E64,'All Products'!D:D,'All Products'!P:P,FALSE)</f>
        <v>12.120000000000001</v>
      </c>
      <c r="V64" s="384">
        <f>_xlfn.XLOOKUP(E64,'All Products'!D:D,'All Products'!Q:Q,FALSE)</f>
        <v>0.66940792428507967</v>
      </c>
    </row>
    <row r="65" spans="1:22">
      <c r="A65" s="5" t="str">
        <f>IF(K65&gt;0,COUNT($A$8:A64)+1,"")</f>
        <v/>
      </c>
      <c r="B65" s="646"/>
      <c r="C65" s="647"/>
      <c r="D65" s="369" t="str">
        <f>_xlfn.XLOOKUP(E65,'All Products'!D:D,'All Products'!C:C,FALSE)</f>
        <v>107-3265</v>
      </c>
      <c r="E65" s="103">
        <v>100028883</v>
      </c>
      <c r="F65" s="376" t="str">
        <f>_xlfn.XLOOKUP(E65,'All Products'!D:D,'All Products'!E:E,FALSE)</f>
        <v>3 X 2 FLUSH BUSHING SXH DWV</v>
      </c>
      <c r="G65" s="232">
        <f>_xlfn.XLOOKUP(E65,'All Products'!D:D,'All Products'!F:F,FALSE)</f>
        <v>30</v>
      </c>
      <c r="H65" s="387">
        <f>_xlfn.XLOOKUP(E65,'All Products'!D:D,'All Products'!G:G,FALSE)</f>
        <v>1890</v>
      </c>
      <c r="I65" s="369">
        <f>_xlfn.XLOOKUP(E65,'All Products'!D:D,'All Products'!H:H,FALSE)</f>
        <v>59.61</v>
      </c>
      <c r="J65" s="183">
        <f>IFERROR(ROUNDUP(I65*Order_Quote!$L$2,2),0)</f>
        <v>59.61</v>
      </c>
      <c r="K65" s="118"/>
      <c r="L65" s="76"/>
      <c r="M65" s="104">
        <f t="shared" si="0"/>
        <v>0</v>
      </c>
      <c r="O65" s="379" t="str">
        <f>_xlfn.XLOOKUP(E65,'All Products'!D:D,'All Products'!I:I,FALSE)</f>
        <v>In Stock</v>
      </c>
      <c r="P65" s="379" t="str">
        <f>_xlfn.XLOOKUP(E65,'All Products'!D:D,'All Products'!J:J,FALSE)</f>
        <v>Manufactured</v>
      </c>
      <c r="Q65" s="397">
        <f>_xlfn.XLOOKUP(F65,'All Products'!E:E,'All Products'!K:K,FALSE)</f>
        <v>810673014583</v>
      </c>
      <c r="R65" s="397" t="str">
        <f>_xlfn.XLOOKUP(E65,'All Products'!D:D,'All Products'!L:L,FALSE)</f>
        <v>-</v>
      </c>
      <c r="S65" s="397">
        <f>_xlfn.XLOOKUP(E65,'All Products'!D:D,'All Products'!M:M,FALSE)</f>
        <v>10810673014580</v>
      </c>
      <c r="T65" s="384">
        <f>_xlfn.XLOOKUP(E65,'All Products'!D:D,'All Products'!N:N,FALSE)</f>
        <v>0.40100000000000002</v>
      </c>
      <c r="U65" s="384">
        <f>_xlfn.XLOOKUP(E65,'All Products'!D:D,'All Products'!P:P,FALSE)</f>
        <v>12.030000000000001</v>
      </c>
      <c r="V65" s="384">
        <f>_xlfn.XLOOKUP(E65,'All Products'!D:D,'All Products'!Q:Q,FALSE)</f>
        <v>0.66940792428507967</v>
      </c>
    </row>
    <row r="66" spans="1:22">
      <c r="A66" s="5" t="str">
        <f>IF(K66&gt;0,COUNT($A$8:A65)+1,"")</f>
        <v/>
      </c>
      <c r="B66" s="646"/>
      <c r="C66" s="647"/>
      <c r="D66" s="369" t="str">
        <f>_xlfn.XLOOKUP(E66,'All Products'!D:D,'All Products'!C:C,FALSE)</f>
        <v>107-3266</v>
      </c>
      <c r="E66" s="103">
        <v>100028884</v>
      </c>
      <c r="F66" s="376" t="str">
        <f>_xlfn.XLOOKUP(E66,'All Products'!D:D,'All Products'!E:E,FALSE)</f>
        <v>4 X 2 FLUSH BUSHING SXH DWV</v>
      </c>
      <c r="G66" s="232">
        <f>_xlfn.XLOOKUP(E66,'All Products'!D:D,'All Products'!F:F,FALSE)</f>
        <v>30</v>
      </c>
      <c r="H66" s="387">
        <f>_xlfn.XLOOKUP(E66,'All Products'!D:D,'All Products'!G:G,FALSE)</f>
        <v>1350</v>
      </c>
      <c r="I66" s="369">
        <f>_xlfn.XLOOKUP(E66,'All Products'!D:D,'All Products'!H:H,FALSE)</f>
        <v>196.81</v>
      </c>
      <c r="J66" s="183">
        <f>IFERROR(ROUNDUP(I66*Order_Quote!$L$2,2),0)</f>
        <v>196.81</v>
      </c>
      <c r="K66" s="118"/>
      <c r="L66" s="76"/>
      <c r="M66" s="104">
        <f t="shared" si="0"/>
        <v>0</v>
      </c>
      <c r="O66" s="379" t="str">
        <f>_xlfn.XLOOKUP(E66,'All Products'!D:D,'All Products'!I:I,FALSE)</f>
        <v>In Stock</v>
      </c>
      <c r="P66" s="379" t="str">
        <f>_xlfn.XLOOKUP(E66,'All Products'!D:D,'All Products'!J:J,FALSE)</f>
        <v>Manufactured</v>
      </c>
      <c r="Q66" s="397">
        <f>_xlfn.XLOOKUP(F66,'All Products'!E:E,'All Products'!K:K,FALSE)</f>
        <v>810673014606</v>
      </c>
      <c r="R66" s="397" t="str">
        <f>_xlfn.XLOOKUP(E66,'All Products'!D:D,'All Products'!L:L,FALSE)</f>
        <v>-</v>
      </c>
      <c r="S66" s="397">
        <f>_xlfn.XLOOKUP(E66,'All Products'!D:D,'All Products'!M:M,FALSE)</f>
        <v>10810673014603</v>
      </c>
      <c r="T66" s="384">
        <f>_xlfn.XLOOKUP(E66,'All Products'!D:D,'All Products'!N:N,FALSE)</f>
        <v>0.61099999999999999</v>
      </c>
      <c r="U66" s="384">
        <f>_xlfn.XLOOKUP(E66,'All Products'!D:D,'All Products'!P:P,FALSE)</f>
        <v>18.329999999999998</v>
      </c>
      <c r="V66" s="384">
        <f>_xlfn.XLOOKUP(E66,'All Products'!D:D,'All Products'!Q:Q,FALSE)</f>
        <v>0.98955954024750914</v>
      </c>
    </row>
    <row r="67" spans="1:22">
      <c r="A67" s="5" t="str">
        <f>IF(K67&gt;0,COUNT($A$8:A66)+1,"")</f>
        <v/>
      </c>
      <c r="B67" s="646"/>
      <c r="C67" s="647"/>
      <c r="D67" s="369" t="str">
        <f>_xlfn.XLOOKUP(E67,'All Products'!D:D,'All Products'!C:C,FALSE)</f>
        <v>107-3267</v>
      </c>
      <c r="E67" s="103">
        <v>100028885</v>
      </c>
      <c r="F67" s="376" t="str">
        <f>_xlfn.XLOOKUP(E67,'All Products'!D:D,'All Products'!E:E,FALSE)</f>
        <v>4 X 3 FLUSH BUSHING SXH DWV</v>
      </c>
      <c r="G67" s="232">
        <f>_xlfn.XLOOKUP(E67,'All Products'!D:D,'All Products'!F:F,FALSE)</f>
        <v>30</v>
      </c>
      <c r="H67" s="387">
        <f>_xlfn.XLOOKUP(E67,'All Products'!D:D,'All Products'!G:G,FALSE)</f>
        <v>1350</v>
      </c>
      <c r="I67" s="369">
        <f>_xlfn.XLOOKUP(E67,'All Products'!D:D,'All Products'!H:H,FALSE)</f>
        <v>101.64</v>
      </c>
      <c r="J67" s="183">
        <f>IFERROR(ROUNDUP(I67*Order_Quote!$L$2,2),0)</f>
        <v>101.64</v>
      </c>
      <c r="K67" s="118"/>
      <c r="L67" s="76"/>
      <c r="M67" s="104">
        <f t="shared" si="0"/>
        <v>0</v>
      </c>
      <c r="O67" s="379" t="str">
        <f>_xlfn.XLOOKUP(E67,'All Products'!D:D,'All Products'!I:I,FALSE)</f>
        <v>In Stock</v>
      </c>
      <c r="P67" s="379" t="str">
        <f>_xlfn.XLOOKUP(E67,'All Products'!D:D,'All Products'!J:J,FALSE)</f>
        <v>Manufactured</v>
      </c>
      <c r="Q67" s="397">
        <f>_xlfn.XLOOKUP(F67,'All Products'!E:E,'All Products'!K:K,FALSE)</f>
        <v>810673014620</v>
      </c>
      <c r="R67" s="397" t="str">
        <f>_xlfn.XLOOKUP(E67,'All Products'!D:D,'All Products'!L:L,FALSE)</f>
        <v>-</v>
      </c>
      <c r="S67" s="397">
        <f>_xlfn.XLOOKUP(E67,'All Products'!D:D,'All Products'!M:M,FALSE)</f>
        <v>10810673014627</v>
      </c>
      <c r="T67" s="384">
        <f>_xlfn.XLOOKUP(E67,'All Products'!D:D,'All Products'!N:N,FALSE)</f>
        <v>0.53100000000000003</v>
      </c>
      <c r="U67" s="384">
        <f>_xlfn.XLOOKUP(E67,'All Products'!D:D,'All Products'!P:P,FALSE)</f>
        <v>15.930000000000001</v>
      </c>
      <c r="V67" s="384">
        <f>_xlfn.XLOOKUP(E67,'All Products'!D:D,'All Products'!Q:Q,FALSE)</f>
        <v>0.98955954024750914</v>
      </c>
    </row>
    <row r="68" spans="1:22" ht="15" thickBot="1">
      <c r="A68" s="5" t="str">
        <f>IF(K68&gt;0,COUNT($A$8:A67)+1,"")</f>
        <v/>
      </c>
      <c r="B68" s="666"/>
      <c r="C68" s="667"/>
      <c r="D68" s="369" t="str">
        <f>_xlfn.XLOOKUP(E68,'All Products'!D:D,'All Products'!C:C,FALSE)</f>
        <v>107-3268</v>
      </c>
      <c r="E68" s="103">
        <v>100028886</v>
      </c>
      <c r="F68" s="376" t="str">
        <f>_xlfn.XLOOKUP(E68,'All Products'!D:D,'All Products'!E:E,FALSE)</f>
        <v>6 X 4 FLUSH BUSHING SXH DWV</v>
      </c>
      <c r="G68" s="232">
        <f>_xlfn.XLOOKUP(E68,'All Products'!D:D,'All Products'!F:F,FALSE)</f>
        <v>10</v>
      </c>
      <c r="H68" s="387">
        <f>_xlfn.XLOOKUP(E68,'All Products'!D:D,'All Products'!G:G,FALSE)</f>
        <v>320</v>
      </c>
      <c r="I68" s="369">
        <f>_xlfn.XLOOKUP(E68,'All Products'!D:D,'All Products'!H:H,FALSE)</f>
        <v>505.43</v>
      </c>
      <c r="J68" s="183">
        <f>IFERROR(ROUNDUP(I68*Order_Quote!$L$2,2),0)</f>
        <v>505.43</v>
      </c>
      <c r="K68" s="118"/>
      <c r="L68" s="76"/>
      <c r="M68" s="104">
        <f t="shared" si="0"/>
        <v>0</v>
      </c>
      <c r="O68" s="379" t="str">
        <f>_xlfn.XLOOKUP(E68,'All Products'!D:D,'All Products'!I:I,FALSE)</f>
        <v>In Stock</v>
      </c>
      <c r="P68" s="379" t="str">
        <f>_xlfn.XLOOKUP(E68,'All Products'!D:D,'All Products'!J:J,FALSE)</f>
        <v>Manufactured</v>
      </c>
      <c r="Q68" s="504">
        <f>_xlfn.XLOOKUP(F68,'All Products'!E:E,'All Products'!K:K,FALSE)</f>
        <v>810673011995</v>
      </c>
      <c r="R68" s="397" t="str">
        <f>_xlfn.XLOOKUP(E68,'All Products'!D:D,'All Products'!L:L,FALSE)</f>
        <v>-</v>
      </c>
      <c r="S68" s="397">
        <f>_xlfn.XLOOKUP(E68,'All Products'!D:D,'All Products'!M:M,FALSE)</f>
        <v>810673015658</v>
      </c>
      <c r="T68" s="384">
        <f>_xlfn.XLOOKUP(E68,'All Products'!D:D,'All Products'!N:N,FALSE)</f>
        <v>2.137</v>
      </c>
      <c r="U68" s="384">
        <f>_xlfn.XLOOKUP(E68,'All Products'!D:D,'All Products'!P:P,FALSE)</f>
        <v>21.37</v>
      </c>
      <c r="V68" s="384">
        <f>_xlfn.XLOOKUP(E68,'All Products'!D:D,'All Products'!Q:Q,FALSE)</f>
        <v>1.3788503419060438</v>
      </c>
    </row>
    <row r="69" spans="1:22" s="17" customFormat="1" ht="16.2" thickBot="1">
      <c r="A69" s="5" t="str">
        <f>IF(K69&gt;0,COUNT($A$8:A68)+1,"")</f>
        <v/>
      </c>
      <c r="B69" s="501" t="s">
        <v>5803</v>
      </c>
      <c r="C69" s="151"/>
      <c r="D69" s="151"/>
      <c r="E69" s="459"/>
      <c r="F69" s="151"/>
      <c r="G69" s="468"/>
      <c r="H69" s="151"/>
      <c r="I69" s="472"/>
      <c r="J69" s="468"/>
      <c r="K69" s="477"/>
      <c r="L69" s="238"/>
      <c r="M69" s="476"/>
      <c r="O69" s="475"/>
      <c r="P69" s="145"/>
      <c r="Q69" s="492"/>
      <c r="R69" s="493"/>
      <c r="S69" s="493"/>
      <c r="T69" s="479"/>
      <c r="U69" s="459"/>
      <c r="V69" s="489"/>
    </row>
    <row r="70" spans="1:22">
      <c r="A70" s="5" t="str">
        <f>IF(K70&gt;0,COUNT($A$8:A69)+1,"")</f>
        <v/>
      </c>
      <c r="B70" s="664"/>
      <c r="C70" s="665"/>
      <c r="D70" s="369" t="str">
        <f>_xlfn.XLOOKUP(E70,'All Products'!D:D,'All Products'!C:C,FALSE)</f>
        <v>116-3301</v>
      </c>
      <c r="E70" s="103">
        <v>100028896</v>
      </c>
      <c r="F70" s="376" t="str">
        <f>_xlfn.XLOOKUP(E70,'All Products'!D:D,'All Products'!E:E,FALSE)</f>
        <v>1-1/2 CAP DWV</v>
      </c>
      <c r="G70" s="232">
        <f>_xlfn.XLOOKUP(E70,'All Products'!D:D,'All Products'!F:F,FALSE)</f>
        <v>50</v>
      </c>
      <c r="H70" s="387">
        <f>_xlfn.XLOOKUP(E70,'All Products'!D:D,'All Products'!G:G,FALSE)</f>
        <v>9000</v>
      </c>
      <c r="I70" s="369">
        <f>_xlfn.XLOOKUP(E70,'All Products'!D:D,'All Products'!H:H,FALSE)</f>
        <v>54.65</v>
      </c>
      <c r="J70" s="183">
        <f>IFERROR(ROUNDUP(I70*Order_Quote!$L$2,2),0)</f>
        <v>54.65</v>
      </c>
      <c r="K70" s="118"/>
      <c r="L70" s="76"/>
      <c r="M70" s="104">
        <f t="shared" si="0"/>
        <v>0</v>
      </c>
      <c r="O70" s="379" t="str">
        <f>_xlfn.XLOOKUP(E70,'All Products'!D:D,'All Products'!I:I,FALSE)</f>
        <v>Within 3 Weeks</v>
      </c>
      <c r="P70" s="379" t="str">
        <f>_xlfn.XLOOKUP(E70,'All Products'!D:D,'All Products'!J:J,FALSE)</f>
        <v>Manufactured</v>
      </c>
      <c r="Q70" s="397">
        <f>_xlfn.XLOOKUP(F70,'All Products'!E:E,'All Products'!K:K,FALSE)</f>
        <v>810673013470</v>
      </c>
      <c r="R70" s="397" t="str">
        <f>_xlfn.XLOOKUP(E70,'All Products'!D:D,'All Products'!L:L,FALSE)</f>
        <v>-</v>
      </c>
      <c r="S70" s="397">
        <f>_xlfn.XLOOKUP(E70,'All Products'!D:D,'All Products'!M:M,FALSE)</f>
        <v>10810673013477</v>
      </c>
      <c r="T70" s="384">
        <f>_xlfn.XLOOKUP(E70,'All Products'!D:D,'All Products'!N:N,FALSE)</f>
        <v>8.1000000000000003E-2</v>
      </c>
      <c r="U70" s="384">
        <f>_xlfn.XLOOKUP(E70,'All Products'!D:D,'All Products'!P:P,FALSE)</f>
        <v>4.05</v>
      </c>
      <c r="V70" s="384">
        <f>_xlfn.XLOOKUP(E70,'All Products'!D:D,'All Products'!Q:Q,FALSE)</f>
        <v>0.26544609711836381</v>
      </c>
    </row>
    <row r="71" spans="1:22">
      <c r="A71" s="5" t="str">
        <f>IF(K71&gt;0,COUNT($A$8:A70)+1,"")</f>
        <v/>
      </c>
      <c r="B71" s="646"/>
      <c r="C71" s="647"/>
      <c r="D71" s="369" t="str">
        <f>_xlfn.XLOOKUP(E71,'All Products'!D:D,'All Products'!C:C,FALSE)</f>
        <v>116-3302</v>
      </c>
      <c r="E71" s="103">
        <v>100028897</v>
      </c>
      <c r="F71" s="376" t="str">
        <f>_xlfn.XLOOKUP(E71,'All Products'!D:D,'All Products'!E:E,FALSE)</f>
        <v>2 CAP DWV</v>
      </c>
      <c r="G71" s="232">
        <f>_xlfn.XLOOKUP(E71,'All Products'!D:D,'All Products'!F:F,FALSE)</f>
        <v>50</v>
      </c>
      <c r="H71" s="387">
        <f>_xlfn.XLOOKUP(E71,'All Products'!D:D,'All Products'!G:G,FALSE)</f>
        <v>4000</v>
      </c>
      <c r="I71" s="369">
        <f>_xlfn.XLOOKUP(E71,'All Products'!D:D,'All Products'!H:H,FALSE)</f>
        <v>91.23</v>
      </c>
      <c r="J71" s="183">
        <f>IFERROR(ROUNDUP(I71*Order_Quote!$L$2,2),0)</f>
        <v>91.23</v>
      </c>
      <c r="K71" s="118"/>
      <c r="L71" s="76"/>
      <c r="M71" s="104">
        <f t="shared" si="0"/>
        <v>0</v>
      </c>
      <c r="O71" s="379" t="str">
        <f>_xlfn.XLOOKUP(E71,'All Products'!D:D,'All Products'!I:I,FALSE)</f>
        <v>Within 3 Weeks</v>
      </c>
      <c r="P71" s="379" t="str">
        <f>_xlfn.XLOOKUP(E71,'All Products'!D:D,'All Products'!J:J,FALSE)</f>
        <v>Manufactured</v>
      </c>
      <c r="Q71" s="397">
        <f>_xlfn.XLOOKUP(F71,'All Products'!E:E,'All Products'!K:K,FALSE)</f>
        <v>810673013487</v>
      </c>
      <c r="R71" s="397" t="str">
        <f>_xlfn.XLOOKUP(E71,'All Products'!D:D,'All Products'!L:L,FALSE)</f>
        <v>-</v>
      </c>
      <c r="S71" s="397">
        <f>_xlfn.XLOOKUP(E71,'All Products'!D:D,'All Products'!M:M,FALSE)</f>
        <v>10810673013484</v>
      </c>
      <c r="T71" s="384">
        <f>_xlfn.XLOOKUP(E71,'All Products'!D:D,'All Products'!N:N,FALSE)</f>
        <v>0.11600000000000001</v>
      </c>
      <c r="U71" s="384">
        <f>_xlfn.XLOOKUP(E71,'All Products'!D:D,'All Products'!P:P,FALSE)</f>
        <v>5.8000000000000007</v>
      </c>
      <c r="V71" s="384">
        <f>_xlfn.XLOOKUP(E71,'All Products'!D:D,'All Products'!Q:Q,FALSE)</f>
        <v>0.4856358104657279</v>
      </c>
    </row>
    <row r="72" spans="1:22">
      <c r="A72" s="5" t="str">
        <f>IF(K72&gt;0,COUNT($A$8:A71)+1,"")</f>
        <v/>
      </c>
      <c r="B72" s="646"/>
      <c r="C72" s="647"/>
      <c r="D72" s="369" t="str">
        <f>_xlfn.XLOOKUP(E72,'All Products'!D:D,'All Products'!C:C,FALSE)</f>
        <v>116-3303</v>
      </c>
      <c r="E72" s="103">
        <v>100028898</v>
      </c>
      <c r="F72" s="376" t="str">
        <f>_xlfn.XLOOKUP(E72,'All Products'!D:D,'All Products'!E:E,FALSE)</f>
        <v>3 CAP DWV</v>
      </c>
      <c r="G72" s="232">
        <f>_xlfn.XLOOKUP(E72,'All Products'!D:D,'All Products'!F:F,FALSE)</f>
        <v>10</v>
      </c>
      <c r="H72" s="387">
        <f>_xlfn.XLOOKUP(E72,'All Products'!D:D,'All Products'!G:G,FALSE)</f>
        <v>1800</v>
      </c>
      <c r="I72" s="369">
        <f>_xlfn.XLOOKUP(E72,'All Products'!D:D,'All Products'!H:H,FALSE)</f>
        <v>152.53</v>
      </c>
      <c r="J72" s="183">
        <f>IFERROR(ROUNDUP(I72*Order_Quote!$L$2,2),0)</f>
        <v>152.53</v>
      </c>
      <c r="K72" s="118"/>
      <c r="L72" s="76"/>
      <c r="M72" s="104">
        <f t="shared" si="0"/>
        <v>0</v>
      </c>
      <c r="O72" s="379" t="str">
        <f>_xlfn.XLOOKUP(E72,'All Products'!D:D,'All Products'!I:I,FALSE)</f>
        <v>In Stock</v>
      </c>
      <c r="P72" s="379" t="str">
        <f>_xlfn.XLOOKUP(E72,'All Products'!D:D,'All Products'!J:J,FALSE)</f>
        <v>Manufactured</v>
      </c>
      <c r="Q72" s="397">
        <f>_xlfn.XLOOKUP(F72,'All Products'!E:E,'All Products'!K:K,FALSE)</f>
        <v>810673013494</v>
      </c>
      <c r="R72" s="397" t="str">
        <f>_xlfn.XLOOKUP(E72,'All Products'!D:D,'All Products'!L:L,FALSE)</f>
        <v>-</v>
      </c>
      <c r="S72" s="397">
        <f>_xlfn.XLOOKUP(E72,'All Products'!D:D,'All Products'!M:M,FALSE)</f>
        <v>810673011063</v>
      </c>
      <c r="T72" s="384">
        <f>_xlfn.XLOOKUP(E72,'All Products'!D:D,'All Products'!N:N,FALSE)</f>
        <v>0.39800000000000002</v>
      </c>
      <c r="U72" s="384">
        <f>_xlfn.XLOOKUP(E72,'All Products'!D:D,'All Products'!P:P,FALSE)</f>
        <v>3.9800000000000004</v>
      </c>
      <c r="V72" s="384">
        <f>_xlfn.XLOOKUP(E72,'All Products'!D:D,'All Products'!Q:Q,FALSE)</f>
        <v>0.21565729329437433</v>
      </c>
    </row>
    <row r="73" spans="1:22">
      <c r="A73" s="5" t="str">
        <f>IF(K73&gt;0,COUNT($A$8:A72)+1,"")</f>
        <v/>
      </c>
      <c r="B73" s="646"/>
      <c r="C73" s="647"/>
      <c r="D73" s="369" t="str">
        <f>_xlfn.XLOOKUP(E73,'All Products'!D:D,'All Products'!C:C,FALSE)</f>
        <v>116-3304</v>
      </c>
      <c r="E73" s="103">
        <v>100028899</v>
      </c>
      <c r="F73" s="376" t="str">
        <f>_xlfn.XLOOKUP(E73,'All Products'!D:D,'All Products'!E:E,FALSE)</f>
        <v>4 CAP DWV</v>
      </c>
      <c r="G73" s="232">
        <f>_xlfn.XLOOKUP(E73,'All Products'!D:D,'All Products'!F:F,FALSE)</f>
        <v>5</v>
      </c>
      <c r="H73" s="387">
        <f>_xlfn.XLOOKUP(E73,'All Products'!D:D,'All Products'!G:G,FALSE)</f>
        <v>900</v>
      </c>
      <c r="I73" s="369">
        <f>_xlfn.XLOOKUP(E73,'All Products'!D:D,'All Products'!H:H,FALSE)</f>
        <v>217.76</v>
      </c>
      <c r="J73" s="183">
        <f>IFERROR(ROUNDUP(I73*Order_Quote!$L$2,2),0)</f>
        <v>217.76</v>
      </c>
      <c r="K73" s="118"/>
      <c r="L73" s="76"/>
      <c r="M73" s="104">
        <f t="shared" si="0"/>
        <v>0</v>
      </c>
      <c r="O73" s="379" t="str">
        <f>_xlfn.XLOOKUP(E73,'All Products'!D:D,'All Products'!I:I,FALSE)</f>
        <v>In Stock</v>
      </c>
      <c r="P73" s="379" t="str">
        <f>_xlfn.XLOOKUP(E73,'All Products'!D:D,'All Products'!J:J,FALSE)</f>
        <v>Manufactured</v>
      </c>
      <c r="Q73" s="397">
        <f>_xlfn.XLOOKUP(F73,'All Products'!E:E,'All Products'!K:K,FALSE)</f>
        <v>810673013500</v>
      </c>
      <c r="R73" s="397" t="str">
        <f>_xlfn.XLOOKUP(E73,'All Products'!D:D,'All Products'!L:L,FALSE)</f>
        <v>-</v>
      </c>
      <c r="S73" s="397">
        <f>_xlfn.XLOOKUP(E73,'All Products'!D:D,'All Products'!M:M,FALSE)</f>
        <v>810673011070</v>
      </c>
      <c r="T73" s="384">
        <f>_xlfn.XLOOKUP(E73,'All Products'!D:D,'All Products'!N:N,FALSE)</f>
        <v>0.71299999999999997</v>
      </c>
      <c r="U73" s="384">
        <f>_xlfn.XLOOKUP(E73,'All Products'!D:D,'All Products'!P:P,FALSE)</f>
        <v>3.5649999999999999</v>
      </c>
      <c r="V73" s="384">
        <f>_xlfn.XLOOKUP(E73,'All Products'!D:D,'All Products'!Q:Q,FALSE)</f>
        <v>0.21565729329437433</v>
      </c>
    </row>
    <row r="74" spans="1:22" ht="15" thickBot="1">
      <c r="A74" s="5" t="str">
        <f>IF(K74&gt;0,COUNT($A$8:A73)+1,"")</f>
        <v/>
      </c>
      <c r="B74" s="666"/>
      <c r="C74" s="667"/>
      <c r="D74" s="369" t="str">
        <f>_xlfn.XLOOKUP(E74,'All Products'!D:D,'All Products'!C:C,FALSE)</f>
        <v>116-3305</v>
      </c>
      <c r="E74" s="103">
        <v>100028900</v>
      </c>
      <c r="F74" s="376" t="str">
        <f>_xlfn.XLOOKUP(E74,'All Products'!D:D,'All Products'!E:E,FALSE)</f>
        <v>6 CAP DWV</v>
      </c>
      <c r="G74" s="232">
        <f>_xlfn.XLOOKUP(E74,'All Products'!D:D,'All Products'!F:F,FALSE)</f>
        <v>8</v>
      </c>
      <c r="H74" s="387">
        <f>_xlfn.XLOOKUP(E74,'All Products'!D:D,'All Products'!G:G,FALSE)</f>
        <v>360</v>
      </c>
      <c r="I74" s="369">
        <f>_xlfn.XLOOKUP(E74,'All Products'!D:D,'All Products'!H:H,FALSE)</f>
        <v>549.91</v>
      </c>
      <c r="J74" s="183">
        <f>IFERROR(ROUNDUP(I74*Order_Quote!$L$2,2),0)</f>
        <v>549.91</v>
      </c>
      <c r="K74" s="118"/>
      <c r="L74" s="76"/>
      <c r="M74" s="104">
        <f t="shared" si="0"/>
        <v>0</v>
      </c>
      <c r="O74" s="379" t="str">
        <f>_xlfn.XLOOKUP(E74,'All Products'!D:D,'All Products'!I:I,FALSE)</f>
        <v>Within 3 Weeks</v>
      </c>
      <c r="P74" s="379" t="str">
        <f>_xlfn.XLOOKUP(E74,'All Products'!D:D,'All Products'!J:J,FALSE)</f>
        <v>Manufactured</v>
      </c>
      <c r="Q74" s="504">
        <f>_xlfn.XLOOKUP(F74,'All Products'!E:E,'All Products'!K:K,FALSE)</f>
        <v>810673014163</v>
      </c>
      <c r="R74" s="397" t="str">
        <f>_xlfn.XLOOKUP(E74,'All Products'!D:D,'All Products'!L:L,FALSE)</f>
        <v>-</v>
      </c>
      <c r="S74" s="397">
        <f>_xlfn.XLOOKUP(E74,'All Products'!D:D,'All Products'!M:M,FALSE)</f>
        <v>810673012343</v>
      </c>
      <c r="T74" s="384">
        <f>_xlfn.XLOOKUP(E74,'All Products'!D:D,'All Products'!N:N,FALSE)</f>
        <v>1.786</v>
      </c>
      <c r="U74" s="384">
        <f>_xlfn.XLOOKUP(E74,'All Products'!D:D,'All Products'!P:P,FALSE)</f>
        <v>14.288</v>
      </c>
      <c r="V74" s="384">
        <f>_xlfn.XLOOKUP(E74,'All Products'!D:D,'All Products'!Q:Q,FALSE)</f>
        <v>0.98955954024750914</v>
      </c>
    </row>
    <row r="75" spans="1:22" s="17" customFormat="1" ht="16.2" thickBot="1">
      <c r="A75" s="5" t="str">
        <f>IF(K75&gt;0,COUNT($A$8:A74)+1,"")</f>
        <v/>
      </c>
      <c r="B75" s="501" t="s">
        <v>5863</v>
      </c>
      <c r="C75" s="151"/>
      <c r="D75" s="151"/>
      <c r="E75" s="459"/>
      <c r="F75" s="151"/>
      <c r="G75" s="468"/>
      <c r="H75" s="151"/>
      <c r="I75" s="472"/>
      <c r="J75" s="468"/>
      <c r="K75" s="477"/>
      <c r="L75" s="238"/>
      <c r="M75" s="476"/>
      <c r="O75" s="475"/>
      <c r="P75" s="145"/>
      <c r="Q75" s="492"/>
      <c r="R75" s="493"/>
      <c r="S75" s="493"/>
      <c r="T75" s="479"/>
      <c r="U75" s="459"/>
      <c r="V75" s="489"/>
    </row>
    <row r="76" spans="1:22" ht="21.75" customHeight="1">
      <c r="A76" s="5" t="str">
        <f>IF(K76&gt;0,COUNT($A$8:A75)+1,"")</f>
        <v/>
      </c>
      <c r="B76" s="664"/>
      <c r="C76" s="665"/>
      <c r="D76" s="369" t="str">
        <f>_xlfn.XLOOKUP(E76,'All Products'!D:D,'All Products'!C:C,FALSE)</f>
        <v>117-3307</v>
      </c>
      <c r="E76" s="103">
        <v>300005644</v>
      </c>
      <c r="F76" s="376" t="str">
        <f>_xlfn.XLOOKUP(E76,'All Products'!D:D,'All Products'!E:E,FALSE)</f>
        <v>4X3 ADAPT COUPLING S&amp;D H X DWV H</v>
      </c>
      <c r="G76" s="232">
        <f>_xlfn.XLOOKUP(E76,'All Products'!D:D,'All Products'!F:F,FALSE)</f>
        <v>20</v>
      </c>
      <c r="H76" s="387">
        <f>_xlfn.XLOOKUP(E76,'All Products'!D:D,'All Products'!G:G,FALSE)</f>
        <v>600</v>
      </c>
      <c r="I76" s="369" t="str">
        <f>_xlfn.XLOOKUP(E76,'All Products'!D:D,'All Products'!H:H,FALSE)</f>
        <v>Quote Required</v>
      </c>
      <c r="J76" s="183">
        <f>IFERROR(ROUNDUP(I76*Order_Quote!$L$2,2),0)</f>
        <v>0</v>
      </c>
      <c r="K76" s="118"/>
      <c r="L76" s="76"/>
      <c r="M76" s="104">
        <f t="shared" si="0"/>
        <v>0</v>
      </c>
      <c r="O76" s="379" t="str">
        <f>_xlfn.XLOOKUP(E76,'All Products'!D:D,'All Products'!I:I,FALSE)</f>
        <v>Within 3 Weeks</v>
      </c>
      <c r="P76" s="379" t="str">
        <f>_xlfn.XLOOKUP(E76,'All Products'!D:D,'All Products'!J:J,FALSE)</f>
        <v>Sourced</v>
      </c>
      <c r="Q76" s="397">
        <f>_xlfn.XLOOKUP(F76,'All Products'!E:E,'All Products'!K:K,FALSE)</f>
        <v>812361012536</v>
      </c>
      <c r="R76" s="397" t="str">
        <f>_xlfn.XLOOKUP(E76,'All Products'!D:D,'All Products'!L:L,FALSE)</f>
        <v>-</v>
      </c>
      <c r="S76" s="397">
        <f>_xlfn.XLOOKUP(E76,'All Products'!D:D,'All Products'!M:M,FALSE)</f>
        <v>10812361012533</v>
      </c>
      <c r="T76" s="384">
        <f>_xlfn.XLOOKUP(E76,'All Products'!D:D,'All Products'!N:N,FALSE)</f>
        <v>0.65900000000000003</v>
      </c>
      <c r="U76" s="384">
        <f>_xlfn.XLOOKUP(E76,'All Products'!D:D,'All Products'!P:P,FALSE)</f>
        <v>13.18</v>
      </c>
      <c r="V76" s="384" t="str">
        <f>_xlfn.XLOOKUP(E76,'All Products'!D:D,'All Products'!Q:Q,FALSE)</f>
        <v>-</v>
      </c>
    </row>
    <row r="77" spans="1:22" ht="21.75" customHeight="1" thickBot="1">
      <c r="A77" s="5" t="str">
        <f>IF(K77&gt;0,COUNT($A$8:A76)+1,"")</f>
        <v/>
      </c>
      <c r="B77" s="666"/>
      <c r="C77" s="667"/>
      <c r="D77" s="369" t="str">
        <f>_xlfn.XLOOKUP(E77,'All Products'!D:D,'All Products'!C:C,FALSE)</f>
        <v>117-3308</v>
      </c>
      <c r="E77" s="103">
        <v>300005645</v>
      </c>
      <c r="F77" s="376" t="str">
        <f>_xlfn.XLOOKUP(E77,'All Products'!D:D,'All Products'!E:E,FALSE)</f>
        <v>4 ADAPT COUPLING S&amp;D H X DWV H</v>
      </c>
      <c r="G77" s="232">
        <f>_xlfn.XLOOKUP(E77,'All Products'!D:D,'All Products'!F:F,FALSE)</f>
        <v>10</v>
      </c>
      <c r="H77" s="387">
        <f>_xlfn.XLOOKUP(E77,'All Products'!D:D,'All Products'!G:G,FALSE)</f>
        <v>700</v>
      </c>
      <c r="I77" s="369" t="str">
        <f>_xlfn.XLOOKUP(E77,'All Products'!D:D,'All Products'!H:H,FALSE)</f>
        <v>Quote Required</v>
      </c>
      <c r="J77" s="183">
        <f>IFERROR(ROUNDUP(I77*Order_Quote!$L$2,2),0)</f>
        <v>0</v>
      </c>
      <c r="K77" s="118"/>
      <c r="L77" s="76"/>
      <c r="M77" s="104">
        <f t="shared" si="0"/>
        <v>0</v>
      </c>
      <c r="O77" s="379" t="str">
        <f>_xlfn.XLOOKUP(E77,'All Products'!D:D,'All Products'!I:I,FALSE)</f>
        <v>Within 6 Weeks</v>
      </c>
      <c r="P77" s="379" t="str">
        <f>_xlfn.XLOOKUP(E77,'All Products'!D:D,'All Products'!J:J,FALSE)</f>
        <v>Sourced</v>
      </c>
      <c r="Q77" s="397">
        <f>_xlfn.XLOOKUP(F77,'All Products'!E:E,'All Products'!K:K,FALSE)</f>
        <v>812361012550</v>
      </c>
      <c r="R77" s="397" t="str">
        <f>_xlfn.XLOOKUP(E77,'All Products'!D:D,'All Products'!L:L,FALSE)</f>
        <v>-</v>
      </c>
      <c r="S77" s="397">
        <f>_xlfn.XLOOKUP(E77,'All Products'!D:D,'All Products'!M:M,FALSE)</f>
        <v>10812361012557</v>
      </c>
      <c r="T77" s="384">
        <f>_xlfn.XLOOKUP(E77,'All Products'!D:D,'All Products'!N:N,FALSE)</f>
        <v>0.77</v>
      </c>
      <c r="U77" s="384">
        <f>_xlfn.XLOOKUP(E77,'All Products'!D:D,'All Products'!P:P,FALSE)</f>
        <v>7.7</v>
      </c>
      <c r="V77" s="384" t="str">
        <f>_xlfn.XLOOKUP(E77,'All Products'!D:D,'All Products'!Q:Q,FALSE)</f>
        <v>-</v>
      </c>
    </row>
    <row r="78" spans="1:22" s="17" customFormat="1" ht="16.2" thickBot="1">
      <c r="A78" s="5" t="str">
        <f>IF(K78&gt;0,COUNT($A$8:A77)+1,"")</f>
        <v/>
      </c>
      <c r="B78" s="501" t="s">
        <v>5864</v>
      </c>
      <c r="C78" s="151"/>
      <c r="D78" s="151"/>
      <c r="E78" s="459"/>
      <c r="F78" s="151"/>
      <c r="G78" s="468"/>
      <c r="H78" s="151"/>
      <c r="I78" s="472"/>
      <c r="J78" s="468"/>
      <c r="K78" s="477"/>
      <c r="L78" s="238"/>
      <c r="M78" s="476"/>
      <c r="O78" s="475"/>
      <c r="P78" s="145"/>
      <c r="Q78" s="492"/>
      <c r="R78" s="493"/>
      <c r="S78" s="493"/>
      <c r="T78" s="479"/>
      <c r="U78" s="459"/>
      <c r="V78" s="489"/>
    </row>
    <row r="79" spans="1:22">
      <c r="A79" s="5" t="str">
        <f>IF(K79&gt;0,COUNT($A$8:A78)+1,"")</f>
        <v/>
      </c>
      <c r="B79" s="664"/>
      <c r="C79" s="665"/>
      <c r="D79" s="369" t="str">
        <f>_xlfn.XLOOKUP(E79,'All Products'!D:D,'All Products'!C:C,FALSE)</f>
        <v>119-3311</v>
      </c>
      <c r="E79" s="103">
        <v>300005646</v>
      </c>
      <c r="F79" s="376" t="str">
        <f>_xlfn.XLOOKUP(E79,'All Products'!D:D,'All Products'!E:E,FALSE)</f>
        <v>1-1/2 NO HUB ADAPTER SXH DWV</v>
      </c>
      <c r="G79" s="232">
        <f>_xlfn.XLOOKUP(E79,'All Products'!D:D,'All Products'!F:F,FALSE)</f>
        <v>25</v>
      </c>
      <c r="H79" s="387">
        <f>_xlfn.XLOOKUP(E79,'All Products'!D:D,'All Products'!G:G,FALSE)</f>
        <v>4200</v>
      </c>
      <c r="I79" s="369" t="str">
        <f>_xlfn.XLOOKUP(E79,'All Products'!D:D,'All Products'!H:H,FALSE)</f>
        <v>Quote Required</v>
      </c>
      <c r="J79" s="183">
        <f>IFERROR(ROUNDUP(I79*Order_Quote!$L$2,2),0)</f>
        <v>0</v>
      </c>
      <c r="K79" s="118"/>
      <c r="L79" s="76"/>
      <c r="M79" s="104">
        <f t="shared" si="0"/>
        <v>0</v>
      </c>
      <c r="O79" s="379" t="str">
        <f>_xlfn.XLOOKUP(E79,'All Products'!D:D,'All Products'!I:I,FALSE)</f>
        <v>Within 6 Weeks</v>
      </c>
      <c r="P79" s="379" t="str">
        <f>_xlfn.XLOOKUP(E79,'All Products'!D:D,'All Products'!J:J,FALSE)</f>
        <v>Sourced</v>
      </c>
      <c r="Q79" s="397">
        <f>_xlfn.XLOOKUP(F79,'All Products'!E:E,'All Products'!K:K,FALSE)</f>
        <v>812361017180</v>
      </c>
      <c r="R79" s="397" t="str">
        <f>_xlfn.XLOOKUP(E79,'All Products'!D:D,'All Products'!L:L,FALSE)</f>
        <v>-</v>
      </c>
      <c r="S79" s="397" t="str">
        <f>_xlfn.XLOOKUP(E79,'All Products'!D:D,'All Products'!M:M,FALSE)</f>
        <v>-</v>
      </c>
      <c r="T79" s="384">
        <f>_xlfn.XLOOKUP(E79,'All Products'!D:D,'All Products'!N:N,FALSE)</f>
        <v>0.12</v>
      </c>
      <c r="U79" s="384">
        <f>_xlfn.XLOOKUP(E79,'All Products'!D:D,'All Products'!P:P,FALSE)</f>
        <v>3</v>
      </c>
      <c r="V79" s="384" t="str">
        <f>_xlfn.XLOOKUP(E79,'All Products'!D:D,'All Products'!Q:Q,FALSE)</f>
        <v>-</v>
      </c>
    </row>
    <row r="80" spans="1:22">
      <c r="A80" s="5" t="str">
        <f>IF(K80&gt;0,COUNT($A$8:A79)+1,"")</f>
        <v/>
      </c>
      <c r="B80" s="646"/>
      <c r="C80" s="647"/>
      <c r="D80" s="369" t="str">
        <f>_xlfn.XLOOKUP(E80,'All Products'!D:D,'All Products'!C:C,FALSE)</f>
        <v>119-3312</v>
      </c>
      <c r="E80" s="103">
        <v>100028904</v>
      </c>
      <c r="F80" s="376" t="str">
        <f>_xlfn.XLOOKUP(E80,'All Products'!D:D,'All Products'!E:E,FALSE)</f>
        <v>2 NO HUB ADAPTER SXH DWV</v>
      </c>
      <c r="G80" s="232">
        <f>_xlfn.XLOOKUP(E80,'All Products'!D:D,'All Products'!F:F,FALSE)</f>
        <v>25</v>
      </c>
      <c r="H80" s="387">
        <f>_xlfn.XLOOKUP(E80,'All Products'!D:D,'All Products'!G:G,FALSE)</f>
        <v>3200</v>
      </c>
      <c r="I80" s="369">
        <f>_xlfn.XLOOKUP(E80,'All Products'!D:D,'All Products'!H:H,FALSE)</f>
        <v>71.39</v>
      </c>
      <c r="J80" s="183">
        <f>IFERROR(ROUNDUP(I80*Order_Quote!$L$2,2),0)</f>
        <v>71.39</v>
      </c>
      <c r="K80" s="118"/>
      <c r="L80" s="76"/>
      <c r="M80" s="104">
        <f t="shared" si="0"/>
        <v>0</v>
      </c>
      <c r="O80" s="379" t="str">
        <f>_xlfn.XLOOKUP(E80,'All Products'!D:D,'All Products'!I:I,FALSE)</f>
        <v>Within 3 Weeks</v>
      </c>
      <c r="P80" s="379" t="str">
        <f>_xlfn.XLOOKUP(E80,'All Products'!D:D,'All Products'!J:J,FALSE)</f>
        <v>Manufactured</v>
      </c>
      <c r="Q80" s="397">
        <f>_xlfn.XLOOKUP(F80,'All Products'!E:E,'All Products'!K:K,FALSE)</f>
        <v>810673015481</v>
      </c>
      <c r="R80" s="397" t="str">
        <f>_xlfn.XLOOKUP(E80,'All Products'!D:D,'All Products'!L:L,FALSE)</f>
        <v>-</v>
      </c>
      <c r="S80" s="397">
        <f>_xlfn.XLOOKUP(E80,'All Products'!D:D,'All Products'!M:M,FALSE)</f>
        <v>810673015498</v>
      </c>
      <c r="T80" s="384">
        <f>_xlfn.XLOOKUP(E80,'All Products'!D:D,'All Products'!N:N,FALSE)</f>
        <v>0.182</v>
      </c>
      <c r="U80" s="384">
        <f>_xlfn.XLOOKUP(E80,'All Products'!D:D,'All Products'!P:P,FALSE)</f>
        <v>4.55</v>
      </c>
      <c r="V80" s="384">
        <f>_xlfn.XLOOKUP(E80,'All Products'!D:D,'All Products'!Q:Q,FALSE)</f>
        <v>0.32375720697715193</v>
      </c>
    </row>
    <row r="81" spans="1:22">
      <c r="A81" s="5" t="str">
        <f>IF(K81&gt;0,COUNT($A$8:A80)+1,"")</f>
        <v/>
      </c>
      <c r="B81" s="646"/>
      <c r="C81" s="647"/>
      <c r="D81" s="369" t="str">
        <f>_xlfn.XLOOKUP(E81,'All Products'!D:D,'All Products'!C:C,FALSE)</f>
        <v>119-3314</v>
      </c>
      <c r="E81" s="103">
        <v>100028905</v>
      </c>
      <c r="F81" s="376" t="str">
        <f>_xlfn.XLOOKUP(E81,'All Products'!D:D,'All Products'!E:E,FALSE)</f>
        <v>3 NO HUB ADAPTER SXH DWV</v>
      </c>
      <c r="G81" s="232">
        <f>_xlfn.XLOOKUP(E81,'All Products'!D:D,'All Products'!F:F,FALSE)</f>
        <v>20</v>
      </c>
      <c r="H81" s="387">
        <f>_xlfn.XLOOKUP(E81,'All Products'!D:D,'All Products'!G:G,FALSE)</f>
        <v>1600</v>
      </c>
      <c r="I81" s="369">
        <f>_xlfn.XLOOKUP(E81,'All Products'!D:D,'All Products'!H:H,FALSE)</f>
        <v>112.29</v>
      </c>
      <c r="J81" s="183">
        <f>IFERROR(ROUNDUP(I81*Order_Quote!$L$2,2),0)</f>
        <v>112.29</v>
      </c>
      <c r="K81" s="118"/>
      <c r="L81" s="76"/>
      <c r="M81" s="104">
        <f t="shared" ref="M81:M150" si="2">K81/G81</f>
        <v>0</v>
      </c>
      <c r="O81" s="379" t="str">
        <f>_xlfn.XLOOKUP(E81,'All Products'!D:D,'All Products'!I:I,FALSE)</f>
        <v>Within 3 Weeks</v>
      </c>
      <c r="P81" s="379" t="str">
        <f>_xlfn.XLOOKUP(E81,'All Products'!D:D,'All Products'!J:J,FALSE)</f>
        <v>Manufactured</v>
      </c>
      <c r="Q81" s="397">
        <f>_xlfn.XLOOKUP(F81,'All Products'!E:E,'All Products'!K:K,FALSE)</f>
        <v>810673015504</v>
      </c>
      <c r="R81" s="397" t="str">
        <f>_xlfn.XLOOKUP(E81,'All Products'!D:D,'All Products'!L:L,FALSE)</f>
        <v>-</v>
      </c>
      <c r="S81" s="397">
        <f>_xlfn.XLOOKUP(E81,'All Products'!D:D,'All Products'!M:M,FALSE)</f>
        <v>810673015511</v>
      </c>
      <c r="T81" s="384">
        <f>_xlfn.XLOOKUP(E81,'All Products'!D:D,'All Products'!N:N,FALSE)</f>
        <v>0.46100000000000002</v>
      </c>
      <c r="U81" s="384">
        <f>_xlfn.XLOOKUP(E81,'All Products'!D:D,'All Products'!P:P,FALSE)</f>
        <v>9.2200000000000006</v>
      </c>
      <c r="V81" s="384">
        <f>_xlfn.XLOOKUP(E81,'All Products'!D:D,'All Products'!Q:Q,FALSE)</f>
        <v>0.4856358104657279</v>
      </c>
    </row>
    <row r="82" spans="1:22" ht="15" thickBot="1">
      <c r="A82" s="5" t="str">
        <f>IF(K82&gt;0,COUNT($A$8:A81)+1,"")</f>
        <v/>
      </c>
      <c r="B82" s="666"/>
      <c r="C82" s="667"/>
      <c r="D82" s="369" t="str">
        <f>_xlfn.XLOOKUP(E82,'All Products'!D:D,'All Products'!C:C,FALSE)</f>
        <v>119-3316</v>
      </c>
      <c r="E82" s="103">
        <v>100028906</v>
      </c>
      <c r="F82" s="376" t="str">
        <f>_xlfn.XLOOKUP(E82,'All Products'!D:D,'All Products'!E:E,FALSE)</f>
        <v>4 NO HUB ADAPTER SXH DWV</v>
      </c>
      <c r="G82" s="232">
        <f>_xlfn.XLOOKUP(E82,'All Products'!D:D,'All Products'!F:F,FALSE)</f>
        <v>15</v>
      </c>
      <c r="H82" s="387">
        <f>_xlfn.XLOOKUP(E82,'All Products'!D:D,'All Products'!G:G,FALSE)</f>
        <v>945</v>
      </c>
      <c r="I82" s="369">
        <f>_xlfn.XLOOKUP(E82,'All Products'!D:D,'All Products'!H:H,FALSE)</f>
        <v>133.02000000000001</v>
      </c>
      <c r="J82" s="183">
        <f>IFERROR(ROUNDUP(I82*Order_Quote!$L$2,2),0)</f>
        <v>133.02000000000001</v>
      </c>
      <c r="K82" s="118"/>
      <c r="L82" s="76"/>
      <c r="M82" s="104">
        <f t="shared" si="2"/>
        <v>0</v>
      </c>
      <c r="O82" s="379" t="str">
        <f>_xlfn.XLOOKUP(E82,'All Products'!D:D,'All Products'!I:I,FALSE)</f>
        <v>Within 3 Weeks</v>
      </c>
      <c r="P82" s="379" t="str">
        <f>_xlfn.XLOOKUP(E82,'All Products'!D:D,'All Products'!J:J,FALSE)</f>
        <v>Manufactured</v>
      </c>
      <c r="Q82" s="397">
        <f>_xlfn.XLOOKUP(F82,'All Products'!E:E,'All Products'!K:K,FALSE)</f>
        <v>810673015528</v>
      </c>
      <c r="R82" s="397" t="str">
        <f>_xlfn.XLOOKUP(E82,'All Products'!D:D,'All Products'!L:L,FALSE)</f>
        <v>-</v>
      </c>
      <c r="S82" s="397">
        <f>_xlfn.XLOOKUP(E82,'All Products'!D:D,'All Products'!M:M,FALSE)</f>
        <v>810673015535</v>
      </c>
      <c r="T82" s="384">
        <f>_xlfn.XLOOKUP(E82,'All Products'!D:D,'All Products'!N:N,FALSE)</f>
        <v>0.78900000000000003</v>
      </c>
      <c r="U82" s="384">
        <f>_xlfn.XLOOKUP(E82,'All Products'!D:D,'All Products'!P:P,FALSE)</f>
        <v>11.835000000000001</v>
      </c>
      <c r="V82" s="384">
        <f>_xlfn.XLOOKUP(E82,'All Products'!D:D,'All Products'!Q:Q,FALSE)</f>
        <v>0.66940792428507967</v>
      </c>
    </row>
    <row r="83" spans="1:22" s="17" customFormat="1" ht="16.2" thickBot="1">
      <c r="A83" s="5" t="str">
        <f>IF(K83&gt;0,COUNT($A$8:A82)+1,"")</f>
        <v/>
      </c>
      <c r="B83" s="501" t="s">
        <v>5865</v>
      </c>
      <c r="C83" s="151"/>
      <c r="D83" s="151"/>
      <c r="E83" s="459"/>
      <c r="F83" s="151"/>
      <c r="G83" s="468"/>
      <c r="H83" s="151"/>
      <c r="I83" s="472"/>
      <c r="J83" s="468"/>
      <c r="K83" s="477"/>
      <c r="L83" s="238"/>
      <c r="M83" s="476"/>
      <c r="O83" s="475"/>
      <c r="P83" s="145"/>
      <c r="Q83" s="492"/>
      <c r="R83" s="493"/>
      <c r="S83" s="493"/>
      <c r="T83" s="479"/>
      <c r="U83" s="459"/>
      <c r="V83" s="489"/>
    </row>
    <row r="84" spans="1:22">
      <c r="A84" s="5" t="str">
        <f>IF(K84&gt;0,COUNT($A$8:A83)+1,"")</f>
        <v/>
      </c>
      <c r="B84" s="664"/>
      <c r="C84" s="665"/>
      <c r="D84" s="369" t="str">
        <f>_xlfn.XLOOKUP(E84,'All Products'!D:D,'All Products'!C:C,FALSE)</f>
        <v>123-3320</v>
      </c>
      <c r="E84" s="103">
        <v>300005647</v>
      </c>
      <c r="F84" s="376" t="str">
        <f>_xlfn.XLOOKUP(E84,'All Products'!D:D,'All Products'!E:E,FALSE)</f>
        <v>2 HUB ADAPTER CAST IRON HXS DWV</v>
      </c>
      <c r="G84" s="232">
        <f>_xlfn.XLOOKUP(E84,'All Products'!D:D,'All Products'!F:F,FALSE)</f>
        <v>20</v>
      </c>
      <c r="H84" s="387">
        <f>_xlfn.XLOOKUP(E84,'All Products'!D:D,'All Products'!G:G,FALSE)</f>
        <v>1440</v>
      </c>
      <c r="I84" s="369" t="str">
        <f>_xlfn.XLOOKUP(E84,'All Products'!D:D,'All Products'!H:H,FALSE)</f>
        <v>Quote Required</v>
      </c>
      <c r="J84" s="183">
        <f>IFERROR(ROUNDUP(I84*Order_Quote!$L$2,2),0)</f>
        <v>0</v>
      </c>
      <c r="K84" s="118"/>
      <c r="L84" s="76"/>
      <c r="M84" s="104">
        <f t="shared" si="2"/>
        <v>0</v>
      </c>
      <c r="O84" s="379" t="str">
        <f>_xlfn.XLOOKUP(E84,'All Products'!D:D,'All Products'!I:I,FALSE)</f>
        <v>Within 3 Weeks</v>
      </c>
      <c r="P84" s="379" t="str">
        <f>_xlfn.XLOOKUP(E84,'All Products'!D:D,'All Products'!J:J,FALSE)</f>
        <v>Sourced</v>
      </c>
      <c r="Q84" s="397">
        <f>_xlfn.XLOOKUP(F84,'All Products'!E:E,'All Products'!K:K,FALSE)</f>
        <v>812361011904</v>
      </c>
      <c r="R84" s="397" t="str">
        <f>_xlfn.XLOOKUP(E84,'All Products'!D:D,'All Products'!L:L,FALSE)</f>
        <v>-</v>
      </c>
      <c r="S84" s="397" t="str">
        <f>_xlfn.XLOOKUP(E84,'All Products'!D:D,'All Products'!M:M,FALSE)</f>
        <v>-</v>
      </c>
      <c r="T84" s="384">
        <f>_xlfn.XLOOKUP(E84,'All Products'!D:D,'All Products'!N:N,FALSE)</f>
        <v>0.31</v>
      </c>
      <c r="U84" s="384">
        <f>_xlfn.XLOOKUP(E84,'All Products'!D:D,'All Products'!P:P,FALSE)</f>
        <v>6.2</v>
      </c>
      <c r="V84" s="384" t="str">
        <f>_xlfn.XLOOKUP(E84,'All Products'!D:D,'All Products'!Q:Q,FALSE)</f>
        <v>-</v>
      </c>
    </row>
    <row r="85" spans="1:22">
      <c r="A85" s="5" t="str">
        <f>IF(K85&gt;0,COUNT($A$8:A84)+1,"")</f>
        <v/>
      </c>
      <c r="B85" s="646"/>
      <c r="C85" s="647"/>
      <c r="D85" s="369" t="str">
        <f>_xlfn.XLOOKUP(E85,'All Products'!D:D,'All Products'!C:C,FALSE)</f>
        <v>123-3321</v>
      </c>
      <c r="E85" s="103">
        <v>300005648</v>
      </c>
      <c r="F85" s="376" t="str">
        <f>_xlfn.XLOOKUP(E85,'All Products'!D:D,'All Products'!E:E,FALSE)</f>
        <v>3 HUB ADAPTER CAST IRON HXS DWV</v>
      </c>
      <c r="G85" s="232">
        <f>_xlfn.XLOOKUP(E85,'All Products'!D:D,'All Products'!F:F,FALSE)</f>
        <v>20</v>
      </c>
      <c r="H85" s="387">
        <f>_xlfn.XLOOKUP(E85,'All Products'!D:D,'All Products'!G:G,FALSE)</f>
        <v>750</v>
      </c>
      <c r="I85" s="369" t="str">
        <f>_xlfn.XLOOKUP(E85,'All Products'!D:D,'All Products'!H:H,FALSE)</f>
        <v>Quote Required</v>
      </c>
      <c r="J85" s="183">
        <f>IFERROR(ROUNDUP(I85*Order_Quote!$L$2,2),0)</f>
        <v>0</v>
      </c>
      <c r="K85" s="118"/>
      <c r="L85" s="76"/>
      <c r="M85" s="104">
        <f t="shared" si="2"/>
        <v>0</v>
      </c>
      <c r="O85" s="379" t="str">
        <f>_xlfn.XLOOKUP(E85,'All Products'!D:D,'All Products'!I:I,FALSE)</f>
        <v>Within 3 Weeks</v>
      </c>
      <c r="P85" s="379" t="str">
        <f>_xlfn.XLOOKUP(E85,'All Products'!D:D,'All Products'!J:J,FALSE)</f>
        <v>Sourced</v>
      </c>
      <c r="Q85" s="397">
        <f>_xlfn.XLOOKUP(F85,'All Products'!E:E,'All Products'!K:K,FALSE)</f>
        <v>812361011911</v>
      </c>
      <c r="R85" s="397" t="str">
        <f>_xlfn.XLOOKUP(E85,'All Products'!D:D,'All Products'!L:L,FALSE)</f>
        <v>-</v>
      </c>
      <c r="S85" s="397" t="str">
        <f>_xlfn.XLOOKUP(E85,'All Products'!D:D,'All Products'!M:M,FALSE)</f>
        <v>-</v>
      </c>
      <c r="T85" s="384">
        <f>_xlfn.XLOOKUP(E85,'All Products'!D:D,'All Products'!N:N,FALSE)</f>
        <v>0.72</v>
      </c>
      <c r="U85" s="384">
        <f>_xlfn.XLOOKUP(E85,'All Products'!D:D,'All Products'!P:P,FALSE)</f>
        <v>14.399999999999999</v>
      </c>
      <c r="V85" s="384" t="str">
        <f>_xlfn.XLOOKUP(E85,'All Products'!D:D,'All Products'!Q:Q,FALSE)</f>
        <v>-</v>
      </c>
    </row>
    <row r="86" spans="1:22">
      <c r="A86" s="5" t="str">
        <f>IF(K86&gt;0,COUNT($A$8:A85)+1,"")</f>
        <v/>
      </c>
      <c r="B86" s="646"/>
      <c r="C86" s="647"/>
      <c r="D86" s="369" t="str">
        <f>_xlfn.XLOOKUP(E86,'All Products'!D:D,'All Products'!C:C,FALSE)</f>
        <v>123-3322</v>
      </c>
      <c r="E86" s="103">
        <v>100028909</v>
      </c>
      <c r="F86" s="376" t="str">
        <f>_xlfn.XLOOKUP(E86,'All Products'!D:D,'All Products'!E:E,FALSE)</f>
        <v>4 HUB ADAPTER CAST IRON HXS DWV</v>
      </c>
      <c r="G86" s="232">
        <f>_xlfn.XLOOKUP(E86,'All Products'!D:D,'All Products'!F:F,FALSE)</f>
        <v>20</v>
      </c>
      <c r="H86" s="387">
        <f>_xlfn.XLOOKUP(E86,'All Products'!D:D,'All Products'!G:G,FALSE)</f>
        <v>480</v>
      </c>
      <c r="I86" s="369">
        <f>_xlfn.XLOOKUP(E86,'All Products'!D:D,'All Products'!H:H,FALSE)</f>
        <v>385.92</v>
      </c>
      <c r="J86" s="183">
        <f>IFERROR(ROUNDUP(I86*Order_Quote!$L$2,2),0)</f>
        <v>385.92</v>
      </c>
      <c r="K86" s="118"/>
      <c r="L86" s="76"/>
      <c r="M86" s="104">
        <f t="shared" si="2"/>
        <v>0</v>
      </c>
      <c r="O86" s="379" t="str">
        <f>_xlfn.XLOOKUP(E86,'All Products'!D:D,'All Products'!I:I,FALSE)</f>
        <v>In Stock</v>
      </c>
      <c r="P86" s="379" t="str">
        <f>_xlfn.XLOOKUP(E86,'All Products'!D:D,'All Products'!J:J,FALSE)</f>
        <v>Manufactured</v>
      </c>
      <c r="Q86" s="397">
        <f>_xlfn.XLOOKUP(F86,'All Products'!E:E,'All Products'!K:K,FALSE)</f>
        <v>810673015399</v>
      </c>
      <c r="R86" s="397" t="str">
        <f>_xlfn.XLOOKUP(E86,'All Products'!D:D,'All Products'!L:L,FALSE)</f>
        <v>-</v>
      </c>
      <c r="S86" s="397">
        <f>_xlfn.XLOOKUP(E86,'All Products'!D:D,'All Products'!M:M,FALSE)</f>
        <v>810673015405</v>
      </c>
      <c r="T86" s="384">
        <f>_xlfn.XLOOKUP(E86,'All Products'!D:D,'All Products'!N:N,FALSE)</f>
        <v>1.2849999999999999</v>
      </c>
      <c r="U86" s="384">
        <f>_xlfn.XLOOKUP(E86,'All Products'!D:D,'All Products'!P:P,FALSE)</f>
        <v>25.7</v>
      </c>
      <c r="V86" s="384">
        <f>_xlfn.XLOOKUP(E86,'All Products'!D:D,'All Products'!Q:Q,FALSE)</f>
        <v>1.8803145838984718</v>
      </c>
    </row>
    <row r="87" spans="1:22" ht="15" thickBot="1">
      <c r="A87" s="5" t="str">
        <f>IF(K87&gt;0,COUNT($A$8:A86)+1,"")</f>
        <v/>
      </c>
      <c r="B87" s="666"/>
      <c r="C87" s="667"/>
      <c r="D87" s="369" t="str">
        <f>_xlfn.XLOOKUP(E87,'All Products'!D:D,'All Products'!C:C,FALSE)</f>
        <v>123R-3326</v>
      </c>
      <c r="E87" s="103">
        <v>300005649</v>
      </c>
      <c r="F87" s="376" t="str">
        <f>_xlfn.XLOOKUP(E87,'All Products'!D:D,'All Products'!E:E,FALSE)</f>
        <v>3X4 HUB ADAPT CAST IRON INC HXS DWV</v>
      </c>
      <c r="G87" s="232">
        <f>_xlfn.XLOOKUP(E87,'All Products'!D:D,'All Products'!F:F,FALSE)</f>
        <v>10</v>
      </c>
      <c r="H87" s="387">
        <f>_xlfn.XLOOKUP(E87,'All Products'!D:D,'All Products'!G:G,FALSE)</f>
        <v>350</v>
      </c>
      <c r="I87" s="369" t="str">
        <f>_xlfn.XLOOKUP(E87,'All Products'!D:D,'All Products'!H:H,FALSE)</f>
        <v>Quote Required</v>
      </c>
      <c r="J87" s="183">
        <f>IFERROR(ROUNDUP(I87*Order_Quote!$L$2,2),0)</f>
        <v>0</v>
      </c>
      <c r="K87" s="118"/>
      <c r="L87" s="76"/>
      <c r="M87" s="104">
        <f t="shared" si="2"/>
        <v>0</v>
      </c>
      <c r="O87" s="379" t="str">
        <f>_xlfn.XLOOKUP(E87,'All Products'!D:D,'All Products'!I:I,FALSE)</f>
        <v>Within 6 Weeks</v>
      </c>
      <c r="P87" s="379" t="str">
        <f>_xlfn.XLOOKUP(E87,'All Products'!D:D,'All Products'!J:J,FALSE)</f>
        <v>Sourced</v>
      </c>
      <c r="Q87" s="504">
        <f>_xlfn.XLOOKUP(F87,'All Products'!E:E,'All Products'!K:K,FALSE)</f>
        <v>812361017166</v>
      </c>
      <c r="R87" s="397" t="str">
        <f>_xlfn.XLOOKUP(E87,'All Products'!D:D,'All Products'!L:L,FALSE)</f>
        <v>-</v>
      </c>
      <c r="S87" s="397" t="str">
        <f>_xlfn.XLOOKUP(E87,'All Products'!D:D,'All Products'!M:M,FALSE)</f>
        <v>-</v>
      </c>
      <c r="T87" s="384">
        <f>_xlfn.XLOOKUP(E87,'All Products'!D:D,'All Products'!N:N,FALSE)</f>
        <v>0.96</v>
      </c>
      <c r="U87" s="384">
        <f>_xlfn.XLOOKUP(E87,'All Products'!D:D,'All Products'!P:P,FALSE)</f>
        <v>9.6</v>
      </c>
      <c r="V87" s="384" t="str">
        <f>_xlfn.XLOOKUP(E87,'All Products'!D:D,'All Products'!Q:Q,FALSE)</f>
        <v>-</v>
      </c>
    </row>
    <row r="88" spans="1:22" s="17" customFormat="1" ht="16.2" thickBot="1">
      <c r="A88" s="5" t="str">
        <f>IF(K88&gt;0,COUNT($A$8:A87)+1,"")</f>
        <v/>
      </c>
      <c r="B88" s="446" t="s">
        <v>5804</v>
      </c>
      <c r="C88" s="151"/>
      <c r="D88" s="151"/>
      <c r="E88" s="459"/>
      <c r="F88" s="151"/>
      <c r="G88" s="468"/>
      <c r="H88" s="151"/>
      <c r="I88" s="472"/>
      <c r="J88" s="468"/>
      <c r="K88" s="477"/>
      <c r="L88" s="238"/>
      <c r="M88" s="476"/>
      <c r="O88" s="475"/>
      <c r="P88" s="145"/>
      <c r="Q88" s="492"/>
      <c r="R88" s="493"/>
      <c r="S88" s="493"/>
      <c r="T88" s="479"/>
      <c r="U88" s="459"/>
      <c r="V88" s="489"/>
    </row>
    <row r="89" spans="1:22" s="17" customFormat="1" ht="27.75" customHeight="1">
      <c r="A89" s="5" t="str">
        <f>IF(K89&gt;0,COUNT($A$8:A88)+1,"")</f>
        <v/>
      </c>
      <c r="B89" s="682"/>
      <c r="C89" s="683"/>
      <c r="D89" s="369" t="str">
        <f>_xlfn.XLOOKUP(E89,'All Products'!D:D,'All Products'!C:C,FALSE)</f>
        <v>126-6004</v>
      </c>
      <c r="E89" s="103">
        <v>300005650</v>
      </c>
      <c r="F89" s="376" t="str">
        <f>_xlfn.XLOOKUP(E89,'All Products'!D:D,'All Products'!E:E,FALSE)</f>
        <v>4 DWV SPIGOT PLUG DWV</v>
      </c>
      <c r="G89" s="232">
        <f>_xlfn.XLOOKUP(E89,'All Products'!D:D,'All Products'!F:F,FALSE)</f>
        <v>4</v>
      </c>
      <c r="H89" s="387" t="str">
        <f>_xlfn.XLOOKUP(E89,'All Products'!D:D,'All Products'!G:G,FALSE)</f>
        <v>-</v>
      </c>
      <c r="I89" s="369" t="str">
        <f>_xlfn.XLOOKUP(E89,'All Products'!D:D,'All Products'!H:H,FALSE)</f>
        <v>Quote Required</v>
      </c>
      <c r="J89" s="183">
        <f>IFERROR(ROUNDUP(I89*Order_Quote!$L$2,2),0)</f>
        <v>0</v>
      </c>
      <c r="K89" s="118"/>
      <c r="L89" s="76"/>
      <c r="M89" s="104">
        <f t="shared" si="2"/>
        <v>0</v>
      </c>
      <c r="O89" s="379" t="str">
        <f>_xlfn.XLOOKUP(E89,'All Products'!D:D,'All Products'!I:I,FALSE)</f>
        <v>Within 3 Weeks</v>
      </c>
      <c r="P89" s="379" t="str">
        <f>_xlfn.XLOOKUP(E89,'All Products'!D:D,'All Products'!J:J,FALSE)</f>
        <v>Sourced</v>
      </c>
      <c r="Q89" s="397">
        <f>_xlfn.XLOOKUP(F89,'All Products'!E:E,'All Products'!K:K,FALSE)</f>
        <v>812361017425</v>
      </c>
      <c r="R89" s="397" t="str">
        <f>_xlfn.XLOOKUP(E89,'All Products'!D:D,'All Products'!L:L,FALSE)</f>
        <v>-</v>
      </c>
      <c r="S89" s="397" t="str">
        <f>_xlfn.XLOOKUP(E89,'All Products'!D:D,'All Products'!M:M,FALSE)</f>
        <v>-</v>
      </c>
      <c r="T89" s="384">
        <f>_xlfn.XLOOKUP(E89,'All Products'!D:D,'All Products'!N:N,FALSE)</f>
        <v>1</v>
      </c>
      <c r="U89" s="384">
        <f>_xlfn.XLOOKUP(E89,'All Products'!D:D,'All Products'!P:P,FALSE)</f>
        <v>4</v>
      </c>
      <c r="V89" s="384" t="str">
        <f>_xlfn.XLOOKUP(E89,'All Products'!D:D,'All Products'!Q:Q,FALSE)</f>
        <v>-</v>
      </c>
    </row>
    <row r="90" spans="1:22" s="17" customFormat="1" ht="27.75" customHeight="1" thickBot="1">
      <c r="A90" s="5" t="str">
        <f>IF(K90&gt;0,COUNT($A$8:A89)+1,"")</f>
        <v/>
      </c>
      <c r="B90" s="715"/>
      <c r="C90" s="697"/>
      <c r="D90" s="369" t="str">
        <f>_xlfn.XLOOKUP(E90,'All Products'!D:D,'All Products'!C:C,FALSE)</f>
        <v>126-6006</v>
      </c>
      <c r="E90" s="103">
        <v>300005651</v>
      </c>
      <c r="F90" s="376" t="str">
        <f>_xlfn.XLOOKUP(E90,'All Products'!D:D,'All Products'!E:E,FALSE)</f>
        <v>6 DWV SPIGOT PLUG DWV</v>
      </c>
      <c r="G90" s="232">
        <f>_xlfn.XLOOKUP(E90,'All Products'!D:D,'All Products'!F:F,FALSE)</f>
        <v>6</v>
      </c>
      <c r="H90" s="387" t="str">
        <f>_xlfn.XLOOKUP(E90,'All Products'!D:D,'All Products'!G:G,FALSE)</f>
        <v>-</v>
      </c>
      <c r="I90" s="369" t="str">
        <f>_xlfn.XLOOKUP(E90,'All Products'!D:D,'All Products'!H:H,FALSE)</f>
        <v>Quote Required</v>
      </c>
      <c r="J90" s="183">
        <f>IFERROR(ROUNDUP(I90*Order_Quote!$L$2,2),0)</f>
        <v>0</v>
      </c>
      <c r="K90" s="118"/>
      <c r="L90" s="76"/>
      <c r="M90" s="104">
        <f t="shared" si="2"/>
        <v>0</v>
      </c>
      <c r="O90" s="379" t="str">
        <f>_xlfn.XLOOKUP(E90,'All Products'!D:D,'All Products'!I:I,FALSE)</f>
        <v>Within 3 Weeks</v>
      </c>
      <c r="P90" s="379" t="str">
        <f>_xlfn.XLOOKUP(E90,'All Products'!D:D,'All Products'!J:J,FALSE)</f>
        <v>Sourced</v>
      </c>
      <c r="Q90" s="504">
        <f>_xlfn.XLOOKUP(F90,'All Products'!E:E,'All Products'!K:K,FALSE)</f>
        <v>812361017746</v>
      </c>
      <c r="R90" s="397" t="str">
        <f>_xlfn.XLOOKUP(E90,'All Products'!D:D,'All Products'!L:L,FALSE)</f>
        <v>-</v>
      </c>
      <c r="S90" s="397" t="str">
        <f>_xlfn.XLOOKUP(E90,'All Products'!D:D,'All Products'!M:M,FALSE)</f>
        <v>-</v>
      </c>
      <c r="T90" s="384">
        <f>_xlfn.XLOOKUP(E90,'All Products'!D:D,'All Products'!N:N,FALSE)</f>
        <v>2</v>
      </c>
      <c r="U90" s="384">
        <f>_xlfn.XLOOKUP(E90,'All Products'!D:D,'All Products'!P:P,FALSE)</f>
        <v>12</v>
      </c>
      <c r="V90" s="384" t="str">
        <f>_xlfn.XLOOKUP(E90,'All Products'!D:D,'All Products'!Q:Q,FALSE)</f>
        <v>-</v>
      </c>
    </row>
    <row r="91" spans="1:22" s="17" customFormat="1" ht="16.2" thickBot="1">
      <c r="A91" s="5" t="str">
        <f>IF(K91&gt;0,COUNT($A$8:A90)+1,"")</f>
        <v/>
      </c>
      <c r="B91" s="446" t="s">
        <v>5805</v>
      </c>
      <c r="C91" s="151"/>
      <c r="D91" s="151"/>
      <c r="E91" s="459"/>
      <c r="F91" s="151"/>
      <c r="G91" s="468"/>
      <c r="H91" s="151"/>
      <c r="I91" s="472"/>
      <c r="J91" s="468"/>
      <c r="K91" s="477"/>
      <c r="L91" s="238"/>
      <c r="M91" s="476"/>
      <c r="O91" s="475"/>
      <c r="P91" s="145"/>
      <c r="Q91" s="492"/>
      <c r="R91" s="493"/>
      <c r="S91" s="493"/>
      <c r="T91" s="479"/>
      <c r="U91" s="459"/>
      <c r="V91" s="489"/>
    </row>
    <row r="92" spans="1:22">
      <c r="A92" s="5" t="str">
        <f>IF(K92&gt;0,COUNT($A$8:A91)+1,"")</f>
        <v/>
      </c>
      <c r="B92" s="664"/>
      <c r="C92" s="665"/>
      <c r="D92" s="369" t="str">
        <f>_xlfn.XLOOKUP(E92,'All Products'!D:D,'All Products'!C:C,FALSE)</f>
        <v>130-3337</v>
      </c>
      <c r="E92" s="103">
        <v>100028913</v>
      </c>
      <c r="F92" s="376" t="str">
        <f>_xlfn.XLOOKUP(E92,'All Products'!D:D,'All Products'!E:E,FALSE)</f>
        <v>1-1/2 REPAIR COUPLING DWV</v>
      </c>
      <c r="G92" s="232">
        <f>_xlfn.XLOOKUP(E92,'All Products'!D:D,'All Products'!F:F,FALSE)</f>
        <v>25</v>
      </c>
      <c r="H92" s="387">
        <f>_xlfn.XLOOKUP(E92,'All Products'!D:D,'All Products'!G:G,FALSE)</f>
        <v>4500</v>
      </c>
      <c r="I92" s="369">
        <f>_xlfn.XLOOKUP(E92,'All Products'!D:D,'All Products'!H:H,FALSE)</f>
        <v>74.489999999999995</v>
      </c>
      <c r="J92" s="183">
        <f>IFERROR(ROUNDUP(I92*Order_Quote!$L$2,2),0)</f>
        <v>74.489999999999995</v>
      </c>
      <c r="K92" s="118"/>
      <c r="L92" s="76"/>
      <c r="M92" s="104">
        <f t="shared" si="2"/>
        <v>0</v>
      </c>
      <c r="O92" s="379" t="str">
        <f>_xlfn.XLOOKUP(E92,'All Products'!D:D,'All Products'!I:I,FALSE)</f>
        <v>Within 3 Weeks</v>
      </c>
      <c r="P92" s="379" t="str">
        <f>_xlfn.XLOOKUP(E92,'All Products'!D:D,'All Products'!J:J,FALSE)</f>
        <v>Manufactured</v>
      </c>
      <c r="Q92" s="397">
        <f>_xlfn.XLOOKUP(F92,'All Products'!E:E,'All Products'!K:K,FALSE)</f>
        <v>812361013182</v>
      </c>
      <c r="R92" s="397" t="str">
        <f>_xlfn.XLOOKUP(E92,'All Products'!D:D,'All Products'!L:L,FALSE)</f>
        <v>-</v>
      </c>
      <c r="S92" s="397">
        <f>_xlfn.XLOOKUP(E92,'All Products'!D:D,'All Products'!M:M,FALSE)</f>
        <v>812361013199</v>
      </c>
      <c r="T92" s="384">
        <f>_xlfn.XLOOKUP(E92,'All Products'!D:D,'All Products'!N:N,FALSE)</f>
        <v>0.11899999999999999</v>
      </c>
      <c r="U92" s="384">
        <f>_xlfn.XLOOKUP(E92,'All Products'!D:D,'All Products'!P:P,FALSE)</f>
        <v>2.9749999999999996</v>
      </c>
      <c r="V92" s="384">
        <f>_xlfn.XLOOKUP(E92,'All Products'!D:D,'All Products'!Q:Q,FALSE)</f>
        <v>0.21565729329437433</v>
      </c>
    </row>
    <row r="93" spans="1:22">
      <c r="A93" s="5" t="str">
        <f>IF(K93&gt;0,COUNT($A$8:A92)+1,"")</f>
        <v/>
      </c>
      <c r="B93" s="646"/>
      <c r="C93" s="647"/>
      <c r="D93" s="369" t="str">
        <f>_xlfn.XLOOKUP(E93,'All Products'!D:D,'All Products'!C:C,FALSE)</f>
        <v>130-3338</v>
      </c>
      <c r="E93" s="103">
        <v>100028914</v>
      </c>
      <c r="F93" s="376" t="str">
        <f>_xlfn.XLOOKUP(E93,'All Products'!D:D,'All Products'!E:E,FALSE)</f>
        <v>2 REPAIR COUPLING DWV</v>
      </c>
      <c r="G93" s="232">
        <f>_xlfn.XLOOKUP(E93,'All Products'!D:D,'All Products'!F:F,FALSE)</f>
        <v>25</v>
      </c>
      <c r="H93" s="387">
        <f>_xlfn.XLOOKUP(E93,'All Products'!D:D,'All Products'!G:G,FALSE)</f>
        <v>3200</v>
      </c>
      <c r="I93" s="369">
        <f>_xlfn.XLOOKUP(E93,'All Products'!D:D,'All Products'!H:H,FALSE)</f>
        <v>51.96</v>
      </c>
      <c r="J93" s="183">
        <f>IFERROR(ROUNDUP(I93*Order_Quote!$L$2,2),0)</f>
        <v>51.96</v>
      </c>
      <c r="K93" s="118"/>
      <c r="L93" s="76"/>
      <c r="M93" s="104">
        <f t="shared" si="2"/>
        <v>0</v>
      </c>
      <c r="O93" s="379" t="str">
        <f>_xlfn.XLOOKUP(E93,'All Products'!D:D,'All Products'!I:I,FALSE)</f>
        <v>In Stock</v>
      </c>
      <c r="P93" s="379" t="str">
        <f>_xlfn.XLOOKUP(E93,'All Products'!D:D,'All Products'!J:J,FALSE)</f>
        <v>Manufactured</v>
      </c>
      <c r="Q93" s="397">
        <f>_xlfn.XLOOKUP(F93,'All Products'!E:E,'All Products'!K:K,FALSE)</f>
        <v>812361013205</v>
      </c>
      <c r="R93" s="397" t="str">
        <f>_xlfn.XLOOKUP(E93,'All Products'!D:D,'All Products'!L:L,FALSE)</f>
        <v>-</v>
      </c>
      <c r="S93" s="397">
        <f>_xlfn.XLOOKUP(E93,'All Products'!D:D,'All Products'!M:M,FALSE)</f>
        <v>812361013212</v>
      </c>
      <c r="T93" s="384">
        <f>_xlfn.XLOOKUP(E93,'All Products'!D:D,'All Products'!N:N,FALSE)</f>
        <v>0.16300000000000001</v>
      </c>
      <c r="U93" s="384">
        <f>_xlfn.XLOOKUP(E93,'All Products'!D:D,'All Products'!P:P,FALSE)</f>
        <v>4.0750000000000002</v>
      </c>
      <c r="V93" s="384">
        <f>_xlfn.XLOOKUP(E93,'All Products'!D:D,'All Products'!Q:Q,FALSE)</f>
        <v>0.32375720697715193</v>
      </c>
    </row>
    <row r="94" spans="1:22">
      <c r="A94" s="5" t="str">
        <f>IF(K94&gt;0,COUNT($A$8:A93)+1,"")</f>
        <v/>
      </c>
      <c r="B94" s="646"/>
      <c r="C94" s="647"/>
      <c r="D94" s="369" t="str">
        <f>_xlfn.XLOOKUP(E94,'All Products'!D:D,'All Products'!C:C,FALSE)</f>
        <v>130-3339</v>
      </c>
      <c r="E94" s="103">
        <v>100028915</v>
      </c>
      <c r="F94" s="376" t="str">
        <f>_xlfn.XLOOKUP(E94,'All Products'!D:D,'All Products'!E:E,FALSE)</f>
        <v>3 REPAIR COUPLING DWV</v>
      </c>
      <c r="G94" s="232">
        <f>_xlfn.XLOOKUP(E94,'All Products'!D:D,'All Products'!F:F,FALSE)</f>
        <v>12</v>
      </c>
      <c r="H94" s="387">
        <f>_xlfn.XLOOKUP(E94,'All Products'!D:D,'All Products'!G:G,FALSE)</f>
        <v>960</v>
      </c>
      <c r="I94" s="369">
        <f>_xlfn.XLOOKUP(E94,'All Products'!D:D,'All Products'!H:H,FALSE)</f>
        <v>131.44999999999999</v>
      </c>
      <c r="J94" s="183">
        <f>IFERROR(ROUNDUP(I94*Order_Quote!$L$2,2),0)</f>
        <v>131.44999999999999</v>
      </c>
      <c r="K94" s="118"/>
      <c r="L94" s="76"/>
      <c r="M94" s="104">
        <f t="shared" si="2"/>
        <v>0</v>
      </c>
      <c r="O94" s="379" t="str">
        <f>_xlfn.XLOOKUP(E94,'All Products'!D:D,'All Products'!I:I,FALSE)</f>
        <v>In Stock</v>
      </c>
      <c r="P94" s="379" t="str">
        <f>_xlfn.XLOOKUP(E94,'All Products'!D:D,'All Products'!J:J,FALSE)</f>
        <v>Manufactured</v>
      </c>
      <c r="Q94" s="397">
        <f>_xlfn.XLOOKUP(F94,'All Products'!E:E,'All Products'!K:K,FALSE)</f>
        <v>812361011072</v>
      </c>
      <c r="R94" s="397" t="str">
        <f>_xlfn.XLOOKUP(E94,'All Products'!D:D,'All Products'!L:L,FALSE)</f>
        <v>-</v>
      </c>
      <c r="S94" s="397">
        <f>_xlfn.XLOOKUP(E94,'All Products'!D:D,'All Products'!M:M,FALSE)</f>
        <v>812361019375</v>
      </c>
      <c r="T94" s="384">
        <f>_xlfn.XLOOKUP(E94,'All Products'!D:D,'All Products'!N:N,FALSE)</f>
        <v>0.51600000000000001</v>
      </c>
      <c r="U94" s="384">
        <f>_xlfn.XLOOKUP(E94,'All Products'!D:D,'All Products'!P:P,FALSE)</f>
        <v>6.1920000000000002</v>
      </c>
      <c r="V94" s="384">
        <f>_xlfn.XLOOKUP(E94,'All Products'!D:D,'All Products'!Q:Q,FALSE)</f>
        <v>0.4856358104657279</v>
      </c>
    </row>
    <row r="95" spans="1:22">
      <c r="A95" s="5" t="str">
        <f>IF(K95&gt;0,COUNT($A$8:A94)+1,"")</f>
        <v/>
      </c>
      <c r="B95" s="646"/>
      <c r="C95" s="647"/>
      <c r="D95" s="369" t="str">
        <f>_xlfn.XLOOKUP(E95,'All Products'!D:D,'All Products'!C:C,FALSE)</f>
        <v>130-3340</v>
      </c>
      <c r="E95" s="103">
        <v>100028916</v>
      </c>
      <c r="F95" s="376" t="str">
        <f>_xlfn.XLOOKUP(E95,'All Products'!D:D,'All Products'!E:E,FALSE)</f>
        <v>4 REPAIR COUPLING DWV</v>
      </c>
      <c r="G95" s="232">
        <f>_xlfn.XLOOKUP(E95,'All Products'!D:D,'All Products'!F:F,FALSE)</f>
        <v>5</v>
      </c>
      <c r="H95" s="387">
        <f>_xlfn.XLOOKUP(E95,'All Products'!D:D,'All Products'!G:G,FALSE)</f>
        <v>640</v>
      </c>
      <c r="I95" s="369">
        <f>_xlfn.XLOOKUP(E95,'All Products'!D:D,'All Products'!H:H,FALSE)</f>
        <v>252.9</v>
      </c>
      <c r="J95" s="183">
        <f>IFERROR(ROUNDUP(I95*Order_Quote!$L$2,2),0)</f>
        <v>252.9</v>
      </c>
      <c r="K95" s="118"/>
      <c r="L95" s="76"/>
      <c r="M95" s="104">
        <f t="shared" si="2"/>
        <v>0</v>
      </c>
      <c r="O95" s="379" t="str">
        <f>_xlfn.XLOOKUP(E95,'All Products'!D:D,'All Products'!I:I,FALSE)</f>
        <v>In Stock</v>
      </c>
      <c r="P95" s="379" t="str">
        <f>_xlfn.XLOOKUP(E95,'All Products'!D:D,'All Products'!J:J,FALSE)</f>
        <v>Manufactured</v>
      </c>
      <c r="Q95" s="397">
        <f>_xlfn.XLOOKUP(F95,'All Products'!E:E,'All Products'!K:K,FALSE)</f>
        <v>810673011865</v>
      </c>
      <c r="R95" s="397" t="str">
        <f>_xlfn.XLOOKUP(E95,'All Products'!D:D,'All Products'!L:L,FALSE)</f>
        <v>-</v>
      </c>
      <c r="S95" s="397">
        <f>_xlfn.XLOOKUP(E95,'All Products'!D:D,'All Products'!M:M,FALSE)</f>
        <v>810673015672</v>
      </c>
      <c r="T95" s="384">
        <f>_xlfn.XLOOKUP(E95,'All Products'!D:D,'All Products'!N:N,FALSE)</f>
        <v>0.84799999999999998</v>
      </c>
      <c r="U95" s="384">
        <f>_xlfn.XLOOKUP(E95,'All Products'!D:D,'All Products'!P:P,FALSE)</f>
        <v>4.24</v>
      </c>
      <c r="V95" s="384">
        <f>_xlfn.XLOOKUP(E95,'All Products'!D:D,'All Products'!Q:Q,FALSE)</f>
        <v>0.32375720697715193</v>
      </c>
    </row>
    <row r="96" spans="1:22" ht="15" thickBot="1">
      <c r="A96" s="5" t="str">
        <f>IF(K96&gt;0,COUNT($A$8:A95)+1,"")</f>
        <v/>
      </c>
      <c r="B96" s="666"/>
      <c r="C96" s="667"/>
      <c r="D96" s="369" t="str">
        <f>_xlfn.XLOOKUP(E96,'All Products'!D:D,'All Products'!C:C,FALSE)</f>
        <v>130-3341</v>
      </c>
      <c r="E96" s="103">
        <v>100028917</v>
      </c>
      <c r="F96" s="376" t="str">
        <f>_xlfn.XLOOKUP(E96,'All Products'!D:D,'All Products'!E:E,FALSE)</f>
        <v>6 REPAIR COUPLING DWV</v>
      </c>
      <c r="G96" s="232">
        <f>_xlfn.XLOOKUP(E96,'All Products'!D:D,'All Products'!F:F,FALSE)</f>
        <v>6</v>
      </c>
      <c r="H96" s="387">
        <f>_xlfn.XLOOKUP(E96,'All Products'!D:D,'All Products'!G:G,FALSE)</f>
        <v>144</v>
      </c>
      <c r="I96" s="369">
        <f>_xlfn.XLOOKUP(E96,'All Products'!D:D,'All Products'!H:H,FALSE)</f>
        <v>1328.55</v>
      </c>
      <c r="J96" s="183">
        <f>IFERROR(ROUNDUP(I96*Order_Quote!$L$2,2),0)</f>
        <v>1328.55</v>
      </c>
      <c r="K96" s="118"/>
      <c r="L96" s="76"/>
      <c r="M96" s="104">
        <f t="shared" si="2"/>
        <v>0</v>
      </c>
      <c r="O96" s="379" t="str">
        <f>_xlfn.XLOOKUP(E96,'All Products'!D:D,'All Products'!I:I,FALSE)</f>
        <v>In Stock</v>
      </c>
      <c r="P96" s="379" t="str">
        <f>_xlfn.XLOOKUP(E96,'All Products'!D:D,'All Products'!J:J,FALSE)</f>
        <v>Manufactured</v>
      </c>
      <c r="Q96" s="504">
        <f>_xlfn.XLOOKUP(F96,'All Products'!E:E,'All Products'!K:K,FALSE)</f>
        <v>812361013229</v>
      </c>
      <c r="R96" s="397" t="str">
        <f>_xlfn.XLOOKUP(E96,'All Products'!D:D,'All Products'!L:L,FALSE)</f>
        <v>-</v>
      </c>
      <c r="S96" s="397">
        <f>_xlfn.XLOOKUP(E96,'All Products'!D:D,'All Products'!M:M,FALSE)</f>
        <v>812361019368</v>
      </c>
      <c r="T96" s="384">
        <f>_xlfn.XLOOKUP(E96,'All Products'!D:D,'All Products'!N:N,FALSE)</f>
        <v>2.4769999999999999</v>
      </c>
      <c r="U96" s="384">
        <f>_xlfn.XLOOKUP(E96,'All Products'!D:D,'All Products'!P:P,FALSE)</f>
        <v>14.861999999999998</v>
      </c>
      <c r="V96" s="384">
        <f>_xlfn.XLOOKUP(E96,'All Products'!D:D,'All Products'!Q:Q,FALSE)</f>
        <v>1.8803145838984718</v>
      </c>
    </row>
    <row r="97" spans="1:22" s="17" customFormat="1" ht="16.2" thickBot="1">
      <c r="A97" s="5" t="str">
        <f>IF(K97&gt;0,COUNT($A$8:A96)+1,"")</f>
        <v/>
      </c>
      <c r="B97" s="446" t="s">
        <v>5806</v>
      </c>
      <c r="C97" s="151"/>
      <c r="D97" s="151"/>
      <c r="E97" s="459"/>
      <c r="F97" s="151"/>
      <c r="G97" s="468"/>
      <c r="H97" s="151"/>
      <c r="I97" s="472"/>
      <c r="J97" s="468"/>
      <c r="K97" s="477"/>
      <c r="L97" s="238"/>
      <c r="M97" s="476"/>
      <c r="O97" s="475"/>
      <c r="P97" s="145"/>
      <c r="Q97" s="492"/>
      <c r="R97" s="493"/>
      <c r="S97" s="493"/>
      <c r="T97" s="479"/>
      <c r="U97" s="459"/>
      <c r="V97" s="489"/>
    </row>
    <row r="98" spans="1:22">
      <c r="A98" s="5" t="str">
        <f>IF(K98&gt;0,COUNT($A$8:A97)+1,"")</f>
        <v/>
      </c>
      <c r="B98" s="664"/>
      <c r="C98" s="665"/>
      <c r="D98" s="369" t="str">
        <f>_xlfn.XLOOKUP(E98,'All Products'!D:D,'All Products'!C:C,FALSE)</f>
        <v>131-5285</v>
      </c>
      <c r="E98" s="103">
        <v>300005652</v>
      </c>
      <c r="F98" s="376" t="str">
        <f>_xlfn.XLOOKUP(E98,'All Products'!D:D,'All Products'!E:E,FALSE)</f>
        <v>1-1/2 TEST CAP DWV</v>
      </c>
      <c r="G98" s="232">
        <f>_xlfn.XLOOKUP(E98,'All Products'!D:D,'All Products'!F:F,FALSE)</f>
        <v>100</v>
      </c>
      <c r="H98" s="387">
        <f>_xlfn.XLOOKUP(E98,'All Products'!D:D,'All Products'!G:G,FALSE)</f>
        <v>44800</v>
      </c>
      <c r="I98" s="369" t="str">
        <f>_xlfn.XLOOKUP(E98,'All Products'!D:D,'All Products'!H:H,FALSE)</f>
        <v>Quote Required</v>
      </c>
      <c r="J98" s="183">
        <f>IFERROR(ROUNDUP(I98*Order_Quote!$L$2,2),0)</f>
        <v>0</v>
      </c>
      <c r="K98" s="118"/>
      <c r="L98" s="76"/>
      <c r="M98" s="104">
        <f t="shared" si="2"/>
        <v>0</v>
      </c>
      <c r="O98" s="379" t="str">
        <f>_xlfn.XLOOKUP(E98,'All Products'!D:D,'All Products'!I:I,FALSE)</f>
        <v>Within 6 Weeks</v>
      </c>
      <c r="P98" s="379" t="str">
        <f>_xlfn.XLOOKUP(E98,'All Products'!D:D,'All Products'!J:J,FALSE)</f>
        <v>Sourced</v>
      </c>
      <c r="Q98" s="397">
        <f>_xlfn.XLOOKUP(F98,'All Products'!E:E,'All Products'!K:K,FALSE)</f>
        <v>810673015559</v>
      </c>
      <c r="R98" s="397" t="str">
        <f>_xlfn.XLOOKUP(E98,'All Products'!D:D,'All Products'!L:L,FALSE)</f>
        <v>-</v>
      </c>
      <c r="S98" s="397" t="str">
        <f>_xlfn.XLOOKUP(E98,'All Products'!D:D,'All Products'!M:M,FALSE)</f>
        <v>-</v>
      </c>
      <c r="T98" s="384">
        <f>_xlfn.XLOOKUP(E98,'All Products'!D:D,'All Products'!N:N,FALSE)</f>
        <v>1.2E-2</v>
      </c>
      <c r="U98" s="384">
        <f>_xlfn.XLOOKUP(E98,'All Products'!D:D,'All Products'!P:P,FALSE)</f>
        <v>1.2</v>
      </c>
      <c r="V98" s="384" t="str">
        <f>_xlfn.XLOOKUP(E98,'All Products'!D:D,'All Products'!Q:Q,FALSE)</f>
        <v>-</v>
      </c>
    </row>
    <row r="99" spans="1:22">
      <c r="A99" s="5" t="str">
        <f>IF(K99&gt;0,COUNT($A$8:A98)+1,"")</f>
        <v/>
      </c>
      <c r="B99" s="646"/>
      <c r="C99" s="647"/>
      <c r="D99" s="369" t="str">
        <f>_xlfn.XLOOKUP(E99,'All Products'!D:D,'All Products'!C:C,FALSE)</f>
        <v>131-5287</v>
      </c>
      <c r="E99" s="103">
        <v>300005653</v>
      </c>
      <c r="F99" s="376" t="str">
        <f>_xlfn.XLOOKUP(E99,'All Products'!D:D,'All Products'!E:E,FALSE)</f>
        <v>2 TEST CAP DWV</v>
      </c>
      <c r="G99" s="232">
        <f>_xlfn.XLOOKUP(E99,'All Products'!D:D,'All Products'!F:F,FALSE)</f>
        <v>100</v>
      </c>
      <c r="H99" s="387" t="str">
        <f>_xlfn.XLOOKUP(E99,'All Products'!D:D,'All Products'!G:G,FALSE)</f>
        <v>-</v>
      </c>
      <c r="I99" s="369" t="str">
        <f>_xlfn.XLOOKUP(E99,'All Products'!D:D,'All Products'!H:H,FALSE)</f>
        <v>Quote Required</v>
      </c>
      <c r="J99" s="183">
        <f>IFERROR(ROUNDUP(I99*Order_Quote!$L$2,2),0)</f>
        <v>0</v>
      </c>
      <c r="K99" s="118"/>
      <c r="L99" s="76"/>
      <c r="M99" s="104">
        <f t="shared" si="2"/>
        <v>0</v>
      </c>
      <c r="O99" s="379" t="str">
        <f>_xlfn.XLOOKUP(E99,'All Products'!D:D,'All Products'!I:I,FALSE)</f>
        <v>Within 3 Weeks</v>
      </c>
      <c r="P99" s="379" t="str">
        <f>_xlfn.XLOOKUP(E99,'All Products'!D:D,'All Products'!J:J,FALSE)</f>
        <v>Sourced</v>
      </c>
      <c r="Q99" s="397">
        <f>_xlfn.XLOOKUP(F99,'All Products'!E:E,'All Products'!K:K,FALSE)</f>
        <v>812361017197</v>
      </c>
      <c r="R99" s="397" t="str">
        <f>_xlfn.XLOOKUP(E99,'All Products'!D:D,'All Products'!L:L,FALSE)</f>
        <v>-</v>
      </c>
      <c r="S99" s="397" t="str">
        <f>_xlfn.XLOOKUP(E99,'All Products'!D:D,'All Products'!M:M,FALSE)</f>
        <v>-</v>
      </c>
      <c r="T99" s="384">
        <f>_xlfn.XLOOKUP(E99,'All Products'!D:D,'All Products'!N:N,FALSE)</f>
        <v>0.02</v>
      </c>
      <c r="U99" s="384">
        <f>_xlfn.XLOOKUP(E99,'All Products'!D:D,'All Products'!P:P,FALSE)</f>
        <v>2</v>
      </c>
      <c r="V99" s="384" t="str">
        <f>_xlfn.XLOOKUP(E99,'All Products'!D:D,'All Products'!Q:Q,FALSE)</f>
        <v>-</v>
      </c>
    </row>
    <row r="100" spans="1:22" ht="15" thickBot="1">
      <c r="A100" s="5" t="str">
        <f>IF(K100&gt;0,COUNT($A$8:A99)+1,"")</f>
        <v/>
      </c>
      <c r="B100" s="666"/>
      <c r="C100" s="667"/>
      <c r="D100" s="369" t="str">
        <f>_xlfn.XLOOKUP(E100,'All Products'!D:D,'All Products'!C:C,FALSE)</f>
        <v>131-5288</v>
      </c>
      <c r="E100" s="103">
        <v>300005654</v>
      </c>
      <c r="F100" s="376" t="str">
        <f>_xlfn.XLOOKUP(E100,'All Products'!D:D,'All Products'!E:E,FALSE)</f>
        <v>3 TEST CAP DWV</v>
      </c>
      <c r="G100" s="232">
        <f>_xlfn.XLOOKUP(E100,'All Products'!D:D,'All Products'!F:F,FALSE)</f>
        <v>50</v>
      </c>
      <c r="H100" s="387">
        <f>_xlfn.XLOOKUP(E100,'All Products'!D:D,'All Products'!G:G,FALSE)</f>
        <v>8400</v>
      </c>
      <c r="I100" s="369" t="str">
        <f>_xlfn.XLOOKUP(E100,'All Products'!D:D,'All Products'!H:H,FALSE)</f>
        <v>Quote Required</v>
      </c>
      <c r="J100" s="183">
        <f>IFERROR(ROUNDUP(I100*Order_Quote!$L$2,2),0)</f>
        <v>0</v>
      </c>
      <c r="K100" s="118"/>
      <c r="L100" s="76"/>
      <c r="M100" s="104">
        <f t="shared" si="2"/>
        <v>0</v>
      </c>
      <c r="O100" s="379" t="str">
        <f>_xlfn.XLOOKUP(E100,'All Products'!D:D,'All Products'!I:I,FALSE)</f>
        <v>Within 3 Weeks</v>
      </c>
      <c r="P100" s="379" t="str">
        <f>_xlfn.XLOOKUP(E100,'All Products'!D:D,'All Products'!J:J,FALSE)</f>
        <v>Sourced</v>
      </c>
      <c r="Q100" s="504">
        <f>_xlfn.XLOOKUP(F100,'All Products'!E:E,'All Products'!K:K,FALSE)</f>
        <v>812361017210</v>
      </c>
      <c r="R100" s="397" t="str">
        <f>_xlfn.XLOOKUP(E100,'All Products'!D:D,'All Products'!L:L,FALSE)</f>
        <v>-</v>
      </c>
      <c r="S100" s="397" t="str">
        <f>_xlfn.XLOOKUP(E100,'All Products'!D:D,'All Products'!M:M,FALSE)</f>
        <v>-</v>
      </c>
      <c r="T100" s="384">
        <f>_xlfn.XLOOKUP(E100,'All Products'!D:D,'All Products'!N:N,FALSE)</f>
        <v>0.04</v>
      </c>
      <c r="U100" s="384">
        <f>_xlfn.XLOOKUP(E100,'All Products'!D:D,'All Products'!P:P,FALSE)</f>
        <v>2</v>
      </c>
      <c r="V100" s="384" t="str">
        <f>_xlfn.XLOOKUP(E100,'All Products'!D:D,'All Products'!Q:Q,FALSE)</f>
        <v>-</v>
      </c>
    </row>
    <row r="101" spans="1:22" s="17" customFormat="1" ht="16.2" thickBot="1">
      <c r="A101" s="5" t="str">
        <f>IF(K101&gt;0,COUNT($A$8:A100)+1,"")</f>
        <v/>
      </c>
      <c r="B101" s="446" t="s">
        <v>5853</v>
      </c>
      <c r="C101" s="151"/>
      <c r="D101" s="151"/>
      <c r="E101" s="459"/>
      <c r="F101" s="151"/>
      <c r="G101" s="468"/>
      <c r="H101" s="151"/>
      <c r="I101" s="472"/>
      <c r="J101" s="468"/>
      <c r="K101" s="477"/>
      <c r="L101" s="238"/>
      <c r="M101" s="476"/>
      <c r="O101" s="475"/>
      <c r="P101" s="145"/>
      <c r="Q101" s="492"/>
      <c r="R101" s="493"/>
      <c r="S101" s="493"/>
      <c r="T101" s="479"/>
      <c r="U101" s="459"/>
      <c r="V101" s="489"/>
    </row>
    <row r="102" spans="1:22">
      <c r="A102" s="5" t="str">
        <f>IF(K102&gt;0,COUNT($A$8:A101)+1,"")</f>
        <v/>
      </c>
      <c r="B102" s="664"/>
      <c r="C102" s="665"/>
      <c r="D102" s="369" t="str">
        <f>_xlfn.XLOOKUP(E102,'All Products'!D:D,'All Products'!C:C,FALSE)</f>
        <v>300-3354</v>
      </c>
      <c r="E102" s="103">
        <v>300005656</v>
      </c>
      <c r="F102" s="376" t="str">
        <f>_xlfn.XLOOKUP(E102,'All Products'!D:D,'All Products'!E:E,FALSE)</f>
        <v>1-1/4 1/4 BEND DWV</v>
      </c>
      <c r="G102" s="232">
        <f>_xlfn.XLOOKUP(E102,'All Products'!D:D,'All Products'!F:F,FALSE)</f>
        <v>50</v>
      </c>
      <c r="H102" s="387">
        <f>_xlfn.XLOOKUP(E102,'All Products'!D:D,'All Products'!G:G,FALSE)</f>
        <v>4500</v>
      </c>
      <c r="I102" s="369" t="str">
        <f>_xlfn.XLOOKUP(E102,'All Products'!D:D,'All Products'!H:H,FALSE)</f>
        <v>Quote Required</v>
      </c>
      <c r="J102" s="183">
        <f>IFERROR(ROUNDUP(I102*Order_Quote!$L$2,2),0)</f>
        <v>0</v>
      </c>
      <c r="K102" s="118"/>
      <c r="L102" s="76"/>
      <c r="M102" s="104">
        <f t="shared" si="2"/>
        <v>0</v>
      </c>
      <c r="O102" s="379" t="str">
        <f>_xlfn.XLOOKUP(E102,'All Products'!D:D,'All Products'!I:I,FALSE)</f>
        <v>Within 6 Weeks</v>
      </c>
      <c r="P102" s="379" t="str">
        <f>_xlfn.XLOOKUP(E102,'All Products'!D:D,'All Products'!J:J,FALSE)</f>
        <v>Sourced</v>
      </c>
      <c r="Q102" s="397">
        <f>_xlfn.XLOOKUP(F102,'All Products'!E:E,'All Products'!K:K,FALSE)</f>
        <v>810673013005</v>
      </c>
      <c r="R102" s="397" t="str">
        <f>_xlfn.XLOOKUP(E102,'All Products'!D:D,'All Products'!L:L,FALSE)</f>
        <v>-</v>
      </c>
      <c r="S102" s="397" t="str">
        <f>_xlfn.XLOOKUP(E102,'All Products'!D:D,'All Products'!M:M,FALSE)</f>
        <v>-</v>
      </c>
      <c r="T102" s="384">
        <f>_xlfn.XLOOKUP(E102,'All Products'!D:D,'All Products'!N:N,FALSE)</f>
        <v>0.17</v>
      </c>
      <c r="U102" s="384">
        <f>_xlfn.XLOOKUP(E102,'All Products'!D:D,'All Products'!P:P,FALSE)</f>
        <v>8.5</v>
      </c>
      <c r="V102" s="384" t="str">
        <f>_xlfn.XLOOKUP(E102,'All Products'!D:D,'All Products'!Q:Q,FALSE)</f>
        <v>-</v>
      </c>
    </row>
    <row r="103" spans="1:22">
      <c r="A103" s="5" t="str">
        <f>IF(K103&gt;0,COUNT($A$8:A102)+1,"")</f>
        <v/>
      </c>
      <c r="B103" s="646"/>
      <c r="C103" s="647"/>
      <c r="D103" s="369" t="str">
        <f>_xlfn.XLOOKUP(E103,'All Products'!D:D,'All Products'!C:C,FALSE)</f>
        <v>300-3355</v>
      </c>
      <c r="E103" s="103">
        <v>100028924</v>
      </c>
      <c r="F103" s="376" t="str">
        <f>_xlfn.XLOOKUP(E103,'All Products'!D:D,'All Products'!E:E,FALSE)</f>
        <v>1-1/2 1/4 BEND DWV</v>
      </c>
      <c r="G103" s="232">
        <f>_xlfn.XLOOKUP(E103,'All Products'!D:D,'All Products'!F:F,FALSE)</f>
        <v>100</v>
      </c>
      <c r="H103" s="387">
        <f>_xlfn.XLOOKUP(E103,'All Products'!D:D,'All Products'!G:G,FALSE)</f>
        <v>3200</v>
      </c>
      <c r="I103" s="369">
        <f>_xlfn.XLOOKUP(E103,'All Products'!D:D,'All Products'!H:H,FALSE)</f>
        <v>28.85</v>
      </c>
      <c r="J103" s="183">
        <f>IFERROR(ROUNDUP(I103*Order_Quote!$L$2,2),0)</f>
        <v>28.85</v>
      </c>
      <c r="K103" s="118"/>
      <c r="L103" s="76"/>
      <c r="M103" s="104">
        <f t="shared" si="2"/>
        <v>0</v>
      </c>
      <c r="O103" s="379" t="str">
        <f>_xlfn.XLOOKUP(E103,'All Products'!D:D,'All Products'!I:I,FALSE)</f>
        <v>In Stock</v>
      </c>
      <c r="P103" s="379" t="str">
        <f>_xlfn.XLOOKUP(E103,'All Products'!D:D,'All Products'!J:J,FALSE)</f>
        <v>Manufactured</v>
      </c>
      <c r="Q103" s="397">
        <f>_xlfn.XLOOKUP(F103,'All Products'!E:E,'All Products'!K:K,FALSE)</f>
        <v>810673013012</v>
      </c>
      <c r="R103" s="397" t="str">
        <f>_xlfn.XLOOKUP(E103,'All Products'!D:D,'All Products'!L:L,FALSE)</f>
        <v>-</v>
      </c>
      <c r="S103" s="397">
        <f>_xlfn.XLOOKUP(E103,'All Products'!D:D,'All Products'!M:M,FALSE)</f>
        <v>10810673013019</v>
      </c>
      <c r="T103" s="384">
        <f>_xlfn.XLOOKUP(E103,'All Products'!D:D,'All Products'!N:N,FALSE)</f>
        <v>0.23300000000000001</v>
      </c>
      <c r="U103" s="384">
        <f>_xlfn.XLOOKUP(E103,'All Products'!D:D,'All Products'!P:P,FALSE)</f>
        <v>23.3</v>
      </c>
      <c r="V103" s="384">
        <f>_xlfn.XLOOKUP(E103,'All Products'!D:D,'All Products'!Q:Q,FALSE)</f>
        <v>1.3788503419060438</v>
      </c>
    </row>
    <row r="104" spans="1:22">
      <c r="A104" s="5" t="str">
        <f>IF(K104&gt;0,COUNT($A$8:A103)+1,"")</f>
        <v/>
      </c>
      <c r="B104" s="646"/>
      <c r="C104" s="647"/>
      <c r="D104" s="369" t="str">
        <f>_xlfn.XLOOKUP(E104,'All Products'!D:D,'All Products'!C:C,FALSE)</f>
        <v>300-3356</v>
      </c>
      <c r="E104" s="103">
        <v>100028925</v>
      </c>
      <c r="F104" s="376" t="str">
        <f>_xlfn.XLOOKUP(E104,'All Products'!D:D,'All Products'!E:E,FALSE)</f>
        <v>2 1/4 BEND DWV</v>
      </c>
      <c r="G104" s="232">
        <f>_xlfn.XLOOKUP(E104,'All Products'!D:D,'All Products'!F:F,FALSE)</f>
        <v>50</v>
      </c>
      <c r="H104" s="387">
        <f>_xlfn.XLOOKUP(E104,'All Products'!D:D,'All Products'!G:G,FALSE)</f>
        <v>1600</v>
      </c>
      <c r="I104" s="369">
        <f>_xlfn.XLOOKUP(E104,'All Products'!D:D,'All Products'!H:H,FALSE)</f>
        <v>45.43</v>
      </c>
      <c r="J104" s="183">
        <f>IFERROR(ROUNDUP(I104*Order_Quote!$L$2,2),0)</f>
        <v>45.43</v>
      </c>
      <c r="K104" s="118"/>
      <c r="L104" s="76"/>
      <c r="M104" s="104">
        <f t="shared" si="2"/>
        <v>0</v>
      </c>
      <c r="O104" s="379" t="str">
        <f>_xlfn.XLOOKUP(E104,'All Products'!D:D,'All Products'!I:I,FALSE)</f>
        <v>In Stock</v>
      </c>
      <c r="P104" s="379" t="str">
        <f>_xlfn.XLOOKUP(E104,'All Products'!D:D,'All Products'!J:J,FALSE)</f>
        <v>Manufactured</v>
      </c>
      <c r="Q104" s="397">
        <f>_xlfn.XLOOKUP(F104,'All Products'!E:E,'All Products'!K:K,FALSE)</f>
        <v>810673013029</v>
      </c>
      <c r="R104" s="397" t="str">
        <f>_xlfn.XLOOKUP(E104,'All Products'!D:D,'All Products'!L:L,FALSE)</f>
        <v>-</v>
      </c>
      <c r="S104" s="397">
        <f>_xlfn.XLOOKUP(E104,'All Products'!D:D,'All Products'!M:M,FALSE)</f>
        <v>10810673013026</v>
      </c>
      <c r="T104" s="384">
        <f>_xlfn.XLOOKUP(E104,'All Products'!D:D,'All Products'!N:N,FALSE)</f>
        <v>0.36699999999999999</v>
      </c>
      <c r="U104" s="384">
        <f>_xlfn.XLOOKUP(E104,'All Products'!D:D,'All Products'!P:P,FALSE)</f>
        <v>18.350000000000001</v>
      </c>
      <c r="V104" s="384">
        <f>_xlfn.XLOOKUP(E104,'All Products'!D:D,'All Products'!Q:Q,FALSE)</f>
        <v>1.3788503419060438</v>
      </c>
    </row>
    <row r="105" spans="1:22">
      <c r="A105" s="5" t="str">
        <f>IF(K105&gt;0,COUNT($A$8:A104)+1,"")</f>
        <v/>
      </c>
      <c r="B105" s="646"/>
      <c r="C105" s="647"/>
      <c r="D105" s="369" t="str">
        <f>_xlfn.XLOOKUP(E105,'All Products'!D:D,'All Products'!C:C,FALSE)</f>
        <v>300-3357</v>
      </c>
      <c r="E105" s="103">
        <v>100028926</v>
      </c>
      <c r="F105" s="376" t="str">
        <f>_xlfn.XLOOKUP(E105,'All Products'!D:D,'All Products'!E:E,FALSE)</f>
        <v>3 1/4 BEND DWV</v>
      </c>
      <c r="G105" s="232">
        <f>_xlfn.XLOOKUP(E105,'All Products'!D:D,'All Products'!F:F,FALSE)</f>
        <v>25</v>
      </c>
      <c r="H105" s="387">
        <f>_xlfn.XLOOKUP(E105,'All Products'!D:D,'All Products'!G:G,FALSE)</f>
        <v>450</v>
      </c>
      <c r="I105" s="369">
        <f>_xlfn.XLOOKUP(E105,'All Products'!D:D,'All Products'!H:H,FALSE)</f>
        <v>133.56</v>
      </c>
      <c r="J105" s="183">
        <f>IFERROR(ROUNDUP(I105*Order_Quote!$L$2,2),0)</f>
        <v>133.56</v>
      </c>
      <c r="K105" s="118"/>
      <c r="L105" s="76"/>
      <c r="M105" s="104">
        <f t="shared" si="2"/>
        <v>0</v>
      </c>
      <c r="O105" s="379" t="str">
        <f>_xlfn.XLOOKUP(E105,'All Products'!D:D,'All Products'!I:I,FALSE)</f>
        <v>In Stock</v>
      </c>
      <c r="P105" s="379" t="str">
        <f>_xlfn.XLOOKUP(E105,'All Products'!D:D,'All Products'!J:J,FALSE)</f>
        <v>Manufactured</v>
      </c>
      <c r="Q105" s="397">
        <f>_xlfn.XLOOKUP(F105,'All Products'!E:E,'All Products'!K:K,FALSE)</f>
        <v>810673013036</v>
      </c>
      <c r="R105" s="397" t="str">
        <f>_xlfn.XLOOKUP(E105,'All Products'!D:D,'All Products'!L:L,FALSE)</f>
        <v>-</v>
      </c>
      <c r="S105" s="397">
        <f>_xlfn.XLOOKUP(E105,'All Products'!D:D,'All Products'!M:M,FALSE)</f>
        <v>10810673013033</v>
      </c>
      <c r="T105" s="384">
        <f>_xlfn.XLOOKUP(E105,'All Products'!D:D,'All Products'!N:N,FALSE)</f>
        <v>1.1459999999999999</v>
      </c>
      <c r="U105" s="384">
        <f>_xlfn.XLOOKUP(E105,'All Products'!D:D,'All Products'!P:P,FALSE)</f>
        <v>28.65</v>
      </c>
      <c r="V105" s="384">
        <f>_xlfn.XLOOKUP(E105,'All Products'!D:D,'All Products'!Q:Q,FALSE)</f>
        <v>2.361325291407383</v>
      </c>
    </row>
    <row r="106" spans="1:22">
      <c r="A106" s="5" t="str">
        <f>IF(K106&gt;0,COUNT($A$8:A105)+1,"")</f>
        <v/>
      </c>
      <c r="B106" s="646"/>
      <c r="C106" s="647"/>
      <c r="D106" s="369" t="str">
        <f>_xlfn.XLOOKUP(E106,'All Products'!D:D,'All Products'!C:C,FALSE)</f>
        <v>300-3358</v>
      </c>
      <c r="E106" s="103">
        <v>100028927</v>
      </c>
      <c r="F106" s="376" t="str">
        <f>_xlfn.XLOOKUP(E106,'All Products'!D:D,'All Products'!E:E,FALSE)</f>
        <v>4 1/4 BEND DWV</v>
      </c>
      <c r="G106" s="232">
        <f>_xlfn.XLOOKUP(E106,'All Products'!D:D,'All Products'!F:F,FALSE)</f>
        <v>10</v>
      </c>
      <c r="H106" s="387">
        <f>_xlfn.XLOOKUP(E106,'All Products'!D:D,'All Products'!G:G,FALSE)</f>
        <v>180</v>
      </c>
      <c r="I106" s="369">
        <f>_xlfn.XLOOKUP(E106,'All Products'!D:D,'All Products'!H:H,FALSE)</f>
        <v>263.77</v>
      </c>
      <c r="J106" s="183">
        <f>IFERROR(ROUNDUP(I106*Order_Quote!$L$2,2),0)</f>
        <v>263.77</v>
      </c>
      <c r="K106" s="118"/>
      <c r="L106" s="76"/>
      <c r="M106" s="104">
        <f t="shared" si="2"/>
        <v>0</v>
      </c>
      <c r="O106" s="379" t="str">
        <f>_xlfn.XLOOKUP(E106,'All Products'!D:D,'All Products'!I:I,FALSE)</f>
        <v>In Stock</v>
      </c>
      <c r="P106" s="379" t="str">
        <f>_xlfn.XLOOKUP(E106,'All Products'!D:D,'All Products'!J:J,FALSE)</f>
        <v>Manufactured</v>
      </c>
      <c r="Q106" s="397">
        <f>_xlfn.XLOOKUP(F106,'All Products'!E:E,'All Products'!K:K,FALSE)</f>
        <v>810673013043</v>
      </c>
      <c r="R106" s="397" t="str">
        <f>_xlfn.XLOOKUP(E106,'All Products'!D:D,'All Products'!L:L,FALSE)</f>
        <v>-</v>
      </c>
      <c r="S106" s="397">
        <f>_xlfn.XLOOKUP(E106,'All Products'!D:D,'All Products'!M:M,FALSE)</f>
        <v>10810673013040</v>
      </c>
      <c r="T106" s="384">
        <f>_xlfn.XLOOKUP(E106,'All Products'!D:D,'All Products'!N:N,FALSE)</f>
        <v>2.1269999999999998</v>
      </c>
      <c r="U106" s="384">
        <f>_xlfn.XLOOKUP(E106,'All Products'!D:D,'All Products'!P:P,FALSE)</f>
        <v>21.269999999999996</v>
      </c>
      <c r="V106" s="384">
        <f>_xlfn.XLOOKUP(E106,'All Products'!D:D,'All Products'!Q:Q,FALSE)</f>
        <v>2.361325291407383</v>
      </c>
    </row>
    <row r="107" spans="1:22">
      <c r="A107" s="5" t="str">
        <f>IF(K107&gt;0,COUNT($A$8:A106)+1,"")</f>
        <v/>
      </c>
      <c r="B107" s="652"/>
      <c r="C107" s="653"/>
      <c r="D107" s="369" t="str">
        <f>_xlfn.XLOOKUP(E107,'All Products'!D:D,'All Products'!C:C,FALSE)</f>
        <v>300-3359</v>
      </c>
      <c r="E107" s="103">
        <v>100028928</v>
      </c>
      <c r="F107" s="376" t="str">
        <f>_xlfn.XLOOKUP(E107,'All Products'!D:D,'All Products'!E:E,FALSE)</f>
        <v>6 1/4 BEND DWV</v>
      </c>
      <c r="G107" s="232">
        <f>_xlfn.XLOOKUP(E107,'All Products'!D:D,'All Products'!F:F,FALSE)</f>
        <v>5</v>
      </c>
      <c r="H107" s="387">
        <f>_xlfn.XLOOKUP(E107,'All Products'!D:D,'All Products'!G:G,FALSE)</f>
        <v>60</v>
      </c>
      <c r="I107" s="369">
        <f>_xlfn.XLOOKUP(E107,'All Products'!D:D,'All Products'!H:H,FALSE)</f>
        <v>925.67</v>
      </c>
      <c r="J107" s="183">
        <f>IFERROR(ROUNDUP(I107*Order_Quote!$L$2,2),0)</f>
        <v>925.67</v>
      </c>
      <c r="K107" s="118"/>
      <c r="L107" s="76"/>
      <c r="M107" s="104">
        <f t="shared" si="2"/>
        <v>0</v>
      </c>
      <c r="O107" s="379" t="str">
        <f>_xlfn.XLOOKUP(E107,'All Products'!D:D,'All Products'!I:I,FALSE)</f>
        <v>In Stock</v>
      </c>
      <c r="P107" s="379" t="str">
        <f>_xlfn.XLOOKUP(E107,'All Products'!D:D,'All Products'!J:J,FALSE)</f>
        <v>Manufactured</v>
      </c>
      <c r="Q107" s="397">
        <f>_xlfn.XLOOKUP(F107,'All Products'!E:E,'All Products'!K:K,FALSE)</f>
        <v>810673015252</v>
      </c>
      <c r="R107" s="397" t="str">
        <f>_xlfn.XLOOKUP(E107,'All Products'!D:D,'All Products'!L:L,FALSE)</f>
        <v>-</v>
      </c>
      <c r="S107" s="397">
        <f>_xlfn.XLOOKUP(E107,'All Products'!D:D,'All Products'!M:M,FALSE)</f>
        <v>810673015313</v>
      </c>
      <c r="T107" s="384">
        <f>_xlfn.XLOOKUP(E107,'All Products'!D:D,'All Products'!N:N,FALSE)</f>
        <v>4.6950000000000003</v>
      </c>
      <c r="U107" s="384">
        <f>_xlfn.XLOOKUP(E107,'All Products'!D:D,'All Products'!P:P,FALSE)</f>
        <v>23.475000000000001</v>
      </c>
      <c r="V107" s="384">
        <f>_xlfn.XLOOKUP(E107,'All Products'!D:D,'All Products'!Q:Q,FALSE)</f>
        <v>2.7986077527791204</v>
      </c>
    </row>
    <row r="108" spans="1:22" s="17" customFormat="1" ht="45.75" customHeight="1">
      <c r="A108" s="5" t="str">
        <f>IF(K108&gt;0,COUNT($A$8:A107)+1,"")</f>
        <v/>
      </c>
      <c r="B108" s="616"/>
      <c r="C108" s="617"/>
      <c r="D108" s="369" t="str">
        <f>_xlfn.XLOOKUP(E108,'All Products'!D:D,'All Products'!C:C,FALSE)</f>
        <v>300-S-3362</v>
      </c>
      <c r="E108" s="103">
        <v>300005655</v>
      </c>
      <c r="F108" s="376" t="str">
        <f>_xlfn.XLOOKUP(E108,'All Products'!D:D,'All Products'!E:E,FALSE)</f>
        <v>3 1/4 BEND W/2" SIDE OUTLET DWV</v>
      </c>
      <c r="G108" s="232">
        <f>_xlfn.XLOOKUP(E108,'All Products'!D:D,'All Products'!F:F,FALSE)</f>
        <v>10</v>
      </c>
      <c r="H108" s="387">
        <f>_xlfn.XLOOKUP(E108,'All Products'!D:D,'All Products'!G:G,FALSE)</f>
        <v>360</v>
      </c>
      <c r="I108" s="369" t="str">
        <f>_xlfn.XLOOKUP(E108,'All Products'!D:D,'All Products'!H:H,FALSE)</f>
        <v>Quote Required</v>
      </c>
      <c r="J108" s="183">
        <f>IFERROR(ROUNDUP(I108*Order_Quote!$L$2,2),0)</f>
        <v>0</v>
      </c>
      <c r="K108" s="118"/>
      <c r="L108" s="76"/>
      <c r="M108" s="104">
        <f t="shared" si="2"/>
        <v>0</v>
      </c>
      <c r="O108" s="379" t="str">
        <f>_xlfn.XLOOKUP(E108,'All Products'!D:D,'All Products'!I:I,FALSE)</f>
        <v>Within 6 Weeks</v>
      </c>
      <c r="P108" s="379" t="str">
        <f>_xlfn.XLOOKUP(E108,'All Products'!D:D,'All Products'!J:J,FALSE)</f>
        <v>Sourced</v>
      </c>
      <c r="Q108" s="397">
        <f>_xlfn.XLOOKUP(F108,'All Products'!E:E,'All Products'!K:K,FALSE)</f>
        <v>812361017357</v>
      </c>
      <c r="R108" s="397" t="str">
        <f>_xlfn.XLOOKUP(E108,'All Products'!D:D,'All Products'!L:L,FALSE)</f>
        <v>-</v>
      </c>
      <c r="S108" s="397" t="str">
        <f>_xlfn.XLOOKUP(E108,'All Products'!D:D,'All Products'!M:M,FALSE)</f>
        <v>-</v>
      </c>
      <c r="T108" s="384">
        <f>_xlfn.XLOOKUP(E108,'All Products'!D:D,'All Products'!N:N,FALSE)</f>
        <v>0.11</v>
      </c>
      <c r="U108" s="384">
        <f>_xlfn.XLOOKUP(E108,'All Products'!D:D,'All Products'!P:P,FALSE)</f>
        <v>1.1000000000000001</v>
      </c>
      <c r="V108" s="384" t="str">
        <f>_xlfn.XLOOKUP(E108,'All Products'!D:D,'All Products'!Q:Q,FALSE)</f>
        <v>-</v>
      </c>
    </row>
    <row r="109" spans="1:22">
      <c r="A109" s="5" t="str">
        <f>IF(K109&gt;0,COUNT($A$8:A108)+1,"")</f>
        <v/>
      </c>
      <c r="B109" s="644"/>
      <c r="C109" s="645"/>
      <c r="D109" s="369" t="str">
        <f>_xlfn.XLOOKUP(E109,'All Products'!D:D,'All Products'!C:C,FALSE)</f>
        <v>302-3370</v>
      </c>
      <c r="E109" s="103">
        <v>100028929</v>
      </c>
      <c r="F109" s="376" t="str">
        <f>_xlfn.XLOOKUP(E109,'All Products'!D:D,'All Products'!E:E,FALSE)</f>
        <v>1-1/2 1/4 BEND STREET DWV</v>
      </c>
      <c r="G109" s="232">
        <f>_xlfn.XLOOKUP(E109,'All Products'!D:D,'All Products'!F:F,FALSE)</f>
        <v>100</v>
      </c>
      <c r="H109" s="387">
        <f>_xlfn.XLOOKUP(E109,'All Products'!D:D,'All Products'!G:G,FALSE)</f>
        <v>3200</v>
      </c>
      <c r="I109" s="369">
        <f>_xlfn.XLOOKUP(E109,'All Products'!D:D,'All Products'!H:H,FALSE)</f>
        <v>37.369999999999997</v>
      </c>
      <c r="J109" s="183">
        <f>IFERROR(ROUNDUP(I109*Order_Quote!$L$2,2),0)</f>
        <v>37.369999999999997</v>
      </c>
      <c r="K109" s="118"/>
      <c r="L109" s="76"/>
      <c r="M109" s="104">
        <f t="shared" si="2"/>
        <v>0</v>
      </c>
      <c r="O109" s="379" t="str">
        <f>_xlfn.XLOOKUP(E109,'All Products'!D:D,'All Products'!I:I,FALSE)</f>
        <v>In Stock</v>
      </c>
      <c r="P109" s="379" t="str">
        <f>_xlfn.XLOOKUP(E109,'All Products'!D:D,'All Products'!J:J,FALSE)</f>
        <v>Manufactured</v>
      </c>
      <c r="Q109" s="397">
        <f>_xlfn.XLOOKUP(F109,'All Products'!E:E,'All Products'!K:K,FALSE)</f>
        <v>810673014033</v>
      </c>
      <c r="R109" s="397" t="str">
        <f>_xlfn.XLOOKUP(E109,'All Products'!D:D,'All Products'!L:L,FALSE)</f>
        <v>-</v>
      </c>
      <c r="S109" s="397">
        <f>_xlfn.XLOOKUP(E109,'All Products'!D:D,'All Products'!M:M,FALSE)</f>
        <v>10810673014030</v>
      </c>
      <c r="T109" s="384">
        <f>_xlfn.XLOOKUP(E109,'All Products'!D:D,'All Products'!N:N,FALSE)</f>
        <v>0.20799999999999999</v>
      </c>
      <c r="U109" s="384">
        <f>_xlfn.XLOOKUP(E109,'All Products'!D:D,'All Products'!P:P,FALSE)</f>
        <v>20.8</v>
      </c>
      <c r="V109" s="384">
        <f>_xlfn.XLOOKUP(E109,'All Products'!D:D,'All Products'!Q:Q,FALSE)</f>
        <v>1.3788503419060438</v>
      </c>
    </row>
    <row r="110" spans="1:22">
      <c r="A110" s="5" t="str">
        <f>IF(K110&gt;0,COUNT($A$8:A109)+1,"")</f>
        <v/>
      </c>
      <c r="B110" s="646"/>
      <c r="C110" s="647"/>
      <c r="D110" s="369" t="str">
        <f>_xlfn.XLOOKUP(E110,'All Products'!D:D,'All Products'!C:C,FALSE)</f>
        <v>302-3371</v>
      </c>
      <c r="E110" s="103">
        <v>100028930</v>
      </c>
      <c r="F110" s="376" t="str">
        <f>_xlfn.XLOOKUP(E110,'All Products'!D:D,'All Products'!E:E,FALSE)</f>
        <v>2 1/4 BEND STREET DWV</v>
      </c>
      <c r="G110" s="232">
        <f>_xlfn.XLOOKUP(E110,'All Products'!D:D,'All Products'!F:F,FALSE)</f>
        <v>50</v>
      </c>
      <c r="H110" s="387">
        <f>_xlfn.XLOOKUP(E110,'All Products'!D:D,'All Products'!G:G,FALSE)</f>
        <v>1600</v>
      </c>
      <c r="I110" s="369">
        <f>_xlfn.XLOOKUP(E110,'All Products'!D:D,'All Products'!H:H,FALSE)</f>
        <v>57.33</v>
      </c>
      <c r="J110" s="183">
        <f>IFERROR(ROUNDUP(I110*Order_Quote!$L$2,2),0)</f>
        <v>57.33</v>
      </c>
      <c r="K110" s="118"/>
      <c r="L110" s="76"/>
      <c r="M110" s="104">
        <f t="shared" si="2"/>
        <v>0</v>
      </c>
      <c r="O110" s="379" t="str">
        <f>_xlfn.XLOOKUP(E110,'All Products'!D:D,'All Products'!I:I,FALSE)</f>
        <v>In Stock</v>
      </c>
      <c r="P110" s="379" t="str">
        <f>_xlfn.XLOOKUP(E110,'All Products'!D:D,'All Products'!J:J,FALSE)</f>
        <v>Manufactured</v>
      </c>
      <c r="Q110" s="397">
        <f>_xlfn.XLOOKUP(F110,'All Products'!E:E,'All Products'!K:K,FALSE)</f>
        <v>810673014040</v>
      </c>
      <c r="R110" s="397" t="str">
        <f>_xlfn.XLOOKUP(E110,'All Products'!D:D,'All Products'!L:L,FALSE)</f>
        <v>-</v>
      </c>
      <c r="S110" s="397">
        <f>_xlfn.XLOOKUP(E110,'All Products'!D:D,'All Products'!M:M,FALSE)</f>
        <v>10810673014047</v>
      </c>
      <c r="T110" s="384">
        <f>_xlfn.XLOOKUP(E110,'All Products'!D:D,'All Products'!N:N,FALSE)</f>
        <v>0.34399999999999997</v>
      </c>
      <c r="U110" s="384">
        <f>_xlfn.XLOOKUP(E110,'All Products'!D:D,'All Products'!P:P,FALSE)</f>
        <v>17.2</v>
      </c>
      <c r="V110" s="384">
        <f>_xlfn.XLOOKUP(E110,'All Products'!D:D,'All Products'!Q:Q,FALSE)</f>
        <v>1.3788503419060438</v>
      </c>
    </row>
    <row r="111" spans="1:22">
      <c r="A111" s="5" t="str">
        <f>IF(K111&gt;0,COUNT($A$8:A110)+1,"")</f>
        <v/>
      </c>
      <c r="B111" s="646"/>
      <c r="C111" s="647"/>
      <c r="D111" s="369" t="str">
        <f>_xlfn.XLOOKUP(E111,'All Products'!D:D,'All Products'!C:C,FALSE)</f>
        <v>302-3372</v>
      </c>
      <c r="E111" s="103">
        <v>100028931</v>
      </c>
      <c r="F111" s="376" t="str">
        <f>_xlfn.XLOOKUP(E111,'All Products'!D:D,'All Products'!E:E,FALSE)</f>
        <v>3 1/4 BEND STREET DWV</v>
      </c>
      <c r="G111" s="232">
        <f>_xlfn.XLOOKUP(E111,'All Products'!D:D,'All Products'!F:F,FALSE)</f>
        <v>20</v>
      </c>
      <c r="H111" s="387">
        <f>_xlfn.XLOOKUP(E111,'All Products'!D:D,'All Products'!G:G,FALSE)</f>
        <v>480</v>
      </c>
      <c r="I111" s="369">
        <f>_xlfn.XLOOKUP(E111,'All Products'!D:D,'All Products'!H:H,FALSE)</f>
        <v>159.69</v>
      </c>
      <c r="J111" s="183">
        <f>IFERROR(ROUNDUP(I111*Order_Quote!$L$2,2),0)</f>
        <v>159.69</v>
      </c>
      <c r="K111" s="118"/>
      <c r="L111" s="76"/>
      <c r="M111" s="104">
        <f t="shared" si="2"/>
        <v>0</v>
      </c>
      <c r="O111" s="379" t="str">
        <f>_xlfn.XLOOKUP(E111,'All Products'!D:D,'All Products'!I:I,FALSE)</f>
        <v>In Stock</v>
      </c>
      <c r="P111" s="379" t="str">
        <f>_xlfn.XLOOKUP(E111,'All Products'!D:D,'All Products'!J:J,FALSE)</f>
        <v>Manufactured</v>
      </c>
      <c r="Q111" s="397">
        <f>_xlfn.XLOOKUP(F111,'All Products'!E:E,'All Products'!K:K,FALSE)</f>
        <v>810673014057</v>
      </c>
      <c r="R111" s="397" t="str">
        <f>_xlfn.XLOOKUP(E111,'All Products'!D:D,'All Products'!L:L,FALSE)</f>
        <v>-</v>
      </c>
      <c r="S111" s="397">
        <f>_xlfn.XLOOKUP(E111,'All Products'!D:D,'All Products'!M:M,FALSE)</f>
        <v>10810673014054</v>
      </c>
      <c r="T111" s="384">
        <f>_xlfn.XLOOKUP(E111,'All Products'!D:D,'All Products'!N:N,FALSE)</f>
        <v>1.0880000000000001</v>
      </c>
      <c r="U111" s="384">
        <f>_xlfn.XLOOKUP(E111,'All Products'!D:D,'All Products'!P:P,FALSE)</f>
        <v>21.76</v>
      </c>
      <c r="V111" s="384">
        <f>_xlfn.XLOOKUP(E111,'All Products'!D:D,'All Products'!Q:Q,FALSE)</f>
        <v>1.8803145838984718</v>
      </c>
    </row>
    <row r="112" spans="1:22">
      <c r="A112" s="5" t="str">
        <f>IF(K112&gt;0,COUNT($A$8:A111)+1,"")</f>
        <v/>
      </c>
      <c r="B112" s="646"/>
      <c r="C112" s="647"/>
      <c r="D112" s="369" t="str">
        <f>_xlfn.XLOOKUP(E112,'All Products'!D:D,'All Products'!C:C,FALSE)</f>
        <v>302-3373</v>
      </c>
      <c r="E112" s="103">
        <v>100028932</v>
      </c>
      <c r="F112" s="376" t="str">
        <f>_xlfn.XLOOKUP(E112,'All Products'!D:D,'All Products'!E:E,FALSE)</f>
        <v>4 1/4 BEND STREET DWV</v>
      </c>
      <c r="G112" s="232">
        <f>_xlfn.XLOOKUP(E112,'All Products'!D:D,'All Products'!F:F,FALSE)</f>
        <v>10</v>
      </c>
      <c r="H112" s="387">
        <f>_xlfn.XLOOKUP(E112,'All Products'!D:D,'All Products'!G:G,FALSE)</f>
        <v>240</v>
      </c>
      <c r="I112" s="369">
        <f>_xlfn.XLOOKUP(E112,'All Products'!D:D,'All Products'!H:H,FALSE)</f>
        <v>266.95</v>
      </c>
      <c r="J112" s="183">
        <f>IFERROR(ROUNDUP(I112*Order_Quote!$L$2,2),0)</f>
        <v>266.95</v>
      </c>
      <c r="K112" s="118"/>
      <c r="L112" s="76"/>
      <c r="M112" s="104">
        <f t="shared" si="2"/>
        <v>0</v>
      </c>
      <c r="O112" s="379" t="str">
        <f>_xlfn.XLOOKUP(E112,'All Products'!D:D,'All Products'!I:I,FALSE)</f>
        <v>In Stock</v>
      </c>
      <c r="P112" s="379" t="str">
        <f>_xlfn.XLOOKUP(E112,'All Products'!D:D,'All Products'!J:J,FALSE)</f>
        <v>Manufactured</v>
      </c>
      <c r="Q112" s="397">
        <f>_xlfn.XLOOKUP(F112,'All Products'!E:E,'All Products'!K:K,FALSE)</f>
        <v>810673014064</v>
      </c>
      <c r="R112" s="397" t="str">
        <f>_xlfn.XLOOKUP(E112,'All Products'!D:D,'All Products'!L:L,FALSE)</f>
        <v>-</v>
      </c>
      <c r="S112" s="397">
        <f>_xlfn.XLOOKUP(E112,'All Products'!D:D,'All Products'!M:M,FALSE)</f>
        <v>10810673014061</v>
      </c>
      <c r="T112" s="384">
        <f>_xlfn.XLOOKUP(E112,'All Products'!D:D,'All Products'!N:N,FALSE)</f>
        <v>2.0289999999999999</v>
      </c>
      <c r="U112" s="384">
        <f>_xlfn.XLOOKUP(E112,'All Products'!D:D,'All Products'!P:P,FALSE)</f>
        <v>20.29</v>
      </c>
      <c r="V112" s="384">
        <f>_xlfn.XLOOKUP(E112,'All Products'!D:D,'All Products'!Q:Q,FALSE)</f>
        <v>1.8803145838984718</v>
      </c>
    </row>
    <row r="113" spans="1:22">
      <c r="A113" s="5" t="str">
        <f>IF(K113&gt;0,COUNT($A$8:A112)+1,"")</f>
        <v/>
      </c>
      <c r="B113" s="652"/>
      <c r="C113" s="653"/>
      <c r="D113" s="369" t="str">
        <f>_xlfn.XLOOKUP(E113,'All Products'!D:D,'All Products'!C:C,FALSE)</f>
        <v>302-3374</v>
      </c>
      <c r="E113" s="103">
        <v>100028933</v>
      </c>
      <c r="F113" s="376" t="str">
        <f>_xlfn.XLOOKUP(E113,'All Products'!D:D,'All Products'!E:E,FALSE)</f>
        <v>6 1/4 BEND STREET DWV</v>
      </c>
      <c r="G113" s="232">
        <f>_xlfn.XLOOKUP(E113,'All Products'!D:D,'All Products'!F:F,FALSE)</f>
        <v>5</v>
      </c>
      <c r="H113" s="387">
        <f>_xlfn.XLOOKUP(E113,'All Products'!D:D,'All Products'!G:G,FALSE)</f>
        <v>60</v>
      </c>
      <c r="I113" s="369">
        <f>_xlfn.XLOOKUP(E113,'All Products'!D:D,'All Products'!H:H,FALSE)</f>
        <v>1193.94</v>
      </c>
      <c r="J113" s="183">
        <f>IFERROR(ROUNDUP(I113*Order_Quote!$L$2,2),0)</f>
        <v>1193.94</v>
      </c>
      <c r="K113" s="118"/>
      <c r="L113" s="76"/>
      <c r="M113" s="104">
        <f t="shared" si="2"/>
        <v>0</v>
      </c>
      <c r="O113" s="379" t="str">
        <f>_xlfn.XLOOKUP(E113,'All Products'!D:D,'All Products'!I:I,FALSE)</f>
        <v>In Stock</v>
      </c>
      <c r="P113" s="379" t="str">
        <f>_xlfn.XLOOKUP(E113,'All Products'!D:D,'All Products'!J:J,FALSE)</f>
        <v>Manufactured</v>
      </c>
      <c r="Q113" s="397">
        <f>_xlfn.XLOOKUP(F113,'All Products'!E:E,'All Products'!K:K,FALSE)</f>
        <v>810673015320</v>
      </c>
      <c r="R113" s="397" t="str">
        <f>_xlfn.XLOOKUP(E113,'All Products'!D:D,'All Products'!L:L,FALSE)</f>
        <v>-</v>
      </c>
      <c r="S113" s="397">
        <f>_xlfn.XLOOKUP(E113,'All Products'!D:D,'All Products'!M:M,FALSE)</f>
        <v>810673015344</v>
      </c>
      <c r="T113" s="384">
        <f>_xlfn.XLOOKUP(E113,'All Products'!D:D,'All Products'!N:N,FALSE)</f>
        <v>4.7229999999999999</v>
      </c>
      <c r="U113" s="384">
        <f>_xlfn.XLOOKUP(E113,'All Products'!D:D,'All Products'!P:P,FALSE)</f>
        <v>23.614999999999998</v>
      </c>
      <c r="V113" s="384">
        <f>_xlfn.XLOOKUP(E113,'All Products'!D:D,'All Products'!Q:Q,FALSE)</f>
        <v>2.7986077527791204</v>
      </c>
    </row>
    <row r="114" spans="1:22" ht="21.75" customHeight="1">
      <c r="A114" s="5" t="str">
        <f>IF(K114&gt;0,COUNT($A$8:A113)+1,"")</f>
        <v/>
      </c>
      <c r="B114" s="644"/>
      <c r="C114" s="645"/>
      <c r="D114" s="369" t="str">
        <f>_xlfn.XLOOKUP(E114,'All Products'!D:D,'All Products'!C:C,FALSE)</f>
        <v>303-3376</v>
      </c>
      <c r="E114" s="103">
        <v>100028934</v>
      </c>
      <c r="F114" s="376" t="str">
        <f>_xlfn.XLOOKUP(E114,'All Products'!D:D,'All Products'!E:E,FALSE)</f>
        <v>3 1/4 BEND W/2" LOW HEEL INLET DWV</v>
      </c>
      <c r="G114" s="232">
        <f>_xlfn.XLOOKUP(E114,'All Products'!D:D,'All Products'!F:F,FALSE)</f>
        <v>25</v>
      </c>
      <c r="H114" s="387">
        <f>_xlfn.XLOOKUP(E114,'All Products'!D:D,'All Products'!G:G,FALSE)</f>
        <v>450</v>
      </c>
      <c r="I114" s="369">
        <f>_xlfn.XLOOKUP(E114,'All Products'!D:D,'All Products'!H:H,FALSE)</f>
        <v>230.5</v>
      </c>
      <c r="J114" s="183">
        <f>IFERROR(ROUNDUP(I114*Order_Quote!$L$2,2),0)</f>
        <v>230.5</v>
      </c>
      <c r="K114" s="118"/>
      <c r="L114" s="76"/>
      <c r="M114" s="104">
        <f t="shared" si="2"/>
        <v>0</v>
      </c>
      <c r="O114" s="379" t="str">
        <f>_xlfn.XLOOKUP(E114,'All Products'!D:D,'All Products'!I:I,FALSE)</f>
        <v>In Stock</v>
      </c>
      <c r="P114" s="379" t="str">
        <f>_xlfn.XLOOKUP(E114,'All Products'!D:D,'All Products'!J:J,FALSE)</f>
        <v>Manufactured</v>
      </c>
      <c r="Q114" s="397">
        <f>_xlfn.XLOOKUP(F114,'All Products'!E:E,'All Products'!K:K,FALSE)</f>
        <v>810673015276</v>
      </c>
      <c r="R114" s="397" t="str">
        <f>_xlfn.XLOOKUP(E114,'All Products'!D:D,'All Products'!L:L,FALSE)</f>
        <v>-</v>
      </c>
      <c r="S114" s="397">
        <f>_xlfn.XLOOKUP(E114,'All Products'!D:D,'All Products'!M:M,FALSE)</f>
        <v>810673016099</v>
      </c>
      <c r="T114" s="384">
        <f>_xlfn.XLOOKUP(E114,'All Products'!D:D,'All Products'!N:N,FALSE)</f>
        <v>1.1759999999999999</v>
      </c>
      <c r="U114" s="384">
        <f>_xlfn.XLOOKUP(E114,'All Products'!D:D,'All Products'!P:P,FALSE)</f>
        <v>29.4</v>
      </c>
      <c r="V114" s="384">
        <f>_xlfn.XLOOKUP(E114,'All Products'!D:D,'All Products'!Q:Q,FALSE)</f>
        <v>2.361325291407383</v>
      </c>
    </row>
    <row r="115" spans="1:22" ht="21.75" customHeight="1">
      <c r="A115" s="5" t="str">
        <f>IF(K115&gt;0,COUNT($A$8:A114)+1,"")</f>
        <v/>
      </c>
      <c r="B115" s="652"/>
      <c r="C115" s="653"/>
      <c r="D115" s="369" t="str">
        <f>_xlfn.XLOOKUP(E115,'All Products'!D:D,'All Products'!C:C,FALSE)</f>
        <v>303-3377</v>
      </c>
      <c r="E115" s="103">
        <v>300005657</v>
      </c>
      <c r="F115" s="376" t="str">
        <f>_xlfn.XLOOKUP(E115,'All Products'!D:D,'All Products'!E:E,FALSE)</f>
        <v>4 1/4 BEND W/2" LOW HEEL INLET DWV</v>
      </c>
      <c r="G115" s="232">
        <f>_xlfn.XLOOKUP(E115,'All Products'!D:D,'All Products'!F:F,FALSE)</f>
        <v>15</v>
      </c>
      <c r="H115" s="387">
        <f>_xlfn.XLOOKUP(E115,'All Products'!D:D,'All Products'!G:G,FALSE)</f>
        <v>180</v>
      </c>
      <c r="I115" s="369" t="str">
        <f>_xlfn.XLOOKUP(E115,'All Products'!D:D,'All Products'!H:H,FALSE)</f>
        <v>Quote Required</v>
      </c>
      <c r="J115" s="183">
        <f>IFERROR(ROUNDUP(I115*Order_Quote!$L$2,2),0)</f>
        <v>0</v>
      </c>
      <c r="K115" s="118"/>
      <c r="L115" s="76"/>
      <c r="M115" s="104">
        <f t="shared" si="2"/>
        <v>0</v>
      </c>
      <c r="O115" s="379" t="str">
        <f>_xlfn.XLOOKUP(E115,'All Products'!D:D,'All Products'!I:I,FALSE)</f>
        <v>Within 6 Weeks</v>
      </c>
      <c r="P115" s="379" t="str">
        <f>_xlfn.XLOOKUP(E115,'All Products'!D:D,'All Products'!J:J,FALSE)</f>
        <v>Sourced</v>
      </c>
      <c r="Q115" s="397">
        <f>_xlfn.XLOOKUP(F115,'All Products'!E:E,'All Products'!K:K,FALSE)</f>
        <v>812361017340</v>
      </c>
      <c r="R115" s="397" t="str">
        <f>_xlfn.XLOOKUP(E115,'All Products'!D:D,'All Products'!L:L,FALSE)</f>
        <v>-</v>
      </c>
      <c r="S115" s="397" t="str">
        <f>_xlfn.XLOOKUP(E115,'All Products'!D:D,'All Products'!M:M,FALSE)</f>
        <v>-</v>
      </c>
      <c r="T115" s="384">
        <f>_xlfn.XLOOKUP(E115,'All Products'!D:D,'All Products'!N:N,FALSE)</f>
        <v>1.84</v>
      </c>
      <c r="U115" s="384">
        <f>_xlfn.XLOOKUP(E115,'All Products'!D:D,'All Products'!P:P,FALSE)</f>
        <v>27.6</v>
      </c>
      <c r="V115" s="384" t="str">
        <f>_xlfn.XLOOKUP(E115,'All Products'!D:D,'All Products'!Q:Q,FALSE)</f>
        <v>-</v>
      </c>
    </row>
    <row r="116" spans="1:22">
      <c r="A116" s="5" t="str">
        <f>IF(K116&gt;0,COUNT($A$8:A115)+1,"")</f>
        <v/>
      </c>
      <c r="B116" s="644"/>
      <c r="C116" s="645"/>
      <c r="D116" s="369" t="str">
        <f>_xlfn.XLOOKUP(E116,'All Products'!D:D,'All Products'!C:C,FALSE)</f>
        <v>304-3378</v>
      </c>
      <c r="E116" s="103">
        <v>100028936</v>
      </c>
      <c r="F116" s="376" t="str">
        <f>_xlfn.XLOOKUP(E116,'All Products'!D:D,'All Products'!E:E,FALSE)</f>
        <v>1-1/2 LONG SWEEP 1/4 BEND DWV</v>
      </c>
      <c r="G116" s="232">
        <f>_xlfn.XLOOKUP(E116,'All Products'!D:D,'All Products'!F:F,FALSE)</f>
        <v>50</v>
      </c>
      <c r="H116" s="387">
        <f>_xlfn.XLOOKUP(E116,'All Products'!D:D,'All Products'!G:G,FALSE)</f>
        <v>2250</v>
      </c>
      <c r="I116" s="369">
        <f>_xlfn.XLOOKUP(E116,'All Products'!D:D,'All Products'!H:H,FALSE)</f>
        <v>66.97</v>
      </c>
      <c r="J116" s="183">
        <f>IFERROR(ROUNDUP(I116*Order_Quote!$L$2,2),0)</f>
        <v>66.97</v>
      </c>
      <c r="K116" s="118"/>
      <c r="L116" s="76"/>
      <c r="M116" s="104">
        <f t="shared" si="2"/>
        <v>0</v>
      </c>
      <c r="O116" s="379" t="str">
        <f>_xlfn.XLOOKUP(E116,'All Products'!D:D,'All Products'!I:I,FALSE)</f>
        <v>Within 3 Weeks</v>
      </c>
      <c r="P116" s="379" t="str">
        <f>_xlfn.XLOOKUP(E116,'All Products'!D:D,'All Products'!J:J,FALSE)</f>
        <v>Manufactured</v>
      </c>
      <c r="Q116" s="397">
        <f>_xlfn.XLOOKUP(F116,'All Products'!E:E,'All Products'!K:K,FALSE)</f>
        <v>810673013050</v>
      </c>
      <c r="R116" s="397" t="str">
        <f>_xlfn.XLOOKUP(E116,'All Products'!D:D,'All Products'!L:L,FALSE)</f>
        <v>-</v>
      </c>
      <c r="S116" s="397">
        <f>_xlfn.XLOOKUP(E116,'All Products'!D:D,'All Products'!M:M,FALSE)</f>
        <v>10810673013057</v>
      </c>
      <c r="T116" s="384">
        <f>_xlfn.XLOOKUP(E116,'All Products'!D:D,'All Products'!N:N,FALSE)</f>
        <v>0.3</v>
      </c>
      <c r="U116" s="384">
        <f>_xlfn.XLOOKUP(E116,'All Products'!D:D,'All Products'!P:P,FALSE)</f>
        <v>15</v>
      </c>
      <c r="V116" s="384">
        <f>_xlfn.XLOOKUP(E116,'All Products'!D:D,'All Products'!Q:Q,FALSE)</f>
        <v>0.98955954024750914</v>
      </c>
    </row>
    <row r="117" spans="1:22">
      <c r="A117" s="5" t="str">
        <f>IF(K117&gt;0,COUNT($A$8:A116)+1,"")</f>
        <v/>
      </c>
      <c r="B117" s="646"/>
      <c r="C117" s="647"/>
      <c r="D117" s="369" t="str">
        <f>_xlfn.XLOOKUP(E117,'All Products'!D:D,'All Products'!C:C,FALSE)</f>
        <v>304-3379</v>
      </c>
      <c r="E117" s="103">
        <v>100028937</v>
      </c>
      <c r="F117" s="376" t="str">
        <f>_xlfn.XLOOKUP(E117,'All Products'!D:D,'All Products'!E:E,FALSE)</f>
        <v>2 LONG SWEEP 1/4 BEND DWV</v>
      </c>
      <c r="G117" s="232">
        <f>_xlfn.XLOOKUP(E117,'All Products'!D:D,'All Products'!F:F,FALSE)</f>
        <v>25</v>
      </c>
      <c r="H117" s="387">
        <f>_xlfn.XLOOKUP(E117,'All Products'!D:D,'All Products'!G:G,FALSE)</f>
        <v>800</v>
      </c>
      <c r="I117" s="369">
        <f>_xlfn.XLOOKUP(E117,'All Products'!D:D,'All Products'!H:H,FALSE)</f>
        <v>74.569999999999993</v>
      </c>
      <c r="J117" s="183">
        <f>IFERROR(ROUNDUP(I117*Order_Quote!$L$2,2),0)</f>
        <v>74.569999999999993</v>
      </c>
      <c r="K117" s="118"/>
      <c r="L117" s="76"/>
      <c r="M117" s="104">
        <f t="shared" si="2"/>
        <v>0</v>
      </c>
      <c r="O117" s="379" t="str">
        <f>_xlfn.XLOOKUP(E117,'All Products'!D:D,'All Products'!I:I,FALSE)</f>
        <v>In Stock</v>
      </c>
      <c r="P117" s="379" t="str">
        <f>_xlfn.XLOOKUP(E117,'All Products'!D:D,'All Products'!J:J,FALSE)</f>
        <v>Manufactured</v>
      </c>
      <c r="Q117" s="397">
        <f>_xlfn.XLOOKUP(F117,'All Products'!E:E,'All Products'!K:K,FALSE)</f>
        <v>810673013067</v>
      </c>
      <c r="R117" s="397" t="str">
        <f>_xlfn.XLOOKUP(E117,'All Products'!D:D,'All Products'!L:L,FALSE)</f>
        <v>-</v>
      </c>
      <c r="S117" s="397">
        <f>_xlfn.XLOOKUP(E117,'All Products'!D:D,'All Products'!M:M,FALSE)</f>
        <v>10810673013064</v>
      </c>
      <c r="T117" s="384">
        <f>_xlfn.XLOOKUP(E117,'All Products'!D:D,'All Products'!N:N,FALSE)</f>
        <v>0.51</v>
      </c>
      <c r="U117" s="384">
        <f>_xlfn.XLOOKUP(E117,'All Products'!D:D,'All Products'!P:P,FALSE)</f>
        <v>12.75</v>
      </c>
      <c r="V117" s="384">
        <f>_xlfn.XLOOKUP(E117,'All Products'!D:D,'All Products'!Q:Q,FALSE)</f>
        <v>1.3788503419060438</v>
      </c>
    </row>
    <row r="118" spans="1:22">
      <c r="A118" s="5" t="str">
        <f>IF(K118&gt;0,COUNT($A$8:A117)+1,"")</f>
        <v/>
      </c>
      <c r="B118" s="646"/>
      <c r="C118" s="647"/>
      <c r="D118" s="369" t="str">
        <f>_xlfn.XLOOKUP(E118,'All Products'!D:D,'All Products'!C:C,FALSE)</f>
        <v>304-3380</v>
      </c>
      <c r="E118" s="103">
        <v>100028938</v>
      </c>
      <c r="F118" s="376" t="str">
        <f>_xlfn.XLOOKUP(E118,'All Products'!D:D,'All Products'!E:E,FALSE)</f>
        <v>3 LONG SWEEP 1/4 BEND DWV</v>
      </c>
      <c r="G118" s="232">
        <f>_xlfn.XLOOKUP(E118,'All Products'!D:D,'All Products'!F:F,FALSE)</f>
        <v>10</v>
      </c>
      <c r="H118" s="387">
        <f>_xlfn.XLOOKUP(E118,'All Products'!D:D,'All Products'!G:G,FALSE)</f>
        <v>320</v>
      </c>
      <c r="I118" s="369">
        <f>_xlfn.XLOOKUP(E118,'All Products'!D:D,'All Products'!H:H,FALSE)</f>
        <v>171.71</v>
      </c>
      <c r="J118" s="183">
        <f>IFERROR(ROUNDUP(I118*Order_Quote!$L$2,2),0)</f>
        <v>171.71</v>
      </c>
      <c r="K118" s="118"/>
      <c r="L118" s="76"/>
      <c r="M118" s="104">
        <f t="shared" si="2"/>
        <v>0</v>
      </c>
      <c r="O118" s="379" t="str">
        <f>_xlfn.XLOOKUP(E118,'All Products'!D:D,'All Products'!I:I,FALSE)</f>
        <v>In Stock</v>
      </c>
      <c r="P118" s="379" t="str">
        <f>_xlfn.XLOOKUP(E118,'All Products'!D:D,'All Products'!J:J,FALSE)</f>
        <v>Manufactured</v>
      </c>
      <c r="Q118" s="397">
        <f>_xlfn.XLOOKUP(F118,'All Products'!E:E,'All Products'!K:K,FALSE)</f>
        <v>810673013968</v>
      </c>
      <c r="R118" s="397" t="str">
        <f>_xlfn.XLOOKUP(E118,'All Products'!D:D,'All Products'!L:L,FALSE)</f>
        <v>-</v>
      </c>
      <c r="S118" s="397">
        <f>_xlfn.XLOOKUP(E118,'All Products'!D:D,'All Products'!M:M,FALSE)</f>
        <v>10810673013965</v>
      </c>
      <c r="T118" s="384">
        <f>_xlfn.XLOOKUP(E118,'All Products'!D:D,'All Products'!N:N,FALSE)</f>
        <v>1.476</v>
      </c>
      <c r="U118" s="384">
        <f>_xlfn.XLOOKUP(E118,'All Products'!D:D,'All Products'!P:P,FALSE)</f>
        <v>14.76</v>
      </c>
      <c r="V118" s="384">
        <f>_xlfn.XLOOKUP(E118,'All Products'!D:D,'All Products'!Q:Q,FALSE)</f>
        <v>1.3788503419060438</v>
      </c>
    </row>
    <row r="119" spans="1:22">
      <c r="A119" s="5" t="str">
        <f>IF(K119&gt;0,COUNT($A$8:A118)+1,"")</f>
        <v/>
      </c>
      <c r="B119" s="646"/>
      <c r="C119" s="647"/>
      <c r="D119" s="369" t="str">
        <f>_xlfn.XLOOKUP(E119,'All Products'!D:D,'All Products'!C:C,FALSE)</f>
        <v>304-3381</v>
      </c>
      <c r="E119" s="103">
        <v>100028939</v>
      </c>
      <c r="F119" s="376" t="str">
        <f>_xlfn.XLOOKUP(E119,'All Products'!D:D,'All Products'!E:E,FALSE)</f>
        <v>4 LONG SWEEP 1/4 BEND DWV</v>
      </c>
      <c r="G119" s="232">
        <f>_xlfn.XLOOKUP(E119,'All Products'!D:D,'All Products'!F:F,FALSE)</f>
        <v>5</v>
      </c>
      <c r="H119" s="387">
        <f>_xlfn.XLOOKUP(E119,'All Products'!D:D,'All Products'!G:G,FALSE)</f>
        <v>160</v>
      </c>
      <c r="I119" s="369">
        <f>_xlfn.XLOOKUP(E119,'All Products'!D:D,'All Products'!H:H,FALSE)</f>
        <v>324.70999999999998</v>
      </c>
      <c r="J119" s="183">
        <f>IFERROR(ROUNDUP(I119*Order_Quote!$L$2,2),0)</f>
        <v>324.70999999999998</v>
      </c>
      <c r="K119" s="118"/>
      <c r="L119" s="76"/>
      <c r="M119" s="104">
        <f t="shared" si="2"/>
        <v>0</v>
      </c>
      <c r="O119" s="379" t="str">
        <f>_xlfn.XLOOKUP(E119,'All Products'!D:D,'All Products'!I:I,FALSE)</f>
        <v>In Stock</v>
      </c>
      <c r="P119" s="379" t="str">
        <f>_xlfn.XLOOKUP(E119,'All Products'!D:D,'All Products'!J:J,FALSE)</f>
        <v>Manufactured</v>
      </c>
      <c r="Q119" s="397">
        <f>_xlfn.XLOOKUP(F119,'All Products'!E:E,'All Products'!K:K,FALSE)</f>
        <v>810673013975</v>
      </c>
      <c r="R119" s="397" t="str">
        <f>_xlfn.XLOOKUP(E119,'All Products'!D:D,'All Products'!L:L,FALSE)</f>
        <v>-</v>
      </c>
      <c r="S119" s="397">
        <f>_xlfn.XLOOKUP(E119,'All Products'!D:D,'All Products'!M:M,FALSE)</f>
        <v>10810673013972</v>
      </c>
      <c r="T119" s="384">
        <f>_xlfn.XLOOKUP(E119,'All Products'!D:D,'All Products'!N:N,FALSE)</f>
        <v>2.6579999999999999</v>
      </c>
      <c r="U119" s="384">
        <f>_xlfn.XLOOKUP(E119,'All Products'!D:D,'All Products'!P:P,FALSE)</f>
        <v>13.29</v>
      </c>
      <c r="V119" s="384">
        <f>_xlfn.XLOOKUP(E119,'All Products'!D:D,'All Products'!Q:Q,FALSE)</f>
        <v>1.3788503419060438</v>
      </c>
    </row>
    <row r="120" spans="1:22">
      <c r="A120" s="5" t="str">
        <f>IF(K120&gt;0,COUNT($A$8:A119)+1,"")</f>
        <v/>
      </c>
      <c r="B120" s="652"/>
      <c r="C120" s="653"/>
      <c r="D120" s="369" t="str">
        <f>_xlfn.XLOOKUP(E120,'All Products'!D:D,'All Products'!C:C,FALSE)</f>
        <v>304-3382</v>
      </c>
      <c r="E120" s="103">
        <v>100028940</v>
      </c>
      <c r="F120" s="376" t="str">
        <f>_xlfn.XLOOKUP(E120,'All Products'!D:D,'All Products'!E:E,FALSE)</f>
        <v>6 LONG SWEEP 1/4 BEND DWV</v>
      </c>
      <c r="G120" s="232">
        <f>_xlfn.XLOOKUP(E120,'All Products'!D:D,'All Products'!F:F,FALSE)</f>
        <v>3</v>
      </c>
      <c r="H120" s="387">
        <f>_xlfn.XLOOKUP(E120,'All Products'!D:D,'All Products'!G:G,FALSE)</f>
        <v>36</v>
      </c>
      <c r="I120" s="369">
        <f>_xlfn.XLOOKUP(E120,'All Products'!D:D,'All Products'!H:H,FALSE)</f>
        <v>1294.74</v>
      </c>
      <c r="J120" s="183">
        <f>IFERROR(ROUNDUP(I120*Order_Quote!$L$2,2),0)</f>
        <v>1294.74</v>
      </c>
      <c r="K120" s="118"/>
      <c r="L120" s="76"/>
      <c r="M120" s="104">
        <f t="shared" si="2"/>
        <v>0</v>
      </c>
      <c r="O120" s="379" t="str">
        <f>_xlfn.XLOOKUP(E120,'All Products'!D:D,'All Products'!I:I,FALSE)</f>
        <v>In Stock</v>
      </c>
      <c r="P120" s="379" t="str">
        <f>_xlfn.XLOOKUP(E120,'All Products'!D:D,'All Products'!J:J,FALSE)</f>
        <v>Manufactured</v>
      </c>
      <c r="Q120" s="397">
        <f>_xlfn.XLOOKUP(F120,'All Products'!E:E,'All Products'!K:K,FALSE)</f>
        <v>812361017258</v>
      </c>
      <c r="R120" s="397" t="str">
        <f>_xlfn.XLOOKUP(E120,'All Products'!D:D,'All Products'!L:L,FALSE)</f>
        <v>-</v>
      </c>
      <c r="S120" s="397">
        <f>_xlfn.XLOOKUP(E120,'All Products'!D:D,'All Products'!M:M,FALSE)</f>
        <v>810116840168</v>
      </c>
      <c r="T120" s="384">
        <f>_xlfn.XLOOKUP(E120,'All Products'!D:D,'All Products'!N:N,FALSE)</f>
        <v>7.2</v>
      </c>
      <c r="U120" s="384">
        <f>_xlfn.XLOOKUP(E120,'All Products'!D:D,'All Products'!P:P,FALSE)</f>
        <v>21.6</v>
      </c>
      <c r="V120" s="384">
        <f>_xlfn.XLOOKUP(E120,'All Products'!D:D,'All Products'!Q:Q,FALSE)</f>
        <v>3.6731726755225957</v>
      </c>
    </row>
    <row r="121" spans="1:22">
      <c r="A121" s="5" t="str">
        <f>IF(K121&gt;0,COUNT($A$8:A120)+1,"")</f>
        <v/>
      </c>
      <c r="B121" s="644"/>
      <c r="C121" s="645"/>
      <c r="D121" s="369" t="str">
        <f>_xlfn.XLOOKUP(E121,'All Products'!D:D,'All Products'!C:C,FALSE)</f>
        <v>309-3386</v>
      </c>
      <c r="E121" s="103">
        <v>300005658</v>
      </c>
      <c r="F121" s="376" t="str">
        <f>_xlfn.XLOOKUP(E121,'All Products'!D:D,'All Products'!E:E,FALSE)</f>
        <v>1-1/2 LONG SWP 1/4 BEND STREET DWV</v>
      </c>
      <c r="G121" s="232">
        <f>_xlfn.XLOOKUP(E121,'All Products'!D:D,'All Products'!F:F,FALSE)</f>
        <v>10</v>
      </c>
      <c r="H121" s="387">
        <f>_xlfn.XLOOKUP(E121,'All Products'!D:D,'All Products'!G:G,FALSE)</f>
        <v>2250</v>
      </c>
      <c r="I121" s="369" t="str">
        <f>_xlfn.XLOOKUP(E121,'All Products'!D:D,'All Products'!H:H,FALSE)</f>
        <v>Quote Required</v>
      </c>
      <c r="J121" s="183">
        <f>IFERROR(ROUNDUP(I121*Order_Quote!$L$2,2),0)</f>
        <v>0</v>
      </c>
      <c r="K121" s="118"/>
      <c r="L121" s="76"/>
      <c r="M121" s="104">
        <f t="shared" si="2"/>
        <v>0</v>
      </c>
      <c r="O121" s="379" t="str">
        <f>_xlfn.XLOOKUP(E121,'All Products'!D:D,'All Products'!I:I,FALSE)</f>
        <v>Within 6 Weeks</v>
      </c>
      <c r="P121" s="379" t="str">
        <f>_xlfn.XLOOKUP(E121,'All Products'!D:D,'All Products'!J:J,FALSE)</f>
        <v>Sourced</v>
      </c>
      <c r="Q121" s="397">
        <f>_xlfn.XLOOKUP(F121,'All Products'!E:E,'All Products'!K:K,FALSE)</f>
        <v>810673014071</v>
      </c>
      <c r="R121" s="397" t="str">
        <f>_xlfn.XLOOKUP(E121,'All Products'!D:D,'All Products'!L:L,FALSE)</f>
        <v>-</v>
      </c>
      <c r="S121" s="397" t="str">
        <f>_xlfn.XLOOKUP(E121,'All Products'!D:D,'All Products'!M:M,FALSE)</f>
        <v>-</v>
      </c>
      <c r="T121" s="384">
        <f>_xlfn.XLOOKUP(E121,'All Products'!D:D,'All Products'!N:N,FALSE)</f>
        <v>0.27</v>
      </c>
      <c r="U121" s="384">
        <f>_xlfn.XLOOKUP(E121,'All Products'!D:D,'All Products'!P:P,FALSE)</f>
        <v>2.7</v>
      </c>
      <c r="V121" s="384" t="str">
        <f>_xlfn.XLOOKUP(E121,'All Products'!D:D,'All Products'!Q:Q,FALSE)</f>
        <v>-</v>
      </c>
    </row>
    <row r="122" spans="1:22">
      <c r="A122" s="5" t="str">
        <f>IF(K122&gt;0,COUNT($A$8:A121)+1,"")</f>
        <v/>
      </c>
      <c r="B122" s="646"/>
      <c r="C122" s="647"/>
      <c r="D122" s="369" t="str">
        <f>_xlfn.XLOOKUP(E122,'All Products'!D:D,'All Products'!C:C,FALSE)</f>
        <v>309-3387</v>
      </c>
      <c r="E122" s="103">
        <v>100028942</v>
      </c>
      <c r="F122" s="376" t="str">
        <f>_xlfn.XLOOKUP(E122,'All Products'!D:D,'All Products'!E:E,FALSE)</f>
        <v>2 LONG SWEEP 1/4 BEND STREET DWV</v>
      </c>
      <c r="G122" s="232">
        <f>_xlfn.XLOOKUP(E122,'All Products'!D:D,'All Products'!F:F,FALSE)</f>
        <v>25</v>
      </c>
      <c r="H122" s="387">
        <f>_xlfn.XLOOKUP(E122,'All Products'!D:D,'All Products'!G:G,FALSE)</f>
        <v>1125</v>
      </c>
      <c r="I122" s="369">
        <f>_xlfn.XLOOKUP(E122,'All Products'!D:D,'All Products'!H:H,FALSE)</f>
        <v>122.9</v>
      </c>
      <c r="J122" s="183">
        <f>IFERROR(ROUNDUP(I122*Order_Quote!$L$2,2),0)</f>
        <v>122.9</v>
      </c>
      <c r="K122" s="118"/>
      <c r="L122" s="76"/>
      <c r="M122" s="104">
        <f t="shared" si="2"/>
        <v>0</v>
      </c>
      <c r="O122" s="379" t="str">
        <f>_xlfn.XLOOKUP(E122,'All Products'!D:D,'All Products'!I:I,FALSE)</f>
        <v>In Stock</v>
      </c>
      <c r="P122" s="379" t="str">
        <f>_xlfn.XLOOKUP(E122,'All Products'!D:D,'All Products'!J:J,FALSE)</f>
        <v>Manufactured</v>
      </c>
      <c r="Q122" s="397">
        <f>_xlfn.XLOOKUP(F122,'All Products'!E:E,'All Products'!K:K,FALSE)</f>
        <v>810673014088</v>
      </c>
      <c r="R122" s="397" t="str">
        <f>_xlfn.XLOOKUP(E122,'All Products'!D:D,'All Products'!L:L,FALSE)</f>
        <v>-</v>
      </c>
      <c r="S122" s="397">
        <f>_xlfn.XLOOKUP(E122,'All Products'!D:D,'All Products'!M:M,FALSE)</f>
        <v>810673012145</v>
      </c>
      <c r="T122" s="384">
        <f>_xlfn.XLOOKUP(E122,'All Products'!D:D,'All Products'!N:N,FALSE)</f>
        <v>0.44</v>
      </c>
      <c r="U122" s="384">
        <f>_xlfn.XLOOKUP(E122,'All Products'!D:D,'All Products'!P:P,FALSE)</f>
        <v>11</v>
      </c>
      <c r="V122" s="384">
        <f>_xlfn.XLOOKUP(E122,'All Products'!D:D,'All Products'!Q:Q,FALSE)</f>
        <v>0.98955954024750914</v>
      </c>
    </row>
    <row r="123" spans="1:22">
      <c r="A123" s="5" t="str">
        <f>IF(K123&gt;0,COUNT($A$8:A122)+1,"")</f>
        <v/>
      </c>
      <c r="B123" s="646"/>
      <c r="C123" s="647"/>
      <c r="D123" s="369" t="str">
        <f>_xlfn.XLOOKUP(E123,'All Products'!D:D,'All Products'!C:C,FALSE)</f>
        <v>309-3388</v>
      </c>
      <c r="E123" s="103">
        <v>100028943</v>
      </c>
      <c r="F123" s="376" t="str">
        <f>_xlfn.XLOOKUP(E123,'All Products'!D:D,'All Products'!E:E,FALSE)</f>
        <v>3 LONG SWEEP 1/4 BEND STREET DWV</v>
      </c>
      <c r="G123" s="232">
        <f>_xlfn.XLOOKUP(E123,'All Products'!D:D,'All Products'!F:F,FALSE)</f>
        <v>20</v>
      </c>
      <c r="H123" s="387">
        <f>_xlfn.XLOOKUP(E123,'All Products'!D:D,'All Products'!G:G,FALSE)</f>
        <v>360</v>
      </c>
      <c r="I123" s="369">
        <f>_xlfn.XLOOKUP(E123,'All Products'!D:D,'All Products'!H:H,FALSE)</f>
        <v>305.94</v>
      </c>
      <c r="J123" s="183">
        <f>IFERROR(ROUNDUP(I123*Order_Quote!$L$2,2),0)</f>
        <v>305.94</v>
      </c>
      <c r="K123" s="118"/>
      <c r="L123" s="76"/>
      <c r="M123" s="104">
        <f t="shared" si="2"/>
        <v>0</v>
      </c>
      <c r="O123" s="379" t="str">
        <f>_xlfn.XLOOKUP(E123,'All Products'!D:D,'All Products'!I:I,FALSE)</f>
        <v>In Stock</v>
      </c>
      <c r="P123" s="379" t="str">
        <f>_xlfn.XLOOKUP(E123,'All Products'!D:D,'All Products'!J:J,FALSE)</f>
        <v>Manufactured</v>
      </c>
      <c r="Q123" s="397">
        <f>_xlfn.XLOOKUP(F123,'All Products'!E:E,'All Products'!K:K,FALSE)</f>
        <v>810673014095</v>
      </c>
      <c r="R123" s="397" t="str">
        <f>_xlfn.XLOOKUP(E123,'All Products'!D:D,'All Products'!L:L,FALSE)</f>
        <v>-</v>
      </c>
      <c r="S123" s="397">
        <f>_xlfn.XLOOKUP(E123,'All Products'!D:D,'All Products'!M:M,FALSE)</f>
        <v>810673012152</v>
      </c>
      <c r="T123" s="384">
        <f>_xlfn.XLOOKUP(E123,'All Products'!D:D,'All Products'!N:N,FALSE)</f>
        <v>1.2549999999999999</v>
      </c>
      <c r="U123" s="384">
        <f>_xlfn.XLOOKUP(E123,'All Products'!D:D,'All Products'!P:P,FALSE)</f>
        <v>25.099999999999998</v>
      </c>
      <c r="V123" s="384">
        <f>_xlfn.XLOOKUP(E123,'All Products'!D:D,'All Products'!Q:Q,FALSE)</f>
        <v>2.361325291407383</v>
      </c>
    </row>
    <row r="124" spans="1:22" ht="15" thickBot="1">
      <c r="A124" s="5" t="str">
        <f>IF(K124&gt;0,COUNT($A$8:A123)+1,"")</f>
        <v/>
      </c>
      <c r="B124" s="666"/>
      <c r="C124" s="667"/>
      <c r="D124" s="369" t="str">
        <f>_xlfn.XLOOKUP(E124,'All Products'!D:D,'All Products'!C:C,FALSE)</f>
        <v>309-3389</v>
      </c>
      <c r="E124" s="103">
        <v>100028944</v>
      </c>
      <c r="F124" s="376" t="str">
        <f>_xlfn.XLOOKUP(E124,'All Products'!D:D,'All Products'!E:E,FALSE)</f>
        <v>4 LONG SWEEP 1/4 BEND STREET DWV</v>
      </c>
      <c r="G124" s="232">
        <f>_xlfn.XLOOKUP(E124,'All Products'!D:D,'All Products'!F:F,FALSE)</f>
        <v>5</v>
      </c>
      <c r="H124" s="387">
        <f>_xlfn.XLOOKUP(E124,'All Products'!D:D,'All Products'!G:G,FALSE)</f>
        <v>160</v>
      </c>
      <c r="I124" s="369">
        <f>_xlfn.XLOOKUP(E124,'All Products'!D:D,'All Products'!H:H,FALSE)</f>
        <v>471.25</v>
      </c>
      <c r="J124" s="183">
        <f>IFERROR(ROUNDUP(I124*Order_Quote!$L$2,2),0)</f>
        <v>471.25</v>
      </c>
      <c r="K124" s="118"/>
      <c r="L124" s="76"/>
      <c r="M124" s="104">
        <f t="shared" si="2"/>
        <v>0</v>
      </c>
      <c r="O124" s="379" t="str">
        <f>_xlfn.XLOOKUP(E124,'All Products'!D:D,'All Products'!I:I,FALSE)</f>
        <v>Within 3 Weeks</v>
      </c>
      <c r="P124" s="379" t="str">
        <f>_xlfn.XLOOKUP(E124,'All Products'!D:D,'All Products'!J:J,FALSE)</f>
        <v>Manufactured</v>
      </c>
      <c r="Q124" s="504">
        <f>_xlfn.XLOOKUP(F124,'All Products'!E:E,'All Products'!K:K,FALSE)</f>
        <v>810673014101</v>
      </c>
      <c r="R124" s="397" t="str">
        <f>_xlfn.XLOOKUP(E124,'All Products'!D:D,'All Products'!L:L,FALSE)</f>
        <v>-</v>
      </c>
      <c r="S124" s="397">
        <f>_xlfn.XLOOKUP(E124,'All Products'!D:D,'All Products'!M:M,FALSE)</f>
        <v>810673012169</v>
      </c>
      <c r="T124" s="384">
        <f>_xlfn.XLOOKUP(E124,'All Products'!D:D,'All Products'!N:N,FALSE)</f>
        <v>2.52</v>
      </c>
      <c r="U124" s="384">
        <f>_xlfn.XLOOKUP(E124,'All Products'!D:D,'All Products'!P:P,FALSE)</f>
        <v>12.6</v>
      </c>
      <c r="V124" s="384">
        <f>_xlfn.XLOOKUP(E124,'All Products'!D:D,'All Products'!Q:Q,FALSE)</f>
        <v>1.3788503419060438</v>
      </c>
    </row>
    <row r="125" spans="1:22" s="17" customFormat="1" ht="16.2" thickBot="1">
      <c r="A125" s="5" t="str">
        <f>IF(K125&gt;0,COUNT($A$8:A124)+1,"")</f>
        <v/>
      </c>
      <c r="B125" s="446" t="s">
        <v>5854</v>
      </c>
      <c r="C125" s="151"/>
      <c r="D125" s="151"/>
      <c r="E125" s="459"/>
      <c r="F125" s="151"/>
      <c r="G125" s="468"/>
      <c r="H125" s="151"/>
      <c r="I125" s="472"/>
      <c r="J125" s="468"/>
      <c r="K125" s="477"/>
      <c r="L125" s="238"/>
      <c r="M125" s="476"/>
      <c r="O125" s="475"/>
      <c r="P125" s="145"/>
      <c r="Q125" s="492"/>
      <c r="R125" s="493"/>
      <c r="S125" s="493"/>
      <c r="T125" s="479"/>
      <c r="U125" s="459"/>
      <c r="V125" s="489"/>
    </row>
    <row r="126" spans="1:22">
      <c r="A126" s="5" t="str">
        <f>IF(K126&gt;0,COUNT($A$8:A125)+1,"")</f>
        <v/>
      </c>
      <c r="B126" s="664"/>
      <c r="C126" s="665"/>
      <c r="D126" s="369" t="str">
        <f>_xlfn.XLOOKUP(E126,'All Products'!D:D,'All Products'!C:C,FALSE)</f>
        <v>319-3392</v>
      </c>
      <c r="E126" s="103">
        <v>100028947</v>
      </c>
      <c r="F126" s="376" t="str">
        <f>_xlfn.XLOOKUP(E126,'All Products'!D:D,'All Products'!E:E,FALSE)</f>
        <v>1-1/2 1/6 BEND DWV</v>
      </c>
      <c r="G126" s="232">
        <f>_xlfn.XLOOKUP(E126,'All Products'!D:D,'All Products'!F:F,FALSE)</f>
        <v>40</v>
      </c>
      <c r="H126" s="387">
        <f>_xlfn.XLOOKUP(E126,'All Products'!D:D,'All Products'!G:G,FALSE)</f>
        <v>2520</v>
      </c>
      <c r="I126" s="369">
        <f>_xlfn.XLOOKUP(E126,'All Products'!D:D,'All Products'!H:H,FALSE)</f>
        <v>67.260000000000005</v>
      </c>
      <c r="J126" s="183">
        <f>IFERROR(ROUNDUP(I126*Order_Quote!$L$2,2),0)</f>
        <v>67.260000000000005</v>
      </c>
      <c r="K126" s="118"/>
      <c r="L126" s="76"/>
      <c r="M126" s="104">
        <f t="shared" si="2"/>
        <v>0</v>
      </c>
      <c r="O126" s="379" t="str">
        <f>_xlfn.XLOOKUP(E126,'All Products'!D:D,'All Products'!I:I,FALSE)</f>
        <v>In Stock</v>
      </c>
      <c r="P126" s="379" t="str">
        <f>_xlfn.XLOOKUP(E126,'All Products'!D:D,'All Products'!J:J,FALSE)</f>
        <v>Manufactured</v>
      </c>
      <c r="Q126" s="397">
        <f>_xlfn.XLOOKUP(F126,'All Products'!E:E,'All Products'!K:K,FALSE)</f>
        <v>812361012390</v>
      </c>
      <c r="R126" s="397" t="str">
        <f>_xlfn.XLOOKUP(E126,'All Products'!D:D,'All Products'!L:L,FALSE)</f>
        <v>-</v>
      </c>
      <c r="S126" s="397">
        <f>_xlfn.XLOOKUP(E126,'All Products'!D:D,'All Products'!M:M,FALSE)</f>
        <v>812361012406</v>
      </c>
      <c r="T126" s="384">
        <f>_xlfn.XLOOKUP(E126,'All Products'!D:D,'All Products'!N:N,FALSE)</f>
        <v>0.21199999999999999</v>
      </c>
      <c r="U126" s="384">
        <f>_xlfn.XLOOKUP(E126,'All Products'!D:D,'All Products'!P:P,FALSE)</f>
        <v>8.48</v>
      </c>
      <c r="V126" s="384">
        <f>_xlfn.XLOOKUP(E126,'All Products'!D:D,'All Products'!Q:Q,FALSE)</f>
        <v>0.66940792428507967</v>
      </c>
    </row>
    <row r="127" spans="1:22">
      <c r="A127" s="5" t="str">
        <f>IF(K127&gt;0,COUNT($A$8:A126)+1,"")</f>
        <v/>
      </c>
      <c r="B127" s="646"/>
      <c r="C127" s="647"/>
      <c r="D127" s="369" t="str">
        <f>_xlfn.XLOOKUP(E127,'All Products'!D:D,'All Products'!C:C,FALSE)</f>
        <v>319-3393</v>
      </c>
      <c r="E127" s="103">
        <v>100028948</v>
      </c>
      <c r="F127" s="376" t="str">
        <f>_xlfn.XLOOKUP(E127,'All Products'!D:D,'All Products'!E:E,FALSE)</f>
        <v>2 1/6 BEND DWV</v>
      </c>
      <c r="G127" s="232">
        <f>_xlfn.XLOOKUP(E127,'All Products'!D:D,'All Products'!F:F,FALSE)</f>
        <v>25</v>
      </c>
      <c r="H127" s="387">
        <f>_xlfn.XLOOKUP(E127,'All Products'!D:D,'All Products'!G:G,FALSE)</f>
        <v>1575</v>
      </c>
      <c r="I127" s="369">
        <f>_xlfn.XLOOKUP(E127,'All Products'!D:D,'All Products'!H:H,FALSE)</f>
        <v>78.209999999999994</v>
      </c>
      <c r="J127" s="183">
        <f>IFERROR(ROUNDUP(I127*Order_Quote!$L$2,2),0)</f>
        <v>78.209999999999994</v>
      </c>
      <c r="K127" s="118"/>
      <c r="L127" s="76"/>
      <c r="M127" s="104">
        <f t="shared" si="2"/>
        <v>0</v>
      </c>
      <c r="O127" s="379" t="str">
        <f>_xlfn.XLOOKUP(E127,'All Products'!D:D,'All Products'!I:I,FALSE)</f>
        <v>Within 3 Weeks</v>
      </c>
      <c r="P127" s="379" t="str">
        <f>_xlfn.XLOOKUP(E127,'All Products'!D:D,'All Products'!J:J,FALSE)</f>
        <v>Manufactured</v>
      </c>
      <c r="Q127" s="397">
        <f>_xlfn.XLOOKUP(F127,'All Products'!E:E,'All Products'!K:K,FALSE)</f>
        <v>812361012413</v>
      </c>
      <c r="R127" s="397" t="str">
        <f>_xlfn.XLOOKUP(E127,'All Products'!D:D,'All Products'!L:L,FALSE)</f>
        <v>-</v>
      </c>
      <c r="S127" s="397">
        <f>_xlfn.XLOOKUP(E127,'All Products'!D:D,'All Products'!M:M,FALSE)</f>
        <v>812361012420</v>
      </c>
      <c r="T127" s="384">
        <f>_xlfn.XLOOKUP(E127,'All Products'!D:D,'All Products'!N:N,FALSE)</f>
        <v>0.309</v>
      </c>
      <c r="U127" s="384">
        <f>_xlfn.XLOOKUP(E127,'All Products'!D:D,'All Products'!P:P,FALSE)</f>
        <v>7.7249999999999996</v>
      </c>
      <c r="V127" s="384">
        <f>_xlfn.XLOOKUP(E127,'All Products'!D:D,'All Products'!Q:Q,FALSE)</f>
        <v>0.66940792428507967</v>
      </c>
    </row>
    <row r="128" spans="1:22">
      <c r="A128" s="5" t="str">
        <f>IF(K128&gt;0,COUNT($A$8:A127)+1,"")</f>
        <v/>
      </c>
      <c r="B128" s="646"/>
      <c r="C128" s="647"/>
      <c r="D128" s="369" t="str">
        <f>_xlfn.XLOOKUP(E128,'All Products'!D:D,'All Products'!C:C,FALSE)</f>
        <v>319-3394</v>
      </c>
      <c r="E128" s="103">
        <v>100028949</v>
      </c>
      <c r="F128" s="376" t="str">
        <f>_xlfn.XLOOKUP(E128,'All Products'!D:D,'All Products'!E:E,FALSE)</f>
        <v>3 1/6 BEND DWV</v>
      </c>
      <c r="G128" s="232">
        <f>_xlfn.XLOOKUP(E128,'All Products'!D:D,'All Products'!F:F,FALSE)</f>
        <v>20</v>
      </c>
      <c r="H128" s="387">
        <f>_xlfn.XLOOKUP(E128,'All Products'!D:D,'All Products'!G:G,FALSE)</f>
        <v>640</v>
      </c>
      <c r="I128" s="369">
        <f>_xlfn.XLOOKUP(E128,'All Products'!D:D,'All Products'!H:H,FALSE)</f>
        <v>288.89999999999998</v>
      </c>
      <c r="J128" s="183">
        <f>IFERROR(ROUNDUP(I128*Order_Quote!$L$2,2),0)</f>
        <v>288.89999999999998</v>
      </c>
      <c r="K128" s="118"/>
      <c r="L128" s="76"/>
      <c r="M128" s="104">
        <f t="shared" si="2"/>
        <v>0</v>
      </c>
      <c r="O128" s="379" t="str">
        <f>_xlfn.XLOOKUP(E128,'All Products'!D:D,'All Products'!I:I,FALSE)</f>
        <v>In Stock</v>
      </c>
      <c r="P128" s="379" t="str">
        <f>_xlfn.XLOOKUP(E128,'All Products'!D:D,'All Products'!J:J,FALSE)</f>
        <v>Manufactured</v>
      </c>
      <c r="Q128" s="397">
        <f>_xlfn.XLOOKUP(F128,'All Products'!E:E,'All Products'!K:K,FALSE)</f>
        <v>812361012437</v>
      </c>
      <c r="R128" s="397" t="str">
        <f>_xlfn.XLOOKUP(E128,'All Products'!D:D,'All Products'!L:L,FALSE)</f>
        <v>-</v>
      </c>
      <c r="S128" s="397">
        <f>_xlfn.XLOOKUP(E128,'All Products'!D:D,'All Products'!M:M,FALSE)</f>
        <v>812361012444</v>
      </c>
      <c r="T128" s="384">
        <f>_xlfn.XLOOKUP(E128,'All Products'!D:D,'All Products'!N:N,FALSE)</f>
        <v>0.93500000000000005</v>
      </c>
      <c r="U128" s="384">
        <f>_xlfn.XLOOKUP(E128,'All Products'!D:D,'All Products'!P:P,FALSE)</f>
        <v>18.700000000000003</v>
      </c>
      <c r="V128" s="384">
        <f>_xlfn.XLOOKUP(E128,'All Products'!D:D,'All Products'!Q:Q,FALSE)</f>
        <v>1.3788503419060438</v>
      </c>
    </row>
    <row r="129" spans="1:22">
      <c r="A129" s="5" t="str">
        <f>IF(K129&gt;0,COUNT($A$8:A128)+1,"")</f>
        <v/>
      </c>
      <c r="B129" s="652"/>
      <c r="C129" s="653"/>
      <c r="D129" s="369" t="str">
        <f>_xlfn.XLOOKUP(E129,'All Products'!D:D,'All Products'!C:C,FALSE)</f>
        <v>319-3395</v>
      </c>
      <c r="E129" s="103">
        <v>100028950</v>
      </c>
      <c r="F129" s="376" t="str">
        <f>_xlfn.XLOOKUP(E129,'All Products'!D:D,'All Products'!E:E,FALSE)</f>
        <v>4 1/6 BEND DWV</v>
      </c>
      <c r="G129" s="232">
        <f>_xlfn.XLOOKUP(E129,'All Products'!D:D,'All Products'!F:F,FALSE)</f>
        <v>10</v>
      </c>
      <c r="H129" s="387">
        <f>_xlfn.XLOOKUP(E129,'All Products'!D:D,'All Products'!G:G,FALSE)</f>
        <v>320</v>
      </c>
      <c r="I129" s="369">
        <f>_xlfn.XLOOKUP(E129,'All Products'!D:D,'All Products'!H:H,FALSE)</f>
        <v>385.06</v>
      </c>
      <c r="J129" s="183">
        <f>IFERROR(ROUNDUP(I129*Order_Quote!$L$2,2),0)</f>
        <v>385.06</v>
      </c>
      <c r="K129" s="118"/>
      <c r="L129" s="76"/>
      <c r="M129" s="104">
        <f t="shared" si="2"/>
        <v>0</v>
      </c>
      <c r="O129" s="379" t="str">
        <f>_xlfn.XLOOKUP(E129,'All Products'!D:D,'All Products'!I:I,FALSE)</f>
        <v>In Stock</v>
      </c>
      <c r="P129" s="379" t="str">
        <f>_xlfn.XLOOKUP(E129,'All Products'!D:D,'All Products'!J:J,FALSE)</f>
        <v>Manufactured</v>
      </c>
      <c r="Q129" s="397">
        <f>_xlfn.XLOOKUP(F129,'All Products'!E:E,'All Products'!K:K,FALSE)</f>
        <v>812361012451</v>
      </c>
      <c r="R129" s="397" t="str">
        <f>_xlfn.XLOOKUP(E129,'All Products'!D:D,'All Products'!L:L,FALSE)</f>
        <v>-</v>
      </c>
      <c r="S129" s="397">
        <f>_xlfn.XLOOKUP(E129,'All Products'!D:D,'All Products'!M:M,FALSE)</f>
        <v>812361012468</v>
      </c>
      <c r="T129" s="384">
        <f>_xlfn.XLOOKUP(E129,'All Products'!D:D,'All Products'!N:N,FALSE)</f>
        <v>1.66</v>
      </c>
      <c r="U129" s="384">
        <f>_xlfn.XLOOKUP(E129,'All Products'!D:D,'All Products'!P:P,FALSE)</f>
        <v>16.599999999999998</v>
      </c>
      <c r="V129" s="384">
        <f>_xlfn.XLOOKUP(E129,'All Products'!D:D,'All Products'!Q:Q,FALSE)</f>
        <v>1.3788503419060438</v>
      </c>
    </row>
    <row r="130" spans="1:22">
      <c r="A130" s="5" t="str">
        <f>IF(K130&gt;0,COUNT($A$8:A129)+1,"")</f>
        <v/>
      </c>
      <c r="B130" s="644"/>
      <c r="C130" s="645"/>
      <c r="D130" s="369" t="str">
        <f>_xlfn.XLOOKUP(E130,'All Products'!D:D,'All Products'!C:C,FALSE)</f>
        <v>320-3396</v>
      </c>
      <c r="E130" s="103">
        <v>300005659</v>
      </c>
      <c r="F130" s="376" t="str">
        <f>_xlfn.XLOOKUP(E130,'All Products'!D:D,'All Products'!E:E,FALSE)</f>
        <v>1-1/2 1/6 BEND STREET DWV</v>
      </c>
      <c r="G130" s="232">
        <f>_xlfn.XLOOKUP(E130,'All Products'!D:D,'All Products'!F:F,FALSE)</f>
        <v>40</v>
      </c>
      <c r="H130" s="387">
        <f>_xlfn.XLOOKUP(E130,'All Products'!D:D,'All Products'!G:G,FALSE)</f>
        <v>3200</v>
      </c>
      <c r="I130" s="369" t="str">
        <f>_xlfn.XLOOKUP(E130,'All Products'!D:D,'All Products'!H:H,FALSE)</f>
        <v>Quote Required</v>
      </c>
      <c r="J130" s="183">
        <f>IFERROR(ROUNDUP(I130*Order_Quote!$L$2,2),0)</f>
        <v>0</v>
      </c>
      <c r="K130" s="118"/>
      <c r="L130" s="76"/>
      <c r="M130" s="104">
        <f t="shared" si="2"/>
        <v>0</v>
      </c>
      <c r="O130" s="379" t="str">
        <f>_xlfn.XLOOKUP(E130,'All Products'!D:D,'All Products'!I:I,FALSE)</f>
        <v>Within 6 Weeks</v>
      </c>
      <c r="P130" s="379" t="str">
        <f>_xlfn.XLOOKUP(E130,'All Products'!D:D,'All Products'!J:J,FALSE)</f>
        <v>Sourced</v>
      </c>
      <c r="Q130" s="397">
        <f>_xlfn.XLOOKUP(F130,'All Products'!E:E,'All Products'!K:K,FALSE)</f>
        <v>812361012574</v>
      </c>
      <c r="R130" s="397" t="str">
        <f>_xlfn.XLOOKUP(E130,'All Products'!D:D,'All Products'!L:L,FALSE)</f>
        <v>-</v>
      </c>
      <c r="S130" s="397" t="str">
        <f>_xlfn.XLOOKUP(E130,'All Products'!D:D,'All Products'!M:M,FALSE)</f>
        <v>-</v>
      </c>
      <c r="T130" s="384">
        <f>_xlfn.XLOOKUP(E130,'All Products'!D:D,'All Products'!N:N,FALSE)</f>
        <v>0.16800000000000001</v>
      </c>
      <c r="U130" s="384">
        <f>_xlfn.XLOOKUP(E130,'All Products'!D:D,'All Products'!P:P,FALSE)</f>
        <v>6.7200000000000006</v>
      </c>
      <c r="V130" s="384" t="str">
        <f>_xlfn.XLOOKUP(E130,'All Products'!D:D,'All Products'!Q:Q,FALSE)</f>
        <v>-</v>
      </c>
    </row>
    <row r="131" spans="1:22">
      <c r="A131" s="5" t="str">
        <f>IF(K131&gt;0,COUNT($A$8:A130)+1,"")</f>
        <v/>
      </c>
      <c r="B131" s="646"/>
      <c r="C131" s="647"/>
      <c r="D131" s="369" t="str">
        <f>_xlfn.XLOOKUP(E131,'All Products'!D:D,'All Products'!C:C,FALSE)</f>
        <v>320-3397</v>
      </c>
      <c r="E131" s="103">
        <v>100028952</v>
      </c>
      <c r="F131" s="376" t="str">
        <f>_xlfn.XLOOKUP(E131,'All Products'!D:D,'All Products'!E:E,FALSE)</f>
        <v>2 1/6 BEND STREET DWV</v>
      </c>
      <c r="G131" s="232">
        <f>_xlfn.XLOOKUP(E131,'All Products'!D:D,'All Products'!F:F,FALSE)</f>
        <v>25</v>
      </c>
      <c r="H131" s="387">
        <f>_xlfn.XLOOKUP(E131,'All Products'!D:D,'All Products'!G:G,FALSE)</f>
        <v>1575</v>
      </c>
      <c r="I131" s="369">
        <f>_xlfn.XLOOKUP(E131,'All Products'!D:D,'All Products'!H:H,FALSE)</f>
        <v>157.16</v>
      </c>
      <c r="J131" s="183">
        <f>IFERROR(ROUNDUP(I131*Order_Quote!$L$2,2),0)</f>
        <v>157.16</v>
      </c>
      <c r="K131" s="118"/>
      <c r="L131" s="76"/>
      <c r="M131" s="104">
        <f t="shared" si="2"/>
        <v>0</v>
      </c>
      <c r="O131" s="379" t="str">
        <f>_xlfn.XLOOKUP(E131,'All Products'!D:D,'All Products'!I:I,FALSE)</f>
        <v>Within 3 Weeks</v>
      </c>
      <c r="P131" s="379" t="str">
        <f>_xlfn.XLOOKUP(E131,'All Products'!D:D,'All Products'!J:J,FALSE)</f>
        <v>Manufactured</v>
      </c>
      <c r="Q131" s="397">
        <f>_xlfn.XLOOKUP(F131,'All Products'!E:E,'All Products'!K:K,FALSE)</f>
        <v>812361012598</v>
      </c>
      <c r="R131" s="397" t="str">
        <f>_xlfn.XLOOKUP(E131,'All Products'!D:D,'All Products'!L:L,FALSE)</f>
        <v>-</v>
      </c>
      <c r="S131" s="397">
        <f>_xlfn.XLOOKUP(E131,'All Products'!D:D,'All Products'!M:M,FALSE)</f>
        <v>812361012604</v>
      </c>
      <c r="T131" s="384">
        <f>_xlfn.XLOOKUP(E131,'All Products'!D:D,'All Products'!N:N,FALSE)</f>
        <v>0.318</v>
      </c>
      <c r="U131" s="384">
        <f>_xlfn.XLOOKUP(E131,'All Products'!D:D,'All Products'!P:P,FALSE)</f>
        <v>7.95</v>
      </c>
      <c r="V131" s="384">
        <f>_xlfn.XLOOKUP(E131,'All Products'!D:D,'All Products'!Q:Q,FALSE)</f>
        <v>0.66940792428507967</v>
      </c>
    </row>
    <row r="132" spans="1:22">
      <c r="A132" s="5" t="str">
        <f>IF(K132&gt;0,COUNT($A$8:A131)+1,"")</f>
        <v/>
      </c>
      <c r="B132" s="646"/>
      <c r="C132" s="647"/>
      <c r="D132" s="369" t="str">
        <f>_xlfn.XLOOKUP(E132,'All Products'!D:D,'All Products'!C:C,FALSE)</f>
        <v>320-3398</v>
      </c>
      <c r="E132" s="103">
        <v>100028953</v>
      </c>
      <c r="F132" s="376" t="str">
        <f>_xlfn.XLOOKUP(E132,'All Products'!D:D,'All Products'!E:E,FALSE)</f>
        <v>3 1/6 BEND STREET DWV</v>
      </c>
      <c r="G132" s="232">
        <f>_xlfn.XLOOKUP(E132,'All Products'!D:D,'All Products'!F:F,FALSE)</f>
        <v>20</v>
      </c>
      <c r="H132" s="387">
        <f>_xlfn.XLOOKUP(E132,'All Products'!D:D,'All Products'!G:G,FALSE)</f>
        <v>480</v>
      </c>
      <c r="I132" s="369">
        <f>_xlfn.XLOOKUP(E132,'All Products'!D:D,'All Products'!H:H,FALSE)</f>
        <v>338.96</v>
      </c>
      <c r="J132" s="183">
        <f>IFERROR(ROUNDUP(I132*Order_Quote!$L$2,2),0)</f>
        <v>338.96</v>
      </c>
      <c r="K132" s="118"/>
      <c r="L132" s="76"/>
      <c r="M132" s="104">
        <f t="shared" si="2"/>
        <v>0</v>
      </c>
      <c r="O132" s="379" t="str">
        <f>_xlfn.XLOOKUP(E132,'All Products'!D:D,'All Products'!I:I,FALSE)</f>
        <v>In Stock</v>
      </c>
      <c r="P132" s="379" t="str">
        <f>_xlfn.XLOOKUP(E132,'All Products'!D:D,'All Products'!J:J,FALSE)</f>
        <v>Manufactured</v>
      </c>
      <c r="Q132" s="397">
        <f>_xlfn.XLOOKUP(F132,'All Products'!E:E,'All Products'!K:K,FALSE)</f>
        <v>812361012611</v>
      </c>
      <c r="R132" s="397" t="str">
        <f>_xlfn.XLOOKUP(E132,'All Products'!D:D,'All Products'!L:L,FALSE)</f>
        <v>-</v>
      </c>
      <c r="S132" s="397">
        <f>_xlfn.XLOOKUP(E132,'All Products'!D:D,'All Products'!M:M,FALSE)</f>
        <v>812361012628</v>
      </c>
      <c r="T132" s="384">
        <f>_xlfn.XLOOKUP(E132,'All Products'!D:D,'All Products'!N:N,FALSE)</f>
        <v>0.88800000000000001</v>
      </c>
      <c r="U132" s="384">
        <f>_xlfn.XLOOKUP(E132,'All Products'!D:D,'All Products'!P:P,FALSE)</f>
        <v>17.760000000000002</v>
      </c>
      <c r="V132" s="384">
        <f>_xlfn.XLOOKUP(E132,'All Products'!D:D,'All Products'!Q:Q,FALSE)</f>
        <v>1.8803145838984718</v>
      </c>
    </row>
    <row r="133" spans="1:22" ht="15" thickBot="1">
      <c r="A133" s="5" t="str">
        <f>IF(K133&gt;0,COUNT($A$8:A132)+1,"")</f>
        <v/>
      </c>
      <c r="B133" s="666"/>
      <c r="C133" s="667"/>
      <c r="D133" s="369" t="str">
        <f>_xlfn.XLOOKUP(E133,'All Products'!D:D,'All Products'!C:C,FALSE)</f>
        <v>320-3399</v>
      </c>
      <c r="E133" s="103">
        <v>300005660</v>
      </c>
      <c r="F133" s="376" t="str">
        <f>_xlfn.XLOOKUP(E133,'All Products'!D:D,'All Products'!E:E,FALSE)</f>
        <v>4 1/6 BEND STREET DWV</v>
      </c>
      <c r="G133" s="232">
        <f>_xlfn.XLOOKUP(E133,'All Products'!D:D,'All Products'!F:F,FALSE)</f>
        <v>10</v>
      </c>
      <c r="H133" s="387">
        <f>_xlfn.XLOOKUP(E133,'All Products'!D:D,'All Products'!G:G,FALSE)</f>
        <v>320</v>
      </c>
      <c r="I133" s="369" t="str">
        <f>_xlfn.XLOOKUP(E133,'All Products'!D:D,'All Products'!H:H,FALSE)</f>
        <v>Quote Required</v>
      </c>
      <c r="J133" s="183">
        <f>IFERROR(ROUNDUP(I133*Order_Quote!$L$2,2),0)</f>
        <v>0</v>
      </c>
      <c r="K133" s="118"/>
      <c r="L133" s="76"/>
      <c r="M133" s="104">
        <f t="shared" si="2"/>
        <v>0</v>
      </c>
      <c r="O133" s="379" t="str">
        <f>_xlfn.XLOOKUP(E133,'All Products'!D:D,'All Products'!I:I,FALSE)</f>
        <v>Within 6 Weeks</v>
      </c>
      <c r="P133" s="379" t="str">
        <f>_xlfn.XLOOKUP(E133,'All Products'!D:D,'All Products'!J:J,FALSE)</f>
        <v>Sourced</v>
      </c>
      <c r="Q133" s="504">
        <f>_xlfn.XLOOKUP(F133,'All Products'!E:E,'All Products'!K:K,FALSE)</f>
        <v>812361012635</v>
      </c>
      <c r="R133" s="397" t="str">
        <f>_xlfn.XLOOKUP(E133,'All Products'!D:D,'All Products'!L:L,FALSE)</f>
        <v>-</v>
      </c>
      <c r="S133" s="397" t="str">
        <f>_xlfn.XLOOKUP(E133,'All Products'!D:D,'All Products'!M:M,FALSE)</f>
        <v>-</v>
      </c>
      <c r="T133" s="384">
        <f>_xlfn.XLOOKUP(E133,'All Products'!D:D,'All Products'!N:N,FALSE)</f>
        <v>1.431</v>
      </c>
      <c r="U133" s="384">
        <f>_xlfn.XLOOKUP(E133,'All Products'!D:D,'All Products'!P:P,FALSE)</f>
        <v>14.31</v>
      </c>
      <c r="V133" s="384" t="str">
        <f>_xlfn.XLOOKUP(E133,'All Products'!D:D,'All Products'!Q:Q,FALSE)</f>
        <v>-</v>
      </c>
    </row>
    <row r="134" spans="1:22" s="17" customFormat="1" ht="16.2" thickBot="1">
      <c r="A134" s="5" t="str">
        <f>IF(K134&gt;0,COUNT($A$8:A133)+1,"")</f>
        <v/>
      </c>
      <c r="B134" s="446" t="s">
        <v>5855</v>
      </c>
      <c r="C134" s="151"/>
      <c r="D134" s="151"/>
      <c r="E134" s="459"/>
      <c r="F134" s="151"/>
      <c r="G134" s="468"/>
      <c r="H134" s="151"/>
      <c r="I134" s="472"/>
      <c r="J134" s="468"/>
      <c r="K134" s="477"/>
      <c r="L134" s="238"/>
      <c r="M134" s="476"/>
      <c r="O134" s="475"/>
      <c r="P134" s="145"/>
      <c r="Q134" s="492"/>
      <c r="R134" s="493"/>
      <c r="S134" s="493"/>
      <c r="T134" s="479"/>
      <c r="U134" s="459"/>
      <c r="V134" s="489"/>
    </row>
    <row r="135" spans="1:22">
      <c r="A135" s="5" t="str">
        <f>IF(K135&gt;0,COUNT($A$8:A134)+1,"")</f>
        <v/>
      </c>
      <c r="B135" s="664"/>
      <c r="C135" s="665"/>
      <c r="D135" s="369" t="str">
        <f>_xlfn.XLOOKUP(E135,'All Products'!D:D,'All Products'!C:C,FALSE)</f>
        <v>321-3401</v>
      </c>
      <c r="E135" s="103">
        <v>100028955</v>
      </c>
      <c r="F135" s="376" t="str">
        <f>_xlfn.XLOOKUP(E135,'All Products'!D:D,'All Products'!E:E,FALSE)</f>
        <v>1-1/2 1/8 BEND DWV</v>
      </c>
      <c r="G135" s="232">
        <f>_xlfn.XLOOKUP(E135,'All Products'!D:D,'All Products'!F:F,FALSE)</f>
        <v>100</v>
      </c>
      <c r="H135" s="387">
        <f>_xlfn.XLOOKUP(E135,'All Products'!D:D,'All Products'!G:G,FALSE)</f>
        <v>3200</v>
      </c>
      <c r="I135" s="369">
        <f>_xlfn.XLOOKUP(E135,'All Products'!D:D,'All Products'!H:H,FALSE)</f>
        <v>28.23</v>
      </c>
      <c r="J135" s="183">
        <f>IFERROR(ROUNDUP(I135*Order_Quote!$L$2,2),0)</f>
        <v>28.23</v>
      </c>
      <c r="K135" s="118"/>
      <c r="L135" s="76"/>
      <c r="M135" s="104">
        <f t="shared" si="2"/>
        <v>0</v>
      </c>
      <c r="O135" s="379" t="str">
        <f>_xlfn.XLOOKUP(E135,'All Products'!D:D,'All Products'!I:I,FALSE)</f>
        <v>In Stock</v>
      </c>
      <c r="P135" s="379" t="str">
        <f>_xlfn.XLOOKUP(E135,'All Products'!D:D,'All Products'!J:J,FALSE)</f>
        <v>Manufactured</v>
      </c>
      <c r="Q135" s="397">
        <f>_xlfn.XLOOKUP(F135,'All Products'!E:E,'All Products'!K:K,FALSE)</f>
        <v>810673012961</v>
      </c>
      <c r="R135" s="397" t="str">
        <f>_xlfn.XLOOKUP(E135,'All Products'!D:D,'All Products'!L:L,FALSE)</f>
        <v>-</v>
      </c>
      <c r="S135" s="397">
        <f>_xlfn.XLOOKUP(E135,'All Products'!D:D,'All Products'!M:M,FALSE)</f>
        <v>10810673012968</v>
      </c>
      <c r="T135" s="384">
        <f>_xlfn.XLOOKUP(E135,'All Products'!D:D,'All Products'!N:N,FALSE)</f>
        <v>0.20100000000000001</v>
      </c>
      <c r="U135" s="384">
        <f>_xlfn.XLOOKUP(E135,'All Products'!D:D,'All Products'!P:P,FALSE)</f>
        <v>20.100000000000001</v>
      </c>
      <c r="V135" s="384">
        <f>_xlfn.XLOOKUP(E135,'All Products'!D:D,'All Products'!Q:Q,FALSE)</f>
        <v>1.3788503419060438</v>
      </c>
    </row>
    <row r="136" spans="1:22">
      <c r="A136" s="5" t="str">
        <f>IF(K136&gt;0,COUNT($A$8:A135)+1,"")</f>
        <v/>
      </c>
      <c r="B136" s="646"/>
      <c r="C136" s="647"/>
      <c r="D136" s="369" t="str">
        <f>_xlfn.XLOOKUP(E136,'All Products'!D:D,'All Products'!C:C,FALSE)</f>
        <v>321-3402</v>
      </c>
      <c r="E136" s="103">
        <v>100028956</v>
      </c>
      <c r="F136" s="376" t="str">
        <f>_xlfn.XLOOKUP(E136,'All Products'!D:D,'All Products'!E:E,FALSE)</f>
        <v>2 1/8 BEND DWV</v>
      </c>
      <c r="G136" s="232">
        <f>_xlfn.XLOOKUP(E136,'All Products'!D:D,'All Products'!F:F,FALSE)</f>
        <v>50</v>
      </c>
      <c r="H136" s="387">
        <f>_xlfn.XLOOKUP(E136,'All Products'!D:D,'All Products'!G:G,FALSE)</f>
        <v>1600</v>
      </c>
      <c r="I136" s="369">
        <f>_xlfn.XLOOKUP(E136,'All Products'!D:D,'All Products'!H:H,FALSE)</f>
        <v>42.12</v>
      </c>
      <c r="J136" s="183">
        <f>IFERROR(ROUNDUP(I136*Order_Quote!$L$2,2),0)</f>
        <v>42.12</v>
      </c>
      <c r="K136" s="118"/>
      <c r="L136" s="76"/>
      <c r="M136" s="104">
        <f t="shared" si="2"/>
        <v>0</v>
      </c>
      <c r="O136" s="379" t="str">
        <f>_xlfn.XLOOKUP(E136,'All Products'!D:D,'All Products'!I:I,FALSE)</f>
        <v>In Stock</v>
      </c>
      <c r="P136" s="379" t="str">
        <f>_xlfn.XLOOKUP(E136,'All Products'!D:D,'All Products'!J:J,FALSE)</f>
        <v>Manufactured</v>
      </c>
      <c r="Q136" s="397">
        <f>_xlfn.XLOOKUP(F136,'All Products'!E:E,'All Products'!K:K,FALSE)</f>
        <v>810673012978</v>
      </c>
      <c r="R136" s="397" t="str">
        <f>_xlfn.XLOOKUP(E136,'All Products'!D:D,'All Products'!L:L,FALSE)</f>
        <v>-</v>
      </c>
      <c r="S136" s="397">
        <f>_xlfn.XLOOKUP(E136,'All Products'!D:D,'All Products'!M:M,FALSE)</f>
        <v>10810673012975</v>
      </c>
      <c r="T136" s="384">
        <f>_xlfn.XLOOKUP(E136,'All Products'!D:D,'All Products'!N:N,FALSE)</f>
        <v>0.35599999999999998</v>
      </c>
      <c r="U136" s="384">
        <f>_xlfn.XLOOKUP(E136,'All Products'!D:D,'All Products'!P:P,FALSE)</f>
        <v>17.8</v>
      </c>
      <c r="V136" s="384">
        <f>_xlfn.XLOOKUP(E136,'All Products'!D:D,'All Products'!Q:Q,FALSE)</f>
        <v>1.3788503419060438</v>
      </c>
    </row>
    <row r="137" spans="1:22">
      <c r="A137" s="5" t="str">
        <f>IF(K137&gt;0,COUNT($A$8:A136)+1,"")</f>
        <v/>
      </c>
      <c r="B137" s="646"/>
      <c r="C137" s="647"/>
      <c r="D137" s="369" t="str">
        <f>_xlfn.XLOOKUP(E137,'All Products'!D:D,'All Products'!C:C,FALSE)</f>
        <v>321-3403</v>
      </c>
      <c r="E137" s="103">
        <v>100028957</v>
      </c>
      <c r="F137" s="376" t="str">
        <f>_xlfn.XLOOKUP(E137,'All Products'!D:D,'All Products'!E:E,FALSE)</f>
        <v>3 1/8 BEND DWV</v>
      </c>
      <c r="G137" s="232">
        <f>_xlfn.XLOOKUP(E137,'All Products'!D:D,'All Products'!F:F,FALSE)</f>
        <v>20</v>
      </c>
      <c r="H137" s="387">
        <f>_xlfn.XLOOKUP(E137,'All Products'!D:D,'All Products'!G:G,FALSE)</f>
        <v>480</v>
      </c>
      <c r="I137" s="369">
        <f>_xlfn.XLOOKUP(E137,'All Products'!D:D,'All Products'!H:H,FALSE)</f>
        <v>119.59</v>
      </c>
      <c r="J137" s="183">
        <f>IFERROR(ROUNDUP(I137*Order_Quote!$L$2,2),0)</f>
        <v>119.59</v>
      </c>
      <c r="K137" s="118"/>
      <c r="L137" s="76"/>
      <c r="M137" s="104">
        <f t="shared" si="2"/>
        <v>0</v>
      </c>
      <c r="O137" s="379" t="str">
        <f>_xlfn.XLOOKUP(E137,'All Products'!D:D,'All Products'!I:I,FALSE)</f>
        <v>In Stock</v>
      </c>
      <c r="P137" s="379" t="str">
        <f>_xlfn.XLOOKUP(E137,'All Products'!D:D,'All Products'!J:J,FALSE)</f>
        <v>Manufactured</v>
      </c>
      <c r="Q137" s="397">
        <f>_xlfn.XLOOKUP(F137,'All Products'!E:E,'All Products'!K:K,FALSE)</f>
        <v>810673012985</v>
      </c>
      <c r="R137" s="397" t="str">
        <f>_xlfn.XLOOKUP(E137,'All Products'!D:D,'All Products'!L:L,FALSE)</f>
        <v>-</v>
      </c>
      <c r="S137" s="397">
        <f>_xlfn.XLOOKUP(E137,'All Products'!D:D,'All Products'!M:M,FALSE)</f>
        <v>10810673012982</v>
      </c>
      <c r="T137" s="384">
        <f>_xlfn.XLOOKUP(E137,'All Products'!D:D,'All Products'!N:N,FALSE)</f>
        <v>1.0109999999999999</v>
      </c>
      <c r="U137" s="384">
        <f>_xlfn.XLOOKUP(E137,'All Products'!D:D,'All Products'!P:P,FALSE)</f>
        <v>20.22</v>
      </c>
      <c r="V137" s="384">
        <f>_xlfn.XLOOKUP(E137,'All Products'!D:D,'All Products'!Q:Q,FALSE)</f>
        <v>1.8803145838984718</v>
      </c>
    </row>
    <row r="138" spans="1:22">
      <c r="A138" s="5" t="str">
        <f>IF(K138&gt;0,COUNT($A$8:A137)+1,"")</f>
        <v/>
      </c>
      <c r="B138" s="646"/>
      <c r="C138" s="647"/>
      <c r="D138" s="369" t="str">
        <f>_xlfn.XLOOKUP(E138,'All Products'!D:D,'All Products'!C:C,FALSE)</f>
        <v>321-3404</v>
      </c>
      <c r="E138" s="103">
        <v>100028958</v>
      </c>
      <c r="F138" s="376" t="str">
        <f>_xlfn.XLOOKUP(E138,'All Products'!D:D,'All Products'!E:E,FALSE)</f>
        <v>4 1/8 BEND DWV</v>
      </c>
      <c r="G138" s="232">
        <f>_xlfn.XLOOKUP(E138,'All Products'!D:D,'All Products'!F:F,FALSE)</f>
        <v>10</v>
      </c>
      <c r="H138" s="387">
        <f>_xlfn.XLOOKUP(E138,'All Products'!D:D,'All Products'!G:G,FALSE)</f>
        <v>240</v>
      </c>
      <c r="I138" s="369">
        <f>_xlfn.XLOOKUP(E138,'All Products'!D:D,'All Products'!H:H,FALSE)</f>
        <v>219.08</v>
      </c>
      <c r="J138" s="183">
        <f>IFERROR(ROUNDUP(I138*Order_Quote!$L$2,2),0)</f>
        <v>219.08</v>
      </c>
      <c r="K138" s="118"/>
      <c r="L138" s="76"/>
      <c r="M138" s="104">
        <f t="shared" si="2"/>
        <v>0</v>
      </c>
      <c r="O138" s="379" t="str">
        <f>_xlfn.XLOOKUP(E138,'All Products'!D:D,'All Products'!I:I,FALSE)</f>
        <v>In Stock</v>
      </c>
      <c r="P138" s="379" t="str">
        <f>_xlfn.XLOOKUP(E138,'All Products'!D:D,'All Products'!J:J,FALSE)</f>
        <v>Manufactured</v>
      </c>
      <c r="Q138" s="397">
        <f>_xlfn.XLOOKUP(F138,'All Products'!E:E,'All Products'!K:K,FALSE)</f>
        <v>810673012992</v>
      </c>
      <c r="R138" s="397" t="str">
        <f>_xlfn.XLOOKUP(E138,'All Products'!D:D,'All Products'!L:L,FALSE)</f>
        <v>-</v>
      </c>
      <c r="S138" s="397">
        <f>_xlfn.XLOOKUP(E138,'All Products'!D:D,'All Products'!M:M,FALSE)</f>
        <v>10810673012999</v>
      </c>
      <c r="T138" s="384">
        <f>_xlfn.XLOOKUP(E138,'All Products'!D:D,'All Products'!N:N,FALSE)</f>
        <v>1.8540000000000001</v>
      </c>
      <c r="U138" s="384">
        <f>_xlfn.XLOOKUP(E138,'All Products'!D:D,'All Products'!P:P,FALSE)</f>
        <v>18.54</v>
      </c>
      <c r="V138" s="384">
        <f>_xlfn.XLOOKUP(E138,'All Products'!D:D,'All Products'!Q:Q,FALSE)</f>
        <v>1.8803145838984718</v>
      </c>
    </row>
    <row r="139" spans="1:22">
      <c r="A139" s="5" t="str">
        <f>IF(K139&gt;0,COUNT($A$8:A138)+1,"")</f>
        <v/>
      </c>
      <c r="B139" s="652"/>
      <c r="C139" s="653"/>
      <c r="D139" s="369" t="str">
        <f>_xlfn.XLOOKUP(E139,'All Products'!D:D,'All Products'!C:C,FALSE)</f>
        <v>321-3405</v>
      </c>
      <c r="E139" s="103">
        <v>100028959</v>
      </c>
      <c r="F139" s="376" t="str">
        <f>_xlfn.XLOOKUP(E139,'All Products'!D:D,'All Products'!E:E,FALSE)</f>
        <v>6 1/8 BEND DWV</v>
      </c>
      <c r="G139" s="232">
        <f>_xlfn.XLOOKUP(E139,'All Products'!D:D,'All Products'!F:F,FALSE)</f>
        <v>3</v>
      </c>
      <c r="H139" s="387">
        <f>_xlfn.XLOOKUP(E139,'All Products'!D:D,'All Products'!G:G,FALSE)</f>
        <v>72</v>
      </c>
      <c r="I139" s="369">
        <f>_xlfn.XLOOKUP(E139,'All Products'!D:D,'All Products'!H:H,FALSE)</f>
        <v>811.2</v>
      </c>
      <c r="J139" s="183">
        <f>IFERROR(ROUNDUP(I139*Order_Quote!$L$2,2),0)</f>
        <v>811.2</v>
      </c>
      <c r="K139" s="118"/>
      <c r="L139" s="76"/>
      <c r="M139" s="104">
        <f t="shared" si="2"/>
        <v>0</v>
      </c>
      <c r="O139" s="379" t="str">
        <f>_xlfn.XLOOKUP(E139,'All Products'!D:D,'All Products'!I:I,FALSE)</f>
        <v>In Stock</v>
      </c>
      <c r="P139" s="379" t="str">
        <f>_xlfn.XLOOKUP(E139,'All Products'!D:D,'All Products'!J:J,FALSE)</f>
        <v>Manufactured</v>
      </c>
      <c r="Q139" s="397">
        <f>_xlfn.XLOOKUP(F139,'All Products'!E:E,'All Products'!K:K,FALSE)</f>
        <v>810673015429</v>
      </c>
      <c r="R139" s="397" t="str">
        <f>_xlfn.XLOOKUP(E139,'All Products'!D:D,'All Products'!L:L,FALSE)</f>
        <v>-</v>
      </c>
      <c r="S139" s="397">
        <f>_xlfn.XLOOKUP(E139,'All Products'!D:D,'All Products'!M:M,FALSE)</f>
        <v>810673015436</v>
      </c>
      <c r="T139" s="384">
        <f>_xlfn.XLOOKUP(E139,'All Products'!D:D,'All Products'!N:N,FALSE)</f>
        <v>3.9820000000000002</v>
      </c>
      <c r="U139" s="384">
        <f>_xlfn.XLOOKUP(E139,'All Products'!D:D,'All Products'!P:P,FALSE)</f>
        <v>11.946000000000002</v>
      </c>
      <c r="V139" s="384">
        <f>_xlfn.XLOOKUP(E139,'All Products'!D:D,'All Products'!Q:Q,FALSE)</f>
        <v>1.8803145838984718</v>
      </c>
    </row>
    <row r="140" spans="1:22">
      <c r="A140" s="5" t="str">
        <f>IF(K140&gt;0,COUNT($A$8:A139)+1,"")</f>
        <v/>
      </c>
      <c r="B140" s="644"/>
      <c r="C140" s="645"/>
      <c r="D140" s="369" t="str">
        <f>_xlfn.XLOOKUP(E140,'All Products'!D:D,'All Products'!C:C,FALSE)</f>
        <v>323-3408</v>
      </c>
      <c r="E140" s="103">
        <v>100028960</v>
      </c>
      <c r="F140" s="376" t="str">
        <f>_xlfn.XLOOKUP(E140,'All Products'!D:D,'All Products'!E:E,FALSE)</f>
        <v>1-1/2 1/8 BEND STREET DWV</v>
      </c>
      <c r="G140" s="232">
        <f>_xlfn.XLOOKUP(E140,'All Products'!D:D,'All Products'!F:F,FALSE)</f>
        <v>100</v>
      </c>
      <c r="H140" s="387">
        <f>_xlfn.XLOOKUP(E140,'All Products'!D:D,'All Products'!G:G,FALSE)</f>
        <v>3200</v>
      </c>
      <c r="I140" s="369">
        <f>_xlfn.XLOOKUP(E140,'All Products'!D:D,'All Products'!H:H,FALSE)</f>
        <v>27.07</v>
      </c>
      <c r="J140" s="183">
        <f>IFERROR(ROUNDUP(I140*Order_Quote!$L$2,2),0)</f>
        <v>27.07</v>
      </c>
      <c r="K140" s="118"/>
      <c r="L140" s="76"/>
      <c r="M140" s="104">
        <f t="shared" si="2"/>
        <v>0</v>
      </c>
      <c r="O140" s="379" t="str">
        <f>_xlfn.XLOOKUP(E140,'All Products'!D:D,'All Products'!I:I,FALSE)</f>
        <v>In Stock</v>
      </c>
      <c r="P140" s="379" t="str">
        <f>_xlfn.XLOOKUP(E140,'All Products'!D:D,'All Products'!J:J,FALSE)</f>
        <v>Manufactured</v>
      </c>
      <c r="Q140" s="397">
        <f>_xlfn.XLOOKUP(F140,'All Products'!E:E,'All Products'!K:K,FALSE)</f>
        <v>810673013982</v>
      </c>
      <c r="R140" s="397" t="str">
        <f>_xlfn.XLOOKUP(E140,'All Products'!D:D,'All Products'!L:L,FALSE)</f>
        <v>-</v>
      </c>
      <c r="S140" s="397">
        <f>_xlfn.XLOOKUP(E140,'All Products'!D:D,'All Products'!M:M,FALSE)</f>
        <v>10810673013989</v>
      </c>
      <c r="T140" s="384">
        <f>_xlfn.XLOOKUP(E140,'All Products'!D:D,'All Products'!N:N,FALSE)</f>
        <v>0.192</v>
      </c>
      <c r="U140" s="384">
        <f>_xlfn.XLOOKUP(E140,'All Products'!D:D,'All Products'!P:P,FALSE)</f>
        <v>19.2</v>
      </c>
      <c r="V140" s="384">
        <f>_xlfn.XLOOKUP(E140,'All Products'!D:D,'All Products'!Q:Q,FALSE)</f>
        <v>1.3788503419060438</v>
      </c>
    </row>
    <row r="141" spans="1:22">
      <c r="A141" s="5" t="str">
        <f>IF(K141&gt;0,COUNT($A$8:A140)+1,"")</f>
        <v/>
      </c>
      <c r="B141" s="646"/>
      <c r="C141" s="647"/>
      <c r="D141" s="369" t="str">
        <f>_xlfn.XLOOKUP(E141,'All Products'!D:D,'All Products'!C:C,FALSE)</f>
        <v>323-3409</v>
      </c>
      <c r="E141" s="103">
        <v>100028961</v>
      </c>
      <c r="F141" s="376" t="str">
        <f>_xlfn.XLOOKUP(E141,'All Products'!D:D,'All Products'!E:E,FALSE)</f>
        <v>2 1/8 BEND STREET DWV</v>
      </c>
      <c r="G141" s="232">
        <f>_xlfn.XLOOKUP(E141,'All Products'!D:D,'All Products'!F:F,FALSE)</f>
        <v>50</v>
      </c>
      <c r="H141" s="387">
        <f>_xlfn.XLOOKUP(E141,'All Products'!D:D,'All Products'!G:G,FALSE)</f>
        <v>1600</v>
      </c>
      <c r="I141" s="369">
        <f>_xlfn.XLOOKUP(E141,'All Products'!D:D,'All Products'!H:H,FALSE)</f>
        <v>42.94</v>
      </c>
      <c r="J141" s="183">
        <f>IFERROR(ROUNDUP(I141*Order_Quote!$L$2,2),0)</f>
        <v>42.94</v>
      </c>
      <c r="K141" s="118"/>
      <c r="L141" s="76"/>
      <c r="M141" s="104">
        <f t="shared" si="2"/>
        <v>0</v>
      </c>
      <c r="O141" s="379" t="str">
        <f>_xlfn.XLOOKUP(E141,'All Products'!D:D,'All Products'!I:I,FALSE)</f>
        <v>In Stock</v>
      </c>
      <c r="P141" s="379" t="str">
        <f>_xlfn.XLOOKUP(E141,'All Products'!D:D,'All Products'!J:J,FALSE)</f>
        <v>Manufactured</v>
      </c>
      <c r="Q141" s="397">
        <f>_xlfn.XLOOKUP(F141,'All Products'!E:E,'All Products'!K:K,FALSE)</f>
        <v>810673013999</v>
      </c>
      <c r="R141" s="397" t="str">
        <f>_xlfn.XLOOKUP(E141,'All Products'!D:D,'All Products'!L:L,FALSE)</f>
        <v>-</v>
      </c>
      <c r="S141" s="397">
        <f>_xlfn.XLOOKUP(E141,'All Products'!D:D,'All Products'!M:M,FALSE)</f>
        <v>10810673013996</v>
      </c>
      <c r="T141" s="384">
        <f>_xlfn.XLOOKUP(E141,'All Products'!D:D,'All Products'!N:N,FALSE)</f>
        <v>0.31</v>
      </c>
      <c r="U141" s="384">
        <f>_xlfn.XLOOKUP(E141,'All Products'!D:D,'All Products'!P:P,FALSE)</f>
        <v>15.5</v>
      </c>
      <c r="V141" s="384">
        <f>_xlfn.XLOOKUP(E141,'All Products'!D:D,'All Products'!Q:Q,FALSE)</f>
        <v>1.3788503419060438</v>
      </c>
    </row>
    <row r="142" spans="1:22">
      <c r="A142" s="5" t="str">
        <f>IF(K142&gt;0,COUNT($A$8:A141)+1,"")</f>
        <v/>
      </c>
      <c r="B142" s="646"/>
      <c r="C142" s="647"/>
      <c r="D142" s="369" t="str">
        <f>_xlfn.XLOOKUP(E142,'All Products'!D:D,'All Products'!C:C,FALSE)</f>
        <v>323-3410</v>
      </c>
      <c r="E142" s="103">
        <v>100028962</v>
      </c>
      <c r="F142" s="376" t="str">
        <f>_xlfn.XLOOKUP(E142,'All Products'!D:D,'All Products'!E:E,FALSE)</f>
        <v>3 1/8 BEND STREET DWV</v>
      </c>
      <c r="G142" s="232">
        <f>_xlfn.XLOOKUP(E142,'All Products'!D:D,'All Products'!F:F,FALSE)</f>
        <v>20</v>
      </c>
      <c r="H142" s="387">
        <f>_xlfn.XLOOKUP(E142,'All Products'!D:D,'All Products'!G:G,FALSE)</f>
        <v>480</v>
      </c>
      <c r="I142" s="369">
        <f>_xlfn.XLOOKUP(E142,'All Products'!D:D,'All Products'!H:H,FALSE)</f>
        <v>113.39</v>
      </c>
      <c r="J142" s="183">
        <f>IFERROR(ROUNDUP(I142*Order_Quote!$L$2,2),0)</f>
        <v>113.39</v>
      </c>
      <c r="K142" s="118"/>
      <c r="L142" s="76"/>
      <c r="M142" s="104">
        <f t="shared" si="2"/>
        <v>0</v>
      </c>
      <c r="O142" s="379" t="str">
        <f>_xlfn.XLOOKUP(E142,'All Products'!D:D,'All Products'!I:I,FALSE)</f>
        <v>In Stock</v>
      </c>
      <c r="P142" s="379" t="str">
        <f>_xlfn.XLOOKUP(E142,'All Products'!D:D,'All Products'!J:J,FALSE)</f>
        <v>Manufactured</v>
      </c>
      <c r="Q142" s="397">
        <f>_xlfn.XLOOKUP(F142,'All Products'!E:E,'All Products'!K:K,FALSE)</f>
        <v>810673014002</v>
      </c>
      <c r="R142" s="397" t="str">
        <f>_xlfn.XLOOKUP(E142,'All Products'!D:D,'All Products'!L:L,FALSE)</f>
        <v>-</v>
      </c>
      <c r="S142" s="397">
        <f>_xlfn.XLOOKUP(E142,'All Products'!D:D,'All Products'!M:M,FALSE)</f>
        <v>10810673014009</v>
      </c>
      <c r="T142" s="384">
        <f>_xlfn.XLOOKUP(E142,'All Products'!D:D,'All Products'!N:N,FALSE)</f>
        <v>0.93200000000000005</v>
      </c>
      <c r="U142" s="384">
        <f>_xlfn.XLOOKUP(E142,'All Products'!D:D,'All Products'!P:P,FALSE)</f>
        <v>18.64</v>
      </c>
      <c r="V142" s="384">
        <f>_xlfn.XLOOKUP(E142,'All Products'!D:D,'All Products'!Q:Q,FALSE)</f>
        <v>1.8803145838984718</v>
      </c>
    </row>
    <row r="143" spans="1:22">
      <c r="A143" s="5" t="str">
        <f>IF(K143&gt;0,COUNT($A$8:A142)+1,"")</f>
        <v/>
      </c>
      <c r="B143" s="646"/>
      <c r="C143" s="647"/>
      <c r="D143" s="369" t="str">
        <f>_xlfn.XLOOKUP(E143,'All Products'!D:D,'All Products'!C:C,FALSE)</f>
        <v>323-3411</v>
      </c>
      <c r="E143" s="103">
        <v>100028963</v>
      </c>
      <c r="F143" s="376" t="str">
        <f>_xlfn.XLOOKUP(E143,'All Products'!D:D,'All Products'!E:E,FALSE)</f>
        <v>4 1/8 BEND STREET DWV</v>
      </c>
      <c r="G143" s="232">
        <f>_xlfn.XLOOKUP(E143,'All Products'!D:D,'All Products'!F:F,FALSE)</f>
        <v>10</v>
      </c>
      <c r="H143" s="387">
        <f>_xlfn.XLOOKUP(E143,'All Products'!D:D,'All Products'!G:G,FALSE)</f>
        <v>240</v>
      </c>
      <c r="I143" s="369">
        <f>_xlfn.XLOOKUP(E143,'All Products'!D:D,'All Products'!H:H,FALSE)</f>
        <v>194.41</v>
      </c>
      <c r="J143" s="183">
        <f>IFERROR(ROUNDUP(I143*Order_Quote!$L$2,2),0)</f>
        <v>194.41</v>
      </c>
      <c r="K143" s="118"/>
      <c r="L143" s="76"/>
      <c r="M143" s="104">
        <f t="shared" si="2"/>
        <v>0</v>
      </c>
      <c r="O143" s="379" t="str">
        <f>_xlfn.XLOOKUP(E143,'All Products'!D:D,'All Products'!I:I,FALSE)</f>
        <v>In Stock</v>
      </c>
      <c r="P143" s="379" t="str">
        <f>_xlfn.XLOOKUP(E143,'All Products'!D:D,'All Products'!J:J,FALSE)</f>
        <v>Manufactured</v>
      </c>
      <c r="Q143" s="397">
        <f>_xlfn.XLOOKUP(F143,'All Products'!E:E,'All Products'!K:K,FALSE)</f>
        <v>810673014019</v>
      </c>
      <c r="R143" s="397" t="str">
        <f>_xlfn.XLOOKUP(E143,'All Products'!D:D,'All Products'!L:L,FALSE)</f>
        <v>-</v>
      </c>
      <c r="S143" s="397">
        <f>_xlfn.XLOOKUP(E143,'All Products'!D:D,'All Products'!M:M,FALSE)</f>
        <v>10810673014016</v>
      </c>
      <c r="T143" s="384">
        <f>_xlfn.XLOOKUP(E143,'All Products'!D:D,'All Products'!N:N,FALSE)</f>
        <v>1.6879999999999999</v>
      </c>
      <c r="U143" s="384">
        <f>_xlfn.XLOOKUP(E143,'All Products'!D:D,'All Products'!P:P,FALSE)</f>
        <v>16.88</v>
      </c>
      <c r="V143" s="384">
        <f>_xlfn.XLOOKUP(E143,'All Products'!D:D,'All Products'!Q:Q,FALSE)</f>
        <v>1.8803145838984718</v>
      </c>
    </row>
    <row r="144" spans="1:22" ht="15" thickBot="1">
      <c r="A144" s="5" t="str">
        <f>IF(K144&gt;0,COUNT($A$8:A143)+1,"")</f>
        <v/>
      </c>
      <c r="B144" s="666"/>
      <c r="C144" s="667"/>
      <c r="D144" s="369" t="str">
        <f>_xlfn.XLOOKUP(E144,'All Products'!D:D,'All Products'!C:C,FALSE)</f>
        <v>323-3412</v>
      </c>
      <c r="E144" s="103">
        <v>100028964</v>
      </c>
      <c r="F144" s="376" t="str">
        <f>_xlfn.XLOOKUP(E144,'All Products'!D:D,'All Products'!E:E,FALSE)</f>
        <v>6 1/8 BEND STREET DWV</v>
      </c>
      <c r="G144" s="232">
        <f>_xlfn.XLOOKUP(E144,'All Products'!D:D,'All Products'!F:F,FALSE)</f>
        <v>3</v>
      </c>
      <c r="H144" s="387">
        <f>_xlfn.XLOOKUP(E144,'All Products'!D:D,'All Products'!G:G,FALSE)</f>
        <v>96</v>
      </c>
      <c r="I144" s="369">
        <f>_xlfn.XLOOKUP(E144,'All Products'!D:D,'All Products'!H:H,FALSE)</f>
        <v>960.8</v>
      </c>
      <c r="J144" s="183">
        <f>IFERROR(ROUNDUP(I144*Order_Quote!$L$2,2),0)</f>
        <v>960.8</v>
      </c>
      <c r="K144" s="118"/>
      <c r="L144" s="76"/>
      <c r="M144" s="104">
        <f t="shared" si="2"/>
        <v>0</v>
      </c>
      <c r="O144" s="379" t="str">
        <f>_xlfn.XLOOKUP(E144,'All Products'!D:D,'All Products'!I:I,FALSE)</f>
        <v>In Stock</v>
      </c>
      <c r="P144" s="379" t="str">
        <f>_xlfn.XLOOKUP(E144,'All Products'!D:D,'All Products'!J:J,FALSE)</f>
        <v>Manufactured</v>
      </c>
      <c r="Q144" s="504">
        <f>_xlfn.XLOOKUP(F144,'All Products'!E:E,'All Products'!K:K,FALSE)</f>
        <v>810673011438</v>
      </c>
      <c r="R144" s="397" t="str">
        <f>_xlfn.XLOOKUP(E144,'All Products'!D:D,'All Products'!L:L,FALSE)</f>
        <v>-</v>
      </c>
      <c r="S144" s="397">
        <f>_xlfn.XLOOKUP(E144,'All Products'!D:D,'All Products'!M:M,FALSE)</f>
        <v>810673015412</v>
      </c>
      <c r="T144" s="384">
        <f>_xlfn.XLOOKUP(E144,'All Products'!D:D,'All Products'!N:N,FALSE)</f>
        <v>3.8239999999999998</v>
      </c>
      <c r="U144" s="384">
        <f>_xlfn.XLOOKUP(E144,'All Products'!D:D,'All Products'!P:P,FALSE)</f>
        <v>11.472</v>
      </c>
      <c r="V144" s="384">
        <f>_xlfn.XLOOKUP(E144,'All Products'!D:D,'All Products'!Q:Q,FALSE)</f>
        <v>1.3788503419060438</v>
      </c>
    </row>
    <row r="145" spans="1:22" s="17" customFormat="1" ht="16.2" thickBot="1">
      <c r="A145" s="5" t="str">
        <f>IF(K145&gt;0,COUNT($A$8:A144)+1,"")</f>
        <v/>
      </c>
      <c r="B145" s="446" t="s">
        <v>5856</v>
      </c>
      <c r="C145" s="151"/>
      <c r="D145" s="151"/>
      <c r="E145" s="459"/>
      <c r="F145" s="151"/>
      <c r="G145" s="468"/>
      <c r="H145" s="151"/>
      <c r="I145" s="472"/>
      <c r="J145" s="468"/>
      <c r="K145" s="477"/>
      <c r="L145" s="238"/>
      <c r="M145" s="476"/>
      <c r="O145" s="475"/>
      <c r="P145" s="145"/>
      <c r="Q145" s="492"/>
      <c r="R145" s="493"/>
      <c r="S145" s="493"/>
      <c r="T145" s="479"/>
      <c r="U145" s="459"/>
      <c r="V145" s="489"/>
    </row>
    <row r="146" spans="1:22">
      <c r="A146" s="5" t="str">
        <f>IF(K146&gt;0,COUNT($A$8:A145)+1,"")</f>
        <v/>
      </c>
      <c r="B146" s="664"/>
      <c r="C146" s="665"/>
      <c r="D146" s="369" t="str">
        <f>_xlfn.XLOOKUP(E146,'All Products'!D:D,'All Products'!C:C,FALSE)</f>
        <v>324-3416</v>
      </c>
      <c r="E146" s="103">
        <v>100028965</v>
      </c>
      <c r="F146" s="376" t="str">
        <f>_xlfn.XLOOKUP(E146,'All Products'!D:D,'All Products'!E:E,FALSE)</f>
        <v>1-1/2 1/16 BEND DWV</v>
      </c>
      <c r="G146" s="232">
        <f>_xlfn.XLOOKUP(E146,'All Products'!D:D,'All Products'!F:F,FALSE)</f>
        <v>50</v>
      </c>
      <c r="H146" s="387">
        <f>_xlfn.XLOOKUP(E146,'All Products'!D:D,'All Products'!G:G,FALSE)</f>
        <v>4000</v>
      </c>
      <c r="I146" s="369">
        <f>_xlfn.XLOOKUP(E146,'All Products'!D:D,'All Products'!H:H,FALSE)</f>
        <v>40.18</v>
      </c>
      <c r="J146" s="183">
        <f>IFERROR(ROUNDUP(I146*Order_Quote!$L$2,2),0)</f>
        <v>40.18</v>
      </c>
      <c r="K146" s="118"/>
      <c r="L146" s="76"/>
      <c r="M146" s="104">
        <f t="shared" si="2"/>
        <v>0</v>
      </c>
      <c r="O146" s="379" t="str">
        <f>_xlfn.XLOOKUP(E146,'All Products'!D:D,'All Products'!I:I,FALSE)</f>
        <v>In Stock</v>
      </c>
      <c r="P146" s="379" t="str">
        <f>_xlfn.XLOOKUP(E146,'All Products'!D:D,'All Products'!J:J,FALSE)</f>
        <v>Manufactured</v>
      </c>
      <c r="Q146" s="397">
        <f>_xlfn.XLOOKUP(F146,'All Products'!E:E,'All Products'!K:K,FALSE)</f>
        <v>810673014408</v>
      </c>
      <c r="R146" s="397" t="str">
        <f>_xlfn.XLOOKUP(E146,'All Products'!D:D,'All Products'!L:L,FALSE)</f>
        <v>-</v>
      </c>
      <c r="S146" s="397">
        <f>_xlfn.XLOOKUP(E146,'All Products'!D:D,'All Products'!M:M,FALSE)</f>
        <v>10810673014405</v>
      </c>
      <c r="T146" s="384">
        <f>_xlfn.XLOOKUP(E146,'All Products'!D:D,'All Products'!N:N,FALSE)</f>
        <v>0.16</v>
      </c>
      <c r="U146" s="384">
        <f>_xlfn.XLOOKUP(E146,'All Products'!D:D,'All Products'!P:P,FALSE)</f>
        <v>8</v>
      </c>
      <c r="V146" s="384">
        <f>_xlfn.XLOOKUP(E146,'All Products'!D:D,'All Products'!Q:Q,FALSE)</f>
        <v>0.4856358104657279</v>
      </c>
    </row>
    <row r="147" spans="1:22">
      <c r="A147" s="5" t="str">
        <f>IF(K147&gt;0,COUNT($A$8:A146)+1,"")</f>
        <v/>
      </c>
      <c r="B147" s="646"/>
      <c r="C147" s="647"/>
      <c r="D147" s="369" t="str">
        <f>_xlfn.XLOOKUP(E147,'All Products'!D:D,'All Products'!C:C,FALSE)</f>
        <v>324-3417</v>
      </c>
      <c r="E147" s="103">
        <v>100028966</v>
      </c>
      <c r="F147" s="376" t="str">
        <f>_xlfn.XLOOKUP(E147,'All Products'!D:D,'All Products'!E:E,FALSE)</f>
        <v>2 1/16 BEND DWV</v>
      </c>
      <c r="G147" s="232">
        <f>_xlfn.XLOOKUP(E147,'All Products'!D:D,'All Products'!F:F,FALSE)</f>
        <v>25</v>
      </c>
      <c r="H147" s="387">
        <f>_xlfn.XLOOKUP(E147,'All Products'!D:D,'All Products'!G:G,FALSE)</f>
        <v>2000</v>
      </c>
      <c r="I147" s="369">
        <f>_xlfn.XLOOKUP(E147,'All Products'!D:D,'All Products'!H:H,FALSE)</f>
        <v>47.53</v>
      </c>
      <c r="J147" s="183">
        <f>IFERROR(ROUNDUP(I147*Order_Quote!$L$2,2),0)</f>
        <v>47.53</v>
      </c>
      <c r="K147" s="118"/>
      <c r="L147" s="76"/>
      <c r="M147" s="104">
        <f t="shared" si="2"/>
        <v>0</v>
      </c>
      <c r="O147" s="379" t="str">
        <f>_xlfn.XLOOKUP(E147,'All Products'!D:D,'All Products'!I:I,FALSE)</f>
        <v>In Stock</v>
      </c>
      <c r="P147" s="379" t="str">
        <f>_xlfn.XLOOKUP(E147,'All Products'!D:D,'All Products'!J:J,FALSE)</f>
        <v>Manufactured</v>
      </c>
      <c r="Q147" s="397">
        <f>_xlfn.XLOOKUP(F147,'All Products'!E:E,'All Products'!K:K,FALSE)</f>
        <v>810673014422</v>
      </c>
      <c r="R147" s="397" t="str">
        <f>_xlfn.XLOOKUP(E147,'All Products'!D:D,'All Products'!L:L,FALSE)</f>
        <v>-</v>
      </c>
      <c r="S147" s="397">
        <f>_xlfn.XLOOKUP(E147,'All Products'!D:D,'All Products'!M:M,FALSE)</f>
        <v>10810673014429</v>
      </c>
      <c r="T147" s="384">
        <f>_xlfn.XLOOKUP(E147,'All Products'!D:D,'All Products'!N:N,FALSE)</f>
        <v>0.217</v>
      </c>
      <c r="U147" s="384">
        <f>_xlfn.XLOOKUP(E147,'All Products'!D:D,'All Products'!P:P,FALSE)</f>
        <v>5.4249999999999998</v>
      </c>
      <c r="V147" s="384">
        <f>_xlfn.XLOOKUP(E147,'All Products'!D:D,'All Products'!Q:Q,FALSE)</f>
        <v>0.4856358104657279</v>
      </c>
    </row>
    <row r="148" spans="1:22">
      <c r="A148" s="5" t="str">
        <f>IF(K148&gt;0,COUNT($A$8:A147)+1,"")</f>
        <v/>
      </c>
      <c r="B148" s="646"/>
      <c r="C148" s="647"/>
      <c r="D148" s="369" t="str">
        <f>_xlfn.XLOOKUP(E148,'All Products'!D:D,'All Products'!C:C,FALSE)</f>
        <v>324-3418</v>
      </c>
      <c r="E148" s="103">
        <v>100028967</v>
      </c>
      <c r="F148" s="376" t="str">
        <f>_xlfn.XLOOKUP(E148,'All Products'!D:D,'All Products'!E:E,FALSE)</f>
        <v>3 1/16 BEND DWV</v>
      </c>
      <c r="G148" s="232">
        <f>_xlfn.XLOOKUP(E148,'All Products'!D:D,'All Products'!F:F,FALSE)</f>
        <v>20</v>
      </c>
      <c r="H148" s="387">
        <f>_xlfn.XLOOKUP(E148,'All Products'!D:D,'All Products'!G:G,FALSE)</f>
        <v>640</v>
      </c>
      <c r="I148" s="369">
        <f>_xlfn.XLOOKUP(E148,'All Products'!D:D,'All Products'!H:H,FALSE)</f>
        <v>117.31</v>
      </c>
      <c r="J148" s="183">
        <f>IFERROR(ROUNDUP(I148*Order_Quote!$L$2,2),0)</f>
        <v>117.31</v>
      </c>
      <c r="K148" s="118"/>
      <c r="L148" s="76"/>
      <c r="M148" s="104">
        <f t="shared" si="2"/>
        <v>0</v>
      </c>
      <c r="O148" s="379" t="str">
        <f>_xlfn.XLOOKUP(E148,'All Products'!D:D,'All Products'!I:I,FALSE)</f>
        <v>In Stock</v>
      </c>
      <c r="P148" s="379" t="str">
        <f>_xlfn.XLOOKUP(E148,'All Products'!D:D,'All Products'!J:J,FALSE)</f>
        <v>Manufactured</v>
      </c>
      <c r="Q148" s="397">
        <f>_xlfn.XLOOKUP(F148,'All Products'!E:E,'All Products'!K:K,FALSE)</f>
        <v>810673014446</v>
      </c>
      <c r="R148" s="397" t="str">
        <f>_xlfn.XLOOKUP(E148,'All Products'!D:D,'All Products'!L:L,FALSE)</f>
        <v>-</v>
      </c>
      <c r="S148" s="397">
        <f>_xlfn.XLOOKUP(E148,'All Products'!D:D,'All Products'!M:M,FALSE)</f>
        <v>10810673014443</v>
      </c>
      <c r="T148" s="384">
        <f>_xlfn.XLOOKUP(E148,'All Products'!D:D,'All Products'!N:N,FALSE)</f>
        <v>0.77600000000000002</v>
      </c>
      <c r="U148" s="384">
        <f>_xlfn.XLOOKUP(E148,'All Products'!D:D,'All Products'!P:P,FALSE)</f>
        <v>15.52</v>
      </c>
      <c r="V148" s="384">
        <f>_xlfn.XLOOKUP(E148,'All Products'!D:D,'All Products'!Q:Q,FALSE)</f>
        <v>1.3788503419060438</v>
      </c>
    </row>
    <row r="149" spans="1:22">
      <c r="A149" s="5" t="str">
        <f>IF(K149&gt;0,COUNT($A$8:A148)+1,"")</f>
        <v/>
      </c>
      <c r="B149" s="646"/>
      <c r="C149" s="647"/>
      <c r="D149" s="369" t="str">
        <f>_xlfn.XLOOKUP(E149,'All Products'!D:D,'All Products'!C:C,FALSE)</f>
        <v>324-3419</v>
      </c>
      <c r="E149" s="103">
        <v>100028968</v>
      </c>
      <c r="F149" s="376" t="str">
        <f>_xlfn.XLOOKUP(E149,'All Products'!D:D,'All Products'!E:E,FALSE)</f>
        <v>4 1/16 BEND DWV</v>
      </c>
      <c r="G149" s="232">
        <f>_xlfn.XLOOKUP(E149,'All Products'!D:D,'All Products'!F:F,FALSE)</f>
        <v>15</v>
      </c>
      <c r="H149" s="387">
        <f>_xlfn.XLOOKUP(E149,'All Products'!D:D,'All Products'!G:G,FALSE)</f>
        <v>480</v>
      </c>
      <c r="I149" s="369">
        <f>_xlfn.XLOOKUP(E149,'All Products'!D:D,'All Products'!H:H,FALSE)</f>
        <v>185.44</v>
      </c>
      <c r="J149" s="183">
        <f>IFERROR(ROUNDUP(I149*Order_Quote!$L$2,2),0)</f>
        <v>185.44</v>
      </c>
      <c r="K149" s="118"/>
      <c r="L149" s="76"/>
      <c r="M149" s="104">
        <f t="shared" si="2"/>
        <v>0</v>
      </c>
      <c r="O149" s="379" t="str">
        <f>_xlfn.XLOOKUP(E149,'All Products'!D:D,'All Products'!I:I,FALSE)</f>
        <v>In Stock</v>
      </c>
      <c r="P149" s="379" t="str">
        <f>_xlfn.XLOOKUP(E149,'All Products'!D:D,'All Products'!J:J,FALSE)</f>
        <v>Manufactured</v>
      </c>
      <c r="Q149" s="397">
        <f>_xlfn.XLOOKUP(F149,'All Products'!E:E,'All Products'!K:K,FALSE)</f>
        <v>810673012114</v>
      </c>
      <c r="R149" s="397" t="str">
        <f>_xlfn.XLOOKUP(E149,'All Products'!D:D,'All Products'!L:L,FALSE)</f>
        <v>-</v>
      </c>
      <c r="S149" s="397">
        <f>_xlfn.XLOOKUP(E149,'All Products'!D:D,'All Products'!M:M,FALSE)</f>
        <v>10810673012111</v>
      </c>
      <c r="T149" s="384">
        <f>_xlfn.XLOOKUP(E149,'All Products'!D:D,'All Products'!N:N,FALSE)</f>
        <v>1.3080000000000001</v>
      </c>
      <c r="U149" s="384">
        <f>_xlfn.XLOOKUP(E149,'All Products'!D:D,'All Products'!P:P,FALSE)</f>
        <v>19.62</v>
      </c>
      <c r="V149" s="384">
        <f>_xlfn.XLOOKUP(E149,'All Products'!D:D,'All Products'!Q:Q,FALSE)</f>
        <v>1.3788503419060438</v>
      </c>
    </row>
    <row r="150" spans="1:22">
      <c r="A150" s="5" t="str">
        <f>IF(K150&gt;0,COUNT($A$8:A149)+1,"")</f>
        <v/>
      </c>
      <c r="B150" s="652"/>
      <c r="C150" s="653"/>
      <c r="D150" s="369" t="str">
        <f>_xlfn.XLOOKUP(E150,'All Products'!D:D,'All Products'!C:C,FALSE)</f>
        <v>324-3420</v>
      </c>
      <c r="E150" s="103">
        <v>100028969</v>
      </c>
      <c r="F150" s="376" t="str">
        <f>_xlfn.XLOOKUP(E150,'All Products'!D:D,'All Products'!E:E,FALSE)</f>
        <v>6 1/16 BEND DWV</v>
      </c>
      <c r="G150" s="232">
        <f>_xlfn.XLOOKUP(E150,'All Products'!D:D,'All Products'!F:F,FALSE)</f>
        <v>3</v>
      </c>
      <c r="H150" s="387">
        <f>_xlfn.XLOOKUP(E150,'All Products'!D:D,'All Products'!G:G,FALSE)</f>
        <v>96</v>
      </c>
      <c r="I150" s="369">
        <f>_xlfn.XLOOKUP(E150,'All Products'!D:D,'All Products'!H:H,FALSE)</f>
        <v>1070.93</v>
      </c>
      <c r="J150" s="183">
        <f>IFERROR(ROUNDUP(I150*Order_Quote!$L$2,2),0)</f>
        <v>1070.93</v>
      </c>
      <c r="K150" s="118"/>
      <c r="L150" s="76"/>
      <c r="M150" s="104">
        <f t="shared" si="2"/>
        <v>0</v>
      </c>
      <c r="O150" s="379" t="str">
        <f>_xlfn.XLOOKUP(E150,'All Products'!D:D,'All Products'!I:I,FALSE)</f>
        <v>In Stock</v>
      </c>
      <c r="P150" s="379" t="str">
        <f>_xlfn.XLOOKUP(E150,'All Products'!D:D,'All Products'!J:J,FALSE)</f>
        <v>Manufactured</v>
      </c>
      <c r="Q150" s="397">
        <f>_xlfn.XLOOKUP(F150,'All Products'!E:E,'All Products'!K:K,FALSE)</f>
        <v>812361012659</v>
      </c>
      <c r="R150" s="397" t="str">
        <f>_xlfn.XLOOKUP(E150,'All Products'!D:D,'All Products'!L:L,FALSE)</f>
        <v>-</v>
      </c>
      <c r="S150" s="397">
        <f>_xlfn.XLOOKUP(E150,'All Products'!D:D,'All Products'!M:M,FALSE)</f>
        <v>812361012666</v>
      </c>
      <c r="T150" s="384">
        <f>_xlfn.XLOOKUP(E150,'All Products'!D:D,'All Products'!N:N,FALSE)</f>
        <v>3.7759999999999998</v>
      </c>
      <c r="U150" s="384">
        <f>_xlfn.XLOOKUP(E150,'All Products'!D:D,'All Products'!P:P,FALSE)</f>
        <v>11.327999999999999</v>
      </c>
      <c r="V150" s="384">
        <f>_xlfn.XLOOKUP(E150,'All Products'!D:D,'All Products'!Q:Q,FALSE)</f>
        <v>1.3788503419060438</v>
      </c>
    </row>
    <row r="151" spans="1:22">
      <c r="A151" s="5" t="str">
        <f>IF(K151&gt;0,COUNT($A$8:A150)+1,"")</f>
        <v/>
      </c>
      <c r="B151" s="644"/>
      <c r="C151" s="645"/>
      <c r="D151" s="369" t="str">
        <f>_xlfn.XLOOKUP(E151,'All Products'!D:D,'All Products'!C:C,FALSE)</f>
        <v>326-3421</v>
      </c>
      <c r="E151" s="103">
        <v>100028970</v>
      </c>
      <c r="F151" s="376" t="str">
        <f>_xlfn.XLOOKUP(E151,'All Products'!D:D,'All Products'!E:E,FALSE)</f>
        <v>1-1/2 1/16 BEND STREET DWV</v>
      </c>
      <c r="G151" s="232">
        <f>_xlfn.XLOOKUP(E151,'All Products'!D:D,'All Products'!F:F,FALSE)</f>
        <v>50</v>
      </c>
      <c r="H151" s="387">
        <f>_xlfn.XLOOKUP(E151,'All Products'!D:D,'All Products'!G:G,FALSE)</f>
        <v>4000</v>
      </c>
      <c r="I151" s="369">
        <f>_xlfn.XLOOKUP(E151,'All Products'!D:D,'All Products'!H:H,FALSE)</f>
        <v>108.72</v>
      </c>
      <c r="J151" s="183">
        <f>IFERROR(ROUNDUP(I151*Order_Quote!$L$2,2),0)</f>
        <v>108.72</v>
      </c>
      <c r="K151" s="118"/>
      <c r="L151" s="76"/>
      <c r="M151" s="104">
        <f t="shared" ref="M151:M218" si="3">K151/G151</f>
        <v>0</v>
      </c>
      <c r="O151" s="379" t="str">
        <f>_xlfn.XLOOKUP(E151,'All Products'!D:D,'All Products'!I:I,FALSE)</f>
        <v>In Stock</v>
      </c>
      <c r="P151" s="379" t="str">
        <f>_xlfn.XLOOKUP(E151,'All Products'!D:D,'All Products'!J:J,FALSE)</f>
        <v>Manufactured</v>
      </c>
      <c r="Q151" s="397">
        <f>_xlfn.XLOOKUP(F151,'All Products'!E:E,'All Products'!K:K,FALSE)</f>
        <v>810673014477</v>
      </c>
      <c r="R151" s="397" t="str">
        <f>_xlfn.XLOOKUP(E151,'All Products'!D:D,'All Products'!L:L,FALSE)</f>
        <v>-</v>
      </c>
      <c r="S151" s="397">
        <f>_xlfn.XLOOKUP(E151,'All Products'!D:D,'All Products'!M:M,FALSE)</f>
        <v>812361011935</v>
      </c>
      <c r="T151" s="384">
        <f>_xlfn.XLOOKUP(E151,'All Products'!D:D,'All Products'!N:N,FALSE)</f>
        <v>0.14299999999999999</v>
      </c>
      <c r="U151" s="384">
        <f>_xlfn.XLOOKUP(E151,'All Products'!D:D,'All Products'!P:P,FALSE)</f>
        <v>7.1499999999999995</v>
      </c>
      <c r="V151" s="384">
        <f>_xlfn.XLOOKUP(E151,'All Products'!D:D,'All Products'!Q:Q,FALSE)</f>
        <v>0.4856358104657279</v>
      </c>
    </row>
    <row r="152" spans="1:22">
      <c r="A152" s="5" t="str">
        <f>IF(K152&gt;0,COUNT($A$8:A151)+1,"")</f>
        <v/>
      </c>
      <c r="B152" s="646"/>
      <c r="C152" s="647"/>
      <c r="D152" s="369" t="str">
        <f>_xlfn.XLOOKUP(E152,'All Products'!D:D,'All Products'!C:C,FALSE)</f>
        <v>326-3422</v>
      </c>
      <c r="E152" s="103">
        <v>100028971</v>
      </c>
      <c r="F152" s="376" t="str">
        <f>_xlfn.XLOOKUP(E152,'All Products'!D:D,'All Products'!E:E,FALSE)</f>
        <v>2 1/16 BEND STREET DWV</v>
      </c>
      <c r="G152" s="232">
        <f>_xlfn.XLOOKUP(E152,'All Products'!D:D,'All Products'!F:F,FALSE)</f>
        <v>25</v>
      </c>
      <c r="H152" s="387">
        <f>_xlfn.XLOOKUP(E152,'All Products'!D:D,'All Products'!G:G,FALSE)</f>
        <v>2000</v>
      </c>
      <c r="I152" s="369">
        <f>_xlfn.XLOOKUP(E152,'All Products'!D:D,'All Products'!H:H,FALSE)</f>
        <v>116.32</v>
      </c>
      <c r="J152" s="183">
        <f>IFERROR(ROUNDUP(I152*Order_Quote!$L$2,2),0)</f>
        <v>116.32</v>
      </c>
      <c r="K152" s="118"/>
      <c r="L152" s="76"/>
      <c r="M152" s="104">
        <f t="shared" si="3"/>
        <v>0</v>
      </c>
      <c r="O152" s="379" t="str">
        <f>_xlfn.XLOOKUP(E152,'All Products'!D:D,'All Products'!I:I,FALSE)</f>
        <v>In Stock</v>
      </c>
      <c r="P152" s="379" t="str">
        <f>_xlfn.XLOOKUP(E152,'All Products'!D:D,'All Products'!J:J,FALSE)</f>
        <v>Manufactured</v>
      </c>
      <c r="Q152" s="397">
        <f>_xlfn.XLOOKUP(F152,'All Products'!E:E,'All Products'!K:K,FALSE)</f>
        <v>810673014491</v>
      </c>
      <c r="R152" s="397" t="str">
        <f>_xlfn.XLOOKUP(E152,'All Products'!D:D,'All Products'!L:L,FALSE)</f>
        <v>-</v>
      </c>
      <c r="S152" s="397">
        <f>_xlfn.XLOOKUP(E152,'All Products'!D:D,'All Products'!M:M,FALSE)</f>
        <v>810673014507</v>
      </c>
      <c r="T152" s="384">
        <f>_xlfn.XLOOKUP(E152,'All Products'!D:D,'All Products'!N:N,FALSE)</f>
        <v>0.21199999999999999</v>
      </c>
      <c r="U152" s="384">
        <f>_xlfn.XLOOKUP(E152,'All Products'!D:D,'All Products'!P:P,FALSE)</f>
        <v>5.3</v>
      </c>
      <c r="V152" s="384">
        <f>_xlfn.XLOOKUP(E152,'All Products'!D:D,'All Products'!Q:Q,FALSE)</f>
        <v>0.4856358104657279</v>
      </c>
    </row>
    <row r="153" spans="1:22">
      <c r="A153" s="5" t="str">
        <f>IF(K153&gt;0,COUNT($A$8:A152)+1,"")</f>
        <v/>
      </c>
      <c r="B153" s="646"/>
      <c r="C153" s="647"/>
      <c r="D153" s="369" t="str">
        <f>_xlfn.XLOOKUP(E153,'All Products'!D:D,'All Products'!C:C,FALSE)</f>
        <v>326-3423</v>
      </c>
      <c r="E153" s="103">
        <v>100028972</v>
      </c>
      <c r="F153" s="376" t="str">
        <f>_xlfn.XLOOKUP(E153,'All Products'!D:D,'All Products'!E:E,FALSE)</f>
        <v>3 1/16 BEND STREET DWV</v>
      </c>
      <c r="G153" s="232">
        <f>_xlfn.XLOOKUP(E153,'All Products'!D:D,'All Products'!F:F,FALSE)</f>
        <v>20</v>
      </c>
      <c r="H153" s="387">
        <f>_xlfn.XLOOKUP(E153,'All Products'!D:D,'All Products'!G:G,FALSE)</f>
        <v>640</v>
      </c>
      <c r="I153" s="369">
        <f>_xlfn.XLOOKUP(E153,'All Products'!D:D,'All Products'!H:H,FALSE)</f>
        <v>181.72</v>
      </c>
      <c r="J153" s="183">
        <f>IFERROR(ROUNDUP(I153*Order_Quote!$L$2,2),0)</f>
        <v>181.72</v>
      </c>
      <c r="K153" s="118"/>
      <c r="L153" s="76"/>
      <c r="M153" s="104">
        <f t="shared" si="3"/>
        <v>0</v>
      </c>
      <c r="O153" s="379" t="str">
        <f>_xlfn.XLOOKUP(E153,'All Products'!D:D,'All Products'!I:I,FALSE)</f>
        <v>In Stock</v>
      </c>
      <c r="P153" s="379" t="str">
        <f>_xlfn.XLOOKUP(E153,'All Products'!D:D,'All Products'!J:J,FALSE)</f>
        <v>Manufactured</v>
      </c>
      <c r="Q153" s="397">
        <f>_xlfn.XLOOKUP(F153,'All Products'!E:E,'All Products'!K:K,FALSE)</f>
        <v>810673014514</v>
      </c>
      <c r="R153" s="397" t="str">
        <f>_xlfn.XLOOKUP(E153,'All Products'!D:D,'All Products'!L:L,FALSE)</f>
        <v>-</v>
      </c>
      <c r="S153" s="397">
        <f>_xlfn.XLOOKUP(E153,'All Products'!D:D,'All Products'!M:M,FALSE)</f>
        <v>810673014521</v>
      </c>
      <c r="T153" s="384">
        <f>_xlfn.XLOOKUP(E153,'All Products'!D:D,'All Products'!N:N,FALSE)</f>
        <v>0.73199999999999998</v>
      </c>
      <c r="U153" s="384">
        <f>_xlfn.XLOOKUP(E153,'All Products'!D:D,'All Products'!P:P,FALSE)</f>
        <v>14.64</v>
      </c>
      <c r="V153" s="384">
        <f>_xlfn.XLOOKUP(E153,'All Products'!D:D,'All Products'!Q:Q,FALSE)</f>
        <v>1.3788503419060438</v>
      </c>
    </row>
    <row r="154" spans="1:22">
      <c r="A154" s="5" t="str">
        <f>IF(K154&gt;0,COUNT($A$8:A153)+1,"")</f>
        <v/>
      </c>
      <c r="B154" s="646"/>
      <c r="C154" s="647"/>
      <c r="D154" s="369" t="str">
        <f>_xlfn.XLOOKUP(E154,'All Products'!D:D,'All Products'!C:C,FALSE)</f>
        <v>326-3424</v>
      </c>
      <c r="E154" s="103">
        <v>100028973</v>
      </c>
      <c r="F154" s="376" t="str">
        <f>_xlfn.XLOOKUP(E154,'All Products'!D:D,'All Products'!E:E,FALSE)</f>
        <v>4 1/16 BEND STREET DWV</v>
      </c>
      <c r="G154" s="232">
        <f>_xlfn.XLOOKUP(E154,'All Products'!D:D,'All Products'!F:F,FALSE)</f>
        <v>10</v>
      </c>
      <c r="H154" s="387">
        <f>_xlfn.XLOOKUP(E154,'All Products'!D:D,'All Products'!G:G,FALSE)</f>
        <v>320</v>
      </c>
      <c r="I154" s="369">
        <f>_xlfn.XLOOKUP(E154,'All Products'!D:D,'All Products'!H:H,FALSE)</f>
        <v>263.64</v>
      </c>
      <c r="J154" s="183">
        <f>IFERROR(ROUNDUP(I154*Order_Quote!$L$2,2),0)</f>
        <v>263.64</v>
      </c>
      <c r="K154" s="118"/>
      <c r="L154" s="76"/>
      <c r="M154" s="104">
        <f t="shared" si="3"/>
        <v>0</v>
      </c>
      <c r="O154" s="379" t="str">
        <f>_xlfn.XLOOKUP(E154,'All Products'!D:D,'All Products'!I:I,FALSE)</f>
        <v>In Stock</v>
      </c>
      <c r="P154" s="379" t="str">
        <f>_xlfn.XLOOKUP(E154,'All Products'!D:D,'All Products'!J:J,FALSE)</f>
        <v>Manufactured</v>
      </c>
      <c r="Q154" s="397">
        <f>_xlfn.XLOOKUP(F154,'All Products'!E:E,'All Products'!K:K,FALSE)</f>
        <v>810673012121</v>
      </c>
      <c r="R154" s="397" t="str">
        <f>_xlfn.XLOOKUP(E154,'All Products'!D:D,'All Products'!L:L,FALSE)</f>
        <v>-</v>
      </c>
      <c r="S154" s="397">
        <f>_xlfn.XLOOKUP(E154,'All Products'!D:D,'All Products'!M:M,FALSE)</f>
        <v>810673014538</v>
      </c>
      <c r="T154" s="384">
        <f>_xlfn.XLOOKUP(E154,'All Products'!D:D,'All Products'!N:N,FALSE)</f>
        <v>1.2889999999999999</v>
      </c>
      <c r="U154" s="384">
        <f>_xlfn.XLOOKUP(E154,'All Products'!D:D,'All Products'!P:P,FALSE)</f>
        <v>12.889999999999999</v>
      </c>
      <c r="V154" s="384">
        <f>_xlfn.XLOOKUP(E154,'All Products'!D:D,'All Products'!Q:Q,FALSE)</f>
        <v>1.3788503419060438</v>
      </c>
    </row>
    <row r="155" spans="1:22" ht="15" thickBot="1">
      <c r="A155" s="5" t="str">
        <f>IF(K155&gt;0,COUNT($A$8:A154)+1,"")</f>
        <v/>
      </c>
      <c r="B155" s="666"/>
      <c r="C155" s="667"/>
      <c r="D155" s="369" t="str">
        <f>_xlfn.XLOOKUP(E155,'All Products'!D:D,'All Products'!C:C,FALSE)</f>
        <v>326-3425</v>
      </c>
      <c r="E155" s="103">
        <v>100028974</v>
      </c>
      <c r="F155" s="376" t="str">
        <f>_xlfn.XLOOKUP(E155,'All Products'!D:D,'All Products'!E:E,FALSE)</f>
        <v>6 1/16 BEND STREET DWV</v>
      </c>
      <c r="G155" s="232">
        <f>_xlfn.XLOOKUP(E155,'All Products'!D:D,'All Products'!F:F,FALSE)</f>
        <v>5</v>
      </c>
      <c r="H155" s="387">
        <f>_xlfn.XLOOKUP(E155,'All Products'!D:D,'All Products'!G:G,FALSE)</f>
        <v>120</v>
      </c>
      <c r="I155" s="369">
        <f>_xlfn.XLOOKUP(E155,'All Products'!D:D,'All Products'!H:H,FALSE)</f>
        <v>1037.56</v>
      </c>
      <c r="J155" s="183">
        <f>IFERROR(ROUNDUP(I155*Order_Quote!$L$2,2),0)</f>
        <v>1037.56</v>
      </c>
      <c r="K155" s="118"/>
      <c r="L155" s="76"/>
      <c r="M155" s="104">
        <f t="shared" si="3"/>
        <v>0</v>
      </c>
      <c r="O155" s="379" t="str">
        <f>_xlfn.XLOOKUP(E155,'All Products'!D:D,'All Products'!I:I,FALSE)</f>
        <v>Within 3 Weeks</v>
      </c>
      <c r="P155" s="379" t="str">
        <f>_xlfn.XLOOKUP(E155,'All Products'!D:D,'All Products'!J:J,FALSE)</f>
        <v>Manufactured</v>
      </c>
      <c r="Q155" s="504">
        <f>_xlfn.XLOOKUP(F155,'All Products'!E:E,'All Products'!K:K,FALSE)</f>
        <v>812361012673</v>
      </c>
      <c r="R155" s="397" t="str">
        <f>_xlfn.XLOOKUP(E155,'All Products'!D:D,'All Products'!L:L,FALSE)</f>
        <v>-</v>
      </c>
      <c r="S155" s="397">
        <f>_xlfn.XLOOKUP(E155,'All Products'!D:D,'All Products'!M:M,FALSE)</f>
        <v>812361019351</v>
      </c>
      <c r="T155" s="384">
        <f>_xlfn.XLOOKUP(E155,'All Products'!D:D,'All Products'!N:N,FALSE)</f>
        <v>3.3759999999999999</v>
      </c>
      <c r="U155" s="384">
        <f>_xlfn.XLOOKUP(E155,'All Products'!D:D,'All Products'!P:P,FALSE)</f>
        <v>16.88</v>
      </c>
      <c r="V155" s="384">
        <f>_xlfn.XLOOKUP(E155,'All Products'!D:D,'All Products'!Q:Q,FALSE)</f>
        <v>1.8803145838984718</v>
      </c>
    </row>
    <row r="156" spans="1:22" s="17" customFormat="1" ht="16.2" thickBot="1">
      <c r="A156" s="5" t="str">
        <f>IF(K156&gt;0,COUNT($A$8:A155)+1,"")</f>
        <v/>
      </c>
      <c r="B156" s="446" t="s">
        <v>5807</v>
      </c>
      <c r="C156" s="151"/>
      <c r="D156" s="151"/>
      <c r="E156" s="459"/>
      <c r="F156" s="151"/>
      <c r="G156" s="468"/>
      <c r="H156" s="151"/>
      <c r="I156" s="472"/>
      <c r="J156" s="468"/>
      <c r="K156" s="477"/>
      <c r="L156" s="238"/>
      <c r="M156" s="476"/>
      <c r="O156" s="475"/>
      <c r="P156" s="145"/>
      <c r="Q156" s="492"/>
      <c r="R156" s="493"/>
      <c r="S156" s="493"/>
      <c r="T156" s="479"/>
      <c r="U156" s="459"/>
      <c r="V156" s="489"/>
    </row>
    <row r="157" spans="1:22">
      <c r="A157" s="5" t="str">
        <f>IF(K157&gt;0,COUNT($A$8:A156)+1,"")</f>
        <v/>
      </c>
      <c r="B157" s="664"/>
      <c r="C157" s="665"/>
      <c r="D157" s="369" t="str">
        <f>_xlfn.XLOOKUP(E157,'All Products'!D:D,'All Products'!C:C,FALSE)</f>
        <v>327-3040</v>
      </c>
      <c r="E157" s="103">
        <v>300005661</v>
      </c>
      <c r="F157" s="376" t="str">
        <f>_xlfn.XLOOKUP(E157,'All Products'!D:D,'All Products'!E:E,FALSE)</f>
        <v>4 DOUBLE 1/4 BEND DWV</v>
      </c>
      <c r="G157" s="232">
        <f>_xlfn.XLOOKUP(E157,'All Products'!D:D,'All Products'!F:F,FALSE)</f>
        <v>6</v>
      </c>
      <c r="H157" s="387">
        <f>_xlfn.XLOOKUP(E157,'All Products'!D:D,'All Products'!G:G,FALSE)</f>
        <v>108</v>
      </c>
      <c r="I157" s="369" t="str">
        <f>_xlfn.XLOOKUP(E157,'All Products'!D:D,'All Products'!H:H,FALSE)</f>
        <v>Quote Required</v>
      </c>
      <c r="J157" s="183">
        <f>IFERROR(ROUNDUP(I157*Order_Quote!$L$2,2),0)</f>
        <v>0</v>
      </c>
      <c r="K157" s="118"/>
      <c r="L157" s="76"/>
      <c r="M157" s="104">
        <f>K157/G157</f>
        <v>0</v>
      </c>
      <c r="O157" s="379" t="str">
        <f>_xlfn.XLOOKUP(E157,'All Products'!D:D,'All Products'!I:I,FALSE)</f>
        <v>Within 6 Weeks</v>
      </c>
      <c r="P157" s="379" t="str">
        <f>_xlfn.XLOOKUP(E157,'All Products'!D:D,'All Products'!J:J,FALSE)</f>
        <v>Sourced</v>
      </c>
      <c r="Q157" s="397">
        <f>_xlfn.XLOOKUP(F157,'All Products'!E:E,'All Products'!K:K,FALSE)</f>
        <v>812361018057</v>
      </c>
      <c r="R157" s="397" t="str">
        <f>_xlfn.XLOOKUP(E157,'All Products'!D:D,'All Products'!L:L,FALSE)</f>
        <v>-</v>
      </c>
      <c r="S157" s="397" t="str">
        <f>_xlfn.XLOOKUP(E157,'All Products'!D:D,'All Products'!M:M,FALSE)</f>
        <v>-</v>
      </c>
      <c r="T157" s="384">
        <f>_xlfn.XLOOKUP(E157,'All Products'!D:D,'All Products'!N:N,FALSE)</f>
        <v>2.5299999999999998</v>
      </c>
      <c r="U157" s="384">
        <f>_xlfn.XLOOKUP(E157,'All Products'!D:D,'All Products'!P:P,FALSE)</f>
        <v>15.18</v>
      </c>
      <c r="V157" s="384" t="str">
        <f>_xlfn.XLOOKUP(E157,'All Products'!D:D,'All Products'!Q:Q,FALSE)</f>
        <v>-</v>
      </c>
    </row>
    <row r="158" spans="1:22">
      <c r="A158" s="5" t="str">
        <f>IF(K158&gt;0,COUNT($A$8:A157)+1,"")</f>
        <v/>
      </c>
      <c r="B158" s="646"/>
      <c r="C158" s="647"/>
      <c r="D158" s="369" t="str">
        <f>_xlfn.XLOOKUP(E158,'All Products'!D:D,'All Products'!C:C,FALSE)</f>
        <v>327-3426</v>
      </c>
      <c r="E158" s="103">
        <v>300005662</v>
      </c>
      <c r="F158" s="376" t="str">
        <f>_xlfn.XLOOKUP(E158,'All Products'!D:D,'All Products'!E:E,FALSE)</f>
        <v>1-1/2 DOUBLE 1/4 BEND DWV</v>
      </c>
      <c r="G158" s="232">
        <f>_xlfn.XLOOKUP(E158,'All Products'!D:D,'All Products'!F:F,FALSE)</f>
        <v>50</v>
      </c>
      <c r="H158" s="387">
        <f>_xlfn.XLOOKUP(E158,'All Products'!D:D,'All Products'!G:G,FALSE)</f>
        <v>1440</v>
      </c>
      <c r="I158" s="369" t="str">
        <f>_xlfn.XLOOKUP(E158,'All Products'!D:D,'All Products'!H:H,FALSE)</f>
        <v>Quote Required</v>
      </c>
      <c r="J158" s="183">
        <f>IFERROR(ROUNDUP(I158*Order_Quote!$L$2,2),0)</f>
        <v>0</v>
      </c>
      <c r="K158" s="118"/>
      <c r="L158" s="76"/>
      <c r="M158" s="104">
        <f>K158/G158</f>
        <v>0</v>
      </c>
      <c r="O158" s="379" t="str">
        <f>_xlfn.XLOOKUP(E158,'All Products'!D:D,'All Products'!I:I,FALSE)</f>
        <v>Within 6 Weeks</v>
      </c>
      <c r="P158" s="379" t="str">
        <f>_xlfn.XLOOKUP(E158,'All Products'!D:D,'All Products'!J:J,FALSE)</f>
        <v>Sourced</v>
      </c>
      <c r="Q158" s="397">
        <f>_xlfn.XLOOKUP(F158,'All Products'!E:E,'All Products'!K:K,FALSE)</f>
        <v>812361012970</v>
      </c>
      <c r="R158" s="397" t="str">
        <f>_xlfn.XLOOKUP(E158,'All Products'!D:D,'All Products'!L:L,FALSE)</f>
        <v>-</v>
      </c>
      <c r="S158" s="397" t="str">
        <f>_xlfn.XLOOKUP(E158,'All Products'!D:D,'All Products'!M:M,FALSE)</f>
        <v>-</v>
      </c>
      <c r="T158" s="384">
        <f>_xlfn.XLOOKUP(E158,'All Products'!D:D,'All Products'!N:N,FALSE)</f>
        <v>0.34300000000000003</v>
      </c>
      <c r="U158" s="384">
        <f>_xlfn.XLOOKUP(E158,'All Products'!D:D,'All Products'!P:P,FALSE)</f>
        <v>17.150000000000002</v>
      </c>
      <c r="V158" s="384" t="str">
        <f>_xlfn.XLOOKUP(E158,'All Products'!D:D,'All Products'!Q:Q,FALSE)</f>
        <v>-</v>
      </c>
    </row>
    <row r="159" spans="1:22">
      <c r="A159" s="5" t="str">
        <f>IF(K159&gt;0,COUNT($A$8:A158)+1,"")</f>
        <v/>
      </c>
      <c r="B159" s="646"/>
      <c r="C159" s="647"/>
      <c r="D159" s="369" t="str">
        <f>_xlfn.XLOOKUP(E159,'All Products'!D:D,'All Products'!C:C,FALSE)</f>
        <v>327-3427</v>
      </c>
      <c r="E159" s="103">
        <v>100028977</v>
      </c>
      <c r="F159" s="376" t="str">
        <f>_xlfn.XLOOKUP(E159,'All Products'!D:D,'All Products'!E:E,FALSE)</f>
        <v>2 DOUBLE 1/4 BEND DWV</v>
      </c>
      <c r="G159" s="232">
        <f>_xlfn.XLOOKUP(E159,'All Products'!D:D,'All Products'!F:F,FALSE)</f>
        <v>25</v>
      </c>
      <c r="H159" s="387">
        <f>_xlfn.XLOOKUP(E159,'All Products'!D:D,'All Products'!G:G,FALSE)</f>
        <v>875</v>
      </c>
      <c r="I159" s="369">
        <f>_xlfn.XLOOKUP(E159,'All Products'!D:D,'All Products'!H:H,FALSE)</f>
        <v>158.54</v>
      </c>
      <c r="J159" s="183">
        <f>IFERROR(ROUNDUP(I159*Order_Quote!$L$2,2),0)</f>
        <v>158.54</v>
      </c>
      <c r="K159" s="118"/>
      <c r="L159" s="76"/>
      <c r="M159" s="104">
        <f>K159/G159</f>
        <v>0</v>
      </c>
      <c r="O159" s="379" t="str">
        <f>_xlfn.XLOOKUP(E159,'All Products'!D:D,'All Products'!I:I,FALSE)</f>
        <v>In Stock</v>
      </c>
      <c r="P159" s="379" t="str">
        <f>_xlfn.XLOOKUP(E159,'All Products'!D:D,'All Products'!J:J,FALSE)</f>
        <v>Manufactured</v>
      </c>
      <c r="Q159" s="397">
        <f>_xlfn.XLOOKUP(F159,'All Products'!E:E,'All Products'!K:K,FALSE)</f>
        <v>812361012994</v>
      </c>
      <c r="R159" s="397" t="str">
        <f>_xlfn.XLOOKUP(E159,'All Products'!D:D,'All Products'!L:L,FALSE)</f>
        <v>-</v>
      </c>
      <c r="S159" s="397">
        <f>_xlfn.XLOOKUP(E159,'All Products'!D:D,'All Products'!M:M,FALSE)</f>
        <v>812361013007</v>
      </c>
      <c r="T159" s="384">
        <f>_xlfn.XLOOKUP(E159,'All Products'!D:D,'All Products'!N:N,FALSE)</f>
        <v>0.56399999999999995</v>
      </c>
      <c r="U159" s="384">
        <f>_xlfn.XLOOKUP(E159,'All Products'!D:D,'All Products'!P:P,FALSE)</f>
        <v>14.099999999999998</v>
      </c>
      <c r="V159" s="384">
        <f>_xlfn.XLOOKUP(E159,'All Products'!D:D,'All Products'!Q:Q,FALSE)</f>
        <v>1.3788503419060438</v>
      </c>
    </row>
    <row r="160" spans="1:22">
      <c r="A160" s="5" t="str">
        <f>IF(K160&gt;0,COUNT($A$8:A159)+1,"")</f>
        <v/>
      </c>
      <c r="B160" s="646"/>
      <c r="C160" s="647"/>
      <c r="D160" s="369" t="str">
        <f>_xlfn.XLOOKUP(E160,'All Products'!D:D,'All Products'!C:C,FALSE)</f>
        <v>327-3428</v>
      </c>
      <c r="E160" s="103">
        <v>300005663</v>
      </c>
      <c r="F160" s="376" t="str">
        <f>_xlfn.XLOOKUP(E160,'All Products'!D:D,'All Products'!E:E,FALSE)</f>
        <v>2X1-1/2X1-1/2 DOUBLE 1/4 BEND DWV</v>
      </c>
      <c r="G160" s="232">
        <f>_xlfn.XLOOKUP(E160,'All Products'!D:D,'All Products'!F:F,FALSE)</f>
        <v>20</v>
      </c>
      <c r="H160" s="387">
        <f>_xlfn.XLOOKUP(E160,'All Products'!D:D,'All Products'!G:G,FALSE)</f>
        <v>1200</v>
      </c>
      <c r="I160" s="369" t="str">
        <f>_xlfn.XLOOKUP(E160,'All Products'!D:D,'All Products'!H:H,FALSE)</f>
        <v>Quote Required</v>
      </c>
      <c r="J160" s="183">
        <f>IFERROR(ROUNDUP(I160*Order_Quote!$L$2,2),0)</f>
        <v>0</v>
      </c>
      <c r="K160" s="118"/>
      <c r="L160" s="76"/>
      <c r="M160" s="104">
        <f>K160/G160</f>
        <v>0</v>
      </c>
      <c r="O160" s="379" t="str">
        <f>_xlfn.XLOOKUP(E160,'All Products'!D:D,'All Products'!I:I,FALSE)</f>
        <v>Within 6 Weeks</v>
      </c>
      <c r="P160" s="379" t="str">
        <f>_xlfn.XLOOKUP(E160,'All Products'!D:D,'All Products'!J:J,FALSE)</f>
        <v>Sourced</v>
      </c>
      <c r="Q160" s="397">
        <f>_xlfn.XLOOKUP(F160,'All Products'!E:E,'All Products'!K:K,FALSE)</f>
        <v>812361013014</v>
      </c>
      <c r="R160" s="397" t="str">
        <f>_xlfn.XLOOKUP(E160,'All Products'!D:D,'All Products'!L:L,FALSE)</f>
        <v>-</v>
      </c>
      <c r="S160" s="397" t="str">
        <f>_xlfn.XLOOKUP(E160,'All Products'!D:D,'All Products'!M:M,FALSE)</f>
        <v>-</v>
      </c>
      <c r="T160" s="384">
        <f>_xlfn.XLOOKUP(E160,'All Products'!D:D,'All Products'!N:N,FALSE)</f>
        <v>0.379</v>
      </c>
      <c r="U160" s="384">
        <f>_xlfn.XLOOKUP(E160,'All Products'!D:D,'All Products'!P:P,FALSE)</f>
        <v>7.58</v>
      </c>
      <c r="V160" s="384" t="str">
        <f>_xlfn.XLOOKUP(E160,'All Products'!D:D,'All Products'!Q:Q,FALSE)</f>
        <v>-</v>
      </c>
    </row>
    <row r="161" spans="1:22" ht="15" thickBot="1">
      <c r="A161" s="5" t="str">
        <f>IF(K161&gt;0,COUNT($A$8:A160)+1,"")</f>
        <v/>
      </c>
      <c r="B161" s="666"/>
      <c r="C161" s="667"/>
      <c r="D161" s="369" t="str">
        <f>_xlfn.XLOOKUP(E161,'All Products'!D:D,'All Products'!C:C,FALSE)</f>
        <v>327-3429</v>
      </c>
      <c r="E161" s="103">
        <v>100028979</v>
      </c>
      <c r="F161" s="376" t="str">
        <f>_xlfn.XLOOKUP(E161,'All Products'!D:D,'All Products'!E:E,FALSE)</f>
        <v>3 DOUBLE 1/4 BEND DWV</v>
      </c>
      <c r="G161" s="232">
        <f>_xlfn.XLOOKUP(E161,'All Products'!D:D,'All Products'!F:F,FALSE)</f>
        <v>10</v>
      </c>
      <c r="H161" s="387">
        <f>_xlfn.XLOOKUP(E161,'All Products'!D:D,'All Products'!G:G,FALSE)</f>
        <v>270</v>
      </c>
      <c r="I161" s="369">
        <f>_xlfn.XLOOKUP(E161,'All Products'!D:D,'All Products'!H:H,FALSE)</f>
        <v>439</v>
      </c>
      <c r="J161" s="183">
        <f>IFERROR(ROUNDUP(I161*Order_Quote!$L$2,2),0)</f>
        <v>439</v>
      </c>
      <c r="K161" s="118"/>
      <c r="L161" s="76"/>
      <c r="M161" s="104">
        <f>K161/G161</f>
        <v>0</v>
      </c>
      <c r="O161" s="379" t="str">
        <f>_xlfn.XLOOKUP(E161,'All Products'!D:D,'All Products'!I:I,FALSE)</f>
        <v>Within 3 Weeks</v>
      </c>
      <c r="P161" s="379" t="str">
        <f>_xlfn.XLOOKUP(E161,'All Products'!D:D,'All Products'!J:J,FALSE)</f>
        <v>Manufactured</v>
      </c>
      <c r="Q161" s="504">
        <f>_xlfn.XLOOKUP(F161,'All Products'!E:E,'All Products'!K:K,FALSE)</f>
        <v>812361013038</v>
      </c>
      <c r="R161" s="397" t="str">
        <f>_xlfn.XLOOKUP(E161,'All Products'!D:D,'All Products'!L:L,FALSE)</f>
        <v>-</v>
      </c>
      <c r="S161" s="397">
        <f>_xlfn.XLOOKUP(E161,'All Products'!D:D,'All Products'!M:M,FALSE)</f>
        <v>812361013045</v>
      </c>
      <c r="T161" s="384">
        <f>_xlfn.XLOOKUP(E161,'All Products'!D:D,'All Products'!N:N,FALSE)</f>
        <v>1.6919999999999999</v>
      </c>
      <c r="U161" s="384">
        <f>_xlfn.XLOOKUP(E161,'All Products'!D:D,'All Products'!P:P,FALSE)</f>
        <v>16.919999999999998</v>
      </c>
      <c r="V161" s="384">
        <f>_xlfn.XLOOKUP(E161,'All Products'!D:D,'All Products'!Q:Q,FALSE)</f>
        <v>1.8803145838984718</v>
      </c>
    </row>
    <row r="162" spans="1:22" s="17" customFormat="1" ht="16.2" thickBot="1">
      <c r="A162" s="5" t="str">
        <f>IF(K162&gt;0,COUNT($A$8:A161)+1,"")</f>
        <v/>
      </c>
      <c r="B162" s="446" t="s">
        <v>5857</v>
      </c>
      <c r="C162" s="151"/>
      <c r="D162" s="151"/>
      <c r="E162" s="459"/>
      <c r="F162" s="151"/>
      <c r="G162" s="468"/>
      <c r="H162" s="151"/>
      <c r="I162" s="472"/>
      <c r="J162" s="468"/>
      <c r="K162" s="477"/>
      <c r="L162" s="238"/>
      <c r="M162" s="476"/>
      <c r="O162" s="475"/>
      <c r="P162" s="145"/>
      <c r="Q162" s="492"/>
      <c r="R162" s="493"/>
      <c r="S162" s="493"/>
      <c r="T162" s="479"/>
      <c r="U162" s="459"/>
      <c r="V162" s="489"/>
    </row>
    <row r="163" spans="1:22" s="17" customFormat="1" ht="42" customHeight="1" thickBot="1">
      <c r="A163" s="5" t="str">
        <f>IF(K163&gt;0,COUNT($A$8:A162)+1,"")</f>
        <v/>
      </c>
      <c r="B163" s="714"/>
      <c r="C163" s="709"/>
      <c r="D163" s="369" t="str">
        <f>_xlfn.XLOOKUP(E163,'All Products'!D:D,'All Products'!C:C,FALSE)</f>
        <v>328-3711</v>
      </c>
      <c r="E163" s="103">
        <v>300005664</v>
      </c>
      <c r="F163" s="376" t="str">
        <f>_xlfn.XLOOKUP(E163,'All Products'!D:D,'All Products'!E:E,FALSE)</f>
        <v>6 1/32 BEND DWV</v>
      </c>
      <c r="G163" s="232">
        <f>_xlfn.XLOOKUP(E163,'All Products'!D:D,'All Products'!F:F,FALSE)</f>
        <v>1</v>
      </c>
      <c r="H163" s="387" t="str">
        <f>_xlfn.XLOOKUP(E163,'All Products'!D:D,'All Products'!G:G,FALSE)</f>
        <v>-</v>
      </c>
      <c r="I163" s="369" t="str">
        <f>_xlfn.XLOOKUP(E163,'All Products'!D:D,'All Products'!H:H,FALSE)</f>
        <v>Quote Required</v>
      </c>
      <c r="J163" s="183">
        <f>IFERROR(ROUNDUP(I163*Order_Quote!$L$2,2),0)</f>
        <v>0</v>
      </c>
      <c r="K163" s="118"/>
      <c r="L163" s="76"/>
      <c r="M163" s="104">
        <f>K163/G163</f>
        <v>0</v>
      </c>
      <c r="O163" s="379" t="str">
        <f>_xlfn.XLOOKUP(E163,'All Products'!D:D,'All Products'!I:I,FALSE)</f>
        <v>Within 6 Weeks</v>
      </c>
      <c r="P163" s="379" t="str">
        <f>_xlfn.XLOOKUP(E163,'All Products'!D:D,'All Products'!J:J,FALSE)</f>
        <v>Sourced</v>
      </c>
      <c r="Q163" s="397">
        <f>_xlfn.XLOOKUP(F163,'All Products'!E:E,'All Products'!K:K,FALSE)</f>
        <v>812361017296</v>
      </c>
      <c r="R163" s="397" t="str">
        <f>_xlfn.XLOOKUP(E163,'All Products'!D:D,'All Products'!L:L,FALSE)</f>
        <v>-</v>
      </c>
      <c r="S163" s="397" t="str">
        <f>_xlfn.XLOOKUP(E163,'All Products'!D:D,'All Products'!M:M,FALSE)</f>
        <v>-</v>
      </c>
      <c r="T163" s="384">
        <f>_xlfn.XLOOKUP(E163,'All Products'!D:D,'All Products'!N:N,FALSE)</f>
        <v>2.95</v>
      </c>
      <c r="U163" s="384">
        <f>_xlfn.XLOOKUP(E163,'All Products'!D:D,'All Products'!P:P,FALSE)</f>
        <v>2.95</v>
      </c>
      <c r="V163" s="384" t="str">
        <f>_xlfn.XLOOKUP(E163,'All Products'!D:D,'All Products'!Q:Q,FALSE)</f>
        <v>-</v>
      </c>
    </row>
    <row r="164" spans="1:22" s="17" customFormat="1" ht="16.2" thickBot="1">
      <c r="A164" s="5" t="str">
        <f>IF(K164&gt;0,COUNT($A$8:A163)+1,"")</f>
        <v/>
      </c>
      <c r="B164" s="446" t="s">
        <v>5808</v>
      </c>
      <c r="C164" s="151"/>
      <c r="D164" s="151"/>
      <c r="E164" s="459"/>
      <c r="F164" s="151"/>
      <c r="G164" s="468"/>
      <c r="H164" s="151"/>
      <c r="I164" s="472"/>
      <c r="J164" s="468"/>
      <c r="K164" s="477"/>
      <c r="L164" s="238"/>
      <c r="M164" s="476"/>
      <c r="O164" s="475"/>
      <c r="P164" s="145"/>
      <c r="Q164" s="492"/>
      <c r="R164" s="493"/>
      <c r="S164" s="493"/>
      <c r="T164" s="479"/>
      <c r="U164" s="459"/>
      <c r="V164" s="489"/>
    </row>
    <row r="165" spans="1:22" s="17" customFormat="1" ht="38.25" customHeight="1">
      <c r="A165" s="5" t="str">
        <f>IF(K165&gt;0,COUNT($A$8:A164)+1,"")</f>
        <v/>
      </c>
      <c r="B165" s="712"/>
      <c r="C165" s="713"/>
      <c r="D165" s="369" t="str">
        <f>_xlfn.XLOOKUP(E165,'All Products'!D:D,'All Products'!C:C,FALSE)</f>
        <v>329-3430</v>
      </c>
      <c r="E165" s="103">
        <v>100028981</v>
      </c>
      <c r="F165" s="376" t="str">
        <f>_xlfn.XLOOKUP(E165,'All Products'!D:D,'All Products'!E:E,FALSE)</f>
        <v>3X4 CLOSET BEND REDUCING HXH DWV</v>
      </c>
      <c r="G165" s="232">
        <f>_xlfn.XLOOKUP(E165,'All Products'!D:D,'All Products'!F:F,FALSE)</f>
        <v>10</v>
      </c>
      <c r="H165" s="387">
        <f>_xlfn.XLOOKUP(E165,'All Products'!D:D,'All Products'!G:G,FALSE)</f>
        <v>240</v>
      </c>
      <c r="I165" s="369">
        <f>_xlfn.XLOOKUP(E165,'All Products'!D:D,'All Products'!H:H,FALSE)</f>
        <v>214.79</v>
      </c>
      <c r="J165" s="183">
        <f>IFERROR(ROUNDUP(I165*Order_Quote!$L$2,2),0)</f>
        <v>214.79</v>
      </c>
      <c r="K165" s="118"/>
      <c r="L165" s="76"/>
      <c r="M165" s="104">
        <f t="shared" si="3"/>
        <v>0</v>
      </c>
      <c r="O165" s="379" t="str">
        <f>_xlfn.XLOOKUP(E165,'All Products'!D:D,'All Products'!I:I,FALSE)</f>
        <v>In Stock</v>
      </c>
      <c r="P165" s="379" t="str">
        <f>_xlfn.XLOOKUP(E165,'All Products'!D:D,'All Products'!J:J,FALSE)</f>
        <v>Manufactured</v>
      </c>
      <c r="Q165" s="397">
        <f>_xlfn.XLOOKUP(F165,'All Products'!E:E,'All Products'!K:K,FALSE)</f>
        <v>812361012512</v>
      </c>
      <c r="R165" s="397" t="str">
        <f>_xlfn.XLOOKUP(E165,'All Products'!D:D,'All Products'!L:L,FALSE)</f>
        <v>-</v>
      </c>
      <c r="S165" s="397">
        <f>_xlfn.XLOOKUP(E165,'All Products'!D:D,'All Products'!M:M,FALSE)</f>
        <v>812361012529</v>
      </c>
      <c r="T165" s="384">
        <f>_xlfn.XLOOKUP(E165,'All Products'!D:D,'All Products'!N:N,FALSE)</f>
        <v>1.77</v>
      </c>
      <c r="U165" s="384">
        <f>_xlfn.XLOOKUP(E165,'All Products'!D:D,'All Products'!P:P,FALSE)</f>
        <v>17.7</v>
      </c>
      <c r="V165" s="384">
        <f>_xlfn.XLOOKUP(E165,'All Products'!D:D,'All Products'!Q:Q,FALSE)</f>
        <v>1.8803145838984718</v>
      </c>
    </row>
    <row r="166" spans="1:22" s="17" customFormat="1" ht="38.25" customHeight="1" thickBot="1">
      <c r="A166" s="5" t="str">
        <f>IF(K166&gt;0,COUNT($A$8:A165)+1,"")</f>
        <v/>
      </c>
      <c r="B166" s="710"/>
      <c r="C166" s="711"/>
      <c r="D166" s="369" t="str">
        <f>_xlfn.XLOOKUP(E166,'All Products'!D:D,'All Products'!C:C,FALSE)</f>
        <v>330-3431</v>
      </c>
      <c r="E166" s="103">
        <v>100028982</v>
      </c>
      <c r="F166" s="376" t="str">
        <f>_xlfn.XLOOKUP(E166,'All Products'!D:D,'All Products'!E:E,FALSE)</f>
        <v>3X4 CLOSET BEND REDUCING HXS DWV</v>
      </c>
      <c r="G166" s="232">
        <f>_xlfn.XLOOKUP(E166,'All Products'!D:D,'All Products'!F:F,FALSE)</f>
        <v>10</v>
      </c>
      <c r="H166" s="387">
        <f>_xlfn.XLOOKUP(E166,'All Products'!D:D,'All Products'!G:G,FALSE)</f>
        <v>240</v>
      </c>
      <c r="I166" s="369">
        <f>_xlfn.XLOOKUP(E166,'All Products'!D:D,'All Products'!H:H,FALSE)</f>
        <v>454.27</v>
      </c>
      <c r="J166" s="183">
        <f>IFERROR(ROUNDUP(I166*Order_Quote!$L$2,2),0)</f>
        <v>454.27</v>
      </c>
      <c r="K166" s="118"/>
      <c r="L166" s="76"/>
      <c r="M166" s="104">
        <f t="shared" si="3"/>
        <v>0</v>
      </c>
      <c r="O166" s="379" t="str">
        <f>_xlfn.XLOOKUP(E166,'All Products'!D:D,'All Products'!I:I,FALSE)</f>
        <v>Within 3 Weeks</v>
      </c>
      <c r="P166" s="379" t="str">
        <f>_xlfn.XLOOKUP(E166,'All Products'!D:D,'All Products'!J:J,FALSE)</f>
        <v>Manufactured</v>
      </c>
      <c r="Q166" s="504">
        <f>_xlfn.XLOOKUP(F166,'All Products'!E:E,'All Products'!K:K,FALSE)</f>
        <v>812361013052</v>
      </c>
      <c r="R166" s="397" t="str">
        <f>_xlfn.XLOOKUP(E166,'All Products'!D:D,'All Products'!L:L,FALSE)</f>
        <v>-</v>
      </c>
      <c r="S166" s="397">
        <f>_xlfn.XLOOKUP(E166,'All Products'!D:D,'All Products'!M:M,FALSE)</f>
        <v>812361013069</v>
      </c>
      <c r="T166" s="384">
        <f>_xlfn.XLOOKUP(E166,'All Products'!D:D,'All Products'!N:N,FALSE)</f>
        <v>1.7869999999999999</v>
      </c>
      <c r="U166" s="384">
        <f>_xlfn.XLOOKUP(E166,'All Products'!D:D,'All Products'!P:P,FALSE)</f>
        <v>17.869999999999997</v>
      </c>
      <c r="V166" s="384">
        <f>_xlfn.XLOOKUP(E166,'All Products'!D:D,'All Products'!Q:Q,FALSE)</f>
        <v>1.8803145838984718</v>
      </c>
    </row>
    <row r="167" spans="1:22" s="17" customFormat="1" ht="16.2" thickBot="1">
      <c r="A167" s="5" t="str">
        <f>IF(K167&gt;0,COUNT($A$8:A166)+1,"")</f>
        <v/>
      </c>
      <c r="B167" s="446" t="s">
        <v>5809</v>
      </c>
      <c r="C167" s="151"/>
      <c r="D167" s="151"/>
      <c r="E167" s="459"/>
      <c r="F167" s="151"/>
      <c r="G167" s="468"/>
      <c r="H167" s="151"/>
      <c r="I167" s="472"/>
      <c r="J167" s="468"/>
      <c r="K167" s="477"/>
      <c r="L167" s="238"/>
      <c r="M167" s="476"/>
      <c r="O167" s="475"/>
      <c r="P167" s="145"/>
      <c r="Q167" s="492"/>
      <c r="R167" s="493"/>
      <c r="S167" s="493"/>
      <c r="T167" s="479"/>
      <c r="U167" s="459"/>
      <c r="V167" s="489"/>
    </row>
    <row r="168" spans="1:22">
      <c r="A168" s="5" t="str">
        <f>IF(K168&gt;0,COUNT($A$8:A167)+1,"")</f>
        <v/>
      </c>
      <c r="B168" s="664"/>
      <c r="C168" s="665"/>
      <c r="D168" s="369" t="str">
        <f>_xlfn.XLOOKUP(E168,'All Products'!D:D,'All Products'!C:C,FALSE)</f>
        <v>331-3434</v>
      </c>
      <c r="E168" s="103">
        <v>300005665</v>
      </c>
      <c r="F168" s="376" t="str">
        <f>_xlfn.XLOOKUP(E168,'All Products'!D:D,'All Products'!E:E,FALSE)</f>
        <v>1-1/2 VENT ELL DWV</v>
      </c>
      <c r="G168" s="232">
        <f>_xlfn.XLOOKUP(E168,'All Products'!D:D,'All Products'!F:F,FALSE)</f>
        <v>20</v>
      </c>
      <c r="H168" s="387">
        <f>_xlfn.XLOOKUP(E168,'All Products'!D:D,'All Products'!G:G,FALSE)</f>
        <v>2880</v>
      </c>
      <c r="I168" s="369" t="str">
        <f>_xlfn.XLOOKUP(E168,'All Products'!D:D,'All Products'!H:H,FALSE)</f>
        <v>Quote Required</v>
      </c>
      <c r="J168" s="183">
        <f>IFERROR(ROUNDUP(I168*Order_Quote!$L$2,2),0)</f>
        <v>0</v>
      </c>
      <c r="K168" s="118"/>
      <c r="L168" s="76"/>
      <c r="M168" s="104">
        <f t="shared" si="3"/>
        <v>0</v>
      </c>
      <c r="O168" s="379" t="str">
        <f>_xlfn.XLOOKUP(E168,'All Products'!D:D,'All Products'!I:I,FALSE)</f>
        <v>Within 6 Weeks</v>
      </c>
      <c r="P168" s="379" t="str">
        <f>_xlfn.XLOOKUP(E168,'All Products'!D:D,'All Products'!J:J,FALSE)</f>
        <v>Sourced</v>
      </c>
      <c r="Q168" s="397">
        <f>_xlfn.XLOOKUP(F168,'All Products'!E:E,'All Products'!K:K,FALSE)</f>
        <v>810673013692</v>
      </c>
      <c r="R168" s="397" t="str">
        <f>_xlfn.XLOOKUP(E168,'All Products'!D:D,'All Products'!L:L,FALSE)</f>
        <v>-</v>
      </c>
      <c r="S168" s="397">
        <f>_xlfn.XLOOKUP(E168,'All Products'!D:D,'All Products'!M:M,FALSE)</f>
        <v>10810673013699</v>
      </c>
      <c r="T168" s="384">
        <f>_xlfn.XLOOKUP(E168,'All Products'!D:D,'All Products'!N:N,FALSE)</f>
        <v>0.18</v>
      </c>
      <c r="U168" s="384">
        <f>_xlfn.XLOOKUP(E168,'All Products'!D:D,'All Products'!P:P,FALSE)</f>
        <v>3.5999999999999996</v>
      </c>
      <c r="V168" s="384" t="str">
        <f>_xlfn.XLOOKUP(E168,'All Products'!D:D,'All Products'!Q:Q,FALSE)</f>
        <v>-</v>
      </c>
    </row>
    <row r="169" spans="1:22">
      <c r="A169" s="5" t="str">
        <f>IF(K169&gt;0,COUNT($A$8:A168)+1,"")</f>
        <v/>
      </c>
      <c r="B169" s="646"/>
      <c r="C169" s="647"/>
      <c r="D169" s="369" t="str">
        <f>_xlfn.XLOOKUP(E169,'All Products'!D:D,'All Products'!C:C,FALSE)</f>
        <v>331-3435</v>
      </c>
      <c r="E169" s="103">
        <v>100028984</v>
      </c>
      <c r="F169" s="376" t="str">
        <f>_xlfn.XLOOKUP(E169,'All Products'!D:D,'All Products'!E:E,FALSE)</f>
        <v>2 VENT ELL DWV</v>
      </c>
      <c r="G169" s="232">
        <f>_xlfn.XLOOKUP(E169,'All Products'!D:D,'All Products'!F:F,FALSE)</f>
        <v>30</v>
      </c>
      <c r="H169" s="387">
        <f>_xlfn.XLOOKUP(E169,'All Products'!D:D,'All Products'!G:G,FALSE)</f>
        <v>1890</v>
      </c>
      <c r="I169" s="369">
        <f>_xlfn.XLOOKUP(E169,'All Products'!D:D,'All Products'!H:H,FALSE)</f>
        <v>77.09</v>
      </c>
      <c r="J169" s="183">
        <f>IFERROR(ROUNDUP(I169*Order_Quote!$L$2,2),0)</f>
        <v>77.09</v>
      </c>
      <c r="K169" s="118"/>
      <c r="L169" s="76"/>
      <c r="M169" s="104">
        <f t="shared" si="3"/>
        <v>0</v>
      </c>
      <c r="O169" s="379" t="str">
        <f>_xlfn.XLOOKUP(E169,'All Products'!D:D,'All Products'!I:I,FALSE)</f>
        <v>Within 3 Weeks</v>
      </c>
      <c r="P169" s="379" t="str">
        <f>_xlfn.XLOOKUP(E169,'All Products'!D:D,'All Products'!J:J,FALSE)</f>
        <v>Manufactured</v>
      </c>
      <c r="Q169" s="397">
        <f>_xlfn.XLOOKUP(F169,'All Products'!E:E,'All Products'!K:K,FALSE)</f>
        <v>810673013708</v>
      </c>
      <c r="R169" s="397" t="str">
        <f>_xlfn.XLOOKUP(E169,'All Products'!D:D,'All Products'!L:L,FALSE)</f>
        <v>-</v>
      </c>
      <c r="S169" s="397">
        <f>_xlfn.XLOOKUP(E169,'All Products'!D:D,'All Products'!M:M,FALSE)</f>
        <v>10810673013705</v>
      </c>
      <c r="T169" s="384">
        <f>_xlfn.XLOOKUP(E169,'All Products'!D:D,'All Products'!N:N,FALSE)</f>
        <v>0.32</v>
      </c>
      <c r="U169" s="384">
        <f>_xlfn.XLOOKUP(E169,'All Products'!D:D,'All Products'!P:P,FALSE)</f>
        <v>9.6</v>
      </c>
      <c r="V169" s="384">
        <f>_xlfn.XLOOKUP(E169,'All Products'!D:D,'All Products'!Q:Q,FALSE)</f>
        <v>0.66940792428507967</v>
      </c>
    </row>
    <row r="170" spans="1:22">
      <c r="A170" s="5" t="str">
        <f>IF(K170&gt;0,COUNT($A$8:A169)+1,"")</f>
        <v/>
      </c>
      <c r="B170" s="646"/>
      <c r="C170" s="647"/>
      <c r="D170" s="369" t="str">
        <f>_xlfn.XLOOKUP(E170,'All Products'!D:D,'All Products'!C:C,FALSE)</f>
        <v>331-3436</v>
      </c>
      <c r="E170" s="103">
        <v>100028985</v>
      </c>
      <c r="F170" s="376" t="str">
        <f>_xlfn.XLOOKUP(E170,'All Products'!D:D,'All Products'!E:E,FALSE)</f>
        <v>3 VENT ELL DWV</v>
      </c>
      <c r="G170" s="232">
        <f>_xlfn.XLOOKUP(E170,'All Products'!D:D,'All Products'!F:F,FALSE)</f>
        <v>25</v>
      </c>
      <c r="H170" s="387">
        <f>_xlfn.XLOOKUP(E170,'All Products'!D:D,'All Products'!G:G,FALSE)</f>
        <v>450</v>
      </c>
      <c r="I170" s="369">
        <f>_xlfn.XLOOKUP(E170,'All Products'!D:D,'All Products'!H:H,FALSE)</f>
        <v>199.82</v>
      </c>
      <c r="J170" s="183">
        <f>IFERROR(ROUNDUP(I170*Order_Quote!$L$2,2),0)</f>
        <v>199.82</v>
      </c>
      <c r="K170" s="118"/>
      <c r="L170" s="76"/>
      <c r="M170" s="104">
        <f t="shared" si="3"/>
        <v>0</v>
      </c>
      <c r="O170" s="379" t="str">
        <f>_xlfn.XLOOKUP(E170,'All Products'!D:D,'All Products'!I:I,FALSE)</f>
        <v>In Stock</v>
      </c>
      <c r="P170" s="379" t="str">
        <f>_xlfn.XLOOKUP(E170,'All Products'!D:D,'All Products'!J:J,FALSE)</f>
        <v>Manufactured</v>
      </c>
      <c r="Q170" s="397">
        <f>_xlfn.XLOOKUP(F170,'All Products'!E:E,'All Products'!K:K,FALSE)</f>
        <v>810673013715</v>
      </c>
      <c r="R170" s="397" t="str">
        <f>_xlfn.XLOOKUP(E170,'All Products'!D:D,'All Products'!L:L,FALSE)</f>
        <v>-</v>
      </c>
      <c r="S170" s="397">
        <f>_xlfn.XLOOKUP(E170,'All Products'!D:D,'All Products'!M:M,FALSE)</f>
        <v>810673011339</v>
      </c>
      <c r="T170" s="384">
        <f>_xlfn.XLOOKUP(E170,'All Products'!D:D,'All Products'!N:N,FALSE)</f>
        <v>0.99399999999999999</v>
      </c>
      <c r="U170" s="384">
        <f>_xlfn.XLOOKUP(E170,'All Products'!D:D,'All Products'!P:P,FALSE)</f>
        <v>24.85</v>
      </c>
      <c r="V170" s="384">
        <f>_xlfn.XLOOKUP(E170,'All Products'!D:D,'All Products'!Q:Q,FALSE)</f>
        <v>2.361325291407383</v>
      </c>
    </row>
    <row r="171" spans="1:22">
      <c r="A171" s="5" t="str">
        <f>IF(K171&gt;0,COUNT($A$8:A170)+1,"")</f>
        <v/>
      </c>
      <c r="B171" s="652"/>
      <c r="C171" s="653"/>
      <c r="D171" s="369" t="str">
        <f>_xlfn.XLOOKUP(E171,'All Products'!D:D,'All Products'!C:C,FALSE)</f>
        <v>331-3437</v>
      </c>
      <c r="E171" s="103">
        <v>300005666</v>
      </c>
      <c r="F171" s="376" t="str">
        <f>_xlfn.XLOOKUP(E171,'All Products'!D:D,'All Products'!E:E,FALSE)</f>
        <v>4 VENT ELL DWV</v>
      </c>
      <c r="G171" s="232">
        <f>_xlfn.XLOOKUP(E171,'All Products'!D:D,'All Products'!F:F,FALSE)</f>
        <v>5</v>
      </c>
      <c r="H171" s="387" t="str">
        <f>_xlfn.XLOOKUP(E171,'All Products'!D:D,'All Products'!G:G,FALSE)</f>
        <v>-</v>
      </c>
      <c r="I171" s="369" t="str">
        <f>_xlfn.XLOOKUP(E171,'All Products'!D:D,'All Products'!H:H,FALSE)</f>
        <v>Quote Required</v>
      </c>
      <c r="J171" s="183">
        <f>IFERROR(ROUNDUP(I171*Order_Quote!$L$2,2),0)</f>
        <v>0</v>
      </c>
      <c r="K171" s="118"/>
      <c r="L171" s="76"/>
      <c r="M171" s="104">
        <f t="shared" si="3"/>
        <v>0</v>
      </c>
      <c r="O171" s="379" t="str">
        <f>_xlfn.XLOOKUP(E171,'All Products'!D:D,'All Products'!I:I,FALSE)</f>
        <v>Within 3 Weeks</v>
      </c>
      <c r="P171" s="379" t="str">
        <f>_xlfn.XLOOKUP(E171,'All Products'!D:D,'All Products'!J:J,FALSE)</f>
        <v>Sourced</v>
      </c>
      <c r="Q171" s="397">
        <f>_xlfn.XLOOKUP(F171,'All Products'!E:E,'All Products'!K:K,FALSE)</f>
        <v>812361017364</v>
      </c>
      <c r="R171" s="397" t="str">
        <f>_xlfn.XLOOKUP(E171,'All Products'!D:D,'All Products'!L:L,FALSE)</f>
        <v>-</v>
      </c>
      <c r="S171" s="397" t="str">
        <f>_xlfn.XLOOKUP(E171,'All Products'!D:D,'All Products'!M:M,FALSE)</f>
        <v>-</v>
      </c>
      <c r="T171" s="384">
        <f>_xlfn.XLOOKUP(E171,'All Products'!D:D,'All Products'!N:N,FALSE)</f>
        <v>1.6</v>
      </c>
      <c r="U171" s="384">
        <f>_xlfn.XLOOKUP(E171,'All Products'!D:D,'All Products'!P:P,FALSE)</f>
        <v>8</v>
      </c>
      <c r="V171" s="384" t="str">
        <f>_xlfn.XLOOKUP(E171,'All Products'!D:D,'All Products'!Q:Q,FALSE)</f>
        <v>-</v>
      </c>
    </row>
    <row r="172" spans="1:22">
      <c r="A172" s="5" t="str">
        <f>IF(K172&gt;0,COUNT($A$8:A171)+1,"")</f>
        <v/>
      </c>
      <c r="B172" s="644"/>
      <c r="C172" s="645"/>
      <c r="D172" s="369" t="str">
        <f>_xlfn.XLOOKUP(E172,'All Products'!D:D,'All Products'!C:C,FALSE)</f>
        <v>333-3441</v>
      </c>
      <c r="E172" s="103">
        <v>100028987</v>
      </c>
      <c r="F172" s="376" t="str">
        <f>_xlfn.XLOOKUP(E172,'All Products'!D:D,'All Products'!E:E,FALSE)</f>
        <v>1-1/2 VENT ELL STREET DWV</v>
      </c>
      <c r="G172" s="232">
        <f>_xlfn.XLOOKUP(E172,'All Products'!D:D,'All Products'!F:F,FALSE)</f>
        <v>25</v>
      </c>
      <c r="H172" s="387">
        <f>_xlfn.XLOOKUP(E172,'All Products'!D:D,'All Products'!G:G,FALSE)</f>
        <v>2250</v>
      </c>
      <c r="I172" s="369">
        <f>_xlfn.XLOOKUP(E172,'All Products'!D:D,'All Products'!H:H,FALSE)</f>
        <v>64.989999999999995</v>
      </c>
      <c r="J172" s="183">
        <f>IFERROR(ROUNDUP(I172*Order_Quote!$L$2,2),0)</f>
        <v>64.989999999999995</v>
      </c>
      <c r="K172" s="118"/>
      <c r="L172" s="76"/>
      <c r="M172" s="104">
        <f t="shared" si="3"/>
        <v>0</v>
      </c>
      <c r="O172" s="379" t="str">
        <f>_xlfn.XLOOKUP(E172,'All Products'!D:D,'All Products'!I:I,FALSE)</f>
        <v>Within 3 Weeks</v>
      </c>
      <c r="P172" s="379" t="str">
        <f>_xlfn.XLOOKUP(E172,'All Products'!D:D,'All Products'!J:J,FALSE)</f>
        <v>Manufactured</v>
      </c>
      <c r="Q172" s="397">
        <f>_xlfn.XLOOKUP(F172,'All Products'!E:E,'All Products'!K:K,FALSE)</f>
        <v>810673013722</v>
      </c>
      <c r="R172" s="397" t="str">
        <f>_xlfn.XLOOKUP(E172,'All Products'!D:D,'All Products'!L:L,FALSE)</f>
        <v>-</v>
      </c>
      <c r="S172" s="397">
        <f>_xlfn.XLOOKUP(E172,'All Products'!D:D,'All Products'!M:M,FALSE)</f>
        <v>10810673013729</v>
      </c>
      <c r="T172" s="384">
        <f>_xlfn.XLOOKUP(E172,'All Products'!D:D,'All Products'!N:N,FALSE)</f>
        <v>0.20200000000000001</v>
      </c>
      <c r="U172" s="384">
        <f>_xlfn.XLOOKUP(E172,'All Products'!D:D,'All Products'!P:P,FALSE)</f>
        <v>5.0500000000000007</v>
      </c>
      <c r="V172" s="384">
        <f>_xlfn.XLOOKUP(E172,'All Products'!D:D,'All Products'!Q:Q,FALSE)</f>
        <v>0.32375720697715193</v>
      </c>
    </row>
    <row r="173" spans="1:22">
      <c r="A173" s="5" t="str">
        <f>IF(K173&gt;0,COUNT($A$8:A172)+1,"")</f>
        <v/>
      </c>
      <c r="B173" s="646"/>
      <c r="C173" s="647"/>
      <c r="D173" s="369" t="str">
        <f>_xlfn.XLOOKUP(E173,'All Products'!D:D,'All Products'!C:C,FALSE)</f>
        <v>333-3442</v>
      </c>
      <c r="E173" s="103">
        <v>100028988</v>
      </c>
      <c r="F173" s="376" t="str">
        <f>_xlfn.XLOOKUP(E173,'All Products'!D:D,'All Products'!E:E,FALSE)</f>
        <v>2 VENT ELL STREET DWV</v>
      </c>
      <c r="G173" s="232">
        <f>_xlfn.XLOOKUP(E173,'All Products'!D:D,'All Products'!F:F,FALSE)</f>
        <v>20</v>
      </c>
      <c r="H173" s="387">
        <f>_xlfn.XLOOKUP(E173,'All Products'!D:D,'All Products'!G:G,FALSE)</f>
        <v>1600</v>
      </c>
      <c r="I173" s="369">
        <f>_xlfn.XLOOKUP(E173,'All Products'!D:D,'All Products'!H:H,FALSE)</f>
        <v>89.25</v>
      </c>
      <c r="J173" s="183">
        <f>IFERROR(ROUNDUP(I173*Order_Quote!$L$2,2),0)</f>
        <v>89.25</v>
      </c>
      <c r="K173" s="118"/>
      <c r="L173" s="76"/>
      <c r="M173" s="104">
        <f t="shared" si="3"/>
        <v>0</v>
      </c>
      <c r="O173" s="379" t="str">
        <f>_xlfn.XLOOKUP(E173,'All Products'!D:D,'All Products'!I:I,FALSE)</f>
        <v>Within 3 Weeks</v>
      </c>
      <c r="P173" s="379" t="str">
        <f>_xlfn.XLOOKUP(E173,'All Products'!D:D,'All Products'!J:J,FALSE)</f>
        <v>Manufactured</v>
      </c>
      <c r="Q173" s="397">
        <f>_xlfn.XLOOKUP(F173,'All Products'!E:E,'All Products'!K:K,FALSE)</f>
        <v>810673013739</v>
      </c>
      <c r="R173" s="397" t="str">
        <f>_xlfn.XLOOKUP(E173,'All Products'!D:D,'All Products'!L:L,FALSE)</f>
        <v>-</v>
      </c>
      <c r="S173" s="397">
        <f>_xlfn.XLOOKUP(E173,'All Products'!D:D,'All Products'!M:M,FALSE)</f>
        <v>10810673013736</v>
      </c>
      <c r="T173" s="384">
        <f>_xlfn.XLOOKUP(E173,'All Products'!D:D,'All Products'!N:N,FALSE)</f>
        <v>0.30199999999999999</v>
      </c>
      <c r="U173" s="384">
        <f>_xlfn.XLOOKUP(E173,'All Products'!D:D,'All Products'!P:P,FALSE)</f>
        <v>6.04</v>
      </c>
      <c r="V173" s="384">
        <f>_xlfn.XLOOKUP(E173,'All Products'!D:D,'All Products'!Q:Q,FALSE)</f>
        <v>0.4856358104657279</v>
      </c>
    </row>
    <row r="174" spans="1:22" ht="15" thickBot="1">
      <c r="A174" s="5" t="str">
        <f>IF(K174&gt;0,COUNT($A$8:A173)+1,"")</f>
        <v/>
      </c>
      <c r="B174" s="666"/>
      <c r="C174" s="667"/>
      <c r="D174" s="369" t="str">
        <f>_xlfn.XLOOKUP(E174,'All Products'!D:D,'All Products'!C:C,FALSE)</f>
        <v>333-3443</v>
      </c>
      <c r="E174" s="103">
        <v>100028989</v>
      </c>
      <c r="F174" s="376" t="str">
        <f>_xlfn.XLOOKUP(E174,'All Products'!D:D,'All Products'!E:E,FALSE)</f>
        <v>3 VENT ELL STREET DWV</v>
      </c>
      <c r="G174" s="232">
        <f>_xlfn.XLOOKUP(E174,'All Products'!D:D,'All Products'!F:F,FALSE)</f>
        <v>5</v>
      </c>
      <c r="H174" s="387">
        <f>_xlfn.XLOOKUP(E174,'All Products'!D:D,'All Products'!G:G,FALSE)</f>
        <v>400</v>
      </c>
      <c r="I174" s="369">
        <f>_xlfn.XLOOKUP(E174,'All Products'!D:D,'All Products'!H:H,FALSE)</f>
        <v>239.22</v>
      </c>
      <c r="J174" s="183">
        <f>IFERROR(ROUNDUP(I174*Order_Quote!$L$2,2),0)</f>
        <v>239.22</v>
      </c>
      <c r="K174" s="118"/>
      <c r="L174" s="76"/>
      <c r="M174" s="104">
        <f t="shared" si="3"/>
        <v>0</v>
      </c>
      <c r="O174" s="379" t="str">
        <f>_xlfn.XLOOKUP(E174,'All Products'!D:D,'All Products'!I:I,FALSE)</f>
        <v>Within 3 Weeks</v>
      </c>
      <c r="P174" s="379" t="str">
        <f>_xlfn.XLOOKUP(E174,'All Products'!D:D,'All Products'!J:J,FALSE)</f>
        <v>Manufactured</v>
      </c>
      <c r="Q174" s="504">
        <f>_xlfn.XLOOKUP(F174,'All Products'!E:E,'All Products'!K:K,FALSE)</f>
        <v>810673013746</v>
      </c>
      <c r="R174" s="397" t="str">
        <f>_xlfn.XLOOKUP(E174,'All Products'!D:D,'All Products'!L:L,FALSE)</f>
        <v>-</v>
      </c>
      <c r="S174" s="397">
        <f>_xlfn.XLOOKUP(E174,'All Products'!D:D,'All Products'!M:M,FALSE)</f>
        <v>810673011513</v>
      </c>
      <c r="T174" s="384">
        <f>_xlfn.XLOOKUP(E174,'All Products'!D:D,'All Products'!N:N,FALSE)</f>
        <v>1.0009999999999999</v>
      </c>
      <c r="U174" s="384">
        <f>_xlfn.XLOOKUP(E174,'All Products'!D:D,'All Products'!P:P,FALSE)</f>
        <v>5.004999999999999</v>
      </c>
      <c r="V174" s="384">
        <f>_xlfn.XLOOKUP(E174,'All Products'!D:D,'All Products'!Q:Q,FALSE)</f>
        <v>0.4856358104657279</v>
      </c>
    </row>
    <row r="175" spans="1:22" s="17" customFormat="1" ht="16.2" thickBot="1">
      <c r="A175" s="5" t="str">
        <f>IF(K175&gt;0,COUNT($A$8:A174)+1,"")</f>
        <v/>
      </c>
      <c r="B175" s="446" t="s">
        <v>5810</v>
      </c>
      <c r="C175" s="151"/>
      <c r="D175" s="151"/>
      <c r="E175" s="459"/>
      <c r="F175" s="151"/>
      <c r="G175" s="468"/>
      <c r="H175" s="151"/>
      <c r="I175" s="472"/>
      <c r="J175" s="468"/>
      <c r="K175" s="477"/>
      <c r="L175" s="238"/>
      <c r="M175" s="476"/>
      <c r="O175" s="475"/>
      <c r="P175" s="145"/>
      <c r="Q175" s="492"/>
      <c r="R175" s="493"/>
      <c r="S175" s="493"/>
      <c r="T175" s="479"/>
      <c r="U175" s="459"/>
      <c r="V175" s="489"/>
    </row>
    <row r="176" spans="1:22">
      <c r="A176" s="5" t="str">
        <f>IF(K176&gt;0,COUNT($A$8:A175)+1,"")</f>
        <v/>
      </c>
      <c r="B176" s="664"/>
      <c r="C176" s="665"/>
      <c r="D176" s="369" t="str">
        <f>_xlfn.XLOOKUP(E176,'All Products'!D:D,'All Products'!C:C,FALSE)</f>
        <v>400-3462</v>
      </c>
      <c r="E176" s="103">
        <v>300005667</v>
      </c>
      <c r="F176" s="376" t="str">
        <f>_xlfn.XLOOKUP(E176,'All Products'!D:D,'All Products'!E:E,FALSE)</f>
        <v>1-1/4 SANITARY TEE DWV</v>
      </c>
      <c r="G176" s="232">
        <f>_xlfn.XLOOKUP(E176,'All Products'!D:D,'All Products'!F:F,FALSE)</f>
        <v>50</v>
      </c>
      <c r="H176" s="387">
        <f>_xlfn.XLOOKUP(E176,'All Products'!D:D,'All Products'!G:G,FALSE)</f>
        <v>2000</v>
      </c>
      <c r="I176" s="369" t="str">
        <f>_xlfn.XLOOKUP(E176,'All Products'!D:D,'All Products'!H:H,FALSE)</f>
        <v>Quote Required</v>
      </c>
      <c r="J176" s="183">
        <f>IFERROR(ROUNDUP(I176*Order_Quote!$L$2,2),0)</f>
        <v>0</v>
      </c>
      <c r="K176" s="118"/>
      <c r="L176" s="76"/>
      <c r="M176" s="104">
        <f t="shared" si="3"/>
        <v>0</v>
      </c>
      <c r="O176" s="379" t="str">
        <f>_xlfn.XLOOKUP(E176,'All Products'!D:D,'All Products'!I:I,FALSE)</f>
        <v>Within 6 Weeks</v>
      </c>
      <c r="P176" s="379" t="str">
        <f>_xlfn.XLOOKUP(E176,'All Products'!D:D,'All Products'!J:J,FALSE)</f>
        <v>Sourced</v>
      </c>
      <c r="Q176" s="397">
        <f>_xlfn.XLOOKUP(F176,'All Products'!E:E,'All Products'!K:K,FALSE)</f>
        <v>810673013913</v>
      </c>
      <c r="R176" s="397" t="str">
        <f>_xlfn.XLOOKUP(E176,'All Products'!D:D,'All Products'!L:L,FALSE)</f>
        <v>-</v>
      </c>
      <c r="S176" s="397" t="str">
        <f>_xlfn.XLOOKUP(E176,'All Products'!D:D,'All Products'!M:M,FALSE)</f>
        <v>-</v>
      </c>
      <c r="T176" s="384">
        <f>_xlfn.XLOOKUP(E176,'All Products'!D:D,'All Products'!N:N,FALSE)</f>
        <v>0.24</v>
      </c>
      <c r="U176" s="384">
        <f>_xlfn.XLOOKUP(E176,'All Products'!D:D,'All Products'!P:P,FALSE)</f>
        <v>12</v>
      </c>
      <c r="V176" s="384" t="str">
        <f>_xlfn.XLOOKUP(E176,'All Products'!D:D,'All Products'!Q:Q,FALSE)</f>
        <v>-</v>
      </c>
    </row>
    <row r="177" spans="1:22">
      <c r="A177" s="5" t="str">
        <f>IF(K177&gt;0,COUNT($A$8:A176)+1,"")</f>
        <v/>
      </c>
      <c r="B177" s="646"/>
      <c r="C177" s="647"/>
      <c r="D177" s="369" t="str">
        <f>_xlfn.XLOOKUP(E177,'All Products'!D:D,'All Products'!C:C,FALSE)</f>
        <v>400-3463</v>
      </c>
      <c r="E177" s="103">
        <v>100028992</v>
      </c>
      <c r="F177" s="376" t="str">
        <f>_xlfn.XLOOKUP(E177,'All Products'!D:D,'All Products'!E:E,FALSE)</f>
        <v>1-1/2 SANITARY TEE DWV</v>
      </c>
      <c r="G177" s="232">
        <f>_xlfn.XLOOKUP(E177,'All Products'!D:D,'All Products'!F:F,FALSE)</f>
        <v>100</v>
      </c>
      <c r="H177" s="387">
        <f>_xlfn.XLOOKUP(E177,'All Products'!D:D,'All Products'!G:G,FALSE)</f>
        <v>1800</v>
      </c>
      <c r="I177" s="369">
        <f>_xlfn.XLOOKUP(E177,'All Products'!D:D,'All Products'!H:H,FALSE)</f>
        <v>50.31</v>
      </c>
      <c r="J177" s="183">
        <f>IFERROR(ROUNDUP(I177*Order_Quote!$L$2,2),0)</f>
        <v>50.31</v>
      </c>
      <c r="K177" s="118"/>
      <c r="L177" s="76"/>
      <c r="M177" s="104">
        <f t="shared" si="3"/>
        <v>0</v>
      </c>
      <c r="O177" s="379" t="str">
        <f>_xlfn.XLOOKUP(E177,'All Products'!D:D,'All Products'!I:I,FALSE)</f>
        <v>In Stock</v>
      </c>
      <c r="P177" s="379" t="str">
        <f>_xlfn.XLOOKUP(E177,'All Products'!D:D,'All Products'!J:J,FALSE)</f>
        <v>Manufactured</v>
      </c>
      <c r="Q177" s="397">
        <f>_xlfn.XLOOKUP(F177,'All Products'!E:E,'All Products'!K:K,FALSE)</f>
        <v>810673013920</v>
      </c>
      <c r="R177" s="397" t="str">
        <f>_xlfn.XLOOKUP(E177,'All Products'!D:D,'All Products'!L:L,FALSE)</f>
        <v>-</v>
      </c>
      <c r="S177" s="397">
        <f>_xlfn.XLOOKUP(E177,'All Products'!D:D,'All Products'!M:M,FALSE)</f>
        <v>10810673013927</v>
      </c>
      <c r="T177" s="384">
        <f>_xlfn.XLOOKUP(E177,'All Products'!D:D,'All Products'!N:N,FALSE)</f>
        <v>0.30499999999999999</v>
      </c>
      <c r="U177" s="384">
        <f>_xlfn.XLOOKUP(E177,'All Products'!D:D,'All Products'!P:P,FALSE)</f>
        <v>30.5</v>
      </c>
      <c r="V177" s="384">
        <f>_xlfn.XLOOKUP(E177,'All Products'!D:D,'All Products'!Q:Q,FALSE)</f>
        <v>2.361325291407383</v>
      </c>
    </row>
    <row r="178" spans="1:22">
      <c r="A178" s="5" t="str">
        <f>IF(K178&gt;0,COUNT($A$8:A177)+1,"")</f>
        <v/>
      </c>
      <c r="B178" s="646"/>
      <c r="C178" s="647"/>
      <c r="D178" s="369" t="str">
        <f>_xlfn.XLOOKUP(E178,'All Products'!D:D,'All Products'!C:C,FALSE)</f>
        <v>400-3464</v>
      </c>
      <c r="E178" s="103">
        <v>100028993</v>
      </c>
      <c r="F178" s="376" t="str">
        <f>_xlfn.XLOOKUP(E178,'All Products'!D:D,'All Products'!E:E,FALSE)</f>
        <v>2 SANITARY TEE DWV</v>
      </c>
      <c r="G178" s="232">
        <f>_xlfn.XLOOKUP(E178,'All Products'!D:D,'All Products'!F:F,FALSE)</f>
        <v>35</v>
      </c>
      <c r="H178" s="387">
        <f>_xlfn.XLOOKUP(E178,'All Products'!D:D,'All Products'!G:G,FALSE)</f>
        <v>840</v>
      </c>
      <c r="I178" s="369">
        <f>_xlfn.XLOOKUP(E178,'All Products'!D:D,'All Products'!H:H,FALSE)</f>
        <v>74.069999999999993</v>
      </c>
      <c r="J178" s="183">
        <f>IFERROR(ROUNDUP(I178*Order_Quote!$L$2,2),0)</f>
        <v>74.069999999999993</v>
      </c>
      <c r="K178" s="118"/>
      <c r="L178" s="76"/>
      <c r="M178" s="104">
        <f t="shared" si="3"/>
        <v>0</v>
      </c>
      <c r="O178" s="379" t="str">
        <f>_xlfn.XLOOKUP(E178,'All Products'!D:D,'All Products'!I:I,FALSE)</f>
        <v>In Stock</v>
      </c>
      <c r="P178" s="379" t="str">
        <f>_xlfn.XLOOKUP(E178,'All Products'!D:D,'All Products'!J:J,FALSE)</f>
        <v>Manufactured</v>
      </c>
      <c r="Q178" s="397">
        <f>_xlfn.XLOOKUP(F178,'All Products'!E:E,'All Products'!K:K,FALSE)</f>
        <v>810673013937</v>
      </c>
      <c r="R178" s="397" t="str">
        <f>_xlfn.XLOOKUP(E178,'All Products'!D:D,'All Products'!L:L,FALSE)</f>
        <v>-</v>
      </c>
      <c r="S178" s="397">
        <f>_xlfn.XLOOKUP(E178,'All Products'!D:D,'All Products'!M:M,FALSE)</f>
        <v>10810673013934</v>
      </c>
      <c r="T178" s="384">
        <f>_xlfn.XLOOKUP(E178,'All Products'!D:D,'All Products'!N:N,FALSE)</f>
        <v>0.51700000000000002</v>
      </c>
      <c r="U178" s="384">
        <f>_xlfn.XLOOKUP(E178,'All Products'!D:D,'All Products'!P:P,FALSE)</f>
        <v>18.094999999999999</v>
      </c>
      <c r="V178" s="384">
        <f>_xlfn.XLOOKUP(E178,'All Products'!D:D,'All Products'!Q:Q,FALSE)</f>
        <v>1.8803145838984718</v>
      </c>
    </row>
    <row r="179" spans="1:22">
      <c r="A179" s="5" t="str">
        <f>IF(K179&gt;0,COUNT($A$8:A178)+1,"")</f>
        <v/>
      </c>
      <c r="B179" s="646"/>
      <c r="C179" s="647"/>
      <c r="D179" s="369" t="str">
        <f>_xlfn.XLOOKUP(E179,'All Products'!D:D,'All Products'!C:C,FALSE)</f>
        <v>400-3465</v>
      </c>
      <c r="E179" s="103">
        <v>100028994</v>
      </c>
      <c r="F179" s="376" t="str">
        <f>_xlfn.XLOOKUP(E179,'All Products'!D:D,'All Products'!E:E,FALSE)</f>
        <v>3 SANITARY TEE DWV</v>
      </c>
      <c r="G179" s="232">
        <f>_xlfn.XLOOKUP(E179,'All Products'!D:D,'All Products'!F:F,FALSE)</f>
        <v>30</v>
      </c>
      <c r="H179" s="387">
        <f>_xlfn.XLOOKUP(E179,'All Products'!D:D,'All Products'!G:G,FALSE)</f>
        <v>360</v>
      </c>
      <c r="I179" s="369">
        <f>_xlfn.XLOOKUP(E179,'All Products'!D:D,'All Products'!H:H,FALSE)</f>
        <v>195.07</v>
      </c>
      <c r="J179" s="183">
        <f>IFERROR(ROUNDUP(I179*Order_Quote!$L$2,2),0)</f>
        <v>195.07</v>
      </c>
      <c r="K179" s="118"/>
      <c r="L179" s="76"/>
      <c r="M179" s="104">
        <f t="shared" si="3"/>
        <v>0</v>
      </c>
      <c r="O179" s="379" t="str">
        <f>_xlfn.XLOOKUP(E179,'All Products'!D:D,'All Products'!I:I,FALSE)</f>
        <v>In Stock</v>
      </c>
      <c r="P179" s="379" t="str">
        <f>_xlfn.XLOOKUP(E179,'All Products'!D:D,'All Products'!J:J,FALSE)</f>
        <v>Manufactured</v>
      </c>
      <c r="Q179" s="397">
        <f>_xlfn.XLOOKUP(F179,'All Products'!E:E,'All Products'!K:K,FALSE)</f>
        <v>810673013944</v>
      </c>
      <c r="R179" s="397" t="str">
        <f>_xlfn.XLOOKUP(E179,'All Products'!D:D,'All Products'!L:L,FALSE)</f>
        <v>-</v>
      </c>
      <c r="S179" s="397">
        <f>_xlfn.XLOOKUP(E179,'All Products'!D:D,'All Products'!M:M,FALSE)</f>
        <v>10810673013941</v>
      </c>
      <c r="T179" s="384">
        <f>_xlfn.XLOOKUP(E179,'All Products'!D:D,'All Products'!N:N,FALSE)</f>
        <v>1.4930000000000001</v>
      </c>
      <c r="U179" s="384">
        <f>_xlfn.XLOOKUP(E179,'All Products'!D:D,'All Products'!P:P,FALSE)</f>
        <v>44.790000000000006</v>
      </c>
      <c r="V179" s="384">
        <f>_xlfn.XLOOKUP(E179,'All Products'!D:D,'All Products'!Q:Q,FALSE)</f>
        <v>3.6731726755225957</v>
      </c>
    </row>
    <row r="180" spans="1:22">
      <c r="A180" s="5" t="str">
        <f>IF(K180&gt;0,COUNT($A$8:A179)+1,"")</f>
        <v/>
      </c>
      <c r="B180" s="646"/>
      <c r="C180" s="647"/>
      <c r="D180" s="369" t="str">
        <f>_xlfn.XLOOKUP(E180,'All Products'!D:D,'All Products'!C:C,FALSE)</f>
        <v>400-3466</v>
      </c>
      <c r="E180" s="103">
        <v>100028995</v>
      </c>
      <c r="F180" s="376" t="str">
        <f>_xlfn.XLOOKUP(E180,'All Products'!D:D,'All Products'!E:E,FALSE)</f>
        <v>4 SANITARY TEE DWV</v>
      </c>
      <c r="G180" s="232">
        <f>_xlfn.XLOOKUP(E180,'All Products'!D:D,'All Products'!F:F,FALSE)</f>
        <v>5</v>
      </c>
      <c r="H180" s="387">
        <f>_xlfn.XLOOKUP(E180,'All Products'!D:D,'All Products'!G:G,FALSE)</f>
        <v>160</v>
      </c>
      <c r="I180" s="369">
        <f>_xlfn.XLOOKUP(E180,'All Products'!D:D,'All Products'!H:H,FALSE)</f>
        <v>356.21</v>
      </c>
      <c r="J180" s="183">
        <f>IFERROR(ROUNDUP(I180*Order_Quote!$L$2,2),0)</f>
        <v>356.21</v>
      </c>
      <c r="K180" s="118"/>
      <c r="L180" s="76"/>
      <c r="M180" s="104">
        <f t="shared" si="3"/>
        <v>0</v>
      </c>
      <c r="O180" s="379" t="str">
        <f>_xlfn.XLOOKUP(E180,'All Products'!D:D,'All Products'!I:I,FALSE)</f>
        <v>In Stock</v>
      </c>
      <c r="P180" s="379" t="str">
        <f>_xlfn.XLOOKUP(E180,'All Products'!D:D,'All Products'!J:J,FALSE)</f>
        <v>Manufactured</v>
      </c>
      <c r="Q180" s="397">
        <f>_xlfn.XLOOKUP(F180,'All Products'!E:E,'All Products'!K:K,FALSE)</f>
        <v>810673013951</v>
      </c>
      <c r="R180" s="397" t="str">
        <f>_xlfn.XLOOKUP(E180,'All Products'!D:D,'All Products'!L:L,FALSE)</f>
        <v>-</v>
      </c>
      <c r="S180" s="397">
        <f>_xlfn.XLOOKUP(E180,'All Products'!D:D,'All Products'!M:M,FALSE)</f>
        <v>10810673013958</v>
      </c>
      <c r="T180" s="384">
        <f>_xlfn.XLOOKUP(E180,'All Products'!D:D,'All Products'!N:N,FALSE)</f>
        <v>2.9740000000000002</v>
      </c>
      <c r="U180" s="384">
        <f>_xlfn.XLOOKUP(E180,'All Products'!D:D,'All Products'!P:P,FALSE)</f>
        <v>14.870000000000001</v>
      </c>
      <c r="V180" s="384">
        <f>_xlfn.XLOOKUP(E180,'All Products'!D:D,'All Products'!Q:Q,FALSE)</f>
        <v>1.3788503419060438</v>
      </c>
    </row>
    <row r="181" spans="1:22">
      <c r="A181" s="5" t="str">
        <f>IF(K181&gt;0,COUNT($A$8:A180)+1,"")</f>
        <v/>
      </c>
      <c r="B181" s="652"/>
      <c r="C181" s="653"/>
      <c r="D181" s="369" t="str">
        <f>_xlfn.XLOOKUP(E181,'All Products'!D:D,'All Products'!C:C,FALSE)</f>
        <v>400-3467</v>
      </c>
      <c r="E181" s="103">
        <v>100028996</v>
      </c>
      <c r="F181" s="376" t="str">
        <f>_xlfn.XLOOKUP(E181,'All Products'!D:D,'All Products'!E:E,FALSE)</f>
        <v>6 SANITARY TEE DWV</v>
      </c>
      <c r="G181" s="232">
        <f>_xlfn.XLOOKUP(E181,'All Products'!D:D,'All Products'!F:F,FALSE)</f>
        <v>4</v>
      </c>
      <c r="H181" s="387">
        <f>_xlfn.XLOOKUP(E181,'All Products'!D:D,'All Products'!G:G,FALSE)</f>
        <v>48</v>
      </c>
      <c r="I181" s="369">
        <f>_xlfn.XLOOKUP(E181,'All Products'!D:D,'All Products'!H:H,FALSE)</f>
        <v>1430.47</v>
      </c>
      <c r="J181" s="183">
        <f>IFERROR(ROUNDUP(I181*Order_Quote!$L$2,2),0)</f>
        <v>1430.47</v>
      </c>
      <c r="K181" s="118"/>
      <c r="L181" s="76"/>
      <c r="M181" s="104">
        <f t="shared" si="3"/>
        <v>0</v>
      </c>
      <c r="O181" s="379" t="str">
        <f>_xlfn.XLOOKUP(E181,'All Products'!D:D,'All Products'!I:I,FALSE)</f>
        <v>In Stock</v>
      </c>
      <c r="P181" s="379" t="str">
        <f>_xlfn.XLOOKUP(E181,'All Products'!D:D,'All Products'!J:J,FALSE)</f>
        <v>Manufactured</v>
      </c>
      <c r="Q181" s="397">
        <f>_xlfn.XLOOKUP(F181,'All Products'!E:E,'All Products'!K:K,FALSE)</f>
        <v>810673014118</v>
      </c>
      <c r="R181" s="397" t="str">
        <f>_xlfn.XLOOKUP(E181,'All Products'!D:D,'All Products'!L:L,FALSE)</f>
        <v>-</v>
      </c>
      <c r="S181" s="397">
        <f>_xlfn.XLOOKUP(E181,'All Products'!D:D,'All Products'!M:M,FALSE)</f>
        <v>812361015575</v>
      </c>
      <c r="T181" s="384">
        <f>_xlfn.XLOOKUP(E181,'All Products'!D:D,'All Products'!N:N,FALSE)</f>
        <v>6.8339999999999996</v>
      </c>
      <c r="U181" s="384">
        <f>_xlfn.XLOOKUP(E181,'All Products'!D:D,'All Products'!P:P,FALSE)</f>
        <v>27.335999999999999</v>
      </c>
      <c r="V181" s="384">
        <f>_xlfn.XLOOKUP(E181,'All Products'!D:D,'All Products'!Q:Q,FALSE)</f>
        <v>3.6731726755225957</v>
      </c>
    </row>
    <row r="182" spans="1:22">
      <c r="A182" s="5" t="str">
        <f>IF(K182&gt;0,COUNT($A$8:A181)+1,"")</f>
        <v/>
      </c>
      <c r="B182" s="644"/>
      <c r="C182" s="645"/>
      <c r="D182" s="369" t="str">
        <f>_xlfn.XLOOKUP(E182,'All Products'!D:D,'All Products'!C:C,FALSE)</f>
        <v>401-3469</v>
      </c>
      <c r="E182" s="103">
        <v>100028997</v>
      </c>
      <c r="F182" s="376" t="str">
        <f>_xlfn.XLOOKUP(E182,'All Products'!D:D,'All Products'!E:E,FALSE)</f>
        <v>2X1-1/2X1-1/2 SANITARY TEE RED DWV</v>
      </c>
      <c r="G182" s="232">
        <f>_xlfn.XLOOKUP(E182,'All Products'!D:D,'All Products'!F:F,FALSE)</f>
        <v>25</v>
      </c>
      <c r="H182" s="387">
        <f>_xlfn.XLOOKUP(E182,'All Products'!D:D,'All Products'!G:G,FALSE)</f>
        <v>1125</v>
      </c>
      <c r="I182" s="369">
        <f>_xlfn.XLOOKUP(E182,'All Products'!D:D,'All Products'!H:H,FALSE)</f>
        <v>65.19</v>
      </c>
      <c r="J182" s="183">
        <f>IFERROR(ROUNDUP(I182*Order_Quote!$L$2,2),0)</f>
        <v>65.19</v>
      </c>
      <c r="K182" s="118"/>
      <c r="L182" s="76"/>
      <c r="M182" s="104">
        <f t="shared" si="3"/>
        <v>0</v>
      </c>
      <c r="O182" s="379" t="str">
        <f>_xlfn.XLOOKUP(E182,'All Products'!D:D,'All Products'!I:I,FALSE)</f>
        <v>In Stock</v>
      </c>
      <c r="P182" s="379" t="str">
        <f>_xlfn.XLOOKUP(E182,'All Products'!D:D,'All Products'!J:J,FALSE)</f>
        <v>Manufactured</v>
      </c>
      <c r="Q182" s="397">
        <f>_xlfn.XLOOKUP(F182,'All Products'!E:E,'All Products'!K:K,FALSE)</f>
        <v>810673014897</v>
      </c>
      <c r="R182" s="397" t="str">
        <f>_xlfn.XLOOKUP(E182,'All Products'!D:D,'All Products'!L:L,FALSE)</f>
        <v>-</v>
      </c>
      <c r="S182" s="397">
        <f>_xlfn.XLOOKUP(E182,'All Products'!D:D,'All Products'!M:M,FALSE)</f>
        <v>810673014910</v>
      </c>
      <c r="T182" s="384">
        <f>_xlfn.XLOOKUP(E182,'All Products'!D:D,'All Products'!N:N,FALSE)</f>
        <v>0.42699999999999999</v>
      </c>
      <c r="U182" s="384">
        <f>_xlfn.XLOOKUP(E182,'All Products'!D:D,'All Products'!P:P,FALSE)</f>
        <v>10.674999999999999</v>
      </c>
      <c r="V182" s="384">
        <f>_xlfn.XLOOKUP(E182,'All Products'!D:D,'All Products'!Q:Q,FALSE)</f>
        <v>0.98955954024750914</v>
      </c>
    </row>
    <row r="183" spans="1:22">
      <c r="A183" s="5" t="str">
        <f>IF(K183&gt;0,COUNT($A$8:A182)+1,"")</f>
        <v/>
      </c>
      <c r="B183" s="646"/>
      <c r="C183" s="647"/>
      <c r="D183" s="369" t="str">
        <f>_xlfn.XLOOKUP(E183,'All Products'!D:D,'All Products'!C:C,FALSE)</f>
        <v>401-3470</v>
      </c>
      <c r="E183" s="103">
        <v>100028998</v>
      </c>
      <c r="F183" s="376" t="str">
        <f>_xlfn.XLOOKUP(E183,'All Products'!D:D,'All Products'!E:E,FALSE)</f>
        <v>2X1-1/2X2 SANITARY TEE RED DWV</v>
      </c>
      <c r="G183" s="232">
        <f>_xlfn.XLOOKUP(E183,'All Products'!D:D,'All Products'!F:F,FALSE)</f>
        <v>25</v>
      </c>
      <c r="H183" s="387">
        <f>_xlfn.XLOOKUP(E183,'All Products'!D:D,'All Products'!G:G,FALSE)</f>
        <v>800</v>
      </c>
      <c r="I183" s="369">
        <f>_xlfn.XLOOKUP(E183,'All Products'!D:D,'All Products'!H:H,FALSE)</f>
        <v>78.66</v>
      </c>
      <c r="J183" s="183">
        <f>IFERROR(ROUNDUP(I183*Order_Quote!$L$2,2),0)</f>
        <v>78.66</v>
      </c>
      <c r="K183" s="118"/>
      <c r="L183" s="76"/>
      <c r="M183" s="104">
        <f t="shared" si="3"/>
        <v>0</v>
      </c>
      <c r="O183" s="379" t="str">
        <f>_xlfn.XLOOKUP(E183,'All Products'!D:D,'All Products'!I:I,FALSE)</f>
        <v>In Stock</v>
      </c>
      <c r="P183" s="379" t="str">
        <f>_xlfn.XLOOKUP(E183,'All Products'!D:D,'All Products'!J:J,FALSE)</f>
        <v>Manufactured</v>
      </c>
      <c r="Q183" s="397">
        <f>_xlfn.XLOOKUP(F183,'All Products'!E:E,'All Products'!K:K,FALSE)</f>
        <v>810673014927</v>
      </c>
      <c r="R183" s="397" t="str">
        <f>_xlfn.XLOOKUP(E183,'All Products'!D:D,'All Products'!L:L,FALSE)</f>
        <v>-</v>
      </c>
      <c r="S183" s="397">
        <f>_xlfn.XLOOKUP(E183,'All Products'!D:D,'All Products'!M:M,FALSE)</f>
        <v>810673014934</v>
      </c>
      <c r="T183" s="384">
        <f>_xlfn.XLOOKUP(E183,'All Products'!D:D,'All Products'!N:N,FALSE)</f>
        <v>0.53</v>
      </c>
      <c r="U183" s="384">
        <f>_xlfn.XLOOKUP(E183,'All Products'!D:D,'All Products'!P:P,FALSE)</f>
        <v>13.25</v>
      </c>
      <c r="V183" s="384">
        <f>_xlfn.XLOOKUP(E183,'All Products'!D:D,'All Products'!Q:Q,FALSE)</f>
        <v>1.3788503419060438</v>
      </c>
    </row>
    <row r="184" spans="1:22">
      <c r="A184" s="5" t="str">
        <f>IF(K184&gt;0,COUNT($A$8:A183)+1,"")</f>
        <v/>
      </c>
      <c r="B184" s="646"/>
      <c r="C184" s="647"/>
      <c r="D184" s="369" t="str">
        <f>_xlfn.XLOOKUP(E184,'All Products'!D:D,'All Products'!C:C,FALSE)</f>
        <v>401-3471</v>
      </c>
      <c r="E184" s="103">
        <v>100028999</v>
      </c>
      <c r="F184" s="376" t="str">
        <f>_xlfn.XLOOKUP(E184,'All Products'!D:D,'All Products'!E:E,FALSE)</f>
        <v>2X2X1-1/2 SANITARY TEE RED DWV</v>
      </c>
      <c r="G184" s="232">
        <f>_xlfn.XLOOKUP(E184,'All Products'!D:D,'All Products'!F:F,FALSE)</f>
        <v>50</v>
      </c>
      <c r="H184" s="387">
        <f>_xlfn.XLOOKUP(E184,'All Products'!D:D,'All Products'!G:G,FALSE)</f>
        <v>1200</v>
      </c>
      <c r="I184" s="369">
        <f>_xlfn.XLOOKUP(E184,'All Products'!D:D,'All Products'!H:H,FALSE)</f>
        <v>65.44</v>
      </c>
      <c r="J184" s="183">
        <f>IFERROR(ROUNDUP(I184*Order_Quote!$L$2,2),0)</f>
        <v>65.44</v>
      </c>
      <c r="K184" s="118"/>
      <c r="L184" s="76"/>
      <c r="M184" s="104">
        <f t="shared" si="3"/>
        <v>0</v>
      </c>
      <c r="O184" s="379" t="str">
        <f>_xlfn.XLOOKUP(E184,'All Products'!D:D,'All Products'!I:I,FALSE)</f>
        <v>In Stock</v>
      </c>
      <c r="P184" s="379" t="str">
        <f>_xlfn.XLOOKUP(E184,'All Products'!D:D,'All Products'!J:J,FALSE)</f>
        <v>Manufactured</v>
      </c>
      <c r="Q184" s="397">
        <f>_xlfn.XLOOKUP(F184,'All Products'!E:E,'All Products'!K:K,FALSE)</f>
        <v>810673014941</v>
      </c>
      <c r="R184" s="397" t="str">
        <f>_xlfn.XLOOKUP(E184,'All Products'!D:D,'All Products'!L:L,FALSE)</f>
        <v>-</v>
      </c>
      <c r="S184" s="397">
        <f>_xlfn.XLOOKUP(E184,'All Products'!D:D,'All Products'!M:M,FALSE)</f>
        <v>10810673014948</v>
      </c>
      <c r="T184" s="384">
        <f>_xlfn.XLOOKUP(E184,'All Products'!D:D,'All Products'!N:N,FALSE)</f>
        <v>0.42599999999999999</v>
      </c>
      <c r="U184" s="384">
        <f>_xlfn.XLOOKUP(E184,'All Products'!D:D,'All Products'!P:P,FALSE)</f>
        <v>21.3</v>
      </c>
      <c r="V184" s="384">
        <f>_xlfn.XLOOKUP(E184,'All Products'!D:D,'All Products'!Q:Q,FALSE)</f>
        <v>1.8803145838984718</v>
      </c>
    </row>
    <row r="185" spans="1:22">
      <c r="A185" s="5" t="str">
        <f>IF(K185&gt;0,COUNT($A$8:A184)+1,"")</f>
        <v/>
      </c>
      <c r="B185" s="646"/>
      <c r="C185" s="647"/>
      <c r="D185" s="369" t="str">
        <f>_xlfn.XLOOKUP(E185,'All Products'!D:D,'All Products'!C:C,FALSE)</f>
        <v>401-3472</v>
      </c>
      <c r="E185" s="103">
        <v>100029000</v>
      </c>
      <c r="F185" s="376" t="str">
        <f>_xlfn.XLOOKUP(E185,'All Products'!D:D,'All Products'!E:E,FALSE)</f>
        <v>3X3X1-1/2 SANITARY TEE RED DWV</v>
      </c>
      <c r="G185" s="232">
        <f>_xlfn.XLOOKUP(E185,'All Products'!D:D,'All Products'!F:F,FALSE)</f>
        <v>20</v>
      </c>
      <c r="H185" s="387">
        <f>_xlfn.XLOOKUP(E185,'All Products'!D:D,'All Products'!G:G,FALSE)</f>
        <v>640</v>
      </c>
      <c r="I185" s="369">
        <f>_xlfn.XLOOKUP(E185,'All Products'!D:D,'All Products'!H:H,FALSE)</f>
        <v>141.69999999999999</v>
      </c>
      <c r="J185" s="183">
        <f>IFERROR(ROUNDUP(I185*Order_Quote!$L$2,2),0)</f>
        <v>141.69999999999999</v>
      </c>
      <c r="K185" s="118"/>
      <c r="L185" s="76"/>
      <c r="M185" s="104">
        <f t="shared" si="3"/>
        <v>0</v>
      </c>
      <c r="O185" s="379" t="str">
        <f>_xlfn.XLOOKUP(E185,'All Products'!D:D,'All Products'!I:I,FALSE)</f>
        <v>In Stock</v>
      </c>
      <c r="P185" s="379" t="str">
        <f>_xlfn.XLOOKUP(E185,'All Products'!D:D,'All Products'!J:J,FALSE)</f>
        <v>Manufactured</v>
      </c>
      <c r="Q185" s="397">
        <f>_xlfn.XLOOKUP(F185,'All Products'!E:E,'All Products'!K:K,FALSE)</f>
        <v>810673014965</v>
      </c>
      <c r="R185" s="397" t="str">
        <f>_xlfn.XLOOKUP(E185,'All Products'!D:D,'All Products'!L:L,FALSE)</f>
        <v>-</v>
      </c>
      <c r="S185" s="397">
        <f>_xlfn.XLOOKUP(E185,'All Products'!D:D,'All Products'!M:M,FALSE)</f>
        <v>10810673014962</v>
      </c>
      <c r="T185" s="384">
        <f>_xlfn.XLOOKUP(E185,'All Products'!D:D,'All Products'!N:N,FALSE)</f>
        <v>0.93899999999999995</v>
      </c>
      <c r="U185" s="384">
        <f>_xlfn.XLOOKUP(E185,'All Products'!D:D,'All Products'!P:P,FALSE)</f>
        <v>18.779999999999998</v>
      </c>
      <c r="V185" s="384">
        <f>_xlfn.XLOOKUP(E185,'All Products'!D:D,'All Products'!Q:Q,FALSE)</f>
        <v>1.3788503419060438</v>
      </c>
    </row>
    <row r="186" spans="1:22">
      <c r="A186" s="5" t="str">
        <f>IF(K186&gt;0,COUNT($A$8:A185)+1,"")</f>
        <v/>
      </c>
      <c r="B186" s="646"/>
      <c r="C186" s="647"/>
      <c r="D186" s="369" t="str">
        <f>_xlfn.XLOOKUP(E186,'All Products'!D:D,'All Products'!C:C,FALSE)</f>
        <v>401-3473</v>
      </c>
      <c r="E186" s="103">
        <v>100029001</v>
      </c>
      <c r="F186" s="376" t="str">
        <f>_xlfn.XLOOKUP(E186,'All Products'!D:D,'All Products'!E:E,FALSE)</f>
        <v>3X3X2 SANITARY TEE RED DWV</v>
      </c>
      <c r="G186" s="232">
        <f>_xlfn.XLOOKUP(E186,'All Products'!D:D,'All Products'!F:F,FALSE)</f>
        <v>10</v>
      </c>
      <c r="H186" s="387">
        <f>_xlfn.XLOOKUP(E186,'All Products'!D:D,'All Products'!G:G,FALSE)</f>
        <v>320</v>
      </c>
      <c r="I186" s="369">
        <f>_xlfn.XLOOKUP(E186,'All Products'!D:D,'All Products'!H:H,FALSE)</f>
        <v>146.69999999999999</v>
      </c>
      <c r="J186" s="183">
        <f>IFERROR(ROUNDUP(I186*Order_Quote!$L$2,2),0)</f>
        <v>146.69999999999999</v>
      </c>
      <c r="K186" s="118"/>
      <c r="L186" s="76"/>
      <c r="M186" s="104">
        <f t="shared" si="3"/>
        <v>0</v>
      </c>
      <c r="O186" s="379" t="str">
        <f>_xlfn.XLOOKUP(E186,'All Products'!D:D,'All Products'!I:I,FALSE)</f>
        <v>In Stock</v>
      </c>
      <c r="P186" s="379" t="str">
        <f>_xlfn.XLOOKUP(E186,'All Products'!D:D,'All Products'!J:J,FALSE)</f>
        <v>Manufactured</v>
      </c>
      <c r="Q186" s="397">
        <f>_xlfn.XLOOKUP(F186,'All Products'!E:E,'All Products'!K:K,FALSE)</f>
        <v>810673014989</v>
      </c>
      <c r="R186" s="397" t="str">
        <f>_xlfn.XLOOKUP(E186,'All Products'!D:D,'All Products'!L:L,FALSE)</f>
        <v>-</v>
      </c>
      <c r="S186" s="397">
        <f>_xlfn.XLOOKUP(E186,'All Products'!D:D,'All Products'!M:M,FALSE)</f>
        <v>10810673014986</v>
      </c>
      <c r="T186" s="384">
        <f>_xlfn.XLOOKUP(E186,'All Products'!D:D,'All Products'!N:N,FALSE)</f>
        <v>1.1180000000000001</v>
      </c>
      <c r="U186" s="384">
        <f>_xlfn.XLOOKUP(E186,'All Products'!D:D,'All Products'!P:P,FALSE)</f>
        <v>11.180000000000001</v>
      </c>
      <c r="V186" s="384">
        <f>_xlfn.XLOOKUP(E186,'All Products'!D:D,'All Products'!Q:Q,FALSE)</f>
        <v>1.3788503419060438</v>
      </c>
    </row>
    <row r="187" spans="1:22">
      <c r="A187" s="5" t="str">
        <f>IF(K187&gt;0,COUNT($A$8:A186)+1,"")</f>
        <v/>
      </c>
      <c r="B187" s="646"/>
      <c r="C187" s="647"/>
      <c r="D187" s="369" t="str">
        <f>_xlfn.XLOOKUP(E187,'All Products'!D:D,'All Products'!C:C,FALSE)</f>
        <v>401-3475</v>
      </c>
      <c r="E187" s="103">
        <v>100029002</v>
      </c>
      <c r="F187" s="376" t="str">
        <f>_xlfn.XLOOKUP(E187,'All Products'!D:D,'All Products'!E:E,FALSE)</f>
        <v>4X4X2 SANITARY TEE RED DWV</v>
      </c>
      <c r="G187" s="232">
        <f>_xlfn.XLOOKUP(E187,'All Products'!D:D,'All Products'!F:F,FALSE)</f>
        <v>10</v>
      </c>
      <c r="H187" s="387">
        <f>_xlfn.XLOOKUP(E187,'All Products'!D:D,'All Products'!G:G,FALSE)</f>
        <v>320</v>
      </c>
      <c r="I187" s="369">
        <f>_xlfn.XLOOKUP(E187,'All Products'!D:D,'All Products'!H:H,FALSE)</f>
        <v>306.51</v>
      </c>
      <c r="J187" s="183">
        <f>IFERROR(ROUNDUP(I187*Order_Quote!$L$2,2),0)</f>
        <v>306.51</v>
      </c>
      <c r="K187" s="118"/>
      <c r="L187" s="76"/>
      <c r="M187" s="104">
        <f t="shared" si="3"/>
        <v>0</v>
      </c>
      <c r="O187" s="379" t="str">
        <f>_xlfn.XLOOKUP(E187,'All Products'!D:D,'All Products'!I:I,FALSE)</f>
        <v>In Stock</v>
      </c>
      <c r="P187" s="379" t="str">
        <f>_xlfn.XLOOKUP(E187,'All Products'!D:D,'All Products'!J:J,FALSE)</f>
        <v>Manufactured</v>
      </c>
      <c r="Q187" s="397">
        <f>_xlfn.XLOOKUP(F187,'All Products'!E:E,'All Products'!K:K,FALSE)</f>
        <v>810673015009</v>
      </c>
      <c r="R187" s="397" t="str">
        <f>_xlfn.XLOOKUP(E187,'All Products'!D:D,'All Products'!L:L,FALSE)</f>
        <v>-</v>
      </c>
      <c r="S187" s="397">
        <f>_xlfn.XLOOKUP(E187,'All Products'!D:D,'All Products'!M:M,FALSE)</f>
        <v>10810673015006</v>
      </c>
      <c r="T187" s="384">
        <f>_xlfn.XLOOKUP(E187,'All Products'!D:D,'All Products'!N:N,FALSE)</f>
        <v>1.671</v>
      </c>
      <c r="U187" s="384">
        <f>_xlfn.XLOOKUP(E187,'All Products'!D:D,'All Products'!P:P,FALSE)</f>
        <v>16.71</v>
      </c>
      <c r="V187" s="384">
        <f>_xlfn.XLOOKUP(E187,'All Products'!D:D,'All Products'!Q:Q,FALSE)</f>
        <v>1.3788503419060438</v>
      </c>
    </row>
    <row r="188" spans="1:22">
      <c r="A188" s="5" t="str">
        <f>IF(K188&gt;0,COUNT($A$8:A187)+1,"")</f>
        <v/>
      </c>
      <c r="B188" s="646"/>
      <c r="C188" s="647"/>
      <c r="D188" s="369" t="str">
        <f>_xlfn.XLOOKUP(E188,'All Products'!D:D,'All Products'!C:C,FALSE)</f>
        <v>401-3476</v>
      </c>
      <c r="E188" s="103">
        <v>100029003</v>
      </c>
      <c r="F188" s="376" t="str">
        <f>_xlfn.XLOOKUP(E188,'All Products'!D:D,'All Products'!E:E,FALSE)</f>
        <v>4X4X3 SANITARY TEE RED DWV</v>
      </c>
      <c r="G188" s="232">
        <f>_xlfn.XLOOKUP(E188,'All Products'!D:D,'All Products'!F:F,FALSE)</f>
        <v>10</v>
      </c>
      <c r="H188" s="387">
        <f>_xlfn.XLOOKUP(E188,'All Products'!D:D,'All Products'!G:G,FALSE)</f>
        <v>180</v>
      </c>
      <c r="I188" s="369">
        <f>_xlfn.XLOOKUP(E188,'All Products'!D:D,'All Products'!H:H,FALSE)</f>
        <v>416.6</v>
      </c>
      <c r="J188" s="183">
        <f>IFERROR(ROUNDUP(I188*Order_Quote!$L$2,2),0)</f>
        <v>416.6</v>
      </c>
      <c r="K188" s="118"/>
      <c r="L188" s="76"/>
      <c r="M188" s="104">
        <f t="shared" si="3"/>
        <v>0</v>
      </c>
      <c r="O188" s="379" t="str">
        <f>_xlfn.XLOOKUP(E188,'All Products'!D:D,'All Products'!I:I,FALSE)</f>
        <v>In Stock</v>
      </c>
      <c r="P188" s="379" t="str">
        <f>_xlfn.XLOOKUP(E188,'All Products'!D:D,'All Products'!J:J,FALSE)</f>
        <v>Manufactured</v>
      </c>
      <c r="Q188" s="397">
        <f>_xlfn.XLOOKUP(F188,'All Products'!E:E,'All Products'!K:K,FALSE)</f>
        <v>810673015023</v>
      </c>
      <c r="R188" s="397" t="str">
        <f>_xlfn.XLOOKUP(E188,'All Products'!D:D,'All Products'!L:L,FALSE)</f>
        <v>-</v>
      </c>
      <c r="S188" s="397">
        <f>_xlfn.XLOOKUP(E188,'All Products'!D:D,'All Products'!M:M,FALSE)</f>
        <v>10810673015020</v>
      </c>
      <c r="T188" s="384">
        <f>_xlfn.XLOOKUP(E188,'All Products'!D:D,'All Products'!N:N,FALSE)</f>
        <v>2.1989999999999998</v>
      </c>
      <c r="U188" s="384">
        <f>_xlfn.XLOOKUP(E188,'All Products'!D:D,'All Products'!P:P,FALSE)</f>
        <v>21.99</v>
      </c>
      <c r="V188" s="384">
        <f>_xlfn.XLOOKUP(E188,'All Products'!D:D,'All Products'!Q:Q,FALSE)</f>
        <v>2.361325291407383</v>
      </c>
    </row>
    <row r="189" spans="1:22">
      <c r="A189" s="5" t="str">
        <f>IF(K189&gt;0,COUNT($A$8:A188)+1,"")</f>
        <v/>
      </c>
      <c r="B189" s="652"/>
      <c r="C189" s="653"/>
      <c r="D189" s="369" t="str">
        <f>_xlfn.XLOOKUP(E189,'All Products'!D:D,'All Products'!C:C,FALSE)</f>
        <v>401-3477</v>
      </c>
      <c r="E189" s="103">
        <v>100029004</v>
      </c>
      <c r="F189" s="376" t="str">
        <f>_xlfn.XLOOKUP(E189,'All Products'!D:D,'All Products'!E:E,FALSE)</f>
        <v>6X6X4 SANITARY TEE RED DWV</v>
      </c>
      <c r="G189" s="232">
        <f>_xlfn.XLOOKUP(E189,'All Products'!D:D,'All Products'!F:F,FALSE)</f>
        <v>6</v>
      </c>
      <c r="H189" s="387">
        <f>_xlfn.XLOOKUP(E189,'All Products'!D:D,'All Products'!G:G,FALSE)</f>
        <v>72</v>
      </c>
      <c r="I189" s="369">
        <f>_xlfn.XLOOKUP(E189,'All Products'!D:D,'All Products'!H:H,FALSE)</f>
        <v>1383.4</v>
      </c>
      <c r="J189" s="183">
        <f>IFERROR(ROUNDUP(I189*Order_Quote!$L$2,2),0)</f>
        <v>1383.4</v>
      </c>
      <c r="K189" s="118"/>
      <c r="L189" s="76"/>
      <c r="M189" s="104">
        <f t="shared" si="3"/>
        <v>0</v>
      </c>
      <c r="O189" s="379" t="str">
        <f>_xlfn.XLOOKUP(E189,'All Products'!D:D,'All Products'!I:I,FALSE)</f>
        <v>In Stock</v>
      </c>
      <c r="P189" s="379" t="str">
        <f>_xlfn.XLOOKUP(E189,'All Products'!D:D,'All Products'!J:J,FALSE)</f>
        <v>Manufactured</v>
      </c>
      <c r="Q189" s="397">
        <f>_xlfn.XLOOKUP(F189,'All Products'!E:E,'All Products'!K:K,FALSE)</f>
        <v>812361013380</v>
      </c>
      <c r="R189" s="397" t="str">
        <f>_xlfn.XLOOKUP(E189,'All Products'!D:D,'All Products'!L:L,FALSE)</f>
        <v>-</v>
      </c>
      <c r="S189" s="397">
        <f>_xlfn.XLOOKUP(E189,'All Products'!D:D,'All Products'!M:M,FALSE)</f>
        <v>812361013397</v>
      </c>
      <c r="T189" s="384">
        <f>_xlfn.XLOOKUP(E189,'All Products'!D:D,'All Products'!N:N,FALSE)</f>
        <v>4.883</v>
      </c>
      <c r="U189" s="384">
        <f>_xlfn.XLOOKUP(E189,'All Products'!D:D,'All Products'!P:P,FALSE)</f>
        <v>29.298000000000002</v>
      </c>
      <c r="V189" s="384">
        <f>_xlfn.XLOOKUP(E189,'All Products'!D:D,'All Products'!Q:Q,FALSE)</f>
        <v>3.6731726755225957</v>
      </c>
    </row>
    <row r="190" spans="1:22">
      <c r="A190" s="5" t="str">
        <f>IF(K190&gt;0,COUNT($A$8:A189)+1,"")</f>
        <v/>
      </c>
      <c r="B190" s="644"/>
      <c r="C190" s="645"/>
      <c r="D190" s="369" t="str">
        <f>_xlfn.XLOOKUP(E190,'All Products'!D:D,'All Products'!C:C,FALSE)</f>
        <v>403-3479</v>
      </c>
      <c r="E190" s="103">
        <v>100029005</v>
      </c>
      <c r="F190" s="376" t="str">
        <f>_xlfn.XLOOKUP(E190,'All Products'!D:D,'All Products'!E:E,FALSE)</f>
        <v>1-1/2 SANITARY TEE STREET DWV</v>
      </c>
      <c r="G190" s="232">
        <f>_xlfn.XLOOKUP(E190,'All Products'!D:D,'All Products'!F:F,FALSE)</f>
        <v>20</v>
      </c>
      <c r="H190" s="387">
        <f>_xlfn.XLOOKUP(E190,'All Products'!D:D,'All Products'!G:G,FALSE)</f>
        <v>1600</v>
      </c>
      <c r="I190" s="369">
        <f>_xlfn.XLOOKUP(E190,'All Products'!D:D,'All Products'!H:H,FALSE)</f>
        <v>150.91999999999999</v>
      </c>
      <c r="J190" s="183">
        <f>IFERROR(ROUNDUP(I190*Order_Quote!$L$2,2),0)</f>
        <v>150.91999999999999</v>
      </c>
      <c r="K190" s="118"/>
      <c r="L190" s="76"/>
      <c r="M190" s="104">
        <f t="shared" si="3"/>
        <v>0</v>
      </c>
      <c r="O190" s="379" t="str">
        <f>_xlfn.XLOOKUP(E190,'All Products'!D:D,'All Products'!I:I,FALSE)</f>
        <v>Within 3 Weeks</v>
      </c>
      <c r="P190" s="379" t="str">
        <f>_xlfn.XLOOKUP(E190,'All Products'!D:D,'All Products'!J:J,FALSE)</f>
        <v>Manufactured</v>
      </c>
      <c r="Q190" s="397">
        <f>_xlfn.XLOOKUP(F190,'All Products'!E:E,'All Products'!K:K,FALSE)</f>
        <v>810673014170</v>
      </c>
      <c r="R190" s="397" t="str">
        <f>_xlfn.XLOOKUP(E190,'All Products'!D:D,'All Products'!L:L,FALSE)</f>
        <v>-</v>
      </c>
      <c r="S190" s="397">
        <f>_xlfn.XLOOKUP(E190,'All Products'!D:D,'All Products'!M:M,FALSE)</f>
        <v>810673014187</v>
      </c>
      <c r="T190" s="384">
        <f>_xlfn.XLOOKUP(E190,'All Products'!D:D,'All Products'!N:N,FALSE)</f>
        <v>0.32100000000000001</v>
      </c>
      <c r="U190" s="384">
        <f>_xlfn.XLOOKUP(E190,'All Products'!D:D,'All Products'!P:P,FALSE)</f>
        <v>6.42</v>
      </c>
      <c r="V190" s="384">
        <f>_xlfn.XLOOKUP(E190,'All Products'!D:D,'All Products'!Q:Q,FALSE)</f>
        <v>0.4856358104657279</v>
      </c>
    </row>
    <row r="191" spans="1:22">
      <c r="A191" s="5" t="str">
        <f>IF(K191&gt;0,COUNT($A$8:A190)+1,"")</f>
        <v/>
      </c>
      <c r="B191" s="646"/>
      <c r="C191" s="647"/>
      <c r="D191" s="369" t="str">
        <f>_xlfn.XLOOKUP(E191,'All Products'!D:D,'All Products'!C:C,FALSE)</f>
        <v>403-3480</v>
      </c>
      <c r="E191" s="103">
        <v>100029006</v>
      </c>
      <c r="F191" s="376" t="str">
        <f>_xlfn.XLOOKUP(E191,'All Products'!D:D,'All Products'!E:E,FALSE)</f>
        <v>2 SANITARY TEE STREET DWV</v>
      </c>
      <c r="G191" s="232">
        <f>_xlfn.XLOOKUP(E191,'All Products'!D:D,'All Products'!F:F,FALSE)</f>
        <v>25</v>
      </c>
      <c r="H191" s="387">
        <f>_xlfn.XLOOKUP(E191,'All Products'!D:D,'All Products'!G:G,FALSE)</f>
        <v>800</v>
      </c>
      <c r="I191" s="369">
        <f>_xlfn.XLOOKUP(E191,'All Products'!D:D,'All Products'!H:H,FALSE)</f>
        <v>146.38</v>
      </c>
      <c r="J191" s="183">
        <f>IFERROR(ROUNDUP(I191*Order_Quote!$L$2,2),0)</f>
        <v>146.38</v>
      </c>
      <c r="K191" s="118"/>
      <c r="L191" s="76"/>
      <c r="M191" s="104">
        <f t="shared" si="3"/>
        <v>0</v>
      </c>
      <c r="O191" s="379" t="str">
        <f>_xlfn.XLOOKUP(E191,'All Products'!D:D,'All Products'!I:I,FALSE)</f>
        <v>In Stock</v>
      </c>
      <c r="P191" s="379" t="str">
        <f>_xlfn.XLOOKUP(E191,'All Products'!D:D,'All Products'!J:J,FALSE)</f>
        <v>Manufactured</v>
      </c>
      <c r="Q191" s="397">
        <f>_xlfn.XLOOKUP(F191,'All Products'!E:E,'All Products'!K:K,FALSE)</f>
        <v>810673014194</v>
      </c>
      <c r="R191" s="397" t="str">
        <f>_xlfn.XLOOKUP(E191,'All Products'!D:D,'All Products'!L:L,FALSE)</f>
        <v>-</v>
      </c>
      <c r="S191" s="397">
        <f>_xlfn.XLOOKUP(E191,'All Products'!D:D,'All Products'!M:M,FALSE)</f>
        <v>810673014200</v>
      </c>
      <c r="T191" s="384">
        <f>_xlfn.XLOOKUP(E191,'All Products'!D:D,'All Products'!N:N,FALSE)</f>
        <v>0.52200000000000002</v>
      </c>
      <c r="U191" s="384">
        <f>_xlfn.XLOOKUP(E191,'All Products'!D:D,'All Products'!P:P,FALSE)</f>
        <v>13.05</v>
      </c>
      <c r="V191" s="384">
        <f>_xlfn.XLOOKUP(E191,'All Products'!D:D,'All Products'!Q:Q,FALSE)</f>
        <v>1.3788503419060438</v>
      </c>
    </row>
    <row r="192" spans="1:22">
      <c r="A192" s="5" t="str">
        <f>IF(K192&gt;0,COUNT($A$8:A191)+1,"")</f>
        <v/>
      </c>
      <c r="B192" s="646"/>
      <c r="C192" s="647"/>
      <c r="D192" s="369" t="str">
        <f>_xlfn.XLOOKUP(E192,'All Products'!D:D,'All Products'!C:C,FALSE)</f>
        <v>403-3481</v>
      </c>
      <c r="E192" s="103">
        <v>100029007</v>
      </c>
      <c r="F192" s="376" t="str">
        <f>_xlfn.XLOOKUP(E192,'All Products'!D:D,'All Products'!E:E,FALSE)</f>
        <v>3 SANITARY TEE STREET DWV</v>
      </c>
      <c r="G192" s="232">
        <f>_xlfn.XLOOKUP(E192,'All Products'!D:D,'All Products'!F:F,FALSE)</f>
        <v>30</v>
      </c>
      <c r="H192" s="387">
        <f>_xlfn.XLOOKUP(E192,'All Products'!D:D,'All Products'!G:G,FALSE)</f>
        <v>360</v>
      </c>
      <c r="I192" s="369">
        <f>_xlfn.XLOOKUP(E192,'All Products'!D:D,'All Products'!H:H,FALSE)</f>
        <v>244.02</v>
      </c>
      <c r="J192" s="183">
        <f>IFERROR(ROUNDUP(I192*Order_Quote!$L$2,2),0)</f>
        <v>244.02</v>
      </c>
      <c r="K192" s="118"/>
      <c r="L192" s="76"/>
      <c r="M192" s="104">
        <f t="shared" si="3"/>
        <v>0</v>
      </c>
      <c r="O192" s="379" t="str">
        <f>_xlfn.XLOOKUP(E192,'All Products'!D:D,'All Products'!I:I,FALSE)</f>
        <v>In Stock</v>
      </c>
      <c r="P192" s="379" t="str">
        <f>_xlfn.XLOOKUP(E192,'All Products'!D:D,'All Products'!J:J,FALSE)</f>
        <v>Manufactured</v>
      </c>
      <c r="Q192" s="397">
        <f>_xlfn.XLOOKUP(F192,'All Products'!E:E,'All Products'!K:K,FALSE)</f>
        <v>810673014217</v>
      </c>
      <c r="R192" s="397" t="str">
        <f>_xlfn.XLOOKUP(E192,'All Products'!D:D,'All Products'!L:L,FALSE)</f>
        <v>-</v>
      </c>
      <c r="S192" s="397">
        <f>_xlfn.XLOOKUP(E192,'All Products'!D:D,'All Products'!M:M,FALSE)</f>
        <v>810673014224</v>
      </c>
      <c r="T192" s="384">
        <f>_xlfn.XLOOKUP(E192,'All Products'!D:D,'All Products'!N:N,FALSE)</f>
        <v>1.4670000000000001</v>
      </c>
      <c r="U192" s="384">
        <f>_xlfn.XLOOKUP(E192,'All Products'!D:D,'All Products'!P:P,FALSE)</f>
        <v>44.010000000000005</v>
      </c>
      <c r="V192" s="384">
        <f>_xlfn.XLOOKUP(E192,'All Products'!D:D,'All Products'!Q:Q,FALSE)</f>
        <v>3.6731726755225957</v>
      </c>
    </row>
    <row r="193" spans="1:22">
      <c r="A193" s="5" t="str">
        <f>IF(K193&gt;0,COUNT($A$8:A192)+1,"")</f>
        <v/>
      </c>
      <c r="B193" s="652"/>
      <c r="C193" s="653"/>
      <c r="D193" s="369" t="str">
        <f>_xlfn.XLOOKUP(E193,'All Products'!D:D,'All Products'!C:C,FALSE)</f>
        <v>403-3482</v>
      </c>
      <c r="E193" s="103">
        <v>100029008</v>
      </c>
      <c r="F193" s="376" t="str">
        <f>_xlfn.XLOOKUP(E193,'All Products'!D:D,'All Products'!E:E,FALSE)</f>
        <v>4 SANITARY TEE STREET DWV</v>
      </c>
      <c r="G193" s="232">
        <f>_xlfn.XLOOKUP(E193,'All Products'!D:D,'All Products'!F:F,FALSE)</f>
        <v>10</v>
      </c>
      <c r="H193" s="387">
        <f>_xlfn.XLOOKUP(E193,'All Products'!D:D,'All Products'!G:G,FALSE)</f>
        <v>180</v>
      </c>
      <c r="I193" s="369">
        <f>_xlfn.XLOOKUP(E193,'All Products'!D:D,'All Products'!H:H,FALSE)</f>
        <v>616.21</v>
      </c>
      <c r="J193" s="183">
        <f>IFERROR(ROUNDUP(I193*Order_Quote!$L$2,2),0)</f>
        <v>616.21</v>
      </c>
      <c r="K193" s="118"/>
      <c r="L193" s="76"/>
      <c r="M193" s="104">
        <f t="shared" si="3"/>
        <v>0</v>
      </c>
      <c r="O193" s="379" t="str">
        <f>_xlfn.XLOOKUP(E193,'All Products'!D:D,'All Products'!I:I,FALSE)</f>
        <v>In Stock</v>
      </c>
      <c r="P193" s="379" t="str">
        <f>_xlfn.XLOOKUP(E193,'All Products'!D:D,'All Products'!J:J,FALSE)</f>
        <v>Manufactured</v>
      </c>
      <c r="Q193" s="397">
        <f>_xlfn.XLOOKUP(F193,'All Products'!E:E,'All Products'!K:K,FALSE)</f>
        <v>810673012237</v>
      </c>
      <c r="R193" s="397" t="str">
        <f>_xlfn.XLOOKUP(E193,'All Products'!D:D,'All Products'!L:L,FALSE)</f>
        <v>-</v>
      </c>
      <c r="S193" s="397">
        <f>_xlfn.XLOOKUP(E193,'All Products'!D:D,'All Products'!M:M,FALSE)</f>
        <v>812361015209</v>
      </c>
      <c r="T193" s="384">
        <f>_xlfn.XLOOKUP(E193,'All Products'!D:D,'All Products'!N:N,FALSE)</f>
        <v>2.7050000000000001</v>
      </c>
      <c r="U193" s="384">
        <f>_xlfn.XLOOKUP(E193,'All Products'!D:D,'All Products'!P:P,FALSE)</f>
        <v>27.05</v>
      </c>
      <c r="V193" s="384">
        <f>_xlfn.XLOOKUP(E193,'All Products'!D:D,'All Products'!Q:Q,FALSE)</f>
        <v>2.361325291407383</v>
      </c>
    </row>
    <row r="194" spans="1:22">
      <c r="A194" s="5" t="str">
        <f>IF(K194&gt;0,COUNT($A$8:A193)+1,"")</f>
        <v/>
      </c>
      <c r="B194" s="644"/>
      <c r="C194" s="645"/>
      <c r="D194" s="369" t="str">
        <f>_xlfn.XLOOKUP(E194,'All Products'!D:D,'All Products'!C:C,FALSE)</f>
        <v>404-3484</v>
      </c>
      <c r="E194" s="103">
        <v>100029010</v>
      </c>
      <c r="F194" s="376" t="str">
        <f>_xlfn.XLOOKUP(E194,'All Products'!D:D,'All Products'!E:E,FALSE)</f>
        <v>2X2X1-1/2 SANITARY TEE STREET DWV</v>
      </c>
      <c r="G194" s="232">
        <f>_xlfn.XLOOKUP(E194,'All Products'!D:D,'All Products'!F:F,FALSE)</f>
        <v>50</v>
      </c>
      <c r="H194" s="387">
        <f>_xlfn.XLOOKUP(E194,'All Products'!D:D,'All Products'!G:G,FALSE)</f>
        <v>1200</v>
      </c>
      <c r="I194" s="369">
        <f>_xlfn.XLOOKUP(E194,'All Products'!D:D,'All Products'!H:H,FALSE)</f>
        <v>139.79</v>
      </c>
      <c r="J194" s="183">
        <f>IFERROR(ROUNDUP(I194*Order_Quote!$L$2,2),0)</f>
        <v>139.79</v>
      </c>
      <c r="K194" s="118"/>
      <c r="L194" s="76"/>
      <c r="M194" s="104">
        <f t="shared" si="3"/>
        <v>0</v>
      </c>
      <c r="O194" s="379" t="str">
        <f>_xlfn.XLOOKUP(E194,'All Products'!D:D,'All Products'!I:I,FALSE)</f>
        <v>In Stock</v>
      </c>
      <c r="P194" s="379" t="str">
        <f>_xlfn.XLOOKUP(E194,'All Products'!D:D,'All Products'!J:J,FALSE)</f>
        <v>Manufactured</v>
      </c>
      <c r="Q194" s="397">
        <f>_xlfn.XLOOKUP(F194,'All Products'!E:E,'All Products'!K:K,FALSE)</f>
        <v>812361017975</v>
      </c>
      <c r="R194" s="397" t="str">
        <f>_xlfn.XLOOKUP(E194,'All Products'!D:D,'All Products'!L:L,FALSE)</f>
        <v>-</v>
      </c>
      <c r="S194" s="397">
        <f>_xlfn.XLOOKUP(E194,'All Products'!D:D,'All Products'!M:M,FALSE)</f>
        <v>812361017968</v>
      </c>
      <c r="T194" s="384">
        <f>_xlfn.XLOOKUP(E194,'All Products'!D:D,'All Products'!N:N,FALSE)</f>
        <v>0.42899999999999999</v>
      </c>
      <c r="U194" s="384">
        <f>_xlfn.XLOOKUP(E194,'All Products'!D:D,'All Products'!P:P,FALSE)</f>
        <v>21.45</v>
      </c>
      <c r="V194" s="384">
        <f>_xlfn.XLOOKUP(E194,'All Products'!D:D,'All Products'!Q:Q,FALSE)</f>
        <v>1.8803145838984718</v>
      </c>
    </row>
    <row r="195" spans="1:22">
      <c r="A195" s="5" t="str">
        <f>IF(K195&gt;0,COUNT($A$8:A194)+1,"")</f>
        <v/>
      </c>
      <c r="B195" s="646"/>
      <c r="C195" s="647"/>
      <c r="D195" s="369" t="str">
        <f>_xlfn.XLOOKUP(E195,'All Products'!D:D,'All Products'!C:C,FALSE)</f>
        <v>404-3485</v>
      </c>
      <c r="E195" s="103">
        <v>300005668</v>
      </c>
      <c r="F195" s="376" t="str">
        <f>_xlfn.XLOOKUP(E195,'All Products'!D:D,'All Products'!E:E,FALSE)</f>
        <v>3X3X1-1/2 SANITARY TEE ST RED DWV</v>
      </c>
      <c r="G195" s="232">
        <f>_xlfn.XLOOKUP(E195,'All Products'!D:D,'All Products'!F:F,FALSE)</f>
        <v>10</v>
      </c>
      <c r="H195" s="387">
        <f>_xlfn.XLOOKUP(E195,'All Products'!D:D,'All Products'!G:G,FALSE)</f>
        <v>450</v>
      </c>
      <c r="I195" s="369" t="str">
        <f>_xlfn.XLOOKUP(E195,'All Products'!D:D,'All Products'!H:H,FALSE)</f>
        <v>Quote Required</v>
      </c>
      <c r="J195" s="183">
        <f>IFERROR(ROUNDUP(I195*Order_Quote!$L$2,2),0)</f>
        <v>0</v>
      </c>
      <c r="K195" s="118"/>
      <c r="L195" s="76"/>
      <c r="M195" s="104">
        <f t="shared" si="3"/>
        <v>0</v>
      </c>
      <c r="O195" s="379" t="str">
        <f>_xlfn.XLOOKUP(E195,'All Products'!D:D,'All Products'!I:I,FALSE)</f>
        <v>Within 6 Weeks</v>
      </c>
      <c r="P195" s="379" t="str">
        <f>_xlfn.XLOOKUP(E195,'All Products'!D:D,'All Products'!J:J,FALSE)</f>
        <v>Sourced</v>
      </c>
      <c r="Q195" s="397">
        <f>_xlfn.XLOOKUP(F195,'All Products'!E:E,'All Products'!K:K,FALSE)</f>
        <v>812361017944</v>
      </c>
      <c r="R195" s="397" t="str">
        <f>_xlfn.XLOOKUP(E195,'All Products'!D:D,'All Products'!L:L,FALSE)</f>
        <v>-</v>
      </c>
      <c r="S195" s="397" t="str">
        <f>_xlfn.XLOOKUP(E195,'All Products'!D:D,'All Products'!M:M,FALSE)</f>
        <v>-</v>
      </c>
      <c r="T195" s="384">
        <f>_xlfn.XLOOKUP(E195,'All Products'!D:D,'All Products'!N:N,FALSE)</f>
        <v>0.78600000000000003</v>
      </c>
      <c r="U195" s="384">
        <f>_xlfn.XLOOKUP(E195,'All Products'!D:D,'All Products'!P:P,FALSE)</f>
        <v>7.86</v>
      </c>
      <c r="V195" s="384" t="str">
        <f>_xlfn.XLOOKUP(E195,'All Products'!D:D,'All Products'!Q:Q,FALSE)</f>
        <v>-</v>
      </c>
    </row>
    <row r="196" spans="1:22">
      <c r="A196" s="5" t="str">
        <f>IF(K196&gt;0,COUNT($A$8:A195)+1,"")</f>
        <v/>
      </c>
      <c r="B196" s="652"/>
      <c r="C196" s="653"/>
      <c r="D196" s="369" t="str">
        <f>_xlfn.XLOOKUP(E196,'All Products'!D:D,'All Products'!C:C,FALSE)</f>
        <v>404-3486</v>
      </c>
      <c r="E196" s="103">
        <v>300005669</v>
      </c>
      <c r="F196" s="376" t="str">
        <f>_xlfn.XLOOKUP(E196,'All Products'!D:D,'All Products'!E:E,FALSE)</f>
        <v>3X3X2 SANITARY TEE STREET RED DWV</v>
      </c>
      <c r="G196" s="232">
        <f>_xlfn.XLOOKUP(E196,'All Products'!D:D,'All Products'!F:F,FALSE)</f>
        <v>20</v>
      </c>
      <c r="H196" s="387">
        <f>_xlfn.XLOOKUP(E196,'All Products'!D:D,'All Products'!G:G,FALSE)</f>
        <v>350</v>
      </c>
      <c r="I196" s="369" t="str">
        <f>_xlfn.XLOOKUP(E196,'All Products'!D:D,'All Products'!H:H,FALSE)</f>
        <v>Quote Required</v>
      </c>
      <c r="J196" s="183">
        <f>IFERROR(ROUNDUP(I196*Order_Quote!$L$2,2),0)</f>
        <v>0</v>
      </c>
      <c r="K196" s="118"/>
      <c r="L196" s="76"/>
      <c r="M196" s="104">
        <f t="shared" si="3"/>
        <v>0</v>
      </c>
      <c r="O196" s="379" t="str">
        <f>_xlfn.XLOOKUP(E196,'All Products'!D:D,'All Products'!I:I,FALSE)</f>
        <v>Within 6 Weeks</v>
      </c>
      <c r="P196" s="379" t="str">
        <f>_xlfn.XLOOKUP(E196,'All Products'!D:D,'All Products'!J:J,FALSE)</f>
        <v>Sourced</v>
      </c>
      <c r="Q196" s="397">
        <f>_xlfn.XLOOKUP(F196,'All Products'!E:E,'All Products'!K:K,FALSE)</f>
        <v>812361018125</v>
      </c>
      <c r="R196" s="397" t="str">
        <f>_xlfn.XLOOKUP(E196,'All Products'!D:D,'All Products'!L:L,FALSE)</f>
        <v>-</v>
      </c>
      <c r="S196" s="397" t="str">
        <f>_xlfn.XLOOKUP(E196,'All Products'!D:D,'All Products'!M:M,FALSE)</f>
        <v>-</v>
      </c>
      <c r="T196" s="384">
        <f>_xlfn.XLOOKUP(E196,'All Products'!D:D,'All Products'!N:N,FALSE)</f>
        <v>0.85</v>
      </c>
      <c r="U196" s="384">
        <f>_xlfn.XLOOKUP(E196,'All Products'!D:D,'All Products'!P:P,FALSE)</f>
        <v>17</v>
      </c>
      <c r="V196" s="384" t="str">
        <f>_xlfn.XLOOKUP(E196,'All Products'!D:D,'All Products'!Q:Q,FALSE)</f>
        <v>-</v>
      </c>
    </row>
    <row r="197" spans="1:22">
      <c r="A197" s="5" t="str">
        <f>IF(K197&gt;0,COUNT($A$8:A196)+1,"")</f>
        <v/>
      </c>
      <c r="B197" s="644"/>
      <c r="C197" s="645"/>
      <c r="D197" s="369" t="str">
        <f>_xlfn.XLOOKUP(E197,'All Products'!D:D,'All Products'!C:C,FALSE)</f>
        <v>416-3500</v>
      </c>
      <c r="E197" s="103">
        <v>300005670</v>
      </c>
      <c r="F197" s="376" t="str">
        <f>_xlfn.XLOOKUP(E197,'All Products'!D:D,'All Products'!E:E,FALSE)</f>
        <v>3 SAN TEE W/1-1/2" L SIDE INLET DWV</v>
      </c>
      <c r="G197" s="232">
        <f>_xlfn.XLOOKUP(E197,'All Products'!D:D,'All Products'!F:F,FALSE)</f>
        <v>10</v>
      </c>
      <c r="H197" s="387">
        <f>_xlfn.XLOOKUP(E197,'All Products'!D:D,'All Products'!G:G,FALSE)</f>
        <v>180</v>
      </c>
      <c r="I197" s="369" t="str">
        <f>_xlfn.XLOOKUP(E197,'All Products'!D:D,'All Products'!H:H,FALSE)</f>
        <v>Quote Required</v>
      </c>
      <c r="J197" s="183">
        <f>IFERROR(ROUNDUP(I197*Order_Quote!$L$2,2),0)</f>
        <v>0</v>
      </c>
      <c r="K197" s="118"/>
      <c r="L197" s="76"/>
      <c r="M197" s="104">
        <f t="shared" si="3"/>
        <v>0</v>
      </c>
      <c r="O197" s="379" t="str">
        <f>_xlfn.XLOOKUP(E197,'All Products'!D:D,'All Products'!I:I,FALSE)</f>
        <v>Within 6 Weeks</v>
      </c>
      <c r="P197" s="379" t="str">
        <f>_xlfn.XLOOKUP(E197,'All Products'!D:D,'All Products'!J:J,FALSE)</f>
        <v>Sourced</v>
      </c>
      <c r="Q197" s="397">
        <f>_xlfn.XLOOKUP(F197,'All Products'!E:E,'All Products'!K:K,FALSE)</f>
        <v>812361013502</v>
      </c>
      <c r="R197" s="397" t="str">
        <f>_xlfn.XLOOKUP(E197,'All Products'!D:D,'All Products'!L:L,FALSE)</f>
        <v>-</v>
      </c>
      <c r="S197" s="397" t="str">
        <f>_xlfn.XLOOKUP(E197,'All Products'!D:D,'All Products'!M:M,FALSE)</f>
        <v>-</v>
      </c>
      <c r="T197" s="384">
        <f>_xlfn.XLOOKUP(E197,'All Products'!D:D,'All Products'!N:N,FALSE)</f>
        <v>1.629</v>
      </c>
      <c r="U197" s="384">
        <f>_xlfn.XLOOKUP(E197,'All Products'!D:D,'All Products'!P:P,FALSE)</f>
        <v>16.29</v>
      </c>
      <c r="V197" s="384" t="str">
        <f>_xlfn.XLOOKUP(E197,'All Products'!D:D,'All Products'!Q:Q,FALSE)</f>
        <v>-</v>
      </c>
    </row>
    <row r="198" spans="1:22">
      <c r="A198" s="5" t="str">
        <f>IF(K198&gt;0,COUNT($A$8:A197)+1,"")</f>
        <v/>
      </c>
      <c r="B198" s="646"/>
      <c r="C198" s="647"/>
      <c r="D198" s="369" t="str">
        <f>_xlfn.XLOOKUP(E198,'All Products'!D:D,'All Products'!C:C,FALSE)</f>
        <v>416-3501</v>
      </c>
      <c r="E198" s="103">
        <v>300005671</v>
      </c>
      <c r="F198" s="376" t="str">
        <f>_xlfn.XLOOKUP(E198,'All Products'!D:D,'All Products'!E:E,FALSE)</f>
        <v>3 SAN TEE W/2" L SIDE INLET DWV</v>
      </c>
      <c r="G198" s="232">
        <f>_xlfn.XLOOKUP(E198,'All Products'!D:D,'All Products'!F:F,FALSE)</f>
        <v>10</v>
      </c>
      <c r="H198" s="387">
        <f>_xlfn.XLOOKUP(E198,'All Products'!D:D,'All Products'!G:G,FALSE)</f>
        <v>180</v>
      </c>
      <c r="I198" s="369" t="str">
        <f>_xlfn.XLOOKUP(E198,'All Products'!D:D,'All Products'!H:H,FALSE)</f>
        <v>Quote Required</v>
      </c>
      <c r="J198" s="183">
        <f>IFERROR(ROUNDUP(I198*Order_Quote!$L$2,2),0)</f>
        <v>0</v>
      </c>
      <c r="K198" s="118"/>
      <c r="L198" s="76"/>
      <c r="M198" s="104">
        <f t="shared" si="3"/>
        <v>0</v>
      </c>
      <c r="O198" s="379" t="str">
        <f>_xlfn.XLOOKUP(E198,'All Products'!D:D,'All Products'!I:I,FALSE)</f>
        <v>Within 6 Weeks</v>
      </c>
      <c r="P198" s="379" t="str">
        <f>_xlfn.XLOOKUP(E198,'All Products'!D:D,'All Products'!J:J,FALSE)</f>
        <v>Sourced</v>
      </c>
      <c r="Q198" s="397">
        <f>_xlfn.XLOOKUP(F198,'All Products'!E:E,'All Products'!K:K,FALSE)</f>
        <v>812361013526</v>
      </c>
      <c r="R198" s="397" t="str">
        <f>_xlfn.XLOOKUP(E198,'All Products'!D:D,'All Products'!L:L,FALSE)</f>
        <v>-</v>
      </c>
      <c r="S198" s="397" t="str">
        <f>_xlfn.XLOOKUP(E198,'All Products'!D:D,'All Products'!M:M,FALSE)</f>
        <v>-</v>
      </c>
      <c r="T198" s="384">
        <f>_xlfn.XLOOKUP(E198,'All Products'!D:D,'All Products'!N:N,FALSE)</f>
        <v>1.756</v>
      </c>
      <c r="U198" s="384">
        <f>_xlfn.XLOOKUP(E198,'All Products'!D:D,'All Products'!P:P,FALSE)</f>
        <v>17.559999999999999</v>
      </c>
      <c r="V198" s="384" t="str">
        <f>_xlfn.XLOOKUP(E198,'All Products'!D:D,'All Products'!Q:Q,FALSE)</f>
        <v>-</v>
      </c>
    </row>
    <row r="199" spans="1:22">
      <c r="A199" s="5" t="str">
        <f>IF(K199&gt;0,COUNT($A$8:A198)+1,"")</f>
        <v/>
      </c>
      <c r="B199" s="652"/>
      <c r="C199" s="653"/>
      <c r="D199" s="369" t="str">
        <f>_xlfn.XLOOKUP(E199,'All Products'!D:D,'All Products'!C:C,FALSE)</f>
        <v>416-3502</v>
      </c>
      <c r="E199" s="103">
        <v>300005672</v>
      </c>
      <c r="F199" s="376" t="str">
        <f>_xlfn.XLOOKUP(E199,'All Products'!D:D,'All Products'!E:E,FALSE)</f>
        <v>4 SAN TEE W/2" L SIDE INLET DWV</v>
      </c>
      <c r="G199" s="232">
        <f>_xlfn.XLOOKUP(E199,'All Products'!D:D,'All Products'!F:F,FALSE)</f>
        <v>5</v>
      </c>
      <c r="H199" s="387">
        <f>_xlfn.XLOOKUP(E199,'All Products'!D:D,'All Products'!G:G,FALSE)</f>
        <v>120</v>
      </c>
      <c r="I199" s="369" t="str">
        <f>_xlfn.XLOOKUP(E199,'All Products'!D:D,'All Products'!H:H,FALSE)</f>
        <v>Quote Required</v>
      </c>
      <c r="J199" s="183">
        <f>IFERROR(ROUNDUP(I199*Order_Quote!$L$2,2),0)</f>
        <v>0</v>
      </c>
      <c r="K199" s="118"/>
      <c r="L199" s="76"/>
      <c r="M199" s="104">
        <f t="shared" si="3"/>
        <v>0</v>
      </c>
      <c r="O199" s="379" t="str">
        <f>_xlfn.XLOOKUP(E199,'All Products'!D:D,'All Products'!I:I,FALSE)</f>
        <v>Within 3 Weeks</v>
      </c>
      <c r="P199" s="379" t="str">
        <f>_xlfn.XLOOKUP(E199,'All Products'!D:D,'All Products'!J:J,FALSE)</f>
        <v>Sourced</v>
      </c>
      <c r="Q199" s="397">
        <f>_xlfn.XLOOKUP(F199,'All Products'!E:E,'All Products'!K:K,FALSE)</f>
        <v>812361013540</v>
      </c>
      <c r="R199" s="397" t="str">
        <f>_xlfn.XLOOKUP(E199,'All Products'!D:D,'All Products'!L:L,FALSE)</f>
        <v>-</v>
      </c>
      <c r="S199" s="397" t="str">
        <f>_xlfn.XLOOKUP(E199,'All Products'!D:D,'All Products'!M:M,FALSE)</f>
        <v>-</v>
      </c>
      <c r="T199" s="384">
        <f>_xlfn.XLOOKUP(E199,'All Products'!D:D,'All Products'!N:N,FALSE)</f>
        <v>2.78</v>
      </c>
      <c r="U199" s="384">
        <f>_xlfn.XLOOKUP(E199,'All Products'!D:D,'All Products'!P:P,FALSE)</f>
        <v>13.899999999999999</v>
      </c>
      <c r="V199" s="384" t="str">
        <f>_xlfn.XLOOKUP(E199,'All Products'!D:D,'All Products'!Q:Q,FALSE)</f>
        <v>-</v>
      </c>
    </row>
    <row r="200" spans="1:22">
      <c r="A200" s="5" t="str">
        <f>IF(K200&gt;0,COUNT($A$8:A199)+1,"")</f>
        <v/>
      </c>
      <c r="B200" s="644"/>
      <c r="C200" s="645"/>
      <c r="D200" s="369" t="str">
        <f>_xlfn.XLOOKUP(E200,'All Products'!D:D,'All Products'!C:C,FALSE)</f>
        <v>417-3503</v>
      </c>
      <c r="E200" s="103">
        <v>300005673</v>
      </c>
      <c r="F200" s="376" t="str">
        <f>_xlfn.XLOOKUP(E200,'All Products'!D:D,'All Products'!E:E,FALSE)</f>
        <v>3 SAN TEE W/1-1/2" R SIDE INLET DWV</v>
      </c>
      <c r="G200" s="232">
        <f>_xlfn.XLOOKUP(E200,'All Products'!D:D,'All Products'!F:F,FALSE)</f>
        <v>10</v>
      </c>
      <c r="H200" s="387">
        <f>_xlfn.XLOOKUP(E200,'All Products'!D:D,'All Products'!G:G,FALSE)</f>
        <v>180</v>
      </c>
      <c r="I200" s="369" t="str">
        <f>_xlfn.XLOOKUP(E200,'All Products'!D:D,'All Products'!H:H,FALSE)</f>
        <v>Quote Required</v>
      </c>
      <c r="J200" s="183">
        <f>IFERROR(ROUNDUP(I200*Order_Quote!$L$2,2),0)</f>
        <v>0</v>
      </c>
      <c r="K200" s="118"/>
      <c r="L200" s="76"/>
      <c r="M200" s="104">
        <f t="shared" si="3"/>
        <v>0</v>
      </c>
      <c r="O200" s="379" t="str">
        <f>_xlfn.XLOOKUP(E200,'All Products'!D:D,'All Products'!I:I,FALSE)</f>
        <v>Within 6 Weeks</v>
      </c>
      <c r="P200" s="379" t="str">
        <f>_xlfn.XLOOKUP(E200,'All Products'!D:D,'All Products'!J:J,FALSE)</f>
        <v>Sourced</v>
      </c>
      <c r="Q200" s="397">
        <f>_xlfn.XLOOKUP(F200,'All Products'!E:E,'All Products'!K:K,FALSE)</f>
        <v>812361013564</v>
      </c>
      <c r="R200" s="397" t="str">
        <f>_xlfn.XLOOKUP(E200,'All Products'!D:D,'All Products'!L:L,FALSE)</f>
        <v>-</v>
      </c>
      <c r="S200" s="397" t="str">
        <f>_xlfn.XLOOKUP(E200,'All Products'!D:D,'All Products'!M:M,FALSE)</f>
        <v>-</v>
      </c>
      <c r="T200" s="384">
        <f>_xlfn.XLOOKUP(E200,'All Products'!D:D,'All Products'!N:N,FALSE)</f>
        <v>1.647</v>
      </c>
      <c r="U200" s="384">
        <f>_xlfn.XLOOKUP(E200,'All Products'!D:D,'All Products'!P:P,FALSE)</f>
        <v>16.47</v>
      </c>
      <c r="V200" s="384" t="str">
        <f>_xlfn.XLOOKUP(E200,'All Products'!D:D,'All Products'!Q:Q,FALSE)</f>
        <v>-</v>
      </c>
    </row>
    <row r="201" spans="1:22">
      <c r="A201" s="5" t="str">
        <f>IF(K201&gt;0,COUNT($A$8:A200)+1,"")</f>
        <v/>
      </c>
      <c r="B201" s="646"/>
      <c r="C201" s="647"/>
      <c r="D201" s="369" t="str">
        <f>_xlfn.XLOOKUP(E201,'All Products'!D:D,'All Products'!C:C,FALSE)</f>
        <v>417-3504</v>
      </c>
      <c r="E201" s="103">
        <v>300005674</v>
      </c>
      <c r="F201" s="376" t="str">
        <f>_xlfn.XLOOKUP(E201,'All Products'!D:D,'All Products'!E:E,FALSE)</f>
        <v>3 SAN TEE W/2" R SIDE INLET DWV</v>
      </c>
      <c r="G201" s="232">
        <f>_xlfn.XLOOKUP(E201,'All Products'!D:D,'All Products'!F:F,FALSE)</f>
        <v>10</v>
      </c>
      <c r="H201" s="387">
        <f>_xlfn.XLOOKUP(E201,'All Products'!D:D,'All Products'!G:G,FALSE)</f>
        <v>180</v>
      </c>
      <c r="I201" s="369" t="str">
        <f>_xlfn.XLOOKUP(E201,'All Products'!D:D,'All Products'!H:H,FALSE)</f>
        <v>Quote Required</v>
      </c>
      <c r="J201" s="183">
        <f>IFERROR(ROUNDUP(I201*Order_Quote!$L$2,2),0)</f>
        <v>0</v>
      </c>
      <c r="K201" s="118"/>
      <c r="L201" s="76"/>
      <c r="M201" s="104">
        <f t="shared" si="3"/>
        <v>0</v>
      </c>
      <c r="O201" s="379" t="str">
        <f>_xlfn.XLOOKUP(E201,'All Products'!D:D,'All Products'!I:I,FALSE)</f>
        <v>Within 6 Weeks</v>
      </c>
      <c r="P201" s="379" t="str">
        <f>_xlfn.XLOOKUP(E201,'All Products'!D:D,'All Products'!J:J,FALSE)</f>
        <v>Sourced</v>
      </c>
      <c r="Q201" s="397">
        <f>_xlfn.XLOOKUP(F201,'All Products'!E:E,'All Products'!K:K,FALSE)</f>
        <v>812361013588</v>
      </c>
      <c r="R201" s="397" t="str">
        <f>_xlfn.XLOOKUP(E201,'All Products'!D:D,'All Products'!L:L,FALSE)</f>
        <v>-</v>
      </c>
      <c r="S201" s="397" t="str">
        <f>_xlfn.XLOOKUP(E201,'All Products'!D:D,'All Products'!M:M,FALSE)</f>
        <v>-</v>
      </c>
      <c r="T201" s="384">
        <f>_xlfn.XLOOKUP(E201,'All Products'!D:D,'All Products'!N:N,FALSE)</f>
        <v>1.7729999999999999</v>
      </c>
      <c r="U201" s="384">
        <f>_xlfn.XLOOKUP(E201,'All Products'!D:D,'All Products'!P:P,FALSE)</f>
        <v>17.73</v>
      </c>
      <c r="V201" s="384" t="str">
        <f>_xlfn.XLOOKUP(E201,'All Products'!D:D,'All Products'!Q:Q,FALSE)</f>
        <v>-</v>
      </c>
    </row>
    <row r="202" spans="1:22">
      <c r="A202" s="5" t="str">
        <f>IF(K202&gt;0,COUNT($A$8:A201)+1,"")</f>
        <v/>
      </c>
      <c r="B202" s="652"/>
      <c r="C202" s="653"/>
      <c r="D202" s="369" t="str">
        <f>_xlfn.XLOOKUP(E202,'All Products'!D:D,'All Products'!C:C,FALSE)</f>
        <v>417-3505</v>
      </c>
      <c r="E202" s="103">
        <v>300005675</v>
      </c>
      <c r="F202" s="376" t="str">
        <f>_xlfn.XLOOKUP(E202,'All Products'!D:D,'All Products'!E:E,FALSE)</f>
        <v>4 SAN TEE W/2" R SIDE INLET DWV</v>
      </c>
      <c r="G202" s="232">
        <f>_xlfn.XLOOKUP(E202,'All Products'!D:D,'All Products'!F:F,FALSE)</f>
        <v>5</v>
      </c>
      <c r="H202" s="387">
        <f>_xlfn.XLOOKUP(E202,'All Products'!D:D,'All Products'!G:G,FALSE)</f>
        <v>80</v>
      </c>
      <c r="I202" s="369" t="str">
        <f>_xlfn.XLOOKUP(E202,'All Products'!D:D,'All Products'!H:H,FALSE)</f>
        <v>Quote Required</v>
      </c>
      <c r="J202" s="183">
        <f>IFERROR(ROUNDUP(I202*Order_Quote!$L$2,2),0)</f>
        <v>0</v>
      </c>
      <c r="K202" s="118"/>
      <c r="L202" s="76"/>
      <c r="M202" s="104">
        <f t="shared" si="3"/>
        <v>0</v>
      </c>
      <c r="O202" s="379" t="str">
        <f>_xlfn.XLOOKUP(E202,'All Products'!D:D,'All Products'!I:I,FALSE)</f>
        <v>Within 3 Weeks</v>
      </c>
      <c r="P202" s="379" t="str">
        <f>_xlfn.XLOOKUP(E202,'All Products'!D:D,'All Products'!J:J,FALSE)</f>
        <v>Sourced</v>
      </c>
      <c r="Q202" s="397">
        <f>_xlfn.XLOOKUP(F202,'All Products'!E:E,'All Products'!K:K,FALSE)</f>
        <v>812361013601</v>
      </c>
      <c r="R202" s="397" t="str">
        <f>_xlfn.XLOOKUP(E202,'All Products'!D:D,'All Products'!L:L,FALSE)</f>
        <v>-</v>
      </c>
      <c r="S202" s="397" t="str">
        <f>_xlfn.XLOOKUP(E202,'All Products'!D:D,'All Products'!M:M,FALSE)</f>
        <v>-</v>
      </c>
      <c r="T202" s="384">
        <f>_xlfn.XLOOKUP(E202,'All Products'!D:D,'All Products'!N:N,FALSE)</f>
        <v>2.78</v>
      </c>
      <c r="U202" s="384">
        <f>_xlfn.XLOOKUP(E202,'All Products'!D:D,'All Products'!P:P,FALSE)</f>
        <v>13.899999999999999</v>
      </c>
      <c r="V202" s="384" t="str">
        <f>_xlfn.XLOOKUP(E202,'All Products'!D:D,'All Products'!Q:Q,FALSE)</f>
        <v>-</v>
      </c>
    </row>
    <row r="203" spans="1:22" s="17" customFormat="1" ht="26.25" customHeight="1">
      <c r="A203" s="5" t="str">
        <f>IF(K203&gt;0,COUNT($A$8:A202)+1,"")</f>
        <v/>
      </c>
      <c r="B203" s="608"/>
      <c r="C203" s="609"/>
      <c r="D203" s="369" t="str">
        <f>_xlfn.XLOOKUP(E203,'All Products'!D:D,'All Products'!C:C,FALSE)</f>
        <v>418-3507</v>
      </c>
      <c r="E203" s="103">
        <v>300005676</v>
      </c>
      <c r="F203" s="376" t="str">
        <f>_xlfn.XLOOKUP(E203,'All Products'!D:D,'All Products'!E:E,FALSE)</f>
        <v>3 SAN TEE W/2" R&amp;L SIDE INLETS DWV</v>
      </c>
      <c r="G203" s="232">
        <f>_xlfn.XLOOKUP(E203,'All Products'!D:D,'All Products'!F:F,FALSE)</f>
        <v>5</v>
      </c>
      <c r="H203" s="387">
        <f>_xlfn.XLOOKUP(E203,'All Products'!D:D,'All Products'!G:G,FALSE)</f>
        <v>150</v>
      </c>
      <c r="I203" s="369" t="str">
        <f>_xlfn.XLOOKUP(E203,'All Products'!D:D,'All Products'!H:H,FALSE)</f>
        <v>Quote Required</v>
      </c>
      <c r="J203" s="183">
        <f>IFERROR(ROUNDUP(I203*Order_Quote!$L$2,2),0)</f>
        <v>0</v>
      </c>
      <c r="K203" s="118"/>
      <c r="L203" s="76"/>
      <c r="M203" s="104">
        <f t="shared" si="3"/>
        <v>0</v>
      </c>
      <c r="O203" s="379" t="str">
        <f>_xlfn.XLOOKUP(E203,'All Products'!D:D,'All Products'!I:I,FALSE)</f>
        <v>Within 6 Weeks</v>
      </c>
      <c r="P203" s="379" t="str">
        <f>_xlfn.XLOOKUP(E203,'All Products'!D:D,'All Products'!J:J,FALSE)</f>
        <v>Sourced</v>
      </c>
      <c r="Q203" s="397">
        <f>_xlfn.XLOOKUP(F203,'All Products'!E:E,'All Products'!K:K,FALSE)</f>
        <v>812361013625</v>
      </c>
      <c r="R203" s="397" t="str">
        <f>_xlfn.XLOOKUP(E203,'All Products'!D:D,'All Products'!L:L,FALSE)</f>
        <v>-</v>
      </c>
      <c r="S203" s="397" t="str">
        <f>_xlfn.XLOOKUP(E203,'All Products'!D:D,'All Products'!M:M,FALSE)</f>
        <v>-</v>
      </c>
      <c r="T203" s="384">
        <f>_xlfn.XLOOKUP(E203,'All Products'!D:D,'All Products'!N:N,FALSE)</f>
        <v>1.9910000000000001</v>
      </c>
      <c r="U203" s="384">
        <f>_xlfn.XLOOKUP(E203,'All Products'!D:D,'All Products'!P:P,FALSE)</f>
        <v>9.9550000000000001</v>
      </c>
      <c r="V203" s="384" t="str">
        <f>_xlfn.XLOOKUP(E203,'All Products'!D:D,'All Products'!Q:Q,FALSE)</f>
        <v>-</v>
      </c>
    </row>
    <row r="204" spans="1:22" s="17" customFormat="1" ht="26.25" customHeight="1" thickBot="1">
      <c r="A204" s="5" t="str">
        <f>IF(K204&gt;0,COUNT($A$8:A203)+1,"")</f>
        <v/>
      </c>
      <c r="B204" s="715"/>
      <c r="C204" s="697"/>
      <c r="D204" s="369" t="str">
        <f>_xlfn.XLOOKUP(E204,'All Products'!D:D,'All Products'!C:C,FALSE)</f>
        <v>418-3508</v>
      </c>
      <c r="E204" s="103">
        <v>300005677</v>
      </c>
      <c r="F204" s="376" t="str">
        <f>_xlfn.XLOOKUP(E204,'All Products'!D:D,'All Products'!E:E,FALSE)</f>
        <v>4 SAN TEE W/2" R&amp;L SIDE INLETS DWV</v>
      </c>
      <c r="G204" s="232">
        <f>_xlfn.XLOOKUP(E204,'All Products'!D:D,'All Products'!F:F,FALSE)</f>
        <v>5</v>
      </c>
      <c r="H204" s="387">
        <f>_xlfn.XLOOKUP(E204,'All Products'!D:D,'All Products'!G:G,FALSE)</f>
        <v>90</v>
      </c>
      <c r="I204" s="369" t="str">
        <f>_xlfn.XLOOKUP(E204,'All Products'!D:D,'All Products'!H:H,FALSE)</f>
        <v>Quote Required</v>
      </c>
      <c r="J204" s="183">
        <f>IFERROR(ROUNDUP(I204*Order_Quote!$L$2,2),0)</f>
        <v>0</v>
      </c>
      <c r="K204" s="118"/>
      <c r="L204" s="76"/>
      <c r="M204" s="104">
        <f t="shared" si="3"/>
        <v>0</v>
      </c>
      <c r="O204" s="379" t="str">
        <f>_xlfn.XLOOKUP(E204,'All Products'!D:D,'All Products'!I:I,FALSE)</f>
        <v>Within 6 Weeks</v>
      </c>
      <c r="P204" s="379" t="str">
        <f>_xlfn.XLOOKUP(E204,'All Products'!D:D,'All Products'!J:J,FALSE)</f>
        <v>Sourced</v>
      </c>
      <c r="Q204" s="504">
        <f>_xlfn.XLOOKUP(F204,'All Products'!E:E,'All Products'!K:K,FALSE)</f>
        <v>812361013649</v>
      </c>
      <c r="R204" s="397" t="str">
        <f>_xlfn.XLOOKUP(E204,'All Products'!D:D,'All Products'!L:L,FALSE)</f>
        <v>-</v>
      </c>
      <c r="S204" s="397" t="str">
        <f>_xlfn.XLOOKUP(E204,'All Products'!D:D,'All Products'!M:M,FALSE)</f>
        <v>-</v>
      </c>
      <c r="T204" s="384">
        <f>_xlfn.XLOOKUP(E204,'All Products'!D:D,'All Products'!N:N,FALSE)</f>
        <v>2.9</v>
      </c>
      <c r="U204" s="384">
        <f>_xlfn.XLOOKUP(E204,'All Products'!D:D,'All Products'!P:P,FALSE)</f>
        <v>14.5</v>
      </c>
      <c r="V204" s="384" t="str">
        <f>_xlfn.XLOOKUP(E204,'All Products'!D:D,'All Products'!Q:Q,FALSE)</f>
        <v>-</v>
      </c>
    </row>
    <row r="205" spans="1:22" s="17" customFormat="1" ht="16.2" thickBot="1">
      <c r="A205" s="5" t="str">
        <f>IF(K205&gt;0,COUNT($A$8:A204)+1,"")</f>
        <v/>
      </c>
      <c r="B205" s="446" t="s">
        <v>5811</v>
      </c>
      <c r="C205" s="151"/>
      <c r="D205" s="151"/>
      <c r="E205" s="459"/>
      <c r="F205" s="151"/>
      <c r="G205" s="468"/>
      <c r="H205" s="151"/>
      <c r="I205" s="472"/>
      <c r="J205" s="468"/>
      <c r="K205" s="477"/>
      <c r="L205" s="238"/>
      <c r="M205" s="476"/>
      <c r="O205" s="475"/>
      <c r="P205" s="145"/>
      <c r="Q205" s="492"/>
      <c r="R205" s="493"/>
      <c r="S205" s="493"/>
      <c r="T205" s="479"/>
      <c r="U205" s="459"/>
      <c r="V205" s="489"/>
    </row>
    <row r="206" spans="1:22">
      <c r="A206" s="5" t="str">
        <f>IF(K206&gt;0,COUNT($A$8:A205)+1,"")</f>
        <v/>
      </c>
      <c r="B206" s="664"/>
      <c r="C206" s="665"/>
      <c r="D206" s="369" t="str">
        <f>_xlfn.XLOOKUP(E206,'All Products'!D:D,'All Products'!C:C,FALSE)</f>
        <v>428-3509</v>
      </c>
      <c r="E206" s="103">
        <v>100029023</v>
      </c>
      <c r="F206" s="376" t="str">
        <f>_xlfn.XLOOKUP(E206,'All Products'!D:D,'All Products'!E:E,FALSE)</f>
        <v>1-1/2 DOUBLE SAN TEE ALL HUB DWV</v>
      </c>
      <c r="G206" s="232">
        <f>_xlfn.XLOOKUP(E206,'All Products'!D:D,'All Products'!F:F,FALSE)</f>
        <v>25</v>
      </c>
      <c r="H206" s="387">
        <f>_xlfn.XLOOKUP(E206,'All Products'!D:D,'All Products'!G:G,FALSE)</f>
        <v>1125</v>
      </c>
      <c r="I206" s="369">
        <f>_xlfn.XLOOKUP(E206,'All Products'!D:D,'All Products'!H:H,FALSE)</f>
        <v>110.95</v>
      </c>
      <c r="J206" s="183">
        <f>IFERROR(ROUNDUP(I206*Order_Quote!$L$2,2),0)</f>
        <v>110.95</v>
      </c>
      <c r="K206" s="118"/>
      <c r="L206" s="76"/>
      <c r="M206" s="104">
        <f t="shared" si="3"/>
        <v>0</v>
      </c>
      <c r="O206" s="379" t="str">
        <f>_xlfn.XLOOKUP(E206,'All Products'!D:D,'All Products'!I:I,FALSE)</f>
        <v>Within 3 Weeks</v>
      </c>
      <c r="P206" s="379" t="str">
        <f>_xlfn.XLOOKUP(E206,'All Products'!D:D,'All Products'!J:J,FALSE)</f>
        <v>Manufactured</v>
      </c>
      <c r="Q206" s="397">
        <f>_xlfn.XLOOKUP(F206,'All Products'!E:E,'All Products'!K:K,FALSE)</f>
        <v>812361013441</v>
      </c>
      <c r="R206" s="397" t="str">
        <f>_xlfn.XLOOKUP(E206,'All Products'!D:D,'All Products'!L:L,FALSE)</f>
        <v>-</v>
      </c>
      <c r="S206" s="397">
        <f>_xlfn.XLOOKUP(E206,'All Products'!D:D,'All Products'!M:M,FALSE)</f>
        <v>10812361013448</v>
      </c>
      <c r="T206" s="384">
        <f>_xlfn.XLOOKUP(E206,'All Products'!D:D,'All Products'!N:N,FALSE)</f>
        <v>0.41799999999999998</v>
      </c>
      <c r="U206" s="384">
        <f>_xlfn.XLOOKUP(E206,'All Products'!D:D,'All Products'!P:P,FALSE)</f>
        <v>10.45</v>
      </c>
      <c r="V206" s="384">
        <f>_xlfn.XLOOKUP(E206,'All Products'!D:D,'All Products'!Q:Q,FALSE)</f>
        <v>0.98955954024750914</v>
      </c>
    </row>
    <row r="207" spans="1:22">
      <c r="A207" s="5" t="str">
        <f>IF(K207&gt;0,COUNT($A$8:A206)+1,"")</f>
        <v/>
      </c>
      <c r="B207" s="646"/>
      <c r="C207" s="647"/>
      <c r="D207" s="369" t="str">
        <f>_xlfn.XLOOKUP(E207,'All Products'!D:D,'All Products'!C:C,FALSE)</f>
        <v>428-3510</v>
      </c>
      <c r="E207" s="103">
        <v>100029024</v>
      </c>
      <c r="F207" s="376" t="str">
        <f>_xlfn.XLOOKUP(E207,'All Products'!D:D,'All Products'!E:E,FALSE)</f>
        <v>2 DOUBLE SANITARY TEE ALL HUB DWV</v>
      </c>
      <c r="G207" s="232">
        <f>_xlfn.XLOOKUP(E207,'All Products'!D:D,'All Products'!F:F,FALSE)</f>
        <v>20</v>
      </c>
      <c r="H207" s="387">
        <f>_xlfn.XLOOKUP(E207,'All Products'!D:D,'All Products'!G:G,FALSE)</f>
        <v>640</v>
      </c>
      <c r="I207" s="369">
        <f>_xlfn.XLOOKUP(E207,'All Products'!D:D,'All Products'!H:H,FALSE)</f>
        <v>153.18</v>
      </c>
      <c r="J207" s="183">
        <f>IFERROR(ROUNDUP(I207*Order_Quote!$L$2,2),0)</f>
        <v>153.18</v>
      </c>
      <c r="K207" s="118"/>
      <c r="L207" s="76"/>
      <c r="M207" s="104">
        <f t="shared" si="3"/>
        <v>0</v>
      </c>
      <c r="O207" s="379" t="str">
        <f>_xlfn.XLOOKUP(E207,'All Products'!D:D,'All Products'!I:I,FALSE)</f>
        <v>Within 3 Weeks</v>
      </c>
      <c r="P207" s="379" t="str">
        <f>_xlfn.XLOOKUP(E207,'All Products'!D:D,'All Products'!J:J,FALSE)</f>
        <v>Manufactured</v>
      </c>
      <c r="Q207" s="397">
        <f>_xlfn.XLOOKUP(F207,'All Products'!E:E,'All Products'!K:K,FALSE)</f>
        <v>810673015597</v>
      </c>
      <c r="R207" s="397" t="str">
        <f>_xlfn.XLOOKUP(E207,'All Products'!D:D,'All Products'!L:L,FALSE)</f>
        <v>-</v>
      </c>
      <c r="S207" s="397">
        <f>_xlfn.XLOOKUP(E207,'All Products'!D:D,'All Products'!M:M,FALSE)</f>
        <v>10810673015594</v>
      </c>
      <c r="T207" s="384">
        <f>_xlfn.XLOOKUP(E207,'All Products'!D:D,'All Products'!N:N,FALSE)</f>
        <v>0.65600000000000003</v>
      </c>
      <c r="U207" s="384">
        <f>_xlfn.XLOOKUP(E207,'All Products'!D:D,'All Products'!P:P,FALSE)</f>
        <v>13.120000000000001</v>
      </c>
      <c r="V207" s="384">
        <f>_xlfn.XLOOKUP(E207,'All Products'!D:D,'All Products'!Q:Q,FALSE)</f>
        <v>1.3788503419060438</v>
      </c>
    </row>
    <row r="208" spans="1:22">
      <c r="A208" s="5" t="str">
        <f>IF(K208&gt;0,COUNT($A$8:A207)+1,"")</f>
        <v/>
      </c>
      <c r="B208" s="646"/>
      <c r="C208" s="647"/>
      <c r="D208" s="369" t="str">
        <f>_xlfn.XLOOKUP(E208,'All Products'!D:D,'All Products'!C:C,FALSE)</f>
        <v>428-3511</v>
      </c>
      <c r="E208" s="103">
        <v>100026960</v>
      </c>
      <c r="F208" s="376" t="str">
        <f>_xlfn.XLOOKUP(E208,'All Products'!D:D,'All Products'!E:E,FALSE)</f>
        <v>3 DOUBLE SANITARY TEE ALL HUB DWV</v>
      </c>
      <c r="G208" s="232">
        <f>_xlfn.XLOOKUP(E208,'All Products'!D:D,'All Products'!F:F,FALSE)</f>
        <v>10</v>
      </c>
      <c r="H208" s="387">
        <f>_xlfn.XLOOKUP(E208,'All Products'!D:D,'All Products'!G:G,FALSE)</f>
        <v>180</v>
      </c>
      <c r="I208" s="369">
        <f>_xlfn.XLOOKUP(E208,'All Products'!D:D,'All Products'!H:H,FALSE)</f>
        <v>428.35</v>
      </c>
      <c r="J208" s="183">
        <f>IFERROR(ROUNDUP(I208*Order_Quote!$L$2,2),0)</f>
        <v>428.35</v>
      </c>
      <c r="K208" s="118"/>
      <c r="L208" s="76"/>
      <c r="M208" s="104">
        <f t="shared" si="3"/>
        <v>0</v>
      </c>
      <c r="O208" s="379" t="str">
        <f>_xlfn.XLOOKUP(E208,'All Products'!D:D,'All Products'!I:I,FALSE)</f>
        <v>Within 3 Weeks</v>
      </c>
      <c r="P208" s="379" t="str">
        <f>_xlfn.XLOOKUP(E208,'All Products'!D:D,'All Products'!J:J,FALSE)</f>
        <v>Manufactured</v>
      </c>
      <c r="Q208" s="397">
        <f>_xlfn.XLOOKUP(F208,'All Products'!E:E,'All Products'!K:K,FALSE)</f>
        <v>812361010792</v>
      </c>
      <c r="R208" s="397" t="str">
        <f>_xlfn.XLOOKUP(E208,'All Products'!D:D,'All Products'!L:L,FALSE)</f>
        <v>-</v>
      </c>
      <c r="S208" s="397">
        <f>_xlfn.XLOOKUP(E208,'All Products'!D:D,'All Products'!M:M,FALSE)</f>
        <v>10812361010799</v>
      </c>
      <c r="T208" s="384">
        <f>_xlfn.XLOOKUP(E208,'All Products'!D:D,'All Products'!N:N,FALSE)</f>
        <v>1.925</v>
      </c>
      <c r="U208" s="384">
        <f>_xlfn.XLOOKUP(E208,'All Products'!D:D,'All Products'!P:P,FALSE)</f>
        <v>19.25</v>
      </c>
      <c r="V208" s="384">
        <f>_xlfn.XLOOKUP(E208,'All Products'!D:D,'All Products'!Q:Q,FALSE)</f>
        <v>2.361325291407383</v>
      </c>
    </row>
    <row r="209" spans="1:22">
      <c r="A209" s="5" t="str">
        <f>IF(K209&gt;0,COUNT($A$8:A208)+1,"")</f>
        <v/>
      </c>
      <c r="B209" s="652"/>
      <c r="C209" s="653"/>
      <c r="D209" s="369" t="str">
        <f>_xlfn.XLOOKUP(E209,'All Products'!D:D,'All Products'!C:C,FALSE)</f>
        <v>428-3512</v>
      </c>
      <c r="E209" s="103">
        <v>100029026</v>
      </c>
      <c r="F209" s="376" t="str">
        <f>_xlfn.XLOOKUP(E209,'All Products'!D:D,'All Products'!E:E,FALSE)</f>
        <v>4 DOUBLE SANITARY TEE ALL HUB DWV</v>
      </c>
      <c r="G209" s="232">
        <f>_xlfn.XLOOKUP(E209,'All Products'!D:D,'All Products'!F:F,FALSE)</f>
        <v>6</v>
      </c>
      <c r="H209" s="387">
        <f>_xlfn.XLOOKUP(E209,'All Products'!D:D,'All Products'!G:G,FALSE)</f>
        <v>108</v>
      </c>
      <c r="I209" s="369">
        <f>_xlfn.XLOOKUP(E209,'All Products'!D:D,'All Products'!H:H,FALSE)</f>
        <v>688.94</v>
      </c>
      <c r="J209" s="183">
        <f>IFERROR(ROUNDUP(I209*Order_Quote!$L$2,2),0)</f>
        <v>688.94</v>
      </c>
      <c r="K209" s="118"/>
      <c r="L209" s="76"/>
      <c r="M209" s="104">
        <f t="shared" si="3"/>
        <v>0</v>
      </c>
      <c r="O209" s="379" t="str">
        <f>_xlfn.XLOOKUP(E209,'All Products'!D:D,'All Products'!I:I,FALSE)</f>
        <v>In Stock</v>
      </c>
      <c r="P209" s="379" t="str">
        <f>_xlfn.XLOOKUP(E209,'All Products'!D:D,'All Products'!J:J,FALSE)</f>
        <v>Manufactured</v>
      </c>
      <c r="Q209" s="397">
        <f>_xlfn.XLOOKUP(F209,'All Products'!E:E,'All Products'!K:K,FALSE)</f>
        <v>812361013663</v>
      </c>
      <c r="R209" s="397" t="str">
        <f>_xlfn.XLOOKUP(E209,'All Products'!D:D,'All Products'!L:L,FALSE)</f>
        <v>-</v>
      </c>
      <c r="S209" s="397">
        <f>_xlfn.XLOOKUP(E209,'All Products'!D:D,'All Products'!M:M,FALSE)</f>
        <v>812361019313</v>
      </c>
      <c r="T209" s="384">
        <f>_xlfn.XLOOKUP(E209,'All Products'!D:D,'All Products'!N:N,FALSE)</f>
        <v>3.4870000000000001</v>
      </c>
      <c r="U209" s="384">
        <f>_xlfn.XLOOKUP(E209,'All Products'!D:D,'All Products'!P:P,FALSE)</f>
        <v>20.922000000000001</v>
      </c>
      <c r="V209" s="384">
        <f>_xlfn.XLOOKUP(E209,'All Products'!D:D,'All Products'!Q:Q,FALSE)</f>
        <v>2.361325291407383</v>
      </c>
    </row>
    <row r="210" spans="1:22">
      <c r="A210" s="5" t="str">
        <f>IF(K210&gt;0,COUNT($A$8:A209)+1,"")</f>
        <v/>
      </c>
      <c r="B210" s="644"/>
      <c r="C210" s="645"/>
      <c r="D210" s="369" t="str">
        <f>_xlfn.XLOOKUP(E210,'All Products'!D:D,'All Products'!C:C,FALSE)</f>
        <v>429-3513</v>
      </c>
      <c r="E210" s="103">
        <v>100029027</v>
      </c>
      <c r="F210" s="376" t="str">
        <f>_xlfn.XLOOKUP(E210,'All Products'!D:D,'All Products'!E:E,FALSE)</f>
        <v>2X2X1-1/2X1-1/2 DBL SAN TEE RED DWV</v>
      </c>
      <c r="G210" s="232">
        <f>_xlfn.XLOOKUP(E210,'All Products'!D:D,'All Products'!F:F,FALSE)</f>
        <v>25</v>
      </c>
      <c r="H210" s="387">
        <f>_xlfn.XLOOKUP(E210,'All Products'!D:D,'All Products'!G:G,FALSE)</f>
        <v>800</v>
      </c>
      <c r="I210" s="369">
        <f>_xlfn.XLOOKUP(E210,'All Products'!D:D,'All Products'!H:H,FALSE)</f>
        <v>117.65</v>
      </c>
      <c r="J210" s="183">
        <f>IFERROR(ROUNDUP(I210*Order_Quote!$L$2,2),0)</f>
        <v>117.65</v>
      </c>
      <c r="K210" s="118"/>
      <c r="L210" s="76"/>
      <c r="M210" s="104">
        <f t="shared" si="3"/>
        <v>0</v>
      </c>
      <c r="O210" s="379" t="str">
        <f>_xlfn.XLOOKUP(E210,'All Products'!D:D,'All Products'!I:I,FALSE)</f>
        <v>In Stock</v>
      </c>
      <c r="P210" s="379" t="str">
        <f>_xlfn.XLOOKUP(E210,'All Products'!D:D,'All Products'!J:J,FALSE)</f>
        <v>Manufactured</v>
      </c>
      <c r="Q210" s="397">
        <f>_xlfn.XLOOKUP(F210,'All Products'!E:E,'All Products'!K:K,FALSE)</f>
        <v>812361013403</v>
      </c>
      <c r="R210" s="397" t="str">
        <f>_xlfn.XLOOKUP(E210,'All Products'!D:D,'All Products'!L:L,FALSE)</f>
        <v>-</v>
      </c>
      <c r="S210" s="397">
        <f>_xlfn.XLOOKUP(E210,'All Products'!D:D,'All Products'!M:M,FALSE)</f>
        <v>812361019078</v>
      </c>
      <c r="T210" s="384">
        <f>_xlfn.XLOOKUP(E210,'All Products'!D:D,'All Products'!N:N,FALSE)</f>
        <v>0.56399999999999995</v>
      </c>
      <c r="U210" s="384">
        <f>_xlfn.XLOOKUP(E210,'All Products'!D:D,'All Products'!P:P,FALSE)</f>
        <v>14.099999999999998</v>
      </c>
      <c r="V210" s="384">
        <f>_xlfn.XLOOKUP(E210,'All Products'!D:D,'All Products'!Q:Q,FALSE)</f>
        <v>1.3788503419060438</v>
      </c>
    </row>
    <row r="211" spans="1:22">
      <c r="A211" s="5" t="str">
        <f>IF(K211&gt;0,COUNT($A$8:A210)+1,"")</f>
        <v/>
      </c>
      <c r="B211" s="646"/>
      <c r="C211" s="647"/>
      <c r="D211" s="369" t="str">
        <f>_xlfn.XLOOKUP(E211,'All Products'!D:D,'All Products'!C:C,FALSE)</f>
        <v>429-3514</v>
      </c>
      <c r="E211" s="103">
        <v>100029028</v>
      </c>
      <c r="F211" s="376" t="str">
        <f>_xlfn.XLOOKUP(E211,'All Products'!D:D,'All Products'!E:E,FALSE)</f>
        <v>3X3X1-1/2X1-1/2 DBL SAN TEE RED DWV</v>
      </c>
      <c r="G211" s="232">
        <f>_xlfn.XLOOKUP(E211,'All Products'!D:D,'All Products'!F:F,FALSE)</f>
        <v>20</v>
      </c>
      <c r="H211" s="387">
        <f>_xlfn.XLOOKUP(E211,'All Products'!D:D,'All Products'!G:G,FALSE)</f>
        <v>360</v>
      </c>
      <c r="I211" s="369">
        <f>_xlfn.XLOOKUP(E211,'All Products'!D:D,'All Products'!H:H,FALSE)</f>
        <v>278.93</v>
      </c>
      <c r="J211" s="183">
        <f>IFERROR(ROUNDUP(I211*Order_Quote!$L$2,2),0)</f>
        <v>278.93</v>
      </c>
      <c r="K211" s="118"/>
      <c r="L211" s="76"/>
      <c r="M211" s="104">
        <f t="shared" si="3"/>
        <v>0</v>
      </c>
      <c r="O211" s="379" t="str">
        <f>_xlfn.XLOOKUP(E211,'All Products'!D:D,'All Products'!I:I,FALSE)</f>
        <v>Within 3 Weeks</v>
      </c>
      <c r="P211" s="379" t="str">
        <f>_xlfn.XLOOKUP(E211,'All Products'!D:D,'All Products'!J:J,FALSE)</f>
        <v>Manufactured</v>
      </c>
      <c r="Q211" s="397">
        <f>_xlfn.XLOOKUP(F211,'All Products'!E:E,'All Products'!K:K,FALSE)</f>
        <v>810673015610</v>
      </c>
      <c r="R211" s="397" t="str">
        <f>_xlfn.XLOOKUP(E211,'All Products'!D:D,'All Products'!L:L,FALSE)</f>
        <v>-</v>
      </c>
      <c r="S211" s="397">
        <f>_xlfn.XLOOKUP(E211,'All Products'!D:D,'All Products'!M:M,FALSE)</f>
        <v>10810673015617</v>
      </c>
      <c r="T211" s="384">
        <f>_xlfn.XLOOKUP(E211,'All Products'!D:D,'All Products'!N:N,FALSE)</f>
        <v>1.091</v>
      </c>
      <c r="U211" s="384">
        <f>_xlfn.XLOOKUP(E211,'All Products'!D:D,'All Products'!P:P,FALSE)</f>
        <v>21.82</v>
      </c>
      <c r="V211" s="384">
        <f>_xlfn.XLOOKUP(E211,'All Products'!D:D,'All Products'!Q:Q,FALSE)</f>
        <v>2.361325291407383</v>
      </c>
    </row>
    <row r="212" spans="1:22">
      <c r="A212" s="5" t="str">
        <f>IF(K212&gt;0,COUNT($A$8:A211)+1,"")</f>
        <v/>
      </c>
      <c r="B212" s="646"/>
      <c r="C212" s="647"/>
      <c r="D212" s="369" t="str">
        <f>_xlfn.XLOOKUP(E212,'All Products'!D:D,'All Products'!C:C,FALSE)</f>
        <v>429-3516</v>
      </c>
      <c r="E212" s="103">
        <v>100029029</v>
      </c>
      <c r="F212" s="376" t="str">
        <f>_xlfn.XLOOKUP(E212,'All Products'!D:D,'All Products'!E:E,FALSE)</f>
        <v>3X3X2X2 DBL SAN TEE RED DWV</v>
      </c>
      <c r="G212" s="232">
        <f>_xlfn.XLOOKUP(E212,'All Products'!D:D,'All Products'!F:F,FALSE)</f>
        <v>10</v>
      </c>
      <c r="H212" s="387">
        <f>_xlfn.XLOOKUP(E212,'All Products'!D:D,'All Products'!G:G,FALSE)</f>
        <v>450</v>
      </c>
      <c r="I212" s="369">
        <f>_xlfn.XLOOKUP(E212,'All Products'!D:D,'All Products'!H:H,FALSE)</f>
        <v>296.64</v>
      </c>
      <c r="J212" s="183">
        <f>IFERROR(ROUNDUP(I212*Order_Quote!$L$2,2),0)</f>
        <v>296.64</v>
      </c>
      <c r="K212" s="118"/>
      <c r="L212" s="76"/>
      <c r="M212" s="104">
        <f t="shared" si="3"/>
        <v>0</v>
      </c>
      <c r="O212" s="379" t="str">
        <f>_xlfn.XLOOKUP(E212,'All Products'!D:D,'All Products'!I:I,FALSE)</f>
        <v>Within 3 Weeks</v>
      </c>
      <c r="P212" s="379" t="str">
        <f>_xlfn.XLOOKUP(E212,'All Products'!D:D,'All Products'!J:J,FALSE)</f>
        <v>Manufactured</v>
      </c>
      <c r="Q212" s="397">
        <f>_xlfn.XLOOKUP(F212,'All Products'!E:E,'All Products'!K:K,FALSE)</f>
        <v>812361010815</v>
      </c>
      <c r="R212" s="397" t="str">
        <f>_xlfn.XLOOKUP(E212,'All Products'!D:D,'All Products'!L:L,FALSE)</f>
        <v>-</v>
      </c>
      <c r="S212" s="397">
        <f>_xlfn.XLOOKUP(E212,'All Products'!D:D,'All Products'!M:M,FALSE)</f>
        <v>10812361010812</v>
      </c>
      <c r="T212" s="384">
        <f>_xlfn.XLOOKUP(E212,'All Products'!D:D,'All Products'!N:N,FALSE)</f>
        <v>1.1519999999999999</v>
      </c>
      <c r="U212" s="384">
        <f>_xlfn.XLOOKUP(E212,'All Products'!D:D,'All Products'!P:P,FALSE)</f>
        <v>11.52</v>
      </c>
      <c r="V212" s="384">
        <f>_xlfn.XLOOKUP(E212,'All Products'!D:D,'All Products'!Q:Q,FALSE)</f>
        <v>0.98955954024750914</v>
      </c>
    </row>
    <row r="213" spans="1:22">
      <c r="A213" s="5" t="str">
        <f>IF(K213&gt;0,COUNT($A$8:A212)+1,"")</f>
        <v/>
      </c>
      <c r="B213" s="646"/>
      <c r="C213" s="647"/>
      <c r="D213" s="369" t="str">
        <f>_xlfn.XLOOKUP(E213,'All Products'!D:D,'All Products'!C:C,FALSE)</f>
        <v>429-3518</v>
      </c>
      <c r="E213" s="103">
        <v>100029030</v>
      </c>
      <c r="F213" s="376" t="str">
        <f>_xlfn.XLOOKUP(E213,'All Products'!D:D,'All Products'!E:E,FALSE)</f>
        <v>4X4X2X2 DBL SAN TEE RED DWV</v>
      </c>
      <c r="G213" s="232">
        <f>_xlfn.XLOOKUP(E213,'All Products'!D:D,'All Products'!F:F,FALSE)</f>
        <v>7</v>
      </c>
      <c r="H213" s="387">
        <f>_xlfn.XLOOKUP(E213,'All Products'!D:D,'All Products'!G:G,FALSE)</f>
        <v>224</v>
      </c>
      <c r="I213" s="369">
        <f>_xlfn.XLOOKUP(E213,'All Products'!D:D,'All Products'!H:H,FALSE)</f>
        <v>557.39</v>
      </c>
      <c r="J213" s="183">
        <f>IFERROR(ROUNDUP(I213*Order_Quote!$L$2,2),0)</f>
        <v>557.39</v>
      </c>
      <c r="K213" s="118"/>
      <c r="L213" s="76"/>
      <c r="M213" s="104">
        <f t="shared" si="3"/>
        <v>0</v>
      </c>
      <c r="O213" s="379" t="str">
        <f>_xlfn.XLOOKUP(E213,'All Products'!D:D,'All Products'!I:I,FALSE)</f>
        <v>Within 3 Weeks</v>
      </c>
      <c r="P213" s="379" t="str">
        <f>_xlfn.XLOOKUP(E213,'All Products'!D:D,'All Products'!J:J,FALSE)</f>
        <v>Manufactured</v>
      </c>
      <c r="Q213" s="397">
        <f>_xlfn.XLOOKUP(F213,'All Products'!E:E,'All Products'!K:K,FALSE)</f>
        <v>812361013427</v>
      </c>
      <c r="R213" s="397" t="str">
        <f>_xlfn.XLOOKUP(E213,'All Products'!D:D,'All Products'!L:L,FALSE)</f>
        <v>-</v>
      </c>
      <c r="S213" s="397">
        <f>_xlfn.XLOOKUP(E213,'All Products'!D:D,'All Products'!M:M,FALSE)</f>
        <v>812361019238</v>
      </c>
      <c r="T213" s="384">
        <f>_xlfn.XLOOKUP(E213,'All Products'!D:D,'All Products'!N:N,FALSE)</f>
        <v>1.861</v>
      </c>
      <c r="U213" s="384">
        <f>_xlfn.XLOOKUP(E213,'All Products'!D:D,'All Products'!P:P,FALSE)</f>
        <v>13.026999999999999</v>
      </c>
      <c r="V213" s="384">
        <f>_xlfn.XLOOKUP(E213,'All Products'!D:D,'All Products'!Q:Q,FALSE)</f>
        <v>1.3788503419060438</v>
      </c>
    </row>
    <row r="214" spans="1:22">
      <c r="A214" s="5" t="str">
        <f>IF(K214&gt;0,COUNT($A$8:A213)+1,"")</f>
        <v/>
      </c>
      <c r="B214" s="652"/>
      <c r="C214" s="653"/>
      <c r="D214" s="369" t="str">
        <f>_xlfn.XLOOKUP(E214,'All Products'!D:D,'All Products'!C:C,FALSE)</f>
        <v>429-3519</v>
      </c>
      <c r="E214" s="103">
        <v>100029031</v>
      </c>
      <c r="F214" s="376" t="str">
        <f>_xlfn.XLOOKUP(E214,'All Products'!D:D,'All Products'!E:E,FALSE)</f>
        <v>4X4X3X3 DBL SAN TEE RED DWV</v>
      </c>
      <c r="G214" s="232">
        <f>_xlfn.XLOOKUP(E214,'All Products'!D:D,'All Products'!F:F,FALSE)</f>
        <v>8</v>
      </c>
      <c r="H214" s="387">
        <f>_xlfn.XLOOKUP(E214,'All Products'!D:D,'All Products'!G:G,FALSE)</f>
        <v>144</v>
      </c>
      <c r="I214" s="369">
        <f>_xlfn.XLOOKUP(E214,'All Products'!D:D,'All Products'!H:H,FALSE)</f>
        <v>591.24</v>
      </c>
      <c r="J214" s="183">
        <f>IFERROR(ROUNDUP(I214*Order_Quote!$L$2,2),0)</f>
        <v>591.24</v>
      </c>
      <c r="K214" s="118"/>
      <c r="L214" s="76"/>
      <c r="M214" s="104">
        <f t="shared" si="3"/>
        <v>0</v>
      </c>
      <c r="O214" s="379" t="str">
        <f>_xlfn.XLOOKUP(E214,'All Products'!D:D,'All Products'!I:I,FALSE)</f>
        <v>Within 3 Weeks</v>
      </c>
      <c r="P214" s="379" t="str">
        <f>_xlfn.XLOOKUP(E214,'All Products'!D:D,'All Products'!J:J,FALSE)</f>
        <v>Manufactured</v>
      </c>
      <c r="Q214" s="397">
        <f>_xlfn.XLOOKUP(F214,'All Products'!E:E,'All Products'!K:K,FALSE)</f>
        <v>812361011881</v>
      </c>
      <c r="R214" s="397" t="str">
        <f>_xlfn.XLOOKUP(E214,'All Products'!D:D,'All Products'!L:L,FALSE)</f>
        <v>-</v>
      </c>
      <c r="S214" s="397">
        <f>_xlfn.XLOOKUP(E214,'All Products'!D:D,'All Products'!M:M,FALSE)</f>
        <v>812361019221</v>
      </c>
      <c r="T214" s="384">
        <f>_xlfn.XLOOKUP(E214,'All Products'!D:D,'All Products'!N:N,FALSE)</f>
        <v>2.472</v>
      </c>
      <c r="U214" s="384">
        <f>_xlfn.XLOOKUP(E214,'All Products'!D:D,'All Products'!P:P,FALSE)</f>
        <v>19.776</v>
      </c>
      <c r="V214" s="384">
        <f>_xlfn.XLOOKUP(E214,'All Products'!D:D,'All Products'!Q:Q,FALSE)</f>
        <v>2.361325291407383</v>
      </c>
    </row>
    <row r="215" spans="1:22" ht="39.75" customHeight="1">
      <c r="A215" s="5" t="str">
        <f>IF(K215&gt;0,COUNT($A$8:A214)+1,"")</f>
        <v/>
      </c>
      <c r="B215" s="650"/>
      <c r="C215" s="651"/>
      <c r="D215" s="369" t="str">
        <f>_xlfn.XLOOKUP(E215,'All Products'!D:D,'All Products'!C:C,FALSE)</f>
        <v>438-3524</v>
      </c>
      <c r="E215" s="103">
        <v>300005833</v>
      </c>
      <c r="F215" s="376" t="str">
        <f>_xlfn.XLOOKUP(E215,'All Products'!D:D,'All Products'!E:E,FALSE)</f>
        <v>4X4X4X4X2  DBL SAN TEE W/SIDE INLET</v>
      </c>
      <c r="G215" s="232">
        <f>_xlfn.XLOOKUP(E215,'All Products'!D:D,'All Products'!F:F,FALSE)</f>
        <v>10</v>
      </c>
      <c r="H215" s="387">
        <f>_xlfn.XLOOKUP(E215,'All Products'!D:D,'All Products'!G:G,FALSE)</f>
        <v>72</v>
      </c>
      <c r="I215" s="369" t="str">
        <f>_xlfn.XLOOKUP(E215,'All Products'!D:D,'All Products'!H:H,FALSE)</f>
        <v>Quote Required</v>
      </c>
      <c r="J215" s="183">
        <f>IFERROR(ROUNDUP(I215*Order_Quote!$L$2,2),0)</f>
        <v>0</v>
      </c>
      <c r="K215" s="118"/>
      <c r="L215" s="76"/>
      <c r="M215" s="104">
        <f t="shared" si="3"/>
        <v>0</v>
      </c>
      <c r="O215" s="379" t="str">
        <f>_xlfn.XLOOKUP(E215,'All Products'!D:D,'All Products'!I:I,FALSE)</f>
        <v>Within 6 Weeks</v>
      </c>
      <c r="P215" s="379" t="str">
        <f>_xlfn.XLOOKUP(E215,'All Products'!D:D,'All Products'!J:J,FALSE)</f>
        <v>Sourced</v>
      </c>
      <c r="Q215" s="397">
        <f>_xlfn.XLOOKUP(F215,'All Products'!E:E,'All Products'!K:K,FALSE)</f>
        <v>812361013076</v>
      </c>
      <c r="R215" s="397" t="str">
        <f>_xlfn.XLOOKUP(E215,'All Products'!D:D,'All Products'!L:L,FALSE)</f>
        <v>-</v>
      </c>
      <c r="S215" s="397" t="str">
        <f>_xlfn.XLOOKUP(E215,'All Products'!D:D,'All Products'!M:M,FALSE)</f>
        <v>-</v>
      </c>
      <c r="T215" s="384">
        <f>_xlfn.XLOOKUP(E215,'All Products'!D:D,'All Products'!N:N,FALSE)</f>
        <v>3.25</v>
      </c>
      <c r="U215" s="384">
        <f>_xlfn.XLOOKUP(E215,'All Products'!D:D,'All Products'!P:P,FALSE)</f>
        <v>32.5</v>
      </c>
      <c r="V215" s="384" t="str">
        <f>_xlfn.XLOOKUP(E215,'All Products'!D:D,'All Products'!Q:Q,FALSE)</f>
        <v>-</v>
      </c>
    </row>
    <row r="216" spans="1:22" s="17" customFormat="1" ht="39" customHeight="1" thickBot="1">
      <c r="A216" s="5" t="str">
        <f>IF(K216&gt;0,COUNT($A$8:A215)+1,"")</f>
        <v/>
      </c>
      <c r="B216" s="710"/>
      <c r="C216" s="711"/>
      <c r="D216" s="369" t="str">
        <f>_xlfn.XLOOKUP(E216,'All Products'!D:D,'All Products'!C:C,FALSE)</f>
        <v>439-3528</v>
      </c>
      <c r="E216" s="103">
        <v>300005678</v>
      </c>
      <c r="F216" s="376" t="str">
        <f>_xlfn.XLOOKUP(E216,'All Products'!D:D,'All Products'!E:E,FALSE)</f>
        <v>4 DBL SAN T W/2" R&amp;L SIDE INLET</v>
      </c>
      <c r="G216" s="232">
        <f>_xlfn.XLOOKUP(E216,'All Products'!D:D,'All Products'!F:F,FALSE)</f>
        <v>5</v>
      </c>
      <c r="H216" s="387">
        <f>_xlfn.XLOOKUP(E216,'All Products'!D:D,'All Products'!G:G,FALSE)</f>
        <v>72</v>
      </c>
      <c r="I216" s="369" t="str">
        <f>_xlfn.XLOOKUP(E216,'All Products'!D:D,'All Products'!H:H,FALSE)</f>
        <v>Quote Required</v>
      </c>
      <c r="J216" s="183">
        <f>IFERROR(ROUNDUP(I216*Order_Quote!$L$2,2),0)</f>
        <v>0</v>
      </c>
      <c r="K216" s="118"/>
      <c r="L216" s="76"/>
      <c r="M216" s="104">
        <f t="shared" si="3"/>
        <v>0</v>
      </c>
      <c r="O216" s="379" t="str">
        <f>_xlfn.XLOOKUP(E216,'All Products'!D:D,'All Products'!I:I,FALSE)</f>
        <v>Within 3 Weeks</v>
      </c>
      <c r="P216" s="379" t="str">
        <f>_xlfn.XLOOKUP(E216,'All Products'!D:D,'All Products'!J:J,FALSE)</f>
        <v>Sourced</v>
      </c>
      <c r="Q216" s="504">
        <f>_xlfn.XLOOKUP(F216,'All Products'!E:E,'All Products'!K:K,FALSE)</f>
        <v>812361012956</v>
      </c>
      <c r="R216" s="397" t="str">
        <f>_xlfn.XLOOKUP(E216,'All Products'!D:D,'All Products'!L:L,FALSE)</f>
        <v>-</v>
      </c>
      <c r="S216" s="397" t="str">
        <f>_xlfn.XLOOKUP(E216,'All Products'!D:D,'All Products'!M:M,FALSE)</f>
        <v>-</v>
      </c>
      <c r="T216" s="384">
        <f>_xlfn.XLOOKUP(E216,'All Products'!D:D,'All Products'!N:N,FALSE)</f>
        <v>3.5339999999999998</v>
      </c>
      <c r="U216" s="384">
        <f>_xlfn.XLOOKUP(E216,'All Products'!D:D,'All Products'!P:P,FALSE)</f>
        <v>17.669999999999998</v>
      </c>
      <c r="V216" s="384" t="str">
        <f>_xlfn.XLOOKUP(E216,'All Products'!D:D,'All Products'!Q:Q,FALSE)</f>
        <v>-</v>
      </c>
    </row>
    <row r="217" spans="1:22" s="17" customFormat="1" ht="16.2" thickBot="1">
      <c r="A217" s="5" t="str">
        <f>IF(K217&gt;0,COUNT($A$8:A216)+1,"")</f>
        <v/>
      </c>
      <c r="B217" s="446" t="s">
        <v>5812</v>
      </c>
      <c r="C217" s="151"/>
      <c r="D217" s="151"/>
      <c r="E217" s="459"/>
      <c r="F217" s="151"/>
      <c r="G217" s="468"/>
      <c r="H217" s="151"/>
      <c r="I217" s="472"/>
      <c r="J217" s="468"/>
      <c r="K217" s="477"/>
      <c r="L217" s="238"/>
      <c r="M217" s="476"/>
      <c r="O217" s="475"/>
      <c r="P217" s="145"/>
      <c r="Q217" s="492"/>
      <c r="R217" s="493"/>
      <c r="S217" s="493"/>
      <c r="T217" s="479"/>
      <c r="U217" s="459"/>
      <c r="V217" s="489"/>
    </row>
    <row r="218" spans="1:22">
      <c r="A218" s="5" t="str">
        <f>IF(K218&gt;0,COUNT($A$8:A217)+1,"")</f>
        <v/>
      </c>
      <c r="B218" s="664"/>
      <c r="C218" s="665"/>
      <c r="D218" s="369" t="str">
        <f>_xlfn.XLOOKUP(E218,'All Products'!D:D,'All Products'!C:C,FALSE)</f>
        <v>441-3531</v>
      </c>
      <c r="E218" s="103">
        <v>300005679</v>
      </c>
      <c r="F218" s="376" t="str">
        <f>_xlfn.XLOOKUP(E218,'All Products'!D:D,'All Products'!E:E,FALSE)</f>
        <v>2 VENT TEE DWV</v>
      </c>
      <c r="G218" s="232">
        <f>_xlfn.XLOOKUP(E218,'All Products'!D:D,'All Products'!F:F,FALSE)</f>
        <v>25</v>
      </c>
      <c r="H218" s="387">
        <f>_xlfn.XLOOKUP(E218,'All Products'!D:D,'All Products'!G:G,FALSE)</f>
        <v>900</v>
      </c>
      <c r="I218" s="369" t="str">
        <f>_xlfn.XLOOKUP(E218,'All Products'!D:D,'All Products'!H:H,FALSE)</f>
        <v>Quote Required</v>
      </c>
      <c r="J218" s="183">
        <f>IFERROR(ROUNDUP(I218*Order_Quote!$L$2,2),0)</f>
        <v>0</v>
      </c>
      <c r="K218" s="118"/>
      <c r="L218" s="76"/>
      <c r="M218" s="104">
        <f t="shared" si="3"/>
        <v>0</v>
      </c>
      <c r="O218" s="379" t="str">
        <f>_xlfn.XLOOKUP(E218,'All Products'!D:D,'All Products'!I:I,FALSE)</f>
        <v>Within 6 Weeks</v>
      </c>
      <c r="P218" s="379" t="str">
        <f>_xlfn.XLOOKUP(E218,'All Products'!D:D,'All Products'!J:J,FALSE)</f>
        <v>Sourced</v>
      </c>
      <c r="Q218" s="397">
        <f>_xlfn.XLOOKUP(F218,'All Products'!E:E,'All Products'!K:K,FALSE)</f>
        <v>812361017371</v>
      </c>
      <c r="R218" s="397" t="str">
        <f>_xlfn.XLOOKUP(E218,'All Products'!D:D,'All Products'!L:L,FALSE)</f>
        <v>-</v>
      </c>
      <c r="S218" s="397" t="str">
        <f>_xlfn.XLOOKUP(E218,'All Products'!D:D,'All Products'!M:M,FALSE)</f>
        <v>-</v>
      </c>
      <c r="T218" s="384">
        <f>_xlfn.XLOOKUP(E218,'All Products'!D:D,'All Products'!N:N,FALSE)</f>
        <v>0.37</v>
      </c>
      <c r="U218" s="384">
        <f>_xlfn.XLOOKUP(E218,'All Products'!D:D,'All Products'!P:P,FALSE)</f>
        <v>9.25</v>
      </c>
      <c r="V218" s="384" t="str">
        <f>_xlfn.XLOOKUP(E218,'All Products'!D:D,'All Products'!Q:Q,FALSE)</f>
        <v>-</v>
      </c>
    </row>
    <row r="219" spans="1:22">
      <c r="A219" s="5" t="str">
        <f>IF(K219&gt;0,COUNT($A$8:A218)+1,"")</f>
        <v/>
      </c>
      <c r="B219" s="646"/>
      <c r="C219" s="647"/>
      <c r="D219" s="369" t="str">
        <f>_xlfn.XLOOKUP(E219,'All Products'!D:D,'All Products'!C:C,FALSE)</f>
        <v>441-3533</v>
      </c>
      <c r="E219" s="103">
        <v>300005680</v>
      </c>
      <c r="F219" s="376" t="str">
        <f>_xlfn.XLOOKUP(E219,'All Products'!D:D,'All Products'!E:E,FALSE)</f>
        <v>4 VENT TEE DWV</v>
      </c>
      <c r="G219" s="232">
        <f>_xlfn.XLOOKUP(E219,'All Products'!D:D,'All Products'!F:F,FALSE)</f>
        <v>5</v>
      </c>
      <c r="H219" s="387">
        <f>_xlfn.XLOOKUP(E219,'All Products'!D:D,'All Products'!G:G,FALSE)</f>
        <v>175</v>
      </c>
      <c r="I219" s="369" t="str">
        <f>_xlfn.XLOOKUP(E219,'All Products'!D:D,'All Products'!H:H,FALSE)</f>
        <v>Quote Required</v>
      </c>
      <c r="J219" s="183">
        <f>IFERROR(ROUNDUP(I219*Order_Quote!$L$2,2),0)</f>
        <v>0</v>
      </c>
      <c r="K219" s="118"/>
      <c r="L219" s="76"/>
      <c r="M219" s="104">
        <f t="shared" ref="M219:M235" si="4">K219/G219</f>
        <v>0</v>
      </c>
      <c r="O219" s="379" t="str">
        <f>_xlfn.XLOOKUP(E219,'All Products'!D:D,'All Products'!I:I,FALSE)</f>
        <v>Within 6 Weeks</v>
      </c>
      <c r="P219" s="379" t="str">
        <f>_xlfn.XLOOKUP(E219,'All Products'!D:D,'All Products'!J:J,FALSE)</f>
        <v>Sourced</v>
      </c>
      <c r="Q219" s="397">
        <f>_xlfn.XLOOKUP(F219,'All Products'!E:E,'All Products'!K:K,FALSE)</f>
        <v>812361017418</v>
      </c>
      <c r="R219" s="397" t="str">
        <f>_xlfn.XLOOKUP(E219,'All Products'!D:D,'All Products'!L:L,FALSE)</f>
        <v>-</v>
      </c>
      <c r="S219" s="397" t="str">
        <f>_xlfn.XLOOKUP(E219,'All Products'!D:D,'All Products'!M:M,FALSE)</f>
        <v>-</v>
      </c>
      <c r="T219" s="384">
        <f>_xlfn.XLOOKUP(E219,'All Products'!D:D,'All Products'!N:N,FALSE)</f>
        <v>2.2200000000000002</v>
      </c>
      <c r="U219" s="384">
        <f>_xlfn.XLOOKUP(E219,'All Products'!D:D,'All Products'!P:P,FALSE)</f>
        <v>11.100000000000001</v>
      </c>
      <c r="V219" s="384" t="str">
        <f>_xlfn.XLOOKUP(E219,'All Products'!D:D,'All Products'!Q:Q,FALSE)</f>
        <v>-</v>
      </c>
    </row>
    <row r="220" spans="1:22" ht="15" thickBot="1">
      <c r="A220" s="5" t="str">
        <f>IF(K220&gt;0,COUNT($A$8:A219)+1,"")</f>
        <v/>
      </c>
      <c r="B220" s="666"/>
      <c r="C220" s="667"/>
      <c r="D220" s="369" t="str">
        <f>_xlfn.XLOOKUP(E220,'All Products'!D:D,'All Products'!C:C,FALSE)</f>
        <v>441-3534</v>
      </c>
      <c r="E220" s="103">
        <v>300005681</v>
      </c>
      <c r="F220" s="376" t="str">
        <f>_xlfn.XLOOKUP(E220,'All Products'!D:D,'All Products'!E:E,FALSE)</f>
        <v>6 VENT TEE DWV</v>
      </c>
      <c r="G220" s="232">
        <f>_xlfn.XLOOKUP(E220,'All Products'!D:D,'All Products'!F:F,FALSE)</f>
        <v>4</v>
      </c>
      <c r="H220" s="387">
        <f>_xlfn.XLOOKUP(E220,'All Products'!D:D,'All Products'!G:G,FALSE)</f>
        <v>32</v>
      </c>
      <c r="I220" s="369" t="str">
        <f>_xlfn.XLOOKUP(E220,'All Products'!D:D,'All Products'!H:H,FALSE)</f>
        <v>Quote Required</v>
      </c>
      <c r="J220" s="183">
        <f>IFERROR(ROUNDUP(I220*Order_Quote!$L$2,2),0)</f>
        <v>0</v>
      </c>
      <c r="K220" s="118"/>
      <c r="L220" s="76"/>
      <c r="M220" s="104">
        <f t="shared" si="4"/>
        <v>0</v>
      </c>
      <c r="O220" s="379" t="str">
        <f>_xlfn.XLOOKUP(E220,'All Products'!D:D,'All Products'!I:I,FALSE)</f>
        <v>Within 6 Weeks</v>
      </c>
      <c r="P220" s="379" t="str">
        <f>_xlfn.XLOOKUP(E220,'All Products'!D:D,'All Products'!J:J,FALSE)</f>
        <v>Sourced</v>
      </c>
      <c r="Q220" s="504">
        <f>_xlfn.XLOOKUP(F220,'All Products'!E:E,'All Products'!K:K,FALSE)</f>
        <v>816842021215</v>
      </c>
      <c r="R220" s="397" t="str">
        <f>_xlfn.XLOOKUP(E220,'All Products'!D:D,'All Products'!L:L,FALSE)</f>
        <v>-</v>
      </c>
      <c r="S220" s="397" t="str">
        <f>_xlfn.XLOOKUP(E220,'All Products'!D:D,'All Products'!M:M,FALSE)</f>
        <v>-</v>
      </c>
      <c r="T220" s="384">
        <f>_xlfn.XLOOKUP(E220,'All Products'!D:D,'All Products'!N:N,FALSE)</f>
        <v>6.33</v>
      </c>
      <c r="U220" s="384">
        <f>_xlfn.XLOOKUP(E220,'All Products'!D:D,'All Products'!P:P,FALSE)</f>
        <v>25.32</v>
      </c>
      <c r="V220" s="384" t="str">
        <f>_xlfn.XLOOKUP(E220,'All Products'!D:D,'All Products'!Q:Q,FALSE)</f>
        <v>-</v>
      </c>
    </row>
    <row r="221" spans="1:22" s="17" customFormat="1" ht="16.2" thickBot="1">
      <c r="A221" s="5" t="str">
        <f>IF(K221&gt;0,COUNT($A$8:A220)+1,"")</f>
        <v/>
      </c>
      <c r="B221" s="446" t="s">
        <v>5813</v>
      </c>
      <c r="C221" s="151"/>
      <c r="D221" s="151"/>
      <c r="E221" s="459"/>
      <c r="F221" s="151"/>
      <c r="G221" s="468"/>
      <c r="H221" s="151"/>
      <c r="I221" s="472"/>
      <c r="J221" s="468"/>
      <c r="K221" s="477"/>
      <c r="L221" s="238"/>
      <c r="M221" s="476"/>
      <c r="O221" s="475"/>
      <c r="P221" s="145"/>
      <c r="Q221" s="492"/>
      <c r="R221" s="493"/>
      <c r="S221" s="493"/>
      <c r="T221" s="479"/>
      <c r="U221" s="459"/>
      <c r="V221" s="489"/>
    </row>
    <row r="222" spans="1:22">
      <c r="A222" s="5" t="str">
        <f>IF(K222&gt;0,COUNT($A$8:A221)+1,"")</f>
        <v/>
      </c>
      <c r="B222" s="664"/>
      <c r="C222" s="665"/>
      <c r="D222" s="369" t="str">
        <f>_xlfn.XLOOKUP(E222,'All Products'!D:D,'All Products'!C:C,FALSE)</f>
        <v>444-3534</v>
      </c>
      <c r="E222" s="103">
        <v>100029044</v>
      </c>
      <c r="F222" s="376" t="str">
        <f>_xlfn.XLOOKUP(E222,'All Products'!D:D,'All Products'!E:E,FALSE)</f>
        <v>1-1/2 CLEAN OUT TEE HXHXFPT DWV</v>
      </c>
      <c r="G222" s="232">
        <f>_xlfn.XLOOKUP(E222,'All Products'!D:D,'All Products'!F:F,FALSE)</f>
        <v>20</v>
      </c>
      <c r="H222" s="387">
        <f>_xlfn.XLOOKUP(E222,'All Products'!D:D,'All Products'!G:G,FALSE)</f>
        <v>2560</v>
      </c>
      <c r="I222" s="369">
        <f>_xlfn.XLOOKUP(E222,'All Products'!D:D,'All Products'!H:H,FALSE)</f>
        <v>112.38</v>
      </c>
      <c r="J222" s="183">
        <f>IFERROR(ROUNDUP(I222*Order_Quote!$L$2,2),0)</f>
        <v>112.38</v>
      </c>
      <c r="K222" s="118"/>
      <c r="L222" s="76"/>
      <c r="M222" s="104">
        <f t="shared" si="4"/>
        <v>0</v>
      </c>
      <c r="O222" s="379" t="str">
        <f>_xlfn.XLOOKUP(E222,'All Products'!D:D,'All Products'!I:I,FALSE)</f>
        <v>In Stock</v>
      </c>
      <c r="P222" s="379" t="str">
        <f>_xlfn.XLOOKUP(E222,'All Products'!D:D,'All Products'!J:J,FALSE)</f>
        <v>Manufactured</v>
      </c>
      <c r="Q222" s="397">
        <f>_xlfn.XLOOKUP(F222,'All Products'!E:E,'All Products'!K:K,FALSE)</f>
        <v>810673015726</v>
      </c>
      <c r="R222" s="397" t="str">
        <f>_xlfn.XLOOKUP(E222,'All Products'!D:D,'All Products'!L:L,FALSE)</f>
        <v>-</v>
      </c>
      <c r="S222" s="397">
        <f>_xlfn.XLOOKUP(E222,'All Products'!D:D,'All Products'!M:M,FALSE)</f>
        <v>810673015733</v>
      </c>
      <c r="T222" s="384">
        <f>_xlfn.XLOOKUP(E222,'All Products'!D:D,'All Products'!N:N,FALSE)</f>
        <v>0.27700000000000002</v>
      </c>
      <c r="U222" s="384">
        <f>_xlfn.XLOOKUP(E222,'All Products'!D:D,'All Products'!P:P,FALSE)</f>
        <v>5.5400000000000009</v>
      </c>
      <c r="V222" s="384">
        <f>_xlfn.XLOOKUP(E222,'All Products'!D:D,'All Products'!Q:Q,FALSE)</f>
        <v>0.32375720697715193</v>
      </c>
    </row>
    <row r="223" spans="1:22">
      <c r="A223" s="5" t="str">
        <f>IF(K223&gt;0,COUNT($A$8:A222)+1,"")</f>
        <v/>
      </c>
      <c r="B223" s="646"/>
      <c r="C223" s="647"/>
      <c r="D223" s="369" t="str">
        <f>_xlfn.XLOOKUP(E223,'All Products'!D:D,'All Products'!C:C,FALSE)</f>
        <v>444-3535</v>
      </c>
      <c r="E223" s="103">
        <v>100029045</v>
      </c>
      <c r="F223" s="376" t="str">
        <f>_xlfn.XLOOKUP(E223,'All Products'!D:D,'All Products'!E:E,FALSE)</f>
        <v>2 CLEAN OUT TEE HXHXFPT DWV</v>
      </c>
      <c r="G223" s="232">
        <f>_xlfn.XLOOKUP(E223,'All Products'!D:D,'All Products'!F:F,FALSE)</f>
        <v>20</v>
      </c>
      <c r="H223" s="387">
        <f>_xlfn.XLOOKUP(E223,'All Products'!D:D,'All Products'!G:G,FALSE)</f>
        <v>1260</v>
      </c>
      <c r="I223" s="369">
        <f>_xlfn.XLOOKUP(E223,'All Products'!D:D,'All Products'!H:H,FALSE)</f>
        <v>121.12</v>
      </c>
      <c r="J223" s="183">
        <f>IFERROR(ROUNDUP(I223*Order_Quote!$L$2,2),0)</f>
        <v>121.12</v>
      </c>
      <c r="K223" s="118"/>
      <c r="L223" s="76"/>
      <c r="M223" s="104">
        <f t="shared" si="4"/>
        <v>0</v>
      </c>
      <c r="O223" s="379" t="str">
        <f>_xlfn.XLOOKUP(E223,'All Products'!D:D,'All Products'!I:I,FALSE)</f>
        <v>In Stock</v>
      </c>
      <c r="P223" s="379" t="str">
        <f>_xlfn.XLOOKUP(E223,'All Products'!D:D,'All Products'!J:J,FALSE)</f>
        <v>Manufactured</v>
      </c>
      <c r="Q223" s="397">
        <f>_xlfn.XLOOKUP(F223,'All Products'!E:E,'All Products'!K:K,FALSE)</f>
        <v>810673015740</v>
      </c>
      <c r="R223" s="397" t="str">
        <f>_xlfn.XLOOKUP(E223,'All Products'!D:D,'All Products'!L:L,FALSE)</f>
        <v>-</v>
      </c>
      <c r="S223" s="397">
        <f>_xlfn.XLOOKUP(E223,'All Products'!D:D,'All Products'!M:M,FALSE)</f>
        <v>810673015757</v>
      </c>
      <c r="T223" s="384">
        <f>_xlfn.XLOOKUP(E223,'All Products'!D:D,'All Products'!N:N,FALSE)</f>
        <v>0.41</v>
      </c>
      <c r="U223" s="384">
        <f>_xlfn.XLOOKUP(E223,'All Products'!D:D,'All Products'!P:P,FALSE)</f>
        <v>8.1999999999999993</v>
      </c>
      <c r="V223" s="384">
        <f>_xlfn.XLOOKUP(E223,'All Products'!D:D,'All Products'!Q:Q,FALSE)</f>
        <v>0.66940792428507967</v>
      </c>
    </row>
    <row r="224" spans="1:22">
      <c r="A224" s="5" t="str">
        <f>IF(K224&gt;0,COUNT($A$8:A223)+1,"")</f>
        <v/>
      </c>
      <c r="B224" s="646"/>
      <c r="C224" s="647"/>
      <c r="D224" s="369" t="str">
        <f>_xlfn.XLOOKUP(E224,'All Products'!D:D,'All Products'!C:C,FALSE)</f>
        <v>444-3536</v>
      </c>
      <c r="E224" s="103">
        <v>100029046</v>
      </c>
      <c r="F224" s="376" t="str">
        <f>_xlfn.XLOOKUP(E224,'All Products'!D:D,'All Products'!E:E,FALSE)</f>
        <v>3 CLEAN OUT TEE HXHXFPT DWV</v>
      </c>
      <c r="G224" s="232">
        <f>_xlfn.XLOOKUP(E224,'All Products'!D:D,'All Products'!F:F,FALSE)</f>
        <v>10</v>
      </c>
      <c r="H224" s="387">
        <f>_xlfn.XLOOKUP(E224,'All Products'!D:D,'All Products'!G:G,FALSE)</f>
        <v>450</v>
      </c>
      <c r="I224" s="369">
        <f>_xlfn.XLOOKUP(E224,'All Products'!D:D,'All Products'!H:H,FALSE)</f>
        <v>234.96</v>
      </c>
      <c r="J224" s="183">
        <f>IFERROR(ROUNDUP(I224*Order_Quote!$L$2,2),0)</f>
        <v>234.96</v>
      </c>
      <c r="K224" s="118"/>
      <c r="L224" s="76"/>
      <c r="M224" s="104">
        <f t="shared" si="4"/>
        <v>0</v>
      </c>
      <c r="O224" s="379" t="str">
        <f>_xlfn.XLOOKUP(E224,'All Products'!D:D,'All Products'!I:I,FALSE)</f>
        <v>In Stock</v>
      </c>
      <c r="P224" s="379" t="str">
        <f>_xlfn.XLOOKUP(E224,'All Products'!D:D,'All Products'!J:J,FALSE)</f>
        <v>Manufactured</v>
      </c>
      <c r="Q224" s="397">
        <f>_xlfn.XLOOKUP(F224,'All Products'!E:E,'All Products'!K:K,FALSE)</f>
        <v>810673015764</v>
      </c>
      <c r="R224" s="397" t="str">
        <f>_xlfn.XLOOKUP(E224,'All Products'!D:D,'All Products'!L:L,FALSE)</f>
        <v>-</v>
      </c>
      <c r="S224" s="397">
        <f>_xlfn.XLOOKUP(E224,'All Products'!D:D,'All Products'!M:M,FALSE)</f>
        <v>810673015771</v>
      </c>
      <c r="T224" s="384">
        <f>_xlfn.XLOOKUP(E224,'All Products'!D:D,'All Products'!N:N,FALSE)</f>
        <v>1.1659999999999999</v>
      </c>
      <c r="U224" s="384">
        <f>_xlfn.XLOOKUP(E224,'All Products'!D:D,'All Products'!P:P,FALSE)</f>
        <v>11.66</v>
      </c>
      <c r="V224" s="384">
        <f>_xlfn.XLOOKUP(E224,'All Products'!D:D,'All Products'!Q:Q,FALSE)</f>
        <v>0.98955954024750914</v>
      </c>
    </row>
    <row r="225" spans="1:22">
      <c r="A225" s="5" t="str">
        <f>IF(K225&gt;0,COUNT($A$8:A224)+1,"")</f>
        <v/>
      </c>
      <c r="B225" s="652"/>
      <c r="C225" s="653"/>
      <c r="D225" s="369" t="str">
        <f>_xlfn.XLOOKUP(E225,'All Products'!D:D,'All Products'!C:C,FALSE)</f>
        <v>444-3537</v>
      </c>
      <c r="E225" s="103">
        <v>100029047</v>
      </c>
      <c r="F225" s="376" t="str">
        <f>_xlfn.XLOOKUP(E225,'All Products'!D:D,'All Products'!E:E,FALSE)</f>
        <v>4 CLEANOUT TEE HXHXFPT DWV</v>
      </c>
      <c r="G225" s="232">
        <f>_xlfn.XLOOKUP(E225,'All Products'!D:D,'All Products'!F:F,FALSE)</f>
        <v>10</v>
      </c>
      <c r="H225" s="387">
        <f>_xlfn.XLOOKUP(E225,'All Products'!D:D,'All Products'!G:G,FALSE)</f>
        <v>240</v>
      </c>
      <c r="I225" s="369">
        <f>_xlfn.XLOOKUP(E225,'All Products'!D:D,'All Products'!H:H,FALSE)</f>
        <v>417.88</v>
      </c>
      <c r="J225" s="183">
        <f>IFERROR(ROUNDUP(I225*Order_Quote!$L$2,2),0)</f>
        <v>417.88</v>
      </c>
      <c r="K225" s="118"/>
      <c r="L225" s="76"/>
      <c r="M225" s="104">
        <f t="shared" si="4"/>
        <v>0</v>
      </c>
      <c r="O225" s="379" t="str">
        <f>_xlfn.XLOOKUP(E225,'All Products'!D:D,'All Products'!I:I,FALSE)</f>
        <v>Within 3 Weeks</v>
      </c>
      <c r="P225" s="379" t="str">
        <f>_xlfn.XLOOKUP(E225,'All Products'!D:D,'All Products'!J:J,FALSE)</f>
        <v>Manufactured</v>
      </c>
      <c r="Q225" s="397">
        <f>_xlfn.XLOOKUP(F225,'All Products'!E:E,'All Products'!K:K,FALSE)</f>
        <v>810673011407</v>
      </c>
      <c r="R225" s="397" t="str">
        <f>_xlfn.XLOOKUP(E225,'All Products'!D:D,'All Products'!L:L,FALSE)</f>
        <v>-</v>
      </c>
      <c r="S225" s="397">
        <f>_xlfn.XLOOKUP(E225,'All Products'!D:D,'All Products'!M:M,FALSE)</f>
        <v>810673015788</v>
      </c>
      <c r="T225" s="384">
        <f>_xlfn.XLOOKUP(E225,'All Products'!D:D,'All Products'!N:N,FALSE)</f>
        <v>2.1030000000000002</v>
      </c>
      <c r="U225" s="384">
        <f>_xlfn.XLOOKUP(E225,'All Products'!D:D,'All Products'!P:P,FALSE)</f>
        <v>21.03</v>
      </c>
      <c r="V225" s="384">
        <f>_xlfn.XLOOKUP(E225,'All Products'!D:D,'All Products'!Q:Q,FALSE)</f>
        <v>1.8803145838984718</v>
      </c>
    </row>
    <row r="226" spans="1:22">
      <c r="A226" s="5" t="str">
        <f>IF(K226&gt;0,COUNT($A$8:A225)+1,"")</f>
        <v/>
      </c>
      <c r="B226" s="644"/>
      <c r="C226" s="645"/>
      <c r="D226" s="369" t="str">
        <f>_xlfn.XLOOKUP(E226,'All Products'!D:D,'All Products'!C:C,FALSE)</f>
        <v>444-X-0216</v>
      </c>
      <c r="E226" s="103">
        <v>100029039</v>
      </c>
      <c r="F226" s="376" t="str">
        <f>_xlfn.XLOOKUP(E226,'All Products'!D:D,'All Products'!E:E,FALSE)</f>
        <v>6 CLEANOUT TEE W/CO PLUG DWV</v>
      </c>
      <c r="G226" s="232">
        <f>_xlfn.XLOOKUP(E226,'All Products'!D:D,'All Products'!F:F,FALSE)</f>
        <v>5</v>
      </c>
      <c r="H226" s="387">
        <f>_xlfn.XLOOKUP(E226,'All Products'!D:D,'All Products'!G:G,FALSE)</f>
        <v>70</v>
      </c>
      <c r="I226" s="369">
        <f>_xlfn.XLOOKUP(E226,'All Products'!D:D,'All Products'!H:H,FALSE)</f>
        <v>2341.2600000000002</v>
      </c>
      <c r="J226" s="183">
        <f>IFERROR(ROUNDUP(I226*Order_Quote!$L$2,2),0)</f>
        <v>2341.2600000000002</v>
      </c>
      <c r="K226" s="118"/>
      <c r="L226" s="76"/>
      <c r="M226" s="104">
        <f t="shared" si="4"/>
        <v>0</v>
      </c>
      <c r="O226" s="379" t="str">
        <f>_xlfn.XLOOKUP(E226,'All Products'!D:D,'All Products'!I:I,FALSE)</f>
        <v>In Stock</v>
      </c>
      <c r="P226" s="379" t="str">
        <f>_xlfn.XLOOKUP(E226,'All Products'!D:D,'All Products'!J:J,FALSE)</f>
        <v>Manufactured</v>
      </c>
      <c r="Q226" s="397">
        <f>_xlfn.XLOOKUP(F226,'All Products'!E:E,'All Products'!K:K,FALSE)</f>
        <v>812361018118</v>
      </c>
      <c r="R226" s="397" t="str">
        <f>_xlfn.XLOOKUP(E226,'All Products'!D:D,'All Products'!L:L,FALSE)</f>
        <v>-</v>
      </c>
      <c r="S226" s="397">
        <f>_xlfn.XLOOKUP(E226,'All Products'!D:D,'All Products'!M:M,FALSE)</f>
        <v>816842027927</v>
      </c>
      <c r="T226" s="384">
        <f>_xlfn.XLOOKUP(E226,'All Products'!D:D,'All Products'!N:N,FALSE)</f>
        <v>6.5350000000000001</v>
      </c>
      <c r="U226" s="384">
        <f>_xlfn.XLOOKUP(E226,'All Products'!D:D,'All Products'!P:P,FALSE)</f>
        <v>32.674999999999997</v>
      </c>
      <c r="V226" s="384">
        <f>_xlfn.XLOOKUP(E226,'All Products'!D:D,'All Products'!Q:Q,FALSE)</f>
        <v>3.6731726755225957</v>
      </c>
    </row>
    <row r="227" spans="1:22">
      <c r="A227" s="5" t="str">
        <f>IF(K227&gt;0,COUNT($A$8:A226)+1,"")</f>
        <v/>
      </c>
      <c r="B227" s="646"/>
      <c r="C227" s="647"/>
      <c r="D227" s="369" t="str">
        <f>_xlfn.XLOOKUP(E227,'All Products'!D:D,'All Products'!C:C,FALSE)</f>
        <v>444-X-3539</v>
      </c>
      <c r="E227" s="103">
        <v>100029040</v>
      </c>
      <c r="F227" s="376" t="str">
        <f>_xlfn.XLOOKUP(E227,'All Products'!D:D,'All Products'!E:E,FALSE)</f>
        <v>1-1/2 CLEAN OUT TEE W/CO PLUG DWV</v>
      </c>
      <c r="G227" s="232">
        <f>_xlfn.XLOOKUP(E227,'All Products'!D:D,'All Products'!F:F,FALSE)</f>
        <v>10</v>
      </c>
      <c r="H227" s="387">
        <f>_xlfn.XLOOKUP(E227,'All Products'!D:D,'All Products'!G:G,FALSE)</f>
        <v>1800</v>
      </c>
      <c r="I227" s="369">
        <f>_xlfn.XLOOKUP(E227,'All Products'!D:D,'All Products'!H:H,FALSE)</f>
        <v>127.98</v>
      </c>
      <c r="J227" s="183">
        <f>IFERROR(ROUNDUP(I227*Order_Quote!$L$2,2),0)</f>
        <v>127.98</v>
      </c>
      <c r="K227" s="118"/>
      <c r="L227" s="76"/>
      <c r="M227" s="104">
        <f t="shared" si="4"/>
        <v>0</v>
      </c>
      <c r="O227" s="379" t="str">
        <f>_xlfn.XLOOKUP(E227,'All Products'!D:D,'All Products'!I:I,FALSE)</f>
        <v>Within 3 Weeks</v>
      </c>
      <c r="P227" s="379" t="str">
        <f>_xlfn.XLOOKUP(E227,'All Products'!D:D,'All Products'!J:J,FALSE)</f>
        <v>Manufactured</v>
      </c>
      <c r="Q227" s="397">
        <f>_xlfn.XLOOKUP(F227,'All Products'!E:E,'All Products'!K:K,FALSE)</f>
        <v>810673014644</v>
      </c>
      <c r="R227" s="397" t="str">
        <f>_xlfn.XLOOKUP(E227,'All Products'!D:D,'All Products'!L:L,FALSE)</f>
        <v>-</v>
      </c>
      <c r="S227" s="397">
        <f>_xlfn.XLOOKUP(E227,'All Products'!D:D,'All Products'!M:M,FALSE)</f>
        <v>810673014651</v>
      </c>
      <c r="T227" s="384">
        <f>_xlfn.XLOOKUP(E227,'All Products'!D:D,'All Products'!N:N,FALSE)</f>
        <v>0.35699999999999998</v>
      </c>
      <c r="U227" s="384">
        <f>_xlfn.XLOOKUP(E227,'All Products'!D:D,'All Products'!P:P,FALSE)</f>
        <v>3.57</v>
      </c>
      <c r="V227" s="384">
        <f>_xlfn.XLOOKUP(E227,'All Products'!D:D,'All Products'!Q:Q,FALSE)</f>
        <v>0.21565729329437433</v>
      </c>
    </row>
    <row r="228" spans="1:22">
      <c r="A228" s="5" t="str">
        <f>IF(K228&gt;0,COUNT($A$8:A227)+1,"")</f>
        <v/>
      </c>
      <c r="B228" s="646"/>
      <c r="C228" s="647"/>
      <c r="D228" s="369" t="str">
        <f>_xlfn.XLOOKUP(E228,'All Products'!D:D,'All Products'!C:C,FALSE)</f>
        <v>444-X-3540</v>
      </c>
      <c r="E228" s="103">
        <v>100029041</v>
      </c>
      <c r="F228" s="376" t="str">
        <f>_xlfn.XLOOKUP(E228,'All Products'!D:D,'All Products'!E:E,FALSE)</f>
        <v>2 CLEAN OUT TEE W/CO PLUG DWV</v>
      </c>
      <c r="G228" s="232">
        <f>_xlfn.XLOOKUP(E228,'All Products'!D:D,'All Products'!F:F,FALSE)</f>
        <v>10</v>
      </c>
      <c r="H228" s="387">
        <f>_xlfn.XLOOKUP(E228,'All Products'!D:D,'All Products'!G:G,FALSE)</f>
        <v>800</v>
      </c>
      <c r="I228" s="369">
        <f>_xlfn.XLOOKUP(E228,'All Products'!D:D,'All Products'!H:H,FALSE)</f>
        <v>148.44</v>
      </c>
      <c r="J228" s="183">
        <f>IFERROR(ROUNDUP(I228*Order_Quote!$L$2,2),0)</f>
        <v>148.44</v>
      </c>
      <c r="K228" s="118"/>
      <c r="L228" s="76"/>
      <c r="M228" s="104">
        <f t="shared" si="4"/>
        <v>0</v>
      </c>
      <c r="O228" s="379" t="str">
        <f>_xlfn.XLOOKUP(E228,'All Products'!D:D,'All Products'!I:I,FALSE)</f>
        <v>In Stock</v>
      </c>
      <c r="P228" s="379" t="str">
        <f>_xlfn.XLOOKUP(E228,'All Products'!D:D,'All Products'!J:J,FALSE)</f>
        <v>Manufactured</v>
      </c>
      <c r="Q228" s="397">
        <f>_xlfn.XLOOKUP(F228,'All Products'!E:E,'All Products'!K:K,FALSE)</f>
        <v>810673014668</v>
      </c>
      <c r="R228" s="397" t="str">
        <f>_xlfn.XLOOKUP(E228,'All Products'!D:D,'All Products'!L:L,FALSE)</f>
        <v>-</v>
      </c>
      <c r="S228" s="397">
        <f>_xlfn.XLOOKUP(E228,'All Products'!D:D,'All Products'!M:M,FALSE)</f>
        <v>810673014675</v>
      </c>
      <c r="T228" s="384">
        <f>_xlfn.XLOOKUP(E228,'All Products'!D:D,'All Products'!N:N,FALSE)</f>
        <v>0.51300000000000001</v>
      </c>
      <c r="U228" s="384">
        <f>_xlfn.XLOOKUP(E228,'All Products'!D:D,'All Products'!P:P,FALSE)</f>
        <v>5.13</v>
      </c>
      <c r="V228" s="384">
        <f>_xlfn.XLOOKUP(E228,'All Products'!D:D,'All Products'!Q:Q,FALSE)</f>
        <v>0.4856358104657279</v>
      </c>
    </row>
    <row r="229" spans="1:22">
      <c r="A229" s="5" t="str">
        <f>IF(K229&gt;0,COUNT($A$8:A228)+1,"")</f>
        <v/>
      </c>
      <c r="B229" s="646"/>
      <c r="C229" s="647"/>
      <c r="D229" s="369" t="str">
        <f>_xlfn.XLOOKUP(E229,'All Products'!D:D,'All Products'!C:C,FALSE)</f>
        <v>444-X-3541</v>
      </c>
      <c r="E229" s="103">
        <v>100029042</v>
      </c>
      <c r="F229" s="376" t="str">
        <f>_xlfn.XLOOKUP(E229,'All Products'!D:D,'All Products'!E:E,FALSE)</f>
        <v>3 CLEANOUT TEE W/CO PLUG DWV</v>
      </c>
      <c r="G229" s="232">
        <f>_xlfn.XLOOKUP(E229,'All Products'!D:D,'All Products'!F:F,FALSE)</f>
        <v>10</v>
      </c>
      <c r="H229" s="387">
        <f>_xlfn.XLOOKUP(E229,'All Products'!D:D,'All Products'!G:G,FALSE)</f>
        <v>450</v>
      </c>
      <c r="I229" s="369">
        <f>_xlfn.XLOOKUP(E229,'All Products'!D:D,'All Products'!H:H,FALSE)</f>
        <v>283.58</v>
      </c>
      <c r="J229" s="183">
        <f>IFERROR(ROUNDUP(I229*Order_Quote!$L$2,2),0)</f>
        <v>283.58</v>
      </c>
      <c r="K229" s="118"/>
      <c r="L229" s="76"/>
      <c r="M229" s="104">
        <f t="shared" si="4"/>
        <v>0</v>
      </c>
      <c r="O229" s="379" t="str">
        <f>_xlfn.XLOOKUP(E229,'All Products'!D:D,'All Products'!I:I,FALSE)</f>
        <v>In Stock</v>
      </c>
      <c r="P229" s="379" t="str">
        <f>_xlfn.XLOOKUP(E229,'All Products'!D:D,'All Products'!J:J,FALSE)</f>
        <v>Manufactured</v>
      </c>
      <c r="Q229" s="397">
        <f>_xlfn.XLOOKUP(F229,'All Products'!E:E,'All Products'!K:K,FALSE)</f>
        <v>810673014682</v>
      </c>
      <c r="R229" s="397" t="str">
        <f>_xlfn.XLOOKUP(E229,'All Products'!D:D,'All Products'!L:L,FALSE)</f>
        <v>-</v>
      </c>
      <c r="S229" s="397">
        <f>_xlfn.XLOOKUP(E229,'All Products'!D:D,'All Products'!M:M,FALSE)</f>
        <v>810673014699</v>
      </c>
      <c r="T229" s="384">
        <f>_xlfn.XLOOKUP(E229,'All Products'!D:D,'All Products'!N:N,FALSE)</f>
        <v>1.4079999999999999</v>
      </c>
      <c r="U229" s="384">
        <f>_xlfn.XLOOKUP(E229,'All Products'!D:D,'All Products'!P:P,FALSE)</f>
        <v>14.079999999999998</v>
      </c>
      <c r="V229" s="384">
        <f>_xlfn.XLOOKUP(E229,'All Products'!D:D,'All Products'!Q:Q,FALSE)</f>
        <v>0.98955954024750914</v>
      </c>
    </row>
    <row r="230" spans="1:22">
      <c r="A230" s="5" t="str">
        <f>IF(K230&gt;0,COUNT($A$8:A229)+1,"")</f>
        <v/>
      </c>
      <c r="B230" s="652"/>
      <c r="C230" s="653"/>
      <c r="D230" s="369" t="str">
        <f>_xlfn.XLOOKUP(E230,'All Products'!D:D,'All Products'!C:C,FALSE)</f>
        <v>444-X-3542</v>
      </c>
      <c r="E230" s="103">
        <v>100029043</v>
      </c>
      <c r="F230" s="376" t="str">
        <f>_xlfn.XLOOKUP(E230,'All Products'!D:D,'All Products'!E:E,FALSE)</f>
        <v>4 CLEANOUT TEE W/CO PLUG DWV</v>
      </c>
      <c r="G230" s="232">
        <f>_xlfn.XLOOKUP(E230,'All Products'!D:D,'All Products'!F:F,FALSE)</f>
        <v>5</v>
      </c>
      <c r="H230" s="387">
        <f>_xlfn.XLOOKUP(E230,'All Products'!D:D,'All Products'!G:G,FALSE)</f>
        <v>225</v>
      </c>
      <c r="I230" s="369">
        <f>_xlfn.XLOOKUP(E230,'All Products'!D:D,'All Products'!H:H,FALSE)</f>
        <v>489.93</v>
      </c>
      <c r="J230" s="183">
        <f>IFERROR(ROUNDUP(I230*Order_Quote!$L$2,2),0)</f>
        <v>489.93</v>
      </c>
      <c r="K230" s="118"/>
      <c r="L230" s="76"/>
      <c r="M230" s="104">
        <f t="shared" si="4"/>
        <v>0</v>
      </c>
      <c r="O230" s="379" t="str">
        <f>_xlfn.XLOOKUP(E230,'All Products'!D:D,'All Products'!I:I,FALSE)</f>
        <v>In Stock</v>
      </c>
      <c r="P230" s="379" t="str">
        <f>_xlfn.XLOOKUP(E230,'All Products'!D:D,'All Products'!J:J,FALSE)</f>
        <v>Manufactured</v>
      </c>
      <c r="Q230" s="397">
        <f>_xlfn.XLOOKUP(F230,'All Products'!E:E,'All Products'!K:K,FALSE)</f>
        <v>810673011414</v>
      </c>
      <c r="R230" s="397" t="str">
        <f>_xlfn.XLOOKUP(E230,'All Products'!D:D,'All Products'!L:L,FALSE)</f>
        <v>-</v>
      </c>
      <c r="S230" s="397">
        <f>_xlfn.XLOOKUP(E230,'All Products'!D:D,'All Products'!M:M,FALSE)</f>
        <v>810673014705</v>
      </c>
      <c r="T230" s="384">
        <f>_xlfn.XLOOKUP(E230,'All Products'!D:D,'All Products'!N:N,FALSE)</f>
        <v>2.5550000000000002</v>
      </c>
      <c r="U230" s="384">
        <f>_xlfn.XLOOKUP(E230,'All Products'!D:D,'All Products'!P:P,FALSE)</f>
        <v>12.775</v>
      </c>
      <c r="V230" s="384">
        <f>_xlfn.XLOOKUP(E230,'All Products'!D:D,'All Products'!Q:Q,FALSE)</f>
        <v>0.98955954024750914</v>
      </c>
    </row>
    <row r="231" spans="1:22" s="17" customFormat="1" ht="30" customHeight="1">
      <c r="A231" s="5" t="str">
        <f>IF(K231&gt;0,COUNT($A$8:A230)+1,"")</f>
        <v/>
      </c>
      <c r="B231" s="608"/>
      <c r="C231" s="609"/>
      <c r="D231" s="369" t="str">
        <f>_xlfn.XLOOKUP(E231,'All Products'!D:D,'All Products'!C:C,FALSE)</f>
        <v>445-X-3548</v>
      </c>
      <c r="E231" s="103">
        <v>100029048</v>
      </c>
      <c r="F231" s="376" t="str">
        <f>_xlfn.XLOOKUP(E231,'All Products'!D:D,'All Products'!E:E,FALSE)</f>
        <v>3 CLEANOUT TEE W/FLUSH PLUG DWV</v>
      </c>
      <c r="G231" s="232">
        <f>_xlfn.XLOOKUP(E231,'All Products'!D:D,'All Products'!F:F,FALSE)</f>
        <v>10</v>
      </c>
      <c r="H231" s="387">
        <f>_xlfn.XLOOKUP(E231,'All Products'!D:D,'All Products'!G:G,FALSE)</f>
        <v>300</v>
      </c>
      <c r="I231" s="369">
        <f>_xlfn.XLOOKUP(E231,'All Products'!D:D,'All Products'!H:H,FALSE)</f>
        <v>396.67</v>
      </c>
      <c r="J231" s="183">
        <f>IFERROR(ROUNDUP(I231*Order_Quote!$L$2,2),0)</f>
        <v>396.67</v>
      </c>
      <c r="K231" s="118"/>
      <c r="L231" s="76"/>
      <c r="M231" s="104">
        <f t="shared" si="4"/>
        <v>0</v>
      </c>
      <c r="O231" s="379" t="str">
        <f>_xlfn.XLOOKUP(E231,'All Products'!D:D,'All Products'!I:I,FALSE)</f>
        <v>In Stock</v>
      </c>
      <c r="P231" s="379" t="str">
        <f>_xlfn.XLOOKUP(E231,'All Products'!D:D,'All Products'!J:J,FALSE)</f>
        <v>Manufactured</v>
      </c>
      <c r="Q231" s="397">
        <f>_xlfn.XLOOKUP(F231,'All Products'!E:E,'All Products'!K:K,FALSE)</f>
        <v>816842023189</v>
      </c>
      <c r="R231" s="397" t="str">
        <f>_xlfn.XLOOKUP(E231,'All Products'!D:D,'All Products'!L:L,FALSE)</f>
        <v>-</v>
      </c>
      <c r="S231" s="397">
        <f>_xlfn.XLOOKUP(E231,'All Products'!D:D,'All Products'!M:M,FALSE)</f>
        <v>816842023172</v>
      </c>
      <c r="T231" s="384">
        <f>_xlfn.XLOOKUP(E231,'All Products'!D:D,'All Products'!N:N,FALSE)</f>
        <v>1.3260000000000001</v>
      </c>
      <c r="U231" s="384">
        <f>_xlfn.XLOOKUP(E231,'All Products'!D:D,'All Products'!P:P,FALSE)</f>
        <v>13.260000000000002</v>
      </c>
      <c r="V231" s="384">
        <f>_xlfn.XLOOKUP(E231,'All Products'!D:D,'All Products'!Q:Q,FALSE)</f>
        <v>0.98955954024750914</v>
      </c>
    </row>
    <row r="232" spans="1:22" s="17" customFormat="1" ht="30" customHeight="1">
      <c r="A232" s="5" t="str">
        <f>IF(K232&gt;0,COUNT($A$8:A231)+1,"")</f>
        <v/>
      </c>
      <c r="B232" s="612"/>
      <c r="C232" s="613"/>
      <c r="D232" s="369" t="str">
        <f>_xlfn.XLOOKUP(E232,'All Products'!D:D,'All Products'!C:C,FALSE)</f>
        <v>445-X-3549</v>
      </c>
      <c r="E232" s="103">
        <v>100029049</v>
      </c>
      <c r="F232" s="376" t="str">
        <f>_xlfn.XLOOKUP(E232,'All Products'!D:D,'All Products'!E:E,FALSE)</f>
        <v>4 CLEANOUT TEE W/FLUSH PLUG DWV</v>
      </c>
      <c r="G232" s="232">
        <f>_xlfn.XLOOKUP(E232,'All Products'!D:D,'All Products'!F:F,FALSE)</f>
        <v>10</v>
      </c>
      <c r="H232" s="387">
        <f>_xlfn.XLOOKUP(E232,'All Products'!D:D,'All Products'!G:G,FALSE)</f>
        <v>180</v>
      </c>
      <c r="I232" s="369">
        <f>_xlfn.XLOOKUP(E232,'All Products'!D:D,'All Products'!H:H,FALSE)</f>
        <v>570.02</v>
      </c>
      <c r="J232" s="183">
        <f>IFERROR(ROUNDUP(I232*Order_Quote!$L$2,2),0)</f>
        <v>570.02</v>
      </c>
      <c r="K232" s="118"/>
      <c r="L232" s="76"/>
      <c r="M232" s="104">
        <f t="shared" si="4"/>
        <v>0</v>
      </c>
      <c r="O232" s="379" t="str">
        <f>_xlfn.XLOOKUP(E232,'All Products'!D:D,'All Products'!I:I,FALSE)</f>
        <v>Within 3 Weeks</v>
      </c>
      <c r="P232" s="379" t="str">
        <f>_xlfn.XLOOKUP(E232,'All Products'!D:D,'All Products'!J:J,FALSE)</f>
        <v>Manufactured</v>
      </c>
      <c r="Q232" s="397">
        <f>_xlfn.XLOOKUP(F232,'All Products'!E:E,'All Products'!K:K,FALSE)</f>
        <v>816842023134</v>
      </c>
      <c r="R232" s="397" t="str">
        <f>_xlfn.XLOOKUP(E232,'All Products'!D:D,'All Products'!L:L,FALSE)</f>
        <v>-</v>
      </c>
      <c r="S232" s="397">
        <f>_xlfn.XLOOKUP(E232,'All Products'!D:D,'All Products'!M:M,FALSE)</f>
        <v>816842023141</v>
      </c>
      <c r="T232" s="384">
        <f>_xlfn.XLOOKUP(E232,'All Products'!D:D,'All Products'!N:N,FALSE)</f>
        <v>2.391</v>
      </c>
      <c r="U232" s="384">
        <f>_xlfn.XLOOKUP(E232,'All Products'!D:D,'All Products'!P:P,FALSE)</f>
        <v>23.91</v>
      </c>
      <c r="V232" s="384">
        <f>_xlfn.XLOOKUP(E232,'All Products'!D:D,'All Products'!Q:Q,FALSE)</f>
        <v>1.8803145838984718</v>
      </c>
    </row>
    <row r="233" spans="1:22">
      <c r="A233" s="5" t="str">
        <f>IF(K233&gt;0,COUNT($A$8:A232)+1,"")</f>
        <v/>
      </c>
      <c r="B233" s="644"/>
      <c r="C233" s="645"/>
      <c r="D233" s="369" t="str">
        <f>_xlfn.XLOOKUP(E233,'All Products'!D:D,'All Products'!C:C,FALSE)</f>
        <v>448-3557</v>
      </c>
      <c r="E233" s="103">
        <v>100029050</v>
      </c>
      <c r="F233" s="376" t="str">
        <f>_xlfn.XLOOKUP(E233,'All Products'!D:D,'All Products'!E:E,FALSE)</f>
        <v>3 TWO WAY CLEANOUT TEE HXHXH DWV</v>
      </c>
      <c r="G233" s="232">
        <f>_xlfn.XLOOKUP(E233,'All Products'!D:D,'All Products'!F:F,FALSE)</f>
        <v>12</v>
      </c>
      <c r="H233" s="387">
        <f>_xlfn.XLOOKUP(E233,'All Products'!D:D,'All Products'!G:G,FALSE)</f>
        <v>216</v>
      </c>
      <c r="I233" s="369">
        <f>_xlfn.XLOOKUP(E233,'All Products'!D:D,'All Products'!H:H,FALSE)</f>
        <v>448.92</v>
      </c>
      <c r="J233" s="183">
        <f>IFERROR(ROUNDUP(I233*Order_Quote!$L$2,2),0)</f>
        <v>448.92</v>
      </c>
      <c r="K233" s="118"/>
      <c r="L233" s="76"/>
      <c r="M233" s="104">
        <f t="shared" si="4"/>
        <v>0</v>
      </c>
      <c r="O233" s="379" t="str">
        <f>_xlfn.XLOOKUP(E233,'All Products'!D:D,'All Products'!I:I,FALSE)</f>
        <v>In Stock</v>
      </c>
      <c r="P233" s="379" t="str">
        <f>_xlfn.XLOOKUP(E233,'All Products'!D:D,'All Products'!J:J,FALSE)</f>
        <v>Manufactured</v>
      </c>
      <c r="Q233" s="397">
        <f>_xlfn.XLOOKUP(F233,'All Products'!E:E,'All Products'!K:K,FALSE)</f>
        <v>812361013465</v>
      </c>
      <c r="R233" s="397" t="str">
        <f>_xlfn.XLOOKUP(E233,'All Products'!D:D,'All Products'!L:L,FALSE)</f>
        <v>-</v>
      </c>
      <c r="S233" s="397">
        <f>_xlfn.XLOOKUP(E233,'All Products'!D:D,'All Products'!M:M,FALSE)</f>
        <v>812361019009</v>
      </c>
      <c r="T233" s="384">
        <f>_xlfn.XLOOKUP(E233,'All Products'!D:D,'All Products'!N:N,FALSE)</f>
        <v>2.1019999999999999</v>
      </c>
      <c r="U233" s="384">
        <f>_xlfn.XLOOKUP(E233,'All Products'!D:D,'All Products'!P:P,FALSE)</f>
        <v>25.223999999999997</v>
      </c>
      <c r="V233" s="384">
        <f>_xlfn.XLOOKUP(E233,'All Products'!D:D,'All Products'!Q:Q,FALSE)</f>
        <v>2.361325291407383</v>
      </c>
    </row>
    <row r="234" spans="1:22">
      <c r="A234" s="5" t="str">
        <f>IF(K234&gt;0,COUNT($A$8:A233)+1,"")</f>
        <v/>
      </c>
      <c r="B234" s="646"/>
      <c r="C234" s="647"/>
      <c r="D234" s="369" t="str">
        <f>_xlfn.XLOOKUP(E234,'All Products'!D:D,'All Products'!C:C,FALSE)</f>
        <v>448-3558</v>
      </c>
      <c r="E234" s="103">
        <v>100029051</v>
      </c>
      <c r="F234" s="376" t="str">
        <f>_xlfn.XLOOKUP(E234,'All Products'!D:D,'All Products'!E:E,FALSE)</f>
        <v>4 TWO WAY CLEANOUT TEE HXHXH DWV</v>
      </c>
      <c r="G234" s="232">
        <f>_xlfn.XLOOKUP(E234,'All Products'!D:D,'All Products'!F:F,FALSE)</f>
        <v>5</v>
      </c>
      <c r="H234" s="387">
        <f>_xlfn.XLOOKUP(E234,'All Products'!D:D,'All Products'!G:G,FALSE)</f>
        <v>120</v>
      </c>
      <c r="I234" s="369">
        <f>_xlfn.XLOOKUP(E234,'All Products'!D:D,'All Products'!H:H,FALSE)</f>
        <v>581.12</v>
      </c>
      <c r="J234" s="183">
        <f>IFERROR(ROUNDUP(I234*Order_Quote!$L$2,2),0)</f>
        <v>581.12</v>
      </c>
      <c r="K234" s="118"/>
      <c r="L234" s="76"/>
      <c r="M234" s="104">
        <f t="shared" si="4"/>
        <v>0</v>
      </c>
      <c r="O234" s="379" t="str">
        <f>_xlfn.XLOOKUP(E234,'All Products'!D:D,'All Products'!I:I,FALSE)</f>
        <v>In Stock</v>
      </c>
      <c r="P234" s="379" t="str">
        <f>_xlfn.XLOOKUP(E234,'All Products'!D:D,'All Products'!J:J,FALSE)</f>
        <v>Manufactured</v>
      </c>
      <c r="Q234" s="397">
        <f>_xlfn.XLOOKUP(F234,'All Products'!E:E,'All Products'!K:K,FALSE)</f>
        <v>812361013489</v>
      </c>
      <c r="R234" s="397" t="str">
        <f>_xlfn.XLOOKUP(E234,'All Products'!D:D,'All Products'!L:L,FALSE)</f>
        <v>-</v>
      </c>
      <c r="S234" s="397">
        <f>_xlfn.XLOOKUP(E234,'All Products'!D:D,'All Products'!M:M,FALSE)</f>
        <v>812361013496</v>
      </c>
      <c r="T234" s="384">
        <f>_xlfn.XLOOKUP(E234,'All Products'!D:D,'All Products'!N:N,FALSE)</f>
        <v>3.9220000000000002</v>
      </c>
      <c r="U234" s="384">
        <f>_xlfn.XLOOKUP(E234,'All Products'!D:D,'All Products'!P:P,FALSE)</f>
        <v>19.61</v>
      </c>
      <c r="V234" s="384">
        <f>_xlfn.XLOOKUP(E234,'All Products'!D:D,'All Products'!Q:Q,FALSE)</f>
        <v>1.8803145838984718</v>
      </c>
    </row>
    <row r="235" spans="1:22" ht="15" thickBot="1">
      <c r="A235" s="5" t="str">
        <f>IF(K235&gt;0,COUNT($A$8:A234)+1,"")</f>
        <v/>
      </c>
      <c r="B235" s="666"/>
      <c r="C235" s="667"/>
      <c r="D235" s="369" t="str">
        <f>_xlfn.XLOOKUP(E235,'All Products'!D:D,'All Products'!C:C,FALSE)</f>
        <v>448-3559</v>
      </c>
      <c r="E235" s="103">
        <v>300005682</v>
      </c>
      <c r="F235" s="376" t="str">
        <f>_xlfn.XLOOKUP(E235,'All Products'!D:D,'All Products'!E:E,FALSE)</f>
        <v>6 TWO WAY CLEANOUT TEE HXHXH DWV</v>
      </c>
      <c r="G235" s="232">
        <f>_xlfn.XLOOKUP(E235,'All Products'!D:D,'All Products'!F:F,FALSE)</f>
        <v>3</v>
      </c>
      <c r="H235" s="387" t="str">
        <f>_xlfn.XLOOKUP(E235,'All Products'!D:D,'All Products'!G:G,FALSE)</f>
        <v>-</v>
      </c>
      <c r="I235" s="369" t="str">
        <f>_xlfn.XLOOKUP(E235,'All Products'!D:D,'All Products'!H:H,FALSE)</f>
        <v>Quote Required</v>
      </c>
      <c r="J235" s="183">
        <f>IFERROR(ROUNDUP(I235*Order_Quote!$L$2,2),0)</f>
        <v>0</v>
      </c>
      <c r="K235" s="118"/>
      <c r="L235" s="76"/>
      <c r="M235" s="104">
        <f t="shared" si="4"/>
        <v>0</v>
      </c>
      <c r="O235" s="379" t="str">
        <f>_xlfn.XLOOKUP(E235,'All Products'!D:D,'All Products'!I:I,FALSE)</f>
        <v>Within 6 Weeks</v>
      </c>
      <c r="P235" s="379" t="str">
        <f>_xlfn.XLOOKUP(E235,'All Products'!D:D,'All Products'!J:J,FALSE)</f>
        <v>Sourced</v>
      </c>
      <c r="Q235" s="504">
        <f>_xlfn.XLOOKUP(F235,'All Products'!E:E,'All Products'!K:K,FALSE)</f>
        <v>812361017531</v>
      </c>
      <c r="R235" s="397" t="str">
        <f>_xlfn.XLOOKUP(E235,'All Products'!D:D,'All Products'!L:L,FALSE)</f>
        <v>-</v>
      </c>
      <c r="S235" s="397" t="str">
        <f>_xlfn.XLOOKUP(E235,'All Products'!D:D,'All Products'!M:M,FALSE)</f>
        <v>-</v>
      </c>
      <c r="T235" s="384">
        <f>_xlfn.XLOOKUP(E235,'All Products'!D:D,'All Products'!N:N,FALSE)</f>
        <v>7.54</v>
      </c>
      <c r="U235" s="384">
        <f>_xlfn.XLOOKUP(E235,'All Products'!D:D,'All Products'!P:P,FALSE)</f>
        <v>22.62</v>
      </c>
      <c r="V235" s="384" t="str">
        <f>_xlfn.XLOOKUP(E235,'All Products'!D:D,'All Products'!Q:Q,FALSE)</f>
        <v>-</v>
      </c>
    </row>
    <row r="236" spans="1:22" s="17" customFormat="1" ht="16.2" thickBot="1">
      <c r="A236" s="5" t="str">
        <f>IF(K236&gt;0,COUNT($A$8:A235)+1,"")</f>
        <v/>
      </c>
      <c r="B236" s="446" t="s">
        <v>5815</v>
      </c>
      <c r="C236" s="151"/>
      <c r="D236" s="151"/>
      <c r="E236" s="459"/>
      <c r="F236" s="151"/>
      <c r="G236" s="468"/>
      <c r="H236" s="151"/>
      <c r="I236" s="472"/>
      <c r="J236" s="468"/>
      <c r="K236" s="477"/>
      <c r="L236" s="238"/>
      <c r="M236" s="476"/>
      <c r="O236" s="475"/>
      <c r="P236" s="145"/>
      <c r="Q236" s="492"/>
      <c r="R236" s="493"/>
      <c r="S236" s="493"/>
      <c r="T236" s="479"/>
      <c r="U236" s="459"/>
      <c r="V236" s="489"/>
    </row>
    <row r="237" spans="1:22">
      <c r="A237" s="5" t="str">
        <f>IF(K237&gt;0,COUNT($A$8:A236)+1,"")</f>
        <v/>
      </c>
      <c r="B237" s="664"/>
      <c r="C237" s="665"/>
      <c r="D237" s="369" t="str">
        <f>_xlfn.XLOOKUP(E237,'All Products'!D:D,'All Products'!C:C,FALSE)</f>
        <v>500-4001</v>
      </c>
      <c r="E237" s="103">
        <v>300005683</v>
      </c>
      <c r="F237" s="376" t="str">
        <f>_xlfn.XLOOKUP(E237,'All Products'!D:D,'All Products'!E:E,FALSE)</f>
        <v>3 DBL FIXTURE FITTING HXHXHXH DWV</v>
      </c>
      <c r="G237" s="232">
        <f>_xlfn.XLOOKUP(E237,'All Products'!D:D,'All Products'!F:F,FALSE)</f>
        <v>10</v>
      </c>
      <c r="H237" s="387" t="str">
        <f>_xlfn.XLOOKUP(E237,'All Products'!D:D,'All Products'!G:G,FALSE)</f>
        <v>-</v>
      </c>
      <c r="I237" s="369" t="str">
        <f>_xlfn.XLOOKUP(E237,'All Products'!D:D,'All Products'!H:H,FALSE)</f>
        <v>Quote Required</v>
      </c>
      <c r="J237" s="183">
        <f>IFERROR(ROUNDUP(I237*Order_Quote!$L$2,2),0)</f>
        <v>0</v>
      </c>
      <c r="K237" s="118"/>
      <c r="L237" s="76"/>
      <c r="M237" s="104"/>
      <c r="O237" s="379" t="str">
        <f>_xlfn.XLOOKUP(E237,'All Products'!D:D,'All Products'!I:I,FALSE)</f>
        <v>Within 6 Weeks</v>
      </c>
      <c r="P237" s="379" t="str">
        <f>_xlfn.XLOOKUP(E237,'All Products'!D:D,'All Products'!J:J,FALSE)</f>
        <v>Sourced</v>
      </c>
      <c r="Q237" s="397">
        <f>_xlfn.XLOOKUP(F237,'All Products'!E:E,'All Products'!K:K,FALSE)</f>
        <v>812361010778</v>
      </c>
      <c r="R237" s="397" t="str">
        <f>_xlfn.XLOOKUP(E237,'All Products'!D:D,'All Products'!L:L,FALSE)</f>
        <v>-</v>
      </c>
      <c r="S237" s="397" t="str">
        <f>_xlfn.XLOOKUP(E237,'All Products'!D:D,'All Products'!M:M,FALSE)</f>
        <v>-</v>
      </c>
      <c r="T237" s="384">
        <f>_xlfn.XLOOKUP(E237,'All Products'!D:D,'All Products'!N:N,FALSE)</f>
        <v>2.48</v>
      </c>
      <c r="U237" s="384">
        <f>_xlfn.XLOOKUP(E237,'All Products'!D:D,'All Products'!P:P,FALSE)</f>
        <v>24.8</v>
      </c>
      <c r="V237" s="384" t="str">
        <f>_xlfn.XLOOKUP(E237,'All Products'!D:D,'All Products'!Q:Q,FALSE)</f>
        <v>-</v>
      </c>
    </row>
    <row r="238" spans="1:22">
      <c r="A238" s="5" t="str">
        <f>IF(K238&gt;0,COUNT($A$8:A237)+1,"")</f>
        <v/>
      </c>
      <c r="B238" s="646"/>
      <c r="C238" s="647"/>
      <c r="D238" s="369" t="str">
        <f>_xlfn.XLOOKUP(E238,'All Products'!D:D,'All Products'!C:C,FALSE)</f>
        <v>500-4002</v>
      </c>
      <c r="E238" s="103">
        <v>300005684</v>
      </c>
      <c r="F238" s="376" t="str">
        <f>_xlfn.XLOOKUP(E238,'All Products'!D:D,'All Products'!E:E,FALSE)</f>
        <v>2X2X1-1/2X1-1/2 DBL FIXTURE FITTING HXHXHXH DWV</v>
      </c>
      <c r="G238" s="232">
        <f>_xlfn.XLOOKUP(E238,'All Products'!D:D,'All Products'!F:F,FALSE)</f>
        <v>20</v>
      </c>
      <c r="H238" s="387" t="str">
        <f>_xlfn.XLOOKUP(E238,'All Products'!D:D,'All Products'!G:G,FALSE)</f>
        <v>-</v>
      </c>
      <c r="I238" s="369" t="str">
        <f>_xlfn.XLOOKUP(E238,'All Products'!D:D,'All Products'!H:H,FALSE)</f>
        <v>Quote Required</v>
      </c>
      <c r="J238" s="183">
        <f>IFERROR(ROUNDUP(I238*Order_Quote!$L$2,2),0)</f>
        <v>0</v>
      </c>
      <c r="K238" s="118"/>
      <c r="L238" s="76"/>
      <c r="M238" s="104"/>
      <c r="O238" s="379" t="str">
        <f>_xlfn.XLOOKUP(E238,'All Products'!D:D,'All Products'!I:I,FALSE)</f>
        <v>Within 6 Weeks</v>
      </c>
      <c r="P238" s="379" t="str">
        <f>_xlfn.XLOOKUP(E238,'All Products'!D:D,'All Products'!J:J,FALSE)</f>
        <v>Sourced</v>
      </c>
      <c r="Q238" s="397">
        <f>_xlfn.XLOOKUP(F238,'All Products'!E:E,'All Products'!K:K,FALSE)</f>
        <v>812361010785</v>
      </c>
      <c r="R238" s="397" t="str">
        <f>_xlfn.XLOOKUP(E238,'All Products'!D:D,'All Products'!L:L,FALSE)</f>
        <v>-</v>
      </c>
      <c r="S238" s="397" t="str">
        <f>_xlfn.XLOOKUP(E238,'All Products'!D:D,'All Products'!M:M,FALSE)</f>
        <v>-</v>
      </c>
      <c r="T238" s="384">
        <f>_xlfn.XLOOKUP(E238,'All Products'!D:D,'All Products'!N:N,FALSE)</f>
        <v>0.55100000000000005</v>
      </c>
      <c r="U238" s="384">
        <f>_xlfn.XLOOKUP(E238,'All Products'!D:D,'All Products'!P:P,FALSE)</f>
        <v>11.020000000000001</v>
      </c>
      <c r="V238" s="384" t="str">
        <f>_xlfn.XLOOKUP(E238,'All Products'!D:D,'All Products'!Q:Q,FALSE)</f>
        <v>-</v>
      </c>
    </row>
    <row r="239" spans="1:22" s="17" customFormat="1" ht="15" thickBot="1">
      <c r="A239" s="5" t="str">
        <f>IF(K239&gt;0,COUNT($A$8:A238)+1,"")</f>
        <v/>
      </c>
      <c r="B239" s="666"/>
      <c r="C239" s="667"/>
      <c r="D239" s="369" t="str">
        <f>_xlfn.XLOOKUP(E239,'All Products'!D:D,'All Products'!C:C,FALSE)</f>
        <v>500-4155</v>
      </c>
      <c r="E239" s="103">
        <v>300005685</v>
      </c>
      <c r="F239" s="376" t="str">
        <f>_xlfn.XLOOKUP(E239,'All Products'!D:D,'All Products'!E:E,FALSE)</f>
        <v>2 DBL FIXTURE FITTING HXHXHXH DWV</v>
      </c>
      <c r="G239" s="232">
        <f>_xlfn.XLOOKUP(E239,'All Products'!D:D,'All Products'!F:F,FALSE)</f>
        <v>25</v>
      </c>
      <c r="H239" s="387">
        <f>_xlfn.XLOOKUP(E239,'All Products'!D:D,'All Products'!G:G,FALSE)</f>
        <v>360</v>
      </c>
      <c r="I239" s="369" t="str">
        <f>_xlfn.XLOOKUP(E239,'All Products'!D:D,'All Products'!H:H,FALSE)</f>
        <v>Quote Required</v>
      </c>
      <c r="J239" s="183">
        <f>IFERROR(ROUNDUP(I239*Order_Quote!$L$2,2),0)</f>
        <v>0</v>
      </c>
      <c r="K239" s="118"/>
      <c r="L239" s="76"/>
      <c r="M239" s="104">
        <f t="shared" ref="M239:M267" si="5">K239/G239</f>
        <v>0</v>
      </c>
      <c r="O239" s="379" t="str">
        <f>_xlfn.XLOOKUP(E239,'All Products'!D:D,'All Products'!I:I,FALSE)</f>
        <v>Within 3 Weeks</v>
      </c>
      <c r="P239" s="379" t="str">
        <f>_xlfn.XLOOKUP(E239,'All Products'!D:D,'All Products'!J:J,FALSE)</f>
        <v>Sourced</v>
      </c>
      <c r="Q239" s="504">
        <f>_xlfn.XLOOKUP(F239,'All Products'!E:E,'All Products'!K:K,FALSE)</f>
        <v>812361017913</v>
      </c>
      <c r="R239" s="397" t="str">
        <f>_xlfn.XLOOKUP(E239,'All Products'!D:D,'All Products'!L:L,FALSE)</f>
        <v>-</v>
      </c>
      <c r="S239" s="397" t="str">
        <f>_xlfn.XLOOKUP(E239,'All Products'!D:D,'All Products'!M:M,FALSE)</f>
        <v>-</v>
      </c>
      <c r="T239" s="384">
        <f>_xlfn.XLOOKUP(E239,'All Products'!D:D,'All Products'!N:N,FALSE)</f>
        <v>0.74</v>
      </c>
      <c r="U239" s="384">
        <f>_xlfn.XLOOKUP(E239,'All Products'!D:D,'All Products'!P:P,FALSE)</f>
        <v>18.5</v>
      </c>
      <c r="V239" s="384" t="str">
        <f>_xlfn.XLOOKUP(E239,'All Products'!D:D,'All Products'!Q:Q,FALSE)</f>
        <v>-</v>
      </c>
    </row>
    <row r="240" spans="1:22" s="17" customFormat="1" ht="16.2" thickBot="1">
      <c r="A240" s="5" t="str">
        <f>IF(K240&gt;0,COUNT($A$8:A239)+1,"")</f>
        <v/>
      </c>
      <c r="B240" s="446" t="s">
        <v>5814</v>
      </c>
      <c r="C240" s="151"/>
      <c r="D240" s="151"/>
      <c r="E240" s="459"/>
      <c r="F240" s="151"/>
      <c r="G240" s="468"/>
      <c r="H240" s="151"/>
      <c r="I240" s="472"/>
      <c r="J240" s="468"/>
      <c r="K240" s="477"/>
      <c r="L240" s="238"/>
      <c r="M240" s="476"/>
      <c r="O240" s="475"/>
      <c r="P240" s="145"/>
      <c r="Q240" s="492"/>
      <c r="R240" s="493"/>
      <c r="S240" s="493"/>
      <c r="T240" s="479"/>
      <c r="U240" s="459"/>
      <c r="V240" s="489"/>
    </row>
    <row r="241" spans="1:22">
      <c r="A241" s="5" t="str">
        <f>IF(K241&gt;0,COUNT($A$8:A240)+1,"")</f>
        <v/>
      </c>
      <c r="B241" s="664"/>
      <c r="C241" s="665"/>
      <c r="D241" s="369" t="str">
        <f>_xlfn.XLOOKUP(E241,'All Products'!D:D,'All Products'!C:C,FALSE)</f>
        <v>501-3561</v>
      </c>
      <c r="E241" s="103">
        <v>100029056</v>
      </c>
      <c r="F241" s="376" t="str">
        <f>_xlfn.XLOOKUP(E241,'All Products'!D:D,'All Products'!E:E,FALSE)</f>
        <v>1-1/2 COMBO WYE &amp; 1/8 BEND 1PC DWV</v>
      </c>
      <c r="G241" s="232">
        <f>_xlfn.XLOOKUP(E241,'All Products'!D:D,'All Products'!F:F,FALSE)</f>
        <v>50</v>
      </c>
      <c r="H241" s="387">
        <f>_xlfn.XLOOKUP(E241,'All Products'!D:D,'All Products'!G:G,FALSE)</f>
        <v>900</v>
      </c>
      <c r="I241" s="369">
        <f>_xlfn.XLOOKUP(E241,'All Products'!D:D,'All Products'!H:H,FALSE)</f>
        <v>122.03</v>
      </c>
      <c r="J241" s="183">
        <f>IFERROR(ROUNDUP(I241*Order_Quote!$L$2,2),0)</f>
        <v>122.03</v>
      </c>
      <c r="K241" s="118"/>
      <c r="L241" s="76"/>
      <c r="M241" s="104">
        <f t="shared" si="5"/>
        <v>0</v>
      </c>
      <c r="O241" s="379" t="str">
        <f>_xlfn.XLOOKUP(E241,'All Products'!D:D,'All Products'!I:I,FALSE)</f>
        <v>In Stock</v>
      </c>
      <c r="P241" s="379" t="str">
        <f>_xlfn.XLOOKUP(E241,'All Products'!D:D,'All Products'!J:J,FALSE)</f>
        <v>Manufactured</v>
      </c>
      <c r="Q241" s="397">
        <f>_xlfn.XLOOKUP(F241,'All Products'!E:E,'All Products'!K:K,FALSE)</f>
        <v>812361012710</v>
      </c>
      <c r="R241" s="397" t="str">
        <f>_xlfn.XLOOKUP(E241,'All Products'!D:D,'All Products'!L:L,FALSE)</f>
        <v>-</v>
      </c>
      <c r="S241" s="397">
        <f>_xlfn.XLOOKUP(E241,'All Products'!D:D,'All Products'!M:M,FALSE)</f>
        <v>10812361012717</v>
      </c>
      <c r="T241" s="384">
        <f>_xlfn.XLOOKUP(E241,'All Products'!D:D,'All Products'!N:N,FALSE)</f>
        <v>0.51100000000000001</v>
      </c>
      <c r="U241" s="384">
        <f>_xlfn.XLOOKUP(E241,'All Products'!D:D,'All Products'!P:P,FALSE)</f>
        <v>25.55</v>
      </c>
      <c r="V241" s="384">
        <f>_xlfn.XLOOKUP(E241,'All Products'!D:D,'All Products'!Q:Q,FALSE)</f>
        <v>2.361325291407383</v>
      </c>
    </row>
    <row r="242" spans="1:22">
      <c r="A242" s="5" t="str">
        <f>IF(K242&gt;0,COUNT($A$8:A241)+1,"")</f>
        <v/>
      </c>
      <c r="B242" s="646"/>
      <c r="C242" s="647"/>
      <c r="D242" s="369" t="str">
        <f>_xlfn.XLOOKUP(E242,'All Products'!D:D,'All Products'!C:C,FALSE)</f>
        <v>501-3562</v>
      </c>
      <c r="E242" s="103">
        <v>100029057</v>
      </c>
      <c r="F242" s="376" t="str">
        <f>_xlfn.XLOOKUP(E242,'All Products'!D:D,'All Products'!E:E,FALSE)</f>
        <v>2 COMBO WYE &amp; 1/8 BEND 1PC DWV</v>
      </c>
      <c r="G242" s="232">
        <f>_xlfn.XLOOKUP(E242,'All Products'!D:D,'All Products'!F:F,FALSE)</f>
        <v>20</v>
      </c>
      <c r="H242" s="387">
        <f>_xlfn.XLOOKUP(E242,'All Products'!D:D,'All Products'!G:G,FALSE)</f>
        <v>640</v>
      </c>
      <c r="I242" s="369">
        <f>_xlfn.XLOOKUP(E242,'All Products'!D:D,'All Products'!H:H,FALSE)</f>
        <v>152.41</v>
      </c>
      <c r="J242" s="183">
        <f>IFERROR(ROUNDUP(I242*Order_Quote!$L$2,2),0)</f>
        <v>152.41</v>
      </c>
      <c r="K242" s="118"/>
      <c r="L242" s="76"/>
      <c r="M242" s="104">
        <f t="shared" si="5"/>
        <v>0</v>
      </c>
      <c r="O242" s="379" t="str">
        <f>_xlfn.XLOOKUP(E242,'All Products'!D:D,'All Products'!I:I,FALSE)</f>
        <v>In Stock</v>
      </c>
      <c r="P242" s="379" t="str">
        <f>_xlfn.XLOOKUP(E242,'All Products'!D:D,'All Products'!J:J,FALSE)</f>
        <v>Manufactured</v>
      </c>
      <c r="Q242" s="397">
        <f>_xlfn.XLOOKUP(F242,'All Products'!E:E,'All Products'!K:K,FALSE)</f>
        <v>812361012734</v>
      </c>
      <c r="R242" s="397" t="str">
        <f>_xlfn.XLOOKUP(E242,'All Products'!D:D,'All Products'!L:L,FALSE)</f>
        <v>-</v>
      </c>
      <c r="S242" s="397">
        <f>_xlfn.XLOOKUP(E242,'All Products'!D:D,'All Products'!M:M,FALSE)</f>
        <v>10812361012731</v>
      </c>
      <c r="T242" s="384">
        <f>_xlfn.XLOOKUP(E242,'All Products'!D:D,'All Products'!N:N,FALSE)</f>
        <v>0.79800000000000004</v>
      </c>
      <c r="U242" s="384">
        <f>_xlfn.XLOOKUP(E242,'All Products'!D:D,'All Products'!P:P,FALSE)</f>
        <v>15.96</v>
      </c>
      <c r="V242" s="384">
        <f>_xlfn.XLOOKUP(E242,'All Products'!D:D,'All Products'!Q:Q,FALSE)</f>
        <v>1.3788503419060438</v>
      </c>
    </row>
    <row r="243" spans="1:22">
      <c r="A243" s="5" t="str">
        <f>IF(K243&gt;0,COUNT($A$8:A242)+1,"")</f>
        <v/>
      </c>
      <c r="B243" s="646"/>
      <c r="C243" s="647"/>
      <c r="D243" s="369" t="str">
        <f>_xlfn.XLOOKUP(E243,'All Products'!D:D,'All Products'!C:C,FALSE)</f>
        <v>501-3563</v>
      </c>
      <c r="E243" s="103">
        <v>100029058</v>
      </c>
      <c r="F243" s="376" t="str">
        <f>_xlfn.XLOOKUP(E243,'All Products'!D:D,'All Products'!E:E,FALSE)</f>
        <v>3 COMBO WYE &amp; 1/8 BEND 1PC DWV</v>
      </c>
      <c r="G243" s="232">
        <f>_xlfn.XLOOKUP(E243,'All Products'!D:D,'All Products'!F:F,FALSE)</f>
        <v>10</v>
      </c>
      <c r="H243" s="387">
        <f>_xlfn.XLOOKUP(E243,'All Products'!D:D,'All Products'!G:G,FALSE)</f>
        <v>180</v>
      </c>
      <c r="I243" s="369">
        <f>_xlfn.XLOOKUP(E243,'All Products'!D:D,'All Products'!H:H,FALSE)</f>
        <v>335.58</v>
      </c>
      <c r="J243" s="183">
        <f>IFERROR(ROUNDUP(I243*Order_Quote!$L$2,2),0)</f>
        <v>335.58</v>
      </c>
      <c r="K243" s="118"/>
      <c r="L243" s="76"/>
      <c r="M243" s="104">
        <f t="shared" si="5"/>
        <v>0</v>
      </c>
      <c r="O243" s="379" t="str">
        <f>_xlfn.XLOOKUP(E243,'All Products'!D:D,'All Products'!I:I,FALSE)</f>
        <v>In Stock</v>
      </c>
      <c r="P243" s="379" t="str">
        <f>_xlfn.XLOOKUP(E243,'All Products'!D:D,'All Products'!J:J,FALSE)</f>
        <v>Manufactured</v>
      </c>
      <c r="Q243" s="397">
        <f>_xlfn.XLOOKUP(F243,'All Products'!E:E,'All Products'!K:K,FALSE)</f>
        <v>812361012758</v>
      </c>
      <c r="R243" s="397" t="str">
        <f>_xlfn.XLOOKUP(E243,'All Products'!D:D,'All Products'!L:L,FALSE)</f>
        <v>-</v>
      </c>
      <c r="S243" s="397">
        <f>_xlfn.XLOOKUP(E243,'All Products'!D:D,'All Products'!M:M,FALSE)</f>
        <v>812361012765</v>
      </c>
      <c r="T243" s="384">
        <f>_xlfn.XLOOKUP(E243,'All Products'!D:D,'All Products'!N:N,FALSE)</f>
        <v>2.4990000000000001</v>
      </c>
      <c r="U243" s="384">
        <f>_xlfn.XLOOKUP(E243,'All Products'!D:D,'All Products'!P:P,FALSE)</f>
        <v>24.990000000000002</v>
      </c>
      <c r="V243" s="384">
        <f>_xlfn.XLOOKUP(E243,'All Products'!D:D,'All Products'!Q:Q,FALSE)</f>
        <v>2.361325291407383</v>
      </c>
    </row>
    <row r="244" spans="1:22">
      <c r="A244" s="5" t="str">
        <f>IF(K244&gt;0,COUNT($A$8:A243)+1,"")</f>
        <v/>
      </c>
      <c r="B244" s="652"/>
      <c r="C244" s="653"/>
      <c r="D244" s="369" t="str">
        <f>_xlfn.XLOOKUP(E244,'All Products'!D:D,'All Products'!C:C,FALSE)</f>
        <v>501-3564</v>
      </c>
      <c r="E244" s="103">
        <v>100029059</v>
      </c>
      <c r="F244" s="376" t="str">
        <f>_xlfn.XLOOKUP(E244,'All Products'!D:D,'All Products'!E:E,FALSE)</f>
        <v>4 COMBO WYE &amp; 1/8 BEND 1PC DWV</v>
      </c>
      <c r="G244" s="232">
        <f>_xlfn.XLOOKUP(E244,'All Products'!D:D,'All Products'!F:F,FALSE)</f>
        <v>8</v>
      </c>
      <c r="H244" s="387">
        <f>_xlfn.XLOOKUP(E244,'All Products'!D:D,'All Products'!G:G,FALSE)</f>
        <v>96</v>
      </c>
      <c r="I244" s="369">
        <f>_xlfn.XLOOKUP(E244,'All Products'!D:D,'All Products'!H:H,FALSE)</f>
        <v>660.94</v>
      </c>
      <c r="J244" s="183">
        <f>IFERROR(ROUNDUP(I244*Order_Quote!$L$2,2),0)</f>
        <v>660.94</v>
      </c>
      <c r="K244" s="118"/>
      <c r="L244" s="76"/>
      <c r="M244" s="104">
        <f t="shared" si="5"/>
        <v>0</v>
      </c>
      <c r="O244" s="379" t="str">
        <f>_xlfn.XLOOKUP(E244,'All Products'!D:D,'All Products'!I:I,FALSE)</f>
        <v>In Stock</v>
      </c>
      <c r="P244" s="379" t="str">
        <f>_xlfn.XLOOKUP(E244,'All Products'!D:D,'All Products'!J:J,FALSE)</f>
        <v>Manufactured</v>
      </c>
      <c r="Q244" s="397">
        <f>_xlfn.XLOOKUP(F244,'All Products'!E:E,'All Products'!K:K,FALSE)</f>
        <v>812361012772</v>
      </c>
      <c r="R244" s="397" t="str">
        <f>_xlfn.XLOOKUP(E244,'All Products'!D:D,'All Products'!L:L,FALSE)</f>
        <v>-</v>
      </c>
      <c r="S244" s="397">
        <f>_xlfn.XLOOKUP(E244,'All Products'!D:D,'All Products'!M:M,FALSE)</f>
        <v>812361019016</v>
      </c>
      <c r="T244" s="384">
        <f>_xlfn.XLOOKUP(E244,'All Products'!D:D,'All Products'!N:N,FALSE)</f>
        <v>4.5990000000000002</v>
      </c>
      <c r="U244" s="384">
        <f>_xlfn.XLOOKUP(E244,'All Products'!D:D,'All Products'!P:P,FALSE)</f>
        <v>36.792000000000002</v>
      </c>
      <c r="V244" s="384">
        <f>_xlfn.XLOOKUP(E244,'All Products'!D:D,'All Products'!Q:Q,FALSE)</f>
        <v>3.6731726755225957</v>
      </c>
    </row>
    <row r="245" spans="1:22">
      <c r="A245" s="5" t="str">
        <f>IF(K245&gt;0,COUNT($A$8:A244)+1,"")</f>
        <v/>
      </c>
      <c r="B245" s="644"/>
      <c r="C245" s="645"/>
      <c r="D245" s="369" t="str">
        <f>_xlfn.XLOOKUP(E245,'All Products'!D:D,'All Products'!C:C,FALSE)</f>
        <v>502-3567</v>
      </c>
      <c r="E245" s="103">
        <v>100029060</v>
      </c>
      <c r="F245" s="376" t="str">
        <f>_xlfn.XLOOKUP(E245,'All Products'!D:D,'All Products'!E:E,FALSE)</f>
        <v>2X2X1-1/2 COMB WYE &amp; 1/8 BEND 1PC</v>
      </c>
      <c r="G245" s="232">
        <f>_xlfn.XLOOKUP(E245,'All Products'!D:D,'All Products'!F:F,FALSE)</f>
        <v>20</v>
      </c>
      <c r="H245" s="387">
        <f>_xlfn.XLOOKUP(E245,'All Products'!D:D,'All Products'!G:G,FALSE)</f>
        <v>900</v>
      </c>
      <c r="I245" s="369">
        <f>_xlfn.XLOOKUP(E245,'All Products'!D:D,'All Products'!H:H,FALSE)</f>
        <v>201.56</v>
      </c>
      <c r="J245" s="183">
        <f>IFERROR(ROUNDUP(I245*Order_Quote!$L$2,2),0)</f>
        <v>201.56</v>
      </c>
      <c r="K245" s="118"/>
      <c r="L245" s="76"/>
      <c r="M245" s="104">
        <f t="shared" si="5"/>
        <v>0</v>
      </c>
      <c r="O245" s="379" t="str">
        <f>_xlfn.XLOOKUP(E245,'All Products'!D:D,'All Products'!I:I,FALSE)</f>
        <v>In Stock</v>
      </c>
      <c r="P245" s="379" t="str">
        <f>_xlfn.XLOOKUP(E245,'All Products'!D:D,'All Products'!J:J,FALSE)</f>
        <v>Manufactured</v>
      </c>
      <c r="Q245" s="397">
        <f>_xlfn.XLOOKUP(F245,'All Products'!E:E,'All Products'!K:K,FALSE)</f>
        <v>812361012819</v>
      </c>
      <c r="R245" s="397" t="str">
        <f>_xlfn.XLOOKUP(E245,'All Products'!D:D,'All Products'!L:L,FALSE)</f>
        <v>-</v>
      </c>
      <c r="S245" s="397">
        <f>_xlfn.XLOOKUP(E245,'All Products'!D:D,'All Products'!M:M,FALSE)</f>
        <v>812361012826</v>
      </c>
      <c r="T245" s="384">
        <f>_xlfn.XLOOKUP(E245,'All Products'!D:D,'All Products'!N:N,FALSE)</f>
        <v>0.59599999999999997</v>
      </c>
      <c r="U245" s="384">
        <f>_xlfn.XLOOKUP(E245,'All Products'!D:D,'All Products'!P:P,FALSE)</f>
        <v>11.92</v>
      </c>
      <c r="V245" s="384">
        <f>_xlfn.XLOOKUP(E245,'All Products'!D:D,'All Products'!Q:Q,FALSE)</f>
        <v>0.98955954024750914</v>
      </c>
    </row>
    <row r="246" spans="1:22">
      <c r="A246" s="5" t="str">
        <f>IF(K246&gt;0,COUNT($A$8:A245)+1,"")</f>
        <v/>
      </c>
      <c r="B246" s="646"/>
      <c r="C246" s="647"/>
      <c r="D246" s="369" t="str">
        <f>_xlfn.XLOOKUP(E246,'All Products'!D:D,'All Products'!C:C,FALSE)</f>
        <v>502-3568</v>
      </c>
      <c r="E246" s="103">
        <v>100029061</v>
      </c>
      <c r="F246" s="376" t="str">
        <f>_xlfn.XLOOKUP(E246,'All Products'!D:D,'All Products'!E:E,FALSE)</f>
        <v>3X3X1-1/2 COMB WYE &amp; 1/8 BEND 1PC</v>
      </c>
      <c r="G246" s="232">
        <f>_xlfn.XLOOKUP(E246,'All Products'!D:D,'All Products'!F:F,FALSE)</f>
        <v>15</v>
      </c>
      <c r="H246" s="387">
        <f>_xlfn.XLOOKUP(E246,'All Products'!D:D,'All Products'!G:G,FALSE)</f>
        <v>450</v>
      </c>
      <c r="I246" s="369">
        <f>_xlfn.XLOOKUP(E246,'All Products'!D:D,'All Products'!H:H,FALSE)</f>
        <v>331.5</v>
      </c>
      <c r="J246" s="183">
        <f>IFERROR(ROUNDUP(I246*Order_Quote!$L$2,2),0)</f>
        <v>331.5</v>
      </c>
      <c r="K246" s="118"/>
      <c r="L246" s="76"/>
      <c r="M246" s="104">
        <f t="shared" si="5"/>
        <v>0</v>
      </c>
      <c r="O246" s="379" t="str">
        <f>_xlfn.XLOOKUP(E246,'All Products'!D:D,'All Products'!I:I,FALSE)</f>
        <v>In Stock</v>
      </c>
      <c r="P246" s="379" t="str">
        <f>_xlfn.XLOOKUP(E246,'All Products'!D:D,'All Products'!J:J,FALSE)</f>
        <v>Manufactured</v>
      </c>
      <c r="Q246" s="397">
        <f>_xlfn.XLOOKUP(F246,'All Products'!E:E,'All Products'!K:K,FALSE)</f>
        <v>812361012833</v>
      </c>
      <c r="R246" s="397" t="str">
        <f>_xlfn.XLOOKUP(E246,'All Products'!D:D,'All Products'!L:L,FALSE)</f>
        <v>-</v>
      </c>
      <c r="S246" s="397">
        <f>_xlfn.XLOOKUP(E246,'All Products'!D:D,'All Products'!M:M,FALSE)</f>
        <v>812361012840</v>
      </c>
      <c r="T246" s="384">
        <f>_xlfn.XLOOKUP(E246,'All Products'!D:D,'All Products'!N:N,FALSE)</f>
        <v>1.1459999999999999</v>
      </c>
      <c r="U246" s="384">
        <f>_xlfn.XLOOKUP(E246,'All Products'!D:D,'All Products'!P:P,FALSE)</f>
        <v>17.189999999999998</v>
      </c>
      <c r="V246" s="384">
        <f>_xlfn.XLOOKUP(E246,'All Products'!D:D,'All Products'!Q:Q,FALSE)</f>
        <v>2.361325291407383</v>
      </c>
    </row>
    <row r="247" spans="1:22">
      <c r="A247" s="5" t="str">
        <f>IF(K247&gt;0,COUNT($A$8:A246)+1,"")</f>
        <v/>
      </c>
      <c r="B247" s="646"/>
      <c r="C247" s="647"/>
      <c r="D247" s="369" t="str">
        <f>_xlfn.XLOOKUP(E247,'All Products'!D:D,'All Products'!C:C,FALSE)</f>
        <v>502-3569</v>
      </c>
      <c r="E247" s="103">
        <v>100029062</v>
      </c>
      <c r="F247" s="376" t="str">
        <f>_xlfn.XLOOKUP(E247,'All Products'!D:D,'All Products'!E:E,FALSE)</f>
        <v>3X3X2 COMB WYE &amp; 1/8 BEND 1PC DWV</v>
      </c>
      <c r="G247" s="232">
        <f>_xlfn.XLOOKUP(E247,'All Products'!D:D,'All Products'!F:F,FALSE)</f>
        <v>10</v>
      </c>
      <c r="H247" s="387">
        <f>_xlfn.XLOOKUP(E247,'All Products'!D:D,'All Products'!G:G,FALSE)</f>
        <v>320</v>
      </c>
      <c r="I247" s="369">
        <f>_xlfn.XLOOKUP(E247,'All Products'!D:D,'All Products'!H:H,FALSE)</f>
        <v>229.26</v>
      </c>
      <c r="J247" s="183">
        <f>IFERROR(ROUNDUP(I247*Order_Quote!$L$2,2),0)</f>
        <v>229.26</v>
      </c>
      <c r="K247" s="118"/>
      <c r="L247" s="76"/>
      <c r="M247" s="104">
        <f t="shared" si="5"/>
        <v>0</v>
      </c>
      <c r="O247" s="379" t="str">
        <f>_xlfn.XLOOKUP(E247,'All Products'!D:D,'All Products'!I:I,FALSE)</f>
        <v>In Stock</v>
      </c>
      <c r="P247" s="379" t="str">
        <f>_xlfn.XLOOKUP(E247,'All Products'!D:D,'All Products'!J:J,FALSE)</f>
        <v>Manufactured</v>
      </c>
      <c r="Q247" s="397">
        <f>_xlfn.XLOOKUP(F247,'All Products'!E:E,'All Products'!K:K,FALSE)</f>
        <v>812361012857</v>
      </c>
      <c r="R247" s="397" t="str">
        <f>_xlfn.XLOOKUP(E247,'All Products'!D:D,'All Products'!L:L,FALSE)</f>
        <v>-</v>
      </c>
      <c r="S247" s="397">
        <f>_xlfn.XLOOKUP(E247,'All Products'!D:D,'All Products'!M:M,FALSE)</f>
        <v>812361012864</v>
      </c>
      <c r="T247" s="384">
        <f>_xlfn.XLOOKUP(E247,'All Products'!D:D,'All Products'!N:N,FALSE)</f>
        <v>1.4610000000000001</v>
      </c>
      <c r="U247" s="384">
        <f>_xlfn.XLOOKUP(E247,'All Products'!D:D,'All Products'!P:P,FALSE)</f>
        <v>14.610000000000001</v>
      </c>
      <c r="V247" s="384">
        <f>_xlfn.XLOOKUP(E247,'All Products'!D:D,'All Products'!Q:Q,FALSE)</f>
        <v>1.3788503419060438</v>
      </c>
    </row>
    <row r="248" spans="1:22">
      <c r="A248" s="5" t="str">
        <f>IF(K248&gt;0,COUNT($A$8:A247)+1,"")</f>
        <v/>
      </c>
      <c r="B248" s="646"/>
      <c r="C248" s="647"/>
      <c r="D248" s="369" t="str">
        <f>_xlfn.XLOOKUP(E248,'All Products'!D:D,'All Products'!C:C,FALSE)</f>
        <v>502-3570</v>
      </c>
      <c r="E248" s="103">
        <v>100029063</v>
      </c>
      <c r="F248" s="376" t="str">
        <f>_xlfn.XLOOKUP(E248,'All Products'!D:D,'All Products'!E:E,FALSE)</f>
        <v>4X4X2 COMB WYE &amp; 1/8 BEND 1PC DWV</v>
      </c>
      <c r="G248" s="232">
        <f>_xlfn.XLOOKUP(E248,'All Products'!D:D,'All Products'!F:F,FALSE)</f>
        <v>5</v>
      </c>
      <c r="H248" s="387">
        <f>_xlfn.XLOOKUP(E248,'All Products'!D:D,'All Products'!G:G,FALSE)</f>
        <v>225</v>
      </c>
      <c r="I248" s="369">
        <f>_xlfn.XLOOKUP(E248,'All Products'!D:D,'All Products'!H:H,FALSE)</f>
        <v>345.25</v>
      </c>
      <c r="J248" s="183">
        <f>IFERROR(ROUNDUP(I248*Order_Quote!$L$2,2),0)</f>
        <v>345.25</v>
      </c>
      <c r="K248" s="118"/>
      <c r="L248" s="76"/>
      <c r="M248" s="104">
        <f t="shared" si="5"/>
        <v>0</v>
      </c>
      <c r="O248" s="379" t="str">
        <f>_xlfn.XLOOKUP(E248,'All Products'!D:D,'All Products'!I:I,FALSE)</f>
        <v>In Stock</v>
      </c>
      <c r="P248" s="379" t="str">
        <f>_xlfn.XLOOKUP(E248,'All Products'!D:D,'All Products'!J:J,FALSE)</f>
        <v>Manufactured</v>
      </c>
      <c r="Q248" s="397">
        <f>_xlfn.XLOOKUP(F248,'All Products'!E:E,'All Products'!K:K,FALSE)</f>
        <v>812361012871</v>
      </c>
      <c r="R248" s="397" t="str">
        <f>_xlfn.XLOOKUP(E248,'All Products'!D:D,'All Products'!L:L,FALSE)</f>
        <v>-</v>
      </c>
      <c r="S248" s="397">
        <f>_xlfn.XLOOKUP(E248,'All Products'!D:D,'All Products'!M:M,FALSE)</f>
        <v>812361012888</v>
      </c>
      <c r="T248" s="384">
        <f>_xlfn.XLOOKUP(E248,'All Products'!D:D,'All Products'!N:N,FALSE)</f>
        <v>2.1139999999999999</v>
      </c>
      <c r="U248" s="384">
        <f>_xlfn.XLOOKUP(E248,'All Products'!D:D,'All Products'!P:P,FALSE)</f>
        <v>10.57</v>
      </c>
      <c r="V248" s="384">
        <f>_xlfn.XLOOKUP(E248,'All Products'!D:D,'All Products'!Q:Q,FALSE)</f>
        <v>0.98955954024750914</v>
      </c>
    </row>
    <row r="249" spans="1:22">
      <c r="A249" s="5" t="str">
        <f>IF(K249&gt;0,COUNT($A$8:A248)+1,"")</f>
        <v/>
      </c>
      <c r="B249" s="652"/>
      <c r="C249" s="653"/>
      <c r="D249" s="369" t="str">
        <f>_xlfn.XLOOKUP(E249,'All Products'!D:D,'All Products'!C:C,FALSE)</f>
        <v>502-3571</v>
      </c>
      <c r="E249" s="103">
        <v>100029064</v>
      </c>
      <c r="F249" s="376" t="str">
        <f>_xlfn.XLOOKUP(E249,'All Products'!D:D,'All Products'!E:E,FALSE)</f>
        <v>4X4X3 COMB WYE &amp; 1/8 BEND 1PC DWV</v>
      </c>
      <c r="G249" s="232">
        <f>_xlfn.XLOOKUP(E249,'All Products'!D:D,'All Products'!F:F,FALSE)</f>
        <v>6</v>
      </c>
      <c r="H249" s="387">
        <f>_xlfn.XLOOKUP(E249,'All Products'!D:D,'All Products'!G:G,FALSE)</f>
        <v>144</v>
      </c>
      <c r="I249" s="369">
        <f>_xlfn.XLOOKUP(E249,'All Products'!D:D,'All Products'!H:H,FALSE)</f>
        <v>445.4</v>
      </c>
      <c r="J249" s="183">
        <f>IFERROR(ROUNDUP(I249*Order_Quote!$L$2,2),0)</f>
        <v>445.4</v>
      </c>
      <c r="K249" s="118"/>
      <c r="L249" s="76"/>
      <c r="M249" s="104">
        <f t="shared" si="5"/>
        <v>0</v>
      </c>
      <c r="O249" s="379" t="str">
        <f>_xlfn.XLOOKUP(E249,'All Products'!D:D,'All Products'!I:I,FALSE)</f>
        <v>In Stock</v>
      </c>
      <c r="P249" s="379" t="str">
        <f>_xlfn.XLOOKUP(E249,'All Products'!D:D,'All Products'!J:J,FALSE)</f>
        <v>Manufactured</v>
      </c>
      <c r="Q249" s="397">
        <f>_xlfn.XLOOKUP(F249,'All Products'!E:E,'All Products'!K:K,FALSE)</f>
        <v>812361012895</v>
      </c>
      <c r="R249" s="397" t="str">
        <f>_xlfn.XLOOKUP(E249,'All Products'!D:D,'All Products'!L:L,FALSE)</f>
        <v>-</v>
      </c>
      <c r="S249" s="397">
        <f>_xlfn.XLOOKUP(E249,'All Products'!D:D,'All Products'!M:M,FALSE)</f>
        <v>812361019214</v>
      </c>
      <c r="T249" s="384">
        <f>_xlfn.XLOOKUP(E249,'All Products'!D:D,'All Products'!N:N,FALSE)</f>
        <v>3.3769999999999998</v>
      </c>
      <c r="U249" s="384">
        <f>_xlfn.XLOOKUP(E249,'All Products'!D:D,'All Products'!P:P,FALSE)</f>
        <v>20.262</v>
      </c>
      <c r="V249" s="384">
        <f>_xlfn.XLOOKUP(E249,'All Products'!D:D,'All Products'!Q:Q,FALSE)</f>
        <v>1.8803145838984718</v>
      </c>
    </row>
    <row r="250" spans="1:22" ht="49.5" customHeight="1">
      <c r="A250" s="5" t="str">
        <f>IF(K250&gt;0,COUNT($A$8:A249)+1,"")</f>
        <v/>
      </c>
      <c r="B250" s="650"/>
      <c r="C250" s="651"/>
      <c r="D250" s="369" t="str">
        <f>_xlfn.XLOOKUP(E250,'All Products'!D:D,'All Products'!C:C,FALSE)</f>
        <v>504-3582</v>
      </c>
      <c r="E250" s="103">
        <v>100029070</v>
      </c>
      <c r="F250" s="376" t="str">
        <f>_xlfn.XLOOKUP(E250,'All Products'!D:D,'All Products'!E:E,FALSE)</f>
        <v>6X6X4 COMBO WYE &amp; 1/8 BEND 2PC DWV</v>
      </c>
      <c r="G250" s="232">
        <f>_xlfn.XLOOKUP(E250,'All Products'!D:D,'All Products'!F:F,FALSE)</f>
        <v>4</v>
      </c>
      <c r="H250" s="387">
        <f>_xlfn.XLOOKUP(E250,'All Products'!D:D,'All Products'!G:G,FALSE)</f>
        <v>48</v>
      </c>
      <c r="I250" s="369">
        <f>_xlfn.XLOOKUP(E250,'All Products'!D:D,'All Products'!H:H,FALSE)</f>
        <v>2689.35</v>
      </c>
      <c r="J250" s="183">
        <f>IFERROR(ROUNDUP(I250*Order_Quote!$L$2,2),0)</f>
        <v>2689.35</v>
      </c>
      <c r="K250" s="118"/>
      <c r="L250" s="76"/>
      <c r="M250" s="104">
        <f t="shared" si="5"/>
        <v>0</v>
      </c>
      <c r="O250" s="379" t="str">
        <f>_xlfn.XLOOKUP(E250,'All Products'!D:D,'All Products'!I:I,FALSE)</f>
        <v>Within 3 Weeks</v>
      </c>
      <c r="P250" s="379" t="str">
        <f>_xlfn.XLOOKUP(E250,'All Products'!D:D,'All Products'!J:J,FALSE)</f>
        <v>Manufactured</v>
      </c>
      <c r="Q250" s="397">
        <f>_xlfn.XLOOKUP(F250,'All Products'!E:E,'All Products'!K:K,FALSE)</f>
        <v>810673015856</v>
      </c>
      <c r="R250" s="397" t="str">
        <f>_xlfn.XLOOKUP(E250,'All Products'!D:D,'All Products'!L:L,FALSE)</f>
        <v>-</v>
      </c>
      <c r="S250" s="397">
        <f>_xlfn.XLOOKUP(E250,'All Products'!D:D,'All Products'!M:M,FALSE)</f>
        <v>812361015582</v>
      </c>
      <c r="T250" s="384">
        <f>_xlfn.XLOOKUP(E250,'All Products'!D:D,'All Products'!N:N,FALSE)</f>
        <v>6.9989999999999997</v>
      </c>
      <c r="U250" s="384">
        <f>_xlfn.XLOOKUP(E250,'All Products'!D:D,'All Products'!P:P,FALSE)</f>
        <v>27.995999999999999</v>
      </c>
      <c r="V250" s="384">
        <f>_xlfn.XLOOKUP(E250,'All Products'!D:D,'All Products'!Q:Q,FALSE)</f>
        <v>3.6731726755225957</v>
      </c>
    </row>
    <row r="251" spans="1:22">
      <c r="A251" s="5" t="str">
        <f>IF(K251&gt;0,COUNT($A$8:A250)+1,"")</f>
        <v/>
      </c>
      <c r="B251" s="644"/>
      <c r="C251" s="645"/>
      <c r="D251" s="369" t="str">
        <f>_xlfn.XLOOKUP(E251,'All Products'!D:D,'All Products'!C:C,FALSE)</f>
        <v>507-3590</v>
      </c>
      <c r="E251" s="103">
        <v>300005686</v>
      </c>
      <c r="F251" s="376" t="str">
        <f>_xlfn.XLOOKUP(E251,'All Products'!D:D,'All Products'!E:E,FALSE)</f>
        <v>1-1/2 DBL COMB WYE &amp; 1/8 BEND DWV</v>
      </c>
      <c r="G251" s="232">
        <f>_xlfn.XLOOKUP(E251,'All Products'!D:D,'All Products'!F:F,FALSE)</f>
        <v>10</v>
      </c>
      <c r="H251" s="387">
        <f>_xlfn.XLOOKUP(E251,'All Products'!D:D,'All Products'!G:G,FALSE)</f>
        <v>450</v>
      </c>
      <c r="I251" s="369" t="str">
        <f>_xlfn.XLOOKUP(E251,'All Products'!D:D,'All Products'!H:H,FALSE)</f>
        <v>Quote Required</v>
      </c>
      <c r="J251" s="183">
        <f>IFERROR(ROUNDUP(I251*Order_Quote!$L$2,2),0)</f>
        <v>0</v>
      </c>
      <c r="K251" s="118"/>
      <c r="L251" s="76"/>
      <c r="M251" s="104">
        <f t="shared" si="5"/>
        <v>0</v>
      </c>
      <c r="O251" s="379" t="str">
        <f>_xlfn.XLOOKUP(E251,'All Products'!D:D,'All Products'!I:I,FALSE)</f>
        <v>Within 6 Weeks</v>
      </c>
      <c r="P251" s="379" t="str">
        <f>_xlfn.XLOOKUP(E251,'All Products'!D:D,'All Products'!J:J,FALSE)</f>
        <v>Sourced</v>
      </c>
      <c r="Q251" s="397">
        <f>_xlfn.XLOOKUP(F251,'All Products'!E:E,'All Products'!K:K,FALSE)</f>
        <v>810673015870</v>
      </c>
      <c r="R251" s="397" t="str">
        <f>_xlfn.XLOOKUP(E251,'All Products'!D:D,'All Products'!L:L,FALSE)</f>
        <v>-</v>
      </c>
      <c r="S251" s="397" t="str">
        <f>_xlfn.XLOOKUP(E251,'All Products'!D:D,'All Products'!M:M,FALSE)</f>
        <v>-</v>
      </c>
      <c r="T251" s="384">
        <f>_xlfn.XLOOKUP(E251,'All Products'!D:D,'All Products'!N:N,FALSE)</f>
        <v>0.65200000000000002</v>
      </c>
      <c r="U251" s="384">
        <f>_xlfn.XLOOKUP(E251,'All Products'!D:D,'All Products'!P:P,FALSE)</f>
        <v>6.5200000000000005</v>
      </c>
      <c r="V251" s="384" t="str">
        <f>_xlfn.XLOOKUP(E251,'All Products'!D:D,'All Products'!Q:Q,FALSE)</f>
        <v>-</v>
      </c>
    </row>
    <row r="252" spans="1:22">
      <c r="A252" s="5" t="str">
        <f>IF(K252&gt;0,COUNT($A$8:A251)+1,"")</f>
        <v/>
      </c>
      <c r="B252" s="646"/>
      <c r="C252" s="647"/>
      <c r="D252" s="369" t="str">
        <f>_xlfn.XLOOKUP(E252,'All Products'!D:D,'All Products'!C:C,FALSE)</f>
        <v>507-3591</v>
      </c>
      <c r="E252" s="103">
        <v>300005687</v>
      </c>
      <c r="F252" s="376" t="str">
        <f>_xlfn.XLOOKUP(E252,'All Products'!D:D,'All Products'!E:E,FALSE)</f>
        <v>2 DBL COMB WYE &amp; 1/8 BEND DWV</v>
      </c>
      <c r="G252" s="232">
        <f>_xlfn.XLOOKUP(E252,'All Products'!D:D,'All Products'!F:F,FALSE)</f>
        <v>10</v>
      </c>
      <c r="H252" s="387">
        <f>_xlfn.XLOOKUP(E252,'All Products'!D:D,'All Products'!G:G,FALSE)</f>
        <v>300</v>
      </c>
      <c r="I252" s="369" t="str">
        <f>_xlfn.XLOOKUP(E252,'All Products'!D:D,'All Products'!H:H,FALSE)</f>
        <v>Quote Required</v>
      </c>
      <c r="J252" s="183">
        <f>IFERROR(ROUNDUP(I252*Order_Quote!$L$2,2),0)</f>
        <v>0</v>
      </c>
      <c r="K252" s="118"/>
      <c r="L252" s="76"/>
      <c r="M252" s="104">
        <f t="shared" si="5"/>
        <v>0</v>
      </c>
      <c r="O252" s="379" t="str">
        <f>_xlfn.XLOOKUP(E252,'All Products'!D:D,'All Products'!I:I,FALSE)</f>
        <v>Within 6 Weeks</v>
      </c>
      <c r="P252" s="379" t="str">
        <f>_xlfn.XLOOKUP(E252,'All Products'!D:D,'All Products'!J:J,FALSE)</f>
        <v>Sourced</v>
      </c>
      <c r="Q252" s="397">
        <f>_xlfn.XLOOKUP(F252,'All Products'!E:E,'All Products'!K:K,FALSE)</f>
        <v>812361017555</v>
      </c>
      <c r="R252" s="397" t="str">
        <f>_xlfn.XLOOKUP(E252,'All Products'!D:D,'All Products'!L:L,FALSE)</f>
        <v>-</v>
      </c>
      <c r="S252" s="397" t="str">
        <f>_xlfn.XLOOKUP(E252,'All Products'!D:D,'All Products'!M:M,FALSE)</f>
        <v>-</v>
      </c>
      <c r="T252" s="384">
        <f>_xlfn.XLOOKUP(E252,'All Products'!D:D,'All Products'!N:N,FALSE)</f>
        <v>1.2450000000000001</v>
      </c>
      <c r="U252" s="384">
        <f>_xlfn.XLOOKUP(E252,'All Products'!D:D,'All Products'!P:P,FALSE)</f>
        <v>12.450000000000001</v>
      </c>
      <c r="V252" s="384" t="str">
        <f>_xlfn.XLOOKUP(E252,'All Products'!D:D,'All Products'!Q:Q,FALSE)</f>
        <v>-</v>
      </c>
    </row>
    <row r="253" spans="1:22">
      <c r="A253" s="5" t="str">
        <f>IF(K253&gt;0,COUNT($A$8:A252)+1,"")</f>
        <v/>
      </c>
      <c r="B253" s="646"/>
      <c r="C253" s="647"/>
      <c r="D253" s="369" t="str">
        <f>_xlfn.XLOOKUP(E253,'All Products'!D:D,'All Products'!C:C,FALSE)</f>
        <v>507-3593</v>
      </c>
      <c r="E253" s="103">
        <v>300005688</v>
      </c>
      <c r="F253" s="376" t="str">
        <f>_xlfn.XLOOKUP(E253,'All Products'!D:D,'All Products'!E:E,FALSE)</f>
        <v>3 DBL COMB WYE &amp; 1/8 BEND DWV</v>
      </c>
      <c r="G253" s="232">
        <f>_xlfn.XLOOKUP(E253,'All Products'!D:D,'All Products'!F:F,FALSE)</f>
        <v>10</v>
      </c>
      <c r="H253" s="387">
        <f>_xlfn.XLOOKUP(E253,'All Products'!D:D,'All Products'!G:G,FALSE)</f>
        <v>80</v>
      </c>
      <c r="I253" s="369" t="str">
        <f>_xlfn.XLOOKUP(E253,'All Products'!D:D,'All Products'!H:H,FALSE)</f>
        <v>Quote Required</v>
      </c>
      <c r="J253" s="183">
        <f>IFERROR(ROUNDUP(I253*Order_Quote!$L$2,2),0)</f>
        <v>0</v>
      </c>
      <c r="K253" s="118"/>
      <c r="L253" s="76"/>
      <c r="M253" s="104">
        <f t="shared" si="5"/>
        <v>0</v>
      </c>
      <c r="O253" s="379" t="str">
        <f>_xlfn.XLOOKUP(E253,'All Products'!D:D,'All Products'!I:I,FALSE)</f>
        <v>Within 6 Weeks</v>
      </c>
      <c r="P253" s="379" t="str">
        <f>_xlfn.XLOOKUP(E253,'All Products'!D:D,'All Products'!J:J,FALSE)</f>
        <v>Sourced</v>
      </c>
      <c r="Q253" s="397">
        <f>_xlfn.XLOOKUP(F253,'All Products'!E:E,'All Products'!K:K,FALSE)</f>
        <v>812361017586</v>
      </c>
      <c r="R253" s="397" t="str">
        <f>_xlfn.XLOOKUP(E253,'All Products'!D:D,'All Products'!L:L,FALSE)</f>
        <v>-</v>
      </c>
      <c r="S253" s="397" t="str">
        <f>_xlfn.XLOOKUP(E253,'All Products'!D:D,'All Products'!M:M,FALSE)</f>
        <v>-</v>
      </c>
      <c r="T253" s="384">
        <f>_xlfn.XLOOKUP(E253,'All Products'!D:D,'All Products'!N:N,FALSE)</f>
        <v>3.7229999999999999</v>
      </c>
      <c r="U253" s="384">
        <f>_xlfn.XLOOKUP(E253,'All Products'!D:D,'All Products'!P:P,FALSE)</f>
        <v>37.229999999999997</v>
      </c>
      <c r="V253" s="384" t="str">
        <f>_xlfn.XLOOKUP(E253,'All Products'!D:D,'All Products'!Q:Q,FALSE)</f>
        <v>-</v>
      </c>
    </row>
    <row r="254" spans="1:22" ht="15" thickBot="1">
      <c r="A254" s="5" t="str">
        <f>IF(K254&gt;0,COUNT($A$8:A253)+1,"")</f>
        <v/>
      </c>
      <c r="B254" s="666"/>
      <c r="C254" s="667"/>
      <c r="D254" s="369" t="str">
        <f>_xlfn.XLOOKUP(E254,'All Products'!D:D,'All Products'!C:C,FALSE)</f>
        <v>507-3594</v>
      </c>
      <c r="E254" s="103">
        <v>300005689</v>
      </c>
      <c r="F254" s="376" t="str">
        <f>_xlfn.XLOOKUP(E254,'All Products'!D:D,'All Products'!E:E,FALSE)</f>
        <v>4 DBL COMB WYE &amp; 1/8 BEND DWV</v>
      </c>
      <c r="G254" s="232">
        <f>_xlfn.XLOOKUP(E254,'All Products'!D:D,'All Products'!F:F,FALSE)</f>
        <v>5</v>
      </c>
      <c r="H254" s="387">
        <f>_xlfn.XLOOKUP(E254,'All Products'!D:D,'All Products'!G:G,FALSE)</f>
        <v>35</v>
      </c>
      <c r="I254" s="369" t="str">
        <f>_xlfn.XLOOKUP(E254,'All Products'!D:D,'All Products'!H:H,FALSE)</f>
        <v>Quote Required</v>
      </c>
      <c r="J254" s="183">
        <f>IFERROR(ROUNDUP(I254*Order_Quote!$L$2,2),0)</f>
        <v>0</v>
      </c>
      <c r="K254" s="118"/>
      <c r="L254" s="76"/>
      <c r="M254" s="104">
        <f t="shared" si="5"/>
        <v>0</v>
      </c>
      <c r="O254" s="379" t="str">
        <f>_xlfn.XLOOKUP(E254,'All Products'!D:D,'All Products'!I:I,FALSE)</f>
        <v>Within 6 Weeks</v>
      </c>
      <c r="P254" s="379" t="str">
        <f>_xlfn.XLOOKUP(E254,'All Products'!D:D,'All Products'!J:J,FALSE)</f>
        <v>Sourced</v>
      </c>
      <c r="Q254" s="504">
        <f>_xlfn.XLOOKUP(F254,'All Products'!E:E,'All Products'!K:K,FALSE)</f>
        <v>812361018101</v>
      </c>
      <c r="R254" s="397" t="str">
        <f>_xlfn.XLOOKUP(E254,'All Products'!D:D,'All Products'!L:L,FALSE)</f>
        <v>-</v>
      </c>
      <c r="S254" s="397" t="str">
        <f>_xlfn.XLOOKUP(E254,'All Products'!D:D,'All Products'!M:M,FALSE)</f>
        <v>-</v>
      </c>
      <c r="T254" s="384">
        <f>_xlfn.XLOOKUP(E254,'All Products'!D:D,'All Products'!N:N,FALSE)</f>
        <v>6.53</v>
      </c>
      <c r="U254" s="384">
        <f>_xlfn.XLOOKUP(E254,'All Products'!D:D,'All Products'!P:P,FALSE)</f>
        <v>32.65</v>
      </c>
      <c r="V254" s="384" t="str">
        <f>_xlfn.XLOOKUP(E254,'All Products'!D:D,'All Products'!Q:Q,FALSE)</f>
        <v>-</v>
      </c>
    </row>
    <row r="255" spans="1:22" s="17" customFormat="1" ht="16.2" thickBot="1">
      <c r="A255" s="5" t="str">
        <f>IF(K255&gt;0,COUNT($A$8:A254)+1,"")</f>
        <v/>
      </c>
      <c r="B255" s="446" t="s">
        <v>5816</v>
      </c>
      <c r="C255" s="151"/>
      <c r="D255" s="151"/>
      <c r="E255" s="459"/>
      <c r="F255" s="151"/>
      <c r="G255" s="468"/>
      <c r="H255" s="151"/>
      <c r="I255" s="472"/>
      <c r="J255" s="468"/>
      <c r="K255" s="477"/>
      <c r="L255" s="238"/>
      <c r="M255" s="476"/>
      <c r="O255" s="475"/>
      <c r="P255" s="145"/>
      <c r="Q255" s="492"/>
      <c r="R255" s="493"/>
      <c r="S255" s="493"/>
      <c r="T255" s="479"/>
      <c r="U255" s="459"/>
      <c r="V255" s="489"/>
    </row>
    <row r="256" spans="1:22">
      <c r="A256" s="5" t="str">
        <f>IF(K256&gt;0,COUNT($A$8:A255)+1,"")</f>
        <v/>
      </c>
      <c r="B256" s="664"/>
      <c r="C256" s="665"/>
      <c r="D256" s="369" t="str">
        <f>_xlfn.XLOOKUP(E256,'All Products'!D:D,'All Products'!C:C,FALSE)</f>
        <v>600-3607</v>
      </c>
      <c r="E256" s="103">
        <v>100029077</v>
      </c>
      <c r="F256" s="376" t="str">
        <f>_xlfn.XLOOKUP(E256,'All Products'!D:D,'All Products'!E:E,FALSE)</f>
        <v>1-1/2 WYE DWV</v>
      </c>
      <c r="G256" s="232">
        <f>_xlfn.XLOOKUP(E256,'All Products'!D:D,'All Products'!F:F,FALSE)</f>
        <v>50</v>
      </c>
      <c r="H256" s="387">
        <f>_xlfn.XLOOKUP(E256,'All Products'!D:D,'All Products'!G:G,FALSE)</f>
        <v>1200</v>
      </c>
      <c r="I256" s="369">
        <f>_xlfn.XLOOKUP(E256,'All Products'!D:D,'All Products'!H:H,FALSE)</f>
        <v>91.68</v>
      </c>
      <c r="J256" s="183">
        <f>IFERROR(ROUNDUP(I256*Order_Quote!$L$2,2),0)</f>
        <v>91.68</v>
      </c>
      <c r="K256" s="118"/>
      <c r="L256" s="76"/>
      <c r="M256" s="104">
        <f t="shared" si="5"/>
        <v>0</v>
      </c>
      <c r="O256" s="379" t="str">
        <f>_xlfn.XLOOKUP(E256,'All Products'!D:D,'All Products'!I:I,FALSE)</f>
        <v>Within 3 Weeks</v>
      </c>
      <c r="P256" s="379" t="str">
        <f>_xlfn.XLOOKUP(E256,'All Products'!D:D,'All Products'!J:J,FALSE)</f>
        <v>Manufactured</v>
      </c>
      <c r="Q256" s="397">
        <f>_xlfn.XLOOKUP(F256,'All Products'!E:E,'All Products'!K:K,FALSE)</f>
        <v>810673013777</v>
      </c>
      <c r="R256" s="397" t="str">
        <f>_xlfn.XLOOKUP(E256,'All Products'!D:D,'All Products'!L:L,FALSE)</f>
        <v>-</v>
      </c>
      <c r="S256" s="397">
        <f>_xlfn.XLOOKUP(E256,'All Products'!D:D,'All Products'!M:M,FALSE)</f>
        <v>10810673013774</v>
      </c>
      <c r="T256" s="384">
        <f>_xlfn.XLOOKUP(E256,'All Products'!D:D,'All Products'!N:N,FALSE)</f>
        <v>0.41899999999999998</v>
      </c>
      <c r="U256" s="384">
        <f>_xlfn.XLOOKUP(E256,'All Products'!D:D,'All Products'!P:P,FALSE)</f>
        <v>20.95</v>
      </c>
      <c r="V256" s="384">
        <f>_xlfn.XLOOKUP(E256,'All Products'!D:D,'All Products'!Q:Q,FALSE)</f>
        <v>1.8803145838984718</v>
      </c>
    </row>
    <row r="257" spans="1:22">
      <c r="A257" s="5" t="str">
        <f>IF(K257&gt;0,COUNT($A$8:A256)+1,"")</f>
        <v/>
      </c>
      <c r="B257" s="646"/>
      <c r="C257" s="647"/>
      <c r="D257" s="369" t="str">
        <f>_xlfn.XLOOKUP(E257,'All Products'!D:D,'All Products'!C:C,FALSE)</f>
        <v>600-3608</v>
      </c>
      <c r="E257" s="103">
        <v>100029078</v>
      </c>
      <c r="F257" s="376" t="str">
        <f>_xlfn.XLOOKUP(E257,'All Products'!D:D,'All Products'!E:E,FALSE)</f>
        <v>2 WYE DWV</v>
      </c>
      <c r="G257" s="232">
        <f>_xlfn.XLOOKUP(E257,'All Products'!D:D,'All Products'!F:F,FALSE)</f>
        <v>25</v>
      </c>
      <c r="H257" s="387">
        <f>_xlfn.XLOOKUP(E257,'All Products'!D:D,'All Products'!G:G,FALSE)</f>
        <v>600</v>
      </c>
      <c r="I257" s="369">
        <f>_xlfn.XLOOKUP(E257,'All Products'!D:D,'All Products'!H:H,FALSE)</f>
        <v>90.24</v>
      </c>
      <c r="J257" s="183">
        <f>IFERROR(ROUNDUP(I257*Order_Quote!$L$2,2),0)</f>
        <v>90.24</v>
      </c>
      <c r="K257" s="118"/>
      <c r="L257" s="76"/>
      <c r="M257" s="104">
        <f t="shared" si="5"/>
        <v>0</v>
      </c>
      <c r="O257" s="379" t="str">
        <f>_xlfn.XLOOKUP(E257,'All Products'!D:D,'All Products'!I:I,FALSE)</f>
        <v>In Stock</v>
      </c>
      <c r="P257" s="379" t="str">
        <f>_xlfn.XLOOKUP(E257,'All Products'!D:D,'All Products'!J:J,FALSE)</f>
        <v>Manufactured</v>
      </c>
      <c r="Q257" s="397">
        <f>_xlfn.XLOOKUP(F257,'All Products'!E:E,'All Products'!K:K,FALSE)</f>
        <v>810673013791</v>
      </c>
      <c r="R257" s="397" t="str">
        <f>_xlfn.XLOOKUP(E257,'All Products'!D:D,'All Products'!L:L,FALSE)</f>
        <v>-</v>
      </c>
      <c r="S257" s="397">
        <f>_xlfn.XLOOKUP(E257,'All Products'!D:D,'All Products'!M:M,FALSE)</f>
        <v>10810673013798</v>
      </c>
      <c r="T257" s="384">
        <f>_xlfn.XLOOKUP(E257,'All Products'!D:D,'All Products'!N:N,FALSE)</f>
        <v>0.65700000000000003</v>
      </c>
      <c r="U257" s="384">
        <f>_xlfn.XLOOKUP(E257,'All Products'!D:D,'All Products'!P:P,FALSE)</f>
        <v>16.425000000000001</v>
      </c>
      <c r="V257" s="384">
        <f>_xlfn.XLOOKUP(E257,'All Products'!D:D,'All Products'!Q:Q,FALSE)</f>
        <v>1.8803145838984718</v>
      </c>
    </row>
    <row r="258" spans="1:22">
      <c r="A258" s="5" t="str">
        <f>IF(K258&gt;0,COUNT($A$8:A257)+1,"")</f>
        <v/>
      </c>
      <c r="B258" s="646"/>
      <c r="C258" s="647"/>
      <c r="D258" s="369" t="str">
        <f>_xlfn.XLOOKUP(E258,'All Products'!D:D,'All Products'!C:C,FALSE)</f>
        <v>600-3609</v>
      </c>
      <c r="E258" s="103">
        <v>100029079</v>
      </c>
      <c r="F258" s="376" t="str">
        <f>_xlfn.XLOOKUP(E258,'All Products'!D:D,'All Products'!E:E,FALSE)</f>
        <v>3 WYE DWV</v>
      </c>
      <c r="G258" s="232">
        <f>_xlfn.XLOOKUP(E258,'All Products'!D:D,'All Products'!F:F,FALSE)</f>
        <v>25</v>
      </c>
      <c r="H258" s="387">
        <f>_xlfn.XLOOKUP(E258,'All Products'!D:D,'All Products'!G:G,FALSE)</f>
        <v>300</v>
      </c>
      <c r="I258" s="369">
        <f>_xlfn.XLOOKUP(E258,'All Products'!D:D,'All Products'!H:H,FALSE)</f>
        <v>243.68</v>
      </c>
      <c r="J258" s="183">
        <f>IFERROR(ROUNDUP(I258*Order_Quote!$L$2,2),0)</f>
        <v>243.68</v>
      </c>
      <c r="K258" s="118"/>
      <c r="L258" s="76"/>
      <c r="M258" s="104">
        <f t="shared" si="5"/>
        <v>0</v>
      </c>
      <c r="O258" s="379" t="str">
        <f>_xlfn.XLOOKUP(E258,'All Products'!D:D,'All Products'!I:I,FALSE)</f>
        <v>In Stock</v>
      </c>
      <c r="P258" s="379" t="str">
        <f>_xlfn.XLOOKUP(E258,'All Products'!D:D,'All Products'!J:J,FALSE)</f>
        <v>Manufactured</v>
      </c>
      <c r="Q258" s="397">
        <f>_xlfn.XLOOKUP(F258,'All Products'!E:E,'All Products'!K:K,FALSE)</f>
        <v>810673013807</v>
      </c>
      <c r="R258" s="397" t="str">
        <f>_xlfn.XLOOKUP(E258,'All Products'!D:D,'All Products'!L:L,FALSE)</f>
        <v>-</v>
      </c>
      <c r="S258" s="397">
        <f>_xlfn.XLOOKUP(E258,'All Products'!D:D,'All Products'!M:M,FALSE)</f>
        <v>10810673013804</v>
      </c>
      <c r="T258" s="384">
        <f>_xlfn.XLOOKUP(E258,'All Products'!D:D,'All Products'!N:N,FALSE)</f>
        <v>1.917</v>
      </c>
      <c r="U258" s="384">
        <f>_xlfn.XLOOKUP(E258,'All Products'!D:D,'All Products'!P:P,FALSE)</f>
        <v>47.925000000000004</v>
      </c>
      <c r="V258" s="384">
        <f>_xlfn.XLOOKUP(E258,'All Products'!D:D,'All Products'!Q:Q,FALSE)</f>
        <v>3.6731726755225957</v>
      </c>
    </row>
    <row r="259" spans="1:22">
      <c r="A259" s="5" t="str">
        <f>IF(K259&gt;0,COUNT($A$8:A258)+1,"")</f>
        <v/>
      </c>
      <c r="B259" s="646"/>
      <c r="C259" s="647"/>
      <c r="D259" s="369" t="str">
        <f>_xlfn.XLOOKUP(E259,'All Products'!D:D,'All Products'!C:C,FALSE)</f>
        <v>600-3610</v>
      </c>
      <c r="E259" s="103">
        <v>100029080</v>
      </c>
      <c r="F259" s="376" t="str">
        <f>_xlfn.XLOOKUP(E259,'All Products'!D:D,'All Products'!E:E,FALSE)</f>
        <v>4 WYE DWV</v>
      </c>
      <c r="G259" s="232">
        <f>_xlfn.XLOOKUP(E259,'All Products'!D:D,'All Products'!F:F,FALSE)</f>
        <v>5</v>
      </c>
      <c r="H259" s="387">
        <f>_xlfn.XLOOKUP(E259,'All Products'!D:D,'All Products'!G:G,FALSE)</f>
        <v>120</v>
      </c>
      <c r="I259" s="369">
        <f>_xlfn.XLOOKUP(E259,'All Products'!D:D,'All Products'!H:H,FALSE)</f>
        <v>443.18</v>
      </c>
      <c r="J259" s="183">
        <f>IFERROR(ROUNDUP(I259*Order_Quote!$L$2,2),0)</f>
        <v>443.18</v>
      </c>
      <c r="K259" s="118"/>
      <c r="L259" s="76"/>
      <c r="M259" s="104">
        <f t="shared" si="5"/>
        <v>0</v>
      </c>
      <c r="O259" s="379" t="str">
        <f>_xlfn.XLOOKUP(E259,'All Products'!D:D,'All Products'!I:I,FALSE)</f>
        <v>In Stock</v>
      </c>
      <c r="P259" s="379" t="str">
        <f>_xlfn.XLOOKUP(E259,'All Products'!D:D,'All Products'!J:J,FALSE)</f>
        <v>Manufactured</v>
      </c>
      <c r="Q259" s="397">
        <f>_xlfn.XLOOKUP(F259,'All Products'!E:E,'All Products'!K:K,FALSE)</f>
        <v>810673013814</v>
      </c>
      <c r="R259" s="397" t="str">
        <f>_xlfn.XLOOKUP(E259,'All Products'!D:D,'All Products'!L:L,FALSE)</f>
        <v>-</v>
      </c>
      <c r="S259" s="397">
        <f>_xlfn.XLOOKUP(E259,'All Products'!D:D,'All Products'!M:M,FALSE)</f>
        <v>10810673013811</v>
      </c>
      <c r="T259" s="384">
        <f>_xlfn.XLOOKUP(E259,'All Products'!D:D,'All Products'!N:N,FALSE)</f>
        <v>3.6349999999999998</v>
      </c>
      <c r="U259" s="384">
        <f>_xlfn.XLOOKUP(E259,'All Products'!D:D,'All Products'!P:P,FALSE)</f>
        <v>18.174999999999997</v>
      </c>
      <c r="V259" s="384">
        <f>_xlfn.XLOOKUP(E259,'All Products'!D:D,'All Products'!Q:Q,FALSE)</f>
        <v>1.8803145838984718</v>
      </c>
    </row>
    <row r="260" spans="1:22">
      <c r="A260" s="5" t="str">
        <f>IF(K260&gt;0,COUNT($A$8:A259)+1,"")</f>
        <v/>
      </c>
      <c r="B260" s="652"/>
      <c r="C260" s="653"/>
      <c r="D260" s="369" t="str">
        <f>_xlfn.XLOOKUP(E260,'All Products'!D:D,'All Products'!C:C,FALSE)</f>
        <v>600-3611</v>
      </c>
      <c r="E260" s="103">
        <v>100029081</v>
      </c>
      <c r="F260" s="376" t="str">
        <f>_xlfn.XLOOKUP(E260,'All Products'!D:D,'All Products'!E:E,FALSE)</f>
        <v>6 WYE DWV</v>
      </c>
      <c r="G260" s="232">
        <f>_xlfn.XLOOKUP(E260,'All Products'!D:D,'All Products'!F:F,FALSE)</f>
        <v>4</v>
      </c>
      <c r="H260" s="387">
        <f>_xlfn.XLOOKUP(E260,'All Products'!D:D,'All Products'!G:G,FALSE)</f>
        <v>48</v>
      </c>
      <c r="I260" s="369">
        <f>_xlfn.XLOOKUP(E260,'All Products'!D:D,'All Products'!H:H,FALSE)</f>
        <v>1279.27</v>
      </c>
      <c r="J260" s="183">
        <f>IFERROR(ROUNDUP(I260*Order_Quote!$L$2,2),0)</f>
        <v>1279.27</v>
      </c>
      <c r="K260" s="118"/>
      <c r="L260" s="76"/>
      <c r="M260" s="104">
        <f t="shared" si="5"/>
        <v>0</v>
      </c>
      <c r="O260" s="379" t="str">
        <f>_xlfn.XLOOKUP(E260,'All Products'!D:D,'All Products'!I:I,FALSE)</f>
        <v>In Stock</v>
      </c>
      <c r="P260" s="379" t="str">
        <f>_xlfn.XLOOKUP(E260,'All Products'!D:D,'All Products'!J:J,FALSE)</f>
        <v>Manufactured</v>
      </c>
      <c r="Q260" s="397">
        <f>_xlfn.XLOOKUP(F260,'All Products'!E:E,'All Products'!K:K,FALSE)</f>
        <v>810673011674</v>
      </c>
      <c r="R260" s="397" t="str">
        <f>_xlfn.XLOOKUP(E260,'All Products'!D:D,'All Products'!L:L,FALSE)</f>
        <v>-</v>
      </c>
      <c r="S260" s="397">
        <f>_xlfn.XLOOKUP(E260,'All Products'!D:D,'All Products'!M:M,FALSE)</f>
        <v>810673015542</v>
      </c>
      <c r="T260" s="384">
        <f>_xlfn.XLOOKUP(E260,'All Products'!D:D,'All Products'!N:N,FALSE)</f>
        <v>7.734</v>
      </c>
      <c r="U260" s="384">
        <f>_xlfn.XLOOKUP(E260,'All Products'!D:D,'All Products'!P:P,FALSE)</f>
        <v>30.936</v>
      </c>
      <c r="V260" s="384">
        <f>_xlfn.XLOOKUP(E260,'All Products'!D:D,'All Products'!Q:Q,FALSE)</f>
        <v>3.6731726755225957</v>
      </c>
    </row>
    <row r="261" spans="1:22">
      <c r="A261" s="5" t="str">
        <f>IF(K261&gt;0,COUNT($A$8:A260)+1,"")</f>
        <v/>
      </c>
      <c r="B261" s="644"/>
      <c r="C261" s="645"/>
      <c r="D261" s="369" t="str">
        <f>_xlfn.XLOOKUP(E261,'All Products'!D:D,'All Products'!C:C,FALSE)</f>
        <v>601-3615</v>
      </c>
      <c r="E261" s="103">
        <v>100029082</v>
      </c>
      <c r="F261" s="376" t="str">
        <f>_xlfn.XLOOKUP(E261,'All Products'!D:D,'All Products'!E:E,FALSE)</f>
        <v>2X1-1/2X1-1/2 WYE REDUCING DWV</v>
      </c>
      <c r="G261" s="232">
        <f>_xlfn.XLOOKUP(E261,'All Products'!D:D,'All Products'!F:F,FALSE)</f>
        <v>25</v>
      </c>
      <c r="H261" s="387">
        <f>_xlfn.XLOOKUP(E261,'All Products'!D:D,'All Products'!G:G,FALSE)</f>
        <v>800</v>
      </c>
      <c r="I261" s="369">
        <f>_xlfn.XLOOKUP(E261,'All Products'!D:D,'All Products'!H:H,FALSE)</f>
        <v>126.24</v>
      </c>
      <c r="J261" s="183">
        <f>IFERROR(ROUNDUP(I261*Order_Quote!$L$2,2),0)</f>
        <v>126.24</v>
      </c>
      <c r="K261" s="118"/>
      <c r="L261" s="76"/>
      <c r="M261" s="104">
        <f t="shared" si="5"/>
        <v>0</v>
      </c>
      <c r="O261" s="379" t="str">
        <f>_xlfn.XLOOKUP(E261,'All Products'!D:D,'All Products'!I:I,FALSE)</f>
        <v>Within 3 Weeks</v>
      </c>
      <c r="P261" s="379" t="str">
        <f>_xlfn.XLOOKUP(E261,'All Products'!D:D,'All Products'!J:J,FALSE)</f>
        <v>Manufactured</v>
      </c>
      <c r="Q261" s="397">
        <f>_xlfn.XLOOKUP(F261,'All Products'!E:E,'All Products'!K:K,FALSE)</f>
        <v>810673015047</v>
      </c>
      <c r="R261" s="397" t="str">
        <f>_xlfn.XLOOKUP(E261,'All Products'!D:D,'All Products'!L:L,FALSE)</f>
        <v>-</v>
      </c>
      <c r="S261" s="397">
        <f>_xlfn.XLOOKUP(E261,'All Products'!D:D,'All Products'!M:M,FALSE)</f>
        <v>810673015054</v>
      </c>
      <c r="T261" s="384">
        <f>_xlfn.XLOOKUP(E261,'All Products'!D:D,'All Products'!N:N,FALSE)</f>
        <v>0.49099999999999999</v>
      </c>
      <c r="U261" s="384">
        <f>_xlfn.XLOOKUP(E261,'All Products'!D:D,'All Products'!P:P,FALSE)</f>
        <v>12.275</v>
      </c>
      <c r="V261" s="384">
        <f>_xlfn.XLOOKUP(E261,'All Products'!D:D,'All Products'!Q:Q,FALSE)</f>
        <v>1.3788503419060438</v>
      </c>
    </row>
    <row r="262" spans="1:22">
      <c r="A262" s="5" t="str">
        <f>IF(K262&gt;0,COUNT($A$8:A261)+1,"")</f>
        <v/>
      </c>
      <c r="B262" s="646"/>
      <c r="C262" s="647"/>
      <c r="D262" s="369" t="str">
        <f>_xlfn.XLOOKUP(E262,'All Products'!D:D,'All Products'!C:C,FALSE)</f>
        <v>601-3616</v>
      </c>
      <c r="E262" s="103">
        <v>300005690</v>
      </c>
      <c r="F262" s="376" t="str">
        <f>_xlfn.XLOOKUP(E262,'All Products'!D:D,'All Products'!E:E,FALSE)</f>
        <v>2X1-1/2X2 WYE REDUCING DWV</v>
      </c>
      <c r="G262" s="232">
        <f>_xlfn.XLOOKUP(E262,'All Products'!D:D,'All Products'!F:F,FALSE)</f>
        <v>10</v>
      </c>
      <c r="H262" s="387">
        <f>_xlfn.XLOOKUP(E262,'All Products'!D:D,'All Products'!G:G,FALSE)</f>
        <v>480</v>
      </c>
      <c r="I262" s="369" t="str">
        <f>_xlfn.XLOOKUP(E262,'All Products'!D:D,'All Products'!H:H,FALSE)</f>
        <v>Quote Required</v>
      </c>
      <c r="J262" s="183">
        <f>IFERROR(ROUNDUP(I262*Order_Quote!$L$2,2),0)</f>
        <v>0</v>
      </c>
      <c r="K262" s="118"/>
      <c r="L262" s="76"/>
      <c r="M262" s="104">
        <f t="shared" si="5"/>
        <v>0</v>
      </c>
      <c r="O262" s="379" t="str">
        <f>_xlfn.XLOOKUP(E262,'All Products'!D:D,'All Products'!I:I,FALSE)</f>
        <v>Within 6 Weeks</v>
      </c>
      <c r="P262" s="379" t="str">
        <f>_xlfn.XLOOKUP(E262,'All Products'!D:D,'All Products'!J:J,FALSE)</f>
        <v>Sourced</v>
      </c>
      <c r="Q262" s="397">
        <f>_xlfn.XLOOKUP(F262,'All Products'!E:E,'All Products'!K:K,FALSE)</f>
        <v>812361012697</v>
      </c>
      <c r="R262" s="397" t="str">
        <f>_xlfn.XLOOKUP(E262,'All Products'!D:D,'All Products'!L:L,FALSE)</f>
        <v>-</v>
      </c>
      <c r="S262" s="397">
        <f>_xlfn.XLOOKUP(E262,'All Products'!D:D,'All Products'!M:M,FALSE)</f>
        <v>0</v>
      </c>
      <c r="T262" s="384">
        <f>_xlfn.XLOOKUP(E262,'All Products'!D:D,'All Products'!N:N,FALSE)</f>
        <v>0.60899999999999999</v>
      </c>
      <c r="U262" s="384">
        <f>_xlfn.XLOOKUP(E262,'All Products'!D:D,'All Products'!P:P,FALSE)</f>
        <v>6.09</v>
      </c>
      <c r="V262" s="384" t="str">
        <f>_xlfn.XLOOKUP(E262,'All Products'!D:D,'All Products'!Q:Q,FALSE)</f>
        <v>-</v>
      </c>
    </row>
    <row r="263" spans="1:22">
      <c r="A263" s="5" t="str">
        <f>IF(K263&gt;0,COUNT($A$8:A262)+1,"")</f>
        <v/>
      </c>
      <c r="B263" s="646"/>
      <c r="C263" s="647"/>
      <c r="D263" s="369" t="str">
        <f>_xlfn.XLOOKUP(E263,'All Products'!D:D,'All Products'!C:C,FALSE)</f>
        <v>601-3617</v>
      </c>
      <c r="E263" s="103">
        <v>100029084</v>
      </c>
      <c r="F263" s="376" t="str">
        <f>_xlfn.XLOOKUP(E263,'All Products'!D:D,'All Products'!E:E,FALSE)</f>
        <v>2X2X1-1/2 WYE REDUCING DWV</v>
      </c>
      <c r="G263" s="232">
        <f>_xlfn.XLOOKUP(E263,'All Products'!D:D,'All Products'!F:F,FALSE)</f>
        <v>25</v>
      </c>
      <c r="H263" s="387">
        <f>_xlfn.XLOOKUP(E263,'All Products'!D:D,'All Products'!G:G,FALSE)</f>
        <v>800</v>
      </c>
      <c r="I263" s="369">
        <f>_xlfn.XLOOKUP(E263,'All Products'!D:D,'All Products'!H:H,FALSE)</f>
        <v>110.41</v>
      </c>
      <c r="J263" s="183">
        <f>IFERROR(ROUNDUP(I263*Order_Quote!$L$2,2),0)</f>
        <v>110.41</v>
      </c>
      <c r="K263" s="118"/>
      <c r="L263" s="76"/>
      <c r="M263" s="104">
        <f t="shared" si="5"/>
        <v>0</v>
      </c>
      <c r="O263" s="379" t="str">
        <f>_xlfn.XLOOKUP(E263,'All Products'!D:D,'All Products'!I:I,FALSE)</f>
        <v>In Stock</v>
      </c>
      <c r="P263" s="379" t="str">
        <f>_xlfn.XLOOKUP(E263,'All Products'!D:D,'All Products'!J:J,FALSE)</f>
        <v>Manufactured</v>
      </c>
      <c r="Q263" s="397">
        <f>_xlfn.XLOOKUP(F263,'All Products'!E:E,'All Products'!K:K,FALSE)</f>
        <v>810673015061</v>
      </c>
      <c r="R263" s="397" t="str">
        <f>_xlfn.XLOOKUP(E263,'All Products'!D:D,'All Products'!L:L,FALSE)</f>
        <v>-</v>
      </c>
      <c r="S263" s="397">
        <f>_xlfn.XLOOKUP(E263,'All Products'!D:D,'All Products'!M:M,FALSE)</f>
        <v>10810673015068</v>
      </c>
      <c r="T263" s="384">
        <f>_xlfn.XLOOKUP(E263,'All Products'!D:D,'All Products'!N:N,FALSE)</f>
        <v>0.54600000000000004</v>
      </c>
      <c r="U263" s="384">
        <f>_xlfn.XLOOKUP(E263,'All Products'!D:D,'All Products'!P:P,FALSE)</f>
        <v>13.65</v>
      </c>
      <c r="V263" s="384">
        <f>_xlfn.XLOOKUP(E263,'All Products'!D:D,'All Products'!Q:Q,FALSE)</f>
        <v>1.3788503419060438</v>
      </c>
    </row>
    <row r="264" spans="1:22">
      <c r="A264" s="5" t="str">
        <f>IF(K264&gt;0,COUNT($A$8:A263)+1,"")</f>
        <v/>
      </c>
      <c r="B264" s="646"/>
      <c r="C264" s="647"/>
      <c r="D264" s="369" t="str">
        <f>_xlfn.XLOOKUP(E264,'All Products'!D:D,'All Products'!C:C,FALSE)</f>
        <v>601-3618</v>
      </c>
      <c r="E264" s="103">
        <v>100029085</v>
      </c>
      <c r="F264" s="376" t="str">
        <f>_xlfn.XLOOKUP(E264,'All Products'!D:D,'All Products'!E:E,FALSE)</f>
        <v>3X3X1-1/2 WYE REDUCING DWV</v>
      </c>
      <c r="G264" s="232">
        <f>_xlfn.XLOOKUP(E264,'All Products'!D:D,'All Products'!F:F,FALSE)</f>
        <v>15</v>
      </c>
      <c r="H264" s="387">
        <f>_xlfn.XLOOKUP(E264,'All Products'!D:D,'All Products'!G:G,FALSE)</f>
        <v>270</v>
      </c>
      <c r="I264" s="369">
        <f>_xlfn.XLOOKUP(E264,'All Products'!D:D,'All Products'!H:H,FALSE)</f>
        <v>163.33000000000001</v>
      </c>
      <c r="J264" s="183">
        <f>IFERROR(ROUNDUP(I264*Order_Quote!$L$2,2),0)</f>
        <v>163.33000000000001</v>
      </c>
      <c r="K264" s="118"/>
      <c r="L264" s="76"/>
      <c r="M264" s="104">
        <f t="shared" si="5"/>
        <v>0</v>
      </c>
      <c r="O264" s="379" t="str">
        <f>_xlfn.XLOOKUP(E264,'All Products'!D:D,'All Products'!I:I,FALSE)</f>
        <v>In Stock</v>
      </c>
      <c r="P264" s="379" t="str">
        <f>_xlfn.XLOOKUP(E264,'All Products'!D:D,'All Products'!J:J,FALSE)</f>
        <v>Manufactured</v>
      </c>
      <c r="Q264" s="397">
        <f>_xlfn.XLOOKUP(F264,'All Products'!E:E,'All Products'!K:K,FALSE)</f>
        <v>810673015085</v>
      </c>
      <c r="R264" s="397" t="str">
        <f>_xlfn.XLOOKUP(E264,'All Products'!D:D,'All Products'!L:L,FALSE)</f>
        <v>-</v>
      </c>
      <c r="S264" s="397">
        <f>_xlfn.XLOOKUP(E264,'All Products'!D:D,'All Products'!M:M,FALSE)</f>
        <v>10810673015082</v>
      </c>
      <c r="T264" s="384">
        <f>_xlfn.XLOOKUP(E264,'All Products'!D:D,'All Products'!N:N,FALSE)</f>
        <v>1.228</v>
      </c>
      <c r="U264" s="384">
        <f>_xlfn.XLOOKUP(E264,'All Products'!D:D,'All Products'!P:P,FALSE)</f>
        <v>18.419999999999998</v>
      </c>
      <c r="V264" s="384">
        <f>_xlfn.XLOOKUP(E264,'All Products'!D:D,'All Products'!Q:Q,FALSE)</f>
        <v>2.361325291407383</v>
      </c>
    </row>
    <row r="265" spans="1:22">
      <c r="A265" s="5" t="str">
        <f>IF(K265&gt;0,COUNT($A$8:A264)+1,"")</f>
        <v/>
      </c>
      <c r="B265" s="646"/>
      <c r="C265" s="647"/>
      <c r="D265" s="369" t="str">
        <f>_xlfn.XLOOKUP(E265,'All Products'!D:D,'All Products'!C:C,FALSE)</f>
        <v>601-3619</v>
      </c>
      <c r="E265" s="103">
        <v>100029086</v>
      </c>
      <c r="F265" s="376" t="str">
        <f>_xlfn.XLOOKUP(E265,'All Products'!D:D,'All Products'!E:E,FALSE)</f>
        <v>3X3X2 WYE REDUCING DWV</v>
      </c>
      <c r="G265" s="232">
        <f>_xlfn.XLOOKUP(E265,'All Products'!D:D,'All Products'!F:F,FALSE)</f>
        <v>25</v>
      </c>
      <c r="H265" s="387">
        <f>_xlfn.XLOOKUP(E265,'All Products'!D:D,'All Products'!G:G,FALSE)</f>
        <v>300</v>
      </c>
      <c r="I265" s="369">
        <f>_xlfn.XLOOKUP(E265,'All Products'!D:D,'All Products'!H:H,FALSE)</f>
        <v>180.27</v>
      </c>
      <c r="J265" s="183">
        <f>IFERROR(ROUNDUP(I265*Order_Quote!$L$2,2),0)</f>
        <v>180.27</v>
      </c>
      <c r="K265" s="118"/>
      <c r="L265" s="76"/>
      <c r="M265" s="104">
        <f t="shared" si="5"/>
        <v>0</v>
      </c>
      <c r="O265" s="379" t="str">
        <f>_xlfn.XLOOKUP(E265,'All Products'!D:D,'All Products'!I:I,FALSE)</f>
        <v>In Stock</v>
      </c>
      <c r="P265" s="379" t="str">
        <f>_xlfn.XLOOKUP(E265,'All Products'!D:D,'All Products'!J:J,FALSE)</f>
        <v>Manufactured</v>
      </c>
      <c r="Q265" s="397">
        <f>_xlfn.XLOOKUP(F265,'All Products'!E:E,'All Products'!K:K,FALSE)</f>
        <v>810673015108</v>
      </c>
      <c r="R265" s="397" t="str">
        <f>_xlfn.XLOOKUP(E265,'All Products'!D:D,'All Products'!L:L,FALSE)</f>
        <v>-</v>
      </c>
      <c r="S265" s="397">
        <f>_xlfn.XLOOKUP(E265,'All Products'!D:D,'All Products'!M:M,FALSE)</f>
        <v>810673015115</v>
      </c>
      <c r="T265" s="384">
        <f>_xlfn.XLOOKUP(E265,'All Products'!D:D,'All Products'!N:N,FALSE)</f>
        <v>1.3420000000000001</v>
      </c>
      <c r="U265" s="384">
        <f>_xlfn.XLOOKUP(E265,'All Products'!D:D,'All Products'!P:P,FALSE)</f>
        <v>33.550000000000004</v>
      </c>
      <c r="V265" s="384">
        <f>_xlfn.XLOOKUP(E265,'All Products'!D:D,'All Products'!Q:Q,FALSE)</f>
        <v>2.7986077527791204</v>
      </c>
    </row>
    <row r="266" spans="1:22">
      <c r="A266" s="5" t="str">
        <f>IF(K266&gt;0,COUNT($A$8:A265)+1,"")</f>
        <v/>
      </c>
      <c r="B266" s="646"/>
      <c r="C266" s="647"/>
      <c r="D266" s="369" t="str">
        <f>_xlfn.XLOOKUP(E266,'All Products'!D:D,'All Products'!C:C,FALSE)</f>
        <v>601-3620</v>
      </c>
      <c r="E266" s="103">
        <v>300005691</v>
      </c>
      <c r="F266" s="376" t="str">
        <f>_xlfn.XLOOKUP(E266,'All Products'!D:D,'All Products'!E:E,FALSE)</f>
        <v>4X4X1-1/2 WYE REDUCING DWV</v>
      </c>
      <c r="G266" s="232">
        <f>_xlfn.XLOOKUP(E266,'All Products'!D:D,'All Products'!F:F,FALSE)</f>
        <v>10</v>
      </c>
      <c r="H266" s="387">
        <f>_xlfn.XLOOKUP(E266,'All Products'!D:D,'All Products'!G:G,FALSE)</f>
        <v>180</v>
      </c>
      <c r="I266" s="369" t="str">
        <f>_xlfn.XLOOKUP(E266,'All Products'!D:D,'All Products'!H:H,FALSE)</f>
        <v>Quote Required</v>
      </c>
      <c r="J266" s="183">
        <f>IFERROR(ROUNDUP(I266*Order_Quote!$L$2,2),0)</f>
        <v>0</v>
      </c>
      <c r="K266" s="118"/>
      <c r="L266" s="76"/>
      <c r="M266" s="104">
        <f t="shared" si="5"/>
        <v>0</v>
      </c>
      <c r="O266" s="379" t="str">
        <f>_xlfn.XLOOKUP(E266,'All Products'!D:D,'All Products'!I:I,FALSE)</f>
        <v>Within 6 Weeks</v>
      </c>
      <c r="P266" s="379" t="str">
        <f>_xlfn.XLOOKUP(E266,'All Products'!D:D,'All Products'!J:J,FALSE)</f>
        <v>Sourced</v>
      </c>
      <c r="Q266" s="397">
        <f>_xlfn.XLOOKUP(F266,'All Products'!E:E,'All Products'!K:K,FALSE)</f>
        <v>812361018064</v>
      </c>
      <c r="R266" s="397" t="str">
        <f>_xlfn.XLOOKUP(E266,'All Products'!D:D,'All Products'!L:L,FALSE)</f>
        <v>-</v>
      </c>
      <c r="S266" s="397" t="str">
        <f>_xlfn.XLOOKUP(E266,'All Products'!D:D,'All Products'!M:M,FALSE)</f>
        <v>-</v>
      </c>
      <c r="T266" s="384">
        <f>_xlfn.XLOOKUP(E266,'All Products'!D:D,'All Products'!N:N,FALSE)</f>
        <v>1.45</v>
      </c>
      <c r="U266" s="384">
        <f>_xlfn.XLOOKUP(E266,'All Products'!D:D,'All Products'!P:P,FALSE)</f>
        <v>14.5</v>
      </c>
      <c r="V266" s="384" t="str">
        <f>_xlfn.XLOOKUP(E266,'All Products'!D:D,'All Products'!Q:Q,FALSE)</f>
        <v>-</v>
      </c>
    </row>
    <row r="267" spans="1:22">
      <c r="A267" s="5" t="str">
        <f>IF(K267&gt;0,COUNT($A$8:A266)+1,"")</f>
        <v/>
      </c>
      <c r="B267" s="646"/>
      <c r="C267" s="647"/>
      <c r="D267" s="369" t="str">
        <f>_xlfn.XLOOKUP(E267,'All Products'!D:D,'All Products'!C:C,FALSE)</f>
        <v>601-3621</v>
      </c>
      <c r="E267" s="103">
        <v>100029088</v>
      </c>
      <c r="F267" s="376" t="str">
        <f>_xlfn.XLOOKUP(E267,'All Products'!D:D,'All Products'!E:E,FALSE)</f>
        <v>4X4X2 WYE REDUCING DWV</v>
      </c>
      <c r="G267" s="232">
        <f>_xlfn.XLOOKUP(E267,'All Products'!D:D,'All Products'!F:F,FALSE)</f>
        <v>10</v>
      </c>
      <c r="H267" s="387">
        <f>_xlfn.XLOOKUP(E267,'All Products'!D:D,'All Products'!G:G,FALSE)</f>
        <v>180</v>
      </c>
      <c r="I267" s="369">
        <f>_xlfn.XLOOKUP(E267,'All Products'!D:D,'All Products'!H:H,FALSE)</f>
        <v>265.22000000000003</v>
      </c>
      <c r="J267" s="183">
        <f>IFERROR(ROUNDUP(I267*Order_Quote!$L$2,2),0)</f>
        <v>265.22000000000003</v>
      </c>
      <c r="K267" s="118"/>
      <c r="L267" s="76"/>
      <c r="M267" s="104">
        <f t="shared" si="5"/>
        <v>0</v>
      </c>
      <c r="O267" s="379" t="str">
        <f>_xlfn.XLOOKUP(E267,'All Products'!D:D,'All Products'!I:I,FALSE)</f>
        <v>In Stock</v>
      </c>
      <c r="P267" s="379" t="str">
        <f>_xlfn.XLOOKUP(E267,'All Products'!D:D,'All Products'!J:J,FALSE)</f>
        <v>Manufactured</v>
      </c>
      <c r="Q267" s="397">
        <f>_xlfn.XLOOKUP(F267,'All Products'!E:E,'All Products'!K:K,FALSE)</f>
        <v>810673015122</v>
      </c>
      <c r="R267" s="397" t="str">
        <f>_xlfn.XLOOKUP(E267,'All Products'!D:D,'All Products'!L:L,FALSE)</f>
        <v>-</v>
      </c>
      <c r="S267" s="397">
        <f>_xlfn.XLOOKUP(E267,'All Products'!D:D,'All Products'!M:M,FALSE)</f>
        <v>810673015139</v>
      </c>
      <c r="T267" s="384">
        <f>_xlfn.XLOOKUP(E267,'All Products'!D:D,'All Products'!N:N,FALSE)</f>
        <v>2.0129999999999999</v>
      </c>
      <c r="U267" s="384">
        <f>_xlfn.XLOOKUP(E267,'All Products'!D:D,'All Products'!P:P,FALSE)</f>
        <v>20.13</v>
      </c>
      <c r="V267" s="384">
        <f>_xlfn.XLOOKUP(E267,'All Products'!D:D,'All Products'!Q:Q,FALSE)</f>
        <v>2.361325291407383</v>
      </c>
    </row>
    <row r="268" spans="1:22">
      <c r="A268" s="5" t="str">
        <f>IF(K268&gt;0,COUNT($A$8:A267)+1,"")</f>
        <v/>
      </c>
      <c r="B268" s="646"/>
      <c r="C268" s="647"/>
      <c r="D268" s="369" t="str">
        <f>_xlfn.XLOOKUP(E268,'All Products'!D:D,'All Products'!C:C,FALSE)</f>
        <v>601-3622</v>
      </c>
      <c r="E268" s="103">
        <v>100029089</v>
      </c>
      <c r="F268" s="376" t="str">
        <f>_xlfn.XLOOKUP(E268,'All Products'!D:D,'All Products'!E:E,FALSE)</f>
        <v>4X4X3 WYE REDUCING DWV</v>
      </c>
      <c r="G268" s="232">
        <f>_xlfn.XLOOKUP(E268,'All Products'!D:D,'All Products'!F:F,FALSE)</f>
        <v>10</v>
      </c>
      <c r="H268" s="387">
        <f>_xlfn.XLOOKUP(E268,'All Products'!D:D,'All Products'!G:G,FALSE)</f>
        <v>180</v>
      </c>
      <c r="I268" s="369">
        <f>_xlfn.XLOOKUP(E268,'All Products'!D:D,'All Products'!H:H,FALSE)</f>
        <v>359.75</v>
      </c>
      <c r="J268" s="183">
        <f>IFERROR(ROUNDUP(I268*Order_Quote!$L$2,2),0)</f>
        <v>359.75</v>
      </c>
      <c r="K268" s="118"/>
      <c r="L268" s="76"/>
      <c r="M268" s="104">
        <f t="shared" ref="M268:M301" si="6">K268/G268</f>
        <v>0</v>
      </c>
      <c r="O268" s="379" t="str">
        <f>_xlfn.XLOOKUP(E268,'All Products'!D:D,'All Products'!I:I,FALSE)</f>
        <v>In Stock</v>
      </c>
      <c r="P268" s="379" t="str">
        <f>_xlfn.XLOOKUP(E268,'All Products'!D:D,'All Products'!J:J,FALSE)</f>
        <v>Manufactured</v>
      </c>
      <c r="Q268" s="397">
        <f>_xlfn.XLOOKUP(F268,'All Products'!E:E,'All Products'!K:K,FALSE)</f>
        <v>810673015146</v>
      </c>
      <c r="R268" s="397" t="str">
        <f>_xlfn.XLOOKUP(E268,'All Products'!D:D,'All Products'!L:L,FALSE)</f>
        <v>-</v>
      </c>
      <c r="S268" s="397">
        <f>_xlfn.XLOOKUP(E268,'All Products'!D:D,'All Products'!M:M,FALSE)</f>
        <v>10810673015143</v>
      </c>
      <c r="T268" s="384">
        <f>_xlfn.XLOOKUP(E268,'All Products'!D:D,'All Products'!N:N,FALSE)</f>
        <v>2.7389999999999999</v>
      </c>
      <c r="U268" s="384">
        <f>_xlfn.XLOOKUP(E268,'All Products'!D:D,'All Products'!P:P,FALSE)</f>
        <v>27.39</v>
      </c>
      <c r="V268" s="384">
        <f>_xlfn.XLOOKUP(E268,'All Products'!D:D,'All Products'!Q:Q,FALSE)</f>
        <v>2.361325291407383</v>
      </c>
    </row>
    <row r="269" spans="1:22">
      <c r="A269" s="5" t="str">
        <f>IF(K269&gt;0,COUNT($A$8:A268)+1,"")</f>
        <v/>
      </c>
      <c r="B269" s="646"/>
      <c r="C269" s="647"/>
      <c r="D269" s="369" t="str">
        <f>_xlfn.XLOOKUP(E269,'All Products'!D:D,'All Products'!C:C,FALSE)</f>
        <v>601-3623</v>
      </c>
      <c r="E269" s="103">
        <v>100029090</v>
      </c>
      <c r="F269" s="376" t="str">
        <f>_xlfn.XLOOKUP(E269,'All Products'!D:D,'All Products'!E:E,FALSE)</f>
        <v>6X6X3 WYE REDUCING DWV</v>
      </c>
      <c r="G269" s="232">
        <f>_xlfn.XLOOKUP(E269,'All Products'!D:D,'All Products'!F:F,FALSE)</f>
        <v>5</v>
      </c>
      <c r="H269" s="387">
        <f>_xlfn.XLOOKUP(E269,'All Products'!D:D,'All Products'!G:G,FALSE)</f>
        <v>60</v>
      </c>
      <c r="I269" s="369">
        <f>_xlfn.XLOOKUP(E269,'All Products'!D:D,'All Products'!H:H,FALSE)</f>
        <v>1270.43</v>
      </c>
      <c r="J269" s="183">
        <f>IFERROR(ROUNDUP(I269*Order_Quote!$L$2,2),0)</f>
        <v>1270.43</v>
      </c>
      <c r="K269" s="118"/>
      <c r="L269" s="76"/>
      <c r="M269" s="104">
        <f t="shared" si="6"/>
        <v>0</v>
      </c>
      <c r="O269" s="379" t="str">
        <f>_xlfn.XLOOKUP(E269,'All Products'!D:D,'All Products'!I:I,FALSE)</f>
        <v>In Stock</v>
      </c>
      <c r="P269" s="379" t="str">
        <f>_xlfn.XLOOKUP(E269,'All Products'!D:D,'All Products'!J:J,FALSE)</f>
        <v>Manufactured</v>
      </c>
      <c r="Q269" s="397">
        <f>_xlfn.XLOOKUP(F269,'All Products'!E:E,'All Products'!K:K,FALSE)</f>
        <v>812361018071</v>
      </c>
      <c r="R269" s="397" t="str">
        <f>_xlfn.XLOOKUP(E269,'All Products'!D:D,'All Products'!L:L,FALSE)</f>
        <v>-</v>
      </c>
      <c r="S269" s="397">
        <f>_xlfn.XLOOKUP(E269,'All Products'!D:D,'All Products'!M:M,FALSE)</f>
        <v>810116840175</v>
      </c>
      <c r="T269" s="384">
        <f>_xlfn.XLOOKUP(E269,'All Products'!D:D,'All Products'!N:N,FALSE)</f>
        <v>5.2489999999999997</v>
      </c>
      <c r="U269" s="384">
        <f>_xlfn.XLOOKUP(E269,'All Products'!D:D,'All Products'!P:P,FALSE)</f>
        <v>26.244999999999997</v>
      </c>
      <c r="V269" s="384">
        <f>_xlfn.XLOOKUP(E269,'All Products'!D:D,'All Products'!Q:Q,FALSE)</f>
        <v>3.6731726755225957</v>
      </c>
    </row>
    <row r="270" spans="1:22">
      <c r="A270" s="5" t="str">
        <f>IF(K270&gt;0,COUNT($A$8:A269)+1,"")</f>
        <v/>
      </c>
      <c r="B270" s="652"/>
      <c r="C270" s="653"/>
      <c r="D270" s="369" t="str">
        <f>_xlfn.XLOOKUP(E270,'All Products'!D:D,'All Products'!C:C,FALSE)</f>
        <v>601-3624</v>
      </c>
      <c r="E270" s="103">
        <v>100029091</v>
      </c>
      <c r="F270" s="376" t="str">
        <f>_xlfn.XLOOKUP(E270,'All Products'!D:D,'All Products'!E:E,FALSE)</f>
        <v>6X6X4 WYE REDUCING DWV</v>
      </c>
      <c r="G270" s="232">
        <f>_xlfn.XLOOKUP(E270,'All Products'!D:D,'All Products'!F:F,FALSE)</f>
        <v>5</v>
      </c>
      <c r="H270" s="387">
        <f>_xlfn.XLOOKUP(E270,'All Products'!D:D,'All Products'!G:G,FALSE)</f>
        <v>60</v>
      </c>
      <c r="I270" s="369">
        <f>_xlfn.XLOOKUP(E270,'All Products'!D:D,'All Products'!H:H,FALSE)</f>
        <v>1032.8900000000001</v>
      </c>
      <c r="J270" s="183">
        <f>IFERROR(ROUNDUP(I270*Order_Quote!$L$2,2),0)</f>
        <v>1032.8900000000001</v>
      </c>
      <c r="K270" s="118"/>
      <c r="L270" s="76"/>
      <c r="M270" s="104">
        <f t="shared" si="6"/>
        <v>0</v>
      </c>
      <c r="O270" s="379" t="str">
        <f>_xlfn.XLOOKUP(E270,'All Products'!D:D,'All Products'!I:I,FALSE)</f>
        <v>In Stock</v>
      </c>
      <c r="P270" s="379" t="str">
        <f>_xlfn.XLOOKUP(E270,'All Products'!D:D,'All Products'!J:J,FALSE)</f>
        <v>Manufactured</v>
      </c>
      <c r="Q270" s="397">
        <f>_xlfn.XLOOKUP(F270,'All Products'!E:E,'All Products'!K:K,FALSE)</f>
        <v>810673011681</v>
      </c>
      <c r="R270" s="397" t="str">
        <f>_xlfn.XLOOKUP(E270,'All Products'!D:D,'All Products'!L:L,FALSE)</f>
        <v>-</v>
      </c>
      <c r="S270" s="397">
        <f>_xlfn.XLOOKUP(E270,'All Products'!D:D,'All Products'!M:M,FALSE)</f>
        <v>810673015160</v>
      </c>
      <c r="T270" s="384">
        <f>_xlfn.XLOOKUP(E270,'All Products'!D:D,'All Products'!N:N,FALSE)</f>
        <v>5.3769999999999998</v>
      </c>
      <c r="U270" s="384">
        <f>_xlfn.XLOOKUP(E270,'All Products'!D:D,'All Products'!P:P,FALSE)</f>
        <v>26.884999999999998</v>
      </c>
      <c r="V270" s="384">
        <f>_xlfn.XLOOKUP(E270,'All Products'!D:D,'All Products'!Q:Q,FALSE)</f>
        <v>3.6731726755225957</v>
      </c>
    </row>
    <row r="271" spans="1:22">
      <c r="A271" s="5" t="str">
        <f>IF(K271&gt;0,COUNT($A$8:A270)+1,"")</f>
        <v/>
      </c>
      <c r="B271" s="644"/>
      <c r="C271" s="645"/>
      <c r="D271" s="369" t="str">
        <f>_xlfn.XLOOKUP(E271,'All Products'!D:D,'All Products'!C:C,FALSE)</f>
        <v>602-3629</v>
      </c>
      <c r="E271" s="103">
        <v>300005692</v>
      </c>
      <c r="F271" s="376" t="str">
        <f>_xlfn.XLOOKUP(E271,'All Products'!D:D,'All Products'!E:E,FALSE)</f>
        <v>1-1/2 WYE STREET SXHXH DWV</v>
      </c>
      <c r="G271" s="232">
        <f>_xlfn.XLOOKUP(E271,'All Products'!D:D,'All Products'!F:F,FALSE)</f>
        <v>50</v>
      </c>
      <c r="H271" s="387">
        <f>_xlfn.XLOOKUP(E271,'All Products'!D:D,'All Products'!G:G,FALSE)</f>
        <v>1600</v>
      </c>
      <c r="I271" s="369" t="str">
        <f>_xlfn.XLOOKUP(E271,'All Products'!D:D,'All Products'!H:H,FALSE)</f>
        <v>Quote Required</v>
      </c>
      <c r="J271" s="183">
        <f>IFERROR(ROUNDUP(I271*Order_Quote!$L$2,2),0)</f>
        <v>0</v>
      </c>
      <c r="K271" s="118"/>
      <c r="L271" s="76"/>
      <c r="M271" s="104">
        <f t="shared" si="6"/>
        <v>0</v>
      </c>
      <c r="O271" s="379" t="str">
        <f>_xlfn.XLOOKUP(E271,'All Products'!D:D,'All Products'!I:I,FALSE)</f>
        <v>Within 3 Weeks</v>
      </c>
      <c r="P271" s="379" t="str">
        <f>_xlfn.XLOOKUP(E271,'All Products'!D:D,'All Products'!J:J,FALSE)</f>
        <v>Sourced</v>
      </c>
      <c r="Q271" s="397">
        <f>_xlfn.XLOOKUP(F271,'All Products'!E:E,'All Products'!K:K,FALSE)</f>
        <v>810673011568</v>
      </c>
      <c r="R271" s="397" t="str">
        <f>_xlfn.XLOOKUP(E271,'All Products'!D:D,'All Products'!L:L,FALSE)</f>
        <v>-</v>
      </c>
      <c r="S271" s="397" t="str">
        <f>_xlfn.XLOOKUP(E271,'All Products'!D:D,'All Products'!M:M,FALSE)</f>
        <v>-</v>
      </c>
      <c r="T271" s="384">
        <f>_xlfn.XLOOKUP(E271,'All Products'!D:D,'All Products'!N:N,FALSE)</f>
        <v>0.37</v>
      </c>
      <c r="U271" s="384">
        <f>_xlfn.XLOOKUP(E271,'All Products'!D:D,'All Products'!P:P,FALSE)</f>
        <v>18.5</v>
      </c>
      <c r="V271" s="384" t="str">
        <f>_xlfn.XLOOKUP(E271,'All Products'!D:D,'All Products'!Q:Q,FALSE)</f>
        <v>-</v>
      </c>
    </row>
    <row r="272" spans="1:22">
      <c r="A272" s="5" t="str">
        <f>IF(K272&gt;0,COUNT($A$8:A271)+1,"")</f>
        <v/>
      </c>
      <c r="B272" s="646"/>
      <c r="C272" s="647"/>
      <c r="D272" s="369" t="str">
        <f>_xlfn.XLOOKUP(E272,'All Products'!D:D,'All Products'!C:C,FALSE)</f>
        <v>602-3630</v>
      </c>
      <c r="E272" s="103">
        <v>300005693</v>
      </c>
      <c r="F272" s="376" t="str">
        <f>_xlfn.XLOOKUP(E272,'All Products'!D:D,'All Products'!E:E,FALSE)</f>
        <v>2 WYE STREET SXHXH DWV</v>
      </c>
      <c r="G272" s="232">
        <f>_xlfn.XLOOKUP(E272,'All Products'!D:D,'All Products'!F:F,FALSE)</f>
        <v>30</v>
      </c>
      <c r="H272" s="387">
        <f>_xlfn.XLOOKUP(E272,'All Products'!D:D,'All Products'!G:G,FALSE)</f>
        <v>720</v>
      </c>
      <c r="I272" s="369" t="str">
        <f>_xlfn.XLOOKUP(E272,'All Products'!D:D,'All Products'!H:H,FALSE)</f>
        <v>Quote Required</v>
      </c>
      <c r="J272" s="183">
        <f>IFERROR(ROUNDUP(I272*Order_Quote!$L$2,2),0)</f>
        <v>0</v>
      </c>
      <c r="K272" s="118"/>
      <c r="L272" s="76"/>
      <c r="M272" s="104">
        <f t="shared" si="6"/>
        <v>0</v>
      </c>
      <c r="O272" s="379" t="str">
        <f>_xlfn.XLOOKUP(E272,'All Products'!D:D,'All Products'!I:I,FALSE)</f>
        <v>Within 6 Weeks</v>
      </c>
      <c r="P272" s="379" t="str">
        <f>_xlfn.XLOOKUP(E272,'All Products'!D:D,'All Products'!J:J,FALSE)</f>
        <v>Sourced</v>
      </c>
      <c r="Q272" s="397">
        <f>_xlfn.XLOOKUP(F272,'All Products'!E:E,'All Products'!K:K,FALSE)</f>
        <v>810673011575</v>
      </c>
      <c r="R272" s="397" t="str">
        <f>_xlfn.XLOOKUP(E272,'All Products'!D:D,'All Products'!L:L,FALSE)</f>
        <v>-</v>
      </c>
      <c r="S272" s="397" t="str">
        <f>_xlfn.XLOOKUP(E272,'All Products'!D:D,'All Products'!M:M,FALSE)</f>
        <v>-</v>
      </c>
      <c r="T272" s="384">
        <f>_xlfn.XLOOKUP(E272,'All Products'!D:D,'All Products'!N:N,FALSE)</f>
        <v>0.56000000000000005</v>
      </c>
      <c r="U272" s="384">
        <f>_xlfn.XLOOKUP(E272,'All Products'!D:D,'All Products'!P:P,FALSE)</f>
        <v>16.8</v>
      </c>
      <c r="V272" s="384" t="str">
        <f>_xlfn.XLOOKUP(E272,'All Products'!D:D,'All Products'!Q:Q,FALSE)</f>
        <v>-</v>
      </c>
    </row>
    <row r="273" spans="1:22">
      <c r="A273" s="5" t="str">
        <f>IF(K273&gt;0,COUNT($A$8:A272)+1,"")</f>
        <v/>
      </c>
      <c r="B273" s="646"/>
      <c r="C273" s="647"/>
      <c r="D273" s="369" t="str">
        <f>_xlfn.XLOOKUP(E273,'All Products'!D:D,'All Products'!C:C,FALSE)</f>
        <v>602-3631</v>
      </c>
      <c r="E273" s="103">
        <v>300005694</v>
      </c>
      <c r="F273" s="376" t="str">
        <f>_xlfn.XLOOKUP(E273,'All Products'!D:D,'All Products'!E:E,FALSE)</f>
        <v>3 WYE STREET SXHXH DWV</v>
      </c>
      <c r="G273" s="232">
        <f>_xlfn.XLOOKUP(E273,'All Products'!D:D,'All Products'!F:F,FALSE)</f>
        <v>10</v>
      </c>
      <c r="H273" s="387">
        <f>_xlfn.XLOOKUP(E273,'All Products'!D:D,'All Products'!G:G,FALSE)</f>
        <v>320</v>
      </c>
      <c r="I273" s="369" t="str">
        <f>_xlfn.XLOOKUP(E273,'All Products'!D:D,'All Products'!H:H,FALSE)</f>
        <v>Quote Required</v>
      </c>
      <c r="J273" s="183">
        <f>IFERROR(ROUNDUP(I273*Order_Quote!$L$2,2),0)</f>
        <v>0</v>
      </c>
      <c r="K273" s="118"/>
      <c r="L273" s="76"/>
      <c r="M273" s="104">
        <f t="shared" si="6"/>
        <v>0</v>
      </c>
      <c r="O273" s="379" t="str">
        <f>_xlfn.XLOOKUP(E273,'All Products'!D:D,'All Products'!I:I,FALSE)</f>
        <v>Within 6 Weeks</v>
      </c>
      <c r="P273" s="379" t="str">
        <f>_xlfn.XLOOKUP(E273,'All Products'!D:D,'All Products'!J:J,FALSE)</f>
        <v>Sourced</v>
      </c>
      <c r="Q273" s="397">
        <f>_xlfn.XLOOKUP(F273,'All Products'!E:E,'All Products'!K:K,FALSE)</f>
        <v>810673011582</v>
      </c>
      <c r="R273" s="397" t="str">
        <f>_xlfn.XLOOKUP(E273,'All Products'!D:D,'All Products'!L:L,FALSE)</f>
        <v>-</v>
      </c>
      <c r="S273" s="397" t="str">
        <f>_xlfn.XLOOKUP(E273,'All Products'!D:D,'All Products'!M:M,FALSE)</f>
        <v>-</v>
      </c>
      <c r="T273" s="384">
        <f>_xlfn.XLOOKUP(E273,'All Products'!D:D,'All Products'!N:N,FALSE)</f>
        <v>1.66</v>
      </c>
      <c r="U273" s="384">
        <f>_xlfn.XLOOKUP(E273,'All Products'!D:D,'All Products'!P:P,FALSE)</f>
        <v>16.599999999999998</v>
      </c>
      <c r="V273" s="384" t="str">
        <f>_xlfn.XLOOKUP(E273,'All Products'!D:D,'All Products'!Q:Q,FALSE)</f>
        <v>-</v>
      </c>
    </row>
    <row r="274" spans="1:22">
      <c r="A274" s="5" t="str">
        <f>IF(K274&gt;0,COUNT($A$8:A273)+1,"")</f>
        <v/>
      </c>
      <c r="B274" s="652"/>
      <c r="C274" s="653"/>
      <c r="D274" s="369" t="str">
        <f>_xlfn.XLOOKUP(E274,'All Products'!D:D,'All Products'!C:C,FALSE)</f>
        <v>602-3632</v>
      </c>
      <c r="E274" s="103">
        <v>100029095</v>
      </c>
      <c r="F274" s="376" t="str">
        <f>_xlfn.XLOOKUP(E274,'All Products'!D:D,'All Products'!E:E,FALSE)</f>
        <v>4 WYE STREET SXHXH DWV</v>
      </c>
      <c r="G274" s="232">
        <f>_xlfn.XLOOKUP(E274,'All Products'!D:D,'All Products'!F:F,FALSE)</f>
        <v>10</v>
      </c>
      <c r="H274" s="387">
        <f>_xlfn.XLOOKUP(E274,'All Products'!D:D,'All Products'!G:G,FALSE)</f>
        <v>120</v>
      </c>
      <c r="I274" s="369">
        <f>_xlfn.XLOOKUP(E274,'All Products'!D:D,'All Products'!H:H,FALSE)</f>
        <v>742.65</v>
      </c>
      <c r="J274" s="183">
        <f>IFERROR(ROUNDUP(I274*Order_Quote!$L$2,2),0)</f>
        <v>742.65</v>
      </c>
      <c r="K274" s="118"/>
      <c r="L274" s="76"/>
      <c r="M274" s="104">
        <f t="shared" si="6"/>
        <v>0</v>
      </c>
      <c r="O274" s="379" t="str">
        <f>_xlfn.XLOOKUP(E274,'All Products'!D:D,'All Products'!I:I,FALSE)</f>
        <v>In Stock</v>
      </c>
      <c r="P274" s="379" t="str">
        <f>_xlfn.XLOOKUP(E274,'All Products'!D:D,'All Products'!J:J,FALSE)</f>
        <v>Manufactured</v>
      </c>
      <c r="Q274" s="397">
        <f>_xlfn.XLOOKUP(F274,'All Products'!E:E,'All Products'!K:K,FALSE)</f>
        <v>810673013753</v>
      </c>
      <c r="R274" s="397" t="str">
        <f>_xlfn.XLOOKUP(E274,'All Products'!D:D,'All Products'!L:L,FALSE)</f>
        <v>-</v>
      </c>
      <c r="S274" s="397">
        <f>_xlfn.XLOOKUP(E274,'All Products'!D:D,'All Products'!M:M,FALSE)</f>
        <v>810673011599</v>
      </c>
      <c r="T274" s="384">
        <f>_xlfn.XLOOKUP(E274,'All Products'!D:D,'All Products'!N:N,FALSE)</f>
        <v>3.3959999999999999</v>
      </c>
      <c r="U274" s="384">
        <f>_xlfn.XLOOKUP(E274,'All Products'!D:D,'All Products'!P:P,FALSE)</f>
        <v>33.96</v>
      </c>
      <c r="V274" s="384">
        <f>_xlfn.XLOOKUP(E274,'All Products'!D:D,'All Products'!Q:Q,FALSE)</f>
        <v>3.6731726755225957</v>
      </c>
    </row>
    <row r="275" spans="1:22">
      <c r="A275" s="5" t="str">
        <f>IF(K275&gt;0,COUNT($A$8:A274)+1,"")</f>
        <v/>
      </c>
      <c r="B275" s="644"/>
      <c r="C275" s="645"/>
      <c r="D275" s="369" t="str">
        <f>_xlfn.XLOOKUP(E275,'All Products'!D:D,'All Products'!C:C,FALSE)</f>
        <v>603-3633</v>
      </c>
      <c r="E275" s="103">
        <v>300005695</v>
      </c>
      <c r="F275" s="376" t="str">
        <f>_xlfn.XLOOKUP(E275,'All Products'!D:D,'All Products'!E:E,FALSE)</f>
        <v>3X3X1-1/2 WYE RED STREET SXHXH DWV</v>
      </c>
      <c r="G275" s="232">
        <f>_xlfn.XLOOKUP(E275,'All Products'!D:D,'All Products'!F:F,FALSE)</f>
        <v>20</v>
      </c>
      <c r="H275" s="387">
        <f>_xlfn.XLOOKUP(E275,'All Products'!D:D,'All Products'!G:G,FALSE)</f>
        <v>480</v>
      </c>
      <c r="I275" s="369" t="str">
        <f>_xlfn.XLOOKUP(E275,'All Products'!D:D,'All Products'!H:H,FALSE)</f>
        <v>Quote Required</v>
      </c>
      <c r="J275" s="183">
        <f>IFERROR(ROUNDUP(I275*Order_Quote!$L$2,2),0)</f>
        <v>0</v>
      </c>
      <c r="K275" s="118"/>
      <c r="L275" s="76"/>
      <c r="M275" s="104">
        <f t="shared" si="6"/>
        <v>0</v>
      </c>
      <c r="O275" s="379" t="str">
        <f>_xlfn.XLOOKUP(E275,'All Products'!D:D,'All Products'!I:I,FALSE)</f>
        <v>Within 6 Weeks</v>
      </c>
      <c r="P275" s="379" t="str">
        <f>_xlfn.XLOOKUP(E275,'All Products'!D:D,'All Products'!J:J,FALSE)</f>
        <v>Sourced</v>
      </c>
      <c r="Q275" s="397">
        <f>_xlfn.XLOOKUP(F275,'All Products'!E:E,'All Products'!K:K,FALSE)</f>
        <v>812361017920</v>
      </c>
      <c r="R275" s="397" t="str">
        <f>_xlfn.XLOOKUP(E275,'All Products'!D:D,'All Products'!L:L,FALSE)</f>
        <v>-</v>
      </c>
      <c r="S275" s="397" t="str">
        <f>_xlfn.XLOOKUP(E275,'All Products'!D:D,'All Products'!M:M,FALSE)</f>
        <v>-</v>
      </c>
      <c r="T275" s="384">
        <f>_xlfn.XLOOKUP(E275,'All Products'!D:D,'All Products'!N:N,FALSE)</f>
        <v>1.0509999999999999</v>
      </c>
      <c r="U275" s="384">
        <f>_xlfn.XLOOKUP(E275,'All Products'!D:D,'All Products'!P:P,FALSE)</f>
        <v>21.02</v>
      </c>
      <c r="V275" s="384" t="str">
        <f>_xlfn.XLOOKUP(E275,'All Products'!D:D,'All Products'!Q:Q,FALSE)</f>
        <v>-</v>
      </c>
    </row>
    <row r="276" spans="1:22">
      <c r="A276" s="5" t="str">
        <f>IF(K276&gt;0,COUNT($A$8:A275)+1,"")</f>
        <v/>
      </c>
      <c r="B276" s="646"/>
      <c r="C276" s="647"/>
      <c r="D276" s="369" t="str">
        <f>_xlfn.XLOOKUP(E276,'All Products'!D:D,'All Products'!C:C,FALSE)</f>
        <v>603-3635</v>
      </c>
      <c r="E276" s="103">
        <v>300005696</v>
      </c>
      <c r="F276" s="376" t="str">
        <f>_xlfn.XLOOKUP(E276,'All Products'!D:D,'All Products'!E:E,FALSE)</f>
        <v>4X4X2 WYE RED STREET SXHXH DWV</v>
      </c>
      <c r="G276" s="232">
        <f>_xlfn.XLOOKUP(E276,'All Products'!D:D,'All Products'!F:F,FALSE)</f>
        <v>10</v>
      </c>
      <c r="H276" s="387">
        <f>_xlfn.XLOOKUP(E276,'All Products'!D:D,'All Products'!G:G,FALSE)</f>
        <v>240</v>
      </c>
      <c r="I276" s="369" t="str">
        <f>_xlfn.XLOOKUP(E276,'All Products'!D:D,'All Products'!H:H,FALSE)</f>
        <v>Quote Required</v>
      </c>
      <c r="J276" s="183">
        <f>IFERROR(ROUNDUP(I276*Order_Quote!$L$2,2),0)</f>
        <v>0</v>
      </c>
      <c r="K276" s="120"/>
      <c r="L276" s="76"/>
      <c r="M276" s="104">
        <f t="shared" si="6"/>
        <v>0</v>
      </c>
      <c r="O276" s="379" t="str">
        <f>_xlfn.XLOOKUP(E276,'All Products'!D:D,'All Products'!I:I,FALSE)</f>
        <v>Within 3 Weeks</v>
      </c>
      <c r="P276" s="379" t="str">
        <f>_xlfn.XLOOKUP(E276,'All Products'!D:D,'All Products'!J:J,FALSE)</f>
        <v>Sourced</v>
      </c>
      <c r="Q276" s="397">
        <f>_xlfn.XLOOKUP(F276,'All Products'!E:E,'All Products'!K:K,FALSE)</f>
        <v>810673015917</v>
      </c>
      <c r="R276" s="397" t="str">
        <f>_xlfn.XLOOKUP(E276,'All Products'!D:D,'All Products'!L:L,FALSE)</f>
        <v>-</v>
      </c>
      <c r="S276" s="397" t="str">
        <f>_xlfn.XLOOKUP(E276,'All Products'!D:D,'All Products'!M:M,FALSE)</f>
        <v>-</v>
      </c>
      <c r="T276" s="384">
        <f>_xlfn.XLOOKUP(E276,'All Products'!D:D,'All Products'!N:N,FALSE)</f>
        <v>1.7809999999999999</v>
      </c>
      <c r="U276" s="384">
        <f>_xlfn.XLOOKUP(E276,'All Products'!D:D,'All Products'!P:P,FALSE)</f>
        <v>17.809999999999999</v>
      </c>
      <c r="V276" s="384" t="str">
        <f>_xlfn.XLOOKUP(E276,'All Products'!D:D,'All Products'!Q:Q,FALSE)</f>
        <v>-</v>
      </c>
    </row>
    <row r="277" spans="1:22" ht="15" thickBot="1">
      <c r="A277" s="5" t="str">
        <f>IF(K277&gt;0,COUNT($A$8:A276)+1,"")</f>
        <v/>
      </c>
      <c r="B277" s="666"/>
      <c r="C277" s="667"/>
      <c r="D277" s="369" t="str">
        <f>_xlfn.XLOOKUP(E277,'All Products'!D:D,'All Products'!C:C,FALSE)</f>
        <v>603-3636</v>
      </c>
      <c r="E277" s="103">
        <v>300005697</v>
      </c>
      <c r="F277" s="376" t="str">
        <f>_xlfn.XLOOKUP(E277,'All Products'!D:D,'All Products'!E:E,FALSE)</f>
        <v>4X4X3 WYE RED STREET SXHXH DWV</v>
      </c>
      <c r="G277" s="232">
        <f>_xlfn.XLOOKUP(E277,'All Products'!D:D,'All Products'!F:F,FALSE)</f>
        <v>10</v>
      </c>
      <c r="H277" s="387">
        <f>_xlfn.XLOOKUP(E277,'All Products'!D:D,'All Products'!G:G,FALSE)</f>
        <v>80</v>
      </c>
      <c r="I277" s="369" t="str">
        <f>_xlfn.XLOOKUP(E277,'All Products'!D:D,'All Products'!H:H,FALSE)</f>
        <v>Quote Required</v>
      </c>
      <c r="J277" s="183">
        <f>IFERROR(ROUNDUP(I277*Order_Quote!$L$2,2),0)</f>
        <v>0</v>
      </c>
      <c r="K277" s="121"/>
      <c r="L277" s="76"/>
      <c r="M277" s="104">
        <f t="shared" si="6"/>
        <v>0</v>
      </c>
      <c r="O277" s="379" t="str">
        <f>_xlfn.XLOOKUP(E277,'All Products'!D:D,'All Products'!I:I,FALSE)</f>
        <v>Within 6 Weeks</v>
      </c>
      <c r="P277" s="379" t="str">
        <f>_xlfn.XLOOKUP(E277,'All Products'!D:D,'All Products'!J:J,FALSE)</f>
        <v>Sourced</v>
      </c>
      <c r="Q277" s="504">
        <f>_xlfn.XLOOKUP(F277,'All Products'!E:E,'All Products'!K:K,FALSE)</f>
        <v>810673015931</v>
      </c>
      <c r="R277" s="397" t="str">
        <f>_xlfn.XLOOKUP(E277,'All Products'!D:D,'All Products'!L:L,FALSE)</f>
        <v>-</v>
      </c>
      <c r="S277" s="397" t="str">
        <f>_xlfn.XLOOKUP(E277,'All Products'!D:D,'All Products'!M:M,FALSE)</f>
        <v>-</v>
      </c>
      <c r="T277" s="384">
        <f>_xlfn.XLOOKUP(E277,'All Products'!D:D,'All Products'!N:N,FALSE)</f>
        <v>2.4630000000000001</v>
      </c>
      <c r="U277" s="384">
        <f>_xlfn.XLOOKUP(E277,'All Products'!D:D,'All Products'!P:P,FALSE)</f>
        <v>24.630000000000003</v>
      </c>
      <c r="V277" s="384" t="str">
        <f>_xlfn.XLOOKUP(E277,'All Products'!D:D,'All Products'!Q:Q,FALSE)</f>
        <v>-</v>
      </c>
    </row>
    <row r="278" spans="1:22" s="17" customFormat="1" ht="16.2" thickBot="1">
      <c r="A278" s="5" t="str">
        <f>IF(K278&gt;0,COUNT($A$8:A277)+1,"")</f>
        <v/>
      </c>
      <c r="B278" s="446" t="s">
        <v>5817</v>
      </c>
      <c r="C278" s="151"/>
      <c r="D278" s="151"/>
      <c r="E278" s="459"/>
      <c r="F278" s="151"/>
      <c r="G278" s="468"/>
      <c r="H278" s="151"/>
      <c r="I278" s="472"/>
      <c r="J278" s="468"/>
      <c r="K278" s="477"/>
      <c r="L278" s="238"/>
      <c r="M278" s="476"/>
      <c r="O278" s="475"/>
      <c r="P278" s="145"/>
      <c r="Q278" s="492"/>
      <c r="R278" s="493"/>
      <c r="S278" s="493"/>
      <c r="T278" s="479"/>
      <c r="U278" s="459"/>
      <c r="V278" s="489"/>
    </row>
    <row r="279" spans="1:22">
      <c r="A279" s="5" t="str">
        <f>IF(K279&gt;0,COUNT($A$8:A278)+1,"")</f>
        <v/>
      </c>
      <c r="B279" s="664"/>
      <c r="C279" s="665"/>
      <c r="D279" s="369" t="str">
        <f>_xlfn.XLOOKUP(E279,'All Products'!D:D,'All Products'!C:C,FALSE)</f>
        <v>611-3637</v>
      </c>
      <c r="E279" s="103">
        <v>100029099</v>
      </c>
      <c r="F279" s="376" t="str">
        <f>_xlfn.XLOOKUP(E279,'All Products'!D:D,'All Products'!E:E,FALSE)</f>
        <v>1-1/2 DOUBLE WYE DWV</v>
      </c>
      <c r="G279" s="232">
        <f>_xlfn.XLOOKUP(E279,'All Products'!D:D,'All Products'!F:F,FALSE)</f>
        <v>25</v>
      </c>
      <c r="H279" s="387">
        <f>_xlfn.XLOOKUP(E279,'All Products'!D:D,'All Products'!G:G,FALSE)</f>
        <v>1280</v>
      </c>
      <c r="I279" s="369">
        <f>_xlfn.XLOOKUP(E279,'All Products'!D:D,'All Products'!H:H,FALSE)</f>
        <v>210.98</v>
      </c>
      <c r="J279" s="183">
        <f>IFERROR(ROUNDUP(I279*Order_Quote!$L$2,2),0)</f>
        <v>210.98</v>
      </c>
      <c r="K279" s="118"/>
      <c r="L279" s="76"/>
      <c r="M279" s="104">
        <f t="shared" si="6"/>
        <v>0</v>
      </c>
      <c r="O279" s="379" t="str">
        <f>_xlfn.XLOOKUP(E279,'All Products'!D:D,'All Products'!I:I,FALSE)</f>
        <v>Within 3 Weeks</v>
      </c>
      <c r="P279" s="379" t="str">
        <f>_xlfn.XLOOKUP(E279,'All Products'!D:D,'All Products'!J:J,FALSE)</f>
        <v>Manufactured</v>
      </c>
      <c r="Q279" s="397">
        <f>_xlfn.XLOOKUP(F279,'All Products'!E:E,'All Products'!K:K,FALSE)</f>
        <v>810673015443</v>
      </c>
      <c r="R279" s="397" t="str">
        <f>_xlfn.XLOOKUP(E279,'All Products'!D:D,'All Products'!L:L,FALSE)</f>
        <v>-</v>
      </c>
      <c r="S279" s="397">
        <f>_xlfn.XLOOKUP(E279,'All Products'!D:D,'All Products'!M:M,FALSE)</f>
        <v>10810673015440</v>
      </c>
      <c r="T279" s="384">
        <f>_xlfn.XLOOKUP(E279,'All Products'!D:D,'All Products'!N:N,FALSE)</f>
        <v>0.56000000000000005</v>
      </c>
      <c r="U279" s="384">
        <f>_xlfn.XLOOKUP(E279,'All Products'!D:D,'All Products'!P:P,FALSE)</f>
        <v>14.000000000000002</v>
      </c>
      <c r="V279" s="384">
        <f>_xlfn.XLOOKUP(E279,'All Products'!D:D,'All Products'!Q:Q,FALSE)</f>
        <v>1.3788503419060438</v>
      </c>
    </row>
    <row r="280" spans="1:22">
      <c r="A280" s="5" t="str">
        <f>IF(K280&gt;0,COUNT($A$8:A279)+1,"")</f>
        <v/>
      </c>
      <c r="B280" s="646"/>
      <c r="C280" s="647"/>
      <c r="D280" s="369" t="str">
        <f>_xlfn.XLOOKUP(E280,'All Products'!D:D,'All Products'!C:C,FALSE)</f>
        <v>611-3638</v>
      </c>
      <c r="E280" s="103">
        <v>300005698</v>
      </c>
      <c r="F280" s="376" t="str">
        <f>_xlfn.XLOOKUP(E280,'All Products'!D:D,'All Products'!E:E,FALSE)</f>
        <v>2 DOUBLE WYE DWV</v>
      </c>
      <c r="G280" s="232">
        <f>_xlfn.XLOOKUP(E280,'All Products'!D:D,'All Products'!F:F,FALSE)</f>
        <v>20</v>
      </c>
      <c r="H280" s="387">
        <f>_xlfn.XLOOKUP(E280,'All Products'!D:D,'All Products'!G:G,FALSE)</f>
        <v>600</v>
      </c>
      <c r="I280" s="369" t="str">
        <f>_xlfn.XLOOKUP(E280,'All Products'!D:D,'All Products'!H:H,FALSE)</f>
        <v>Quote Required</v>
      </c>
      <c r="J280" s="183">
        <f>IFERROR(ROUNDUP(I280*Order_Quote!$L$2,2),0)</f>
        <v>0</v>
      </c>
      <c r="K280" s="118"/>
      <c r="L280" s="76"/>
      <c r="M280" s="104">
        <f t="shared" si="6"/>
        <v>0</v>
      </c>
      <c r="O280" s="379" t="str">
        <f>_xlfn.XLOOKUP(E280,'All Products'!D:D,'All Products'!I:I,FALSE)</f>
        <v>Within 6 Weeks</v>
      </c>
      <c r="P280" s="379" t="str">
        <f>_xlfn.XLOOKUP(E280,'All Products'!D:D,'All Products'!J:J,FALSE)</f>
        <v>Sourced</v>
      </c>
      <c r="Q280" s="397">
        <f>_xlfn.XLOOKUP(F280,'All Products'!E:E,'All Products'!K:K,FALSE)</f>
        <v>812361013243</v>
      </c>
      <c r="R280" s="397" t="str">
        <f>_xlfn.XLOOKUP(E280,'All Products'!D:D,'All Products'!L:L,FALSE)</f>
        <v>-</v>
      </c>
      <c r="S280" s="397">
        <f>_xlfn.XLOOKUP(E280,'All Products'!D:D,'All Products'!M:M,FALSE)</f>
        <v>10812361013240</v>
      </c>
      <c r="T280" s="384">
        <f>_xlfn.XLOOKUP(E280,'All Products'!D:D,'All Products'!N:N,FALSE)</f>
        <v>0.81100000000000005</v>
      </c>
      <c r="U280" s="384">
        <f>_xlfn.XLOOKUP(E280,'All Products'!D:D,'All Products'!P:P,FALSE)</f>
        <v>16.220000000000002</v>
      </c>
      <c r="V280" s="384" t="str">
        <f>_xlfn.XLOOKUP(E280,'All Products'!D:D,'All Products'!Q:Q,FALSE)</f>
        <v>-</v>
      </c>
    </row>
    <row r="281" spans="1:22">
      <c r="A281" s="5" t="str">
        <f>IF(K281&gt;0,COUNT($A$8:A280)+1,"")</f>
        <v/>
      </c>
      <c r="B281" s="646"/>
      <c r="C281" s="647"/>
      <c r="D281" s="369" t="str">
        <f>_xlfn.XLOOKUP(E281,'All Products'!D:D,'All Products'!C:C,FALSE)</f>
        <v>611-3639</v>
      </c>
      <c r="E281" s="103">
        <v>100029101</v>
      </c>
      <c r="F281" s="376" t="str">
        <f>_xlfn.XLOOKUP(E281,'All Products'!D:D,'All Products'!E:E,FALSE)</f>
        <v>3 DOUBLE WYE DWV</v>
      </c>
      <c r="G281" s="232">
        <f>_xlfn.XLOOKUP(E281,'All Products'!D:D,'All Products'!F:F,FALSE)</f>
        <v>10</v>
      </c>
      <c r="H281" s="387">
        <f>_xlfn.XLOOKUP(E281,'All Products'!D:D,'All Products'!G:G,FALSE)</f>
        <v>120</v>
      </c>
      <c r="I281" s="369">
        <f>_xlfn.XLOOKUP(E281,'All Products'!D:D,'All Products'!H:H,FALSE)</f>
        <v>489.62</v>
      </c>
      <c r="J281" s="183">
        <f>IFERROR(ROUNDUP(I281*Order_Quote!$L$2,2),0)</f>
        <v>489.62</v>
      </c>
      <c r="K281" s="118"/>
      <c r="L281" s="76"/>
      <c r="M281" s="104">
        <f t="shared" si="6"/>
        <v>0</v>
      </c>
      <c r="O281" s="379" t="str">
        <f>_xlfn.XLOOKUP(E281,'All Products'!D:D,'All Products'!I:I,FALSE)</f>
        <v>In Stock</v>
      </c>
      <c r="P281" s="379" t="str">
        <f>_xlfn.XLOOKUP(E281,'All Products'!D:D,'All Products'!J:J,FALSE)</f>
        <v>Manufactured</v>
      </c>
      <c r="Q281" s="397">
        <f>_xlfn.XLOOKUP(F281,'All Products'!E:E,'All Products'!K:K,FALSE)</f>
        <v>812361013267</v>
      </c>
      <c r="R281" s="397" t="str">
        <f>_xlfn.XLOOKUP(E281,'All Products'!D:D,'All Products'!L:L,FALSE)</f>
        <v>-</v>
      </c>
      <c r="S281" s="397">
        <f>_xlfn.XLOOKUP(E281,'All Products'!D:D,'All Products'!M:M,FALSE)</f>
        <v>810116840052</v>
      </c>
      <c r="T281" s="384">
        <f>_xlfn.XLOOKUP(E281,'All Products'!D:D,'All Products'!N:N,FALSE)</f>
        <v>2.4409999999999998</v>
      </c>
      <c r="U281" s="384">
        <f>_xlfn.XLOOKUP(E281,'All Products'!D:D,'All Products'!P:P,FALSE)</f>
        <v>24.409999999999997</v>
      </c>
      <c r="V281" s="384">
        <f>_xlfn.XLOOKUP(E281,'All Products'!D:D,'All Products'!Q:Q,FALSE)</f>
        <v>3.6731726755225957</v>
      </c>
    </row>
    <row r="282" spans="1:22">
      <c r="A282" s="5" t="str">
        <f>IF(K282&gt;0,COUNT($A$8:A281)+1,"")</f>
        <v/>
      </c>
      <c r="B282" s="646"/>
      <c r="C282" s="647"/>
      <c r="D282" s="369" t="str">
        <f>_xlfn.XLOOKUP(E282,'All Products'!D:D,'All Products'!C:C,FALSE)</f>
        <v>611-3640</v>
      </c>
      <c r="E282" s="103">
        <v>100029102</v>
      </c>
      <c r="F282" s="376" t="str">
        <f>_xlfn.XLOOKUP(E282,'All Products'!D:D,'All Products'!E:E,FALSE)</f>
        <v>4 DOUBLE WYE DWV</v>
      </c>
      <c r="G282" s="232">
        <f>_xlfn.XLOOKUP(E282,'All Products'!D:D,'All Products'!F:F,FALSE)</f>
        <v>5</v>
      </c>
      <c r="H282" s="387">
        <f>_xlfn.XLOOKUP(E282,'All Products'!D:D,'All Products'!G:G,FALSE)</f>
        <v>70</v>
      </c>
      <c r="I282" s="369">
        <f>_xlfn.XLOOKUP(E282,'All Products'!D:D,'All Products'!H:H,FALSE)</f>
        <v>1055.22</v>
      </c>
      <c r="J282" s="183">
        <f>IFERROR(ROUNDUP(I282*Order_Quote!$L$2,2),0)</f>
        <v>1055.22</v>
      </c>
      <c r="K282" s="118"/>
      <c r="L282" s="76"/>
      <c r="M282" s="104">
        <f t="shared" si="6"/>
        <v>0</v>
      </c>
      <c r="O282" s="379" t="str">
        <f>_xlfn.XLOOKUP(E282,'All Products'!D:D,'All Products'!I:I,FALSE)</f>
        <v>In Stock</v>
      </c>
      <c r="P282" s="379" t="str">
        <f>_xlfn.XLOOKUP(E282,'All Products'!D:D,'All Products'!J:J,FALSE)</f>
        <v>Manufactured</v>
      </c>
      <c r="Q282" s="397">
        <f>_xlfn.XLOOKUP(F282,'All Products'!E:E,'All Products'!K:K,FALSE)</f>
        <v>812361013090</v>
      </c>
      <c r="R282" s="397" t="str">
        <f>_xlfn.XLOOKUP(E282,'All Products'!D:D,'All Products'!L:L,FALSE)</f>
        <v>-</v>
      </c>
      <c r="S282" s="397">
        <f>_xlfn.XLOOKUP(E282,'All Products'!D:D,'All Products'!M:M,FALSE)</f>
        <v>10812361013097</v>
      </c>
      <c r="T282" s="384">
        <f>_xlfn.XLOOKUP(E282,'All Products'!D:D,'All Products'!N:N,FALSE)</f>
        <v>4.4690000000000003</v>
      </c>
      <c r="U282" s="384">
        <f>_xlfn.XLOOKUP(E282,'All Products'!D:D,'All Products'!P:P,FALSE)</f>
        <v>22.345000000000002</v>
      </c>
      <c r="V282" s="384">
        <f>_xlfn.XLOOKUP(E282,'All Products'!D:D,'All Products'!Q:Q,FALSE)</f>
        <v>3.6731726755225957</v>
      </c>
    </row>
    <row r="283" spans="1:22">
      <c r="A283" s="5" t="str">
        <f>IF(K283&gt;0,COUNT($A$8:A282)+1,"")</f>
        <v/>
      </c>
      <c r="B283" s="652"/>
      <c r="C283" s="653"/>
      <c r="D283" s="369" t="str">
        <f>_xlfn.XLOOKUP(E283,'All Products'!D:D,'All Products'!C:C,FALSE)</f>
        <v>611-3641</v>
      </c>
      <c r="E283" s="103">
        <v>300005699</v>
      </c>
      <c r="F283" s="376" t="str">
        <f>_xlfn.XLOOKUP(E283,'All Products'!D:D,'All Products'!E:E,FALSE)</f>
        <v>6 DOUBLE WYE DWV</v>
      </c>
      <c r="G283" s="232">
        <f>_xlfn.XLOOKUP(E283,'All Products'!D:D,'All Products'!F:F,FALSE)</f>
        <v>2</v>
      </c>
      <c r="H283" s="387">
        <f>_xlfn.XLOOKUP(E283,'All Products'!D:D,'All Products'!G:G,FALSE)</f>
        <v>16</v>
      </c>
      <c r="I283" s="369" t="str">
        <f>_xlfn.XLOOKUP(E283,'All Products'!D:D,'All Products'!H:H,FALSE)</f>
        <v>Quote Required</v>
      </c>
      <c r="J283" s="183">
        <f>IFERROR(ROUNDUP(I283*Order_Quote!$L$2,2),0)</f>
        <v>0</v>
      </c>
      <c r="K283" s="118"/>
      <c r="L283" s="76"/>
      <c r="M283" s="104">
        <f t="shared" si="6"/>
        <v>0</v>
      </c>
      <c r="O283" s="379" t="str">
        <f>_xlfn.XLOOKUP(E283,'All Products'!D:D,'All Products'!I:I,FALSE)</f>
        <v>Within 6 Weeks</v>
      </c>
      <c r="P283" s="379" t="str">
        <f>_xlfn.XLOOKUP(E283,'All Products'!D:D,'All Products'!J:J,FALSE)</f>
        <v>Sourced</v>
      </c>
      <c r="Q283" s="397">
        <f>_xlfn.XLOOKUP(F283,'All Products'!E:E,'All Products'!K:K,FALSE)</f>
        <v>810673015955</v>
      </c>
      <c r="R283" s="397" t="str">
        <f>_xlfn.XLOOKUP(E283,'All Products'!D:D,'All Products'!L:L,FALSE)</f>
        <v>-</v>
      </c>
      <c r="S283" s="397" t="str">
        <f>_xlfn.XLOOKUP(E283,'All Products'!D:D,'All Products'!M:M,FALSE)</f>
        <v>-</v>
      </c>
      <c r="T283" s="384">
        <f>_xlfn.XLOOKUP(E283,'All Products'!D:D,'All Products'!N:N,FALSE)</f>
        <v>9.9019999999999992</v>
      </c>
      <c r="U283" s="384">
        <f>_xlfn.XLOOKUP(E283,'All Products'!D:D,'All Products'!P:P,FALSE)</f>
        <v>19.803999999999998</v>
      </c>
      <c r="V283" s="384" t="str">
        <f>_xlfn.XLOOKUP(E283,'All Products'!D:D,'All Products'!Q:Q,FALSE)</f>
        <v>-</v>
      </c>
    </row>
    <row r="284" spans="1:22">
      <c r="A284" s="5" t="str">
        <f>IF(K284&gt;0,COUNT($A$8:A283)+1,"")</f>
        <v/>
      </c>
      <c r="B284" s="644"/>
      <c r="C284" s="645"/>
      <c r="D284" s="369" t="str">
        <f>_xlfn.XLOOKUP(E284,'All Products'!D:D,'All Products'!C:C,FALSE)</f>
        <v>612-0615</v>
      </c>
      <c r="E284" s="103">
        <v>300005700</v>
      </c>
      <c r="F284" s="376" t="str">
        <f>_xlfn.XLOOKUP(E284,'All Products'!D:D,'All Products'!E:E,FALSE)</f>
        <v>6X6X4X4 DOUBLE WYE DWV</v>
      </c>
      <c r="G284" s="232">
        <f>_xlfn.XLOOKUP(E284,'All Products'!D:D,'All Products'!F:F,FALSE)</f>
        <v>3</v>
      </c>
      <c r="H284" s="387">
        <f>_xlfn.XLOOKUP(E284,'All Products'!D:D,'All Products'!G:G,FALSE)</f>
        <v>35</v>
      </c>
      <c r="I284" s="369" t="str">
        <f>_xlfn.XLOOKUP(E284,'All Products'!D:D,'All Products'!H:H,FALSE)</f>
        <v>Quote Required</v>
      </c>
      <c r="J284" s="183">
        <f>IFERROR(ROUNDUP(I284*Order_Quote!$L$2,2),0)</f>
        <v>0</v>
      </c>
      <c r="K284" s="118"/>
      <c r="L284" s="76"/>
      <c r="M284" s="104">
        <f t="shared" si="6"/>
        <v>0</v>
      </c>
      <c r="O284" s="379" t="str">
        <f>_xlfn.XLOOKUP(E284,'All Products'!D:D,'All Products'!I:I,FALSE)</f>
        <v>Within 3 Weeks</v>
      </c>
      <c r="P284" s="379" t="str">
        <f>_xlfn.XLOOKUP(E284,'All Products'!D:D,'All Products'!J:J,FALSE)</f>
        <v>Sourced</v>
      </c>
      <c r="Q284" s="397">
        <f>_xlfn.XLOOKUP(F284,'All Products'!E:E,'All Products'!K:K,FALSE)</f>
        <v>812361018088</v>
      </c>
      <c r="R284" s="397" t="str">
        <f>_xlfn.XLOOKUP(E284,'All Products'!D:D,'All Products'!L:L,FALSE)</f>
        <v>-</v>
      </c>
      <c r="S284" s="397" t="str">
        <f>_xlfn.XLOOKUP(E284,'All Products'!D:D,'All Products'!M:M,FALSE)</f>
        <v>-</v>
      </c>
      <c r="T284" s="384">
        <f>_xlfn.XLOOKUP(E284,'All Products'!D:D,'All Products'!N:N,FALSE)</f>
        <v>5.16</v>
      </c>
      <c r="U284" s="384">
        <f>_xlfn.XLOOKUP(E284,'All Products'!D:D,'All Products'!P:P,FALSE)</f>
        <v>15.48</v>
      </c>
      <c r="V284" s="384" t="str">
        <f>_xlfn.XLOOKUP(E284,'All Products'!D:D,'All Products'!Q:Q,FALSE)</f>
        <v>-</v>
      </c>
    </row>
    <row r="285" spans="1:22">
      <c r="A285" s="5" t="str">
        <f>IF(K285&gt;0,COUNT($A$8:A284)+1,"")</f>
        <v/>
      </c>
      <c r="B285" s="646"/>
      <c r="C285" s="647"/>
      <c r="D285" s="369" t="str">
        <f>_xlfn.XLOOKUP(E285,'All Products'!D:D,'All Products'!C:C,FALSE)</f>
        <v>612-3643</v>
      </c>
      <c r="E285" s="103">
        <v>100029105</v>
      </c>
      <c r="F285" s="376" t="str">
        <f>_xlfn.XLOOKUP(E285,'All Products'!D:D,'All Products'!E:E,FALSE)</f>
        <v>2X2X1-1/2X1-1/2 DOUBLE WYE DWV</v>
      </c>
      <c r="G285" s="232">
        <f>_xlfn.XLOOKUP(E285,'All Products'!D:D,'All Products'!F:F,FALSE)</f>
        <v>10</v>
      </c>
      <c r="H285" s="387">
        <f>_xlfn.XLOOKUP(E285,'All Products'!D:D,'All Products'!G:G,FALSE)</f>
        <v>630</v>
      </c>
      <c r="I285" s="369">
        <f>_xlfn.XLOOKUP(E285,'All Products'!D:D,'All Products'!H:H,FALSE)</f>
        <v>227.94</v>
      </c>
      <c r="J285" s="183">
        <f>IFERROR(ROUNDUP(I285*Order_Quote!$L$2,2),0)</f>
        <v>227.94</v>
      </c>
      <c r="K285" s="118"/>
      <c r="L285" s="76"/>
      <c r="M285" s="104">
        <f t="shared" si="6"/>
        <v>0</v>
      </c>
      <c r="O285" s="379" t="str">
        <f>_xlfn.XLOOKUP(E285,'All Products'!D:D,'All Products'!I:I,FALSE)</f>
        <v>Within 3 Weeks</v>
      </c>
      <c r="P285" s="379" t="str">
        <f>_xlfn.XLOOKUP(E285,'All Products'!D:D,'All Products'!J:J,FALSE)</f>
        <v>Manufactured</v>
      </c>
      <c r="Q285" s="397">
        <f>_xlfn.XLOOKUP(F285,'All Products'!E:E,'All Products'!K:K,FALSE)</f>
        <v>810673015467</v>
      </c>
      <c r="R285" s="397" t="str">
        <f>_xlfn.XLOOKUP(E285,'All Products'!D:D,'All Products'!L:L,FALSE)</f>
        <v>-</v>
      </c>
      <c r="S285" s="397">
        <f>_xlfn.XLOOKUP(E285,'All Products'!D:D,'All Products'!M:M,FALSE)</f>
        <v>810673015474</v>
      </c>
      <c r="T285" s="384">
        <f>_xlfn.XLOOKUP(E285,'All Products'!D:D,'All Products'!N:N,FALSE)</f>
        <v>0.72899999999999998</v>
      </c>
      <c r="U285" s="384">
        <f>_xlfn.XLOOKUP(E285,'All Products'!D:D,'All Products'!P:P,FALSE)</f>
        <v>7.29</v>
      </c>
      <c r="V285" s="384">
        <f>_xlfn.XLOOKUP(E285,'All Products'!D:D,'All Products'!Q:Q,FALSE)</f>
        <v>0.66940792428507967</v>
      </c>
    </row>
    <row r="286" spans="1:22">
      <c r="A286" s="5" t="str">
        <f>IF(K286&gt;0,COUNT($A$8:A285)+1,"")</f>
        <v/>
      </c>
      <c r="B286" s="646"/>
      <c r="C286" s="647"/>
      <c r="D286" s="369" t="str">
        <f>_xlfn.XLOOKUP(E286,'All Products'!D:D,'All Products'!C:C,FALSE)</f>
        <v>612-3644</v>
      </c>
      <c r="E286" s="103">
        <v>300005701</v>
      </c>
      <c r="F286" s="376" t="str">
        <f>_xlfn.XLOOKUP(E286,'All Products'!D:D,'All Products'!E:E,FALSE)</f>
        <v>3X3X1-1/2X1-1/2 DOUBLE WYE DWV</v>
      </c>
      <c r="G286" s="232">
        <f>_xlfn.XLOOKUP(E286,'All Products'!D:D,'All Products'!F:F,FALSE)</f>
        <v>10</v>
      </c>
      <c r="H286" s="387">
        <f>_xlfn.XLOOKUP(E286,'All Products'!D:D,'All Products'!G:G,FALSE)</f>
        <v>300</v>
      </c>
      <c r="I286" s="369" t="str">
        <f>_xlfn.XLOOKUP(E286,'All Products'!D:D,'All Products'!H:H,FALSE)</f>
        <v>Quote Required</v>
      </c>
      <c r="J286" s="183">
        <f>IFERROR(ROUNDUP(I286*Order_Quote!$L$2,2),0)</f>
        <v>0</v>
      </c>
      <c r="K286" s="118"/>
      <c r="L286" s="76"/>
      <c r="M286" s="104">
        <f t="shared" si="6"/>
        <v>0</v>
      </c>
      <c r="O286" s="379" t="str">
        <f>_xlfn.XLOOKUP(E286,'All Products'!D:D,'All Products'!I:I,FALSE)</f>
        <v>Within 6 Weeks</v>
      </c>
      <c r="P286" s="379" t="str">
        <f>_xlfn.XLOOKUP(E286,'All Products'!D:D,'All Products'!J:J,FALSE)</f>
        <v>Sourced</v>
      </c>
      <c r="Q286" s="397">
        <f>_xlfn.XLOOKUP(F286,'All Products'!E:E,'All Products'!K:K,FALSE)</f>
        <v>812361013113</v>
      </c>
      <c r="R286" s="397" t="str">
        <f>_xlfn.XLOOKUP(E286,'All Products'!D:D,'All Products'!L:L,FALSE)</f>
        <v>-</v>
      </c>
      <c r="S286" s="397" t="str">
        <f>_xlfn.XLOOKUP(E286,'All Products'!D:D,'All Products'!M:M,FALSE)</f>
        <v>-</v>
      </c>
      <c r="T286" s="384">
        <f>_xlfn.XLOOKUP(E286,'All Products'!D:D,'All Products'!N:N,FALSE)</f>
        <v>1.19</v>
      </c>
      <c r="U286" s="384">
        <f>_xlfn.XLOOKUP(E286,'All Products'!D:D,'All Products'!P:P,FALSE)</f>
        <v>11.899999999999999</v>
      </c>
      <c r="V286" s="384" t="str">
        <f>_xlfn.XLOOKUP(E286,'All Products'!D:D,'All Products'!Q:Q,FALSE)</f>
        <v>-</v>
      </c>
    </row>
    <row r="287" spans="1:22">
      <c r="A287" s="5" t="str">
        <f>IF(K287&gt;0,COUNT($A$8:A286)+1,"")</f>
        <v/>
      </c>
      <c r="B287" s="646"/>
      <c r="C287" s="647"/>
      <c r="D287" s="369" t="str">
        <f>_xlfn.XLOOKUP(E287,'All Products'!D:D,'All Products'!C:C,FALSE)</f>
        <v>612-3645</v>
      </c>
      <c r="E287" s="103">
        <v>100029107</v>
      </c>
      <c r="F287" s="376" t="str">
        <f>_xlfn.XLOOKUP(E287,'All Products'!D:D,'All Products'!E:E,FALSE)</f>
        <v>3X3X2X2 DOUBLE WYE DWV</v>
      </c>
      <c r="G287" s="232">
        <f>_xlfn.XLOOKUP(E287,'All Products'!D:D,'All Products'!F:F,FALSE)</f>
        <v>10</v>
      </c>
      <c r="H287" s="387">
        <f>_xlfn.XLOOKUP(E287,'All Products'!D:D,'All Products'!G:G,FALSE)</f>
        <v>210</v>
      </c>
      <c r="I287" s="369">
        <f>_xlfn.XLOOKUP(E287,'All Products'!D:D,'All Products'!H:H,FALSE)</f>
        <v>364.92</v>
      </c>
      <c r="J287" s="183">
        <f>IFERROR(ROUNDUP(I287*Order_Quote!$L$2,2),0)</f>
        <v>364.92</v>
      </c>
      <c r="K287" s="118"/>
      <c r="L287" s="76"/>
      <c r="M287" s="104">
        <f t="shared" si="6"/>
        <v>0</v>
      </c>
      <c r="O287" s="379" t="str">
        <f>_xlfn.XLOOKUP(E287,'All Products'!D:D,'All Products'!I:I,FALSE)</f>
        <v>In Stock</v>
      </c>
      <c r="P287" s="379" t="str">
        <f>_xlfn.XLOOKUP(E287,'All Products'!D:D,'All Products'!J:J,FALSE)</f>
        <v>Manufactured</v>
      </c>
      <c r="Q287" s="397">
        <f>_xlfn.XLOOKUP(F287,'All Products'!E:E,'All Products'!K:K,FALSE)</f>
        <v>812361013137</v>
      </c>
      <c r="R287" s="397" t="str">
        <f>_xlfn.XLOOKUP(E287,'All Products'!D:D,'All Products'!L:L,FALSE)</f>
        <v>-</v>
      </c>
      <c r="S287" s="397">
        <f>_xlfn.XLOOKUP(E287,'All Products'!D:D,'All Products'!M:M,FALSE)</f>
        <v>812361013144</v>
      </c>
      <c r="T287" s="384">
        <f>_xlfn.XLOOKUP(E287,'All Products'!D:D,'All Products'!N:N,FALSE)</f>
        <v>1.5289999999999999</v>
      </c>
      <c r="U287" s="384">
        <f>_xlfn.XLOOKUP(E287,'All Products'!D:D,'All Products'!P:P,FALSE)</f>
        <v>15.29</v>
      </c>
      <c r="V287" s="384">
        <f>_xlfn.XLOOKUP(E287,'All Products'!D:D,'All Products'!Q:Q,FALSE)</f>
        <v>1.8803145838984718</v>
      </c>
    </row>
    <row r="288" spans="1:22">
      <c r="A288" s="5" t="str">
        <f>IF(K288&gt;0,COUNT($A$8:A287)+1,"")</f>
        <v/>
      </c>
      <c r="B288" s="646"/>
      <c r="C288" s="647"/>
      <c r="D288" s="369" t="str">
        <f>_xlfn.XLOOKUP(E288,'All Products'!D:D,'All Products'!C:C,FALSE)</f>
        <v>612-3646</v>
      </c>
      <c r="E288" s="103">
        <v>300005702</v>
      </c>
      <c r="F288" s="376" t="str">
        <f>_xlfn.XLOOKUP(E288,'All Products'!D:D,'All Products'!E:E,FALSE)</f>
        <v>4X4X2X2 DOUBLE WYE DWV</v>
      </c>
      <c r="G288" s="232">
        <f>_xlfn.XLOOKUP(E288,'All Products'!D:D,'All Products'!F:F,FALSE)</f>
        <v>5</v>
      </c>
      <c r="H288" s="387">
        <f>_xlfn.XLOOKUP(E288,'All Products'!D:D,'All Products'!G:G,FALSE)</f>
        <v>150</v>
      </c>
      <c r="I288" s="369" t="str">
        <f>_xlfn.XLOOKUP(E288,'All Products'!D:D,'All Products'!H:H,FALSE)</f>
        <v>Quote Required</v>
      </c>
      <c r="J288" s="183">
        <f>IFERROR(ROUNDUP(I288*Order_Quote!$L$2,2),0)</f>
        <v>0</v>
      </c>
      <c r="K288" s="118"/>
      <c r="L288" s="76"/>
      <c r="M288" s="104">
        <f t="shared" si="6"/>
        <v>0</v>
      </c>
      <c r="O288" s="379" t="str">
        <f>_xlfn.XLOOKUP(E288,'All Products'!D:D,'All Products'!I:I,FALSE)</f>
        <v>Within 6 Weeks</v>
      </c>
      <c r="P288" s="379" t="str">
        <f>_xlfn.XLOOKUP(E288,'All Products'!D:D,'All Products'!J:J,FALSE)</f>
        <v>Sourced</v>
      </c>
      <c r="Q288" s="397">
        <f>_xlfn.XLOOKUP(F288,'All Products'!E:E,'All Products'!K:K,FALSE)</f>
        <v>812361013151</v>
      </c>
      <c r="R288" s="397" t="str">
        <f>_xlfn.XLOOKUP(E288,'All Products'!D:D,'All Products'!L:L,FALSE)</f>
        <v>-</v>
      </c>
      <c r="S288" s="397" t="str">
        <f>_xlfn.XLOOKUP(E288,'All Products'!D:D,'All Products'!M:M,FALSE)</f>
        <v>-</v>
      </c>
      <c r="T288" s="384">
        <f>_xlfn.XLOOKUP(E288,'All Products'!D:D,'All Products'!N:N,FALSE)</f>
        <v>1.71</v>
      </c>
      <c r="U288" s="384">
        <f>_xlfn.XLOOKUP(E288,'All Products'!D:D,'All Products'!P:P,FALSE)</f>
        <v>8.5500000000000007</v>
      </c>
      <c r="V288" s="384" t="str">
        <f>_xlfn.XLOOKUP(E288,'All Products'!D:D,'All Products'!Q:Q,FALSE)</f>
        <v>-</v>
      </c>
    </row>
    <row r="289" spans="1:22" ht="15" thickBot="1">
      <c r="A289" s="5" t="str">
        <f>IF(K289&gt;0,COUNT($A$8:A288)+1,"")</f>
        <v/>
      </c>
      <c r="B289" s="666"/>
      <c r="C289" s="667"/>
      <c r="D289" s="369" t="str">
        <f>_xlfn.XLOOKUP(E289,'All Products'!D:D,'All Products'!C:C,FALSE)</f>
        <v>612-3647</v>
      </c>
      <c r="E289" s="103">
        <v>100029109</v>
      </c>
      <c r="F289" s="376" t="str">
        <f>_xlfn.XLOOKUP(E289,'All Products'!D:D,'All Products'!E:E,FALSE)</f>
        <v>4X4X3X3 DOUBLE WYE DWV</v>
      </c>
      <c r="G289" s="232">
        <f>_xlfn.XLOOKUP(E289,'All Products'!D:D,'All Products'!F:F,FALSE)</f>
        <v>5</v>
      </c>
      <c r="H289" s="387">
        <f>_xlfn.XLOOKUP(E289,'All Products'!D:D,'All Products'!G:G,FALSE)</f>
        <v>90</v>
      </c>
      <c r="I289" s="369">
        <f>_xlfn.XLOOKUP(E289,'All Products'!D:D,'All Products'!H:H,FALSE)</f>
        <v>786.55</v>
      </c>
      <c r="J289" s="183">
        <f>IFERROR(ROUNDUP(I289*Order_Quote!$L$2,2),0)</f>
        <v>786.55</v>
      </c>
      <c r="K289" s="118"/>
      <c r="L289" s="76"/>
      <c r="M289" s="104">
        <f t="shared" si="6"/>
        <v>0</v>
      </c>
      <c r="O289" s="379" t="str">
        <f>_xlfn.XLOOKUP(E289,'All Products'!D:D,'All Products'!I:I,FALSE)</f>
        <v>In Stock</v>
      </c>
      <c r="P289" s="379" t="str">
        <f>_xlfn.XLOOKUP(E289,'All Products'!D:D,'All Products'!J:J,FALSE)</f>
        <v>Manufactured</v>
      </c>
      <c r="Q289" s="504">
        <f>_xlfn.XLOOKUP(F289,'All Products'!E:E,'All Products'!K:K,FALSE)</f>
        <v>812361013168</v>
      </c>
      <c r="R289" s="397" t="str">
        <f>_xlfn.XLOOKUP(E289,'All Products'!D:D,'All Products'!L:L,FALSE)</f>
        <v>-</v>
      </c>
      <c r="S289" s="397">
        <f>_xlfn.XLOOKUP(E289,'All Products'!D:D,'All Products'!M:M,FALSE)</f>
        <v>812361019108</v>
      </c>
      <c r="T289" s="384">
        <f>_xlfn.XLOOKUP(E289,'All Products'!D:D,'All Products'!N:N,FALSE)</f>
        <v>3.2930000000000001</v>
      </c>
      <c r="U289" s="384">
        <f>_xlfn.XLOOKUP(E289,'All Products'!D:D,'All Products'!P:P,FALSE)</f>
        <v>16.465</v>
      </c>
      <c r="V289" s="384">
        <f>_xlfn.XLOOKUP(E289,'All Products'!D:D,'All Products'!Q:Q,FALSE)</f>
        <v>2.7986077527791204</v>
      </c>
    </row>
    <row r="290" spans="1:22" s="17" customFormat="1" ht="16.2" thickBot="1">
      <c r="A290" s="5" t="str">
        <f>IF(K290&gt;0,COUNT($A$8:A289)+1,"")</f>
        <v/>
      </c>
      <c r="B290" s="446" t="s">
        <v>5818</v>
      </c>
      <c r="C290" s="151"/>
      <c r="D290" s="151"/>
      <c r="E290" s="459"/>
      <c r="F290" s="151"/>
      <c r="G290" s="468"/>
      <c r="H290" s="151"/>
      <c r="I290" s="472"/>
      <c r="J290" s="468"/>
      <c r="K290" s="477"/>
      <c r="L290" s="238"/>
      <c r="M290" s="476"/>
      <c r="O290" s="475"/>
      <c r="P290" s="145"/>
      <c r="Q290" s="492"/>
      <c r="R290" s="493"/>
      <c r="S290" s="493"/>
      <c r="T290" s="479"/>
      <c r="U290" s="459"/>
      <c r="V290" s="489"/>
    </row>
    <row r="291" spans="1:22">
      <c r="A291" s="5" t="str">
        <f>IF(K291&gt;0,COUNT($A$8:A290)+1,"")</f>
        <v/>
      </c>
      <c r="B291" s="664"/>
      <c r="C291" s="665"/>
      <c r="D291" s="369" t="str">
        <f>_xlfn.XLOOKUP(E291,'All Products'!D:D,'All Products'!C:C,FALSE)</f>
        <v>700-3653</v>
      </c>
      <c r="E291" s="103">
        <v>100029110</v>
      </c>
      <c r="F291" s="376" t="str">
        <f>_xlfn.XLOOKUP(E291,'All Products'!D:D,'All Products'!E:E,FALSE)</f>
        <v>1-1/2 RETURN BEND DWV</v>
      </c>
      <c r="G291" s="232">
        <f>_xlfn.XLOOKUP(E291,'All Products'!D:D,'All Products'!F:F,FALSE)</f>
        <v>20</v>
      </c>
      <c r="H291" s="387">
        <f>_xlfn.XLOOKUP(E291,'All Products'!D:D,'All Products'!G:G,FALSE)</f>
        <v>1260</v>
      </c>
      <c r="I291" s="369">
        <f>_xlfn.XLOOKUP(E291,'All Products'!D:D,'All Products'!H:H,FALSE)</f>
        <v>91.52</v>
      </c>
      <c r="J291" s="183">
        <f>IFERROR(ROUNDUP(I291*Order_Quote!$L$2,2),0)</f>
        <v>91.52</v>
      </c>
      <c r="K291" s="118"/>
      <c r="L291" s="76"/>
      <c r="M291" s="104">
        <f t="shared" si="6"/>
        <v>0</v>
      </c>
      <c r="O291" s="379" t="str">
        <f>_xlfn.XLOOKUP(E291,'All Products'!D:D,'All Products'!I:I,FALSE)</f>
        <v>In Stock</v>
      </c>
      <c r="P291" s="379" t="str">
        <f>_xlfn.XLOOKUP(E291,'All Products'!D:D,'All Products'!J:J,FALSE)</f>
        <v>Manufactured</v>
      </c>
      <c r="Q291" s="397">
        <f>_xlfn.XLOOKUP(F291,'All Products'!E:E,'All Products'!K:K,FALSE)</f>
        <v>812361010013</v>
      </c>
      <c r="R291" s="397" t="str">
        <f>_xlfn.XLOOKUP(E291,'All Products'!D:D,'All Products'!L:L,FALSE)</f>
        <v>-</v>
      </c>
      <c r="S291" s="397">
        <f>_xlfn.XLOOKUP(E291,'All Products'!D:D,'All Products'!M:M,FALSE)</f>
        <v>812361010020</v>
      </c>
      <c r="T291" s="384">
        <f>_xlfn.XLOOKUP(E291,'All Products'!D:D,'All Products'!N:N,FALSE)</f>
        <v>0.378</v>
      </c>
      <c r="U291" s="384">
        <f>_xlfn.XLOOKUP(E291,'All Products'!D:D,'All Products'!P:P,FALSE)</f>
        <v>7.5600000000000005</v>
      </c>
      <c r="V291" s="384">
        <f>_xlfn.XLOOKUP(E291,'All Products'!D:D,'All Products'!Q:Q,FALSE)</f>
        <v>0.66940792428507967</v>
      </c>
    </row>
    <row r="292" spans="1:22">
      <c r="A292" s="5" t="str">
        <f>IF(K292&gt;0,COUNT($A$8:A291)+1,"")</f>
        <v/>
      </c>
      <c r="B292" s="646"/>
      <c r="C292" s="647"/>
      <c r="D292" s="369" t="str">
        <f>_xlfn.XLOOKUP(E292,'All Products'!D:D,'All Products'!C:C,FALSE)</f>
        <v>700-3654</v>
      </c>
      <c r="E292" s="103">
        <v>100029111</v>
      </c>
      <c r="F292" s="376" t="str">
        <f>_xlfn.XLOOKUP(E292,'All Products'!D:D,'All Products'!E:E,FALSE)</f>
        <v>2 RETURN BEND DWV</v>
      </c>
      <c r="G292" s="232">
        <f>_xlfn.XLOOKUP(E292,'All Products'!D:D,'All Products'!F:F,FALSE)</f>
        <v>35</v>
      </c>
      <c r="H292" s="387">
        <f>_xlfn.XLOOKUP(E292,'All Products'!D:D,'All Products'!G:G,FALSE)</f>
        <v>840</v>
      </c>
      <c r="I292" s="369">
        <f>_xlfn.XLOOKUP(E292,'All Products'!D:D,'All Products'!H:H,FALSE)</f>
        <v>174.03</v>
      </c>
      <c r="J292" s="183">
        <f>IFERROR(ROUNDUP(I292*Order_Quote!$L$2,2),0)</f>
        <v>174.03</v>
      </c>
      <c r="K292" s="118"/>
      <c r="L292" s="76"/>
      <c r="M292" s="104">
        <f t="shared" si="6"/>
        <v>0</v>
      </c>
      <c r="O292" s="379" t="str">
        <f>_xlfn.XLOOKUP(E292,'All Products'!D:D,'All Products'!I:I,FALSE)</f>
        <v>In Stock</v>
      </c>
      <c r="P292" s="379" t="str">
        <f>_xlfn.XLOOKUP(E292,'All Products'!D:D,'All Products'!J:J,FALSE)</f>
        <v>Manufactured</v>
      </c>
      <c r="Q292" s="397">
        <f>_xlfn.XLOOKUP(F292,'All Products'!E:E,'All Products'!K:K,FALSE)</f>
        <v>812361010037</v>
      </c>
      <c r="R292" s="397" t="str">
        <f>_xlfn.XLOOKUP(E292,'All Products'!D:D,'All Products'!L:L,FALSE)</f>
        <v>-</v>
      </c>
      <c r="S292" s="397">
        <f>_xlfn.XLOOKUP(E292,'All Products'!D:D,'All Products'!M:M,FALSE)</f>
        <v>812361010044</v>
      </c>
      <c r="T292" s="384">
        <f>_xlfn.XLOOKUP(E292,'All Products'!D:D,'All Products'!N:N,FALSE)</f>
        <v>0.66500000000000004</v>
      </c>
      <c r="U292" s="384">
        <f>_xlfn.XLOOKUP(E292,'All Products'!D:D,'All Products'!P:P,FALSE)</f>
        <v>23.275000000000002</v>
      </c>
      <c r="V292" s="384">
        <f>_xlfn.XLOOKUP(E292,'All Products'!D:D,'All Products'!Q:Q,FALSE)</f>
        <v>1.8803145838984718</v>
      </c>
    </row>
    <row r="293" spans="1:22">
      <c r="A293" s="5" t="str">
        <f>IF(K293&gt;0,COUNT($A$8:A292)+1,"")</f>
        <v/>
      </c>
      <c r="B293" s="646"/>
      <c r="C293" s="647"/>
      <c r="D293" s="369" t="str">
        <f>_xlfn.XLOOKUP(E293,'All Products'!D:D,'All Products'!C:C,FALSE)</f>
        <v>700-3655</v>
      </c>
      <c r="E293" s="103">
        <v>100029112</v>
      </c>
      <c r="F293" s="376" t="str">
        <f>_xlfn.XLOOKUP(E293,'All Products'!D:D,'All Products'!E:E,FALSE)</f>
        <v>3 RETURN BEND DWV</v>
      </c>
      <c r="G293" s="232">
        <f>_xlfn.XLOOKUP(E293,'All Products'!D:D,'All Products'!F:F,FALSE)</f>
        <v>10</v>
      </c>
      <c r="H293" s="387">
        <f>_xlfn.XLOOKUP(E293,'All Products'!D:D,'All Products'!G:G,FALSE)</f>
        <v>240</v>
      </c>
      <c r="I293" s="369">
        <f>_xlfn.XLOOKUP(E293,'All Products'!D:D,'All Products'!H:H,FALSE)</f>
        <v>573.46</v>
      </c>
      <c r="J293" s="183">
        <f>IFERROR(ROUNDUP(I293*Order_Quote!$L$2,2),0)</f>
        <v>573.46</v>
      </c>
      <c r="K293" s="118"/>
      <c r="L293" s="76"/>
      <c r="M293" s="104">
        <f t="shared" si="6"/>
        <v>0</v>
      </c>
      <c r="O293" s="379" t="str">
        <f>_xlfn.XLOOKUP(E293,'All Products'!D:D,'All Products'!I:I,FALSE)</f>
        <v>Within 3 Weeks</v>
      </c>
      <c r="P293" s="379" t="str">
        <f>_xlfn.XLOOKUP(E293,'All Products'!D:D,'All Products'!J:J,FALSE)</f>
        <v>Manufactured</v>
      </c>
      <c r="Q293" s="397">
        <f>_xlfn.XLOOKUP(F293,'All Products'!E:E,'All Products'!K:K,FALSE)</f>
        <v>812361010051</v>
      </c>
      <c r="R293" s="397" t="str">
        <f>_xlfn.XLOOKUP(E293,'All Products'!D:D,'All Products'!L:L,FALSE)</f>
        <v>-</v>
      </c>
      <c r="S293" s="397">
        <f>_xlfn.XLOOKUP(E293,'All Products'!D:D,'All Products'!M:M,FALSE)</f>
        <v>812361010068</v>
      </c>
      <c r="T293" s="384">
        <f>_xlfn.XLOOKUP(E293,'All Products'!D:D,'All Products'!N:N,FALSE)</f>
        <v>1.9530000000000001</v>
      </c>
      <c r="U293" s="384">
        <f>_xlfn.XLOOKUP(E293,'All Products'!D:D,'All Products'!P:P,FALSE)</f>
        <v>19.53</v>
      </c>
      <c r="V293" s="384">
        <f>_xlfn.XLOOKUP(E293,'All Products'!D:D,'All Products'!Q:Q,FALSE)</f>
        <v>1.8803145838984718</v>
      </c>
    </row>
    <row r="294" spans="1:22">
      <c r="A294" s="5" t="str">
        <f>IF(K294&gt;0,COUNT($A$8:A293)+1,"")</f>
        <v/>
      </c>
      <c r="B294" s="652"/>
      <c r="C294" s="653"/>
      <c r="D294" s="369" t="str">
        <f>_xlfn.XLOOKUP(E294,'All Products'!D:D,'All Products'!C:C,FALSE)</f>
        <v>700-3656</v>
      </c>
      <c r="E294" s="103">
        <v>100029113</v>
      </c>
      <c r="F294" s="376" t="str">
        <f>_xlfn.XLOOKUP(E294,'All Products'!D:D,'All Products'!E:E,FALSE)</f>
        <v>4 RETURN BEND DWV</v>
      </c>
      <c r="G294" s="232">
        <f>_xlfn.XLOOKUP(E294,'All Products'!D:D,'All Products'!F:F,FALSE)</f>
        <v>5</v>
      </c>
      <c r="H294" s="387">
        <f>_xlfn.XLOOKUP(E294,'All Products'!D:D,'All Products'!G:G,FALSE)</f>
        <v>120</v>
      </c>
      <c r="I294" s="369">
        <f>_xlfn.XLOOKUP(E294,'All Products'!D:D,'All Products'!H:H,FALSE)</f>
        <v>886.35</v>
      </c>
      <c r="J294" s="183">
        <f>IFERROR(ROUNDUP(I294*Order_Quote!$L$2,2),0)</f>
        <v>886.35</v>
      </c>
      <c r="K294" s="118"/>
      <c r="L294" s="76"/>
      <c r="M294" s="104">
        <f t="shared" si="6"/>
        <v>0</v>
      </c>
      <c r="O294" s="379" t="str">
        <f>_xlfn.XLOOKUP(E294,'All Products'!D:D,'All Products'!I:I,FALSE)</f>
        <v>Within 3 Weeks</v>
      </c>
      <c r="P294" s="379" t="str">
        <f>_xlfn.XLOOKUP(E294,'All Products'!D:D,'All Products'!J:J,FALSE)</f>
        <v>Manufactured</v>
      </c>
      <c r="Q294" s="397">
        <f>_xlfn.XLOOKUP(F294,'All Products'!E:E,'All Products'!K:K,FALSE)</f>
        <v>812361010075</v>
      </c>
      <c r="R294" s="397" t="str">
        <f>_xlfn.XLOOKUP(E294,'All Products'!D:D,'All Products'!L:L,FALSE)</f>
        <v>-</v>
      </c>
      <c r="S294" s="397">
        <f>_xlfn.XLOOKUP(E294,'All Products'!D:D,'All Products'!M:M,FALSE)</f>
        <v>812361010082</v>
      </c>
      <c r="T294" s="384">
        <f>_xlfn.XLOOKUP(E294,'All Products'!D:D,'All Products'!N:N,FALSE)</f>
        <v>3.4220000000000002</v>
      </c>
      <c r="U294" s="384">
        <f>_xlfn.XLOOKUP(E294,'All Products'!D:D,'All Products'!P:P,FALSE)</f>
        <v>17.11</v>
      </c>
      <c r="V294" s="384">
        <f>_xlfn.XLOOKUP(E294,'All Products'!D:D,'All Products'!Q:Q,FALSE)</f>
        <v>1.8803145838984718</v>
      </c>
    </row>
    <row r="295" spans="1:22">
      <c r="A295" s="5" t="str">
        <f>IF(K295&gt;0,COUNT($A$8:A294)+1,"")</f>
        <v/>
      </c>
      <c r="B295" s="644"/>
      <c r="C295" s="645"/>
      <c r="D295" s="369" t="str">
        <f>_xlfn.XLOOKUP(E295,'All Products'!D:D,'All Products'!C:C,FALSE)</f>
        <v>706-X-3668</v>
      </c>
      <c r="E295" s="103">
        <v>100029114</v>
      </c>
      <c r="F295" s="376" t="str">
        <f>_xlfn.XLOOKUP(E295,'All Products'!D:D,'All Products'!E:E,FALSE)</f>
        <v>1-1/2 PTRAP DWV</v>
      </c>
      <c r="G295" s="232">
        <f>_xlfn.XLOOKUP(E295,'All Products'!D:D,'All Products'!F:F,FALSE)</f>
        <v>25</v>
      </c>
      <c r="H295" s="387">
        <f>_xlfn.XLOOKUP(E295,'All Products'!D:D,'All Products'!G:G,FALSE)</f>
        <v>1125</v>
      </c>
      <c r="I295" s="369">
        <f>_xlfn.XLOOKUP(E295,'All Products'!D:D,'All Products'!H:H,FALSE)</f>
        <v>107.07</v>
      </c>
      <c r="J295" s="183">
        <f>IFERROR(ROUNDUP(I295*Order_Quote!$L$2,2),0)</f>
        <v>107.07</v>
      </c>
      <c r="K295" s="118"/>
      <c r="L295" s="76"/>
      <c r="M295" s="104">
        <f t="shared" si="6"/>
        <v>0</v>
      </c>
      <c r="O295" s="379" t="str">
        <f>_xlfn.XLOOKUP(E295,'All Products'!D:D,'All Products'!I:I,FALSE)</f>
        <v>In Stock</v>
      </c>
      <c r="P295" s="379" t="str">
        <f>_xlfn.XLOOKUP(E295,'All Products'!D:D,'All Products'!J:J,FALSE)</f>
        <v>Manufactured</v>
      </c>
      <c r="Q295" s="397">
        <f>_xlfn.XLOOKUP(F295,'All Products'!E:E,'All Products'!K:K,FALSE)</f>
        <v>810673014712</v>
      </c>
      <c r="R295" s="397" t="str">
        <f>_xlfn.XLOOKUP(E295,'All Products'!D:D,'All Products'!L:L,FALSE)</f>
        <v>-</v>
      </c>
      <c r="S295" s="397">
        <f>_xlfn.XLOOKUP(E295,'All Products'!D:D,'All Products'!M:M,FALSE)</f>
        <v>10810673014719</v>
      </c>
      <c r="T295" s="384">
        <f>_xlfn.XLOOKUP(E295,'All Products'!D:D,'All Products'!N:N,FALSE)</f>
        <v>0.54200000000000004</v>
      </c>
      <c r="U295" s="384">
        <f>_xlfn.XLOOKUP(E295,'All Products'!D:D,'All Products'!P:P,FALSE)</f>
        <v>13.55</v>
      </c>
      <c r="V295" s="384">
        <f>_xlfn.XLOOKUP(E295,'All Products'!D:D,'All Products'!Q:Q,FALSE)</f>
        <v>0.98955954024750914</v>
      </c>
    </row>
    <row r="296" spans="1:22">
      <c r="A296" s="5" t="str">
        <f>IF(K296&gt;0,COUNT($A$8:A295)+1,"")</f>
        <v/>
      </c>
      <c r="B296" s="646"/>
      <c r="C296" s="647"/>
      <c r="D296" s="369" t="str">
        <f>_xlfn.XLOOKUP(E296,'All Products'!D:D,'All Products'!C:C,FALSE)</f>
        <v>706-X-3669</v>
      </c>
      <c r="E296" s="103">
        <v>100029115</v>
      </c>
      <c r="F296" s="376" t="str">
        <f>_xlfn.XLOOKUP(E296,'All Products'!D:D,'All Products'!E:E,FALSE)</f>
        <v>2 PTRAP DWV</v>
      </c>
      <c r="G296" s="232">
        <f>_xlfn.XLOOKUP(E296,'All Products'!D:D,'All Products'!F:F,FALSE)</f>
        <v>20</v>
      </c>
      <c r="H296" s="387">
        <f>_xlfn.XLOOKUP(E296,'All Products'!D:D,'All Products'!G:G,FALSE)</f>
        <v>640</v>
      </c>
      <c r="I296" s="369">
        <f>_xlfn.XLOOKUP(E296,'All Products'!D:D,'All Products'!H:H,FALSE)</f>
        <v>130.25</v>
      </c>
      <c r="J296" s="183">
        <f>IFERROR(ROUNDUP(I296*Order_Quote!$L$2,2),0)</f>
        <v>130.25</v>
      </c>
      <c r="K296" s="118"/>
      <c r="L296" s="76"/>
      <c r="M296" s="104">
        <f t="shared" si="6"/>
        <v>0</v>
      </c>
      <c r="O296" s="379" t="str">
        <f>_xlfn.XLOOKUP(E296,'All Products'!D:D,'All Products'!I:I,FALSE)</f>
        <v>In Stock</v>
      </c>
      <c r="P296" s="379" t="str">
        <f>_xlfn.XLOOKUP(E296,'All Products'!D:D,'All Products'!J:J,FALSE)</f>
        <v>Manufactured</v>
      </c>
      <c r="Q296" s="397">
        <f>_xlfn.XLOOKUP(F296,'All Products'!E:E,'All Products'!K:K,FALSE)</f>
        <v>810673014736</v>
      </c>
      <c r="R296" s="397" t="str">
        <f>_xlfn.XLOOKUP(E296,'All Products'!D:D,'All Products'!L:L,FALSE)</f>
        <v>-</v>
      </c>
      <c r="S296" s="397">
        <f>_xlfn.XLOOKUP(E296,'All Products'!D:D,'All Products'!M:M,FALSE)</f>
        <v>10810673014733</v>
      </c>
      <c r="T296" s="384">
        <f>_xlfn.XLOOKUP(E296,'All Products'!D:D,'All Products'!N:N,FALSE)</f>
        <v>0.98299999999999998</v>
      </c>
      <c r="U296" s="384">
        <f>_xlfn.XLOOKUP(E296,'All Products'!D:D,'All Products'!P:P,FALSE)</f>
        <v>19.66</v>
      </c>
      <c r="V296" s="384">
        <f>_xlfn.XLOOKUP(E296,'All Products'!D:D,'All Products'!Q:Q,FALSE)</f>
        <v>1.3788503419060438</v>
      </c>
    </row>
    <row r="297" spans="1:22">
      <c r="A297" s="5" t="str">
        <f>IF(K297&gt;0,COUNT($A$8:A296)+1,"")</f>
        <v/>
      </c>
      <c r="B297" s="646"/>
      <c r="C297" s="647"/>
      <c r="D297" s="369" t="str">
        <f>_xlfn.XLOOKUP(E297,'All Products'!D:D,'All Products'!C:C,FALSE)</f>
        <v>706-X-3670</v>
      </c>
      <c r="E297" s="103">
        <v>100029116</v>
      </c>
      <c r="F297" s="376" t="str">
        <f>_xlfn.XLOOKUP(E297,'All Products'!D:D,'All Products'!E:E,FALSE)</f>
        <v>3 PTRAP DWV</v>
      </c>
      <c r="G297" s="232">
        <f>_xlfn.XLOOKUP(E297,'All Products'!D:D,'All Products'!F:F,FALSE)</f>
        <v>10</v>
      </c>
      <c r="H297" s="387">
        <f>_xlfn.XLOOKUP(E297,'All Products'!D:D,'All Products'!G:G,FALSE)</f>
        <v>180</v>
      </c>
      <c r="I297" s="369">
        <f>_xlfn.XLOOKUP(E297,'All Products'!D:D,'All Products'!H:H,FALSE)</f>
        <v>440.33</v>
      </c>
      <c r="J297" s="183">
        <f>IFERROR(ROUNDUP(I297*Order_Quote!$L$2,2),0)</f>
        <v>440.33</v>
      </c>
      <c r="K297" s="118"/>
      <c r="L297" s="76"/>
      <c r="M297" s="104">
        <f t="shared" si="6"/>
        <v>0</v>
      </c>
      <c r="O297" s="379" t="str">
        <f>_xlfn.XLOOKUP(E297,'All Products'!D:D,'All Products'!I:I,FALSE)</f>
        <v>In Stock</v>
      </c>
      <c r="P297" s="379" t="str">
        <f>_xlfn.XLOOKUP(E297,'All Products'!D:D,'All Products'!J:J,FALSE)</f>
        <v>Manufactured</v>
      </c>
      <c r="Q297" s="397">
        <f>_xlfn.XLOOKUP(F297,'All Products'!E:E,'All Products'!K:K,FALSE)</f>
        <v>810673014750</v>
      </c>
      <c r="R297" s="397" t="str">
        <f>_xlfn.XLOOKUP(E297,'All Products'!D:D,'All Products'!L:L,FALSE)</f>
        <v>-</v>
      </c>
      <c r="S297" s="397">
        <f>_xlfn.XLOOKUP(E297,'All Products'!D:D,'All Products'!M:M,FALSE)</f>
        <v>810673014767</v>
      </c>
      <c r="T297" s="384">
        <f>_xlfn.XLOOKUP(E297,'All Products'!D:D,'All Products'!N:N,FALSE)</f>
        <v>2.782</v>
      </c>
      <c r="U297" s="384">
        <f>_xlfn.XLOOKUP(E297,'All Products'!D:D,'All Products'!P:P,FALSE)</f>
        <v>27.82</v>
      </c>
      <c r="V297" s="384">
        <f>_xlfn.XLOOKUP(E297,'All Products'!D:D,'All Products'!Q:Q,FALSE)</f>
        <v>2.361325291407383</v>
      </c>
    </row>
    <row r="298" spans="1:22">
      <c r="A298" s="5" t="str">
        <f>IF(K298&gt;0,COUNT($A$8:A297)+1,"")</f>
        <v/>
      </c>
      <c r="B298" s="652"/>
      <c r="C298" s="653"/>
      <c r="D298" s="369" t="str">
        <f>_xlfn.XLOOKUP(E298,'All Products'!D:D,'All Products'!C:C,FALSE)</f>
        <v>706-X-3671</v>
      </c>
      <c r="E298" s="103">
        <v>100029117</v>
      </c>
      <c r="F298" s="376" t="str">
        <f>_xlfn.XLOOKUP(E298,'All Products'!D:D,'All Products'!E:E,FALSE)</f>
        <v>4 PTRAP DWV</v>
      </c>
      <c r="G298" s="232">
        <f>_xlfn.XLOOKUP(E298,'All Products'!D:D,'All Products'!F:F,FALSE)</f>
        <v>4</v>
      </c>
      <c r="H298" s="387">
        <f>_xlfn.XLOOKUP(E298,'All Products'!D:D,'All Products'!G:G,FALSE)</f>
        <v>96</v>
      </c>
      <c r="I298" s="369">
        <f>_xlfn.XLOOKUP(E298,'All Products'!D:D,'All Products'!H:H,FALSE)</f>
        <v>1060.47</v>
      </c>
      <c r="J298" s="183">
        <f>IFERROR(ROUNDUP(I298*Order_Quote!$L$2,2),0)</f>
        <v>1060.47</v>
      </c>
      <c r="K298" s="118"/>
      <c r="L298" s="76"/>
      <c r="M298" s="104">
        <f t="shared" si="6"/>
        <v>0</v>
      </c>
      <c r="O298" s="379" t="str">
        <f>_xlfn.XLOOKUP(E298,'All Products'!D:D,'All Products'!I:I,FALSE)</f>
        <v>In Stock</v>
      </c>
      <c r="P298" s="379" t="str">
        <f>_xlfn.XLOOKUP(E298,'All Products'!D:D,'All Products'!J:J,FALSE)</f>
        <v>Manufactured</v>
      </c>
      <c r="Q298" s="397">
        <f>_xlfn.XLOOKUP(F298,'All Products'!E:E,'All Products'!K:K,FALSE)</f>
        <v>810673014774</v>
      </c>
      <c r="R298" s="397" t="str">
        <f>_xlfn.XLOOKUP(E298,'All Products'!D:D,'All Products'!L:L,FALSE)</f>
        <v>-</v>
      </c>
      <c r="S298" s="397">
        <f>_xlfn.XLOOKUP(E298,'All Products'!D:D,'All Products'!M:M,FALSE)</f>
        <v>810673014781</v>
      </c>
      <c r="T298" s="384">
        <f>_xlfn.XLOOKUP(E298,'All Products'!D:D,'All Products'!N:N,FALSE)</f>
        <v>5.0449999999999999</v>
      </c>
      <c r="U298" s="384">
        <f>_xlfn.XLOOKUP(E298,'All Products'!D:D,'All Products'!P:P,FALSE)</f>
        <v>20.18</v>
      </c>
      <c r="V298" s="384">
        <f>_xlfn.XLOOKUP(E298,'All Products'!D:D,'All Products'!Q:Q,FALSE)</f>
        <v>1.8803145838984718</v>
      </c>
    </row>
    <row r="299" spans="1:22" s="17" customFormat="1" ht="45.75" customHeight="1">
      <c r="A299" s="5" t="str">
        <f>IF(K299&gt;0,COUNT($A$8:A298)+1,"")</f>
        <v/>
      </c>
      <c r="B299" s="616"/>
      <c r="C299" s="617"/>
      <c r="D299" s="369" t="str">
        <f>_xlfn.XLOOKUP(E299,'All Products'!D:D,'All Products'!C:C,FALSE)</f>
        <v>707-X-3676</v>
      </c>
      <c r="E299" s="103">
        <v>100029118</v>
      </c>
      <c r="F299" s="376" t="str">
        <f>_xlfn.XLOOKUP(E299,'All Products'!D:D,'All Products'!E:E,FALSE)</f>
        <v>1-1/2 PTRAP W/CO HXH DWV</v>
      </c>
      <c r="G299" s="232">
        <f>_xlfn.XLOOKUP(E299,'All Products'!D:D,'All Products'!F:F,FALSE)</f>
        <v>50</v>
      </c>
      <c r="H299" s="387">
        <f>_xlfn.XLOOKUP(E299,'All Products'!D:D,'All Products'!G:G,FALSE)</f>
        <v>900</v>
      </c>
      <c r="I299" s="369">
        <f>_xlfn.XLOOKUP(E299,'All Products'!D:D,'All Products'!H:H,FALSE)</f>
        <v>167.29</v>
      </c>
      <c r="J299" s="183">
        <f>IFERROR(ROUNDUP(I299*Order_Quote!$L$2,2),0)</f>
        <v>167.29</v>
      </c>
      <c r="K299" s="118"/>
      <c r="L299" s="76"/>
      <c r="M299" s="104">
        <f t="shared" si="6"/>
        <v>0</v>
      </c>
      <c r="O299" s="379" t="str">
        <f>_xlfn.XLOOKUP(E299,'All Products'!D:D,'All Products'!I:I,FALSE)</f>
        <v>Within 3 Weeks</v>
      </c>
      <c r="P299" s="379" t="str">
        <f>_xlfn.XLOOKUP(E299,'All Products'!D:D,'All Products'!J:J,FALSE)</f>
        <v>Manufactured</v>
      </c>
      <c r="Q299" s="397">
        <f>_xlfn.XLOOKUP(F299,'All Products'!E:E,'All Products'!K:K,FALSE)</f>
        <v>812361013342</v>
      </c>
      <c r="R299" s="397" t="str">
        <f>_xlfn.XLOOKUP(E299,'All Products'!D:D,'All Products'!L:L,FALSE)</f>
        <v>-</v>
      </c>
      <c r="S299" s="397">
        <f>_xlfn.XLOOKUP(E299,'All Products'!D:D,'All Products'!M:M,FALSE)</f>
        <v>10812361013349</v>
      </c>
      <c r="T299" s="384">
        <f>_xlfn.XLOOKUP(E299,'All Products'!D:D,'All Products'!N:N,FALSE)</f>
        <v>0.63</v>
      </c>
      <c r="U299" s="384">
        <f>_xlfn.XLOOKUP(E299,'All Products'!D:D,'All Products'!P:P,FALSE)</f>
        <v>31.5</v>
      </c>
      <c r="V299" s="384">
        <f>_xlfn.XLOOKUP(E299,'All Products'!D:D,'All Products'!Q:Q,FALSE)</f>
        <v>2.361325291407383</v>
      </c>
    </row>
    <row r="300" spans="1:22" s="17" customFormat="1" ht="29.25" customHeight="1">
      <c r="A300" s="5" t="str">
        <f>IF(K300&gt;0,COUNT($A$8:A299)+1,"")</f>
        <v/>
      </c>
      <c r="B300" s="608"/>
      <c r="C300" s="609"/>
      <c r="D300" s="369" t="str">
        <f>_xlfn.XLOOKUP(E300,'All Products'!D:D,'All Products'!C:C,FALSE)</f>
        <v>708-P-3681</v>
      </c>
      <c r="E300" s="103">
        <v>100029119</v>
      </c>
      <c r="F300" s="376" t="str">
        <f>_xlfn.XLOOKUP(E300,'All Products'!D:D,'All Products'!E:E,FALSE)</f>
        <v>1-1/2 PTRAP HXH W/PLSTC NUT DWV</v>
      </c>
      <c r="G300" s="232">
        <f>_xlfn.XLOOKUP(E300,'All Products'!D:D,'All Products'!F:F,FALSE)</f>
        <v>25</v>
      </c>
      <c r="H300" s="387">
        <f>_xlfn.XLOOKUP(E300,'All Products'!D:D,'All Products'!G:G,FALSE)</f>
        <v>800</v>
      </c>
      <c r="I300" s="369">
        <f>_xlfn.XLOOKUP(E300,'All Products'!D:D,'All Products'!H:H,FALSE)</f>
        <v>127.52</v>
      </c>
      <c r="J300" s="183">
        <f>IFERROR(ROUNDUP(I300*Order_Quote!$L$2,2),0)</f>
        <v>127.52</v>
      </c>
      <c r="K300" s="118"/>
      <c r="L300" s="76"/>
      <c r="M300" s="104">
        <f t="shared" si="6"/>
        <v>0</v>
      </c>
      <c r="O300" s="379" t="str">
        <f>_xlfn.XLOOKUP(E300,'All Products'!D:D,'All Products'!I:I,FALSE)</f>
        <v>In Stock</v>
      </c>
      <c r="P300" s="379" t="str">
        <f>_xlfn.XLOOKUP(E300,'All Products'!D:D,'All Products'!J:J,FALSE)</f>
        <v>Manufactured</v>
      </c>
      <c r="Q300" s="397">
        <f>_xlfn.XLOOKUP(F300,'All Products'!E:E,'All Products'!K:K,FALSE)</f>
        <v>812361013304</v>
      </c>
      <c r="R300" s="397" t="str">
        <f>_xlfn.XLOOKUP(E300,'All Products'!D:D,'All Products'!L:L,FALSE)</f>
        <v>-</v>
      </c>
      <c r="S300" s="397">
        <f>_xlfn.XLOOKUP(E300,'All Products'!D:D,'All Products'!M:M,FALSE)</f>
        <v>10812361013301</v>
      </c>
      <c r="T300" s="384">
        <f>_xlfn.XLOOKUP(E300,'All Products'!D:D,'All Products'!N:N,FALSE)</f>
        <v>0.63900000000000001</v>
      </c>
      <c r="U300" s="384">
        <f>_xlfn.XLOOKUP(E300,'All Products'!D:D,'All Products'!P:P,FALSE)</f>
        <v>15.975</v>
      </c>
      <c r="V300" s="384">
        <f>_xlfn.XLOOKUP(E300,'All Products'!D:D,'All Products'!Q:Q,FALSE)</f>
        <v>1.3788503419060438</v>
      </c>
    </row>
    <row r="301" spans="1:22" s="17" customFormat="1" ht="29.25" customHeight="1">
      <c r="A301" s="5" t="str">
        <f>IF(K301&gt;0,COUNT($A$8:A300)+1,"")</f>
        <v/>
      </c>
      <c r="B301" s="612"/>
      <c r="C301" s="613"/>
      <c r="D301" s="369" t="str">
        <f>_xlfn.XLOOKUP(E301,'All Products'!D:D,'All Products'!C:C,FALSE)</f>
        <v>708-P-3682</v>
      </c>
      <c r="E301" s="103">
        <v>100029120</v>
      </c>
      <c r="F301" s="376" t="str">
        <f>_xlfn.XLOOKUP(E301,'All Products'!D:D,'All Products'!E:E,FALSE)</f>
        <v>2 PTRAP HXH W/PLSTC NUT DWV</v>
      </c>
      <c r="G301" s="232">
        <f>_xlfn.XLOOKUP(E301,'All Products'!D:D,'All Products'!F:F,FALSE)</f>
        <v>20</v>
      </c>
      <c r="H301" s="387">
        <f>_xlfn.XLOOKUP(E301,'All Products'!D:D,'All Products'!G:G,FALSE)</f>
        <v>360</v>
      </c>
      <c r="I301" s="369">
        <f>_xlfn.XLOOKUP(E301,'All Products'!D:D,'All Products'!H:H,FALSE)</f>
        <v>293.86</v>
      </c>
      <c r="J301" s="183">
        <f>IFERROR(ROUNDUP(I301*Order_Quote!$L$2,2),0)</f>
        <v>293.86</v>
      </c>
      <c r="K301" s="118"/>
      <c r="L301" s="76"/>
      <c r="M301" s="104">
        <f t="shared" si="6"/>
        <v>0</v>
      </c>
      <c r="O301" s="379" t="str">
        <f>_xlfn.XLOOKUP(E301,'All Products'!D:D,'All Products'!I:I,FALSE)</f>
        <v>Within 3 Weeks</v>
      </c>
      <c r="P301" s="379" t="str">
        <f>_xlfn.XLOOKUP(E301,'All Products'!D:D,'All Products'!J:J,FALSE)</f>
        <v>Manufactured</v>
      </c>
      <c r="Q301" s="397">
        <f>_xlfn.XLOOKUP(F301,'All Products'!E:E,'All Products'!K:K,FALSE)</f>
        <v>812361013328</v>
      </c>
      <c r="R301" s="397" t="str">
        <f>_xlfn.XLOOKUP(E301,'All Products'!D:D,'All Products'!L:L,FALSE)</f>
        <v>-</v>
      </c>
      <c r="S301" s="397">
        <f>_xlfn.XLOOKUP(E301,'All Products'!D:D,'All Products'!M:M,FALSE)</f>
        <v>10812361013325</v>
      </c>
      <c r="T301" s="384">
        <f>_xlfn.XLOOKUP(E301,'All Products'!D:D,'All Products'!N:N,FALSE)</f>
        <v>1.014</v>
      </c>
      <c r="U301" s="384">
        <f>_xlfn.XLOOKUP(E301,'All Products'!D:D,'All Products'!P:P,FALSE)</f>
        <v>20.28</v>
      </c>
      <c r="V301" s="384">
        <f>_xlfn.XLOOKUP(E301,'All Products'!D:D,'All Products'!Q:Q,FALSE)</f>
        <v>2.361325291407383</v>
      </c>
    </row>
    <row r="302" spans="1:22" s="17" customFormat="1" ht="56.25" customHeight="1" thickBot="1">
      <c r="A302" s="5" t="str">
        <f>IF(K302&gt;0,COUNT($A$8:A301)+1,"")</f>
        <v/>
      </c>
      <c r="B302" s="710"/>
      <c r="C302" s="711"/>
      <c r="D302" s="369" t="str">
        <f>_xlfn.XLOOKUP(E302,'All Products'!D:D,'All Products'!C:C,FALSE)</f>
        <v>711-P-3694</v>
      </c>
      <c r="E302" s="103">
        <v>300005703</v>
      </c>
      <c r="F302" s="376" t="str">
        <f>_xlfn.XLOOKUP(E302,'All Products'!D:D,'All Products'!E:E,FALSE)</f>
        <v>1-1/2 LA PATTERN PTRAP W/PL NUT SXH</v>
      </c>
      <c r="G302" s="232">
        <f>_xlfn.XLOOKUP(E302,'All Products'!D:D,'All Products'!F:F,FALSE)</f>
        <v>25</v>
      </c>
      <c r="H302" s="387">
        <f>_xlfn.XLOOKUP(E302,'All Products'!D:D,'All Products'!G:G,FALSE)</f>
        <v>750</v>
      </c>
      <c r="I302" s="369" t="str">
        <f>_xlfn.XLOOKUP(E302,'All Products'!D:D,'All Products'!H:H,FALSE)</f>
        <v>Quote Required</v>
      </c>
      <c r="J302" s="183">
        <f>IFERROR(ROUNDUP(I302*Order_Quote!$L$2,2),0)</f>
        <v>0</v>
      </c>
      <c r="K302" s="118"/>
      <c r="L302" s="76"/>
      <c r="M302" s="104">
        <f t="shared" ref="M302:M316" si="7">K302/G302</f>
        <v>0</v>
      </c>
      <c r="O302" s="379" t="str">
        <f>_xlfn.XLOOKUP(E302,'All Products'!D:D,'All Products'!I:I,FALSE)</f>
        <v>Within 6 Weeks</v>
      </c>
      <c r="P302" s="379" t="str">
        <f>_xlfn.XLOOKUP(E302,'All Products'!D:D,'All Products'!J:J,FALSE)</f>
        <v>Sourced</v>
      </c>
      <c r="Q302" s="504">
        <f>_xlfn.XLOOKUP(F302,'All Products'!E:E,'All Products'!K:K,FALSE)</f>
        <v>812361017289</v>
      </c>
      <c r="R302" s="397" t="str">
        <f>_xlfn.XLOOKUP(E302,'All Products'!D:D,'All Products'!L:L,FALSE)</f>
        <v>-</v>
      </c>
      <c r="S302" s="397" t="str">
        <f>_xlfn.XLOOKUP(E302,'All Products'!D:D,'All Products'!M:M,FALSE)</f>
        <v>-</v>
      </c>
      <c r="T302" s="384">
        <f>_xlfn.XLOOKUP(E302,'All Products'!D:D,'All Products'!N:N,FALSE)</f>
        <v>0.61</v>
      </c>
      <c r="U302" s="384">
        <f>_xlfn.XLOOKUP(E302,'All Products'!D:D,'All Products'!P:P,FALSE)</f>
        <v>15.25</v>
      </c>
      <c r="V302" s="384" t="str">
        <f>_xlfn.XLOOKUP(E302,'All Products'!D:D,'All Products'!Q:Q,FALSE)</f>
        <v>-</v>
      </c>
    </row>
    <row r="303" spans="1:22" s="17" customFormat="1" ht="16.2" thickBot="1">
      <c r="A303" s="5" t="str">
        <f>IF(K303&gt;0,COUNT($A$8:A302)+1,"")</f>
        <v/>
      </c>
      <c r="B303" s="446" t="s">
        <v>5819</v>
      </c>
      <c r="C303" s="151"/>
      <c r="D303" s="151"/>
      <c r="E303" s="459"/>
      <c r="F303" s="151"/>
      <c r="G303" s="468"/>
      <c r="H303" s="151"/>
      <c r="I303" s="472"/>
      <c r="J303" s="468"/>
      <c r="K303" s="477"/>
      <c r="L303" s="238"/>
      <c r="M303" s="476"/>
      <c r="O303" s="475"/>
      <c r="P303" s="145"/>
      <c r="Q303" s="492"/>
      <c r="R303" s="493"/>
      <c r="S303" s="493"/>
      <c r="T303" s="479"/>
      <c r="U303" s="459"/>
      <c r="V303" s="489"/>
    </row>
    <row r="304" spans="1:22" s="17" customFormat="1" ht="21.75" customHeight="1">
      <c r="A304" s="5" t="str">
        <f>IF(K304&gt;0,COUNT($A$8:A303)+1,"")</f>
        <v/>
      </c>
      <c r="B304" s="682"/>
      <c r="C304" s="683"/>
      <c r="D304" s="369" t="str">
        <f>_xlfn.XLOOKUP(E304,'All Products'!D:D,'All Products'!C:C,FALSE)</f>
        <v>800-3703</v>
      </c>
      <c r="E304" s="103">
        <v>100029124</v>
      </c>
      <c r="F304" s="376" t="str">
        <f>_xlfn.XLOOKUP(E304,'All Products'!D:D,'All Products'!E:E,FALSE)</f>
        <v>4X3 CLOSET FLANGE HUB DWV</v>
      </c>
      <c r="G304" s="232">
        <f>_xlfn.XLOOKUP(E304,'All Products'!D:D,'All Products'!F:F,FALSE)</f>
        <v>25</v>
      </c>
      <c r="H304" s="387">
        <f>_xlfn.XLOOKUP(E304,'All Products'!D:D,'All Products'!G:G,FALSE)</f>
        <v>600</v>
      </c>
      <c r="I304" s="369">
        <f>_xlfn.XLOOKUP(E304,'All Products'!D:D,'All Products'!H:H,FALSE)</f>
        <v>120.71</v>
      </c>
      <c r="J304" s="183">
        <f>IFERROR(ROUNDUP(I304*Order_Quote!$L$2,2),0)</f>
        <v>120.71</v>
      </c>
      <c r="K304" s="118"/>
      <c r="L304" s="76"/>
      <c r="M304" s="104">
        <f t="shared" si="7"/>
        <v>0</v>
      </c>
      <c r="O304" s="379" t="str">
        <f>_xlfn.XLOOKUP(E304,'All Products'!D:D,'All Products'!I:I,FALSE)</f>
        <v>Within 3 Weeks</v>
      </c>
      <c r="P304" s="379" t="str">
        <f>_xlfn.XLOOKUP(E304,'All Products'!D:D,'All Products'!J:J,FALSE)</f>
        <v>Manufactured</v>
      </c>
      <c r="Q304" s="397">
        <f>_xlfn.XLOOKUP(F304,'All Products'!E:E,'All Products'!K:K,FALSE)</f>
        <v>810673015993</v>
      </c>
      <c r="R304" s="397" t="str">
        <f>_xlfn.XLOOKUP(E304,'All Products'!D:D,'All Products'!L:L,FALSE)</f>
        <v>-</v>
      </c>
      <c r="S304" s="397">
        <f>_xlfn.XLOOKUP(E304,'All Products'!D:D,'All Products'!M:M,FALSE)</f>
        <v>810673016006</v>
      </c>
      <c r="T304" s="384">
        <f>_xlfn.XLOOKUP(E304,'All Products'!D:D,'All Products'!N:N,FALSE)</f>
        <v>0.79700000000000004</v>
      </c>
      <c r="U304" s="384">
        <f>_xlfn.XLOOKUP(E304,'All Products'!D:D,'All Products'!P:P,FALSE)</f>
        <v>19.925000000000001</v>
      </c>
      <c r="V304" s="384">
        <f>_xlfn.XLOOKUP(E304,'All Products'!D:D,'All Products'!Q:Q,FALSE)</f>
        <v>1.8803145838984718</v>
      </c>
    </row>
    <row r="305" spans="1:22" s="17" customFormat="1" ht="21.75" customHeight="1">
      <c r="A305" s="5" t="str">
        <f>IF(K305&gt;0,COUNT($A$8:A304)+1,"")</f>
        <v/>
      </c>
      <c r="B305" s="612"/>
      <c r="C305" s="613"/>
      <c r="D305" s="369" t="str">
        <f>_xlfn.XLOOKUP(E305,'All Products'!D:D,'All Products'!C:C,FALSE)</f>
        <v>800-3704</v>
      </c>
      <c r="E305" s="103">
        <v>300005706</v>
      </c>
      <c r="F305" s="376" t="str">
        <f>_xlfn.XLOOKUP(E305,'All Products'!D:D,'All Products'!E:E,FALSE)</f>
        <v>4 CLOSET FLANGE HUB DWV</v>
      </c>
      <c r="G305" s="232">
        <f>_xlfn.XLOOKUP(E305,'All Products'!D:D,'All Products'!F:F,FALSE)</f>
        <v>25</v>
      </c>
      <c r="H305" s="387" t="str">
        <f>_xlfn.XLOOKUP(E305,'All Products'!D:D,'All Products'!G:G,FALSE)</f>
        <v>-</v>
      </c>
      <c r="I305" s="369" t="str">
        <f>_xlfn.XLOOKUP(E305,'All Products'!D:D,'All Products'!H:H,FALSE)</f>
        <v>Quote Required</v>
      </c>
      <c r="J305" s="183">
        <f>IFERROR(ROUNDUP(I305*Order_Quote!$L$2,2),0)</f>
        <v>0</v>
      </c>
      <c r="K305" s="118"/>
      <c r="L305" s="76"/>
      <c r="M305" s="104">
        <f t="shared" si="7"/>
        <v>0</v>
      </c>
      <c r="O305" s="379" t="str">
        <f>_xlfn.XLOOKUP(E305,'All Products'!D:D,'All Products'!I:I,FALSE)</f>
        <v>Within 6 Weeks</v>
      </c>
      <c r="P305" s="379" t="str">
        <f>_xlfn.XLOOKUP(E305,'All Products'!D:D,'All Products'!J:J,FALSE)</f>
        <v>Sourced</v>
      </c>
      <c r="Q305" s="397">
        <f>_xlfn.XLOOKUP(F305,'All Products'!E:E,'All Products'!K:K,FALSE)</f>
        <v>812361012475</v>
      </c>
      <c r="R305" s="397" t="str">
        <f>_xlfn.XLOOKUP(E305,'All Products'!D:D,'All Products'!L:L,FALSE)</f>
        <v>-</v>
      </c>
      <c r="S305" s="397" t="str">
        <f>_xlfn.XLOOKUP(E305,'All Products'!D:D,'All Products'!M:M,FALSE)</f>
        <v>-</v>
      </c>
      <c r="T305" s="384">
        <f>_xlfn.XLOOKUP(E305,'All Products'!D:D,'All Products'!N:N,FALSE)</f>
        <v>0.85799999999999998</v>
      </c>
      <c r="U305" s="384">
        <f>_xlfn.XLOOKUP(E305,'All Products'!D:D,'All Products'!P:P,FALSE)</f>
        <v>21.45</v>
      </c>
      <c r="V305" s="384" t="str">
        <f>_xlfn.XLOOKUP(E305,'All Products'!D:D,'All Products'!Q:Q,FALSE)</f>
        <v>-</v>
      </c>
    </row>
    <row r="306" spans="1:22" s="17" customFormat="1" ht="24.75" customHeight="1">
      <c r="A306" s="5" t="str">
        <f>IF(K306&gt;0,COUNT($A$8:A305)+1,"")</f>
        <v/>
      </c>
      <c r="B306" s="608"/>
      <c r="C306" s="609"/>
      <c r="D306" s="369" t="str">
        <f>_xlfn.XLOOKUP(E306,'All Products'!D:D,'All Products'!C:C,FALSE)</f>
        <v>800-KO-3705</v>
      </c>
      <c r="E306" s="103">
        <v>300005704</v>
      </c>
      <c r="F306" s="376" t="str">
        <f>_xlfn.XLOOKUP(E306,'All Products'!D:D,'All Products'!E:E,FALSE)</f>
        <v>4X3 CLOSET FLANGE W/KO H DWV</v>
      </c>
      <c r="G306" s="232">
        <f>_xlfn.XLOOKUP(E306,'All Products'!D:D,'All Products'!F:F,FALSE)</f>
        <v>25</v>
      </c>
      <c r="H306" s="387" t="str">
        <f>_xlfn.XLOOKUP(E306,'All Products'!D:D,'All Products'!G:G,FALSE)</f>
        <v>-</v>
      </c>
      <c r="I306" s="369" t="str">
        <f>_xlfn.XLOOKUP(E306,'All Products'!D:D,'All Products'!H:H,FALSE)</f>
        <v>Quote Required</v>
      </c>
      <c r="J306" s="183">
        <f>IFERROR(ROUNDUP(I306*Order_Quote!$L$2,2),0)</f>
        <v>0</v>
      </c>
      <c r="K306" s="118"/>
      <c r="L306" s="76"/>
      <c r="M306" s="104">
        <f t="shared" si="7"/>
        <v>0</v>
      </c>
      <c r="O306" s="379" t="str">
        <f>_xlfn.XLOOKUP(E306,'All Products'!D:D,'All Products'!I:I,FALSE)</f>
        <v>Within 3 Weeks</v>
      </c>
      <c r="P306" s="379" t="str">
        <f>_xlfn.XLOOKUP(E306,'All Products'!D:D,'All Products'!J:J,FALSE)</f>
        <v>Sourced</v>
      </c>
      <c r="Q306" s="397">
        <f>_xlfn.XLOOKUP(F306,'All Products'!E:E,'All Products'!K:K,FALSE)</f>
        <v>812361012499</v>
      </c>
      <c r="R306" s="397" t="str">
        <f>_xlfn.XLOOKUP(E306,'All Products'!D:D,'All Products'!L:L,FALSE)</f>
        <v>-</v>
      </c>
      <c r="S306" s="397">
        <f>_xlfn.XLOOKUP(E306,'All Products'!D:D,'All Products'!M:M,FALSE)</f>
        <v>10812361012496</v>
      </c>
      <c r="T306" s="384">
        <f>_xlfn.XLOOKUP(E306,'All Products'!D:D,'All Products'!N:N,FALSE)</f>
        <v>0.92600000000000005</v>
      </c>
      <c r="U306" s="384">
        <f>_xlfn.XLOOKUP(E306,'All Products'!D:D,'All Products'!P:P,FALSE)</f>
        <v>23.150000000000002</v>
      </c>
      <c r="V306" s="384" t="str">
        <f>_xlfn.XLOOKUP(E306,'All Products'!D:D,'All Products'!Q:Q,FALSE)</f>
        <v>-</v>
      </c>
    </row>
    <row r="307" spans="1:22" s="17" customFormat="1" ht="24.75" customHeight="1">
      <c r="A307" s="5" t="str">
        <f>IF(K307&gt;0,COUNT($A$8:A306)+1,"")</f>
        <v/>
      </c>
      <c r="B307" s="612"/>
      <c r="C307" s="613"/>
      <c r="D307" s="369" t="str">
        <f>_xlfn.XLOOKUP(E307,'All Products'!D:D,'All Products'!C:C,FALSE)</f>
        <v>800-KO-3706</v>
      </c>
      <c r="E307" s="103">
        <v>300005705</v>
      </c>
      <c r="F307" s="376" t="str">
        <f>_xlfn.XLOOKUP(E307,'All Products'!D:D,'All Products'!E:E,FALSE)</f>
        <v>4 CLOSET FLANGE W/KO H DWV</v>
      </c>
      <c r="G307" s="232">
        <f>_xlfn.XLOOKUP(E307,'All Products'!D:D,'All Products'!F:F,FALSE)</f>
        <v>25</v>
      </c>
      <c r="H307" s="387" t="str">
        <f>_xlfn.XLOOKUP(E307,'All Products'!D:D,'All Products'!G:G,FALSE)</f>
        <v>-</v>
      </c>
      <c r="I307" s="369" t="str">
        <f>_xlfn.XLOOKUP(E307,'All Products'!D:D,'All Products'!H:H,FALSE)</f>
        <v>Quote Required</v>
      </c>
      <c r="J307" s="183">
        <f>IFERROR(ROUNDUP(I307*Order_Quote!$L$2,2),0)</f>
        <v>0</v>
      </c>
      <c r="K307" s="118"/>
      <c r="L307" s="76"/>
      <c r="M307" s="104">
        <f t="shared" si="7"/>
        <v>0</v>
      </c>
      <c r="O307" s="379" t="str">
        <f>_xlfn.XLOOKUP(E307,'All Products'!D:D,'All Products'!I:I,FALSE)</f>
        <v>Within 3 Weeks</v>
      </c>
      <c r="P307" s="379" t="str">
        <f>_xlfn.XLOOKUP(E307,'All Products'!D:D,'All Products'!J:J,FALSE)</f>
        <v>Sourced</v>
      </c>
      <c r="Q307" s="397">
        <f>_xlfn.XLOOKUP(F307,'All Products'!E:E,'All Products'!K:K,FALSE)</f>
        <v>810673015375</v>
      </c>
      <c r="R307" s="397" t="str">
        <f>_xlfn.XLOOKUP(E307,'All Products'!D:D,'All Products'!L:L,FALSE)</f>
        <v>-</v>
      </c>
      <c r="S307" s="397">
        <f>_xlfn.XLOOKUP(E307,'All Products'!D:D,'All Products'!M:M,FALSE)</f>
        <v>10810673015372</v>
      </c>
      <c r="T307" s="384">
        <f>_xlfn.XLOOKUP(E307,'All Products'!D:D,'All Products'!N:N,FALSE)</f>
        <v>0.82599999999999996</v>
      </c>
      <c r="U307" s="384">
        <f>_xlfn.XLOOKUP(E307,'All Products'!D:D,'All Products'!P:P,FALSE)</f>
        <v>20.65</v>
      </c>
      <c r="V307" s="384" t="str">
        <f>_xlfn.XLOOKUP(E307,'All Products'!D:D,'All Products'!Q:Q,FALSE)</f>
        <v>-</v>
      </c>
    </row>
    <row r="308" spans="1:22" s="17" customFormat="1" ht="43.5" customHeight="1">
      <c r="A308" s="5" t="str">
        <f>IF(K308&gt;0,COUNT($A$8:A307)+1,"")</f>
        <v/>
      </c>
      <c r="B308" s="616"/>
      <c r="C308" s="617"/>
      <c r="D308" s="369" t="str">
        <f>_xlfn.XLOOKUP(E308,'All Products'!D:D,'All Products'!C:C,FALSE)</f>
        <v>801-3707</v>
      </c>
      <c r="E308" s="103">
        <v>300005834</v>
      </c>
      <c r="F308" s="376" t="str">
        <f>_xlfn.XLOOKUP(E308,'All Products'!D:D,'All Products'!E:E,FALSE)</f>
        <v>4X3 CLOSET FLANGE RED SPIGOT DWV</v>
      </c>
      <c r="G308" s="232">
        <f>_xlfn.XLOOKUP(E308,'All Products'!D:D,'All Products'!F:F,FALSE)</f>
        <v>25</v>
      </c>
      <c r="H308" s="387">
        <f>_xlfn.XLOOKUP(E308,'All Products'!D:D,'All Products'!G:G,FALSE)</f>
        <v>800</v>
      </c>
      <c r="I308" s="369" t="str">
        <f>_xlfn.XLOOKUP(E308,'All Products'!D:D,'All Products'!H:H,FALSE)</f>
        <v>Quote Required</v>
      </c>
      <c r="J308" s="183">
        <f>IFERROR(ROUNDUP(I308*Order_Quote!$L$2,2),0)</f>
        <v>0</v>
      </c>
      <c r="K308" s="118"/>
      <c r="L308" s="76"/>
      <c r="M308" s="104">
        <f t="shared" si="7"/>
        <v>0</v>
      </c>
      <c r="O308" s="379" t="str">
        <f>_xlfn.XLOOKUP(E308,'All Products'!D:D,'All Products'!I:I,FALSE)</f>
        <v>Within 6 Weeks</v>
      </c>
      <c r="P308" s="379" t="str">
        <f>_xlfn.XLOOKUP(E308,'All Products'!D:D,'All Products'!J:J,FALSE)</f>
        <v>Sourced</v>
      </c>
      <c r="Q308" s="397">
        <f>_xlfn.XLOOKUP(F308,'All Products'!E:E,'All Products'!K:K,FALSE)</f>
        <v>810673015979</v>
      </c>
      <c r="R308" s="397" t="str">
        <f>_xlfn.XLOOKUP(E308,'All Products'!D:D,'All Products'!L:L,FALSE)</f>
        <v>-</v>
      </c>
      <c r="S308" s="397" t="str">
        <f>_xlfn.XLOOKUP(E308,'All Products'!D:D,'All Products'!M:M,FALSE)</f>
        <v>-</v>
      </c>
      <c r="T308" s="384">
        <f>_xlfn.XLOOKUP(E308,'All Products'!D:D,'All Products'!N:N,FALSE)</f>
        <v>0.64200000000000002</v>
      </c>
      <c r="U308" s="384">
        <f>_xlfn.XLOOKUP(E308,'All Products'!D:D,'All Products'!P:P,FALSE)</f>
        <v>16.05</v>
      </c>
      <c r="V308" s="384" t="str">
        <f>_xlfn.XLOOKUP(E308,'All Products'!D:D,'All Products'!Q:Q,FALSE)</f>
        <v>-</v>
      </c>
    </row>
    <row r="309" spans="1:22" ht="19.5" customHeight="1">
      <c r="A309" s="5" t="str">
        <f>IF(K309&gt;0,COUNT($A$8:A308)+1,"")</f>
        <v/>
      </c>
      <c r="B309" s="644"/>
      <c r="C309" s="645"/>
      <c r="D309" s="369" t="str">
        <f>_xlfn.XLOOKUP(E309,'All Products'!D:D,'All Products'!C:C,FALSE)</f>
        <v>811-3710</v>
      </c>
      <c r="E309" s="103">
        <v>300005707</v>
      </c>
      <c r="F309" s="376" t="str">
        <f>_xlfn.XLOOKUP(E309,'All Products'!D:D,'All Products'!E:E,FALSE)</f>
        <v>4X3 CLOSET FLG W/ADJ MTL RNG H DWV</v>
      </c>
      <c r="G309" s="232">
        <f>_xlfn.XLOOKUP(E309,'All Products'!D:D,'All Products'!F:F,FALSE)</f>
        <v>25</v>
      </c>
      <c r="H309" s="387" t="str">
        <f>_xlfn.XLOOKUP(E309,'All Products'!D:D,'All Products'!G:G,FALSE)</f>
        <v>-</v>
      </c>
      <c r="I309" s="369" t="str">
        <f>_xlfn.XLOOKUP(E309,'All Products'!D:D,'All Products'!H:H,FALSE)</f>
        <v>Quote Required</v>
      </c>
      <c r="J309" s="183">
        <f>IFERROR(ROUNDUP(I309*Order_Quote!$L$2,2),0)</f>
        <v>0</v>
      </c>
      <c r="K309" s="118"/>
      <c r="L309" s="76"/>
      <c r="M309" s="104">
        <f t="shared" si="7"/>
        <v>0</v>
      </c>
      <c r="O309" s="379" t="str">
        <f>_xlfn.XLOOKUP(E309,'All Products'!D:D,'All Products'!I:I,FALSE)</f>
        <v>Within 6 Weeks</v>
      </c>
      <c r="P309" s="379" t="str">
        <f>_xlfn.XLOOKUP(E309,'All Products'!D:D,'All Products'!J:J,FALSE)</f>
        <v>Sourced</v>
      </c>
      <c r="Q309" s="397">
        <f>_xlfn.XLOOKUP(F309,'All Products'!E:E,'All Products'!K:K,FALSE)</f>
        <v>810673011445</v>
      </c>
      <c r="R309" s="397" t="str">
        <f>_xlfn.XLOOKUP(E309,'All Products'!D:D,'All Products'!L:L,FALSE)</f>
        <v>-</v>
      </c>
      <c r="S309" s="397">
        <f>_xlfn.XLOOKUP(E309,'All Products'!D:D,'All Products'!M:M,FALSE)</f>
        <v>10810673011442</v>
      </c>
      <c r="T309" s="384">
        <f>_xlfn.XLOOKUP(E309,'All Products'!D:D,'All Products'!N:N,FALSE)</f>
        <v>0.9</v>
      </c>
      <c r="U309" s="384">
        <f>_xlfn.XLOOKUP(E309,'All Products'!D:D,'All Products'!P:P,FALSE)</f>
        <v>22.5</v>
      </c>
      <c r="V309" s="384" t="str">
        <f>_xlfn.XLOOKUP(E309,'All Products'!D:D,'All Products'!Q:Q,FALSE)</f>
        <v>-</v>
      </c>
    </row>
    <row r="310" spans="1:22" ht="19.5" customHeight="1">
      <c r="A310" s="5" t="str">
        <f>IF(K310&gt;0,COUNT($A$8:A309)+1,"")</f>
        <v/>
      </c>
      <c r="B310" s="652"/>
      <c r="C310" s="653"/>
      <c r="D310" s="369" t="str">
        <f>_xlfn.XLOOKUP(E310,'All Products'!D:D,'All Products'!C:C,FALSE)</f>
        <v>811-3711</v>
      </c>
      <c r="E310" s="103">
        <v>300005708</v>
      </c>
      <c r="F310" s="376" t="str">
        <f>_xlfn.XLOOKUP(E310,'All Products'!D:D,'All Products'!E:E,FALSE)</f>
        <v>4 CLOSET FLG W/ADJ MTL RNG H DWV</v>
      </c>
      <c r="G310" s="232">
        <f>_xlfn.XLOOKUP(E310,'All Products'!D:D,'All Products'!F:F,FALSE)</f>
        <v>25</v>
      </c>
      <c r="H310" s="387" t="str">
        <f>_xlfn.XLOOKUP(E310,'All Products'!D:D,'All Products'!G:G,FALSE)</f>
        <v>-</v>
      </c>
      <c r="I310" s="369" t="str">
        <f>_xlfn.XLOOKUP(E310,'All Products'!D:D,'All Products'!H:H,FALSE)</f>
        <v>Quote Required</v>
      </c>
      <c r="J310" s="183">
        <f>IFERROR(ROUNDUP(I310*Order_Quote!$L$2,2),0)</f>
        <v>0</v>
      </c>
      <c r="K310" s="118"/>
      <c r="L310" s="76"/>
      <c r="M310" s="104">
        <f t="shared" si="7"/>
        <v>0</v>
      </c>
      <c r="O310" s="379" t="str">
        <f>_xlfn.XLOOKUP(E310,'All Products'!D:D,'All Products'!I:I,FALSE)</f>
        <v>Within 3 Weeks</v>
      </c>
      <c r="P310" s="379" t="str">
        <f>_xlfn.XLOOKUP(E310,'All Products'!D:D,'All Products'!J:J,FALSE)</f>
        <v>Sourced</v>
      </c>
      <c r="Q310" s="397">
        <f>_xlfn.XLOOKUP(F310,'All Products'!E:E,'All Products'!K:K,FALSE)</f>
        <v>812361017319</v>
      </c>
      <c r="R310" s="397" t="str">
        <f>_xlfn.XLOOKUP(E310,'All Products'!D:D,'All Products'!L:L,FALSE)</f>
        <v>-</v>
      </c>
      <c r="S310" s="397" t="str">
        <f>_xlfn.XLOOKUP(E310,'All Products'!D:D,'All Products'!M:M,FALSE)</f>
        <v>-</v>
      </c>
      <c r="T310" s="384">
        <f>_xlfn.XLOOKUP(E310,'All Products'!D:D,'All Products'!N:N,FALSE)</f>
        <v>0.84</v>
      </c>
      <c r="U310" s="384">
        <f>_xlfn.XLOOKUP(E310,'All Products'!D:D,'All Products'!P:P,FALSE)</f>
        <v>21</v>
      </c>
      <c r="V310" s="384" t="str">
        <f>_xlfn.XLOOKUP(E310,'All Products'!D:D,'All Products'!Q:Q,FALSE)</f>
        <v>-</v>
      </c>
    </row>
    <row r="311" spans="1:22" ht="19.5" customHeight="1">
      <c r="A311" s="5" t="str">
        <f>IF(K311&gt;0,COUNT($A$8:A310)+1,"")</f>
        <v/>
      </c>
      <c r="B311" s="644"/>
      <c r="C311" s="645"/>
      <c r="D311" s="369" t="str">
        <f>_xlfn.XLOOKUP(E311,'All Products'!D:D,'All Products'!C:C,FALSE)</f>
        <v>812-3714</v>
      </c>
      <c r="E311" s="103">
        <v>300005709</v>
      </c>
      <c r="F311" s="376" t="str">
        <f>_xlfn.XLOOKUP(E311,'All Products'!D:D,'All Products'!E:E,FALSE)</f>
        <v>4X3 CLOSET FLG ADJ MTL RNG SPG DWV</v>
      </c>
      <c r="G311" s="232">
        <f>_xlfn.XLOOKUP(E311,'All Products'!D:D,'All Products'!F:F,FALSE)</f>
        <v>25</v>
      </c>
      <c r="H311" s="387">
        <f>_xlfn.XLOOKUP(E311,'All Products'!D:D,'All Products'!G:G,FALSE)</f>
        <v>600</v>
      </c>
      <c r="I311" s="369" t="str">
        <f>_xlfn.XLOOKUP(E311,'All Products'!D:D,'All Products'!H:H,FALSE)</f>
        <v>Quote Required</v>
      </c>
      <c r="J311" s="183">
        <f>IFERROR(ROUNDUP(I311*Order_Quote!$L$2,2),0)</f>
        <v>0</v>
      </c>
      <c r="K311" s="118"/>
      <c r="L311" s="76"/>
      <c r="M311" s="104">
        <f t="shared" si="7"/>
        <v>0</v>
      </c>
      <c r="O311" s="379" t="str">
        <f>_xlfn.XLOOKUP(E311,'All Products'!D:D,'All Products'!I:I,FALSE)</f>
        <v>Within 6 Weeks</v>
      </c>
      <c r="P311" s="379" t="str">
        <f>_xlfn.XLOOKUP(E311,'All Products'!D:D,'All Products'!J:J,FALSE)</f>
        <v>Sourced</v>
      </c>
      <c r="Q311" s="397">
        <f>_xlfn.XLOOKUP(F311,'All Products'!E:E,'All Products'!K:K,FALSE)</f>
        <v>812361017302</v>
      </c>
      <c r="R311" s="397" t="str">
        <f>_xlfn.XLOOKUP(E311,'All Products'!D:D,'All Products'!L:L,FALSE)</f>
        <v>-</v>
      </c>
      <c r="S311" s="397" t="str">
        <f>_xlfn.XLOOKUP(E311,'All Products'!D:D,'All Products'!M:M,FALSE)</f>
        <v>-</v>
      </c>
      <c r="T311" s="384">
        <f>_xlfn.XLOOKUP(E311,'All Products'!D:D,'All Products'!N:N,FALSE)</f>
        <v>0.85</v>
      </c>
      <c r="U311" s="384">
        <f>_xlfn.XLOOKUP(E311,'All Products'!D:D,'All Products'!P:P,FALSE)</f>
        <v>21.25</v>
      </c>
      <c r="V311" s="384" t="str">
        <f>_xlfn.XLOOKUP(E311,'All Products'!D:D,'All Products'!Q:Q,FALSE)</f>
        <v>-</v>
      </c>
    </row>
    <row r="312" spans="1:22" ht="19.2" customHeight="1">
      <c r="A312" s="5" t="str">
        <f>IF(K312&gt;0,COUNT($A$8:A311)+1,"")</f>
        <v/>
      </c>
      <c r="B312" s="652"/>
      <c r="C312" s="653"/>
      <c r="D312" s="369" t="str">
        <f>_xlfn.XLOOKUP(E312,'All Products'!D:D,'All Products'!C:C,FALSE)</f>
        <v>812-3715</v>
      </c>
      <c r="E312" s="103">
        <v>300005710</v>
      </c>
      <c r="F312" s="376" t="str">
        <f>_xlfn.XLOOKUP(E312,'All Products'!D:D,'All Products'!E:E,FALSE)</f>
        <v>4 CLOSET FLG W/ADJ MTL RNG SPG DWV</v>
      </c>
      <c r="G312" s="232">
        <f>_xlfn.XLOOKUP(E312,'All Products'!D:D,'All Products'!F:F,FALSE)</f>
        <v>6</v>
      </c>
      <c r="H312" s="387" t="str">
        <f>_xlfn.XLOOKUP(E312,'All Products'!D:D,'All Products'!G:G,FALSE)</f>
        <v>-</v>
      </c>
      <c r="I312" s="369" t="str">
        <f>_xlfn.XLOOKUP(E312,'All Products'!D:D,'All Products'!H:H,FALSE)</f>
        <v>Quote Required</v>
      </c>
      <c r="J312" s="183">
        <f>IFERROR(ROUNDUP(I312*Order_Quote!$L$2,2),0)</f>
        <v>0</v>
      </c>
      <c r="K312" s="118"/>
      <c r="L312" s="76"/>
      <c r="M312" s="104">
        <f t="shared" si="7"/>
        <v>0</v>
      </c>
      <c r="O312" s="379" t="str">
        <f>_xlfn.XLOOKUP(E312,'All Products'!D:D,'All Products'!I:I,FALSE)</f>
        <v>Within 3 Weeks</v>
      </c>
      <c r="P312" s="379" t="str">
        <f>_xlfn.XLOOKUP(E312,'All Products'!D:D,'All Products'!J:J,FALSE)</f>
        <v>Sourced</v>
      </c>
      <c r="Q312" s="397">
        <f>_xlfn.XLOOKUP(F312,'All Products'!E:E,'All Products'!K:K,FALSE)</f>
        <v>812361017326</v>
      </c>
      <c r="R312" s="397" t="str">
        <f>_xlfn.XLOOKUP(E312,'All Products'!D:D,'All Products'!L:L,FALSE)</f>
        <v>-</v>
      </c>
      <c r="S312" s="397" t="str">
        <f>_xlfn.XLOOKUP(E312,'All Products'!D:D,'All Products'!M:M,FALSE)</f>
        <v>-</v>
      </c>
      <c r="T312" s="384">
        <f>_xlfn.XLOOKUP(E312,'All Products'!D:D,'All Products'!N:N,FALSE)</f>
        <v>0.89</v>
      </c>
      <c r="U312" s="384">
        <f>_xlfn.XLOOKUP(E312,'All Products'!D:D,'All Products'!P:P,FALSE)</f>
        <v>5.34</v>
      </c>
      <c r="V312" s="384" t="str">
        <f>_xlfn.XLOOKUP(E312,'All Products'!D:D,'All Products'!Q:Q,FALSE)</f>
        <v>-</v>
      </c>
    </row>
    <row r="313" spans="1:22" ht="19.5" customHeight="1">
      <c r="A313" s="5" t="str">
        <f>IF(K313&gt;0,COUNT($A$8:A312)+1,"")</f>
        <v/>
      </c>
      <c r="B313" s="644"/>
      <c r="C313" s="645"/>
      <c r="D313" s="369" t="str">
        <f>_xlfn.XLOOKUP(E313,'All Products'!D:D,'All Products'!C:C,FALSE)</f>
        <v>815-3718</v>
      </c>
      <c r="E313" s="103">
        <v>300005711</v>
      </c>
      <c r="F313" s="376" t="str">
        <f>_xlfn.XLOOKUP(E313,'All Products'!D:D,'All Products'!E:E,FALSE)</f>
        <v>4X3 FLUSH CLOSET FLANGE DWV</v>
      </c>
      <c r="G313" s="232">
        <f>_xlfn.XLOOKUP(E313,'All Products'!D:D,'All Products'!F:F,FALSE)</f>
        <v>25</v>
      </c>
      <c r="H313" s="387">
        <f>_xlfn.XLOOKUP(E313,'All Products'!D:D,'All Products'!G:G,FALSE)</f>
        <v>750</v>
      </c>
      <c r="I313" s="369" t="str">
        <f>_xlfn.XLOOKUP(E313,'All Products'!D:D,'All Products'!H:H,FALSE)</f>
        <v>Quote Required</v>
      </c>
      <c r="J313" s="183">
        <f>IFERROR(ROUNDUP(I313*Order_Quote!$L$2,2),0)</f>
        <v>0</v>
      </c>
      <c r="K313" s="118"/>
      <c r="L313" s="76"/>
      <c r="M313" s="104">
        <f t="shared" si="7"/>
        <v>0</v>
      </c>
      <c r="O313" s="379" t="str">
        <f>_xlfn.XLOOKUP(E313,'All Products'!D:D,'All Products'!I:I,FALSE)</f>
        <v>Within 3 Weeks</v>
      </c>
      <c r="P313" s="379" t="str">
        <f>_xlfn.XLOOKUP(E313,'All Products'!D:D,'All Products'!J:J,FALSE)</f>
        <v>Sourced</v>
      </c>
      <c r="Q313" s="397">
        <f>_xlfn.XLOOKUP(F313,'All Products'!E:E,'All Products'!K:K,FALSE)</f>
        <v>812361017234</v>
      </c>
      <c r="R313" s="397" t="str">
        <f>_xlfn.XLOOKUP(E313,'All Products'!D:D,'All Products'!L:L,FALSE)</f>
        <v>-</v>
      </c>
      <c r="S313" s="397" t="str">
        <f>_xlfn.XLOOKUP(E313,'All Products'!D:D,'All Products'!M:M,FALSE)</f>
        <v>-</v>
      </c>
      <c r="T313" s="384">
        <f>_xlfn.XLOOKUP(E313,'All Products'!D:D,'All Products'!N:N,FALSE)</f>
        <v>0.65</v>
      </c>
      <c r="U313" s="384">
        <f>_xlfn.XLOOKUP(E313,'All Products'!D:D,'All Products'!P:P,FALSE)</f>
        <v>16.25</v>
      </c>
      <c r="V313" s="384" t="str">
        <f>_xlfn.XLOOKUP(E313,'All Products'!D:D,'All Products'!Q:Q,FALSE)</f>
        <v>-</v>
      </c>
    </row>
    <row r="314" spans="1:22" ht="19.5" customHeight="1">
      <c r="A314" s="5" t="str">
        <f>IF(K314&gt;0,COUNT($A$8:A313)+1,"")</f>
        <v/>
      </c>
      <c r="B314" s="652"/>
      <c r="C314" s="653"/>
      <c r="D314" s="369" t="str">
        <f>_xlfn.XLOOKUP(E314,'All Products'!D:D,'All Products'!C:C,FALSE)</f>
        <v>815-3719</v>
      </c>
      <c r="E314" s="103">
        <v>300005712</v>
      </c>
      <c r="F314" s="376" t="str">
        <f>_xlfn.XLOOKUP(E314,'All Products'!D:D,'All Products'!E:E,FALSE)</f>
        <v>4X3 FLUSH CLOSET FLANGE W/KO DWV</v>
      </c>
      <c r="G314" s="232">
        <f>_xlfn.XLOOKUP(E314,'All Products'!D:D,'All Products'!F:F,FALSE)</f>
        <v>25</v>
      </c>
      <c r="H314" s="387">
        <f>_xlfn.XLOOKUP(E314,'All Products'!D:D,'All Products'!G:G,FALSE)</f>
        <v>750</v>
      </c>
      <c r="I314" s="369" t="str">
        <f>_xlfn.XLOOKUP(E314,'All Products'!D:D,'All Products'!H:H,FALSE)</f>
        <v>Quote Required</v>
      </c>
      <c r="J314" s="183">
        <f>IFERROR(ROUNDUP(I314*Order_Quote!$L$2,2),0)</f>
        <v>0</v>
      </c>
      <c r="K314" s="118"/>
      <c r="L314" s="76"/>
      <c r="M314" s="104">
        <f t="shared" si="7"/>
        <v>0</v>
      </c>
      <c r="O314" s="379" t="str">
        <f>_xlfn.XLOOKUP(E314,'All Products'!D:D,'All Products'!I:I,FALSE)</f>
        <v>Within 6 Weeks</v>
      </c>
      <c r="P314" s="379" t="str">
        <f>_xlfn.XLOOKUP(E314,'All Products'!D:D,'All Products'!J:J,FALSE)</f>
        <v>Sourced</v>
      </c>
      <c r="Q314" s="397">
        <f>_xlfn.XLOOKUP(F314,'All Products'!E:E,'All Products'!K:K,FALSE)</f>
        <v>812361017227</v>
      </c>
      <c r="R314" s="397" t="str">
        <f>_xlfn.XLOOKUP(E314,'All Products'!D:D,'All Products'!L:L,FALSE)</f>
        <v>-</v>
      </c>
      <c r="S314" s="397" t="str">
        <f>_xlfn.XLOOKUP(E314,'All Products'!D:D,'All Products'!M:M,FALSE)</f>
        <v>-</v>
      </c>
      <c r="T314" s="384">
        <f>_xlfn.XLOOKUP(E314,'All Products'!D:D,'All Products'!N:N,FALSE)</f>
        <v>0.73</v>
      </c>
      <c r="U314" s="384">
        <f>_xlfn.XLOOKUP(E314,'All Products'!D:D,'All Products'!P:P,FALSE)</f>
        <v>18.25</v>
      </c>
      <c r="V314" s="384" t="str">
        <f>_xlfn.XLOOKUP(E314,'All Products'!D:D,'All Products'!Q:Q,FALSE)</f>
        <v>-</v>
      </c>
    </row>
    <row r="315" spans="1:22" s="17" customFormat="1" ht="41.25" customHeight="1">
      <c r="A315" s="5" t="str">
        <f>IF(K315&gt;0,COUNT($A$8:A314)+1,"")</f>
        <v/>
      </c>
      <c r="B315" s="616"/>
      <c r="C315" s="617"/>
      <c r="D315" s="369" t="str">
        <f>_xlfn.XLOOKUP(E315,'All Products'!D:D,'All Products'!C:C,FALSE)</f>
        <v>820-3720</v>
      </c>
      <c r="E315" s="103">
        <v>300005713</v>
      </c>
      <c r="F315" s="376" t="str">
        <f>_xlfn.XLOOKUP(E315,'All Products'!D:D,'All Products'!E:E,FALSE)</f>
        <v>4X3 OFFSET CLOS FLG W/ADJ MTL RNG H</v>
      </c>
      <c r="G315" s="232">
        <f>_xlfn.XLOOKUP(E315,'All Products'!D:D,'All Products'!F:F,FALSE)</f>
        <v>20</v>
      </c>
      <c r="H315" s="387" t="str">
        <f>_xlfn.XLOOKUP(E315,'All Products'!D:D,'All Products'!G:G,FALSE)</f>
        <v>-</v>
      </c>
      <c r="I315" s="369" t="str">
        <f>_xlfn.XLOOKUP(E315,'All Products'!D:D,'All Products'!H:H,FALSE)</f>
        <v>Quote Required</v>
      </c>
      <c r="J315" s="183">
        <f>IFERROR(ROUNDUP(I315*Order_Quote!$L$2,2),0)</f>
        <v>0</v>
      </c>
      <c r="K315" s="73"/>
      <c r="L315" s="76"/>
      <c r="M315" s="104">
        <f t="shared" si="7"/>
        <v>0</v>
      </c>
      <c r="O315" s="379" t="str">
        <f>_xlfn.XLOOKUP(E315,'All Products'!D:D,'All Products'!I:I,FALSE)</f>
        <v>Within 6 Weeks</v>
      </c>
      <c r="P315" s="379" t="str">
        <f>_xlfn.XLOOKUP(E315,'All Products'!D:D,'All Products'!J:J,FALSE)</f>
        <v>Sourced</v>
      </c>
      <c r="Q315" s="397">
        <f>_xlfn.XLOOKUP(F315,'All Products'!E:E,'All Products'!K:K,FALSE)</f>
        <v>810673012459</v>
      </c>
      <c r="R315" s="397" t="str">
        <f>_xlfn.XLOOKUP(E315,'All Products'!D:D,'All Products'!L:L,FALSE)</f>
        <v>-</v>
      </c>
      <c r="S315" s="397" t="str">
        <f>_xlfn.XLOOKUP(E315,'All Products'!D:D,'All Products'!M:M,FALSE)</f>
        <v>-</v>
      </c>
      <c r="T315" s="384">
        <f>_xlfn.XLOOKUP(E315,'All Products'!D:D,'All Products'!N:N,FALSE)</f>
        <v>1.17</v>
      </c>
      <c r="U315" s="384">
        <f>_xlfn.XLOOKUP(E315,'All Products'!D:D,'All Products'!P:P,FALSE)</f>
        <v>23.4</v>
      </c>
      <c r="V315" s="384" t="str">
        <f>_xlfn.XLOOKUP(E315,'All Products'!D:D,'All Products'!Q:Q,FALSE)</f>
        <v>-</v>
      </c>
    </row>
    <row r="316" spans="1:22" s="17" customFormat="1" ht="41.25" customHeight="1" thickBot="1">
      <c r="A316" s="5" t="str">
        <f>IF(K316&gt;0,COUNT($A$8:A315)+1,"")</f>
        <v/>
      </c>
      <c r="B316" s="616"/>
      <c r="C316" s="617"/>
      <c r="D316" s="369" t="str">
        <f>_xlfn.XLOOKUP(E316,'All Products'!D:D,'All Products'!C:C,FALSE)</f>
        <v>888-P-0003</v>
      </c>
      <c r="E316" s="103">
        <v>300005714</v>
      </c>
      <c r="F316" s="376" t="str">
        <f>_xlfn.XLOOKUP(E316,'All Products'!D:D,'All Products'!E:E,FALSE)</f>
        <v>3 INSIDE FIT CLOSET FLANGE DWV</v>
      </c>
      <c r="G316" s="232">
        <f>_xlfn.XLOOKUP(E316,'All Products'!D:D,'All Products'!F:F,FALSE)</f>
        <v>20</v>
      </c>
      <c r="H316" s="387" t="str">
        <f>_xlfn.XLOOKUP(E316,'All Products'!D:D,'All Products'!G:G,FALSE)</f>
        <v>-</v>
      </c>
      <c r="I316" s="369" t="str">
        <f>_xlfn.XLOOKUP(E316,'All Products'!D:D,'All Products'!H:H,FALSE)</f>
        <v>Quote Required</v>
      </c>
      <c r="J316" s="183">
        <f>IFERROR(ROUNDUP(I316*Order_Quote!$L$2,2),0)</f>
        <v>0</v>
      </c>
      <c r="K316" s="105"/>
      <c r="L316" s="76"/>
      <c r="M316" s="104">
        <f t="shared" si="7"/>
        <v>0</v>
      </c>
      <c r="O316" s="379" t="str">
        <f>_xlfn.XLOOKUP(E316,'All Products'!D:D,'All Products'!I:I,FALSE)</f>
        <v>Within 6 Weeks</v>
      </c>
      <c r="P316" s="379" t="str">
        <f>_xlfn.XLOOKUP(E316,'All Products'!D:D,'All Products'!J:J,FALSE)</f>
        <v>Sourced</v>
      </c>
      <c r="Q316" s="397">
        <f>_xlfn.XLOOKUP(F316,'All Products'!E:E,'All Products'!K:K,FALSE)</f>
        <v>812361017241</v>
      </c>
      <c r="R316" s="397" t="str">
        <f>_xlfn.XLOOKUP(E316,'All Products'!D:D,'All Products'!L:L,FALSE)</f>
        <v>-</v>
      </c>
      <c r="S316" s="397" t="str">
        <f>_xlfn.XLOOKUP(E316,'All Products'!D:D,'All Products'!M:M,FALSE)</f>
        <v>-</v>
      </c>
      <c r="T316" s="384">
        <f>_xlfn.XLOOKUP(E316,'All Products'!D:D,'All Products'!N:N,FALSE)</f>
        <v>1.1100000000000001</v>
      </c>
      <c r="U316" s="384">
        <f>_xlfn.XLOOKUP(E316,'All Products'!D:D,'All Products'!P:P,FALSE)</f>
        <v>22.200000000000003</v>
      </c>
      <c r="V316" s="384" t="str">
        <f>_xlfn.XLOOKUP(E316,'All Products'!D:D,'All Products'!Q:Q,FALSE)</f>
        <v>-</v>
      </c>
    </row>
    <row r="317" spans="1:22">
      <c r="A317" s="5">
        <f>MAX(A$9:A316)+1</f>
        <v>1</v>
      </c>
      <c r="B317" s="356"/>
      <c r="C317" s="356"/>
      <c r="I317" s="388"/>
    </row>
    <row r="318" spans="1:22" ht="15" customHeight="1"/>
    <row r="319" spans="1:22" ht="15" customHeight="1"/>
    <row r="320" spans="1:22" ht="15" customHeight="1"/>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sheetData>
  <sheetProtection algorithmName="SHA-512" hashValue="7I8AvVARGqCfq9ZlaCupsyP9BmbBp22qOXHN5xhdZ2x2znbwcMtLsbhEp7IMVppw1O69bualbXUomEqvWYaAZQ==" saltValue="YvLoQjyrY9em8J0xa6Wz4w==" spinCount="100000" sheet="1" formatCells="0" formatColumns="0" formatRows="0" insertColumns="0" insertRows="0" insertHyperlinks="0" deleteColumns="0" deleteRows="0" sort="0" autoFilter="0" pivotTables="0"/>
  <sortState xmlns:xlrd2="http://schemas.microsoft.com/office/spreadsheetml/2017/richdata2" ref="D9:I315">
    <sortCondition ref="D9"/>
  </sortState>
  <mergeCells count="81">
    <mergeCell ref="B316:C316"/>
    <mergeCell ref="B308:C308"/>
    <mergeCell ref="B309:C310"/>
    <mergeCell ref="B311:C312"/>
    <mergeCell ref="B313:C314"/>
    <mergeCell ref="B315:C315"/>
    <mergeCell ref="B299:C299"/>
    <mergeCell ref="B300:C301"/>
    <mergeCell ref="B302:C302"/>
    <mergeCell ref="B304:C305"/>
    <mergeCell ref="B306:C307"/>
    <mergeCell ref="B275:C277"/>
    <mergeCell ref="B279:C283"/>
    <mergeCell ref="B284:C289"/>
    <mergeCell ref="B291:C294"/>
    <mergeCell ref="B295:C298"/>
    <mergeCell ref="B250:C250"/>
    <mergeCell ref="B251:C254"/>
    <mergeCell ref="B256:C260"/>
    <mergeCell ref="B261:C270"/>
    <mergeCell ref="B271:C274"/>
    <mergeCell ref="B231:C232"/>
    <mergeCell ref="B233:C235"/>
    <mergeCell ref="B237:C239"/>
    <mergeCell ref="B241:C244"/>
    <mergeCell ref="B245:C249"/>
    <mergeCell ref="B215:C215"/>
    <mergeCell ref="B216:C216"/>
    <mergeCell ref="B218:C220"/>
    <mergeCell ref="B222:C225"/>
    <mergeCell ref="B226:C230"/>
    <mergeCell ref="B197:C199"/>
    <mergeCell ref="B200:C202"/>
    <mergeCell ref="B203:C204"/>
    <mergeCell ref="B206:C209"/>
    <mergeCell ref="B210:C214"/>
    <mergeCell ref="B172:C174"/>
    <mergeCell ref="B176:C181"/>
    <mergeCell ref="B182:C189"/>
    <mergeCell ref="B190:C193"/>
    <mergeCell ref="B194:C196"/>
    <mergeCell ref="B157:C161"/>
    <mergeCell ref="B163:C163"/>
    <mergeCell ref="B165:C165"/>
    <mergeCell ref="B166:C166"/>
    <mergeCell ref="B168:C171"/>
    <mergeCell ref="B130:C133"/>
    <mergeCell ref="B135:C139"/>
    <mergeCell ref="B140:C144"/>
    <mergeCell ref="B146:C150"/>
    <mergeCell ref="B151:C155"/>
    <mergeCell ref="B109:C113"/>
    <mergeCell ref="B114:C115"/>
    <mergeCell ref="B116:C120"/>
    <mergeCell ref="B121:C124"/>
    <mergeCell ref="B126:C129"/>
    <mergeCell ref="B89:C90"/>
    <mergeCell ref="B92:C96"/>
    <mergeCell ref="B98:C100"/>
    <mergeCell ref="B102:C107"/>
    <mergeCell ref="B108:C108"/>
    <mergeCell ref="B63:C68"/>
    <mergeCell ref="B70:C74"/>
    <mergeCell ref="B76:C77"/>
    <mergeCell ref="B79:C82"/>
    <mergeCell ref="B84:C87"/>
    <mergeCell ref="B42:C43"/>
    <mergeCell ref="B45:C49"/>
    <mergeCell ref="B50:C54"/>
    <mergeCell ref="B55:C59"/>
    <mergeCell ref="B60:C61"/>
    <mergeCell ref="B29:C34"/>
    <mergeCell ref="B36:C37"/>
    <mergeCell ref="B38:C39"/>
    <mergeCell ref="B40:C40"/>
    <mergeCell ref="B41:C41"/>
    <mergeCell ref="Q6:S6"/>
    <mergeCell ref="J2:K3"/>
    <mergeCell ref="B9:C14"/>
    <mergeCell ref="B16:C20"/>
    <mergeCell ref="B22:C27"/>
  </mergeCells>
  <dataValidations xWindow="901" yWindow="381" count="4">
    <dataValidation type="whole" operator="greaterThanOrEqual" allowBlank="1" showInputMessage="1" showErrorMessage="1" errorTitle="Invalid entry!" error="An invalid quantity has been entered. Please enter only whole numbers. Click Retry to change entry or Cancel to clear entry." sqref="L317:L65593 L83 L303 L8 L15 L28 L35 L44 L62 L21 L69 L75 L88 L91 L97 L101 L125 L134 L145 L156 L162 L164 L167 L175 L205 L217 L221 L240 L236 L255 L278 L290 L78 L1:L6" xr:uid="{00000000-0002-0000-0200-000000000000}">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00000000-0002-0000-0200-000001000000}">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 sqref="L29:L34 L36:L43 L63:L68 L70:L74 L16:L27 L45:L61 L89:L90 L92:L96 L98:L100 L102:L124 L126:L133 L135:L144 L146:L163 L165:L166 L168:L174 L176:L204 L206:L216 L218:L220 L237:L239 L222:L235 L241:L254 L256:L277 L279:L289 L291:L302 L304:L316 L76:L77 L79:L82 L84:L87 L9:L14" xr:uid="{00000000-0002-0000-0200-000002000000}">
      <formula1>1</formula1>
    </dataValidation>
    <dataValidation allowBlank="1" showErrorMessage="1" sqref="K1:K1048576" xr:uid="{9AA0651F-7390-494C-BEB7-348B8EF1F5C6}"/>
  </dataValidations>
  <printOptions horizontalCentered="1"/>
  <pageMargins left="0.7" right="0.7" top="0.75" bottom="0.75" header="0.3" footer="0.3"/>
  <pageSetup scale="70" fitToHeight="0" orientation="portrait" horizontalDpi="4294967292" r:id="rId1"/>
  <headerFooter>
    <oddFooter>&amp;L&amp;8V12112014&amp;CCopyright 2015
All rights reserved
For Tigre-ADS USA customer and rep use only_x000D_&amp;1#&amp;"Aptos"&amp;11&amp;K000000 TIGRE:Internal&amp;R&amp;P</oddFooter>
  </headerFooter>
  <rowBreaks count="6" manualBreakCount="6">
    <brk id="62" max="8" man="1"/>
    <brk id="101" max="8" man="1"/>
    <brk id="156" max="8" man="1"/>
    <brk id="209" max="8" man="1"/>
    <brk id="249" max="8" man="1"/>
    <brk id="299"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pageSetUpPr fitToPage="1"/>
  </sheetPr>
  <dimension ref="A1:AL737"/>
  <sheetViews>
    <sheetView workbookViewId="0">
      <selection activeCell="F397" sqref="F397"/>
    </sheetView>
  </sheetViews>
  <sheetFormatPr defaultColWidth="0" defaultRowHeight="14.4" zeroHeight="1"/>
  <cols>
    <col min="1" max="1" width="2.33203125" style="101" customWidth="1"/>
    <col min="2" max="3" width="8.6640625" style="17" customWidth="1"/>
    <col min="4" max="4" width="12.6640625" style="20" customWidth="1"/>
    <col min="5" max="5" width="15" style="20" customWidth="1"/>
    <col min="6" max="6" width="50.6640625" style="184" customWidth="1"/>
    <col min="7" max="7" width="10.6640625" style="390" customWidth="1"/>
    <col min="8" max="8" width="10.6640625" style="392" customWidth="1"/>
    <col min="9" max="9" width="13.5546875" style="352" bestFit="1" customWidth="1"/>
    <col min="10" max="10" width="10.6640625" style="182" customWidth="1"/>
    <col min="11" max="11" width="10.6640625" style="17" customWidth="1"/>
    <col min="12" max="12" width="1" style="17" customWidth="1"/>
    <col min="13" max="13" width="10.6640625" style="17" customWidth="1"/>
    <col min="14" max="14" width="2.33203125" style="17" customWidth="1"/>
    <col min="15" max="15" width="12.6640625" style="184" customWidth="1"/>
    <col min="16" max="16" width="10.6640625" style="184" customWidth="1"/>
    <col min="17" max="17" width="11.33203125" style="395" customWidth="1"/>
    <col min="18" max="18" width="10.6640625" style="395" customWidth="1"/>
    <col min="19" max="19" width="13.109375" style="395" customWidth="1"/>
    <col min="20" max="20" width="10.6640625" style="399" customWidth="1"/>
    <col min="21" max="21" width="10.6640625" style="395" customWidth="1"/>
    <col min="22" max="23" width="10.6640625" style="399" customWidth="1"/>
    <col min="24" max="24" width="9.109375" style="17" customWidth="1"/>
    <col min="25" max="25" width="2.109375" style="17" customWidth="1"/>
    <col min="26" max="26" width="0" style="216" hidden="1" customWidth="1"/>
    <col min="27" max="38" width="0" style="17" hidden="1" customWidth="1"/>
    <col min="39" max="16384" width="9.109375" style="17" hidden="1"/>
  </cols>
  <sheetData>
    <row r="1" spans="1:23" ht="18">
      <c r="F1" s="155" t="s">
        <v>330</v>
      </c>
      <c r="G1" s="389"/>
      <c r="H1" s="391"/>
      <c r="O1" s="198"/>
      <c r="P1" s="198"/>
      <c r="Q1" s="389"/>
      <c r="R1" s="389"/>
      <c r="S1" s="389"/>
      <c r="T1" s="398"/>
      <c r="U1" s="389"/>
      <c r="V1" s="398"/>
      <c r="W1" s="398"/>
    </row>
    <row r="2" spans="1:23" ht="15.75" customHeight="1">
      <c r="D2" s="200"/>
      <c r="E2" s="218"/>
      <c r="J2" s="607" t="s">
        <v>59</v>
      </c>
      <c r="K2" s="607"/>
    </row>
    <row r="3" spans="1:23">
      <c r="F3" s="323" t="s">
        <v>331</v>
      </c>
      <c r="J3" s="607"/>
      <c r="K3" s="607"/>
      <c r="O3" s="17"/>
    </row>
    <row r="4" spans="1:23">
      <c r="E4" s="147" t="s">
        <v>5719</v>
      </c>
      <c r="F4" s="327" t="s">
        <v>5975</v>
      </c>
      <c r="O4" s="17"/>
      <c r="P4" s="17"/>
      <c r="Q4" s="321"/>
      <c r="R4" s="321"/>
      <c r="S4" s="321"/>
      <c r="T4" s="352"/>
      <c r="U4" s="321"/>
      <c r="V4" s="352"/>
      <c r="W4" s="352"/>
    </row>
    <row r="5" spans="1:23">
      <c r="F5" s="325" t="s">
        <v>5973</v>
      </c>
      <c r="O5" s="17"/>
      <c r="P5" s="17"/>
      <c r="Q5" s="321"/>
      <c r="R5" s="321"/>
      <c r="S5" s="321"/>
      <c r="T5" s="352"/>
      <c r="U5" s="321"/>
      <c r="V5" s="352"/>
      <c r="W5" s="352"/>
    </row>
    <row r="6" spans="1:23">
      <c r="F6" s="17"/>
      <c r="O6" s="353" t="s">
        <v>63</v>
      </c>
      <c r="P6" s="17"/>
      <c r="Q6" s="614" t="s">
        <v>64</v>
      </c>
      <c r="R6" s="614"/>
      <c r="S6" s="614"/>
      <c r="T6" s="352"/>
      <c r="U6" s="321"/>
      <c r="V6" s="352"/>
      <c r="W6" s="352"/>
    </row>
    <row r="7" spans="1:23" ht="36" customHeight="1">
      <c r="A7" s="535"/>
      <c r="B7" s="136"/>
      <c r="C7" s="136"/>
      <c r="D7" s="136" t="s">
        <v>48</v>
      </c>
      <c r="E7" s="136" t="s">
        <v>49</v>
      </c>
      <c r="F7" s="136" t="s">
        <v>50</v>
      </c>
      <c r="G7" s="231" t="s">
        <v>65</v>
      </c>
      <c r="H7" s="378" t="s">
        <v>66</v>
      </c>
      <c r="I7" s="393" t="s">
        <v>51</v>
      </c>
      <c r="J7" s="157" t="s">
        <v>55</v>
      </c>
      <c r="K7" s="158" t="s">
        <v>52</v>
      </c>
      <c r="M7" s="143" t="s">
        <v>67</v>
      </c>
      <c r="O7" s="213" t="s">
        <v>68</v>
      </c>
      <c r="P7" s="213" t="s">
        <v>69</v>
      </c>
      <c r="Q7" s="396" t="s">
        <v>70</v>
      </c>
      <c r="R7" s="396" t="s">
        <v>71</v>
      </c>
      <c r="S7" s="396" t="s">
        <v>72</v>
      </c>
      <c r="T7" s="383" t="s">
        <v>73</v>
      </c>
      <c r="U7" s="396" t="s">
        <v>333</v>
      </c>
      <c r="V7" s="383" t="s">
        <v>328</v>
      </c>
      <c r="W7" s="383" t="s">
        <v>329</v>
      </c>
    </row>
    <row r="8" spans="1:23" ht="15" customHeight="1">
      <c r="A8" s="101" t="str">
        <f>IF(K8&gt;0,COUNT($A$7:A7)
+COUNT('DWV PVC'!$A$9:$A$316)
+COUNT('DWV ABS'!$A$8:$A$116)+1,"")</f>
        <v/>
      </c>
      <c r="B8" s="608"/>
      <c r="C8" s="609"/>
      <c r="D8" s="369" t="str">
        <f>_xlfn.XLOOKUP(E8,'All Products'!D:D,'All Products'!C:C,FALSE)</f>
        <v>401-005</v>
      </c>
      <c r="E8" s="51">
        <v>100022286</v>
      </c>
      <c r="F8" s="376" t="str">
        <f>_xlfn.XLOOKUP(E8,'All Products'!D:D,'All Products'!E:E,FALSE)</f>
        <v>1/2 TEE SLIP X SLIP X SLIP</v>
      </c>
      <c r="G8" s="232">
        <f>_xlfn.XLOOKUP(E8,'All Products'!D:D,'All Products'!F:F,FALSE)</f>
        <v>150</v>
      </c>
      <c r="H8" s="387">
        <f>_xlfn.XLOOKUP(E8,'All Products'!D:D,'All Products'!G:G,FALSE)</f>
        <v>13500</v>
      </c>
      <c r="I8" s="394">
        <f>_xlfn.XLOOKUP(E8,'All Products'!D:D,'All Products'!H:H,FALSE)</f>
        <v>1.96</v>
      </c>
      <c r="J8" s="183">
        <f>IFERROR(ROUND(I8*Order_Quote!$L$4,2),0)</f>
        <v>1.96</v>
      </c>
      <c r="K8" s="73"/>
      <c r="L8" s="76"/>
      <c r="M8" s="114">
        <f t="shared" ref="M8:M46" si="0">K8/G8</f>
        <v>0</v>
      </c>
      <c r="O8" s="384" t="str">
        <f>_xlfn.XLOOKUP(E8,'All Products'!D:D,'All Products'!I:I,FALSE)</f>
        <v>In Stock</v>
      </c>
      <c r="P8" s="384" t="str">
        <f>_xlfn.XLOOKUP(E8,'All Products'!D:D,'All Products'!J:J,FALSE)</f>
        <v>Manufactured</v>
      </c>
      <c r="Q8" s="397">
        <f>_xlfn.XLOOKUP(E8,'All Products'!D:D,'All Products'!K:K,FALSE)</f>
        <v>49081145224</v>
      </c>
      <c r="R8" s="397">
        <f>_xlfn.XLOOKUP(E8,'All Products'!D:D,'All Products'!L:L,FALSE)</f>
        <v>49081645229</v>
      </c>
      <c r="S8" s="397">
        <f>_xlfn.XLOOKUP(E8,'All Products'!D:D,'All Products'!M:M,FALSE)</f>
        <v>40049081145222</v>
      </c>
      <c r="T8" s="384">
        <f>_xlfn.XLOOKUP(E8,'All Products'!D:D,'All Products'!N:N,FALSE)</f>
        <v>7.1999999999999995E-2</v>
      </c>
      <c r="U8" s="397">
        <f>_xlfn.XLOOKUP(E8,'All Products'!D:D,'All Products'!O:O,FALSE)</f>
        <v>10</v>
      </c>
      <c r="V8" s="384">
        <f>_xlfn.XLOOKUP(E8,'All Products'!D:D,'All Products'!P:P,FALSE)</f>
        <v>12.28</v>
      </c>
      <c r="W8" s="384">
        <f>_xlfn.XLOOKUP(E8,'All Products'!D:D,'All Products'!Q:Q,FALSE)</f>
        <v>0.8</v>
      </c>
    </row>
    <row r="9" spans="1:23" ht="15" customHeight="1">
      <c r="A9" s="101" t="str">
        <f>IF(K9&gt;0,COUNT($A$7:A8)
+COUNT('DWV PVC'!$A$9:$A$316)
+COUNT('DWV ABS'!$A$8:$A$116)+1,"")</f>
        <v/>
      </c>
      <c r="B9" s="610"/>
      <c r="C9" s="611"/>
      <c r="D9" s="369" t="str">
        <f>_xlfn.XLOOKUP(E9,'All Products'!D:D,'All Products'!C:C,FALSE)</f>
        <v>401-007</v>
      </c>
      <c r="E9" s="51">
        <v>100022288</v>
      </c>
      <c r="F9" s="376" t="str">
        <f>_xlfn.XLOOKUP(E9,'All Products'!D:D,'All Products'!E:E,FALSE)</f>
        <v>3/4 TEE SLIP X SLIP X SLIP</v>
      </c>
      <c r="G9" s="232">
        <f>_xlfn.XLOOKUP(E9,'All Products'!D:D,'All Products'!F:F,FALSE)</f>
        <v>100</v>
      </c>
      <c r="H9" s="387">
        <f>_xlfn.XLOOKUP(E9,'All Products'!D:D,'All Products'!G:G,FALSE)</f>
        <v>9000</v>
      </c>
      <c r="I9" s="394">
        <f>_xlfn.XLOOKUP(E9,'All Products'!D:D,'All Products'!H:H,FALSE)</f>
        <v>2.29</v>
      </c>
      <c r="J9" s="183">
        <f>IFERROR(ROUND(I9*Order_Quote!$L$4,2),0)</f>
        <v>2.29</v>
      </c>
      <c r="K9" s="73"/>
      <c r="L9" s="76"/>
      <c r="M9" s="114">
        <f t="shared" si="0"/>
        <v>0</v>
      </c>
      <c r="O9" s="384" t="str">
        <f>_xlfn.XLOOKUP(E9,'All Products'!D:D,'All Products'!I:I,FALSE)</f>
        <v>In Stock</v>
      </c>
      <c r="P9" s="384" t="str">
        <f>_xlfn.XLOOKUP(E9,'All Products'!D:D,'All Products'!J:J,FALSE)</f>
        <v>Manufactured</v>
      </c>
      <c r="Q9" s="397">
        <f>_xlfn.XLOOKUP(E9,'All Products'!D:D,'All Products'!K:K,FALSE)</f>
        <v>49081145286</v>
      </c>
      <c r="R9" s="397">
        <f>_xlfn.XLOOKUP(E9,'All Products'!D:D,'All Products'!L:L,FALSE)</f>
        <v>49081645281</v>
      </c>
      <c r="S9" s="397">
        <f>_xlfn.XLOOKUP(E9,'All Products'!D:D,'All Products'!M:M,FALSE)</f>
        <v>40049081145284</v>
      </c>
      <c r="T9" s="384">
        <f>_xlfn.XLOOKUP(E9,'All Products'!D:D,'All Products'!N:N,FALSE)</f>
        <v>0.113</v>
      </c>
      <c r="U9" s="397">
        <f>_xlfn.XLOOKUP(E9,'All Products'!D:D,'All Products'!O:O,FALSE)</f>
        <v>10</v>
      </c>
      <c r="V9" s="384">
        <f>_xlfn.XLOOKUP(E9,'All Products'!D:D,'All Products'!P:P,FALSE)</f>
        <v>11.68</v>
      </c>
      <c r="W9" s="384">
        <f>_xlfn.XLOOKUP(E9,'All Products'!D:D,'All Products'!Q:Q,FALSE)</f>
        <v>0.8</v>
      </c>
    </row>
    <row r="10" spans="1:23" ht="15" customHeight="1">
      <c r="A10" s="101" t="str">
        <f>IF(K10&gt;0,COUNT($A$7:A9)
+COUNT('DWV PVC'!$A$9:$A$316)
+COUNT('DWV ABS'!$A$8:$A$116)+1,"")</f>
        <v/>
      </c>
      <c r="B10" s="610"/>
      <c r="C10" s="611"/>
      <c r="D10" s="369" t="str">
        <f>_xlfn.XLOOKUP(E10,'All Products'!D:D,'All Products'!C:C,FALSE)</f>
        <v>401-010</v>
      </c>
      <c r="E10" s="51">
        <v>100022291</v>
      </c>
      <c r="F10" s="376" t="str">
        <f>_xlfn.XLOOKUP(E10,'All Products'!D:D,'All Products'!E:E,FALSE)</f>
        <v>1 TEE SLIP X SLIP X SLIP</v>
      </c>
      <c r="G10" s="232">
        <f>_xlfn.XLOOKUP(E10,'All Products'!D:D,'All Products'!F:F,FALSE)</f>
        <v>50</v>
      </c>
      <c r="H10" s="387">
        <f>_xlfn.XLOOKUP(E10,'All Products'!D:D,'All Products'!G:G,FALSE)</f>
        <v>4500</v>
      </c>
      <c r="I10" s="394">
        <f>_xlfn.XLOOKUP(E10,'All Products'!D:D,'All Products'!H:H,FALSE)</f>
        <v>4.25</v>
      </c>
      <c r="J10" s="183">
        <f>IFERROR(ROUND(I10*Order_Quote!$L$4,2),0)</f>
        <v>4.25</v>
      </c>
      <c r="K10" s="73"/>
      <c r="L10" s="76"/>
      <c r="M10" s="114">
        <f t="shared" si="0"/>
        <v>0</v>
      </c>
      <c r="O10" s="384" t="str">
        <f>_xlfn.XLOOKUP(E10,'All Products'!D:D,'All Products'!I:I,FALSE)</f>
        <v>In Stock</v>
      </c>
      <c r="P10" s="384" t="str">
        <f>_xlfn.XLOOKUP(E10,'All Products'!D:D,'All Products'!J:J,FALSE)</f>
        <v>Manufactured</v>
      </c>
      <c r="Q10" s="397">
        <f>_xlfn.XLOOKUP(E10,'All Products'!D:D,'All Products'!K:K,FALSE)</f>
        <v>49081145385</v>
      </c>
      <c r="R10" s="397">
        <f>_xlfn.XLOOKUP(E10,'All Products'!D:D,'All Products'!L:L,FALSE)</f>
        <v>49081645380</v>
      </c>
      <c r="S10" s="397">
        <f>_xlfn.XLOOKUP(E10,'All Products'!D:D,'All Products'!M:M,FALSE)</f>
        <v>40049081145383</v>
      </c>
      <c r="T10" s="384">
        <f>_xlfn.XLOOKUP(E10,'All Products'!D:D,'All Products'!N:N,FALSE)</f>
        <v>0.13600000000000001</v>
      </c>
      <c r="U10" s="397">
        <f>_xlfn.XLOOKUP(E10,'All Products'!D:D,'All Products'!O:O,FALSE)</f>
        <v>10</v>
      </c>
      <c r="V10" s="384">
        <f>_xlfn.XLOOKUP(E10,'All Products'!D:D,'All Products'!P:P,FALSE)</f>
        <v>7.37</v>
      </c>
      <c r="W10" s="384">
        <f>_xlfn.XLOOKUP(E10,'All Products'!D:D,'All Products'!Q:Q,FALSE)</f>
        <v>0.8</v>
      </c>
    </row>
    <row r="11" spans="1:23" ht="15" customHeight="1">
      <c r="B11" s="610"/>
      <c r="C11" s="611"/>
      <c r="D11" s="369" t="str">
        <f>_xlfn.XLOOKUP(E11,'All Products'!D:D,'All Products'!C:C,FALSE)</f>
        <v>401-012</v>
      </c>
      <c r="E11" s="51">
        <v>100022293</v>
      </c>
      <c r="F11" s="376" t="str">
        <f>_xlfn.XLOOKUP(E11,'All Products'!D:D,'All Products'!E:E,FALSE)</f>
        <v>1-1/4 TEE SLIP X SLIP X SLIP</v>
      </c>
      <c r="G11" s="232">
        <f>_xlfn.XLOOKUP(E11,'All Products'!D:D,'All Products'!F:F,FALSE)</f>
        <v>40</v>
      </c>
      <c r="H11" s="387">
        <f>_xlfn.XLOOKUP(E11,'All Products'!D:D,'All Products'!G:G,FALSE)</f>
        <v>1800</v>
      </c>
      <c r="I11" s="394">
        <f>_xlfn.XLOOKUP(E11,'All Products'!D:D,'All Products'!H:H,FALSE)</f>
        <v>6.31</v>
      </c>
      <c r="J11" s="183">
        <f>IFERROR(ROUND(I11*Order_Quote!$L$4,2),0)</f>
        <v>6.31</v>
      </c>
      <c r="K11" s="73"/>
      <c r="L11" s="76"/>
      <c r="M11" s="114">
        <f t="shared" ref="M11" si="1">K11/G11</f>
        <v>0</v>
      </c>
      <c r="O11" s="384" t="str">
        <f>_xlfn.XLOOKUP(E11,'All Products'!D:D,'All Products'!I:I,FALSE)</f>
        <v>In Stock</v>
      </c>
      <c r="P11" s="384" t="str">
        <f>_xlfn.XLOOKUP(E11,'All Products'!D:D,'All Products'!J:J,FALSE)</f>
        <v>Manufactured</v>
      </c>
      <c r="Q11" s="397">
        <f>_xlfn.XLOOKUP(E11,'All Products'!D:D,'All Products'!K:K,FALSE)</f>
        <v>49081145606</v>
      </c>
      <c r="R11" s="397" t="str">
        <f>_xlfn.XLOOKUP(E11,'All Products'!D:D,'All Products'!L:L,FALSE)</f>
        <v>-</v>
      </c>
      <c r="S11" s="397">
        <f>_xlfn.XLOOKUP(E11,'All Products'!D:D,'All Products'!M:M,FALSE)</f>
        <v>40049081145604</v>
      </c>
      <c r="T11" s="384">
        <f>_xlfn.XLOOKUP(E11,'All Products'!D:D,'All Products'!N:N,FALSE)</f>
        <v>0.29299999999999998</v>
      </c>
      <c r="U11" s="397" t="str">
        <f>_xlfn.XLOOKUP(E11,'All Products'!D:D,'All Products'!O:O,FALSE)</f>
        <v>-</v>
      </c>
      <c r="V11" s="384">
        <f>_xlfn.XLOOKUP(E11,'All Products'!D:D,'All Products'!P:P,FALSE)</f>
        <v>12.72</v>
      </c>
      <c r="W11" s="384">
        <f>_xlfn.XLOOKUP(E11,'All Products'!D:D,'All Products'!Q:Q,FALSE)</f>
        <v>0.99</v>
      </c>
    </row>
    <row r="12" spans="1:23" ht="15" customHeight="1">
      <c r="A12" s="101" t="str">
        <f>IF(K12&gt;0,COUNT($A$7:A10)
+COUNT('DWV PVC'!$A$9:$A$316)
+COUNT('DWV ABS'!$A$8:$A$116)+1,"")</f>
        <v/>
      </c>
      <c r="B12" s="610"/>
      <c r="C12" s="611"/>
      <c r="D12" s="369" t="str">
        <f>_xlfn.XLOOKUP(E12,'All Products'!D:D,'All Products'!C:C,FALSE)</f>
        <v>401-015</v>
      </c>
      <c r="E12" s="51">
        <v>100022295</v>
      </c>
      <c r="F12" s="376" t="str">
        <f>_xlfn.XLOOKUP(E12,'All Products'!D:D,'All Products'!E:E,FALSE)</f>
        <v>1-1/2 TEE SLIP X SLIP X SLIP</v>
      </c>
      <c r="G12" s="232">
        <f>_xlfn.XLOOKUP(E12,'All Products'!D:D,'All Products'!F:F,FALSE)</f>
        <v>25</v>
      </c>
      <c r="H12" s="387">
        <f>_xlfn.XLOOKUP(E12,'All Products'!D:D,'All Products'!G:G,FALSE)</f>
        <v>2250</v>
      </c>
      <c r="I12" s="394">
        <f>_xlfn.XLOOKUP(E12,'All Products'!D:D,'All Products'!H:H,FALSE)</f>
        <v>8.06</v>
      </c>
      <c r="J12" s="183">
        <f>IFERROR(ROUND(I12*Order_Quote!$L$4,2),0)</f>
        <v>8.06</v>
      </c>
      <c r="K12" s="73"/>
      <c r="L12" s="76"/>
      <c r="M12" s="114">
        <f t="shared" si="0"/>
        <v>0</v>
      </c>
      <c r="O12" s="384" t="str">
        <f>_xlfn.XLOOKUP(E12,'All Products'!D:D,'All Products'!I:I,FALSE)</f>
        <v>In Stock</v>
      </c>
      <c r="P12" s="384" t="str">
        <f>_xlfn.XLOOKUP(E12,'All Products'!D:D,'All Products'!J:J,FALSE)</f>
        <v>Manufactured</v>
      </c>
      <c r="Q12" s="397">
        <f>_xlfn.XLOOKUP(E12,'All Products'!D:D,'All Products'!K:K,FALSE)</f>
        <v>49081145866</v>
      </c>
      <c r="R12" s="397" t="str">
        <f>_xlfn.XLOOKUP(E12,'All Products'!D:D,'All Products'!L:L,FALSE)</f>
        <v>-</v>
      </c>
      <c r="S12" s="397">
        <f>_xlfn.XLOOKUP(E12,'All Products'!D:D,'All Products'!M:M,FALSE)</f>
        <v>40049081145864</v>
      </c>
      <c r="T12" s="384">
        <f>_xlfn.XLOOKUP(E12,'All Products'!D:D,'All Products'!N:N,FALSE)</f>
        <v>0.374</v>
      </c>
      <c r="U12" s="397">
        <f>_xlfn.XLOOKUP(E12,'All Products'!D:D,'All Products'!O:O,FALSE)</f>
        <v>1</v>
      </c>
      <c r="V12" s="384">
        <f>_xlfn.XLOOKUP(E12,'All Products'!D:D,'All Products'!P:P,FALSE)</f>
        <v>9.83</v>
      </c>
      <c r="W12" s="384">
        <f>_xlfn.XLOOKUP(E12,'All Products'!D:D,'All Products'!Q:Q,FALSE)</f>
        <v>0.8</v>
      </c>
    </row>
    <row r="13" spans="1:23" ht="15" customHeight="1">
      <c r="A13" s="101" t="str">
        <f>IF(K13&gt;0,COUNT($A$7:A12)
+COUNT('DWV PVC'!$A$9:$A$316)
+COUNT('DWV ABS'!$A$8:$A$116)+1,"")</f>
        <v/>
      </c>
      <c r="B13" s="610"/>
      <c r="C13" s="611"/>
      <c r="D13" s="369" t="str">
        <f>_xlfn.XLOOKUP(E13,'All Products'!D:D,'All Products'!C:C,FALSE)</f>
        <v>401-020</v>
      </c>
      <c r="E13" s="51">
        <v>100022297</v>
      </c>
      <c r="F13" s="376" t="str">
        <f>_xlfn.XLOOKUP(E13,'All Products'!D:D,'All Products'!E:E,FALSE)</f>
        <v>2 TEE SLIP X SLIP X SLIP</v>
      </c>
      <c r="G13" s="232">
        <f>_xlfn.XLOOKUP(E13,'All Products'!D:D,'All Products'!F:F,FALSE)</f>
        <v>15</v>
      </c>
      <c r="H13" s="387">
        <f>_xlfn.XLOOKUP(E13,'All Products'!D:D,'All Products'!G:G,FALSE)</f>
        <v>1350</v>
      </c>
      <c r="I13" s="394">
        <f>_xlfn.XLOOKUP(E13,'All Products'!D:D,'All Products'!H:H,FALSE)</f>
        <v>11.75</v>
      </c>
      <c r="J13" s="183">
        <f>IFERROR(ROUND(I13*Order_Quote!$L$4,2),0)</f>
        <v>11.75</v>
      </c>
      <c r="K13" s="73"/>
      <c r="L13" s="76"/>
      <c r="M13" s="114">
        <f t="shared" si="0"/>
        <v>0</v>
      </c>
      <c r="O13" s="384" t="str">
        <f>_xlfn.XLOOKUP(E13,'All Products'!D:D,'All Products'!I:I,FALSE)</f>
        <v>In Stock</v>
      </c>
      <c r="P13" s="384" t="str">
        <f>_xlfn.XLOOKUP(E13,'All Products'!D:D,'All Products'!J:J,FALSE)</f>
        <v>Manufactured</v>
      </c>
      <c r="Q13" s="397">
        <f>_xlfn.XLOOKUP(E13,'All Products'!D:D,'All Products'!K:K,FALSE)</f>
        <v>49081146245</v>
      </c>
      <c r="R13" s="397" t="str">
        <f>_xlfn.XLOOKUP(E13,'All Products'!D:D,'All Products'!L:L,FALSE)</f>
        <v>-</v>
      </c>
      <c r="S13" s="397">
        <f>_xlfn.XLOOKUP(E13,'All Products'!D:D,'All Products'!M:M,FALSE)</f>
        <v>40049081146243</v>
      </c>
      <c r="T13" s="384">
        <f>_xlfn.XLOOKUP(E13,'All Products'!D:D,'All Products'!N:N,FALSE)</f>
        <v>0.60699999999999998</v>
      </c>
      <c r="U13" s="397" t="str">
        <f>_xlfn.XLOOKUP(E13,'All Products'!D:D,'All Products'!O:O,FALSE)</f>
        <v>-</v>
      </c>
      <c r="V13" s="384">
        <f>_xlfn.XLOOKUP(E13,'All Products'!D:D,'All Products'!P:P,FALSE)</f>
        <v>8.84</v>
      </c>
      <c r="W13" s="384">
        <f>_xlfn.XLOOKUP(E13,'All Products'!D:D,'All Products'!Q:Q,FALSE)</f>
        <v>0.8</v>
      </c>
    </row>
    <row r="14" spans="1:23" ht="15" customHeight="1">
      <c r="A14" s="101" t="str">
        <f>IF(K14&gt;0,COUNT($A$7:A13)
+COUNT('DWV PVC'!$A$9:$A$316)
+COUNT('DWV ABS'!$A$8:$A$116)+1,"")</f>
        <v/>
      </c>
      <c r="B14" s="610"/>
      <c r="C14" s="611"/>
      <c r="D14" s="369" t="str">
        <f>_xlfn.XLOOKUP(E14,'All Products'!D:D,'All Products'!C:C,FALSE)</f>
        <v>401-025</v>
      </c>
      <c r="E14" s="51">
        <v>100022299</v>
      </c>
      <c r="F14" s="376" t="str">
        <f>_xlfn.XLOOKUP(E14,'All Products'!D:D,'All Products'!E:E,FALSE)</f>
        <v>2-1/2 TEE SLIP X SLIP X SLIP</v>
      </c>
      <c r="G14" s="232">
        <f>_xlfn.XLOOKUP(E14,'All Products'!D:D,'All Products'!F:F,FALSE)</f>
        <v>8</v>
      </c>
      <c r="H14" s="387">
        <f>_xlfn.XLOOKUP(E14,'All Products'!D:D,'All Products'!G:G,FALSE)</f>
        <v>720</v>
      </c>
      <c r="I14" s="394">
        <f>_xlfn.XLOOKUP(E14,'All Products'!D:D,'All Products'!H:H,FALSE)</f>
        <v>38.71</v>
      </c>
      <c r="J14" s="183">
        <f>IFERROR(ROUND(I14*Order_Quote!$L$4,2),0)</f>
        <v>38.71</v>
      </c>
      <c r="K14" s="73"/>
      <c r="L14" s="76"/>
      <c r="M14" s="114">
        <f t="shared" si="0"/>
        <v>0</v>
      </c>
      <c r="O14" s="384" t="str">
        <f>_xlfn.XLOOKUP(E14,'All Products'!D:D,'All Products'!I:I,FALSE)</f>
        <v>In Stock</v>
      </c>
      <c r="P14" s="384" t="str">
        <f>_xlfn.XLOOKUP(E14,'All Products'!D:D,'All Products'!J:J,FALSE)</f>
        <v>Manufactured</v>
      </c>
      <c r="Q14" s="397">
        <f>_xlfn.XLOOKUP(E14,'All Products'!D:D,'All Products'!K:K,FALSE)</f>
        <v>49081146566</v>
      </c>
      <c r="R14" s="397" t="str">
        <f>_xlfn.XLOOKUP(E14,'All Products'!D:D,'All Products'!L:L,FALSE)</f>
        <v>-</v>
      </c>
      <c r="S14" s="397">
        <f>_xlfn.XLOOKUP(E14,'All Products'!D:D,'All Products'!M:M,FALSE)</f>
        <v>40049081146564</v>
      </c>
      <c r="T14" s="384">
        <f>_xlfn.XLOOKUP(E14,'All Products'!D:D,'All Products'!N:N,FALSE)</f>
        <v>0.99399999999999999</v>
      </c>
      <c r="U14" s="397" t="str">
        <f>_xlfn.XLOOKUP(E14,'All Products'!D:D,'All Products'!O:O,FALSE)</f>
        <v>-</v>
      </c>
      <c r="V14" s="384">
        <f>_xlfn.XLOOKUP(E14,'All Products'!D:D,'All Products'!P:P,FALSE)</f>
        <v>8.85</v>
      </c>
      <c r="W14" s="384">
        <f>_xlfn.XLOOKUP(E14,'All Products'!D:D,'All Products'!Q:Q,FALSE)</f>
        <v>0.8</v>
      </c>
    </row>
    <row r="15" spans="1:23" ht="15" customHeight="1">
      <c r="A15" s="101" t="str">
        <f>IF(K15&gt;0,COUNT($A$7:A14)
+COUNT('DWV PVC'!$A$9:$A$316)
+COUNT('DWV ABS'!$A$8:$A$116)+1,"")</f>
        <v/>
      </c>
      <c r="B15" s="610"/>
      <c r="C15" s="611"/>
      <c r="D15" s="369" t="str">
        <f>_xlfn.XLOOKUP(E15,'All Products'!D:D,'All Products'!C:C,FALSE)</f>
        <v>401-030</v>
      </c>
      <c r="E15" s="51">
        <v>100022301</v>
      </c>
      <c r="F15" s="376" t="str">
        <f>_xlfn.XLOOKUP(E15,'All Products'!D:D,'All Products'!E:E,FALSE)</f>
        <v>3 TEE SLIP X SLIP X SLIP</v>
      </c>
      <c r="G15" s="232">
        <f>_xlfn.XLOOKUP(E15,'All Products'!D:D,'All Products'!F:F,FALSE)</f>
        <v>5</v>
      </c>
      <c r="H15" s="387">
        <f>_xlfn.XLOOKUP(E15,'All Products'!D:D,'All Products'!G:G,FALSE)</f>
        <v>600</v>
      </c>
      <c r="I15" s="394">
        <f>_xlfn.XLOOKUP(E15,'All Products'!D:D,'All Products'!H:H,FALSE)</f>
        <v>50.86</v>
      </c>
      <c r="J15" s="183">
        <f>IFERROR(ROUND(I15*Order_Quote!$L$4,2),0)</f>
        <v>50.86</v>
      </c>
      <c r="K15" s="73"/>
      <c r="L15" s="76"/>
      <c r="M15" s="114">
        <f t="shared" si="0"/>
        <v>0</v>
      </c>
      <c r="O15" s="384" t="str">
        <f>_xlfn.XLOOKUP(E15,'All Products'!D:D,'All Products'!I:I,FALSE)</f>
        <v>In Stock</v>
      </c>
      <c r="P15" s="384" t="str">
        <f>_xlfn.XLOOKUP(E15,'All Products'!D:D,'All Products'!J:J,FALSE)</f>
        <v>Manufactured</v>
      </c>
      <c r="Q15" s="397">
        <f>_xlfn.XLOOKUP(E15,'All Products'!D:D,'All Products'!K:K,FALSE)</f>
        <v>49081146702</v>
      </c>
      <c r="R15" s="397" t="str">
        <f>_xlfn.XLOOKUP(E15,'All Products'!D:D,'All Products'!L:L,FALSE)</f>
        <v>-</v>
      </c>
      <c r="S15" s="397">
        <f>_xlfn.XLOOKUP(E15,'All Products'!D:D,'All Products'!M:M,FALSE)</f>
        <v>40049081146700</v>
      </c>
      <c r="T15" s="384">
        <f>_xlfn.XLOOKUP(E15,'All Products'!D:D,'All Products'!N:N,FALSE)</f>
        <v>1.417</v>
      </c>
      <c r="U15" s="397" t="str">
        <f>_xlfn.XLOOKUP(E15,'All Products'!D:D,'All Products'!O:O,FALSE)</f>
        <v>-</v>
      </c>
      <c r="V15" s="384">
        <f>_xlfn.XLOOKUP(E15,'All Products'!D:D,'All Products'!P:P,FALSE)</f>
        <v>7.71</v>
      </c>
      <c r="W15" s="384">
        <f>_xlfn.XLOOKUP(E15,'All Products'!D:D,'All Products'!Q:Q,FALSE)</f>
        <v>0.65</v>
      </c>
    </row>
    <row r="16" spans="1:23" ht="15" customHeight="1">
      <c r="A16" s="101" t="str">
        <f>IF(K16&gt;0,COUNT($A$7:A15)
+COUNT('DWV PVC'!$A$9:$A$316)
+COUNT('DWV ABS'!$A$8:$A$116)+1,"")</f>
        <v/>
      </c>
      <c r="B16" s="610"/>
      <c r="C16" s="611"/>
      <c r="D16" s="369" t="str">
        <f>_xlfn.XLOOKUP(E16,'All Products'!D:D,'All Products'!C:C,FALSE)</f>
        <v>401-040</v>
      </c>
      <c r="E16" s="51">
        <v>100022303</v>
      </c>
      <c r="F16" s="376" t="str">
        <f>_xlfn.XLOOKUP(E16,'All Products'!D:D,'All Products'!E:E,FALSE)</f>
        <v>4 TEE SLIP X SLIP X SLIP</v>
      </c>
      <c r="G16" s="232">
        <f>_xlfn.XLOOKUP(E16,'All Products'!D:D,'All Products'!F:F,FALSE)</f>
        <v>3</v>
      </c>
      <c r="H16" s="387">
        <f>_xlfn.XLOOKUP(E16,'All Products'!D:D,'All Products'!G:G,FALSE)</f>
        <v>270</v>
      </c>
      <c r="I16" s="394">
        <f>_xlfn.XLOOKUP(E16,'All Products'!D:D,'All Products'!H:H,FALSE)</f>
        <v>92.07</v>
      </c>
      <c r="J16" s="183">
        <f>IFERROR(ROUND(I16*Order_Quote!$L$4,2),0)</f>
        <v>92.07</v>
      </c>
      <c r="K16" s="73"/>
      <c r="L16" s="76"/>
      <c r="M16" s="114">
        <f t="shared" si="0"/>
        <v>0</v>
      </c>
      <c r="O16" s="384" t="str">
        <f>_xlfn.XLOOKUP(E16,'All Products'!D:D,'All Products'!I:I,FALSE)</f>
        <v>In Stock</v>
      </c>
      <c r="P16" s="384" t="str">
        <f>_xlfn.XLOOKUP(E16,'All Products'!D:D,'All Products'!J:J,FALSE)</f>
        <v>Manufactured</v>
      </c>
      <c r="Q16" s="397">
        <f>_xlfn.XLOOKUP(E16,'All Products'!D:D,'All Products'!K:K,FALSE)</f>
        <v>49081146863</v>
      </c>
      <c r="R16" s="397" t="str">
        <f>_xlfn.XLOOKUP(E16,'All Products'!D:D,'All Products'!L:L,FALSE)</f>
        <v>-</v>
      </c>
      <c r="S16" s="397">
        <f>_xlfn.XLOOKUP(E16,'All Products'!D:D,'All Products'!M:M,FALSE)</f>
        <v>40049081146861</v>
      </c>
      <c r="T16" s="384">
        <f>_xlfn.XLOOKUP(E16,'All Products'!D:D,'All Products'!N:N,FALSE)</f>
        <v>2.298</v>
      </c>
      <c r="U16" s="397" t="str">
        <f>_xlfn.XLOOKUP(E16,'All Products'!D:D,'All Products'!O:O,FALSE)</f>
        <v>-</v>
      </c>
      <c r="V16" s="384">
        <f>_xlfn.XLOOKUP(E16,'All Products'!D:D,'All Products'!P:P,FALSE)</f>
        <v>8.15</v>
      </c>
      <c r="W16" s="384">
        <f>_xlfn.XLOOKUP(E16,'All Products'!D:D,'All Products'!Q:Q,FALSE)</f>
        <v>0.8</v>
      </c>
    </row>
    <row r="17" spans="1:23" ht="15" customHeight="1">
      <c r="A17" s="101" t="str">
        <f>IF(K17&gt;0,COUNT($A$7:A16)
+COUNT('DWV PVC'!$A$9:$A$316)
+COUNT('DWV ABS'!$A$8:$A$116)+1,"")</f>
        <v/>
      </c>
      <c r="B17" s="610"/>
      <c r="C17" s="611"/>
      <c r="D17" s="369" t="str">
        <f>_xlfn.XLOOKUP(E17,'All Products'!D:D,'All Products'!C:C,FALSE)</f>
        <v>401-050</v>
      </c>
      <c r="E17" s="51">
        <v>100022305</v>
      </c>
      <c r="F17" s="376" t="str">
        <f>_xlfn.XLOOKUP(E17,'All Products'!D:D,'All Products'!E:E,FALSE)</f>
        <v>5 TEE SLIP X SLIP X SLIP</v>
      </c>
      <c r="G17" s="232">
        <f>_xlfn.XLOOKUP(E17,'All Products'!D:D,'All Products'!F:F,FALSE)</f>
        <v>1</v>
      </c>
      <c r="H17" s="387">
        <f>_xlfn.XLOOKUP(E17,'All Products'!D:D,'All Products'!G:G,FALSE)</f>
        <v>90</v>
      </c>
      <c r="I17" s="394">
        <f>_xlfn.XLOOKUP(E17,'All Products'!D:D,'All Products'!H:H,FALSE)</f>
        <v>222.32</v>
      </c>
      <c r="J17" s="183">
        <f>IFERROR(ROUND(I17*Order_Quote!$L$4,2),0)</f>
        <v>222.32</v>
      </c>
      <c r="K17" s="73"/>
      <c r="L17" s="76"/>
      <c r="M17" s="114">
        <f t="shared" si="0"/>
        <v>0</v>
      </c>
      <c r="O17" s="384" t="str">
        <f>_xlfn.XLOOKUP(E17,'All Products'!D:D,'All Products'!I:I,FALSE)</f>
        <v>Within 3 Weeks</v>
      </c>
      <c r="P17" s="384" t="str">
        <f>_xlfn.XLOOKUP(E17,'All Products'!D:D,'All Products'!J:J,FALSE)</f>
        <v>Manufactured</v>
      </c>
      <c r="Q17" s="397">
        <f>_xlfn.XLOOKUP(E17,'All Products'!D:D,'All Products'!K:K,FALSE)</f>
        <v>49081147044</v>
      </c>
      <c r="R17" s="397" t="str">
        <f>_xlfn.XLOOKUP(E17,'All Products'!D:D,'All Products'!L:L,FALSE)</f>
        <v>-</v>
      </c>
      <c r="S17" s="397">
        <f>_xlfn.XLOOKUP(E17,'All Products'!D:D,'All Products'!M:M,FALSE)</f>
        <v>40049081147042</v>
      </c>
      <c r="T17" s="384">
        <f>_xlfn.XLOOKUP(E17,'All Products'!D:D,'All Products'!N:N,FALSE)</f>
        <v>5.8310000000000004</v>
      </c>
      <c r="U17" s="397" t="str">
        <f>_xlfn.XLOOKUP(E17,'All Products'!D:D,'All Products'!O:O,FALSE)</f>
        <v>-</v>
      </c>
      <c r="V17" s="384">
        <f>_xlfn.XLOOKUP(E17,'All Products'!D:D,'All Products'!P:P,FALSE)</f>
        <v>5.83</v>
      </c>
      <c r="W17" s="384">
        <f>_xlfn.XLOOKUP(E17,'All Products'!D:D,'All Products'!Q:Q,FALSE)</f>
        <v>0.8</v>
      </c>
    </row>
    <row r="18" spans="1:23" ht="15" customHeight="1">
      <c r="A18" s="101" t="str">
        <f>IF(K18&gt;0,COUNT($A$7:A17)
+COUNT('DWV PVC'!$A$9:$A$316)
+COUNT('DWV ABS'!$A$8:$A$116)+1,"")</f>
        <v/>
      </c>
      <c r="B18" s="610"/>
      <c r="C18" s="611"/>
      <c r="D18" s="369" t="str">
        <f>_xlfn.XLOOKUP(E18,'All Products'!D:D,'All Products'!C:C,FALSE)</f>
        <v>401-060</v>
      </c>
      <c r="E18" s="51">
        <v>100022307</v>
      </c>
      <c r="F18" s="376" t="str">
        <f>_xlfn.XLOOKUP(E18,'All Products'!D:D,'All Products'!E:E,FALSE)</f>
        <v>6 TEE SLIP X SLIP X SLIP</v>
      </c>
      <c r="G18" s="232">
        <f>_xlfn.XLOOKUP(E18,'All Products'!D:D,'All Products'!F:F,FALSE)</f>
        <v>1</v>
      </c>
      <c r="H18" s="387">
        <f>_xlfn.XLOOKUP(E18,'All Products'!D:D,'All Products'!G:G,FALSE)</f>
        <v>75</v>
      </c>
      <c r="I18" s="394">
        <f>_xlfn.XLOOKUP(E18,'All Products'!D:D,'All Products'!H:H,FALSE)</f>
        <v>309.88</v>
      </c>
      <c r="J18" s="183">
        <f>IFERROR(ROUND(I18*Order_Quote!$L$4,2),0)</f>
        <v>309.88</v>
      </c>
      <c r="K18" s="73"/>
      <c r="L18" s="76"/>
      <c r="M18" s="114">
        <f t="shared" si="0"/>
        <v>0</v>
      </c>
      <c r="O18" s="384" t="str">
        <f>_xlfn.XLOOKUP(E18,'All Products'!D:D,'All Products'!I:I,FALSE)</f>
        <v>In Stock</v>
      </c>
      <c r="P18" s="384" t="str">
        <f>_xlfn.XLOOKUP(E18,'All Products'!D:D,'All Products'!J:J,FALSE)</f>
        <v>Manufactured</v>
      </c>
      <c r="Q18" s="397">
        <f>_xlfn.XLOOKUP(E18,'All Products'!D:D,'All Products'!K:K,FALSE)</f>
        <v>49081147129</v>
      </c>
      <c r="R18" s="397" t="str">
        <f>_xlfn.XLOOKUP(E18,'All Products'!D:D,'All Products'!L:L,FALSE)</f>
        <v>-</v>
      </c>
      <c r="S18" s="397">
        <f>_xlfn.XLOOKUP(E18,'All Products'!D:D,'All Products'!M:M,FALSE)</f>
        <v>40049081147127</v>
      </c>
      <c r="T18" s="384">
        <f>_xlfn.XLOOKUP(E18,'All Products'!D:D,'All Products'!N:N,FALSE)</f>
        <v>6.9569999999999999</v>
      </c>
      <c r="U18" s="397" t="str">
        <f>_xlfn.XLOOKUP(E18,'All Products'!D:D,'All Products'!O:O,FALSE)</f>
        <v>-</v>
      </c>
      <c r="V18" s="384">
        <f>_xlfn.XLOOKUP(E18,'All Products'!D:D,'All Products'!P:P,FALSE)</f>
        <v>7.76</v>
      </c>
      <c r="W18" s="384">
        <f>_xlfn.XLOOKUP(E18,'All Products'!D:D,'All Products'!Q:Q,FALSE)</f>
        <v>0.95</v>
      </c>
    </row>
    <row r="19" spans="1:23" ht="15" customHeight="1">
      <c r="A19" s="101" t="str">
        <f>IF(K19&gt;0,COUNT($A$7:A18)
+COUNT('DWV PVC'!$A$9:$A$316)
+COUNT('DWV ABS'!$A$8:$A$116)+1,"")</f>
        <v/>
      </c>
      <c r="B19" s="612"/>
      <c r="C19" s="613"/>
      <c r="D19" s="369" t="str">
        <f>_xlfn.XLOOKUP(E19,'All Products'!D:D,'All Products'!C:C,FALSE)</f>
        <v>401-080</v>
      </c>
      <c r="E19" s="51">
        <v>100022311</v>
      </c>
      <c r="F19" s="376" t="str">
        <f>_xlfn.XLOOKUP(E19,'All Products'!D:D,'All Products'!E:E,FALSE)</f>
        <v>8 TEE SLIP X SLIP X SLIP</v>
      </c>
      <c r="G19" s="232">
        <f>_xlfn.XLOOKUP(E19,'All Products'!D:D,'All Products'!F:F,FALSE)</f>
        <v>2</v>
      </c>
      <c r="H19" s="387">
        <f>_xlfn.XLOOKUP(E19,'All Products'!D:D,'All Products'!G:G,FALSE)</f>
        <v>36</v>
      </c>
      <c r="I19" s="394">
        <f>_xlfn.XLOOKUP(E19,'All Products'!D:D,'All Products'!H:H,FALSE)</f>
        <v>718.58</v>
      </c>
      <c r="J19" s="183">
        <f>IFERROR(ROUND(I19*Order_Quote!$L$4,2),0)</f>
        <v>718.58</v>
      </c>
      <c r="K19" s="73"/>
      <c r="L19" s="76"/>
      <c r="M19" s="114">
        <f t="shared" si="0"/>
        <v>0</v>
      </c>
      <c r="O19" s="384" t="str">
        <f>_xlfn.XLOOKUP(E19,'All Products'!D:D,'All Products'!I:I,FALSE)</f>
        <v>In Stock</v>
      </c>
      <c r="P19" s="384" t="str">
        <f>_xlfn.XLOOKUP(E19,'All Products'!D:D,'All Products'!J:J,FALSE)</f>
        <v>Manufactured</v>
      </c>
      <c r="Q19" s="397">
        <f>_xlfn.XLOOKUP(E19,'All Products'!D:D,'All Products'!K:K,FALSE)</f>
        <v>49081147204</v>
      </c>
      <c r="R19" s="397" t="str">
        <f>_xlfn.XLOOKUP(E19,'All Products'!D:D,'All Products'!L:L,FALSE)</f>
        <v>-</v>
      </c>
      <c r="S19" s="397">
        <f>_xlfn.XLOOKUP(E19,'All Products'!D:D,'All Products'!M:M,FALSE)</f>
        <v>40049081147202</v>
      </c>
      <c r="T19" s="384">
        <f>_xlfn.XLOOKUP(E19,'All Products'!D:D,'All Products'!N:N,FALSE)</f>
        <v>13.36</v>
      </c>
      <c r="U19" s="397" t="str">
        <f>_xlfn.XLOOKUP(E19,'All Products'!D:D,'All Products'!O:O,FALSE)</f>
        <v>-</v>
      </c>
      <c r="V19" s="384">
        <f>_xlfn.XLOOKUP(E19,'All Products'!D:D,'All Products'!P:P,FALSE)</f>
        <v>31.6</v>
      </c>
      <c r="W19" s="384">
        <f>_xlfn.XLOOKUP(E19,'All Products'!D:D,'All Products'!Q:Q,FALSE)</f>
        <v>4.38</v>
      </c>
    </row>
    <row r="20" spans="1:23" ht="15" customHeight="1">
      <c r="A20" s="101" t="str">
        <f>IF(K20&gt;0,COUNT($A$7:A19)
+COUNT('DWV PVC'!$A$9:$A$316)
+COUNT('DWV ABS'!$A$8:$A$116)+1,"")</f>
        <v/>
      </c>
      <c r="B20" s="608"/>
      <c r="C20" s="609"/>
      <c r="D20" s="369" t="str">
        <f>_xlfn.XLOOKUP(E20,'All Products'!D:D,'All Products'!C:C,FALSE)</f>
        <v>401-101</v>
      </c>
      <c r="E20" s="51">
        <v>100022315</v>
      </c>
      <c r="F20" s="376" t="str">
        <f>_xlfn.XLOOKUP(E20,'All Products'!D:D,'All Products'!E:E,FALSE)</f>
        <v>3/4X1/2 REDUCING TEE SXSXS</v>
      </c>
      <c r="G20" s="232">
        <f>_xlfn.XLOOKUP(E20,'All Products'!D:D,'All Products'!F:F,FALSE)</f>
        <v>100</v>
      </c>
      <c r="H20" s="387">
        <f>_xlfn.XLOOKUP(E20,'All Products'!D:D,'All Products'!G:G,FALSE)</f>
        <v>12000</v>
      </c>
      <c r="I20" s="394">
        <f>_xlfn.XLOOKUP(E20,'All Products'!D:D,'All Products'!H:H,FALSE)</f>
        <v>2.65</v>
      </c>
      <c r="J20" s="183">
        <f>IFERROR(ROUND(I20*Order_Quote!$L$4,2),0)</f>
        <v>2.65</v>
      </c>
      <c r="K20" s="73"/>
      <c r="L20" s="76"/>
      <c r="M20" s="114">
        <f t="shared" si="0"/>
        <v>0</v>
      </c>
      <c r="O20" s="384" t="str">
        <f>_xlfn.XLOOKUP(E20,'All Products'!D:D,'All Products'!I:I,FALSE)</f>
        <v>In Stock</v>
      </c>
      <c r="P20" s="384" t="str">
        <f>_xlfn.XLOOKUP(E20,'All Products'!D:D,'All Products'!J:J,FALSE)</f>
        <v>Manufactured</v>
      </c>
      <c r="Q20" s="397">
        <f>_xlfn.XLOOKUP(E20,'All Products'!D:D,'All Products'!K:K,FALSE)</f>
        <v>49081145323</v>
      </c>
      <c r="R20" s="397">
        <f>_xlfn.XLOOKUP(E20,'All Products'!D:D,'All Products'!L:L,FALSE)</f>
        <v>49081645328</v>
      </c>
      <c r="S20" s="397">
        <f>_xlfn.XLOOKUP(E20,'All Products'!D:D,'All Products'!M:M,FALSE)</f>
        <v>40049081145321</v>
      </c>
      <c r="T20" s="384">
        <f>_xlfn.XLOOKUP(E20,'All Products'!D:D,'All Products'!N:N,FALSE)</f>
        <v>8.1000000000000003E-2</v>
      </c>
      <c r="U20" s="397">
        <f>_xlfn.XLOOKUP(E20,'All Products'!D:D,'All Products'!O:O,FALSE)</f>
        <v>10</v>
      </c>
      <c r="V20" s="384">
        <f>_xlfn.XLOOKUP(E20,'All Products'!D:D,'All Products'!P:P,FALSE)</f>
        <v>9.23</v>
      </c>
      <c r="W20" s="384">
        <f>_xlfn.XLOOKUP(E20,'All Products'!D:D,'All Products'!Q:Q,FALSE)</f>
        <v>0.65</v>
      </c>
    </row>
    <row r="21" spans="1:23" ht="15" customHeight="1">
      <c r="A21" s="101" t="str">
        <f>IF(K21&gt;0,COUNT($A$7:A20)
+COUNT('DWV PVC'!$A$9:$A$316)
+COUNT('DWV ABS'!$A$8:$A$116)+1,"")</f>
        <v/>
      </c>
      <c r="B21" s="610"/>
      <c r="C21" s="611"/>
      <c r="D21" s="369" t="str">
        <f>_xlfn.XLOOKUP(E21,'All Products'!D:D,'All Products'!C:C,FALSE)</f>
        <v>401-102</v>
      </c>
      <c r="E21" s="51">
        <v>100022316</v>
      </c>
      <c r="F21" s="376" t="str">
        <f>_xlfn.XLOOKUP(E21,'All Products'!D:D,'All Products'!E:E,FALSE)</f>
        <v>3/4X3/4X1 REDUCING TEE SXSXS</v>
      </c>
      <c r="G21" s="232">
        <f>_xlfn.XLOOKUP(E21,'All Products'!D:D,'All Products'!F:F,FALSE)</f>
        <v>50</v>
      </c>
      <c r="H21" s="387">
        <f>_xlfn.XLOOKUP(E21,'All Products'!D:D,'All Products'!G:G,FALSE)</f>
        <v>6000</v>
      </c>
      <c r="I21" s="394">
        <f>_xlfn.XLOOKUP(E21,'All Products'!D:D,'All Products'!H:H,FALSE)</f>
        <v>7.54</v>
      </c>
      <c r="J21" s="183">
        <f>IFERROR(ROUND(I21*Order_Quote!$L$4,2),0)</f>
        <v>7.54</v>
      </c>
      <c r="K21" s="73"/>
      <c r="L21" s="76"/>
      <c r="M21" s="114">
        <f t="shared" si="0"/>
        <v>0</v>
      </c>
      <c r="O21" s="384" t="str">
        <f>_xlfn.XLOOKUP(E21,'All Products'!D:D,'All Products'!I:I,FALSE)</f>
        <v>Within 3 Weeks</v>
      </c>
      <c r="P21" s="384" t="str">
        <f>_xlfn.XLOOKUP(E21,'All Products'!D:D,'All Products'!J:J,FALSE)</f>
        <v>Manufactured</v>
      </c>
      <c r="Q21" s="397">
        <f>_xlfn.XLOOKUP(E21,'All Products'!D:D,'All Products'!K:K,FALSE)</f>
        <v>49081145309</v>
      </c>
      <c r="R21" s="397">
        <f>_xlfn.XLOOKUP(E21,'All Products'!D:D,'All Products'!L:L,FALSE)</f>
        <v>49081645304</v>
      </c>
      <c r="S21" s="397">
        <f>_xlfn.XLOOKUP(E21,'All Products'!D:D,'All Products'!M:M,FALSE)</f>
        <v>40049081145307</v>
      </c>
      <c r="T21" s="384">
        <f>_xlfn.XLOOKUP(E21,'All Products'!D:D,'All Products'!N:N,FALSE)</f>
        <v>0.153</v>
      </c>
      <c r="U21" s="397">
        <f>_xlfn.XLOOKUP(E21,'All Products'!D:D,'All Products'!O:O,FALSE)</f>
        <v>10</v>
      </c>
      <c r="V21" s="384">
        <f>_xlfn.XLOOKUP(E21,'All Products'!D:D,'All Products'!P:P,FALSE)</f>
        <v>8.1999999999999993</v>
      </c>
      <c r="W21" s="384">
        <f>_xlfn.XLOOKUP(E21,'All Products'!D:D,'All Products'!Q:Q,FALSE)</f>
        <v>0.65</v>
      </c>
    </row>
    <row r="22" spans="1:23" ht="15" customHeight="1">
      <c r="A22" s="101" t="str">
        <f>IF(K22&gt;0,COUNT($A$7:A21)
+COUNT('DWV PVC'!$A$9:$A$316)
+COUNT('DWV ABS'!$A$8:$A$116)+1,"")</f>
        <v/>
      </c>
      <c r="B22" s="610"/>
      <c r="C22" s="611"/>
      <c r="D22" s="369" t="str">
        <f>_xlfn.XLOOKUP(E22,'All Products'!D:D,'All Products'!C:C,FALSE)</f>
        <v>401-130</v>
      </c>
      <c r="E22" s="51">
        <v>100022323</v>
      </c>
      <c r="F22" s="376" t="str">
        <f>_xlfn.XLOOKUP(E22,'All Products'!D:D,'All Products'!E:E,FALSE)</f>
        <v>1X1/2 REDUCING TEE SXSXS</v>
      </c>
      <c r="G22" s="232">
        <f>_xlfn.XLOOKUP(E22,'All Products'!D:D,'All Products'!F:F,FALSE)</f>
        <v>50</v>
      </c>
      <c r="H22" s="387">
        <f>_xlfn.XLOOKUP(E22,'All Products'!D:D,'All Products'!G:G,FALSE)</f>
        <v>7500</v>
      </c>
      <c r="I22" s="394">
        <f>_xlfn.XLOOKUP(E22,'All Products'!D:D,'All Products'!H:H,FALSE)</f>
        <v>4.49</v>
      </c>
      <c r="J22" s="183">
        <f>IFERROR(ROUND(I22*Order_Quote!$L$4,2),0)</f>
        <v>4.49</v>
      </c>
      <c r="K22" s="73"/>
      <c r="L22" s="76"/>
      <c r="M22" s="114">
        <f t="shared" si="0"/>
        <v>0</v>
      </c>
      <c r="O22" s="384" t="str">
        <f>_xlfn.XLOOKUP(E22,'All Products'!D:D,'All Products'!I:I,FALSE)</f>
        <v>In Stock</v>
      </c>
      <c r="P22" s="384" t="str">
        <f>_xlfn.XLOOKUP(E22,'All Products'!D:D,'All Products'!J:J,FALSE)</f>
        <v>Manufactured</v>
      </c>
      <c r="Q22" s="397">
        <f>_xlfn.XLOOKUP(E22,'All Products'!D:D,'All Products'!K:K,FALSE)</f>
        <v>49081145460</v>
      </c>
      <c r="R22" s="397">
        <f>_xlfn.XLOOKUP(E22,'All Products'!D:D,'All Products'!L:L,FALSE)</f>
        <v>49081645465</v>
      </c>
      <c r="S22" s="397">
        <f>_xlfn.XLOOKUP(E22,'All Products'!D:D,'All Products'!M:M,FALSE)</f>
        <v>40049081145468</v>
      </c>
      <c r="T22" s="384">
        <f>_xlfn.XLOOKUP(E22,'All Products'!D:D,'All Products'!N:N,FALSE)</f>
        <v>0.13</v>
      </c>
      <c r="U22" s="397">
        <f>_xlfn.XLOOKUP(E22,'All Products'!D:D,'All Products'!O:O,FALSE)</f>
        <v>10</v>
      </c>
      <c r="V22" s="384">
        <f>_xlfn.XLOOKUP(E22,'All Products'!D:D,'All Products'!P:P,FALSE)</f>
        <v>7</v>
      </c>
      <c r="W22" s="384">
        <f>_xlfn.XLOOKUP(E22,'All Products'!D:D,'All Products'!Q:Q,FALSE)</f>
        <v>0.5</v>
      </c>
    </row>
    <row r="23" spans="1:23" ht="15" customHeight="1">
      <c r="A23" s="101" t="str">
        <f>IF(K23&gt;0,COUNT($A$7:A22)
+COUNT('DWV PVC'!$A$9:$A$316)
+COUNT('DWV ABS'!$A$8:$A$116)+1,"")</f>
        <v/>
      </c>
      <c r="B23" s="610"/>
      <c r="C23" s="611"/>
      <c r="D23" s="369" t="str">
        <f>_xlfn.XLOOKUP(E23,'All Products'!D:D,'All Products'!C:C,FALSE)</f>
        <v>401-131</v>
      </c>
      <c r="E23" s="51">
        <v>100022325</v>
      </c>
      <c r="F23" s="376" t="str">
        <f>_xlfn.XLOOKUP(E23,'All Products'!D:D,'All Products'!E:E,FALSE)</f>
        <v>1X3/4 REDUCING TEE SXSXS</v>
      </c>
      <c r="G23" s="232">
        <f>_xlfn.XLOOKUP(E23,'All Products'!D:D,'All Products'!F:F,FALSE)</f>
        <v>50</v>
      </c>
      <c r="H23" s="387">
        <f>_xlfn.XLOOKUP(E23,'All Products'!D:D,'All Products'!G:G,FALSE)</f>
        <v>6000</v>
      </c>
      <c r="I23" s="394">
        <f>_xlfn.XLOOKUP(E23,'All Products'!D:D,'All Products'!H:H,FALSE)</f>
        <v>4.92</v>
      </c>
      <c r="J23" s="183">
        <f>IFERROR(ROUND(I23*Order_Quote!$L$4,2),0)</f>
        <v>4.92</v>
      </c>
      <c r="K23" s="73"/>
      <c r="L23" s="76"/>
      <c r="M23" s="114">
        <f t="shared" si="0"/>
        <v>0</v>
      </c>
      <c r="O23" s="384" t="str">
        <f>_xlfn.XLOOKUP(E23,'All Products'!D:D,'All Products'!I:I,FALSE)</f>
        <v>In Stock</v>
      </c>
      <c r="P23" s="384" t="str">
        <f>_xlfn.XLOOKUP(E23,'All Products'!D:D,'All Products'!J:J,FALSE)</f>
        <v>Manufactured</v>
      </c>
      <c r="Q23" s="397">
        <f>_xlfn.XLOOKUP(E23,'All Products'!D:D,'All Products'!K:K,FALSE)</f>
        <v>49081145446</v>
      </c>
      <c r="R23" s="397">
        <f>_xlfn.XLOOKUP(E23,'All Products'!D:D,'All Products'!L:L,FALSE)</f>
        <v>49081645441</v>
      </c>
      <c r="S23" s="397">
        <f>_xlfn.XLOOKUP(E23,'All Products'!D:D,'All Products'!M:M,FALSE)</f>
        <v>40049081145444</v>
      </c>
      <c r="T23" s="384">
        <f>_xlfn.XLOOKUP(E23,'All Products'!D:D,'All Products'!N:N,FALSE)</f>
        <v>0.157</v>
      </c>
      <c r="U23" s="397">
        <f>_xlfn.XLOOKUP(E23,'All Products'!D:D,'All Products'!O:O,FALSE)</f>
        <v>10</v>
      </c>
      <c r="V23" s="384">
        <f>_xlfn.XLOOKUP(E23,'All Products'!D:D,'All Products'!P:P,FALSE)</f>
        <v>9.23</v>
      </c>
      <c r="W23" s="384">
        <f>_xlfn.XLOOKUP(E23,'All Products'!D:D,'All Products'!Q:Q,FALSE)</f>
        <v>0.65</v>
      </c>
    </row>
    <row r="24" spans="1:23" ht="15" customHeight="1">
      <c r="B24" s="610"/>
      <c r="C24" s="611"/>
      <c r="D24" s="369" t="str">
        <f>_xlfn.XLOOKUP(E24,'All Products'!D:D,'All Products'!C:C,FALSE)</f>
        <v>401-156</v>
      </c>
      <c r="E24" s="51">
        <v>100022224</v>
      </c>
      <c r="F24" s="376" t="str">
        <f>_xlfn.XLOOKUP(E24,'All Products'!D:D,'All Products'!E:E,FALSE)</f>
        <v>1-1/4 X 1 X 1/2" REDUCING TEE SXSXS</v>
      </c>
      <c r="G24" s="232">
        <f>_xlfn.XLOOKUP(E24,'All Products'!D:D,'All Products'!F:F,FALSE)</f>
        <v>50</v>
      </c>
      <c r="H24" s="387">
        <f>_xlfn.XLOOKUP(E24,'All Products'!D:D,'All Products'!G:G,FALSE)</f>
        <v>3750</v>
      </c>
      <c r="I24" s="394">
        <f>_xlfn.XLOOKUP(E24,'All Products'!D:D,'All Products'!H:H,FALSE)</f>
        <v>9.7799999999999994</v>
      </c>
      <c r="J24" s="183">
        <f>IFERROR(ROUND(I24*Order_Quote!$L$4,2),0)</f>
        <v>9.7799999999999994</v>
      </c>
      <c r="K24" s="73"/>
      <c r="L24" s="76"/>
      <c r="M24" s="114">
        <f t="shared" ref="M24:M26" si="2">K24/G24</f>
        <v>0</v>
      </c>
      <c r="O24" s="384" t="str">
        <f>_xlfn.XLOOKUP(E24,'All Products'!D:D,'All Products'!I:I,FALSE)</f>
        <v>Within 3 Weeks</v>
      </c>
      <c r="P24" s="384" t="str">
        <f>_xlfn.XLOOKUP(E24,'All Products'!D:D,'All Products'!J:J,FALSE)</f>
        <v>Manufactured</v>
      </c>
      <c r="Q24" s="397">
        <f>_xlfn.XLOOKUP(E24,'All Products'!D:D,'All Products'!K:K,FALSE)</f>
        <v>49081145781</v>
      </c>
      <c r="R24" s="397">
        <f>_xlfn.XLOOKUP(E24,'All Products'!D:D,'All Products'!L:L,FALSE)</f>
        <v>49081645786</v>
      </c>
      <c r="S24" s="397">
        <f>_xlfn.XLOOKUP(E24,'All Products'!D:D,'All Products'!M:M,FALSE)</f>
        <v>40049081145789</v>
      </c>
      <c r="T24" s="384">
        <f>_xlfn.XLOOKUP(E24,'All Products'!D:D,'All Products'!N:N,FALSE)</f>
        <v>0.22600000000000001</v>
      </c>
      <c r="U24" s="397">
        <f>_xlfn.XLOOKUP(E24,'All Products'!D:D,'All Products'!O:O,FALSE)</f>
        <v>10</v>
      </c>
      <c r="V24" s="384">
        <f>_xlfn.XLOOKUP(E24,'All Products'!D:D,'All Products'!P:P,FALSE)</f>
        <v>11.3</v>
      </c>
      <c r="W24" s="384">
        <f>_xlfn.XLOOKUP(E24,'All Products'!D:D,'All Products'!Q:Q,FALSE)</f>
        <v>0.57999999999999996</v>
      </c>
    </row>
    <row r="25" spans="1:23" ht="15" customHeight="1">
      <c r="B25" s="610"/>
      <c r="C25" s="611"/>
      <c r="D25" s="369" t="str">
        <f>_xlfn.XLOOKUP(E25,'All Products'!D:D,'All Products'!C:C,FALSE)</f>
        <v>401-157</v>
      </c>
      <c r="E25" s="51">
        <v>100022329</v>
      </c>
      <c r="F25" s="376" t="str">
        <f>_xlfn.XLOOKUP(E25,'All Products'!D:D,'All Products'!E:E,FALSE)</f>
        <v>1-1/4 X 1 X 3/4" REDUCING TEE SXSXS</v>
      </c>
      <c r="G25" s="232">
        <f>_xlfn.XLOOKUP(E25,'All Products'!D:D,'All Products'!F:F,FALSE)</f>
        <v>50</v>
      </c>
      <c r="H25" s="387">
        <f>_xlfn.XLOOKUP(E25,'All Products'!D:D,'All Products'!G:G,FALSE)</f>
        <v>3000</v>
      </c>
      <c r="I25" s="394">
        <f>_xlfn.XLOOKUP(E25,'All Products'!D:D,'All Products'!H:H,FALSE)</f>
        <v>10.23</v>
      </c>
      <c r="J25" s="183">
        <f>IFERROR(ROUND(I25*Order_Quote!$L$4,2),0)</f>
        <v>10.23</v>
      </c>
      <c r="K25" s="73"/>
      <c r="L25" s="76"/>
      <c r="M25" s="114">
        <f t="shared" si="2"/>
        <v>0</v>
      </c>
      <c r="O25" s="384" t="str">
        <f>_xlfn.XLOOKUP(E25,'All Products'!D:D,'All Products'!I:I,FALSE)</f>
        <v>Within 3 Weeks</v>
      </c>
      <c r="P25" s="384" t="str">
        <f>_xlfn.XLOOKUP(E25,'All Products'!D:D,'All Products'!J:J,FALSE)</f>
        <v>Manufactured</v>
      </c>
      <c r="Q25" s="397">
        <f>_xlfn.XLOOKUP(E25,'All Products'!D:D,'All Products'!K:K,FALSE)</f>
        <v>49081145767</v>
      </c>
      <c r="R25" s="397">
        <f>_xlfn.XLOOKUP(E25,'All Products'!D:D,'All Products'!L:L,FALSE)</f>
        <v>49081645762</v>
      </c>
      <c r="S25" s="397">
        <f>_xlfn.XLOOKUP(E25,'All Products'!D:D,'All Products'!M:M,FALSE)</f>
        <v>40049081145765</v>
      </c>
      <c r="T25" s="384">
        <f>_xlfn.XLOOKUP(E25,'All Products'!D:D,'All Products'!N:N,FALSE)</f>
        <v>0.19400000000000001</v>
      </c>
      <c r="U25" s="397">
        <f>_xlfn.XLOOKUP(E25,'All Products'!D:D,'All Products'!O:O,FALSE)</f>
        <v>10</v>
      </c>
      <c r="V25" s="384">
        <f>_xlfn.XLOOKUP(E25,'All Products'!D:D,'All Products'!P:P,FALSE)</f>
        <v>10.6</v>
      </c>
      <c r="W25" s="384">
        <f>_xlfn.XLOOKUP(E25,'All Products'!D:D,'All Products'!Q:Q,FALSE)</f>
        <v>0.72</v>
      </c>
    </row>
    <row r="26" spans="1:23" ht="15" customHeight="1">
      <c r="B26" s="610"/>
      <c r="C26" s="611"/>
      <c r="D26" s="369" t="str">
        <f>_xlfn.XLOOKUP(E26,'All Products'!D:D,'All Products'!C:C,FALSE)</f>
        <v>401-158</v>
      </c>
      <c r="E26" s="51">
        <v>100022330</v>
      </c>
      <c r="F26" s="376" t="str">
        <f>_xlfn.XLOOKUP(E26,'All Products'!D:D,'All Products'!E:E,FALSE)</f>
        <v>1-1/4 X 1 X 1" REDUCING TEE SXSXS</v>
      </c>
      <c r="G26" s="232">
        <f>_xlfn.XLOOKUP(E26,'All Products'!D:D,'All Products'!F:F,FALSE)</f>
        <v>50</v>
      </c>
      <c r="H26" s="387">
        <f>_xlfn.XLOOKUP(E26,'All Products'!D:D,'All Products'!G:G,FALSE)</f>
        <v>3000</v>
      </c>
      <c r="I26" s="394">
        <f>_xlfn.XLOOKUP(E26,'All Products'!D:D,'All Products'!H:H,FALSE)</f>
        <v>9.7799999999999994</v>
      </c>
      <c r="J26" s="183">
        <f>IFERROR(ROUND(I26*Order_Quote!$L$4,2),0)</f>
        <v>9.7799999999999994</v>
      </c>
      <c r="K26" s="73"/>
      <c r="L26" s="76"/>
      <c r="M26" s="114">
        <f t="shared" si="2"/>
        <v>0</v>
      </c>
      <c r="O26" s="384" t="str">
        <f>_xlfn.XLOOKUP(E26,'All Products'!D:D,'All Products'!I:I,FALSE)</f>
        <v>Within 3 Weeks</v>
      </c>
      <c r="P26" s="384" t="str">
        <f>_xlfn.XLOOKUP(E26,'All Products'!D:D,'All Products'!J:J,FALSE)</f>
        <v>Manufactured</v>
      </c>
      <c r="Q26" s="397">
        <f>_xlfn.XLOOKUP(E26,'All Products'!D:D,'All Products'!K:K,FALSE)</f>
        <v>49081145743</v>
      </c>
      <c r="R26" s="397">
        <f>_xlfn.XLOOKUP(E26,'All Products'!D:D,'All Products'!L:L,FALSE)</f>
        <v>49081645748</v>
      </c>
      <c r="S26" s="397">
        <f>_xlfn.XLOOKUP(E26,'All Products'!D:D,'All Products'!M:M,FALSE)</f>
        <v>40049081145741</v>
      </c>
      <c r="T26" s="384">
        <f>_xlfn.XLOOKUP(E26,'All Products'!D:D,'All Products'!N:N,FALSE)</f>
        <v>0.246</v>
      </c>
      <c r="U26" s="397">
        <f>_xlfn.XLOOKUP(E26,'All Products'!D:D,'All Products'!O:O,FALSE)</f>
        <v>10</v>
      </c>
      <c r="V26" s="384">
        <f>_xlfn.XLOOKUP(E26,'All Products'!D:D,'All Products'!P:P,FALSE)</f>
        <v>12.3</v>
      </c>
      <c r="W26" s="384">
        <f>_xlfn.XLOOKUP(E26,'All Products'!D:D,'All Products'!Q:Q,FALSE)</f>
        <v>0.72</v>
      </c>
    </row>
    <row r="27" spans="1:23" ht="15" customHeight="1">
      <c r="A27" s="101" t="str">
        <f>IF(K27&gt;0,COUNT($A$7:A23)
+COUNT('DWV PVC'!$A$9:$A$316)
+COUNT('DWV ABS'!$A$8:$A$116)+1,"")</f>
        <v/>
      </c>
      <c r="B27" s="610"/>
      <c r="C27" s="611"/>
      <c r="D27" s="369" t="str">
        <f>_xlfn.XLOOKUP(E27,'All Products'!D:D,'All Products'!C:C,FALSE)</f>
        <v>401-166</v>
      </c>
      <c r="E27" s="51">
        <v>100022332</v>
      </c>
      <c r="F27" s="376" t="str">
        <f>_xlfn.XLOOKUP(E27,'All Products'!D:D,'All Products'!E:E,FALSE)</f>
        <v>1-1/4X1-1/4X1/2 REDUCING TEE SXSXS</v>
      </c>
      <c r="G27" s="232">
        <f>_xlfn.XLOOKUP(E27,'All Products'!D:D,'All Products'!F:F,FALSE)</f>
        <v>50</v>
      </c>
      <c r="H27" s="387">
        <f>_xlfn.XLOOKUP(E27,'All Products'!D:D,'All Products'!G:G,FALSE)</f>
        <v>4500</v>
      </c>
      <c r="I27" s="394">
        <f>_xlfn.XLOOKUP(E27,'All Products'!D:D,'All Products'!H:H,FALSE)</f>
        <v>7.28</v>
      </c>
      <c r="J27" s="183">
        <f>IFERROR(ROUND(I27*Order_Quote!$L$4,2),0)</f>
        <v>7.28</v>
      </c>
      <c r="K27" s="73"/>
      <c r="L27" s="76"/>
      <c r="M27" s="114">
        <f t="shared" si="0"/>
        <v>0</v>
      </c>
      <c r="O27" s="384" t="str">
        <f>_xlfn.XLOOKUP(E27,'All Products'!D:D,'All Products'!I:I,FALSE)</f>
        <v>In Stock</v>
      </c>
      <c r="P27" s="384" t="str">
        <f>_xlfn.XLOOKUP(E27,'All Products'!D:D,'All Products'!J:J,FALSE)</f>
        <v>Manufactured</v>
      </c>
      <c r="Q27" s="397">
        <f>_xlfn.XLOOKUP(E27,'All Products'!D:D,'All Products'!K:K,FALSE)</f>
        <v>49081145705</v>
      </c>
      <c r="R27" s="397">
        <f>_xlfn.XLOOKUP(E27,'All Products'!D:D,'All Products'!L:L,FALSE)</f>
        <v>49081645700</v>
      </c>
      <c r="S27" s="397">
        <f>_xlfn.XLOOKUP(E27,'All Products'!D:D,'All Products'!M:M,FALSE)</f>
        <v>40049081145703</v>
      </c>
      <c r="T27" s="384">
        <f>_xlfn.XLOOKUP(E27,'All Products'!D:D,'All Products'!N:N,FALSE)</f>
        <v>0.20200000000000001</v>
      </c>
      <c r="U27" s="397">
        <f>_xlfn.XLOOKUP(E27,'All Products'!D:D,'All Products'!O:O,FALSE)</f>
        <v>10</v>
      </c>
      <c r="V27" s="384">
        <f>_xlfn.XLOOKUP(E27,'All Products'!D:D,'All Products'!P:P,FALSE)</f>
        <v>12.85</v>
      </c>
      <c r="W27" s="384">
        <f>_xlfn.XLOOKUP(E27,'All Products'!D:D,'All Products'!Q:Q,FALSE)</f>
        <v>0.8</v>
      </c>
    </row>
    <row r="28" spans="1:23" ht="15" customHeight="1">
      <c r="A28" s="101" t="str">
        <f>IF(K28&gt;0,COUNT($A$7:A27)
+COUNT('DWV PVC'!$A$9:$A$316)
+COUNT('DWV ABS'!$A$8:$A$116)+1,"")</f>
        <v/>
      </c>
      <c r="B28" s="610"/>
      <c r="C28" s="611"/>
      <c r="D28" s="369" t="str">
        <f>_xlfn.XLOOKUP(E28,'All Products'!D:D,'All Products'!C:C,FALSE)</f>
        <v>401-167</v>
      </c>
      <c r="E28" s="51">
        <v>100022334</v>
      </c>
      <c r="F28" s="376" t="str">
        <f>_xlfn.XLOOKUP(E28,'All Products'!D:D,'All Products'!E:E,FALSE)</f>
        <v>1-1/4X1-1/4X3/4 REDUCING TEE SXSXS</v>
      </c>
      <c r="G28" s="232">
        <f>_xlfn.XLOOKUP(E28,'All Products'!D:D,'All Products'!F:F,FALSE)</f>
        <v>50</v>
      </c>
      <c r="H28" s="387">
        <f>_xlfn.XLOOKUP(E28,'All Products'!D:D,'All Products'!G:G,FALSE)</f>
        <v>4500</v>
      </c>
      <c r="I28" s="394">
        <f>_xlfn.XLOOKUP(E28,'All Products'!D:D,'All Products'!H:H,FALSE)</f>
        <v>7.28</v>
      </c>
      <c r="J28" s="183">
        <f>IFERROR(ROUND(I28*Order_Quote!$L$4,2),0)</f>
        <v>7.28</v>
      </c>
      <c r="K28" s="73"/>
      <c r="L28" s="76"/>
      <c r="M28" s="114">
        <f t="shared" si="0"/>
        <v>0</v>
      </c>
      <c r="O28" s="384" t="str">
        <f>_xlfn.XLOOKUP(E28,'All Products'!D:D,'All Products'!I:I,FALSE)</f>
        <v>In Stock</v>
      </c>
      <c r="P28" s="384" t="str">
        <f>_xlfn.XLOOKUP(E28,'All Products'!D:D,'All Products'!J:J,FALSE)</f>
        <v>Manufactured</v>
      </c>
      <c r="Q28" s="397">
        <f>_xlfn.XLOOKUP(E28,'All Products'!D:D,'All Products'!K:K,FALSE)</f>
        <v>49081145682</v>
      </c>
      <c r="R28" s="397">
        <f>_xlfn.XLOOKUP(E28,'All Products'!D:D,'All Products'!L:L,FALSE)</f>
        <v>49081645687</v>
      </c>
      <c r="S28" s="397">
        <f>_xlfn.XLOOKUP(E28,'All Products'!D:D,'All Products'!M:M,FALSE)</f>
        <v>40049081145680</v>
      </c>
      <c r="T28" s="384">
        <f>_xlfn.XLOOKUP(E28,'All Products'!D:D,'All Products'!N:N,FALSE)</f>
        <v>0.22600000000000001</v>
      </c>
      <c r="U28" s="397">
        <f>_xlfn.XLOOKUP(E28,'All Products'!D:D,'All Products'!O:O,FALSE)</f>
        <v>10</v>
      </c>
      <c r="V28" s="384">
        <f>_xlfn.XLOOKUP(E28,'All Products'!D:D,'All Products'!P:P,FALSE)</f>
        <v>11.85</v>
      </c>
      <c r="W28" s="384">
        <f>_xlfn.XLOOKUP(E28,'All Products'!D:D,'All Products'!Q:Q,FALSE)</f>
        <v>0.8</v>
      </c>
    </row>
    <row r="29" spans="1:23" ht="15" customHeight="1">
      <c r="B29" s="610"/>
      <c r="C29" s="611"/>
      <c r="D29" s="369" t="str">
        <f>_xlfn.XLOOKUP(E29,'All Products'!D:D,'All Products'!C:C,FALSE)</f>
        <v>401-168</v>
      </c>
      <c r="E29" s="51">
        <v>100022336</v>
      </c>
      <c r="F29" s="376" t="str">
        <f>_xlfn.XLOOKUP(E29,'All Products'!D:D,'All Products'!E:E,FALSE)</f>
        <v>1-1/4 X 1-1/4 X 1" REDUCING TEE SXSXS</v>
      </c>
      <c r="G29" s="232">
        <f>_xlfn.XLOOKUP(E29,'All Products'!D:D,'All Products'!F:F,FALSE)</f>
        <v>25</v>
      </c>
      <c r="H29" s="387">
        <f>_xlfn.XLOOKUP(E29,'All Products'!D:D,'All Products'!G:G,FALSE)</f>
        <v>1875</v>
      </c>
      <c r="I29" s="394">
        <f>_xlfn.XLOOKUP(E29,'All Products'!D:D,'All Products'!H:H,FALSE)</f>
        <v>6.93</v>
      </c>
      <c r="J29" s="183">
        <f>IFERROR(ROUND(I29*Order_Quote!$L$4,2),0)</f>
        <v>6.93</v>
      </c>
      <c r="K29" s="73"/>
      <c r="L29" s="76"/>
      <c r="M29" s="114">
        <f t="shared" ref="M29:M35" si="3">K29/G29</f>
        <v>0</v>
      </c>
      <c r="O29" s="384" t="str">
        <f>_xlfn.XLOOKUP(E29,'All Products'!D:D,'All Products'!I:I,FALSE)</f>
        <v>In Stock</v>
      </c>
      <c r="P29" s="384" t="str">
        <f>_xlfn.XLOOKUP(E29,'All Products'!D:D,'All Products'!J:J,FALSE)</f>
        <v>Manufactured</v>
      </c>
      <c r="Q29" s="397">
        <f>_xlfn.XLOOKUP(E29,'All Products'!D:D,'All Products'!K:K,FALSE)</f>
        <v>49081145668</v>
      </c>
      <c r="R29" s="397">
        <f>_xlfn.XLOOKUP(E29,'All Products'!D:D,'All Products'!L:L,FALSE)</f>
        <v>49081645663</v>
      </c>
      <c r="S29" s="397">
        <f>_xlfn.XLOOKUP(E29,'All Products'!D:D,'All Products'!M:M,FALSE)</f>
        <v>40049081145666</v>
      </c>
      <c r="T29" s="384">
        <f>_xlfn.XLOOKUP(E29,'All Products'!D:D,'All Products'!N:N,FALSE)</f>
        <v>0.26500000000000001</v>
      </c>
      <c r="U29" s="397">
        <f>_xlfn.XLOOKUP(E29,'All Products'!D:D,'All Products'!O:O,FALSE)</f>
        <v>5</v>
      </c>
      <c r="V29" s="384">
        <f>_xlfn.XLOOKUP(E29,'All Products'!D:D,'All Products'!P:P,FALSE)</f>
        <v>7.3</v>
      </c>
      <c r="W29" s="384">
        <f>_xlfn.XLOOKUP(E29,'All Products'!D:D,'All Products'!Q:Q,FALSE)</f>
        <v>0.57999999999999996</v>
      </c>
    </row>
    <row r="30" spans="1:23" ht="15" customHeight="1">
      <c r="B30" s="610"/>
      <c r="C30" s="611"/>
      <c r="D30" s="369" t="str">
        <f>_xlfn.XLOOKUP(E30,'All Products'!D:D,'All Products'!C:C,FALSE)</f>
        <v>401-169</v>
      </c>
      <c r="E30" s="51">
        <v>100022337</v>
      </c>
      <c r="F30" s="376" t="str">
        <f>_xlfn.XLOOKUP(E30,'All Products'!D:D,'All Products'!E:E,FALSE)</f>
        <v>1-1/4 X 1-1/4 X 1-1/2" REDUCING TEE SXSXS</v>
      </c>
      <c r="G30" s="232">
        <f>_xlfn.XLOOKUP(E30,'All Products'!D:D,'All Products'!F:F,FALSE)</f>
        <v>25</v>
      </c>
      <c r="H30" s="387">
        <f>_xlfn.XLOOKUP(E30,'All Products'!D:D,'All Products'!G:G,FALSE)</f>
        <v>1875</v>
      </c>
      <c r="I30" s="394">
        <f>_xlfn.XLOOKUP(E30,'All Products'!D:D,'All Products'!H:H,FALSE)</f>
        <v>12.68</v>
      </c>
      <c r="J30" s="183">
        <f>IFERROR(ROUND(I30*Order_Quote!$L$4,2),0)</f>
        <v>12.68</v>
      </c>
      <c r="K30" s="73"/>
      <c r="L30" s="76"/>
      <c r="M30" s="114">
        <f t="shared" si="3"/>
        <v>0</v>
      </c>
      <c r="O30" s="384" t="str">
        <f>_xlfn.XLOOKUP(E30,'All Products'!D:D,'All Products'!I:I,FALSE)</f>
        <v>Within 3 Weeks</v>
      </c>
      <c r="P30" s="384" t="str">
        <f>_xlfn.XLOOKUP(E30,'All Products'!D:D,'All Products'!J:J,FALSE)</f>
        <v>Manufactured</v>
      </c>
      <c r="Q30" s="397">
        <f>_xlfn.XLOOKUP(E30,'All Products'!D:D,'All Products'!K:K,FALSE)</f>
        <v>49081145644</v>
      </c>
      <c r="R30" s="397" t="str">
        <f>_xlfn.XLOOKUP(E30,'All Products'!D:D,'All Products'!L:L,FALSE)</f>
        <v>-</v>
      </c>
      <c r="S30" s="397">
        <f>_xlfn.XLOOKUP(E30,'All Products'!D:D,'All Products'!M:M,FALSE)</f>
        <v>40049081145642</v>
      </c>
      <c r="T30" s="384">
        <f>_xlfn.XLOOKUP(E30,'All Products'!D:D,'All Products'!N:N,FALSE)</f>
        <v>0.33800000000000002</v>
      </c>
      <c r="U30" s="397" t="str">
        <f>_xlfn.XLOOKUP(E30,'All Products'!D:D,'All Products'!O:O,FALSE)</f>
        <v>-</v>
      </c>
      <c r="V30" s="384">
        <f>_xlfn.XLOOKUP(E30,'All Products'!D:D,'All Products'!P:P,FALSE)</f>
        <v>8.4499999999999993</v>
      </c>
      <c r="W30" s="384">
        <f>_xlfn.XLOOKUP(E30,'All Products'!D:D,'All Products'!Q:Q,FALSE)</f>
        <v>0.57999999999999996</v>
      </c>
    </row>
    <row r="31" spans="1:23" ht="15" customHeight="1">
      <c r="B31" s="610"/>
      <c r="C31" s="611"/>
      <c r="D31" s="369" t="str">
        <f>_xlfn.XLOOKUP(E31,'All Products'!D:D,'All Products'!C:C,FALSE)</f>
        <v>401-202</v>
      </c>
      <c r="E31" s="51">
        <v>100022340</v>
      </c>
      <c r="F31" s="376" t="str">
        <f>_xlfn.XLOOKUP(E31,'All Products'!D:D,'All Products'!E:E,FALSE)</f>
        <v>1-1/2 X 1-1/4 X 1" REDUCING TEE SXSXS</v>
      </c>
      <c r="G31" s="232">
        <f>_xlfn.XLOOKUP(E31,'All Products'!D:D,'All Products'!F:F,FALSE)</f>
        <v>25</v>
      </c>
      <c r="H31" s="387">
        <f>_xlfn.XLOOKUP(E31,'All Products'!D:D,'All Products'!G:G,FALSE)</f>
        <v>1875</v>
      </c>
      <c r="I31" s="394">
        <f>_xlfn.XLOOKUP(E31,'All Products'!D:D,'All Products'!H:H,FALSE)</f>
        <v>12.2</v>
      </c>
      <c r="J31" s="183">
        <f>IFERROR(ROUND(I31*Order_Quote!$L$4,2),0)</f>
        <v>12.2</v>
      </c>
      <c r="K31" s="73"/>
      <c r="L31" s="76"/>
      <c r="M31" s="114">
        <f t="shared" si="3"/>
        <v>0</v>
      </c>
      <c r="O31" s="384" t="str">
        <f>_xlfn.XLOOKUP(E31,'All Products'!D:D,'All Products'!I:I,FALSE)</f>
        <v>Within 3 Weeks</v>
      </c>
      <c r="P31" s="384" t="str">
        <f>_xlfn.XLOOKUP(E31,'All Products'!D:D,'All Products'!J:J,FALSE)</f>
        <v>Manufactured</v>
      </c>
      <c r="Q31" s="397">
        <f>_xlfn.XLOOKUP(E31,'All Products'!D:D,'All Products'!K:K,FALSE)</f>
        <v>49081146047</v>
      </c>
      <c r="R31" s="397" t="str">
        <f>_xlfn.XLOOKUP(E31,'All Products'!D:D,'All Products'!L:L,FALSE)</f>
        <v>-</v>
      </c>
      <c r="S31" s="397">
        <f>_xlfn.XLOOKUP(E31,'All Products'!D:D,'All Products'!M:M,FALSE)</f>
        <v>40049081146045</v>
      </c>
      <c r="T31" s="384">
        <f>_xlfn.XLOOKUP(E31,'All Products'!D:D,'All Products'!N:N,FALSE)</f>
        <v>0.3</v>
      </c>
      <c r="U31" s="397" t="str">
        <f>_xlfn.XLOOKUP(E31,'All Products'!D:D,'All Products'!O:O,FALSE)</f>
        <v>-</v>
      </c>
      <c r="V31" s="384">
        <f>_xlfn.XLOOKUP(E31,'All Products'!D:D,'All Products'!P:P,FALSE)</f>
        <v>7.5</v>
      </c>
      <c r="W31" s="384">
        <f>_xlfn.XLOOKUP(E31,'All Products'!D:D,'All Products'!Q:Q,FALSE)</f>
        <v>0.57999999999999996</v>
      </c>
    </row>
    <row r="32" spans="1:23" ht="15" customHeight="1">
      <c r="A32" s="101" t="str">
        <f>IF(K32&gt;0,COUNT($A$7:A28)
+COUNT('DWV PVC'!$A$9:$A$316)
+COUNT('DWV ABS'!$A$8:$A$116)+1,"")</f>
        <v/>
      </c>
      <c r="B32" s="610"/>
      <c r="C32" s="611"/>
      <c r="D32" s="369" t="str">
        <f>_xlfn.XLOOKUP(E32,'All Products'!D:D,'All Products'!C:C,FALSE)</f>
        <v>401-209</v>
      </c>
      <c r="E32" s="51">
        <v>100022342</v>
      </c>
      <c r="F32" s="376" t="str">
        <f>_xlfn.XLOOKUP(E32,'All Products'!D:D,'All Products'!E:E,FALSE)</f>
        <v>1-1/2X1-1/2X1/2 REDUCING TEE SXSXS</v>
      </c>
      <c r="G32" s="232">
        <f>_xlfn.XLOOKUP(E32,'All Products'!D:D,'All Products'!F:F,FALSE)</f>
        <v>25</v>
      </c>
      <c r="H32" s="387">
        <f>_xlfn.XLOOKUP(E32,'All Products'!D:D,'All Products'!G:G,FALSE)</f>
        <v>3000</v>
      </c>
      <c r="I32" s="394">
        <f>_xlfn.XLOOKUP(E32,'All Products'!D:D,'All Products'!H:H,FALSE)</f>
        <v>12.8</v>
      </c>
      <c r="J32" s="183">
        <f>IFERROR(ROUND(I32*Order_Quote!$L$4,2),0)</f>
        <v>12.8</v>
      </c>
      <c r="K32" s="73"/>
      <c r="L32" s="76"/>
      <c r="M32" s="114">
        <f t="shared" si="3"/>
        <v>0</v>
      </c>
      <c r="O32" s="384" t="str">
        <f>_xlfn.XLOOKUP(E32,'All Products'!D:D,'All Products'!I:I,FALSE)</f>
        <v>In Stock</v>
      </c>
      <c r="P32" s="384" t="str">
        <f>_xlfn.XLOOKUP(E32,'All Products'!D:D,'All Products'!J:J,FALSE)</f>
        <v>Manufactured</v>
      </c>
      <c r="Q32" s="397">
        <f>_xlfn.XLOOKUP(E32,'All Products'!D:D,'All Products'!K:K,FALSE)</f>
        <v>49081145989</v>
      </c>
      <c r="R32" s="397" t="str">
        <f>_xlfn.XLOOKUP(E32,'All Products'!D:D,'All Products'!L:L,FALSE)</f>
        <v>-</v>
      </c>
      <c r="S32" s="397">
        <f>_xlfn.XLOOKUP(E32,'All Products'!D:D,'All Products'!M:M,FALSE)</f>
        <v>40049081145987</v>
      </c>
      <c r="T32" s="384">
        <f>_xlfn.XLOOKUP(E32,'All Products'!D:D,'All Products'!N:N,FALSE)</f>
        <v>0.27800000000000002</v>
      </c>
      <c r="U32" s="397" t="str">
        <f>_xlfn.XLOOKUP(E32,'All Products'!D:D,'All Products'!O:O,FALSE)</f>
        <v>-</v>
      </c>
      <c r="V32" s="384">
        <f>_xlfn.XLOOKUP(E32,'All Products'!D:D,'All Products'!P:P,FALSE)</f>
        <v>7.45</v>
      </c>
      <c r="W32" s="384">
        <f>_xlfn.XLOOKUP(E32,'All Products'!D:D,'All Products'!Q:Q,FALSE)</f>
        <v>0.65</v>
      </c>
    </row>
    <row r="33" spans="1:23" ht="15" customHeight="1">
      <c r="A33" s="101" t="str">
        <f>IF(K33&gt;0,COUNT($A$7:A32)
+COUNT('DWV PVC'!$A$9:$A$316)
+COUNT('DWV ABS'!$A$8:$A$116)+1,"")</f>
        <v/>
      </c>
      <c r="B33" s="610"/>
      <c r="C33" s="611"/>
      <c r="D33" s="369" t="str">
        <f>_xlfn.XLOOKUP(E33,'All Products'!D:D,'All Products'!C:C,FALSE)</f>
        <v>401-210</v>
      </c>
      <c r="E33" s="51">
        <v>100022344</v>
      </c>
      <c r="F33" s="376" t="str">
        <f>_xlfn.XLOOKUP(E33,'All Products'!D:D,'All Products'!E:E,FALSE)</f>
        <v>1-1/2X1-1/2X3/4 REDUCING TEE SXSXS</v>
      </c>
      <c r="G33" s="232">
        <f>_xlfn.XLOOKUP(E33,'All Products'!D:D,'All Products'!F:F,FALSE)</f>
        <v>25</v>
      </c>
      <c r="H33" s="387">
        <f>_xlfn.XLOOKUP(E33,'All Products'!D:D,'All Products'!G:G,FALSE)</f>
        <v>3000</v>
      </c>
      <c r="I33" s="394">
        <f>_xlfn.XLOOKUP(E33,'All Products'!D:D,'All Products'!H:H,FALSE)</f>
        <v>12.8</v>
      </c>
      <c r="J33" s="183">
        <f>IFERROR(ROUND(I33*Order_Quote!$L$4,2),0)</f>
        <v>12.8</v>
      </c>
      <c r="K33" s="73"/>
      <c r="L33" s="76"/>
      <c r="M33" s="114">
        <f t="shared" si="3"/>
        <v>0</v>
      </c>
      <c r="O33" s="384" t="str">
        <f>_xlfn.XLOOKUP(E33,'All Products'!D:D,'All Products'!I:I,FALSE)</f>
        <v>In Stock</v>
      </c>
      <c r="P33" s="384" t="str">
        <f>_xlfn.XLOOKUP(E33,'All Products'!D:D,'All Products'!J:J,FALSE)</f>
        <v>Manufactured</v>
      </c>
      <c r="Q33" s="397">
        <f>_xlfn.XLOOKUP(E33,'All Products'!D:D,'All Products'!K:K,FALSE)</f>
        <v>49081145965</v>
      </c>
      <c r="R33" s="397" t="str">
        <f>_xlfn.XLOOKUP(E33,'All Products'!D:D,'All Products'!L:L,FALSE)</f>
        <v>-</v>
      </c>
      <c r="S33" s="397">
        <f>_xlfn.XLOOKUP(E33,'All Products'!D:D,'All Products'!M:M,FALSE)</f>
        <v>40049081145963</v>
      </c>
      <c r="T33" s="384">
        <f>_xlfn.XLOOKUP(E33,'All Products'!D:D,'All Products'!N:N,FALSE)</f>
        <v>0.27</v>
      </c>
      <c r="U33" s="397" t="str">
        <f>_xlfn.XLOOKUP(E33,'All Products'!D:D,'All Products'!O:O,FALSE)</f>
        <v>-</v>
      </c>
      <c r="V33" s="384">
        <f>_xlfn.XLOOKUP(E33,'All Products'!D:D,'All Products'!P:P,FALSE)</f>
        <v>7.21</v>
      </c>
      <c r="W33" s="384">
        <f>_xlfn.XLOOKUP(E33,'All Products'!D:D,'All Products'!Q:Q,FALSE)</f>
        <v>0.65</v>
      </c>
    </row>
    <row r="34" spans="1:23" ht="15" customHeight="1">
      <c r="A34" s="101" t="str">
        <f>IF(K34&gt;0,COUNT($A$7:A33)
+COUNT('DWV PVC'!$A$9:$A$316)
+COUNT('DWV ABS'!$A$8:$A$116)+1,"")</f>
        <v/>
      </c>
      <c r="B34" s="610"/>
      <c r="C34" s="611"/>
      <c r="D34" s="369" t="str">
        <f>_xlfn.XLOOKUP(E34,'All Products'!D:D,'All Products'!C:C,FALSE)</f>
        <v>401-211</v>
      </c>
      <c r="E34" s="51">
        <v>100022346</v>
      </c>
      <c r="F34" s="376" t="str">
        <f>_xlfn.XLOOKUP(E34,'All Products'!D:D,'All Products'!E:E,FALSE)</f>
        <v>1-1/2X1-1/2X1 REDUCING TEE SXSXS</v>
      </c>
      <c r="G34" s="232">
        <f>_xlfn.XLOOKUP(E34,'All Products'!D:D,'All Products'!F:F,FALSE)</f>
        <v>25</v>
      </c>
      <c r="H34" s="387">
        <f>_xlfn.XLOOKUP(E34,'All Products'!D:D,'All Products'!G:G,FALSE)</f>
        <v>3000</v>
      </c>
      <c r="I34" s="394">
        <f>_xlfn.XLOOKUP(E34,'All Products'!D:D,'All Products'!H:H,FALSE)</f>
        <v>12.8</v>
      </c>
      <c r="J34" s="183">
        <f>IFERROR(ROUND(I34*Order_Quote!$L$4,2),0)</f>
        <v>12.8</v>
      </c>
      <c r="K34" s="73"/>
      <c r="L34" s="76"/>
      <c r="M34" s="114">
        <f t="shared" si="3"/>
        <v>0</v>
      </c>
      <c r="O34" s="384" t="str">
        <f>_xlfn.XLOOKUP(E34,'All Products'!D:D,'All Products'!I:I,FALSE)</f>
        <v>In Stock</v>
      </c>
      <c r="P34" s="384" t="str">
        <f>_xlfn.XLOOKUP(E34,'All Products'!D:D,'All Products'!J:J,FALSE)</f>
        <v>Manufactured</v>
      </c>
      <c r="Q34" s="397">
        <f>_xlfn.XLOOKUP(E34,'All Products'!D:D,'All Products'!K:K,FALSE)</f>
        <v>49081145941</v>
      </c>
      <c r="R34" s="397" t="str">
        <f>_xlfn.XLOOKUP(E34,'All Products'!D:D,'All Products'!L:L,FALSE)</f>
        <v>-</v>
      </c>
      <c r="S34" s="397">
        <f>_xlfn.XLOOKUP(E34,'All Products'!D:D,'All Products'!M:M,FALSE)</f>
        <v>40049081145949</v>
      </c>
      <c r="T34" s="384">
        <f>_xlfn.XLOOKUP(E34,'All Products'!D:D,'All Products'!N:N,FALSE)</f>
        <v>0.318</v>
      </c>
      <c r="U34" s="397" t="str">
        <f>_xlfn.XLOOKUP(E34,'All Products'!D:D,'All Products'!O:O,FALSE)</f>
        <v>-</v>
      </c>
      <c r="V34" s="384">
        <f>_xlfn.XLOOKUP(E34,'All Products'!D:D,'All Products'!P:P,FALSE)</f>
        <v>8.35</v>
      </c>
      <c r="W34" s="384">
        <f>_xlfn.XLOOKUP(E34,'All Products'!D:D,'All Products'!Q:Q,FALSE)</f>
        <v>0.65</v>
      </c>
    </row>
    <row r="35" spans="1:23" ht="15" customHeight="1">
      <c r="B35" s="610"/>
      <c r="C35" s="611"/>
      <c r="D35" s="369" t="str">
        <f>_xlfn.XLOOKUP(E35,'All Products'!D:D,'All Products'!C:C,FALSE)</f>
        <v>401-212</v>
      </c>
      <c r="E35" s="51">
        <v>100022348</v>
      </c>
      <c r="F35" s="376" t="str">
        <f>_xlfn.XLOOKUP(E35,'All Products'!D:D,'All Products'!E:E,FALSE)</f>
        <v>1-1/2 X 1-1/2 X 1-1/4" REDUCING TEE SXSXS</v>
      </c>
      <c r="G35" s="232">
        <f>_xlfn.XLOOKUP(E35,'All Products'!D:D,'All Products'!F:F,FALSE)</f>
        <v>25</v>
      </c>
      <c r="H35" s="387">
        <f>_xlfn.XLOOKUP(E35,'All Products'!D:D,'All Products'!G:G,FALSE)</f>
        <v>1500</v>
      </c>
      <c r="I35" s="394">
        <f>_xlfn.XLOOKUP(E35,'All Products'!D:D,'All Products'!H:H,FALSE)</f>
        <v>12.2</v>
      </c>
      <c r="J35" s="183">
        <f>IFERROR(ROUND(I35*Order_Quote!$L$4,2),0)</f>
        <v>12.2</v>
      </c>
      <c r="K35" s="73"/>
      <c r="L35" s="76"/>
      <c r="M35" s="114">
        <f t="shared" si="3"/>
        <v>0</v>
      </c>
      <c r="O35" s="384" t="str">
        <f>_xlfn.XLOOKUP(E35,'All Products'!D:D,'All Products'!I:I,FALSE)</f>
        <v>Within 3 Weeks</v>
      </c>
      <c r="P35" s="384" t="str">
        <f>_xlfn.XLOOKUP(E35,'All Products'!D:D,'All Products'!J:J,FALSE)</f>
        <v>Manufactured</v>
      </c>
      <c r="Q35" s="397">
        <f>_xlfn.XLOOKUP(E35,'All Products'!D:D,'All Products'!K:K,FALSE)</f>
        <v>49081145927</v>
      </c>
      <c r="R35" s="397" t="str">
        <f>_xlfn.XLOOKUP(E35,'All Products'!D:D,'All Products'!L:L,FALSE)</f>
        <v>-</v>
      </c>
      <c r="S35" s="397">
        <f>_xlfn.XLOOKUP(E35,'All Products'!D:D,'All Products'!M:M,FALSE)</f>
        <v>40049081145925</v>
      </c>
      <c r="T35" s="384">
        <f>_xlfn.XLOOKUP(E35,'All Products'!D:D,'All Products'!N:N,FALSE)</f>
        <v>0.36299999999999999</v>
      </c>
      <c r="U35" s="397" t="str">
        <f>_xlfn.XLOOKUP(E35,'All Products'!D:D,'All Products'!O:O,FALSE)</f>
        <v>-</v>
      </c>
      <c r="V35" s="384">
        <f>_xlfn.XLOOKUP(E35,'All Products'!D:D,'All Products'!P:P,FALSE)</f>
        <v>9.35</v>
      </c>
      <c r="W35" s="384">
        <f>_xlfn.XLOOKUP(E35,'All Products'!D:D,'All Products'!Q:Q,FALSE)</f>
        <v>0.72</v>
      </c>
    </row>
    <row r="36" spans="1:23" ht="15" customHeight="1">
      <c r="A36" s="101" t="str">
        <f>IF(K36&gt;0,COUNT($A$7:A34)
+COUNT('DWV PVC'!$A$9:$A$316)
+COUNT('DWV ABS'!$A$8:$A$116)+1,"")</f>
        <v/>
      </c>
      <c r="B36" s="610"/>
      <c r="C36" s="611"/>
      <c r="D36" s="369" t="str">
        <f>_xlfn.XLOOKUP(E36,'All Products'!D:D,'All Products'!C:C,FALSE)</f>
        <v>401-213</v>
      </c>
      <c r="E36" s="51">
        <v>100022349</v>
      </c>
      <c r="F36" s="376" t="str">
        <f>_xlfn.XLOOKUP(E36,'All Products'!D:D,'All Products'!E:E,FALSE)</f>
        <v>1-1/2X1-1/2X2 REDUCING TEE SXSXS</v>
      </c>
      <c r="G36" s="232">
        <f>_xlfn.XLOOKUP(E36,'All Products'!D:D,'All Products'!F:F,FALSE)</f>
        <v>20</v>
      </c>
      <c r="H36" s="387">
        <f>_xlfn.XLOOKUP(E36,'All Products'!D:D,'All Products'!G:G,FALSE)</f>
        <v>1800</v>
      </c>
      <c r="I36" s="394">
        <f>_xlfn.XLOOKUP(E36,'All Products'!D:D,'All Products'!H:H,FALSE)</f>
        <v>18.27</v>
      </c>
      <c r="J36" s="183">
        <f>IFERROR(ROUND(I36*Order_Quote!$L$4,2),0)</f>
        <v>18.27</v>
      </c>
      <c r="K36" s="73"/>
      <c r="L36" s="76"/>
      <c r="M36" s="114">
        <f t="shared" si="0"/>
        <v>0</v>
      </c>
      <c r="O36" s="384" t="str">
        <f>_xlfn.XLOOKUP(E36,'All Products'!D:D,'All Products'!I:I,FALSE)</f>
        <v>In Stock</v>
      </c>
      <c r="P36" s="384" t="str">
        <f>_xlfn.XLOOKUP(E36,'All Products'!D:D,'All Products'!J:J,FALSE)</f>
        <v>Manufactured</v>
      </c>
      <c r="Q36" s="397">
        <f>_xlfn.XLOOKUP(E36,'All Products'!D:D,'All Products'!K:K,FALSE)</f>
        <v>49081145903</v>
      </c>
      <c r="R36" s="397" t="str">
        <f>_xlfn.XLOOKUP(E36,'All Products'!D:D,'All Products'!L:L,FALSE)</f>
        <v>-</v>
      </c>
      <c r="S36" s="397">
        <f>_xlfn.XLOOKUP(E36,'All Products'!D:D,'All Products'!M:M,FALSE)</f>
        <v>40049081145901</v>
      </c>
      <c r="T36" s="384">
        <f>_xlfn.XLOOKUP(E36,'All Products'!D:D,'All Products'!N:N,FALSE)</f>
        <v>0.40699999999999997</v>
      </c>
      <c r="U36" s="397" t="str">
        <f>_xlfn.XLOOKUP(E36,'All Products'!D:D,'All Products'!O:O,FALSE)</f>
        <v>-</v>
      </c>
      <c r="V36" s="384">
        <f>_xlfn.XLOOKUP(E36,'All Products'!D:D,'All Products'!P:P,FALSE)</f>
        <v>8.7200000000000006</v>
      </c>
      <c r="W36" s="384">
        <f>_xlfn.XLOOKUP(E36,'All Products'!D:D,'All Products'!Q:Q,FALSE)</f>
        <v>0.8</v>
      </c>
    </row>
    <row r="37" spans="1:23" ht="15" customHeight="1">
      <c r="A37" s="101" t="str">
        <f>IF(K37&gt;0,COUNT($A$7:A36)
+COUNT('DWV PVC'!$A$9:$A$316)
+COUNT('DWV ABS'!$A$8:$A$116)+1,"")</f>
        <v/>
      </c>
      <c r="B37" s="610"/>
      <c r="C37" s="611"/>
      <c r="D37" s="369" t="str">
        <f>_xlfn.XLOOKUP(E37,'All Products'!D:D,'All Products'!C:C,FALSE)</f>
        <v>401-247</v>
      </c>
      <c r="E37" s="51">
        <v>100022352</v>
      </c>
      <c r="F37" s="376" t="str">
        <f>_xlfn.XLOOKUP(E37,'All Products'!D:D,'All Products'!E:E,FALSE)</f>
        <v>2X2X1/2 REDUCING TEE SXSXS</v>
      </c>
      <c r="G37" s="232">
        <f>_xlfn.XLOOKUP(E37,'All Products'!D:D,'All Products'!F:F,FALSE)</f>
        <v>20</v>
      </c>
      <c r="H37" s="387">
        <f>_xlfn.XLOOKUP(E37,'All Products'!D:D,'All Products'!G:G,FALSE)</f>
        <v>1800</v>
      </c>
      <c r="I37" s="394">
        <f>_xlfn.XLOOKUP(E37,'All Products'!D:D,'All Products'!H:H,FALSE)</f>
        <v>12.56</v>
      </c>
      <c r="J37" s="183">
        <f>IFERROR(ROUND(I37*Order_Quote!$L$4,2),0)</f>
        <v>12.56</v>
      </c>
      <c r="K37" s="73"/>
      <c r="L37" s="76"/>
      <c r="M37" s="114">
        <f t="shared" si="0"/>
        <v>0</v>
      </c>
      <c r="O37" s="384" t="str">
        <f>_xlfn.XLOOKUP(E37,'All Products'!D:D,'All Products'!I:I,FALSE)</f>
        <v>In Stock</v>
      </c>
      <c r="P37" s="384" t="str">
        <f>_xlfn.XLOOKUP(E37,'All Products'!D:D,'All Products'!J:J,FALSE)</f>
        <v>Manufactured</v>
      </c>
      <c r="Q37" s="397">
        <f>_xlfn.XLOOKUP(E37,'All Products'!D:D,'All Products'!K:K,FALSE)</f>
        <v>49081146344</v>
      </c>
      <c r="R37" s="397" t="str">
        <f>_xlfn.XLOOKUP(E37,'All Products'!D:D,'All Products'!L:L,FALSE)</f>
        <v>-</v>
      </c>
      <c r="S37" s="397">
        <f>_xlfn.XLOOKUP(E37,'All Products'!D:D,'All Products'!M:M,FALSE)</f>
        <v>40049081146342</v>
      </c>
      <c r="T37" s="384">
        <f>_xlfn.XLOOKUP(E37,'All Products'!D:D,'All Products'!N:N,FALSE)</f>
        <v>0.33</v>
      </c>
      <c r="U37" s="397" t="str">
        <f>_xlfn.XLOOKUP(E37,'All Products'!D:D,'All Products'!O:O,FALSE)</f>
        <v>-</v>
      </c>
      <c r="V37" s="384">
        <f>_xlfn.XLOOKUP(E37,'All Products'!D:D,'All Products'!P:P,FALSE)</f>
        <v>7.18</v>
      </c>
      <c r="W37" s="384">
        <f>_xlfn.XLOOKUP(E37,'All Products'!D:D,'All Products'!Q:Q,FALSE)</f>
        <v>0.8</v>
      </c>
    </row>
    <row r="38" spans="1:23" ht="15" customHeight="1">
      <c r="A38" s="101" t="str">
        <f>IF(K38&gt;0,COUNT($A$7:A37)
+COUNT('DWV PVC'!$A$9:$A$316)
+COUNT('DWV ABS'!$A$8:$A$116)+1,"")</f>
        <v/>
      </c>
      <c r="B38" s="610"/>
      <c r="C38" s="611"/>
      <c r="D38" s="369" t="str">
        <f>_xlfn.XLOOKUP(E38,'All Products'!D:D,'All Products'!C:C,FALSE)</f>
        <v>401-248</v>
      </c>
      <c r="E38" s="51">
        <v>100022354</v>
      </c>
      <c r="F38" s="376" t="str">
        <f>_xlfn.XLOOKUP(E38,'All Products'!D:D,'All Products'!E:E,FALSE)</f>
        <v>2X2X3/4 REDUCING TEE SXSXS</v>
      </c>
      <c r="G38" s="232">
        <f>_xlfn.XLOOKUP(E38,'All Products'!D:D,'All Products'!F:F,FALSE)</f>
        <v>20</v>
      </c>
      <c r="H38" s="387">
        <f>_xlfn.XLOOKUP(E38,'All Products'!D:D,'All Products'!G:G,FALSE)</f>
        <v>1800</v>
      </c>
      <c r="I38" s="394">
        <f>_xlfn.XLOOKUP(E38,'All Products'!D:D,'All Products'!H:H,FALSE)</f>
        <v>12.56</v>
      </c>
      <c r="J38" s="183">
        <f>IFERROR(ROUND(I38*Order_Quote!$L$4,2),0)</f>
        <v>12.56</v>
      </c>
      <c r="K38" s="73"/>
      <c r="L38" s="76"/>
      <c r="M38" s="114">
        <f t="shared" si="0"/>
        <v>0</v>
      </c>
      <c r="O38" s="384" t="str">
        <f>_xlfn.XLOOKUP(E38,'All Products'!D:D,'All Products'!I:I,FALSE)</f>
        <v>In Stock</v>
      </c>
      <c r="P38" s="384" t="str">
        <f>_xlfn.XLOOKUP(E38,'All Products'!D:D,'All Products'!J:J,FALSE)</f>
        <v>Manufactured</v>
      </c>
      <c r="Q38" s="397">
        <f>_xlfn.XLOOKUP(E38,'All Products'!D:D,'All Products'!K:K,FALSE)</f>
        <v>49081146320</v>
      </c>
      <c r="R38" s="397" t="str">
        <f>_xlfn.XLOOKUP(E38,'All Products'!D:D,'All Products'!L:L,FALSE)</f>
        <v>-</v>
      </c>
      <c r="S38" s="397">
        <f>_xlfn.XLOOKUP(E38,'All Products'!D:D,'All Products'!M:M,FALSE)</f>
        <v>40049081146328</v>
      </c>
      <c r="T38" s="384">
        <f>_xlfn.XLOOKUP(E38,'All Products'!D:D,'All Products'!N:N,FALSE)</f>
        <v>0.36399999999999999</v>
      </c>
      <c r="U38" s="397" t="str">
        <f>_xlfn.XLOOKUP(E38,'All Products'!D:D,'All Products'!O:O,FALSE)</f>
        <v>-</v>
      </c>
      <c r="V38" s="384">
        <f>_xlfn.XLOOKUP(E38,'All Products'!D:D,'All Products'!P:P,FALSE)</f>
        <v>8.07</v>
      </c>
      <c r="W38" s="384">
        <f>_xlfn.XLOOKUP(E38,'All Products'!D:D,'All Products'!Q:Q,FALSE)</f>
        <v>0.8</v>
      </c>
    </row>
    <row r="39" spans="1:23" ht="15" customHeight="1">
      <c r="A39" s="101" t="str">
        <f>IF(K39&gt;0,COUNT($A$7:A38)
+COUNT('DWV PVC'!$A$9:$A$316)
+COUNT('DWV ABS'!$A$8:$A$116)+1,"")</f>
        <v/>
      </c>
      <c r="B39" s="610"/>
      <c r="C39" s="611"/>
      <c r="D39" s="369" t="str">
        <f>_xlfn.XLOOKUP(E39,'All Products'!D:D,'All Products'!C:C,FALSE)</f>
        <v>401-249</v>
      </c>
      <c r="E39" s="51">
        <v>100027383</v>
      </c>
      <c r="F39" s="376" t="str">
        <f>_xlfn.XLOOKUP(E39,'All Products'!D:D,'All Products'!E:E,FALSE)</f>
        <v>2X2X1 REDUCING TEE SXSXS</v>
      </c>
      <c r="G39" s="232">
        <f>_xlfn.XLOOKUP(E39,'All Products'!D:D,'All Products'!F:F,FALSE)</f>
        <v>15</v>
      </c>
      <c r="H39" s="387">
        <f>_xlfn.XLOOKUP(E39,'All Products'!D:D,'All Products'!G:G,FALSE)</f>
        <v>1350</v>
      </c>
      <c r="I39" s="394">
        <f>_xlfn.XLOOKUP(E39,'All Products'!D:D,'All Products'!H:H,FALSE)</f>
        <v>12.56</v>
      </c>
      <c r="J39" s="183">
        <f>IFERROR(ROUND(I39*Order_Quote!$L$4,2),0)</f>
        <v>12.56</v>
      </c>
      <c r="K39" s="73"/>
      <c r="L39" s="76"/>
      <c r="M39" s="114">
        <f t="shared" si="0"/>
        <v>0</v>
      </c>
      <c r="O39" s="384" t="str">
        <f>_xlfn.XLOOKUP(E39,'All Products'!D:D,'All Products'!I:I,FALSE)</f>
        <v>In Stock</v>
      </c>
      <c r="P39" s="384" t="str">
        <f>_xlfn.XLOOKUP(E39,'All Products'!D:D,'All Products'!J:J,FALSE)</f>
        <v>Manufactured</v>
      </c>
      <c r="Q39" s="397">
        <f>_xlfn.XLOOKUP(E39,'All Products'!D:D,'All Products'!K:K,FALSE)</f>
        <v>49081146306</v>
      </c>
      <c r="R39" s="397" t="str">
        <f>_xlfn.XLOOKUP(E39,'All Products'!D:D,'All Products'!L:L,FALSE)</f>
        <v>-</v>
      </c>
      <c r="S39" s="397">
        <f>_xlfn.XLOOKUP(E39,'All Products'!D:D,'All Products'!M:M,FALSE)</f>
        <v>40049081146304</v>
      </c>
      <c r="T39" s="384">
        <f>_xlfn.XLOOKUP(E39,'All Products'!D:D,'All Products'!N:N,FALSE)</f>
        <v>0.42199999999999999</v>
      </c>
      <c r="U39" s="397" t="str">
        <f>_xlfn.XLOOKUP(E39,'All Products'!D:D,'All Products'!O:O,FALSE)</f>
        <v>-</v>
      </c>
      <c r="V39" s="384">
        <f>_xlfn.XLOOKUP(E39,'All Products'!D:D,'All Products'!P:P,FALSE)</f>
        <v>6.9</v>
      </c>
      <c r="W39" s="384">
        <f>_xlfn.XLOOKUP(E39,'All Products'!D:D,'All Products'!Q:Q,FALSE)</f>
        <v>0.8</v>
      </c>
    </row>
    <row r="40" spans="1:23" ht="15" customHeight="1">
      <c r="A40" s="101" t="str">
        <f>IF(K40&gt;0,COUNT($A$7:A39)
+COUNT('DWV PVC'!$A$9:$A$316)
+COUNT('DWV ABS'!$A$8:$A$116)+1,"")</f>
        <v/>
      </c>
      <c r="B40" s="610"/>
      <c r="C40" s="611"/>
      <c r="D40" s="369" t="str">
        <f>_xlfn.XLOOKUP(E40,'All Products'!D:D,'All Products'!C:C,FALSE)</f>
        <v>401-251</v>
      </c>
      <c r="E40" s="51">
        <v>100022356</v>
      </c>
      <c r="F40" s="376" t="str">
        <f>_xlfn.XLOOKUP(E40,'All Products'!D:D,'All Products'!E:E,FALSE)</f>
        <v>2X2X1-1/2 REDUCING TEE SXSXS</v>
      </c>
      <c r="G40" s="232">
        <f>_xlfn.XLOOKUP(E40,'All Products'!D:D,'All Products'!F:F,FALSE)</f>
        <v>10</v>
      </c>
      <c r="H40" s="387">
        <f>_xlfn.XLOOKUP(E40,'All Products'!D:D,'All Products'!G:G,FALSE)</f>
        <v>1200</v>
      </c>
      <c r="I40" s="394">
        <f>_xlfn.XLOOKUP(E40,'All Products'!D:D,'All Products'!H:H,FALSE)</f>
        <v>12.56</v>
      </c>
      <c r="J40" s="183">
        <f>IFERROR(ROUND(I40*Order_Quote!$L$4,2),0)</f>
        <v>12.56</v>
      </c>
      <c r="K40" s="73"/>
      <c r="L40" s="76"/>
      <c r="M40" s="114">
        <f t="shared" si="0"/>
        <v>0</v>
      </c>
      <c r="O40" s="384" t="str">
        <f>_xlfn.XLOOKUP(E40,'All Products'!D:D,'All Products'!I:I,FALSE)</f>
        <v>In Stock</v>
      </c>
      <c r="P40" s="384" t="str">
        <f>_xlfn.XLOOKUP(E40,'All Products'!D:D,'All Products'!J:J,FALSE)</f>
        <v>Manufactured</v>
      </c>
      <c r="Q40" s="397">
        <f>_xlfn.XLOOKUP(E40,'All Products'!D:D,'All Products'!K:K,FALSE)</f>
        <v>49081146269</v>
      </c>
      <c r="R40" s="397" t="str">
        <f>_xlfn.XLOOKUP(E40,'All Products'!D:D,'All Products'!L:L,FALSE)</f>
        <v>-</v>
      </c>
      <c r="S40" s="397">
        <f>_xlfn.XLOOKUP(E40,'All Products'!D:D,'All Products'!M:M,FALSE)</f>
        <v>40049081146267</v>
      </c>
      <c r="T40" s="384">
        <f>_xlfn.XLOOKUP(E40,'All Products'!D:D,'All Products'!N:N,FALSE)</f>
        <v>0.49</v>
      </c>
      <c r="U40" s="397" t="str">
        <f>_xlfn.XLOOKUP(E40,'All Products'!D:D,'All Products'!O:O,FALSE)</f>
        <v>-</v>
      </c>
      <c r="V40" s="384">
        <f>_xlfn.XLOOKUP(E40,'All Products'!D:D,'All Products'!P:P,FALSE)</f>
        <v>5.61</v>
      </c>
      <c r="W40" s="384">
        <f>_xlfn.XLOOKUP(E40,'All Products'!D:D,'All Products'!Q:Q,FALSE)</f>
        <v>0.65</v>
      </c>
    </row>
    <row r="41" spans="1:23" ht="15" customHeight="1">
      <c r="A41" s="101" t="str">
        <f>IF(K41&gt;0,COUNT($A$7:A40)
+COUNT('DWV PVC'!$A$9:$A$316)
+COUNT('DWV ABS'!$A$8:$A$116)+1,"")</f>
        <v/>
      </c>
      <c r="B41" s="610"/>
      <c r="C41" s="611"/>
      <c r="D41" s="369" t="str">
        <f>_xlfn.XLOOKUP(E41,'All Products'!D:D,'All Products'!C:C,FALSE)</f>
        <v>401-289</v>
      </c>
      <c r="E41" s="51">
        <v>100022361</v>
      </c>
      <c r="F41" s="376" t="str">
        <f>_xlfn.XLOOKUP(E41,'All Products'!D:D,'All Products'!E:E,FALSE)</f>
        <v>2-1/2X2-1/2X1 REDUCING TEE SXSXS</v>
      </c>
      <c r="G41" s="232">
        <f>_xlfn.XLOOKUP(E41,'All Products'!D:D,'All Products'!F:F,FALSE)</f>
        <v>10</v>
      </c>
      <c r="H41" s="387">
        <f>_xlfn.XLOOKUP(E41,'All Products'!D:D,'All Products'!G:G,FALSE)</f>
        <v>900</v>
      </c>
      <c r="I41" s="394">
        <f>_xlfn.XLOOKUP(E41,'All Products'!D:D,'All Products'!H:H,FALSE)</f>
        <v>38.619999999999997</v>
      </c>
      <c r="J41" s="183">
        <f>IFERROR(ROUND(I41*Order_Quote!$L$4,2),0)</f>
        <v>38.619999999999997</v>
      </c>
      <c r="K41" s="73"/>
      <c r="L41" s="76"/>
      <c r="M41" s="114">
        <f t="shared" si="0"/>
        <v>0</v>
      </c>
      <c r="O41" s="384" t="str">
        <f>_xlfn.XLOOKUP(E41,'All Products'!D:D,'All Products'!I:I,FALSE)</f>
        <v>In Stock</v>
      </c>
      <c r="P41" s="384" t="str">
        <f>_xlfn.XLOOKUP(E41,'All Products'!D:D,'All Products'!J:J,FALSE)</f>
        <v>Manufactured</v>
      </c>
      <c r="Q41" s="397">
        <f>_xlfn.XLOOKUP(E41,'All Products'!D:D,'All Products'!K:K,FALSE)</f>
        <v>49081146641</v>
      </c>
      <c r="R41" s="397" t="str">
        <f>_xlfn.XLOOKUP(E41,'All Products'!D:D,'All Products'!L:L,FALSE)</f>
        <v>-</v>
      </c>
      <c r="S41" s="397">
        <f>_xlfn.XLOOKUP(E41,'All Products'!D:D,'All Products'!M:M,FALSE)</f>
        <v>40049081146649</v>
      </c>
      <c r="T41" s="384">
        <f>_xlfn.XLOOKUP(E41,'All Products'!D:D,'All Products'!N:N,FALSE)</f>
        <v>0.73</v>
      </c>
      <c r="U41" s="397" t="str">
        <f>_xlfn.XLOOKUP(E41,'All Products'!D:D,'All Products'!O:O,FALSE)</f>
        <v>-</v>
      </c>
      <c r="V41" s="384">
        <f>_xlfn.XLOOKUP(E41,'All Products'!D:D,'All Products'!P:P,FALSE)</f>
        <v>8.7799999999999994</v>
      </c>
      <c r="W41" s="384">
        <f>_xlfn.XLOOKUP(E41,'All Products'!D:D,'All Products'!Q:Q,FALSE)</f>
        <v>0.8</v>
      </c>
    </row>
    <row r="42" spans="1:23" ht="15" customHeight="1">
      <c r="A42" s="101" t="str">
        <f>IF(K42&gt;0,COUNT($A$7:A41)
+COUNT('DWV PVC'!$A$9:$A$316)
+COUNT('DWV ABS'!$A$8:$A$116)+1,"")</f>
        <v/>
      </c>
      <c r="B42" s="610"/>
      <c r="C42" s="611"/>
      <c r="D42" s="369" t="str">
        <f>_xlfn.XLOOKUP(E42,'All Products'!D:D,'All Products'!C:C,FALSE)</f>
        <v>401-334</v>
      </c>
      <c r="E42" s="51">
        <v>100022370</v>
      </c>
      <c r="F42" s="376" t="str">
        <f>_xlfn.XLOOKUP(E42,'All Products'!D:D,'All Products'!E:E,FALSE)</f>
        <v>3X3X3/4 REDUCING TEE SXSXS</v>
      </c>
      <c r="G42" s="232">
        <f>_xlfn.XLOOKUP(E42,'All Products'!D:D,'All Products'!F:F,FALSE)</f>
        <v>5</v>
      </c>
      <c r="H42" s="387">
        <f>_xlfn.XLOOKUP(E42,'All Products'!D:D,'All Products'!G:G,FALSE)</f>
        <v>750</v>
      </c>
      <c r="I42" s="394">
        <f>_xlfn.XLOOKUP(E42,'All Products'!D:D,'All Products'!H:H,FALSE)</f>
        <v>55.36</v>
      </c>
      <c r="J42" s="183">
        <f>IFERROR(ROUND(I42*Order_Quote!$L$4,2),0)</f>
        <v>55.36</v>
      </c>
      <c r="K42" s="73"/>
      <c r="L42" s="76"/>
      <c r="M42" s="114">
        <f t="shared" si="0"/>
        <v>0</v>
      </c>
      <c r="O42" s="384" t="str">
        <f>_xlfn.XLOOKUP(E42,'All Products'!D:D,'All Products'!I:I,FALSE)</f>
        <v>In Stock</v>
      </c>
      <c r="P42" s="384" t="str">
        <f>_xlfn.XLOOKUP(E42,'All Products'!D:D,'All Products'!J:J,FALSE)</f>
        <v>Manufactured</v>
      </c>
      <c r="Q42" s="397">
        <f>_xlfn.XLOOKUP(E42,'All Products'!D:D,'All Products'!K:K,FALSE)</f>
        <v>49081146825</v>
      </c>
      <c r="R42" s="397" t="str">
        <f>_xlfn.XLOOKUP(E42,'All Products'!D:D,'All Products'!L:L,FALSE)</f>
        <v>-</v>
      </c>
      <c r="S42" s="397">
        <f>_xlfn.XLOOKUP(E42,'All Products'!D:D,'All Products'!M:M,FALSE)</f>
        <v>40049081146823</v>
      </c>
      <c r="T42" s="384">
        <f>_xlfn.XLOOKUP(E42,'All Products'!D:D,'All Products'!N:N,FALSE)</f>
        <v>0.77600000000000002</v>
      </c>
      <c r="U42" s="397" t="str">
        <f>_xlfn.XLOOKUP(E42,'All Products'!D:D,'All Products'!O:O,FALSE)</f>
        <v>-</v>
      </c>
      <c r="V42" s="384">
        <f>_xlfn.XLOOKUP(E42,'All Products'!D:D,'All Products'!P:P,FALSE)</f>
        <v>5.28</v>
      </c>
      <c r="W42" s="384">
        <f>_xlfn.XLOOKUP(E42,'All Products'!D:D,'All Products'!Q:Q,FALSE)</f>
        <v>0.5</v>
      </c>
    </row>
    <row r="43" spans="1:23" ht="15" customHeight="1">
      <c r="A43" s="101" t="str">
        <f>IF(K43&gt;0,COUNT($A$7:A42)
+COUNT('DWV PVC'!$A$9:$A$316)
+COUNT('DWV ABS'!$A$8:$A$116)+1,"")</f>
        <v/>
      </c>
      <c r="B43" s="610"/>
      <c r="C43" s="611"/>
      <c r="D43" s="369" t="str">
        <f>_xlfn.XLOOKUP(E43,'All Products'!D:D,'All Products'!C:C,FALSE)</f>
        <v>401-335</v>
      </c>
      <c r="E43" s="51">
        <v>100022372</v>
      </c>
      <c r="F43" s="376" t="str">
        <f>_xlfn.XLOOKUP(E43,'All Products'!D:D,'All Products'!E:E,FALSE)</f>
        <v>3X3X1 REDUCING TEE SXSXS</v>
      </c>
      <c r="G43" s="232">
        <f>_xlfn.XLOOKUP(E43,'All Products'!D:D,'All Products'!F:F,FALSE)</f>
        <v>5</v>
      </c>
      <c r="H43" s="387">
        <f>_xlfn.XLOOKUP(E43,'All Products'!D:D,'All Products'!G:G,FALSE)</f>
        <v>750</v>
      </c>
      <c r="I43" s="394">
        <f>_xlfn.XLOOKUP(E43,'All Products'!D:D,'All Products'!H:H,FALSE)</f>
        <v>55.36</v>
      </c>
      <c r="J43" s="183">
        <f>IFERROR(ROUND(I43*Order_Quote!$L$4,2),0)</f>
        <v>55.36</v>
      </c>
      <c r="K43" s="73"/>
      <c r="L43" s="76"/>
      <c r="M43" s="114">
        <f t="shared" si="0"/>
        <v>0</v>
      </c>
      <c r="O43" s="384" t="str">
        <f>_xlfn.XLOOKUP(E43,'All Products'!D:D,'All Products'!I:I,FALSE)</f>
        <v>In Stock</v>
      </c>
      <c r="P43" s="384" t="str">
        <f>_xlfn.XLOOKUP(E43,'All Products'!D:D,'All Products'!J:J,FALSE)</f>
        <v>Manufactured</v>
      </c>
      <c r="Q43" s="397">
        <f>_xlfn.XLOOKUP(E43,'All Products'!D:D,'All Products'!K:K,FALSE)</f>
        <v>49081146801</v>
      </c>
      <c r="R43" s="397" t="str">
        <f>_xlfn.XLOOKUP(E43,'All Products'!D:D,'All Products'!L:L,FALSE)</f>
        <v>-</v>
      </c>
      <c r="S43" s="397">
        <f>_xlfn.XLOOKUP(E43,'All Products'!D:D,'All Products'!M:M,FALSE)</f>
        <v>40049081146809</v>
      </c>
      <c r="T43" s="384">
        <f>_xlfn.XLOOKUP(E43,'All Products'!D:D,'All Products'!N:N,FALSE)</f>
        <v>0.90600000000000003</v>
      </c>
      <c r="U43" s="397" t="str">
        <f>_xlfn.XLOOKUP(E43,'All Products'!D:D,'All Products'!O:O,FALSE)</f>
        <v>-</v>
      </c>
      <c r="V43" s="384">
        <f>_xlfn.XLOOKUP(E43,'All Products'!D:D,'All Products'!P:P,FALSE)</f>
        <v>5.05</v>
      </c>
      <c r="W43" s="384">
        <f>_xlfn.XLOOKUP(E43,'All Products'!D:D,'All Products'!Q:Q,FALSE)</f>
        <v>0.5</v>
      </c>
    </row>
    <row r="44" spans="1:23" ht="15" customHeight="1">
      <c r="A44" s="101" t="str">
        <f>IF(K44&gt;0,COUNT($A$7:A43)
+COUNT('DWV PVC'!$A$9:$A$316)
+COUNT('DWV ABS'!$A$8:$A$116)+1,"")</f>
        <v/>
      </c>
      <c r="B44" s="610"/>
      <c r="C44" s="611"/>
      <c r="D44" s="369" t="str">
        <f>_xlfn.XLOOKUP(E44,'All Products'!D:D,'All Products'!C:C,FALSE)</f>
        <v>401-336</v>
      </c>
      <c r="E44" s="51">
        <v>100022373</v>
      </c>
      <c r="F44" s="376" t="str">
        <f>_xlfn.XLOOKUP(E44,'All Products'!D:D,'All Products'!E:E,FALSE)</f>
        <v>3X3X1-1/4 REDUCING TEE SXSXS</v>
      </c>
      <c r="G44" s="232">
        <f>_xlfn.XLOOKUP(E44,'All Products'!D:D,'All Products'!F:F,FALSE)</f>
        <v>5</v>
      </c>
      <c r="H44" s="387">
        <f>_xlfn.XLOOKUP(E44,'All Products'!D:D,'All Products'!G:G,FALSE)</f>
        <v>450</v>
      </c>
      <c r="I44" s="394">
        <f>_xlfn.XLOOKUP(E44,'All Products'!D:D,'All Products'!H:H,FALSE)</f>
        <v>55.36</v>
      </c>
      <c r="J44" s="183">
        <f>IFERROR(ROUND(I44*Order_Quote!$L$4,2),0)</f>
        <v>55.36</v>
      </c>
      <c r="K44" s="73"/>
      <c r="L44" s="76"/>
      <c r="M44" s="114">
        <f t="shared" si="0"/>
        <v>0</v>
      </c>
      <c r="O44" s="384" t="str">
        <f>_xlfn.XLOOKUP(E44,'All Products'!D:D,'All Products'!I:I,FALSE)</f>
        <v>Within 3 Weeks</v>
      </c>
      <c r="P44" s="384" t="str">
        <f>_xlfn.XLOOKUP(E44,'All Products'!D:D,'All Products'!J:J,FALSE)</f>
        <v>Manufactured</v>
      </c>
      <c r="Q44" s="397">
        <f>_xlfn.XLOOKUP(E44,'All Products'!D:D,'All Products'!K:K,FALSE)</f>
        <v>49081146788</v>
      </c>
      <c r="R44" s="397" t="str">
        <f>_xlfn.XLOOKUP(E44,'All Products'!D:D,'All Products'!L:L,FALSE)</f>
        <v>-</v>
      </c>
      <c r="S44" s="397">
        <f>_xlfn.XLOOKUP(E44,'All Products'!D:D,'All Products'!M:M,FALSE)</f>
        <v>40049081146786</v>
      </c>
      <c r="T44" s="384">
        <f>_xlfn.XLOOKUP(E44,'All Products'!D:D,'All Products'!N:N,FALSE)</f>
        <v>0.91500000000000004</v>
      </c>
      <c r="U44" s="397" t="str">
        <f>_xlfn.XLOOKUP(E44,'All Products'!D:D,'All Products'!O:O,FALSE)</f>
        <v>-</v>
      </c>
      <c r="V44" s="384" t="str">
        <f>_xlfn.XLOOKUP(E44,'All Products'!D:D,'All Products'!P:P,FALSE)</f>
        <v>-</v>
      </c>
      <c r="W44" s="384" t="str">
        <f>_xlfn.XLOOKUP(E44,'All Products'!D:D,'All Products'!Q:Q,FALSE)</f>
        <v>-</v>
      </c>
    </row>
    <row r="45" spans="1:23" ht="15" customHeight="1">
      <c r="A45" s="101" t="str">
        <f>IF(K45&gt;0,COUNT($A$7:A44)
+COUNT('DWV PVC'!$A$9:$A$316)
+COUNT('DWV ABS'!$A$8:$A$116)+1,"")</f>
        <v/>
      </c>
      <c r="B45" s="610"/>
      <c r="C45" s="611"/>
      <c r="D45" s="369" t="str">
        <f>_xlfn.XLOOKUP(E45,'All Products'!D:D,'All Products'!C:C,FALSE)</f>
        <v>401-337</v>
      </c>
      <c r="E45" s="51">
        <v>100022375</v>
      </c>
      <c r="F45" s="376" t="str">
        <f>_xlfn.XLOOKUP(E45,'All Products'!D:D,'All Products'!E:E,FALSE)</f>
        <v>3X3X1-1/2 REDUCING TEE SXSXS</v>
      </c>
      <c r="G45" s="232">
        <f>_xlfn.XLOOKUP(E45,'All Products'!D:D,'All Products'!F:F,FALSE)</f>
        <v>5</v>
      </c>
      <c r="H45" s="387">
        <f>_xlfn.XLOOKUP(E45,'All Products'!D:D,'All Products'!G:G,FALSE)</f>
        <v>750</v>
      </c>
      <c r="I45" s="394">
        <f>_xlfn.XLOOKUP(E45,'All Products'!D:D,'All Products'!H:H,FALSE)</f>
        <v>55.36</v>
      </c>
      <c r="J45" s="183">
        <f>IFERROR(ROUND(I45*Order_Quote!$L$4,2),0)</f>
        <v>55.36</v>
      </c>
      <c r="K45" s="73"/>
      <c r="L45" s="76"/>
      <c r="M45" s="114">
        <f t="shared" si="0"/>
        <v>0</v>
      </c>
      <c r="O45" s="384" t="str">
        <f>_xlfn.XLOOKUP(E45,'All Products'!D:D,'All Products'!I:I,FALSE)</f>
        <v>In Stock</v>
      </c>
      <c r="P45" s="384" t="str">
        <f>_xlfn.XLOOKUP(E45,'All Products'!D:D,'All Products'!J:J,FALSE)</f>
        <v>Manufactured</v>
      </c>
      <c r="Q45" s="397">
        <f>_xlfn.XLOOKUP(E45,'All Products'!D:D,'All Products'!K:K,FALSE)</f>
        <v>49081146764</v>
      </c>
      <c r="R45" s="397" t="str">
        <f>_xlfn.XLOOKUP(E45,'All Products'!D:D,'All Products'!L:L,FALSE)</f>
        <v>-</v>
      </c>
      <c r="S45" s="397">
        <f>_xlfn.XLOOKUP(E45,'All Products'!D:D,'All Products'!M:M,FALSE)</f>
        <v>40049081146762</v>
      </c>
      <c r="T45" s="384">
        <f>_xlfn.XLOOKUP(E45,'All Products'!D:D,'All Products'!N:N,FALSE)</f>
        <v>0.995</v>
      </c>
      <c r="U45" s="397" t="str">
        <f>_xlfn.XLOOKUP(E45,'All Products'!D:D,'All Products'!O:O,FALSE)</f>
        <v>-</v>
      </c>
      <c r="V45" s="384">
        <f>_xlfn.XLOOKUP(E45,'All Products'!D:D,'All Products'!P:P,FALSE)</f>
        <v>5.37</v>
      </c>
      <c r="W45" s="384">
        <f>_xlfn.XLOOKUP(E45,'All Products'!D:D,'All Products'!Q:Q,FALSE)</f>
        <v>0.5</v>
      </c>
    </row>
    <row r="46" spans="1:23" ht="15" customHeight="1">
      <c r="A46" s="101" t="str">
        <f>IF(K46&gt;0,COUNT($A$7:A45)
+COUNT('DWV PVC'!$A$9:$A$316)
+COUNT('DWV ABS'!$A$8:$A$116)+1,"")</f>
        <v/>
      </c>
      <c r="B46" s="610"/>
      <c r="C46" s="611"/>
      <c r="D46" s="369" t="str">
        <f>_xlfn.XLOOKUP(E46,'All Products'!D:D,'All Products'!C:C,FALSE)</f>
        <v>401-338</v>
      </c>
      <c r="E46" s="51">
        <v>100022377</v>
      </c>
      <c r="F46" s="376" t="str">
        <f>_xlfn.XLOOKUP(E46,'All Products'!D:D,'All Products'!E:E,FALSE)</f>
        <v>3X3X2 REDUCING TEE SXSXS</v>
      </c>
      <c r="G46" s="232">
        <f>_xlfn.XLOOKUP(E46,'All Products'!D:D,'All Products'!F:F,FALSE)</f>
        <v>5</v>
      </c>
      <c r="H46" s="387">
        <f>_xlfn.XLOOKUP(E46,'All Products'!D:D,'All Products'!G:G,FALSE)</f>
        <v>600</v>
      </c>
      <c r="I46" s="394">
        <f>_xlfn.XLOOKUP(E46,'All Products'!D:D,'All Products'!H:H,FALSE)</f>
        <v>55.3</v>
      </c>
      <c r="J46" s="183">
        <f>IFERROR(ROUND(I46*Order_Quote!$L$4,2),0)</f>
        <v>55.3</v>
      </c>
      <c r="K46" s="73"/>
      <c r="L46" s="76"/>
      <c r="M46" s="114">
        <f t="shared" si="0"/>
        <v>0</v>
      </c>
      <c r="O46" s="384" t="str">
        <f>_xlfn.XLOOKUP(E46,'All Products'!D:D,'All Products'!I:I,FALSE)</f>
        <v>In Stock</v>
      </c>
      <c r="P46" s="384" t="str">
        <f>_xlfn.XLOOKUP(E46,'All Products'!D:D,'All Products'!J:J,FALSE)</f>
        <v>Manufactured</v>
      </c>
      <c r="Q46" s="397">
        <f>_xlfn.XLOOKUP(E46,'All Products'!D:D,'All Products'!K:K,FALSE)</f>
        <v>49081146740</v>
      </c>
      <c r="R46" s="397" t="str">
        <f>_xlfn.XLOOKUP(E46,'All Products'!D:D,'All Products'!L:L,FALSE)</f>
        <v>-</v>
      </c>
      <c r="S46" s="397">
        <f>_xlfn.XLOOKUP(E46,'All Products'!D:D,'All Products'!M:M,FALSE)</f>
        <v>40049081146748</v>
      </c>
      <c r="T46" s="384">
        <f>_xlfn.XLOOKUP(E46,'All Products'!D:D,'All Products'!N:N,FALSE)</f>
        <v>1.0980000000000001</v>
      </c>
      <c r="U46" s="397" t="str">
        <f>_xlfn.XLOOKUP(E46,'All Products'!D:D,'All Products'!O:O,FALSE)</f>
        <v>-</v>
      </c>
      <c r="V46" s="384">
        <f>_xlfn.XLOOKUP(E46,'All Products'!D:D,'All Products'!P:P,FALSE)</f>
        <v>6.18</v>
      </c>
      <c r="W46" s="384">
        <f>_xlfn.XLOOKUP(E46,'All Products'!D:D,'All Products'!Q:Q,FALSE)</f>
        <v>0.65</v>
      </c>
    </row>
    <row r="47" spans="1:23" ht="15" customHeight="1">
      <c r="A47" s="101" t="str">
        <f>IF(K47&gt;0,COUNT($A$7:A46)
+COUNT('DWV PVC'!$A$9:$A$316)
+COUNT('DWV ABS'!$A$8:$A$116)+1,"")</f>
        <v/>
      </c>
      <c r="B47" s="610"/>
      <c r="C47" s="611"/>
      <c r="D47" s="369" t="str">
        <f>_xlfn.XLOOKUP(E47,'All Products'!D:D,'All Products'!C:C,FALSE)</f>
        <v>401-416</v>
      </c>
      <c r="E47" s="51">
        <v>100022380</v>
      </c>
      <c r="F47" s="376" t="str">
        <f>_xlfn.XLOOKUP(E47,'All Products'!D:D,'All Products'!E:E,FALSE)</f>
        <v>4X4X3/4 REDUCING TEE SXSXS</v>
      </c>
      <c r="G47" s="232">
        <f>_xlfn.XLOOKUP(E47,'All Products'!D:D,'All Products'!F:F,FALSE)</f>
        <v>5</v>
      </c>
      <c r="H47" s="387">
        <f>_xlfn.XLOOKUP(E47,'All Products'!D:D,'All Products'!G:G,FALSE)</f>
        <v>450</v>
      </c>
      <c r="I47" s="394">
        <f>_xlfn.XLOOKUP(E47,'All Products'!D:D,'All Products'!H:H,FALSE)</f>
        <v>92.07</v>
      </c>
      <c r="J47" s="183">
        <f>IFERROR(ROUND(I47*Order_Quote!$L$4,2),0)</f>
        <v>92.07</v>
      </c>
      <c r="K47" s="73"/>
      <c r="L47" s="76"/>
      <c r="M47" s="114">
        <f t="shared" ref="M47:M89" si="4">K47/G47</f>
        <v>0</v>
      </c>
      <c r="O47" s="384" t="str">
        <f>_xlfn.XLOOKUP(E47,'All Products'!D:D,'All Products'!I:I,FALSE)</f>
        <v>In Stock</v>
      </c>
      <c r="P47" s="384" t="str">
        <f>_xlfn.XLOOKUP(E47,'All Products'!D:D,'All Products'!J:J,FALSE)</f>
        <v>Manufactured</v>
      </c>
      <c r="Q47" s="397">
        <f>_xlfn.XLOOKUP(E47,'All Products'!D:D,'All Products'!K:K,FALSE)</f>
        <v>49081147006</v>
      </c>
      <c r="R47" s="397" t="str">
        <f>_xlfn.XLOOKUP(E47,'All Products'!D:D,'All Products'!L:L,FALSE)</f>
        <v>-</v>
      </c>
      <c r="S47" s="397">
        <f>_xlfn.XLOOKUP(E47,'All Products'!D:D,'All Products'!M:M,FALSE)</f>
        <v>40049081147004</v>
      </c>
      <c r="T47" s="384">
        <f>_xlfn.XLOOKUP(E47,'All Products'!D:D,'All Products'!N:N,FALSE)</f>
        <v>1.93</v>
      </c>
      <c r="U47" s="397" t="str">
        <f>_xlfn.XLOOKUP(E47,'All Products'!D:D,'All Products'!O:O,FALSE)</f>
        <v>-</v>
      </c>
      <c r="V47" s="384">
        <f>_xlfn.XLOOKUP(E47,'All Products'!D:D,'All Products'!P:P,FALSE)</f>
        <v>10.45</v>
      </c>
      <c r="W47" s="384">
        <f>_xlfn.XLOOKUP(E47,'All Products'!D:D,'All Products'!Q:Q,FALSE)</f>
        <v>0.8</v>
      </c>
    </row>
    <row r="48" spans="1:23" ht="15" customHeight="1">
      <c r="A48" s="101" t="str">
        <f>IF(K48&gt;0,COUNT($A$7:A47)
+COUNT('DWV PVC'!$A$9:$A$316)
+COUNT('DWV ABS'!$A$8:$A$116)+1,"")</f>
        <v/>
      </c>
      <c r="B48" s="610"/>
      <c r="C48" s="611"/>
      <c r="D48" s="369" t="str">
        <f>_xlfn.XLOOKUP(E48,'All Products'!D:D,'All Products'!C:C,FALSE)</f>
        <v>401-417</v>
      </c>
      <c r="E48" s="51">
        <v>100022382</v>
      </c>
      <c r="F48" s="376" t="str">
        <f>_xlfn.XLOOKUP(E48,'All Products'!D:D,'All Products'!E:E,FALSE)</f>
        <v>4X4X1 REDUCING TEE SXSXS</v>
      </c>
      <c r="G48" s="232">
        <f>_xlfn.XLOOKUP(E48,'All Products'!D:D,'All Products'!F:F,FALSE)</f>
        <v>4</v>
      </c>
      <c r="H48" s="387">
        <f>_xlfn.XLOOKUP(E48,'All Products'!D:D,'All Products'!G:G,FALSE)</f>
        <v>360</v>
      </c>
      <c r="I48" s="394">
        <f>_xlfn.XLOOKUP(E48,'All Products'!D:D,'All Products'!H:H,FALSE)</f>
        <v>92.07</v>
      </c>
      <c r="J48" s="183">
        <f>IFERROR(ROUND(I48*Order_Quote!$L$4,2),0)</f>
        <v>92.07</v>
      </c>
      <c r="K48" s="73"/>
      <c r="L48" s="76"/>
      <c r="M48" s="114">
        <f t="shared" si="4"/>
        <v>0</v>
      </c>
      <c r="O48" s="384" t="str">
        <f>_xlfn.XLOOKUP(E48,'All Products'!D:D,'All Products'!I:I,FALSE)</f>
        <v>In Stock</v>
      </c>
      <c r="P48" s="384" t="str">
        <f>_xlfn.XLOOKUP(E48,'All Products'!D:D,'All Products'!J:J,FALSE)</f>
        <v>Manufactured</v>
      </c>
      <c r="Q48" s="397">
        <f>_xlfn.XLOOKUP(E48,'All Products'!D:D,'All Products'!K:K,FALSE)</f>
        <v>49081146986</v>
      </c>
      <c r="R48" s="397" t="str">
        <f>_xlfn.XLOOKUP(E48,'All Products'!D:D,'All Products'!L:L,FALSE)</f>
        <v>-</v>
      </c>
      <c r="S48" s="397">
        <f>_xlfn.XLOOKUP(E48,'All Products'!D:D,'All Products'!M:M,FALSE)</f>
        <v>40049081146984</v>
      </c>
      <c r="T48" s="384">
        <f>_xlfn.XLOOKUP(E48,'All Products'!D:D,'All Products'!N:N,FALSE)</f>
        <v>1.8959999999999999</v>
      </c>
      <c r="U48" s="397" t="str">
        <f>_xlfn.XLOOKUP(E48,'All Products'!D:D,'All Products'!O:O,FALSE)</f>
        <v>-</v>
      </c>
      <c r="V48" s="384">
        <f>_xlfn.XLOOKUP(E48,'All Products'!D:D,'All Products'!P:P,FALSE)</f>
        <v>8.41</v>
      </c>
      <c r="W48" s="384">
        <f>_xlfn.XLOOKUP(E48,'All Products'!D:D,'All Products'!Q:Q,FALSE)</f>
        <v>0.8</v>
      </c>
    </row>
    <row r="49" spans="1:23" ht="15" customHeight="1">
      <c r="A49" s="101" t="str">
        <f>IF(K49&gt;0,COUNT($A$7:A48)
+COUNT('DWV PVC'!$A$9:$A$316)
+COUNT('DWV ABS'!$A$8:$A$116)+1,"")</f>
        <v/>
      </c>
      <c r="B49" s="610"/>
      <c r="C49" s="611"/>
      <c r="D49" s="369" t="str">
        <f>_xlfn.XLOOKUP(E49,'All Products'!D:D,'All Products'!C:C,FALSE)</f>
        <v>401-418</v>
      </c>
      <c r="E49" s="51">
        <v>100022384</v>
      </c>
      <c r="F49" s="376" t="str">
        <f>_xlfn.XLOOKUP(E49,'All Products'!D:D,'All Products'!E:E,FALSE)</f>
        <v>4X4X1-1/4 REDUCING TEE SXSXS</v>
      </c>
      <c r="G49" s="232">
        <f>_xlfn.XLOOKUP(E49,'All Products'!D:D,'All Products'!F:F,FALSE)</f>
        <v>5</v>
      </c>
      <c r="H49" s="387" t="str">
        <f>_xlfn.XLOOKUP(E49,'All Products'!D:D,'All Products'!G:G,FALSE)</f>
        <v>-</v>
      </c>
      <c r="I49" s="394">
        <f>_xlfn.XLOOKUP(E49,'All Products'!D:D,'All Products'!H:H,FALSE)</f>
        <v>92.07</v>
      </c>
      <c r="J49" s="183">
        <f>IFERROR(ROUND(I49*Order_Quote!$L$4,2),0)</f>
        <v>92.07</v>
      </c>
      <c r="K49" s="73"/>
      <c r="L49" s="76"/>
      <c r="M49" s="114">
        <f t="shared" si="4"/>
        <v>0</v>
      </c>
      <c r="O49" s="384" t="str">
        <f>_xlfn.XLOOKUP(E49,'All Products'!D:D,'All Products'!I:I,FALSE)</f>
        <v>Within 3 Weeks</v>
      </c>
      <c r="P49" s="384" t="str">
        <f>_xlfn.XLOOKUP(E49,'All Products'!D:D,'All Products'!J:J,FALSE)</f>
        <v>Manufactured</v>
      </c>
      <c r="Q49" s="397">
        <f>_xlfn.XLOOKUP(E49,'All Products'!D:D,'All Products'!K:K,FALSE)</f>
        <v>49081146955</v>
      </c>
      <c r="R49" s="397" t="str">
        <f>_xlfn.XLOOKUP(E49,'All Products'!D:D,'All Products'!L:L,FALSE)</f>
        <v>-</v>
      </c>
      <c r="S49" s="397">
        <f>_xlfn.XLOOKUP(E49,'All Products'!D:D,'All Products'!M:M,FALSE)</f>
        <v>40049081146953</v>
      </c>
      <c r="T49" s="384">
        <f>_xlfn.XLOOKUP(E49,'All Products'!D:D,'All Products'!N:N,FALSE)</f>
        <v>1.4</v>
      </c>
      <c r="U49" s="397" t="str">
        <f>_xlfn.XLOOKUP(E49,'All Products'!D:D,'All Products'!O:O,FALSE)</f>
        <v>-</v>
      </c>
      <c r="V49" s="384" t="str">
        <f>_xlfn.XLOOKUP(E49,'All Products'!D:D,'All Products'!P:P,FALSE)</f>
        <v>-</v>
      </c>
      <c r="W49" s="384">
        <f>_xlfn.XLOOKUP(E49,'All Products'!D:D,'All Products'!Q:Q,FALSE)</f>
        <v>0.72</v>
      </c>
    </row>
    <row r="50" spans="1:23" ht="15" customHeight="1">
      <c r="A50" s="101" t="str">
        <f>IF(K50&gt;0,COUNT($A$7:A49)
+COUNT('DWV PVC'!$A$9:$A$316)
+COUNT('DWV ABS'!$A$8:$A$116)+1,"")</f>
        <v/>
      </c>
      <c r="B50" s="610"/>
      <c r="C50" s="611"/>
      <c r="D50" s="369" t="str">
        <f>_xlfn.XLOOKUP(E50,'All Products'!D:D,'All Products'!C:C,FALSE)</f>
        <v>401-420</v>
      </c>
      <c r="E50" s="51">
        <v>100022386</v>
      </c>
      <c r="F50" s="376" t="str">
        <f>_xlfn.XLOOKUP(E50,'All Products'!D:D,'All Products'!E:E,FALSE)</f>
        <v>4X4X2 REDUCING TEE SXSXS</v>
      </c>
      <c r="G50" s="232">
        <f>_xlfn.XLOOKUP(E50,'All Products'!D:D,'All Products'!F:F,FALSE)</f>
        <v>3</v>
      </c>
      <c r="H50" s="387">
        <f>_xlfn.XLOOKUP(E50,'All Products'!D:D,'All Products'!G:G,FALSE)</f>
        <v>360</v>
      </c>
      <c r="I50" s="394">
        <f>_xlfn.XLOOKUP(E50,'All Products'!D:D,'All Products'!H:H,FALSE)</f>
        <v>92.07</v>
      </c>
      <c r="J50" s="183">
        <f>IFERROR(ROUND(I50*Order_Quote!$L$4,2),0)</f>
        <v>92.07</v>
      </c>
      <c r="K50" s="73"/>
      <c r="L50" s="76"/>
      <c r="M50" s="114">
        <f t="shared" si="4"/>
        <v>0</v>
      </c>
      <c r="O50" s="384" t="str">
        <f>_xlfn.XLOOKUP(E50,'All Products'!D:D,'All Products'!I:I,FALSE)</f>
        <v>In Stock</v>
      </c>
      <c r="P50" s="384" t="str">
        <f>_xlfn.XLOOKUP(E50,'All Products'!D:D,'All Products'!J:J,FALSE)</f>
        <v>Manufactured</v>
      </c>
      <c r="Q50" s="397">
        <f>_xlfn.XLOOKUP(E50,'All Products'!D:D,'All Products'!K:K,FALSE)</f>
        <v>49081146924</v>
      </c>
      <c r="R50" s="397" t="str">
        <f>_xlfn.XLOOKUP(E50,'All Products'!D:D,'All Products'!L:L,FALSE)</f>
        <v>-</v>
      </c>
      <c r="S50" s="397">
        <f>_xlfn.XLOOKUP(E50,'All Products'!D:D,'All Products'!M:M,FALSE)</f>
        <v>40049081146922</v>
      </c>
      <c r="T50" s="384">
        <f>_xlfn.XLOOKUP(E50,'All Products'!D:D,'All Products'!N:N,FALSE)</f>
        <v>2.3580000000000001</v>
      </c>
      <c r="U50" s="397" t="str">
        <f>_xlfn.XLOOKUP(E50,'All Products'!D:D,'All Products'!O:O,FALSE)</f>
        <v>-</v>
      </c>
      <c r="V50" s="384">
        <f>_xlfn.XLOOKUP(E50,'All Products'!D:D,'All Products'!P:P,FALSE)</f>
        <v>7.92</v>
      </c>
      <c r="W50" s="384">
        <f>_xlfn.XLOOKUP(E50,'All Products'!D:D,'All Products'!Q:Q,FALSE)</f>
        <v>0.65</v>
      </c>
    </row>
    <row r="51" spans="1:23" ht="15" customHeight="1">
      <c r="A51" s="101" t="str">
        <f>IF(K51&gt;0,COUNT($A$7:A50)
+COUNT('DWV PVC'!$A$9:$A$316)
+COUNT('DWV ABS'!$A$8:$A$116)+1,"")</f>
        <v/>
      </c>
      <c r="B51" s="610"/>
      <c r="C51" s="611"/>
      <c r="D51" s="369" t="str">
        <f>_xlfn.XLOOKUP(E51,'All Products'!D:D,'All Products'!C:C,FALSE)</f>
        <v>401-422</v>
      </c>
      <c r="E51" s="51">
        <v>100022388</v>
      </c>
      <c r="F51" s="376" t="str">
        <f>_xlfn.XLOOKUP(E51,'All Products'!D:D,'All Products'!E:E,FALSE)</f>
        <v>4X4X3 REDUCING TEE SXSXS</v>
      </c>
      <c r="G51" s="232">
        <f>_xlfn.XLOOKUP(E51,'All Products'!D:D,'All Products'!F:F,FALSE)</f>
        <v>3</v>
      </c>
      <c r="H51" s="387">
        <f>_xlfn.XLOOKUP(E51,'All Products'!D:D,'All Products'!G:G,FALSE)</f>
        <v>270</v>
      </c>
      <c r="I51" s="394">
        <f>_xlfn.XLOOKUP(E51,'All Products'!D:D,'All Products'!H:H,FALSE)</f>
        <v>92.07</v>
      </c>
      <c r="J51" s="183">
        <f>IFERROR(ROUND(I51*Order_Quote!$L$4,2),0)</f>
        <v>92.07</v>
      </c>
      <c r="K51" s="73"/>
      <c r="L51" s="76"/>
      <c r="M51" s="114">
        <f t="shared" si="4"/>
        <v>0</v>
      </c>
      <c r="O51" s="384" t="str">
        <f>_xlfn.XLOOKUP(E51,'All Products'!D:D,'All Products'!I:I,FALSE)</f>
        <v>In Stock</v>
      </c>
      <c r="P51" s="384" t="str">
        <f>_xlfn.XLOOKUP(E51,'All Products'!D:D,'All Products'!J:J,FALSE)</f>
        <v>Manufactured</v>
      </c>
      <c r="Q51" s="397">
        <f>_xlfn.XLOOKUP(E51,'All Products'!D:D,'All Products'!K:K,FALSE)</f>
        <v>49081146900</v>
      </c>
      <c r="R51" s="397" t="str">
        <f>_xlfn.XLOOKUP(E51,'All Products'!D:D,'All Products'!L:L,FALSE)</f>
        <v>-</v>
      </c>
      <c r="S51" s="397">
        <f>_xlfn.XLOOKUP(E51,'All Products'!D:D,'All Products'!M:M,FALSE)</f>
        <v>40049081146908</v>
      </c>
      <c r="T51" s="384">
        <f>_xlfn.XLOOKUP(E51,'All Products'!D:D,'All Products'!N:N,FALSE)</f>
        <v>2.88</v>
      </c>
      <c r="U51" s="397" t="str">
        <f>_xlfn.XLOOKUP(E51,'All Products'!D:D,'All Products'!O:O,FALSE)</f>
        <v>-</v>
      </c>
      <c r="V51" s="384">
        <f>_xlfn.XLOOKUP(E51,'All Products'!D:D,'All Products'!P:P,FALSE)</f>
        <v>9.44</v>
      </c>
      <c r="W51" s="384">
        <f>_xlfn.XLOOKUP(E51,'All Products'!D:D,'All Products'!Q:Q,FALSE)</f>
        <v>0.8</v>
      </c>
    </row>
    <row r="52" spans="1:23" ht="15" customHeight="1">
      <c r="A52" s="101" t="str">
        <f>IF(K52&gt;0,COUNT($A$7:A51)
+COUNT('DWV PVC'!$A$9:$A$316)
+COUNT('DWV ABS'!$A$8:$A$116)+1,"")</f>
        <v/>
      </c>
      <c r="B52" s="610"/>
      <c r="C52" s="611"/>
      <c r="D52" s="369" t="str">
        <f>_xlfn.XLOOKUP(E52,'All Products'!D:D,'All Products'!C:C,FALSE)</f>
        <v>401-486</v>
      </c>
      <c r="E52" s="51">
        <v>100022389</v>
      </c>
      <c r="F52" s="376" t="str">
        <f>_xlfn.XLOOKUP(E52,'All Products'!D:D,'All Products'!E:E,FALSE)</f>
        <v>5X5X2 REDUCING TEE SXSXS</v>
      </c>
      <c r="G52" s="232">
        <f>_xlfn.XLOOKUP(E52,'All Products'!D:D,'All Products'!F:F,FALSE)</f>
        <v>2</v>
      </c>
      <c r="H52" s="387">
        <f>_xlfn.XLOOKUP(E52,'All Products'!D:D,'All Products'!G:G,FALSE)</f>
        <v>180</v>
      </c>
      <c r="I52" s="394">
        <f>_xlfn.XLOOKUP(E52,'All Products'!D:D,'All Products'!H:H,FALSE)</f>
        <v>215.85</v>
      </c>
      <c r="J52" s="183">
        <f>IFERROR(ROUND(I52*Order_Quote!$L$4,2),0)</f>
        <v>215.85</v>
      </c>
      <c r="K52" s="73"/>
      <c r="L52" s="76"/>
      <c r="M52" s="114">
        <f t="shared" si="4"/>
        <v>0</v>
      </c>
      <c r="O52" s="384" t="str">
        <f>_xlfn.XLOOKUP(E52,'All Products'!D:D,'All Products'!I:I,FALSE)</f>
        <v>In Stock</v>
      </c>
      <c r="P52" s="384" t="str">
        <f>_xlfn.XLOOKUP(E52,'All Products'!D:D,'All Products'!J:J,FALSE)</f>
        <v>Manufactured</v>
      </c>
      <c r="Q52" s="397">
        <f>_xlfn.XLOOKUP(E52,'All Products'!D:D,'All Products'!K:K,FALSE)</f>
        <v>49081147105</v>
      </c>
      <c r="R52" s="397" t="str">
        <f>_xlfn.XLOOKUP(E52,'All Products'!D:D,'All Products'!L:L,FALSE)</f>
        <v>-</v>
      </c>
      <c r="S52" s="397">
        <f>_xlfn.XLOOKUP(E52,'All Products'!D:D,'All Products'!M:M,FALSE)</f>
        <v>40049081147103</v>
      </c>
      <c r="T52" s="384">
        <f>_xlfn.XLOOKUP(E52,'All Products'!D:D,'All Products'!N:N,FALSE)</f>
        <v>2.706</v>
      </c>
      <c r="U52" s="397" t="str">
        <f>_xlfn.XLOOKUP(E52,'All Products'!D:D,'All Products'!O:O,FALSE)</f>
        <v>-</v>
      </c>
      <c r="V52" s="384">
        <f>_xlfn.XLOOKUP(E52,'All Products'!D:D,'All Products'!P:P,FALSE)</f>
        <v>6.13</v>
      </c>
      <c r="W52" s="384">
        <f>_xlfn.XLOOKUP(E52,'All Products'!D:D,'All Products'!Q:Q,FALSE)</f>
        <v>0.8</v>
      </c>
    </row>
    <row r="53" spans="1:23" ht="15" customHeight="1">
      <c r="A53" s="101" t="str">
        <f>IF(K53&gt;0,COUNT($A$7:A52)
+COUNT('DWV PVC'!$A$9:$A$316)
+COUNT('DWV ABS'!$A$8:$A$116)+1,"")</f>
        <v/>
      </c>
      <c r="B53" s="610"/>
      <c r="C53" s="611"/>
      <c r="D53" s="369" t="str">
        <f>_xlfn.XLOOKUP(E53,'All Products'!D:D,'All Products'!C:C,FALSE)</f>
        <v>401-490</v>
      </c>
      <c r="E53" s="51">
        <v>100022392</v>
      </c>
      <c r="F53" s="376" t="str">
        <f>_xlfn.XLOOKUP(E53,'All Products'!D:D,'All Products'!E:E,FALSE)</f>
        <v>5X5X4 REDUCING TEE SXSXS</v>
      </c>
      <c r="G53" s="232">
        <f>_xlfn.XLOOKUP(E53,'All Products'!D:D,'All Products'!F:F,FALSE)</f>
        <v>2</v>
      </c>
      <c r="H53" s="387">
        <f>_xlfn.XLOOKUP(E53,'All Products'!D:D,'All Products'!G:G,FALSE)</f>
        <v>150</v>
      </c>
      <c r="I53" s="394">
        <f>_xlfn.XLOOKUP(E53,'All Products'!D:D,'All Products'!H:H,FALSE)</f>
        <v>215.85</v>
      </c>
      <c r="J53" s="183">
        <f>IFERROR(ROUND(I53*Order_Quote!$L$4,2),0)</f>
        <v>215.85</v>
      </c>
      <c r="K53" s="73"/>
      <c r="L53" s="76"/>
      <c r="M53" s="114">
        <f t="shared" si="4"/>
        <v>0</v>
      </c>
      <c r="O53" s="384" t="str">
        <f>_xlfn.XLOOKUP(E53,'All Products'!D:D,'All Products'!I:I,FALSE)</f>
        <v>Within 3 Weeks</v>
      </c>
      <c r="P53" s="384" t="str">
        <f>_xlfn.XLOOKUP(E53,'All Products'!D:D,'All Products'!J:J,FALSE)</f>
        <v>Manufactured</v>
      </c>
      <c r="Q53" s="397">
        <f>_xlfn.XLOOKUP(E53,'All Products'!D:D,'All Products'!K:K,FALSE)</f>
        <v>49081147068</v>
      </c>
      <c r="R53" s="397" t="str">
        <f>_xlfn.XLOOKUP(E53,'All Products'!D:D,'All Products'!L:L,FALSE)</f>
        <v>-</v>
      </c>
      <c r="S53" s="397">
        <f>_xlfn.XLOOKUP(E53,'All Products'!D:D,'All Products'!M:M,FALSE)</f>
        <v>40049081147066</v>
      </c>
      <c r="T53" s="384">
        <f>_xlfn.XLOOKUP(E53,'All Products'!D:D,'All Products'!N:N,FALSE)</f>
        <v>3.5950000000000002</v>
      </c>
      <c r="U53" s="397" t="str">
        <f>_xlfn.XLOOKUP(E53,'All Products'!D:D,'All Products'!O:O,FALSE)</f>
        <v>-</v>
      </c>
      <c r="V53" s="384">
        <f>_xlfn.XLOOKUP(E53,'All Products'!D:D,'All Products'!P:P,FALSE)</f>
        <v>8.15</v>
      </c>
      <c r="W53" s="384">
        <f>_xlfn.XLOOKUP(E53,'All Products'!D:D,'All Products'!Q:Q,FALSE)</f>
        <v>0.95</v>
      </c>
    </row>
    <row r="54" spans="1:23" ht="15" customHeight="1">
      <c r="A54" s="101" t="str">
        <f>IF(K54&gt;0,COUNT($A$7:A53)
+COUNT('DWV PVC'!$A$9:$A$316)
+COUNT('DWV ABS'!$A$8:$A$116)+1,"")</f>
        <v/>
      </c>
      <c r="B54" s="610"/>
      <c r="C54" s="611"/>
      <c r="D54" s="369" t="str">
        <f>_xlfn.XLOOKUP(E54,'All Products'!D:D,'All Products'!C:C,FALSE)</f>
        <v>401-528</v>
      </c>
      <c r="E54" s="51">
        <v>100022394</v>
      </c>
      <c r="F54" s="376" t="str">
        <f>_xlfn.XLOOKUP(E54,'All Products'!D:D,'All Products'!E:E,FALSE)</f>
        <v>6X6X2 REDUCING TEE SXSXS</v>
      </c>
      <c r="G54" s="232">
        <f>_xlfn.XLOOKUP(E54,'All Products'!D:D,'All Products'!F:F,FALSE)</f>
        <v>2</v>
      </c>
      <c r="H54" s="387">
        <f>_xlfn.XLOOKUP(E54,'All Products'!D:D,'All Products'!G:G,FALSE)</f>
        <v>180</v>
      </c>
      <c r="I54" s="394">
        <f>_xlfn.XLOOKUP(E54,'All Products'!D:D,'All Products'!H:H,FALSE)</f>
        <v>309.88</v>
      </c>
      <c r="J54" s="183">
        <f>IFERROR(ROUND(I54*Order_Quote!$L$4,2),0)</f>
        <v>309.88</v>
      </c>
      <c r="K54" s="73"/>
      <c r="L54" s="76"/>
      <c r="M54" s="114">
        <f t="shared" si="4"/>
        <v>0</v>
      </c>
      <c r="O54" s="384" t="str">
        <f>_xlfn.XLOOKUP(E54,'All Products'!D:D,'All Products'!I:I,FALSE)</f>
        <v>In Stock</v>
      </c>
      <c r="P54" s="384" t="str">
        <f>_xlfn.XLOOKUP(E54,'All Products'!D:D,'All Products'!J:J,FALSE)</f>
        <v>Manufactured</v>
      </c>
      <c r="Q54" s="397">
        <f>_xlfn.XLOOKUP(E54,'All Products'!D:D,'All Products'!K:K,FALSE)</f>
        <v>49081147181</v>
      </c>
      <c r="R54" s="397" t="str">
        <f>_xlfn.XLOOKUP(E54,'All Products'!D:D,'All Products'!L:L,FALSE)</f>
        <v>-</v>
      </c>
      <c r="S54" s="397">
        <f>_xlfn.XLOOKUP(E54,'All Products'!D:D,'All Products'!M:M,FALSE)</f>
        <v>40049081147189</v>
      </c>
      <c r="T54" s="384">
        <f>_xlfn.XLOOKUP(E54,'All Products'!D:D,'All Products'!N:N,FALSE)</f>
        <v>3.3769999999999998</v>
      </c>
      <c r="U54" s="397" t="str">
        <f>_xlfn.XLOOKUP(E54,'All Products'!D:D,'All Products'!O:O,FALSE)</f>
        <v>-</v>
      </c>
      <c r="V54" s="384">
        <f>_xlfn.XLOOKUP(E54,'All Products'!D:D,'All Products'!P:P,FALSE)</f>
        <v>7.27</v>
      </c>
      <c r="W54" s="384">
        <f>_xlfn.XLOOKUP(E54,'All Products'!D:D,'All Products'!Q:Q,FALSE)</f>
        <v>0.8</v>
      </c>
    </row>
    <row r="55" spans="1:23" ht="15" customHeight="1">
      <c r="A55" s="101" t="str">
        <f>IF(K55&gt;0,COUNT($A$7:A54)
+COUNT('DWV PVC'!$A$9:$A$316)
+COUNT('DWV ABS'!$A$8:$A$116)+1,"")</f>
        <v/>
      </c>
      <c r="B55" s="610"/>
      <c r="C55" s="611"/>
      <c r="D55" s="369" t="str">
        <f>_xlfn.XLOOKUP(E55,'All Products'!D:D,'All Products'!C:C,FALSE)</f>
        <v>401-530</v>
      </c>
      <c r="E55" s="51">
        <v>100022396</v>
      </c>
      <c r="F55" s="376" t="str">
        <f>_xlfn.XLOOKUP(E55,'All Products'!D:D,'All Products'!E:E,FALSE)</f>
        <v>6X6X3 REDUCING TEE SXSXS</v>
      </c>
      <c r="G55" s="232">
        <f>_xlfn.XLOOKUP(E55,'All Products'!D:D,'All Products'!F:F,FALSE)</f>
        <v>2</v>
      </c>
      <c r="H55" s="387">
        <f>_xlfn.XLOOKUP(E55,'All Products'!D:D,'All Products'!G:G,FALSE)</f>
        <v>120</v>
      </c>
      <c r="I55" s="394">
        <f>_xlfn.XLOOKUP(E55,'All Products'!D:D,'All Products'!H:H,FALSE)</f>
        <v>309.88</v>
      </c>
      <c r="J55" s="183">
        <f>IFERROR(ROUND(I55*Order_Quote!$L$4,2),0)</f>
        <v>309.88</v>
      </c>
      <c r="K55" s="73"/>
      <c r="L55" s="76"/>
      <c r="M55" s="114">
        <f t="shared" si="4"/>
        <v>0</v>
      </c>
      <c r="O55" s="384" t="str">
        <f>_xlfn.XLOOKUP(E55,'All Products'!D:D,'All Products'!I:I,FALSE)</f>
        <v>In Stock</v>
      </c>
      <c r="P55" s="384" t="str">
        <f>_xlfn.XLOOKUP(E55,'All Products'!D:D,'All Products'!J:J,FALSE)</f>
        <v>Manufactured</v>
      </c>
      <c r="Q55" s="397">
        <f>_xlfn.XLOOKUP(E55,'All Products'!D:D,'All Products'!K:K,FALSE)</f>
        <v>49081147167</v>
      </c>
      <c r="R55" s="397" t="str">
        <f>_xlfn.XLOOKUP(E55,'All Products'!D:D,'All Products'!L:L,FALSE)</f>
        <v>-</v>
      </c>
      <c r="S55" s="397">
        <f>_xlfn.XLOOKUP(E55,'All Products'!D:D,'All Products'!M:M,FALSE)</f>
        <v>40049081147165</v>
      </c>
      <c r="T55" s="384">
        <f>_xlfn.XLOOKUP(E55,'All Products'!D:D,'All Products'!N:N,FALSE)</f>
        <v>4.0999999999999996</v>
      </c>
      <c r="U55" s="397" t="str">
        <f>_xlfn.XLOOKUP(E55,'All Products'!D:D,'All Products'!O:O,FALSE)</f>
        <v>-</v>
      </c>
      <c r="V55" s="384">
        <f>_xlfn.XLOOKUP(E55,'All Products'!D:D,'All Products'!P:P,FALSE)</f>
        <v>9.08</v>
      </c>
      <c r="W55" s="384">
        <f>_xlfn.XLOOKUP(E55,'All Products'!D:D,'All Products'!Q:Q,FALSE)</f>
        <v>1.41</v>
      </c>
    </row>
    <row r="56" spans="1:23" ht="15" customHeight="1">
      <c r="A56" s="101" t="str">
        <f>IF(K56&gt;0,COUNT($A$7:A55)
+COUNT('DWV PVC'!$A$9:$A$316)
+COUNT('DWV ABS'!$A$8:$A$116)+1,"")</f>
        <v/>
      </c>
      <c r="B56" s="610"/>
      <c r="C56" s="611"/>
      <c r="D56" s="369" t="str">
        <f>_xlfn.XLOOKUP(E56,'All Products'!D:D,'All Products'!C:C,FALSE)</f>
        <v>401-532</v>
      </c>
      <c r="E56" s="51">
        <v>100022398</v>
      </c>
      <c r="F56" s="376" t="str">
        <f>_xlfn.XLOOKUP(E56,'All Products'!D:D,'All Products'!E:E,FALSE)</f>
        <v>6X6X4 REDUCING TEE SXSXS</v>
      </c>
      <c r="G56" s="232">
        <f>_xlfn.XLOOKUP(E56,'All Products'!D:D,'All Products'!F:F,FALSE)</f>
        <v>2</v>
      </c>
      <c r="H56" s="387">
        <f>_xlfn.XLOOKUP(E56,'All Products'!D:D,'All Products'!G:G,FALSE)</f>
        <v>120</v>
      </c>
      <c r="I56" s="394">
        <f>_xlfn.XLOOKUP(E56,'All Products'!D:D,'All Products'!H:H,FALSE)</f>
        <v>309.88</v>
      </c>
      <c r="J56" s="183">
        <f>IFERROR(ROUND(I56*Order_Quote!$L$4,2),0)</f>
        <v>309.88</v>
      </c>
      <c r="K56" s="73"/>
      <c r="L56" s="76"/>
      <c r="M56" s="114">
        <f t="shared" si="4"/>
        <v>0</v>
      </c>
      <c r="O56" s="384" t="str">
        <f>_xlfn.XLOOKUP(E56,'All Products'!D:D,'All Products'!I:I,FALSE)</f>
        <v>In Stock</v>
      </c>
      <c r="P56" s="384" t="str">
        <f>_xlfn.XLOOKUP(E56,'All Products'!D:D,'All Products'!J:J,FALSE)</f>
        <v>Manufactured</v>
      </c>
      <c r="Q56" s="397">
        <f>_xlfn.XLOOKUP(E56,'All Products'!D:D,'All Products'!K:K,FALSE)</f>
        <v>49081147143</v>
      </c>
      <c r="R56" s="397" t="str">
        <f>_xlfn.XLOOKUP(E56,'All Products'!D:D,'All Products'!L:L,FALSE)</f>
        <v>-</v>
      </c>
      <c r="S56" s="397">
        <f>_xlfn.XLOOKUP(E56,'All Products'!D:D,'All Products'!M:M,FALSE)</f>
        <v>40049081147141</v>
      </c>
      <c r="T56" s="384">
        <f>_xlfn.XLOOKUP(E56,'All Products'!D:D,'All Products'!N:N,FALSE)</f>
        <v>4.5579999999999998</v>
      </c>
      <c r="U56" s="397" t="str">
        <f>_xlfn.XLOOKUP(E56,'All Products'!D:D,'All Products'!O:O,FALSE)</f>
        <v>-</v>
      </c>
      <c r="V56" s="384">
        <f>_xlfn.XLOOKUP(E56,'All Products'!D:D,'All Products'!P:P,FALSE)</f>
        <v>10.01</v>
      </c>
      <c r="W56" s="384">
        <f>_xlfn.XLOOKUP(E56,'All Products'!D:D,'All Products'!Q:Q,FALSE)</f>
        <v>1.41</v>
      </c>
    </row>
    <row r="57" spans="1:23" ht="15" customHeight="1">
      <c r="A57" s="101" t="str">
        <f>IF(K57&gt;0,COUNT($A$7:A56)
+COUNT('DWV PVC'!$A$9:$A$316)
+COUNT('DWV ABS'!$A$8:$A$116)+1,"")</f>
        <v/>
      </c>
      <c r="B57" s="610"/>
      <c r="C57" s="611"/>
      <c r="D57" s="369" t="str">
        <f>_xlfn.XLOOKUP(E57,'All Products'!D:D,'All Products'!C:C,FALSE)</f>
        <v>401-578</v>
      </c>
      <c r="E57" s="51">
        <v>100022400</v>
      </c>
      <c r="F57" s="376" t="str">
        <f>_xlfn.XLOOKUP(E57,'All Products'!D:D,'All Products'!E:E,FALSE)</f>
        <v>8X8X2 REDUCING TEE SXSXS</v>
      </c>
      <c r="G57" s="232">
        <f>_xlfn.XLOOKUP(E57,'All Products'!D:D,'All Products'!F:F,FALSE)</f>
        <v>2</v>
      </c>
      <c r="H57" s="387">
        <f>_xlfn.XLOOKUP(E57,'All Products'!D:D,'All Products'!G:G,FALSE)</f>
        <v>48</v>
      </c>
      <c r="I57" s="394">
        <f>_xlfn.XLOOKUP(E57,'All Products'!D:D,'All Products'!H:H,FALSE)</f>
        <v>750.4</v>
      </c>
      <c r="J57" s="183">
        <f>IFERROR(ROUND(I57*Order_Quote!$L$4,2),0)</f>
        <v>750.4</v>
      </c>
      <c r="K57" s="73"/>
      <c r="L57" s="76"/>
      <c r="M57" s="114">
        <f t="shared" si="4"/>
        <v>0</v>
      </c>
      <c r="O57" s="384" t="str">
        <f>_xlfn.XLOOKUP(E57,'All Products'!D:D,'All Products'!I:I,FALSE)</f>
        <v>In Stock</v>
      </c>
      <c r="P57" s="384" t="str">
        <f>_xlfn.XLOOKUP(E57,'All Products'!D:D,'All Products'!J:J,FALSE)</f>
        <v>Manufactured</v>
      </c>
      <c r="Q57" s="397">
        <f>_xlfn.XLOOKUP(E57,'All Products'!D:D,'All Products'!K:K,FALSE)</f>
        <v>49081147273</v>
      </c>
      <c r="R57" s="397" t="str">
        <f>_xlfn.XLOOKUP(E57,'All Products'!D:D,'All Products'!L:L,FALSE)</f>
        <v>-</v>
      </c>
      <c r="S57" s="397">
        <f>_xlfn.XLOOKUP(E57,'All Products'!D:D,'All Products'!M:M,FALSE)</f>
        <v>40049081147271</v>
      </c>
      <c r="T57" s="384">
        <f>_xlfn.XLOOKUP(E57,'All Products'!D:D,'All Products'!N:N,FALSE)</f>
        <v>6.1539999999999999</v>
      </c>
      <c r="U57" s="397" t="str">
        <f>_xlfn.XLOOKUP(E57,'All Products'!D:D,'All Products'!O:O,FALSE)</f>
        <v>-</v>
      </c>
      <c r="V57" s="384">
        <f>_xlfn.XLOOKUP(E57,'All Products'!D:D,'All Products'!P:P,FALSE)</f>
        <v>14.32</v>
      </c>
      <c r="W57" s="384">
        <f>_xlfn.XLOOKUP(E57,'All Products'!D:D,'All Products'!Q:Q,FALSE)</f>
        <v>2.77</v>
      </c>
    </row>
    <row r="58" spans="1:23" ht="15" customHeight="1">
      <c r="A58" s="101" t="str">
        <f>IF(K58&gt;0,COUNT($A$7:A57)
+COUNT('DWV PVC'!$A$9:$A$316)
+COUNT('DWV ABS'!$A$8:$A$116)+1,"")</f>
        <v/>
      </c>
      <c r="B58" s="610"/>
      <c r="C58" s="611"/>
      <c r="D58" s="369" t="str">
        <f>_xlfn.XLOOKUP(E58,'All Products'!D:D,'All Products'!C:C,FALSE)</f>
        <v>401-580</v>
      </c>
      <c r="E58" s="51">
        <v>100022402</v>
      </c>
      <c r="F58" s="376" t="str">
        <f>_xlfn.XLOOKUP(E58,'All Products'!D:D,'All Products'!E:E,FALSE)</f>
        <v>8X8X3 REDUCING TEE SXSXS</v>
      </c>
      <c r="G58" s="232">
        <f>_xlfn.XLOOKUP(E58,'All Products'!D:D,'All Products'!F:F,FALSE)</f>
        <v>2</v>
      </c>
      <c r="H58" s="387">
        <f>_xlfn.XLOOKUP(E58,'All Products'!D:D,'All Products'!G:G,FALSE)</f>
        <v>48</v>
      </c>
      <c r="I58" s="394">
        <f>_xlfn.XLOOKUP(E58,'All Products'!D:D,'All Products'!H:H,FALSE)</f>
        <v>718.58</v>
      </c>
      <c r="J58" s="183">
        <f>IFERROR(ROUND(I58*Order_Quote!$L$4,2),0)</f>
        <v>718.58</v>
      </c>
      <c r="K58" s="73"/>
      <c r="L58" s="76"/>
      <c r="M58" s="114">
        <f t="shared" si="4"/>
        <v>0</v>
      </c>
      <c r="O58" s="384" t="str">
        <f>_xlfn.XLOOKUP(E58,'All Products'!D:D,'All Products'!I:I,FALSE)</f>
        <v>Within 3 Weeks</v>
      </c>
      <c r="P58" s="384" t="str">
        <f>_xlfn.XLOOKUP(E58,'All Products'!D:D,'All Products'!J:J,FALSE)</f>
        <v>Manufactured</v>
      </c>
      <c r="Q58" s="397">
        <f>_xlfn.XLOOKUP(E58,'All Products'!D:D,'All Products'!K:K,FALSE)</f>
        <v>49081147266</v>
      </c>
      <c r="R58" s="397" t="str">
        <f>_xlfn.XLOOKUP(E58,'All Products'!D:D,'All Products'!L:L,FALSE)</f>
        <v>-</v>
      </c>
      <c r="S58" s="397">
        <f>_xlfn.XLOOKUP(E58,'All Products'!D:D,'All Products'!M:M,FALSE)</f>
        <v>40049081147264</v>
      </c>
      <c r="T58" s="384">
        <f>_xlfn.XLOOKUP(E58,'All Products'!D:D,'All Products'!N:N,FALSE)</f>
        <v>6.9359999999999999</v>
      </c>
      <c r="U58" s="397" t="str">
        <f>_xlfn.XLOOKUP(E58,'All Products'!D:D,'All Products'!O:O,FALSE)</f>
        <v>-</v>
      </c>
      <c r="V58" s="384">
        <f>_xlfn.XLOOKUP(E58,'All Products'!D:D,'All Products'!P:P,FALSE)</f>
        <v>15.79</v>
      </c>
      <c r="W58" s="384">
        <f>_xlfn.XLOOKUP(E58,'All Products'!D:D,'All Products'!Q:Q,FALSE)</f>
        <v>2.77</v>
      </c>
    </row>
    <row r="59" spans="1:23" ht="15" customHeight="1">
      <c r="A59" s="101" t="str">
        <f>IF(K59&gt;0,COUNT($A$7:A58)
+COUNT('DWV PVC'!$A$9:$A$316)
+COUNT('DWV ABS'!$A$8:$A$116)+1,"")</f>
        <v/>
      </c>
      <c r="B59" s="610"/>
      <c r="C59" s="611"/>
      <c r="D59" s="369" t="str">
        <f>_xlfn.XLOOKUP(E59,'All Products'!D:D,'All Products'!C:C,FALSE)</f>
        <v>401-582</v>
      </c>
      <c r="E59" s="51">
        <v>100022404</v>
      </c>
      <c r="F59" s="376" t="str">
        <f>_xlfn.XLOOKUP(E59,'All Products'!D:D,'All Products'!E:E,FALSE)</f>
        <v>8X8X4 REDUCING TEE SXSXS</v>
      </c>
      <c r="G59" s="232">
        <f>_xlfn.XLOOKUP(E59,'All Products'!D:D,'All Products'!F:F,FALSE)</f>
        <v>2</v>
      </c>
      <c r="H59" s="387">
        <f>_xlfn.XLOOKUP(E59,'All Products'!D:D,'All Products'!G:G,FALSE)</f>
        <v>48</v>
      </c>
      <c r="I59" s="394">
        <f>_xlfn.XLOOKUP(E59,'All Products'!D:D,'All Products'!H:H,FALSE)</f>
        <v>718.58</v>
      </c>
      <c r="J59" s="183">
        <f>IFERROR(ROUND(I59*Order_Quote!$L$4,2),0)</f>
        <v>718.58</v>
      </c>
      <c r="K59" s="73"/>
      <c r="L59" s="76"/>
      <c r="M59" s="114">
        <f t="shared" si="4"/>
        <v>0</v>
      </c>
      <c r="O59" s="384" t="str">
        <f>_xlfn.XLOOKUP(E59,'All Products'!D:D,'All Products'!I:I,FALSE)</f>
        <v>In Stock</v>
      </c>
      <c r="P59" s="384" t="str">
        <f>_xlfn.XLOOKUP(E59,'All Products'!D:D,'All Products'!J:J,FALSE)</f>
        <v>Manufactured</v>
      </c>
      <c r="Q59" s="397">
        <f>_xlfn.XLOOKUP(E59,'All Products'!D:D,'All Products'!K:K,FALSE)</f>
        <v>49081147242</v>
      </c>
      <c r="R59" s="397" t="str">
        <f>_xlfn.XLOOKUP(E59,'All Products'!D:D,'All Products'!L:L,FALSE)</f>
        <v>-</v>
      </c>
      <c r="S59" s="397">
        <f>_xlfn.XLOOKUP(E59,'All Products'!D:D,'All Products'!M:M,FALSE)</f>
        <v>40049081147240</v>
      </c>
      <c r="T59" s="384">
        <f>_xlfn.XLOOKUP(E59,'All Products'!D:D,'All Products'!N:N,FALSE)</f>
        <v>7.718</v>
      </c>
      <c r="U59" s="397" t="str">
        <f>_xlfn.XLOOKUP(E59,'All Products'!D:D,'All Products'!O:O,FALSE)</f>
        <v>-</v>
      </c>
      <c r="V59" s="384">
        <f>_xlfn.XLOOKUP(E59,'All Products'!D:D,'All Products'!P:P,FALSE)</f>
        <v>17.2</v>
      </c>
      <c r="W59" s="384">
        <f>_xlfn.XLOOKUP(E59,'All Products'!D:D,'All Products'!Q:Q,FALSE)</f>
        <v>2.77</v>
      </c>
    </row>
    <row r="60" spans="1:23" ht="15" customHeight="1">
      <c r="A60" s="101" t="str">
        <f>IF(K60&gt;0,COUNT($A$7:A59)
+COUNT('DWV PVC'!$A$9:$A$316)
+COUNT('DWV ABS'!$A$8:$A$116)+1,"")</f>
        <v/>
      </c>
      <c r="B60" s="612"/>
      <c r="C60" s="613"/>
      <c r="D60" s="369" t="str">
        <f>_xlfn.XLOOKUP(E60,'All Products'!D:D,'All Products'!C:C,FALSE)</f>
        <v>401-585</v>
      </c>
      <c r="E60" s="51">
        <v>100022406</v>
      </c>
      <c r="F60" s="376" t="str">
        <f>_xlfn.XLOOKUP(E60,'All Products'!D:D,'All Products'!E:E,FALSE)</f>
        <v>8X8X6 REDUCING TEE SXSXS</v>
      </c>
      <c r="G60" s="232">
        <f>_xlfn.XLOOKUP(E60,'All Products'!D:D,'All Products'!F:F,FALSE)</f>
        <v>2</v>
      </c>
      <c r="H60" s="387">
        <f>_xlfn.XLOOKUP(E60,'All Products'!D:D,'All Products'!G:G,FALSE)</f>
        <v>48</v>
      </c>
      <c r="I60" s="394">
        <f>_xlfn.XLOOKUP(E60,'All Products'!D:D,'All Products'!H:H,FALSE)</f>
        <v>718.58</v>
      </c>
      <c r="J60" s="183">
        <f>IFERROR(ROUND(I60*Order_Quote!$L$4,2),0)</f>
        <v>718.58</v>
      </c>
      <c r="K60" s="73"/>
      <c r="L60" s="76"/>
      <c r="M60" s="114">
        <f t="shared" si="4"/>
        <v>0</v>
      </c>
      <c r="O60" s="384" t="str">
        <f>_xlfn.XLOOKUP(E60,'All Products'!D:D,'All Products'!I:I,FALSE)</f>
        <v>In Stock</v>
      </c>
      <c r="P60" s="384" t="str">
        <f>_xlfn.XLOOKUP(E60,'All Products'!D:D,'All Products'!J:J,FALSE)</f>
        <v>Manufactured</v>
      </c>
      <c r="Q60" s="397">
        <f>_xlfn.XLOOKUP(E60,'All Products'!D:D,'All Products'!K:K,FALSE)</f>
        <v>49081147228</v>
      </c>
      <c r="R60" s="397" t="str">
        <f>_xlfn.XLOOKUP(E60,'All Products'!D:D,'All Products'!L:L,FALSE)</f>
        <v>-</v>
      </c>
      <c r="S60" s="397">
        <f>_xlfn.XLOOKUP(E60,'All Products'!D:D,'All Products'!M:M,FALSE)</f>
        <v>40049081147226</v>
      </c>
      <c r="T60" s="384">
        <f>_xlfn.XLOOKUP(E60,'All Products'!D:D,'All Products'!N:N,FALSE)</f>
        <v>9.5399999999999991</v>
      </c>
      <c r="U60" s="397" t="str">
        <f>_xlfn.XLOOKUP(E60,'All Products'!D:D,'All Products'!O:O,FALSE)</f>
        <v>-</v>
      </c>
      <c r="V60" s="384">
        <f>_xlfn.XLOOKUP(E60,'All Products'!D:D,'All Products'!P:P,FALSE)</f>
        <v>20.65</v>
      </c>
      <c r="W60" s="384">
        <f>_xlfn.XLOOKUP(E60,'All Products'!D:D,'All Products'!Q:Q,FALSE)</f>
        <v>2.77</v>
      </c>
    </row>
    <row r="61" spans="1:23" ht="15" customHeight="1">
      <c r="A61" s="101" t="str">
        <f>IF(K61&gt;0,COUNT($A$7:A60)
+COUNT('DWV PVC'!$A$9:$A$316)
+COUNT('DWV ABS'!$A$8:$A$116)+1,"")</f>
        <v/>
      </c>
      <c r="B61" s="608"/>
      <c r="C61" s="609"/>
      <c r="D61" s="369" t="str">
        <f>_xlfn.XLOOKUP(E61,'All Products'!D:D,'All Products'!C:C,FALSE)</f>
        <v>402-005</v>
      </c>
      <c r="E61" s="51">
        <v>100022408</v>
      </c>
      <c r="F61" s="376" t="str">
        <f>_xlfn.XLOOKUP(E61,'All Products'!D:D,'All Products'!E:E,FALSE)</f>
        <v>1/2 TEE SLIP X SLIP X FIPT</v>
      </c>
      <c r="G61" s="232">
        <f>_xlfn.XLOOKUP(E61,'All Products'!D:D,'All Products'!F:F,FALSE)</f>
        <v>150</v>
      </c>
      <c r="H61" s="387">
        <f>_xlfn.XLOOKUP(E61,'All Products'!D:D,'All Products'!G:G,FALSE)</f>
        <v>13500</v>
      </c>
      <c r="I61" s="394">
        <f>_xlfn.XLOOKUP(E61,'All Products'!D:D,'All Products'!H:H,FALSE)</f>
        <v>2.65</v>
      </c>
      <c r="J61" s="183">
        <f>IFERROR(ROUND(I61*Order_Quote!$L$4,2),0)</f>
        <v>2.65</v>
      </c>
      <c r="K61" s="73"/>
      <c r="L61" s="76"/>
      <c r="M61" s="114">
        <f t="shared" si="4"/>
        <v>0</v>
      </c>
      <c r="O61" s="384" t="str">
        <f>_xlfn.XLOOKUP(E61,'All Products'!D:D,'All Products'!I:I,FALSE)</f>
        <v>In Stock</v>
      </c>
      <c r="P61" s="384" t="str">
        <f>_xlfn.XLOOKUP(E61,'All Products'!D:D,'All Products'!J:J,FALSE)</f>
        <v>Manufactured</v>
      </c>
      <c r="Q61" s="397">
        <f>_xlfn.XLOOKUP(E61,'All Products'!D:D,'All Products'!K:K,FALSE)</f>
        <v>49081147426</v>
      </c>
      <c r="R61" s="397">
        <f>_xlfn.XLOOKUP(E61,'All Products'!D:D,'All Products'!L:L,FALSE)</f>
        <v>49081647421</v>
      </c>
      <c r="S61" s="397">
        <f>_xlfn.XLOOKUP(E61,'All Products'!D:D,'All Products'!M:M,FALSE)</f>
        <v>40049081147424</v>
      </c>
      <c r="T61" s="384">
        <f>_xlfn.XLOOKUP(E61,'All Products'!D:D,'All Products'!N:N,FALSE)</f>
        <v>7.4999999999999997E-2</v>
      </c>
      <c r="U61" s="397">
        <f>_xlfn.XLOOKUP(E61,'All Products'!D:D,'All Products'!O:O,FALSE)</f>
        <v>10</v>
      </c>
      <c r="V61" s="384">
        <f>_xlfn.XLOOKUP(E61,'All Products'!D:D,'All Products'!P:P,FALSE)</f>
        <v>12.53</v>
      </c>
      <c r="W61" s="384">
        <f>_xlfn.XLOOKUP(E61,'All Products'!D:D,'All Products'!Q:Q,FALSE)</f>
        <v>0.8</v>
      </c>
    </row>
    <row r="62" spans="1:23" ht="15" customHeight="1">
      <c r="A62" s="101" t="str">
        <f>IF(K62&gt;0,COUNT($A$7:A61)
+COUNT('DWV PVC'!$A$9:$A$316)
+COUNT('DWV ABS'!$A$8:$A$116)+1,"")</f>
        <v/>
      </c>
      <c r="B62" s="610"/>
      <c r="C62" s="611"/>
      <c r="D62" s="369" t="str">
        <f>_xlfn.XLOOKUP(E62,'All Products'!D:D,'All Products'!C:C,FALSE)</f>
        <v>402-007</v>
      </c>
      <c r="E62" s="51">
        <v>100022410</v>
      </c>
      <c r="F62" s="376" t="str">
        <f>_xlfn.XLOOKUP(E62,'All Products'!D:D,'All Products'!E:E,FALSE)</f>
        <v>3/4 TEE SLIP X SLIP X FIPT</v>
      </c>
      <c r="G62" s="232">
        <f>_xlfn.XLOOKUP(E62,'All Products'!D:D,'All Products'!F:F,FALSE)</f>
        <v>100</v>
      </c>
      <c r="H62" s="387">
        <f>_xlfn.XLOOKUP(E62,'All Products'!D:D,'All Products'!G:G,FALSE)</f>
        <v>9000</v>
      </c>
      <c r="I62" s="394">
        <f>_xlfn.XLOOKUP(E62,'All Products'!D:D,'All Products'!H:H,FALSE)</f>
        <v>4.07</v>
      </c>
      <c r="J62" s="183">
        <f>IFERROR(ROUND(I62*Order_Quote!$L$4,2),0)</f>
        <v>4.07</v>
      </c>
      <c r="K62" s="73"/>
      <c r="L62" s="76"/>
      <c r="M62" s="114">
        <f t="shared" si="4"/>
        <v>0</v>
      </c>
      <c r="O62" s="384" t="str">
        <f>_xlfn.XLOOKUP(E62,'All Products'!D:D,'All Products'!I:I,FALSE)</f>
        <v>In Stock</v>
      </c>
      <c r="P62" s="384" t="str">
        <f>_xlfn.XLOOKUP(E62,'All Products'!D:D,'All Products'!J:J,FALSE)</f>
        <v>Manufactured</v>
      </c>
      <c r="Q62" s="397">
        <f>_xlfn.XLOOKUP(E62,'All Products'!D:D,'All Products'!K:K,FALSE)</f>
        <v>49081147488</v>
      </c>
      <c r="R62" s="397">
        <f>_xlfn.XLOOKUP(E62,'All Products'!D:D,'All Products'!L:L,FALSE)</f>
        <v>49081647483</v>
      </c>
      <c r="S62" s="397">
        <f>_xlfn.XLOOKUP(E62,'All Products'!D:D,'All Products'!M:M,FALSE)</f>
        <v>40049081147486</v>
      </c>
      <c r="T62" s="384">
        <f>_xlfn.XLOOKUP(E62,'All Products'!D:D,'All Products'!N:N,FALSE)</f>
        <v>8.5999999999999993E-2</v>
      </c>
      <c r="U62" s="397">
        <f>_xlfn.XLOOKUP(E62,'All Products'!D:D,'All Products'!O:O,FALSE)</f>
        <v>10</v>
      </c>
      <c r="V62" s="384">
        <f>_xlfn.XLOOKUP(E62,'All Products'!D:D,'All Products'!P:P,FALSE)</f>
        <v>11.9</v>
      </c>
      <c r="W62" s="384">
        <f>_xlfn.XLOOKUP(E62,'All Products'!D:D,'All Products'!Q:Q,FALSE)</f>
        <v>0.8</v>
      </c>
    </row>
    <row r="63" spans="1:23" ht="15" customHeight="1">
      <c r="A63" s="101" t="str">
        <f>IF(K63&gt;0,COUNT($A$7:A62)
+COUNT('DWV PVC'!$A$9:$A$316)
+COUNT('DWV ABS'!$A$8:$A$116)+1,"")</f>
        <v/>
      </c>
      <c r="B63" s="610"/>
      <c r="C63" s="611"/>
      <c r="D63" s="369" t="str">
        <f>_xlfn.XLOOKUP(E63,'All Products'!D:D,'All Products'!C:C,FALSE)</f>
        <v>402-010</v>
      </c>
      <c r="E63" s="51">
        <v>100022412</v>
      </c>
      <c r="F63" s="376" t="str">
        <f>_xlfn.XLOOKUP(E63,'All Products'!D:D,'All Products'!E:E,FALSE)</f>
        <v>1 TEE SLIP X SLIP X FIPT</v>
      </c>
      <c r="G63" s="232">
        <f>_xlfn.XLOOKUP(E63,'All Products'!D:D,'All Products'!F:F,FALSE)</f>
        <v>50</v>
      </c>
      <c r="H63" s="387">
        <f>_xlfn.XLOOKUP(E63,'All Products'!D:D,'All Products'!G:G,FALSE)</f>
        <v>4500</v>
      </c>
      <c r="I63" s="394">
        <f>_xlfn.XLOOKUP(E63,'All Products'!D:D,'All Products'!H:H,FALSE)</f>
        <v>7.54</v>
      </c>
      <c r="J63" s="183">
        <f>IFERROR(ROUND(I63*Order_Quote!$L$4,2),0)</f>
        <v>7.54</v>
      </c>
      <c r="K63" s="73"/>
      <c r="L63" s="76"/>
      <c r="M63" s="114">
        <f t="shared" si="4"/>
        <v>0</v>
      </c>
      <c r="O63" s="384" t="str">
        <f>_xlfn.XLOOKUP(E63,'All Products'!D:D,'All Products'!I:I,FALSE)</f>
        <v>In Stock</v>
      </c>
      <c r="P63" s="384" t="str">
        <f>_xlfn.XLOOKUP(E63,'All Products'!D:D,'All Products'!J:J,FALSE)</f>
        <v>Manufactured</v>
      </c>
      <c r="Q63" s="397">
        <f>_xlfn.XLOOKUP(E63,'All Products'!D:D,'All Products'!K:K,FALSE)</f>
        <v>49081147587</v>
      </c>
      <c r="R63" s="397">
        <f>_xlfn.XLOOKUP(E63,'All Products'!D:D,'All Products'!L:L,FALSE)</f>
        <v>49081647582</v>
      </c>
      <c r="S63" s="397">
        <f>_xlfn.XLOOKUP(E63,'All Products'!D:D,'All Products'!M:M,FALSE)</f>
        <v>40049081147585</v>
      </c>
      <c r="T63" s="384">
        <f>_xlfn.XLOOKUP(E63,'All Products'!D:D,'All Products'!N:N,FALSE)</f>
        <v>0.20399999999999999</v>
      </c>
      <c r="U63" s="397">
        <f>_xlfn.XLOOKUP(E63,'All Products'!D:D,'All Products'!O:O,FALSE)</f>
        <v>10</v>
      </c>
      <c r="V63" s="384">
        <f>_xlfn.XLOOKUP(E63,'All Products'!D:D,'All Products'!P:P,FALSE)</f>
        <v>11.35</v>
      </c>
      <c r="W63" s="384">
        <f>_xlfn.XLOOKUP(E63,'All Products'!D:D,'All Products'!Q:Q,FALSE)</f>
        <v>0.8</v>
      </c>
    </row>
    <row r="64" spans="1:23" ht="15" customHeight="1">
      <c r="B64" s="610"/>
      <c r="C64" s="611"/>
      <c r="D64" s="369" t="str">
        <f>_xlfn.XLOOKUP(E64,'All Products'!D:D,'All Products'!C:C,FALSE)</f>
        <v>402-012</v>
      </c>
      <c r="E64" s="51">
        <v>100022414</v>
      </c>
      <c r="F64" s="376" t="str">
        <f>_xlfn.XLOOKUP(E64,'All Products'!D:D,'All Products'!E:E,FALSE)</f>
        <v>1-1/4" TEESLIP X SLIP X FIPT</v>
      </c>
      <c r="G64" s="232">
        <f>_xlfn.XLOOKUP(E64,'All Products'!D:D,'All Products'!F:F,FALSE)</f>
        <v>25</v>
      </c>
      <c r="H64" s="387">
        <f>_xlfn.XLOOKUP(E64,'All Products'!D:D,'All Products'!G:G,FALSE)</f>
        <v>1875</v>
      </c>
      <c r="I64" s="394">
        <f>_xlfn.XLOOKUP(E64,'All Products'!D:D,'All Products'!H:H,FALSE)</f>
        <v>11.43</v>
      </c>
      <c r="J64" s="183">
        <f>IFERROR(ROUND(I64*Order_Quote!$L$4,2),0)</f>
        <v>11.43</v>
      </c>
      <c r="K64" s="73"/>
      <c r="L64" s="76"/>
      <c r="M64" s="114">
        <f t="shared" ref="M64" si="5">K64/G64</f>
        <v>0</v>
      </c>
      <c r="O64" s="384" t="str">
        <f>_xlfn.XLOOKUP(E64,'All Products'!D:D,'All Products'!I:I,FALSE)</f>
        <v>In Stock</v>
      </c>
      <c r="P64" s="384" t="str">
        <f>_xlfn.XLOOKUP(E64,'All Products'!D:D,'All Products'!J:J,FALSE)</f>
        <v>Manufactured</v>
      </c>
      <c r="Q64" s="397">
        <f>_xlfn.XLOOKUP(E64,'All Products'!D:D,'All Products'!K:K,FALSE)</f>
        <v>49081147808</v>
      </c>
      <c r="R64" s="397" t="str">
        <f>_xlfn.XLOOKUP(E64,'All Products'!D:D,'All Products'!L:L,FALSE)</f>
        <v>-</v>
      </c>
      <c r="S64" s="397">
        <f>_xlfn.XLOOKUP(E64,'All Products'!D:D,'All Products'!M:M,FALSE)</f>
        <v>40049081147806</v>
      </c>
      <c r="T64" s="384">
        <f>_xlfn.XLOOKUP(E64,'All Products'!D:D,'All Products'!N:N,FALSE)</f>
        <v>0.36299999999999999</v>
      </c>
      <c r="U64" s="397" t="str">
        <f>_xlfn.XLOOKUP(E64,'All Products'!D:D,'All Products'!O:O,FALSE)</f>
        <v>-</v>
      </c>
      <c r="V64" s="384">
        <f>_xlfn.XLOOKUP(E64,'All Products'!D:D,'All Products'!P:P,FALSE)</f>
        <v>9.07</v>
      </c>
      <c r="W64" s="384">
        <f>_xlfn.XLOOKUP(E64,'All Products'!D:D,'All Products'!Q:Q,FALSE)</f>
        <v>0.57999999999999996</v>
      </c>
    </row>
    <row r="65" spans="1:23" ht="15" customHeight="1">
      <c r="A65" s="101" t="str">
        <f>IF(K65&gt;0,COUNT($A$7:A63)
+COUNT('DWV PVC'!$A$9:$A$316)
+COUNT('DWV ABS'!$A$8:$A$116)+1,"")</f>
        <v/>
      </c>
      <c r="B65" s="610"/>
      <c r="C65" s="611"/>
      <c r="D65" s="369" t="str">
        <f>_xlfn.XLOOKUP(E65,'All Products'!D:D,'All Products'!C:C,FALSE)</f>
        <v>402-015</v>
      </c>
      <c r="E65" s="51">
        <v>100022416</v>
      </c>
      <c r="F65" s="376" t="str">
        <f>_xlfn.XLOOKUP(E65,'All Products'!D:D,'All Products'!E:E,FALSE)</f>
        <v>1-1/2 TEE SLIP X SLIP X FIPT</v>
      </c>
      <c r="G65" s="232">
        <f>_xlfn.XLOOKUP(E65,'All Products'!D:D,'All Products'!F:F,FALSE)</f>
        <v>25</v>
      </c>
      <c r="H65" s="387">
        <f>_xlfn.XLOOKUP(E65,'All Products'!D:D,'All Products'!G:G,FALSE)</f>
        <v>1875</v>
      </c>
      <c r="I65" s="394">
        <f>_xlfn.XLOOKUP(E65,'All Products'!D:D,'All Products'!H:H,FALSE)</f>
        <v>15.6</v>
      </c>
      <c r="J65" s="183">
        <f>IFERROR(ROUND(I65*Order_Quote!$L$4,2),0)</f>
        <v>15.6</v>
      </c>
      <c r="K65" s="73"/>
      <c r="L65" s="76"/>
      <c r="M65" s="114">
        <f t="shared" si="4"/>
        <v>0</v>
      </c>
      <c r="O65" s="384" t="str">
        <f>_xlfn.XLOOKUP(E65,'All Products'!D:D,'All Products'!I:I,FALSE)</f>
        <v>In Stock</v>
      </c>
      <c r="P65" s="384" t="str">
        <f>_xlfn.XLOOKUP(E65,'All Products'!D:D,'All Products'!J:J,FALSE)</f>
        <v>Manufactured</v>
      </c>
      <c r="Q65" s="397">
        <f>_xlfn.XLOOKUP(E65,'All Products'!D:D,'All Products'!K:K,FALSE)</f>
        <v>49081148065</v>
      </c>
      <c r="R65" s="397" t="str">
        <f>_xlfn.XLOOKUP(E65,'All Products'!D:D,'All Products'!L:L,FALSE)</f>
        <v>-</v>
      </c>
      <c r="S65" s="397">
        <f>_xlfn.XLOOKUP(E65,'All Products'!D:D,'All Products'!M:M,FALSE)</f>
        <v>40049081148063</v>
      </c>
      <c r="T65" s="384">
        <f>_xlfn.XLOOKUP(E65,'All Products'!D:D,'All Products'!N:N,FALSE)</f>
        <v>0.41199999999999998</v>
      </c>
      <c r="U65" s="397" t="str">
        <f>_xlfn.XLOOKUP(E65,'All Products'!D:D,'All Products'!O:O,FALSE)</f>
        <v>-</v>
      </c>
      <c r="V65" s="384">
        <f>_xlfn.XLOOKUP(E65,'All Products'!D:D,'All Products'!P:P,FALSE)</f>
        <v>12.09</v>
      </c>
      <c r="W65" s="384">
        <f>_xlfn.XLOOKUP(E65,'All Products'!D:D,'All Products'!Q:Q,FALSE)</f>
        <v>0.95</v>
      </c>
    </row>
    <row r="66" spans="1:23" ht="15" customHeight="1">
      <c r="A66" s="101" t="str">
        <f>IF(K66&gt;0,COUNT($A$7:A65)
+COUNT('DWV PVC'!$A$9:$A$316)
+COUNT('DWV ABS'!$A$8:$A$116)+1,"")</f>
        <v/>
      </c>
      <c r="B66" s="610"/>
      <c r="C66" s="611"/>
      <c r="D66" s="369" t="str">
        <f>_xlfn.XLOOKUP(E66,'All Products'!D:D,'All Products'!C:C,FALSE)</f>
        <v>402-020</v>
      </c>
      <c r="E66" s="51">
        <v>100022418</v>
      </c>
      <c r="F66" s="376" t="str">
        <f>_xlfn.XLOOKUP(E66,'All Products'!D:D,'All Products'!E:E,FALSE)</f>
        <v>2 TEE SLIP X SLIP X FIPT</v>
      </c>
      <c r="G66" s="232">
        <f>_xlfn.XLOOKUP(E66,'All Products'!D:D,'All Products'!F:F,FALSE)</f>
        <v>15</v>
      </c>
      <c r="H66" s="387">
        <f>_xlfn.XLOOKUP(E66,'All Products'!D:D,'All Products'!G:G,FALSE)</f>
        <v>1125</v>
      </c>
      <c r="I66" s="394">
        <f>_xlfn.XLOOKUP(E66,'All Products'!D:D,'All Products'!H:H,FALSE)</f>
        <v>19.75</v>
      </c>
      <c r="J66" s="183">
        <f>IFERROR(ROUND(I66*Order_Quote!$L$4,2),0)</f>
        <v>19.75</v>
      </c>
      <c r="K66" s="73"/>
      <c r="L66" s="76"/>
      <c r="M66" s="114">
        <f t="shared" si="4"/>
        <v>0</v>
      </c>
      <c r="O66" s="384" t="str">
        <f>_xlfn.XLOOKUP(E66,'All Products'!D:D,'All Products'!I:I,FALSE)</f>
        <v>In Stock</v>
      </c>
      <c r="P66" s="384" t="str">
        <f>_xlfn.XLOOKUP(E66,'All Products'!D:D,'All Products'!J:J,FALSE)</f>
        <v>Manufactured</v>
      </c>
      <c r="Q66" s="397">
        <f>_xlfn.XLOOKUP(E66,'All Products'!D:D,'All Products'!K:K,FALSE)</f>
        <v>49081148409</v>
      </c>
      <c r="R66" s="397" t="str">
        <f>_xlfn.XLOOKUP(E66,'All Products'!D:D,'All Products'!L:L,FALSE)</f>
        <v>-</v>
      </c>
      <c r="S66" s="397">
        <f>_xlfn.XLOOKUP(E66,'All Products'!D:D,'All Products'!M:M,FALSE)</f>
        <v>40049081148407</v>
      </c>
      <c r="T66" s="384">
        <f>_xlfn.XLOOKUP(E66,'All Products'!D:D,'All Products'!N:N,FALSE)</f>
        <v>0.58299999999999996</v>
      </c>
      <c r="U66" s="397" t="str">
        <f>_xlfn.XLOOKUP(E66,'All Products'!D:D,'All Products'!O:O,FALSE)</f>
        <v>-</v>
      </c>
      <c r="V66" s="384">
        <f>_xlfn.XLOOKUP(E66,'All Products'!D:D,'All Products'!P:P,FALSE)</f>
        <v>9.58</v>
      </c>
      <c r="W66" s="384">
        <f>_xlfn.XLOOKUP(E66,'All Products'!D:D,'All Products'!Q:Q,FALSE)</f>
        <v>0.95</v>
      </c>
    </row>
    <row r="67" spans="1:23" ht="15" customHeight="1">
      <c r="A67" s="101" t="str">
        <f>IF(K67&gt;0,COUNT($A$7:A66)
+COUNT('DWV PVC'!$A$9:$A$316)
+COUNT('DWV ABS'!$A$8:$A$116)+1,"")</f>
        <v/>
      </c>
      <c r="B67" s="610"/>
      <c r="C67" s="611"/>
      <c r="D67" s="369" t="str">
        <f>_xlfn.XLOOKUP(E67,'All Products'!D:D,'All Products'!C:C,FALSE)</f>
        <v>402-030</v>
      </c>
      <c r="E67" s="51">
        <v>100022421</v>
      </c>
      <c r="F67" s="376" t="str">
        <f>_xlfn.XLOOKUP(E67,'All Products'!D:D,'All Products'!E:E,FALSE)</f>
        <v>3 TEE SLIP X SLIP X FIPT</v>
      </c>
      <c r="G67" s="232">
        <f>_xlfn.XLOOKUP(E67,'All Products'!D:D,'All Products'!F:F,FALSE)</f>
        <v>5</v>
      </c>
      <c r="H67" s="387">
        <f>_xlfn.XLOOKUP(E67,'All Products'!D:D,'All Products'!G:G,FALSE)</f>
        <v>600</v>
      </c>
      <c r="I67" s="394">
        <f>_xlfn.XLOOKUP(E67,'All Products'!D:D,'All Products'!H:H,FALSE)</f>
        <v>76.59</v>
      </c>
      <c r="J67" s="183">
        <f>IFERROR(ROUND(I67*Order_Quote!$L$4,2),0)</f>
        <v>76.59</v>
      </c>
      <c r="K67" s="73"/>
      <c r="L67" s="76"/>
      <c r="M67" s="114">
        <f t="shared" si="4"/>
        <v>0</v>
      </c>
      <c r="O67" s="384" t="str">
        <f>_xlfn.XLOOKUP(E67,'All Products'!D:D,'All Products'!I:I,FALSE)</f>
        <v>In Stock</v>
      </c>
      <c r="P67" s="384" t="str">
        <f>_xlfn.XLOOKUP(E67,'All Products'!D:D,'All Products'!J:J,FALSE)</f>
        <v>Manufactured</v>
      </c>
      <c r="Q67" s="397">
        <f>_xlfn.XLOOKUP(E67,'All Products'!D:D,'All Products'!K:K,FALSE)</f>
        <v>49081148843</v>
      </c>
      <c r="R67" s="397" t="str">
        <f>_xlfn.XLOOKUP(E67,'All Products'!D:D,'All Products'!L:L,FALSE)</f>
        <v>-</v>
      </c>
      <c r="S67" s="397">
        <f>_xlfn.XLOOKUP(E67,'All Products'!D:D,'All Products'!M:M,FALSE)</f>
        <v>40049081148841</v>
      </c>
      <c r="T67" s="384">
        <f>_xlfn.XLOOKUP(E67,'All Products'!D:D,'All Products'!N:N,FALSE)</f>
        <v>1.736</v>
      </c>
      <c r="U67" s="397" t="str">
        <f>_xlfn.XLOOKUP(E67,'All Products'!D:D,'All Products'!O:O,FALSE)</f>
        <v>-</v>
      </c>
      <c r="V67" s="384">
        <f>_xlfn.XLOOKUP(E67,'All Products'!D:D,'All Products'!P:P,FALSE)</f>
        <v>8.68</v>
      </c>
      <c r="W67" s="384">
        <f>_xlfn.XLOOKUP(E67,'All Products'!D:D,'All Products'!Q:Q,FALSE)</f>
        <v>0.65</v>
      </c>
    </row>
    <row r="68" spans="1:23" ht="15" customHeight="1">
      <c r="A68" s="101" t="str">
        <f>IF(K68&gt;0,COUNT($A$7:A67)
+COUNT('DWV PVC'!$A$9:$A$316)
+COUNT('DWV ABS'!$A$8:$A$116)+1,"")</f>
        <v/>
      </c>
      <c r="B68" s="612"/>
      <c r="C68" s="613"/>
      <c r="D68" s="369" t="str">
        <f>_xlfn.XLOOKUP(E68,'All Products'!D:D,'All Products'!C:C,FALSE)</f>
        <v>402-040</v>
      </c>
      <c r="E68" s="51">
        <v>100022422</v>
      </c>
      <c r="F68" s="376" t="str">
        <f>_xlfn.XLOOKUP(E68,'All Products'!D:D,'All Products'!E:E,FALSE)</f>
        <v>4 TEE SLIP X SLIP X FIPT</v>
      </c>
      <c r="G68" s="232">
        <f>_xlfn.XLOOKUP(E68,'All Products'!D:D,'All Products'!F:F,FALSE)</f>
        <v>3</v>
      </c>
      <c r="H68" s="387">
        <f>_xlfn.XLOOKUP(E68,'All Products'!D:D,'All Products'!G:G,FALSE)</f>
        <v>270</v>
      </c>
      <c r="I68" s="394">
        <f>_xlfn.XLOOKUP(E68,'All Products'!D:D,'All Products'!H:H,FALSE)</f>
        <v>117.05</v>
      </c>
      <c r="J68" s="183">
        <f>IFERROR(ROUND(I68*Order_Quote!$L$4,2),0)</f>
        <v>117.05</v>
      </c>
      <c r="K68" s="73"/>
      <c r="L68" s="76"/>
      <c r="M68" s="114">
        <f t="shared" si="4"/>
        <v>0</v>
      </c>
      <c r="O68" s="384" t="str">
        <f>_xlfn.XLOOKUP(E68,'All Products'!D:D,'All Products'!I:I,FALSE)</f>
        <v>In Stock</v>
      </c>
      <c r="P68" s="384" t="str">
        <f>_xlfn.XLOOKUP(E68,'All Products'!D:D,'All Products'!J:J,FALSE)</f>
        <v>Manufactured</v>
      </c>
      <c r="Q68" s="397">
        <f>_xlfn.XLOOKUP(E68,'All Products'!D:D,'All Products'!K:K,FALSE)</f>
        <v>49081148980</v>
      </c>
      <c r="R68" s="397" t="str">
        <f>_xlfn.XLOOKUP(E68,'All Products'!D:D,'All Products'!L:L,FALSE)</f>
        <v>-</v>
      </c>
      <c r="S68" s="397">
        <f>_xlfn.XLOOKUP(E68,'All Products'!D:D,'All Products'!M:M,FALSE)</f>
        <v>40049081148988</v>
      </c>
      <c r="T68" s="384">
        <f>_xlfn.XLOOKUP(E68,'All Products'!D:D,'All Products'!N:N,FALSE)</f>
        <v>2.8330000000000002</v>
      </c>
      <c r="U68" s="397" t="str">
        <f>_xlfn.XLOOKUP(E68,'All Products'!D:D,'All Products'!O:O,FALSE)</f>
        <v>-</v>
      </c>
      <c r="V68" s="384">
        <f>_xlfn.XLOOKUP(E68,'All Products'!D:D,'All Products'!P:P,FALSE)</f>
        <v>8.5</v>
      </c>
      <c r="W68" s="384">
        <f>_xlfn.XLOOKUP(E68,'All Products'!D:D,'All Products'!Q:Q,FALSE)</f>
        <v>0.8</v>
      </c>
    </row>
    <row r="69" spans="1:23" ht="15" customHeight="1">
      <c r="A69" s="101" t="str">
        <f>IF(K69&gt;0,COUNT($A$7:A68)
+COUNT('DWV PVC'!$A$9:$A$316)
+COUNT('DWV ABS'!$A$8:$A$116)+1,"")</f>
        <v/>
      </c>
      <c r="B69" s="608"/>
      <c r="C69" s="609"/>
      <c r="D69" s="369" t="str">
        <f>_xlfn.XLOOKUP(E69,'All Products'!D:D,'All Products'!C:C,FALSE)</f>
        <v>402-071</v>
      </c>
      <c r="E69" s="51">
        <v>100022424</v>
      </c>
      <c r="F69" s="376" t="str">
        <f>_xlfn.XLOOKUP(E69,'All Products'!D:D,'All Products'!E:E,FALSE)</f>
        <v>1/2X1/2X1/8 REDUCING TEE SXSXFIPT</v>
      </c>
      <c r="G69" s="232">
        <f>_xlfn.XLOOKUP(E69,'All Products'!D:D,'All Products'!F:F,FALSE)</f>
        <v>250</v>
      </c>
      <c r="H69" s="387">
        <f>_xlfn.XLOOKUP(E69,'All Products'!D:D,'All Products'!G:G,FALSE)</f>
        <v>22500</v>
      </c>
      <c r="I69" s="394">
        <f>_xlfn.XLOOKUP(E69,'All Products'!D:D,'All Products'!H:H,FALSE)</f>
        <v>5.63</v>
      </c>
      <c r="J69" s="183">
        <f>IFERROR(ROUND(I69*Order_Quote!$L$4,2),0)</f>
        <v>5.63</v>
      </c>
      <c r="K69" s="73"/>
      <c r="L69" s="76"/>
      <c r="M69" s="114">
        <f t="shared" si="4"/>
        <v>0</v>
      </c>
      <c r="O69" s="384" t="str">
        <f>_xlfn.XLOOKUP(E69,'All Products'!D:D,'All Products'!I:I,FALSE)</f>
        <v>In Stock</v>
      </c>
      <c r="P69" s="384" t="str">
        <f>_xlfn.XLOOKUP(E69,'All Products'!D:D,'All Products'!J:J,FALSE)</f>
        <v>Manufactured</v>
      </c>
      <c r="Q69" s="397">
        <f>_xlfn.XLOOKUP(E69,'All Products'!D:D,'All Products'!K:K,FALSE)</f>
        <v>49081147471</v>
      </c>
      <c r="R69" s="397">
        <f>_xlfn.XLOOKUP(E69,'All Products'!D:D,'All Products'!L:L,FALSE)</f>
        <v>49081647476</v>
      </c>
      <c r="S69" s="397">
        <f>_xlfn.XLOOKUP(E69,'All Products'!D:D,'All Products'!M:M,FALSE)</f>
        <v>40049081147479</v>
      </c>
      <c r="T69" s="384">
        <f>_xlfn.XLOOKUP(E69,'All Products'!D:D,'All Products'!N:N,FALSE)</f>
        <v>7.0000000000000007E-2</v>
      </c>
      <c r="U69" s="397">
        <f>_xlfn.XLOOKUP(E69,'All Products'!D:D,'All Products'!O:O,FALSE)</f>
        <v>10</v>
      </c>
      <c r="V69" s="384">
        <f>_xlfn.XLOOKUP(E69,'All Products'!D:D,'All Products'!P:P,FALSE)</f>
        <v>17.739999999999998</v>
      </c>
      <c r="W69" s="384">
        <f>_xlfn.XLOOKUP(E69,'All Products'!D:D,'All Products'!Q:Q,FALSE)</f>
        <v>0.8</v>
      </c>
    </row>
    <row r="70" spans="1:23" ht="15" customHeight="1">
      <c r="A70" s="101" t="str">
        <f>IF(K70&gt;0,COUNT($A$7:A69)
+COUNT('DWV PVC'!$A$9:$A$316)
+COUNT('DWV ABS'!$A$8:$A$116)+1,"")</f>
        <v/>
      </c>
      <c r="B70" s="610"/>
      <c r="C70" s="611"/>
      <c r="D70" s="369" t="str">
        <f>_xlfn.XLOOKUP(E70,'All Products'!D:D,'All Products'!C:C,FALSE)</f>
        <v>402-101</v>
      </c>
      <c r="E70" s="51">
        <v>100022428</v>
      </c>
      <c r="F70" s="376" t="str">
        <f>_xlfn.XLOOKUP(E70,'All Products'!D:D,'All Products'!E:E,FALSE)</f>
        <v>3/4X3/4X1/2 REDUCING TEE SXSXFIPT</v>
      </c>
      <c r="G70" s="232">
        <f>_xlfn.XLOOKUP(E70,'All Products'!D:D,'All Products'!F:F,FALSE)</f>
        <v>100</v>
      </c>
      <c r="H70" s="387">
        <f>_xlfn.XLOOKUP(E70,'All Products'!D:D,'All Products'!G:G,FALSE)</f>
        <v>12000</v>
      </c>
      <c r="I70" s="394">
        <f>_xlfn.XLOOKUP(E70,'All Products'!D:D,'All Products'!H:H,FALSE)</f>
        <v>3.48</v>
      </c>
      <c r="J70" s="183">
        <f>IFERROR(ROUND(I70*Order_Quote!$L$4,2),0)</f>
        <v>3.48</v>
      </c>
      <c r="K70" s="73"/>
      <c r="L70" s="76"/>
      <c r="M70" s="114">
        <f t="shared" si="4"/>
        <v>0</v>
      </c>
      <c r="O70" s="384" t="str">
        <f>_xlfn.XLOOKUP(E70,'All Products'!D:D,'All Products'!I:I,FALSE)</f>
        <v>In Stock</v>
      </c>
      <c r="P70" s="384" t="str">
        <f>_xlfn.XLOOKUP(E70,'All Products'!D:D,'All Products'!J:J,FALSE)</f>
        <v>Manufactured</v>
      </c>
      <c r="Q70" s="397">
        <f>_xlfn.XLOOKUP(E70,'All Products'!D:D,'All Products'!K:K,FALSE)</f>
        <v>49081147525</v>
      </c>
      <c r="R70" s="397">
        <f>_xlfn.XLOOKUP(E70,'All Products'!D:D,'All Products'!L:L,FALSE)</f>
        <v>49081647520</v>
      </c>
      <c r="S70" s="397">
        <f>_xlfn.XLOOKUP(E70,'All Products'!D:D,'All Products'!M:M,FALSE)</f>
        <v>40049081147523</v>
      </c>
      <c r="T70" s="384">
        <f>_xlfn.XLOOKUP(E70,'All Products'!D:D,'All Products'!N:N,FALSE)</f>
        <v>9.7000000000000003E-2</v>
      </c>
      <c r="U70" s="397">
        <f>_xlfn.XLOOKUP(E70,'All Products'!D:D,'All Products'!O:O,FALSE)</f>
        <v>10</v>
      </c>
      <c r="V70" s="384">
        <f>_xlfn.XLOOKUP(E70,'All Products'!D:D,'All Products'!P:P,FALSE)</f>
        <v>10.130000000000001</v>
      </c>
      <c r="W70" s="384">
        <f>_xlfn.XLOOKUP(E70,'All Products'!D:D,'All Products'!Q:Q,FALSE)</f>
        <v>0.65</v>
      </c>
    </row>
    <row r="71" spans="1:23" ht="15" customHeight="1">
      <c r="A71" s="101" t="str">
        <f>IF(K71&gt;0,COUNT($A$7:A70)
+COUNT('DWV PVC'!$A$9:$A$316)
+COUNT('DWV ABS'!$A$8:$A$116)+1,"")</f>
        <v/>
      </c>
      <c r="B71" s="610"/>
      <c r="C71" s="611"/>
      <c r="D71" s="369" t="str">
        <f>_xlfn.XLOOKUP(E71,'All Products'!D:D,'All Products'!C:C,FALSE)</f>
        <v>402-130</v>
      </c>
      <c r="E71" s="51">
        <v>100022433</v>
      </c>
      <c r="F71" s="376" t="str">
        <f>_xlfn.XLOOKUP(E71,'All Products'!D:D,'All Products'!E:E,FALSE)</f>
        <v>1X1X1/2 REDUCING TEE SXSXFIPT</v>
      </c>
      <c r="G71" s="232">
        <f>_xlfn.XLOOKUP(E71,'All Products'!D:D,'All Products'!F:F,FALSE)</f>
        <v>50</v>
      </c>
      <c r="H71" s="387">
        <f>_xlfn.XLOOKUP(E71,'All Products'!D:D,'All Products'!G:G,FALSE)</f>
        <v>7500</v>
      </c>
      <c r="I71" s="394">
        <f>_xlfn.XLOOKUP(E71,'All Products'!D:D,'All Products'!H:H,FALSE)</f>
        <v>5.27</v>
      </c>
      <c r="J71" s="183">
        <f>IFERROR(ROUND(I71*Order_Quote!$L$4,2),0)</f>
        <v>5.27</v>
      </c>
      <c r="K71" s="73"/>
      <c r="L71" s="76"/>
      <c r="M71" s="114">
        <f t="shared" si="4"/>
        <v>0</v>
      </c>
      <c r="O71" s="384" t="str">
        <f>_xlfn.XLOOKUP(E71,'All Products'!D:D,'All Products'!I:I,FALSE)</f>
        <v>In Stock</v>
      </c>
      <c r="P71" s="384" t="str">
        <f>_xlfn.XLOOKUP(E71,'All Products'!D:D,'All Products'!J:J,FALSE)</f>
        <v>Manufactured</v>
      </c>
      <c r="Q71" s="397">
        <f>_xlfn.XLOOKUP(E71,'All Products'!D:D,'All Products'!K:K,FALSE)</f>
        <v>49081147662</v>
      </c>
      <c r="R71" s="397">
        <f>_xlfn.XLOOKUP(E71,'All Products'!D:D,'All Products'!L:L,FALSE)</f>
        <v>49081647667</v>
      </c>
      <c r="S71" s="397">
        <f>_xlfn.XLOOKUP(E71,'All Products'!D:D,'All Products'!M:M,FALSE)</f>
        <v>40049081147660</v>
      </c>
      <c r="T71" s="384">
        <f>_xlfn.XLOOKUP(E71,'All Products'!D:D,'All Products'!N:N,FALSE)</f>
        <v>0.13</v>
      </c>
      <c r="U71" s="397">
        <f>_xlfn.XLOOKUP(E71,'All Products'!D:D,'All Products'!O:O,FALSE)</f>
        <v>10</v>
      </c>
      <c r="V71" s="384">
        <f>_xlfn.XLOOKUP(E71,'All Products'!D:D,'All Products'!P:P,FALSE)</f>
        <v>7.31</v>
      </c>
      <c r="W71" s="384">
        <f>_xlfn.XLOOKUP(E71,'All Products'!D:D,'All Products'!Q:Q,FALSE)</f>
        <v>0.5</v>
      </c>
    </row>
    <row r="72" spans="1:23" ht="15" customHeight="1">
      <c r="A72" s="101" t="str">
        <f>IF(K72&gt;0,COUNT($A$7:A71)
+COUNT('DWV PVC'!$A$9:$A$316)
+COUNT('DWV ABS'!$A$8:$A$116)+1,"")</f>
        <v/>
      </c>
      <c r="B72" s="610"/>
      <c r="C72" s="611"/>
      <c r="D72" s="369" t="str">
        <f>_xlfn.XLOOKUP(E72,'All Products'!D:D,'All Products'!C:C,FALSE)</f>
        <v>402-131</v>
      </c>
      <c r="E72" s="51">
        <v>100022435</v>
      </c>
      <c r="F72" s="376" t="str">
        <f>_xlfn.XLOOKUP(E72,'All Products'!D:D,'All Products'!E:E,FALSE)</f>
        <v>1X1X3/4 REDUCING TEE SXSXFIPT</v>
      </c>
      <c r="G72" s="232">
        <f>_xlfn.XLOOKUP(E72,'All Products'!D:D,'All Products'!F:F,FALSE)</f>
        <v>50</v>
      </c>
      <c r="H72" s="387">
        <f>_xlfn.XLOOKUP(E72,'All Products'!D:D,'All Products'!G:G,FALSE)</f>
        <v>6000</v>
      </c>
      <c r="I72" s="394">
        <f>_xlfn.XLOOKUP(E72,'All Products'!D:D,'All Products'!H:H,FALSE)</f>
        <v>7.54</v>
      </c>
      <c r="J72" s="183">
        <f>IFERROR(ROUND(I72*Order_Quote!$L$4,2),0)</f>
        <v>7.54</v>
      </c>
      <c r="K72" s="73"/>
      <c r="L72" s="76"/>
      <c r="M72" s="114">
        <f t="shared" si="4"/>
        <v>0</v>
      </c>
      <c r="O72" s="384" t="str">
        <f>_xlfn.XLOOKUP(E72,'All Products'!D:D,'All Products'!I:I,FALSE)</f>
        <v>In Stock</v>
      </c>
      <c r="P72" s="384" t="str">
        <f>_xlfn.XLOOKUP(E72,'All Products'!D:D,'All Products'!J:J,FALSE)</f>
        <v>Manufactured</v>
      </c>
      <c r="Q72" s="397">
        <f>_xlfn.XLOOKUP(E72,'All Products'!D:D,'All Products'!K:K,FALSE)</f>
        <v>49081147648</v>
      </c>
      <c r="R72" s="397">
        <f>_xlfn.XLOOKUP(E72,'All Products'!D:D,'All Products'!L:L,FALSE)</f>
        <v>49081647643</v>
      </c>
      <c r="S72" s="397">
        <f>_xlfn.XLOOKUP(E72,'All Products'!D:D,'All Products'!M:M,FALSE)</f>
        <v>40049081147646</v>
      </c>
      <c r="T72" s="384">
        <f>_xlfn.XLOOKUP(E72,'All Products'!D:D,'All Products'!N:N,FALSE)</f>
        <v>0.16300000000000001</v>
      </c>
      <c r="U72" s="397">
        <f>_xlfn.XLOOKUP(E72,'All Products'!D:D,'All Products'!O:O,FALSE)</f>
        <v>10</v>
      </c>
      <c r="V72" s="384">
        <f>_xlfn.XLOOKUP(E72,'All Products'!D:D,'All Products'!P:P,FALSE)</f>
        <v>9.41</v>
      </c>
      <c r="W72" s="384">
        <f>_xlfn.XLOOKUP(E72,'All Products'!D:D,'All Products'!Q:Q,FALSE)</f>
        <v>0.65</v>
      </c>
    </row>
    <row r="73" spans="1:23" ht="15" customHeight="1">
      <c r="B73" s="610"/>
      <c r="C73" s="611"/>
      <c r="D73" s="369" t="str">
        <f>_xlfn.XLOOKUP(E73,'All Products'!D:D,'All Products'!C:C,FALSE)</f>
        <v>402-132</v>
      </c>
      <c r="E73" s="51">
        <v>100022233</v>
      </c>
      <c r="F73" s="376" t="str">
        <f>_xlfn.XLOOKUP(E73,'All Products'!D:D,'All Products'!E:E,FALSE)</f>
        <v>1 X 1 X 1-1/4" REDUCING TEE SXSXFIPT</v>
      </c>
      <c r="G73" s="232">
        <f>_xlfn.XLOOKUP(E73,'All Products'!D:D,'All Products'!F:F,FALSE)</f>
        <v>50</v>
      </c>
      <c r="H73" s="387">
        <f>_xlfn.XLOOKUP(E73,'All Products'!D:D,'All Products'!G:G,FALSE)</f>
        <v>3000</v>
      </c>
      <c r="I73" s="394">
        <f>_xlfn.XLOOKUP(E73,'All Products'!D:D,'All Products'!H:H,FALSE)</f>
        <v>11.94</v>
      </c>
      <c r="J73" s="183">
        <f>IFERROR(ROUND(I73*Order_Quote!$L$4,2),0)</f>
        <v>11.94</v>
      </c>
      <c r="K73" s="73"/>
      <c r="L73" s="76"/>
      <c r="M73" s="114">
        <f t="shared" ref="M73:M88" si="6">K73/G73</f>
        <v>0</v>
      </c>
      <c r="O73" s="384" t="str">
        <f>_xlfn.XLOOKUP(E73,'All Products'!D:D,'All Products'!I:I,FALSE)</f>
        <v>Within 3 Weeks</v>
      </c>
      <c r="P73" s="384" t="str">
        <f>_xlfn.XLOOKUP(E73,'All Products'!D:D,'All Products'!J:J,FALSE)</f>
        <v>Manufactured</v>
      </c>
      <c r="Q73" s="397">
        <f>_xlfn.XLOOKUP(E73,'All Products'!D:D,'All Products'!K:K,FALSE)</f>
        <v>49081147624</v>
      </c>
      <c r="R73" s="397">
        <f>_xlfn.XLOOKUP(E73,'All Products'!D:D,'All Products'!L:L,FALSE)</f>
        <v>49081647629</v>
      </c>
      <c r="S73" s="397">
        <f>_xlfn.XLOOKUP(E73,'All Products'!D:D,'All Products'!M:M,FALSE)</f>
        <v>40049081147622</v>
      </c>
      <c r="T73" s="384">
        <f>_xlfn.XLOOKUP(E73,'All Products'!D:D,'All Products'!N:N,FALSE)</f>
        <v>0.253</v>
      </c>
      <c r="U73" s="397">
        <f>_xlfn.XLOOKUP(E73,'All Products'!D:D,'All Products'!O:O,FALSE)</f>
        <v>10</v>
      </c>
      <c r="V73" s="384">
        <f>_xlfn.XLOOKUP(E73,'All Products'!D:D,'All Products'!P:P,FALSE)</f>
        <v>12.65</v>
      </c>
      <c r="W73" s="384">
        <f>_xlfn.XLOOKUP(E73,'All Products'!D:D,'All Products'!Q:Q,FALSE)</f>
        <v>0.72</v>
      </c>
    </row>
    <row r="74" spans="1:23" ht="15" customHeight="1">
      <c r="B74" s="610"/>
      <c r="C74" s="611"/>
      <c r="D74" s="369" t="str">
        <f>_xlfn.XLOOKUP(E74,'All Products'!D:D,'All Products'!C:C,FALSE)</f>
        <v>402-157</v>
      </c>
      <c r="E74" s="51">
        <v>100022235</v>
      </c>
      <c r="F74" s="376" t="str">
        <f>_xlfn.XLOOKUP(E74,'All Products'!D:D,'All Products'!E:E,FALSE)</f>
        <v>1-1/4 X 1 X 3/4" REDUCING TEE SXSXFIPT</v>
      </c>
      <c r="G74" s="232">
        <f>_xlfn.XLOOKUP(E74,'All Products'!D:D,'All Products'!F:F,FALSE)</f>
        <v>50</v>
      </c>
      <c r="H74" s="387">
        <f>_xlfn.XLOOKUP(E74,'All Products'!D:D,'All Products'!G:G,FALSE)</f>
        <v>3000</v>
      </c>
      <c r="I74" s="394">
        <f>_xlfn.XLOOKUP(E74,'All Products'!D:D,'All Products'!H:H,FALSE)</f>
        <v>11.43</v>
      </c>
      <c r="J74" s="183">
        <f>IFERROR(ROUND(I74*Order_Quote!$L$4,2),0)</f>
        <v>11.43</v>
      </c>
      <c r="K74" s="73"/>
      <c r="L74" s="76"/>
      <c r="M74" s="114">
        <f t="shared" si="6"/>
        <v>0</v>
      </c>
      <c r="O74" s="384" t="str">
        <f>_xlfn.XLOOKUP(E74,'All Products'!D:D,'All Products'!I:I,FALSE)</f>
        <v>Within 3 Weeks</v>
      </c>
      <c r="P74" s="384" t="str">
        <f>_xlfn.XLOOKUP(E74,'All Products'!D:D,'All Products'!J:J,FALSE)</f>
        <v>Manufactured</v>
      </c>
      <c r="Q74" s="397">
        <f>_xlfn.XLOOKUP(E74,'All Products'!D:D,'All Products'!K:K,FALSE)</f>
        <v>49081147969</v>
      </c>
      <c r="R74" s="397">
        <f>_xlfn.XLOOKUP(E74,'All Products'!D:D,'All Products'!L:L,FALSE)</f>
        <v>49081647964</v>
      </c>
      <c r="S74" s="397">
        <f>_xlfn.XLOOKUP(E74,'All Products'!D:D,'All Products'!M:M,FALSE)</f>
        <v>40049081147967</v>
      </c>
      <c r="T74" s="384">
        <f>_xlfn.XLOOKUP(E74,'All Products'!D:D,'All Products'!N:N,FALSE)</f>
        <v>0.224</v>
      </c>
      <c r="U74" s="397">
        <f>_xlfn.XLOOKUP(E74,'All Products'!D:D,'All Products'!O:O,FALSE)</f>
        <v>10</v>
      </c>
      <c r="V74" s="384">
        <f>_xlfn.XLOOKUP(E74,'All Products'!D:D,'All Products'!P:P,FALSE)</f>
        <v>11.2</v>
      </c>
      <c r="W74" s="384">
        <f>_xlfn.XLOOKUP(E74,'All Products'!D:D,'All Products'!Q:Q,FALSE)</f>
        <v>0.72</v>
      </c>
    </row>
    <row r="75" spans="1:23" ht="15" customHeight="1">
      <c r="B75" s="610"/>
      <c r="C75" s="611"/>
      <c r="D75" s="369" t="str">
        <f>_xlfn.XLOOKUP(E75,'All Products'!D:D,'All Products'!C:C,FALSE)</f>
        <v>402-158</v>
      </c>
      <c r="E75" s="51">
        <v>100022236</v>
      </c>
      <c r="F75" s="376" t="str">
        <f>_xlfn.XLOOKUP(E75,'All Products'!D:D,'All Products'!E:E,FALSE)</f>
        <v>1-1/4 X 1 X 1" REDUCING TEE SXSXFIPT</v>
      </c>
      <c r="G75" s="232">
        <f>_xlfn.XLOOKUP(E75,'All Products'!D:D,'All Products'!F:F,FALSE)</f>
        <v>50</v>
      </c>
      <c r="H75" s="387">
        <f>_xlfn.XLOOKUP(E75,'All Products'!D:D,'All Products'!G:G,FALSE)</f>
        <v>3000</v>
      </c>
      <c r="I75" s="394">
        <f>_xlfn.XLOOKUP(E75,'All Products'!D:D,'All Products'!H:H,FALSE)</f>
        <v>11.94</v>
      </c>
      <c r="J75" s="183">
        <f>IFERROR(ROUND(I75*Order_Quote!$L$4,2),0)</f>
        <v>11.94</v>
      </c>
      <c r="K75" s="73"/>
      <c r="L75" s="76"/>
      <c r="M75" s="114">
        <f t="shared" si="6"/>
        <v>0</v>
      </c>
      <c r="O75" s="384" t="str">
        <f>_xlfn.XLOOKUP(E75,'All Products'!D:D,'All Products'!I:I,FALSE)</f>
        <v>Within 3 Weeks</v>
      </c>
      <c r="P75" s="384" t="str">
        <f>_xlfn.XLOOKUP(E75,'All Products'!D:D,'All Products'!J:J,FALSE)</f>
        <v>Manufactured</v>
      </c>
      <c r="Q75" s="397">
        <f>_xlfn.XLOOKUP(E75,'All Products'!D:D,'All Products'!K:K,FALSE)</f>
        <v>49081147945</v>
      </c>
      <c r="R75" s="397">
        <f>_xlfn.XLOOKUP(E75,'All Products'!D:D,'All Products'!L:L,FALSE)</f>
        <v>49081647940</v>
      </c>
      <c r="S75" s="397">
        <f>_xlfn.XLOOKUP(E75,'All Products'!D:D,'All Products'!M:M,FALSE)</f>
        <v>40049081147943</v>
      </c>
      <c r="T75" s="384">
        <f>_xlfn.XLOOKUP(E75,'All Products'!D:D,'All Products'!N:N,FALSE)</f>
        <v>0.252</v>
      </c>
      <c r="U75" s="397">
        <f>_xlfn.XLOOKUP(E75,'All Products'!D:D,'All Products'!O:O,FALSE)</f>
        <v>10</v>
      </c>
      <c r="V75" s="384">
        <f>_xlfn.XLOOKUP(E75,'All Products'!D:D,'All Products'!P:P,FALSE)</f>
        <v>12.6</v>
      </c>
      <c r="W75" s="384">
        <f>_xlfn.XLOOKUP(E75,'All Products'!D:D,'All Products'!Q:Q,FALSE)</f>
        <v>0.72</v>
      </c>
    </row>
    <row r="76" spans="1:23" ht="15" customHeight="1">
      <c r="A76" s="101" t="str">
        <f>IF(K76&gt;0,COUNT($A$7:A72)
+COUNT('DWV PVC'!$A$9:$A$316)
+COUNT('DWV ABS'!$A$8:$A$116)+1,"")</f>
        <v/>
      </c>
      <c r="B76" s="610"/>
      <c r="C76" s="611"/>
      <c r="D76" s="369" t="str">
        <f>_xlfn.XLOOKUP(E76,'All Products'!D:D,'All Products'!C:C,FALSE)</f>
        <v>402-166</v>
      </c>
      <c r="E76" s="51">
        <v>100022437</v>
      </c>
      <c r="F76" s="376" t="str">
        <f>_xlfn.XLOOKUP(E76,'All Products'!D:D,'All Products'!E:E,FALSE)</f>
        <v>1-1/4X1-1/4X1/2 REDUCING TEE SXSXFIPT</v>
      </c>
      <c r="G76" s="232">
        <f>_xlfn.XLOOKUP(E76,'All Products'!D:D,'All Products'!F:F,FALSE)</f>
        <v>50</v>
      </c>
      <c r="H76" s="387">
        <f>_xlfn.XLOOKUP(E76,'All Products'!D:D,'All Products'!G:G,FALSE)</f>
        <v>4500</v>
      </c>
      <c r="I76" s="394">
        <f>_xlfn.XLOOKUP(E76,'All Products'!D:D,'All Products'!H:H,FALSE)</f>
        <v>12.56</v>
      </c>
      <c r="J76" s="183">
        <f>IFERROR(ROUND(I76*Order_Quote!$L$4,2),0)</f>
        <v>12.56</v>
      </c>
      <c r="K76" s="73"/>
      <c r="L76" s="76"/>
      <c r="M76" s="114">
        <f t="shared" si="6"/>
        <v>0</v>
      </c>
      <c r="O76" s="384" t="str">
        <f>_xlfn.XLOOKUP(E76,'All Products'!D:D,'All Products'!I:I,FALSE)</f>
        <v>In Stock</v>
      </c>
      <c r="P76" s="384" t="str">
        <f>_xlfn.XLOOKUP(E76,'All Products'!D:D,'All Products'!J:J,FALSE)</f>
        <v>Manufactured</v>
      </c>
      <c r="Q76" s="397">
        <f>_xlfn.XLOOKUP(E76,'All Products'!D:D,'All Products'!K:K,FALSE)</f>
        <v>49081147907</v>
      </c>
      <c r="R76" s="397">
        <f>_xlfn.XLOOKUP(E76,'All Products'!D:D,'All Products'!L:L,FALSE)</f>
        <v>49081647902</v>
      </c>
      <c r="S76" s="397">
        <f>_xlfn.XLOOKUP(E76,'All Products'!D:D,'All Products'!M:M,FALSE)</f>
        <v>40049081147905</v>
      </c>
      <c r="T76" s="384">
        <f>_xlfn.XLOOKUP(E76,'All Products'!D:D,'All Products'!N:N,FALSE)</f>
        <v>0.20799999999999999</v>
      </c>
      <c r="U76" s="397">
        <f>_xlfn.XLOOKUP(E76,'All Products'!D:D,'All Products'!O:O,FALSE)</f>
        <v>10</v>
      </c>
      <c r="V76" s="384">
        <f>_xlfn.XLOOKUP(E76,'All Products'!D:D,'All Products'!P:P,FALSE)</f>
        <v>13.05</v>
      </c>
      <c r="W76" s="384">
        <f>_xlfn.XLOOKUP(E76,'All Products'!D:D,'All Products'!Q:Q,FALSE)</f>
        <v>0.8</v>
      </c>
    </row>
    <row r="77" spans="1:23" ht="15" customHeight="1">
      <c r="A77" s="101" t="str">
        <f>IF(K77&gt;0,COUNT($A$7:A76)
+COUNT('DWV PVC'!$A$9:$A$316)
+COUNT('DWV ABS'!$A$8:$A$116)+1,"")</f>
        <v/>
      </c>
      <c r="B77" s="610"/>
      <c r="C77" s="611"/>
      <c r="D77" s="369" t="str">
        <f>_xlfn.XLOOKUP(E77,'All Products'!D:D,'All Products'!C:C,FALSE)</f>
        <v>402-167</v>
      </c>
      <c r="E77" s="51">
        <v>100022439</v>
      </c>
      <c r="F77" s="376" t="str">
        <f>_xlfn.XLOOKUP(E77,'All Products'!D:D,'All Products'!E:E,FALSE)</f>
        <v>1-1/4X1-1/4X3/4 REDUCING TEE SXSXFIPT</v>
      </c>
      <c r="G77" s="232">
        <f>_xlfn.XLOOKUP(E77,'All Products'!D:D,'All Products'!F:F,FALSE)</f>
        <v>50</v>
      </c>
      <c r="H77" s="387">
        <f>_xlfn.XLOOKUP(E77,'All Products'!D:D,'All Products'!G:G,FALSE)</f>
        <v>4500</v>
      </c>
      <c r="I77" s="394">
        <f>_xlfn.XLOOKUP(E77,'All Products'!D:D,'All Products'!H:H,FALSE)</f>
        <v>12.56</v>
      </c>
      <c r="J77" s="183">
        <f>IFERROR(ROUND(I77*Order_Quote!$L$4,2),0)</f>
        <v>12.56</v>
      </c>
      <c r="K77" s="73"/>
      <c r="L77" s="76"/>
      <c r="M77" s="114">
        <f t="shared" si="6"/>
        <v>0</v>
      </c>
      <c r="O77" s="384" t="str">
        <f>_xlfn.XLOOKUP(E77,'All Products'!D:D,'All Products'!I:I,FALSE)</f>
        <v>In Stock</v>
      </c>
      <c r="P77" s="384" t="str">
        <f>_xlfn.XLOOKUP(E77,'All Products'!D:D,'All Products'!J:J,FALSE)</f>
        <v>Manufactured</v>
      </c>
      <c r="Q77" s="397">
        <f>_xlfn.XLOOKUP(E77,'All Products'!D:D,'All Products'!K:K,FALSE)</f>
        <v>49081147884</v>
      </c>
      <c r="R77" s="397">
        <f>_xlfn.XLOOKUP(E77,'All Products'!D:D,'All Products'!L:L,FALSE)</f>
        <v>49081647889</v>
      </c>
      <c r="S77" s="397">
        <f>_xlfn.XLOOKUP(E77,'All Products'!D:D,'All Products'!M:M,FALSE)</f>
        <v>40049081147882</v>
      </c>
      <c r="T77" s="384">
        <f>_xlfn.XLOOKUP(E77,'All Products'!D:D,'All Products'!N:N,FALSE)</f>
        <v>0.23400000000000001</v>
      </c>
      <c r="U77" s="397">
        <f>_xlfn.XLOOKUP(E77,'All Products'!D:D,'All Products'!O:O,FALSE)</f>
        <v>10</v>
      </c>
      <c r="V77" s="384">
        <f>_xlfn.XLOOKUP(E77,'All Products'!D:D,'All Products'!P:P,FALSE)</f>
        <v>12.55</v>
      </c>
      <c r="W77" s="384">
        <f>_xlfn.XLOOKUP(E77,'All Products'!D:D,'All Products'!Q:Q,FALSE)</f>
        <v>0.95</v>
      </c>
    </row>
    <row r="78" spans="1:23" ht="15" customHeight="1">
      <c r="A78" s="101" t="str">
        <f>IF(K78&gt;0,COUNT($A$7:A77)
+COUNT('DWV PVC'!$A$9:$A$316)
+COUNT('DWV ABS'!$A$8:$A$116)+1,"")</f>
        <v/>
      </c>
      <c r="B78" s="610"/>
      <c r="C78" s="611"/>
      <c r="D78" s="369" t="str">
        <f>_xlfn.XLOOKUP(E78,'All Products'!D:D,'All Products'!C:C,FALSE)</f>
        <v>402-168</v>
      </c>
      <c r="E78" s="51">
        <v>100022441</v>
      </c>
      <c r="F78" s="376" t="str">
        <f>_xlfn.XLOOKUP(E78,'All Products'!D:D,'All Products'!E:E,FALSE)</f>
        <v>1-1/4X1-1/4X1 REDUCING TEE SXSXFIPT</v>
      </c>
      <c r="G78" s="232">
        <f>_xlfn.XLOOKUP(E78,'All Products'!D:D,'All Products'!F:F,FALSE)</f>
        <v>25</v>
      </c>
      <c r="H78" s="387">
        <f>_xlfn.XLOOKUP(E78,'All Products'!D:D,'All Products'!G:G,FALSE)</f>
        <v>3000</v>
      </c>
      <c r="I78" s="394">
        <f>_xlfn.XLOOKUP(E78,'All Products'!D:D,'All Products'!H:H,FALSE)</f>
        <v>12.56</v>
      </c>
      <c r="J78" s="183">
        <f>IFERROR(ROUND(I78*Order_Quote!$L$4,2),0)</f>
        <v>12.56</v>
      </c>
      <c r="K78" s="73"/>
      <c r="L78" s="76"/>
      <c r="M78" s="114">
        <f t="shared" si="6"/>
        <v>0</v>
      </c>
      <c r="O78" s="384" t="str">
        <f>_xlfn.XLOOKUP(E78,'All Products'!D:D,'All Products'!I:I,FALSE)</f>
        <v>Within 3 Weeks</v>
      </c>
      <c r="P78" s="384" t="str">
        <f>_xlfn.XLOOKUP(E78,'All Products'!D:D,'All Products'!J:J,FALSE)</f>
        <v>Manufactured</v>
      </c>
      <c r="Q78" s="397">
        <f>_xlfn.XLOOKUP(E78,'All Products'!D:D,'All Products'!K:K,FALSE)</f>
        <v>49081147860</v>
      </c>
      <c r="R78" s="397">
        <f>_xlfn.XLOOKUP(E78,'All Products'!D:D,'All Products'!L:L,FALSE)</f>
        <v>49081647865</v>
      </c>
      <c r="S78" s="397">
        <f>_xlfn.XLOOKUP(E78,'All Products'!D:D,'All Products'!M:M,FALSE)</f>
        <v>40049081147868</v>
      </c>
      <c r="T78" s="384">
        <f>_xlfn.XLOOKUP(E78,'All Products'!D:D,'All Products'!N:N,FALSE)</f>
        <v>0.28399999999999997</v>
      </c>
      <c r="U78" s="397">
        <f>_xlfn.XLOOKUP(E78,'All Products'!D:D,'All Products'!O:O,FALSE)</f>
        <v>5</v>
      </c>
      <c r="V78" s="384">
        <f>_xlfn.XLOOKUP(E78,'All Products'!D:D,'All Products'!P:P,FALSE)</f>
        <v>7.1</v>
      </c>
      <c r="W78" s="384">
        <f>_xlfn.XLOOKUP(E78,'All Products'!D:D,'All Products'!Q:Q,FALSE)</f>
        <v>0.65</v>
      </c>
    </row>
    <row r="79" spans="1:23" ht="15" customHeight="1">
      <c r="B79" s="610"/>
      <c r="C79" s="611"/>
      <c r="D79" s="369" t="str">
        <f>_xlfn.XLOOKUP(E79,'All Products'!D:D,'All Products'!C:C,FALSE)</f>
        <v>402-169</v>
      </c>
      <c r="E79" s="51">
        <v>100027386</v>
      </c>
      <c r="F79" s="376" t="str">
        <f>_xlfn.XLOOKUP(E79,'All Products'!D:D,'All Products'!E:E,FALSE)</f>
        <v>1-1/4 X 1-1/4 X 1-1/2" REDUCING TEE SXSXFIPT</v>
      </c>
      <c r="G79" s="232">
        <f>_xlfn.XLOOKUP(E79,'All Products'!D:D,'All Products'!F:F,FALSE)</f>
        <v>25</v>
      </c>
      <c r="H79" s="387">
        <f>_xlfn.XLOOKUP(E79,'All Products'!D:D,'All Products'!G:G,FALSE)</f>
        <v>1000</v>
      </c>
      <c r="I79" s="394">
        <f>_xlfn.XLOOKUP(E79,'All Products'!D:D,'All Products'!H:H,FALSE)</f>
        <v>15.22</v>
      </c>
      <c r="J79" s="183">
        <f>IFERROR(ROUND(I79*Order_Quote!$L$4,2),0)</f>
        <v>15.22</v>
      </c>
      <c r="K79" s="73"/>
      <c r="L79" s="76"/>
      <c r="M79" s="114">
        <f t="shared" si="6"/>
        <v>0</v>
      </c>
      <c r="O79" s="384" t="str">
        <f>_xlfn.XLOOKUP(E79,'All Products'!D:D,'All Products'!I:I,FALSE)</f>
        <v>Within 3 Weeks</v>
      </c>
      <c r="P79" s="384" t="str">
        <f>_xlfn.XLOOKUP(E79,'All Products'!D:D,'All Products'!J:J,FALSE)</f>
        <v>Sourced</v>
      </c>
      <c r="Q79" s="397">
        <f>_xlfn.XLOOKUP(E79,'All Products'!D:D,'All Products'!K:K,FALSE)</f>
        <v>49081147846</v>
      </c>
      <c r="R79" s="397" t="str">
        <f>_xlfn.XLOOKUP(E79,'All Products'!D:D,'All Products'!L:L,FALSE)</f>
        <v>-</v>
      </c>
      <c r="S79" s="397">
        <f>_xlfn.XLOOKUP(E79,'All Products'!D:D,'All Products'!M:M,FALSE)</f>
        <v>40049081147844</v>
      </c>
      <c r="T79" s="384">
        <f>_xlfn.XLOOKUP(E79,'All Products'!D:D,'All Products'!N:N,FALSE)</f>
        <v>0.36899999999999999</v>
      </c>
      <c r="U79" s="397" t="str">
        <f>_xlfn.XLOOKUP(E79,'All Products'!D:D,'All Products'!O:O,FALSE)</f>
        <v>-</v>
      </c>
      <c r="V79" s="384">
        <f>_xlfn.XLOOKUP(E79,'All Products'!D:D,'All Products'!P:P,FALSE)</f>
        <v>9.2200000000000006</v>
      </c>
      <c r="W79" s="384" t="str">
        <f>_xlfn.XLOOKUP(E79,'All Products'!D:D,'All Products'!Q:Q,FALSE)</f>
        <v>-</v>
      </c>
    </row>
    <row r="80" spans="1:23" ht="15" customHeight="1">
      <c r="B80" s="610"/>
      <c r="C80" s="611"/>
      <c r="D80" s="369" t="str">
        <f>_xlfn.XLOOKUP(E80,'All Products'!D:D,'All Products'!C:C,FALSE)</f>
        <v>402-202</v>
      </c>
      <c r="E80" s="51">
        <v>100022239</v>
      </c>
      <c r="F80" s="376" t="str">
        <f>_xlfn.XLOOKUP(E80,'All Products'!D:D,'All Products'!E:E,FALSE)</f>
        <v>1-1/2 X 1-1/4 X 1" REDUCING TEE SXSXFIPT</v>
      </c>
      <c r="G80" s="232">
        <f>_xlfn.XLOOKUP(E80,'All Products'!D:D,'All Products'!F:F,FALSE)</f>
        <v>25</v>
      </c>
      <c r="H80" s="387">
        <f>_xlfn.XLOOKUP(E80,'All Products'!D:D,'All Products'!G:G,FALSE)</f>
        <v>1875</v>
      </c>
      <c r="I80" s="394">
        <f>_xlfn.XLOOKUP(E80,'All Products'!D:D,'All Products'!H:H,FALSE)</f>
        <v>15.54</v>
      </c>
      <c r="J80" s="183">
        <f>IFERROR(ROUND(I80*Order_Quote!$L$4,2),0)</f>
        <v>15.54</v>
      </c>
      <c r="K80" s="73"/>
      <c r="L80" s="76"/>
      <c r="M80" s="114">
        <f t="shared" si="6"/>
        <v>0</v>
      </c>
      <c r="O80" s="384" t="str">
        <f>_xlfn.XLOOKUP(E80,'All Products'!D:D,'All Products'!I:I,FALSE)</f>
        <v>Within 3 Weeks</v>
      </c>
      <c r="P80" s="384" t="str">
        <f>_xlfn.XLOOKUP(E80,'All Products'!D:D,'All Products'!J:J,FALSE)</f>
        <v>Manufactured</v>
      </c>
      <c r="Q80" s="397">
        <f>_xlfn.XLOOKUP(E80,'All Products'!D:D,'All Products'!K:K,FALSE)</f>
        <v>49081148201</v>
      </c>
      <c r="R80" s="397" t="str">
        <f>_xlfn.XLOOKUP(E80,'All Products'!D:D,'All Products'!L:L,FALSE)</f>
        <v>-</v>
      </c>
      <c r="S80" s="397">
        <f>_xlfn.XLOOKUP(E80,'All Products'!D:D,'All Products'!M:M,FALSE)</f>
        <v>40049081148209</v>
      </c>
      <c r="T80" s="384">
        <f>_xlfn.XLOOKUP(E80,'All Products'!D:D,'All Products'!N:N,FALSE)</f>
        <v>0.312</v>
      </c>
      <c r="U80" s="397" t="str">
        <f>_xlfn.XLOOKUP(E80,'All Products'!D:D,'All Products'!O:O,FALSE)</f>
        <v>-</v>
      </c>
      <c r="V80" s="384">
        <f>_xlfn.XLOOKUP(E80,'All Products'!D:D,'All Products'!P:P,FALSE)</f>
        <v>7.8</v>
      </c>
      <c r="W80" s="384">
        <f>_xlfn.XLOOKUP(E80,'All Products'!D:D,'All Products'!Q:Q,FALSE)</f>
        <v>0.57999999999999996</v>
      </c>
    </row>
    <row r="81" spans="1:23" ht="15" customHeight="1">
      <c r="A81" s="101" t="str">
        <f>IF(K81&gt;0,COUNT($A$7:A78)
+COUNT('DWV PVC'!$A$9:$A$316)
+COUNT('DWV ABS'!$A$8:$A$116)+1,"")</f>
        <v/>
      </c>
      <c r="B81" s="610"/>
      <c r="C81" s="611"/>
      <c r="D81" s="369" t="str">
        <f>_xlfn.XLOOKUP(E81,'All Products'!D:D,'All Products'!C:C,FALSE)</f>
        <v>402-209</v>
      </c>
      <c r="E81" s="51">
        <v>100022443</v>
      </c>
      <c r="F81" s="376" t="str">
        <f>_xlfn.XLOOKUP(E81,'All Products'!D:D,'All Products'!E:E,FALSE)</f>
        <v>1-1/2X1-1/2X1/2 REDUCING TEE SXSXFIPT</v>
      </c>
      <c r="G81" s="232">
        <f>_xlfn.XLOOKUP(E81,'All Products'!D:D,'All Products'!F:F,FALSE)</f>
        <v>50</v>
      </c>
      <c r="H81" s="387">
        <f>_xlfn.XLOOKUP(E81,'All Products'!D:D,'All Products'!G:G,FALSE)</f>
        <v>3750</v>
      </c>
      <c r="I81" s="394">
        <f>_xlfn.XLOOKUP(E81,'All Products'!D:D,'All Products'!H:H,FALSE)</f>
        <v>15.6</v>
      </c>
      <c r="J81" s="183">
        <f>IFERROR(ROUND(I81*Order_Quote!$L$4,2),0)</f>
        <v>15.6</v>
      </c>
      <c r="K81" s="73"/>
      <c r="L81" s="76"/>
      <c r="M81" s="114">
        <f t="shared" si="6"/>
        <v>0</v>
      </c>
      <c r="O81" s="384" t="str">
        <f>_xlfn.XLOOKUP(E81,'All Products'!D:D,'All Products'!I:I,FALSE)</f>
        <v>In Stock</v>
      </c>
      <c r="P81" s="384" t="str">
        <f>_xlfn.XLOOKUP(E81,'All Products'!D:D,'All Products'!J:J,FALSE)</f>
        <v>Manufactured</v>
      </c>
      <c r="Q81" s="397">
        <f>_xlfn.XLOOKUP(E81,'All Products'!D:D,'All Products'!K:K,FALSE)</f>
        <v>49081148140</v>
      </c>
      <c r="R81" s="397" t="str">
        <f>_xlfn.XLOOKUP(E81,'All Products'!D:D,'All Products'!L:L,FALSE)</f>
        <v>-</v>
      </c>
      <c r="S81" s="397">
        <f>_xlfn.XLOOKUP(E81,'All Products'!D:D,'All Products'!M:M,FALSE)</f>
        <v>40049081148148</v>
      </c>
      <c r="T81" s="384">
        <f>_xlfn.XLOOKUP(E81,'All Products'!D:D,'All Products'!N:N,FALSE)</f>
        <v>0.25800000000000001</v>
      </c>
      <c r="U81" s="397" t="str">
        <f>_xlfn.XLOOKUP(E81,'All Products'!D:D,'All Products'!O:O,FALSE)</f>
        <v>-</v>
      </c>
      <c r="V81" s="384">
        <f>_xlfn.XLOOKUP(E81,'All Products'!D:D,'All Products'!P:P,FALSE)</f>
        <v>14.75</v>
      </c>
      <c r="W81" s="384">
        <f>_xlfn.XLOOKUP(E81,'All Products'!D:D,'All Products'!Q:Q,FALSE)</f>
        <v>1.1000000000000001</v>
      </c>
    </row>
    <row r="82" spans="1:23" ht="15" customHeight="1">
      <c r="A82" s="101" t="str">
        <f>IF(K82&gt;0,COUNT($A$7:A81)
+COUNT('DWV PVC'!$A$9:$A$316)
+COUNT('DWV ABS'!$A$8:$A$116)+1,"")</f>
        <v/>
      </c>
      <c r="B82" s="610"/>
      <c r="C82" s="611"/>
      <c r="D82" s="369" t="str">
        <f>_xlfn.XLOOKUP(E82,'All Products'!D:D,'All Products'!C:C,FALSE)</f>
        <v>402-210</v>
      </c>
      <c r="E82" s="51">
        <v>100022445</v>
      </c>
      <c r="F82" s="376" t="str">
        <f>_xlfn.XLOOKUP(E82,'All Products'!D:D,'All Products'!E:E,FALSE)</f>
        <v>1-1/2X1-1/2X3/4 REDUCING TEE SXSXFIPT</v>
      </c>
      <c r="G82" s="232">
        <f>_xlfn.XLOOKUP(E82,'All Products'!D:D,'All Products'!F:F,FALSE)</f>
        <v>50</v>
      </c>
      <c r="H82" s="387">
        <f>_xlfn.XLOOKUP(E82,'All Products'!D:D,'All Products'!G:G,FALSE)</f>
        <v>3750</v>
      </c>
      <c r="I82" s="394">
        <f>_xlfn.XLOOKUP(E82,'All Products'!D:D,'All Products'!H:H,FALSE)</f>
        <v>15.6</v>
      </c>
      <c r="J82" s="183">
        <f>IFERROR(ROUND(I82*Order_Quote!$L$4,2),0)</f>
        <v>15.6</v>
      </c>
      <c r="K82" s="73"/>
      <c r="L82" s="76"/>
      <c r="M82" s="114">
        <f t="shared" si="6"/>
        <v>0</v>
      </c>
      <c r="O82" s="384" t="str">
        <f>_xlfn.XLOOKUP(E82,'All Products'!D:D,'All Products'!I:I,FALSE)</f>
        <v>In Stock</v>
      </c>
      <c r="P82" s="384" t="str">
        <f>_xlfn.XLOOKUP(E82,'All Products'!D:D,'All Products'!J:J,FALSE)</f>
        <v>Manufactured</v>
      </c>
      <c r="Q82" s="397">
        <f>_xlfn.XLOOKUP(E82,'All Products'!D:D,'All Products'!K:K,FALSE)</f>
        <v>49081148126</v>
      </c>
      <c r="R82" s="397" t="str">
        <f>_xlfn.XLOOKUP(E82,'All Products'!D:D,'All Products'!L:L,FALSE)</f>
        <v>-</v>
      </c>
      <c r="S82" s="397">
        <f>_xlfn.XLOOKUP(E82,'All Products'!D:D,'All Products'!M:M,FALSE)</f>
        <v>40049081148124</v>
      </c>
      <c r="T82" s="384">
        <f>_xlfn.XLOOKUP(E82,'All Products'!D:D,'All Products'!N:N,FALSE)</f>
        <v>0.28199999999999997</v>
      </c>
      <c r="U82" s="397" t="str">
        <f>_xlfn.XLOOKUP(E82,'All Products'!D:D,'All Products'!O:O,FALSE)</f>
        <v>-</v>
      </c>
      <c r="V82" s="384">
        <f>_xlfn.XLOOKUP(E82,'All Products'!D:D,'All Products'!P:P,FALSE)</f>
        <v>14.92</v>
      </c>
      <c r="W82" s="384">
        <f>_xlfn.XLOOKUP(E82,'All Products'!D:D,'All Products'!Q:Q,FALSE)</f>
        <v>1.1000000000000001</v>
      </c>
    </row>
    <row r="83" spans="1:23" ht="15" customHeight="1">
      <c r="A83" s="101" t="str">
        <f>IF(K83&gt;0,COUNT($A$7:A82)
+COUNT('DWV PVC'!$A$9:$A$316)
+COUNT('DWV ABS'!$A$8:$A$116)+1,"")</f>
        <v/>
      </c>
      <c r="B83" s="610"/>
      <c r="C83" s="611"/>
      <c r="D83" s="369" t="str">
        <f>_xlfn.XLOOKUP(E83,'All Products'!D:D,'All Products'!C:C,FALSE)</f>
        <v>402-211</v>
      </c>
      <c r="E83" s="51">
        <v>100022447</v>
      </c>
      <c r="F83" s="376" t="str">
        <f>_xlfn.XLOOKUP(E83,'All Products'!D:D,'All Products'!E:E,FALSE)</f>
        <v>1-1/2X1-1/2X1 REDUCING TEE SXSXFIPT</v>
      </c>
      <c r="G83" s="232">
        <f>_xlfn.XLOOKUP(E83,'All Products'!D:D,'All Products'!F:F,FALSE)</f>
        <v>25</v>
      </c>
      <c r="H83" s="387">
        <f>_xlfn.XLOOKUP(E83,'All Products'!D:D,'All Products'!G:G,FALSE)</f>
        <v>3000</v>
      </c>
      <c r="I83" s="394">
        <f>_xlfn.XLOOKUP(E83,'All Products'!D:D,'All Products'!H:H,FALSE)</f>
        <v>15.6</v>
      </c>
      <c r="J83" s="183">
        <f>IFERROR(ROUND(I83*Order_Quote!$L$4,2),0)</f>
        <v>15.6</v>
      </c>
      <c r="K83" s="73"/>
      <c r="L83" s="76"/>
      <c r="M83" s="114">
        <f t="shared" si="6"/>
        <v>0</v>
      </c>
      <c r="O83" s="384" t="str">
        <f>_xlfn.XLOOKUP(E83,'All Products'!D:D,'All Products'!I:I,FALSE)</f>
        <v>In Stock</v>
      </c>
      <c r="P83" s="384" t="str">
        <f>_xlfn.XLOOKUP(E83,'All Products'!D:D,'All Products'!J:J,FALSE)</f>
        <v>Manufactured</v>
      </c>
      <c r="Q83" s="397">
        <f>_xlfn.XLOOKUP(E83,'All Products'!D:D,'All Products'!K:K,FALSE)</f>
        <v>49081148102</v>
      </c>
      <c r="R83" s="397" t="str">
        <f>_xlfn.XLOOKUP(E83,'All Products'!D:D,'All Products'!L:L,FALSE)</f>
        <v>-</v>
      </c>
      <c r="S83" s="397">
        <f>_xlfn.XLOOKUP(E83,'All Products'!D:D,'All Products'!M:M,FALSE)</f>
        <v>40049081148100</v>
      </c>
      <c r="T83" s="384">
        <f>_xlfn.XLOOKUP(E83,'All Products'!D:D,'All Products'!N:N,FALSE)</f>
        <v>0.34399999999999997</v>
      </c>
      <c r="U83" s="397" t="str">
        <f>_xlfn.XLOOKUP(E83,'All Products'!D:D,'All Products'!O:O,FALSE)</f>
        <v>-</v>
      </c>
      <c r="V83" s="384">
        <f>_xlfn.XLOOKUP(E83,'All Products'!D:D,'All Products'!P:P,FALSE)</f>
        <v>8.61</v>
      </c>
      <c r="W83" s="384">
        <f>_xlfn.XLOOKUP(E83,'All Products'!D:D,'All Products'!Q:Q,FALSE)</f>
        <v>0.65</v>
      </c>
    </row>
    <row r="84" spans="1:23" ht="15" customHeight="1">
      <c r="B84" s="610"/>
      <c r="C84" s="611"/>
      <c r="D84" s="369" t="str">
        <f>_xlfn.XLOOKUP(E84,'All Products'!D:D,'All Products'!C:C,FALSE)</f>
        <v>402-212</v>
      </c>
      <c r="E84" s="51">
        <v>100022448</v>
      </c>
      <c r="F84" s="376" t="str">
        <f>_xlfn.XLOOKUP(E84,'All Products'!D:D,'All Products'!E:E,FALSE)</f>
        <v>1-1/2 X 1-1/2 X 1-1/4"REDUCING TEE SXSXFIPT</v>
      </c>
      <c r="G84" s="232">
        <f>_xlfn.XLOOKUP(E84,'All Products'!D:D,'All Products'!F:F,FALSE)</f>
        <v>25</v>
      </c>
      <c r="H84" s="387">
        <f>_xlfn.XLOOKUP(E84,'All Products'!D:D,'All Products'!G:G,FALSE)</f>
        <v>1500</v>
      </c>
      <c r="I84" s="394">
        <f>_xlfn.XLOOKUP(E84,'All Products'!D:D,'All Products'!H:H,FALSE)</f>
        <v>14.86</v>
      </c>
      <c r="J84" s="183">
        <f>IFERROR(ROUND(I84*Order_Quote!$L$4,2),0)</f>
        <v>14.86</v>
      </c>
      <c r="K84" s="73"/>
      <c r="L84" s="76"/>
      <c r="M84" s="114">
        <f t="shared" si="6"/>
        <v>0</v>
      </c>
      <c r="O84" s="384" t="str">
        <f>_xlfn.XLOOKUP(E84,'All Products'!D:D,'All Products'!I:I,FALSE)</f>
        <v>Within 3 Weeks</v>
      </c>
      <c r="P84" s="384" t="str">
        <f>_xlfn.XLOOKUP(E84,'All Products'!D:D,'All Products'!J:J,FALSE)</f>
        <v>Manufactured</v>
      </c>
      <c r="Q84" s="397">
        <f>_xlfn.XLOOKUP(E84,'All Products'!D:D,'All Products'!K:K,FALSE)</f>
        <v>49081148089</v>
      </c>
      <c r="R84" s="397" t="str">
        <f>_xlfn.XLOOKUP(E84,'All Products'!D:D,'All Products'!L:L,FALSE)</f>
        <v>-</v>
      </c>
      <c r="S84" s="397">
        <f>_xlfn.XLOOKUP(E84,'All Products'!D:D,'All Products'!M:M,FALSE)</f>
        <v>40049081148087</v>
      </c>
      <c r="T84" s="384">
        <f>_xlfn.XLOOKUP(E84,'All Products'!D:D,'All Products'!N:N,FALSE)</f>
        <v>0.39200000000000002</v>
      </c>
      <c r="U84" s="397" t="str">
        <f>_xlfn.XLOOKUP(E84,'All Products'!D:D,'All Products'!O:O,FALSE)</f>
        <v>-</v>
      </c>
      <c r="V84" s="384">
        <f>_xlfn.XLOOKUP(E84,'All Products'!D:D,'All Products'!P:P,FALSE)</f>
        <v>9.8000000000000007</v>
      </c>
      <c r="W84" s="384">
        <f>_xlfn.XLOOKUP(E84,'All Products'!D:D,'All Products'!Q:Q,FALSE)</f>
        <v>0.72</v>
      </c>
    </row>
    <row r="85" spans="1:23" ht="15" customHeight="1">
      <c r="A85" s="101" t="str">
        <f>IF(K85&gt;0,COUNT($A$7:A83)
+COUNT('DWV PVC'!$A$9:$A$316)
+COUNT('DWV ABS'!$A$8:$A$116)+1,"")</f>
        <v/>
      </c>
      <c r="B85" s="610"/>
      <c r="C85" s="611"/>
      <c r="D85" s="369" t="str">
        <f>_xlfn.XLOOKUP(E85,'All Products'!D:D,'All Products'!C:C,FALSE)</f>
        <v>402-247</v>
      </c>
      <c r="E85" s="51">
        <v>100022451</v>
      </c>
      <c r="F85" s="376" t="str">
        <f>_xlfn.XLOOKUP(E85,'All Products'!D:D,'All Products'!E:E,FALSE)</f>
        <v>2X2X1/2 REDUCING TEE SXSXFIPT</v>
      </c>
      <c r="G85" s="232">
        <f>_xlfn.XLOOKUP(E85,'All Products'!D:D,'All Products'!F:F,FALSE)</f>
        <v>20</v>
      </c>
      <c r="H85" s="387">
        <f>_xlfn.XLOOKUP(E85,'All Products'!D:D,'All Products'!G:G,FALSE)</f>
        <v>1800</v>
      </c>
      <c r="I85" s="394">
        <f>_xlfn.XLOOKUP(E85,'All Products'!D:D,'All Products'!H:H,FALSE)</f>
        <v>19.62</v>
      </c>
      <c r="J85" s="183">
        <f>IFERROR(ROUND(I85*Order_Quote!$L$4,2),0)</f>
        <v>19.62</v>
      </c>
      <c r="K85" s="73"/>
      <c r="L85" s="76"/>
      <c r="M85" s="114">
        <f t="shared" si="6"/>
        <v>0</v>
      </c>
      <c r="O85" s="384" t="str">
        <f>_xlfn.XLOOKUP(E85,'All Products'!D:D,'All Products'!I:I,FALSE)</f>
        <v>In Stock</v>
      </c>
      <c r="P85" s="384" t="str">
        <f>_xlfn.XLOOKUP(E85,'All Products'!D:D,'All Products'!J:J,FALSE)</f>
        <v>Manufactured</v>
      </c>
      <c r="Q85" s="397">
        <f>_xlfn.XLOOKUP(E85,'All Products'!D:D,'All Products'!K:K,FALSE)</f>
        <v>49081148508</v>
      </c>
      <c r="R85" s="397" t="str">
        <f>_xlfn.XLOOKUP(E85,'All Products'!D:D,'All Products'!L:L,FALSE)</f>
        <v>-</v>
      </c>
      <c r="S85" s="397">
        <f>_xlfn.XLOOKUP(E85,'All Products'!D:D,'All Products'!M:M,FALSE)</f>
        <v>40049081148506</v>
      </c>
      <c r="T85" s="384">
        <f>_xlfn.XLOOKUP(E85,'All Products'!D:D,'All Products'!N:N,FALSE)</f>
        <v>0.33200000000000002</v>
      </c>
      <c r="U85" s="397" t="str">
        <f>_xlfn.XLOOKUP(E85,'All Products'!D:D,'All Products'!O:O,FALSE)</f>
        <v>-</v>
      </c>
      <c r="V85" s="384">
        <f>_xlfn.XLOOKUP(E85,'All Products'!D:D,'All Products'!P:P,FALSE)</f>
        <v>7.29</v>
      </c>
      <c r="W85" s="384">
        <f>_xlfn.XLOOKUP(E85,'All Products'!D:D,'All Products'!Q:Q,FALSE)</f>
        <v>0.65</v>
      </c>
    </row>
    <row r="86" spans="1:23" ht="15" customHeight="1">
      <c r="A86" s="101" t="str">
        <f>IF(K86&gt;0,COUNT($A$7:A85)
+COUNT('DWV PVC'!$A$9:$A$316)
+COUNT('DWV ABS'!$A$8:$A$116)+1,"")</f>
        <v/>
      </c>
      <c r="B86" s="610"/>
      <c r="C86" s="611"/>
      <c r="D86" s="369" t="str">
        <f>_xlfn.XLOOKUP(E86,'All Products'!D:D,'All Products'!C:C,FALSE)</f>
        <v>402-248</v>
      </c>
      <c r="E86" s="51">
        <v>100022453</v>
      </c>
      <c r="F86" s="376" t="str">
        <f>_xlfn.XLOOKUP(E86,'All Products'!D:D,'All Products'!E:E,FALSE)</f>
        <v>2X2X3/4 REDUCING TEE SXSXFIPT</v>
      </c>
      <c r="G86" s="232">
        <f>_xlfn.XLOOKUP(E86,'All Products'!D:D,'All Products'!F:F,FALSE)</f>
        <v>20</v>
      </c>
      <c r="H86" s="387">
        <f>_xlfn.XLOOKUP(E86,'All Products'!D:D,'All Products'!G:G,FALSE)</f>
        <v>1800</v>
      </c>
      <c r="I86" s="394">
        <f>_xlfn.XLOOKUP(E86,'All Products'!D:D,'All Products'!H:H,FALSE)</f>
        <v>19.62</v>
      </c>
      <c r="J86" s="183">
        <f>IFERROR(ROUND(I86*Order_Quote!$L$4,2),0)</f>
        <v>19.62</v>
      </c>
      <c r="K86" s="73"/>
      <c r="L86" s="76"/>
      <c r="M86" s="114">
        <f t="shared" si="6"/>
        <v>0</v>
      </c>
      <c r="O86" s="384" t="str">
        <f>_xlfn.XLOOKUP(E86,'All Products'!D:D,'All Products'!I:I,FALSE)</f>
        <v>In Stock</v>
      </c>
      <c r="P86" s="384" t="str">
        <f>_xlfn.XLOOKUP(E86,'All Products'!D:D,'All Products'!J:J,FALSE)</f>
        <v>Manufactured</v>
      </c>
      <c r="Q86" s="397">
        <f>_xlfn.XLOOKUP(E86,'All Products'!D:D,'All Products'!K:K,FALSE)</f>
        <v>49081148485</v>
      </c>
      <c r="R86" s="397" t="str">
        <f>_xlfn.XLOOKUP(E86,'All Products'!D:D,'All Products'!L:L,FALSE)</f>
        <v>-</v>
      </c>
      <c r="S86" s="397">
        <f>_xlfn.XLOOKUP(E86,'All Products'!D:D,'All Products'!M:M,FALSE)</f>
        <v>40049081148483</v>
      </c>
      <c r="T86" s="384">
        <f>_xlfn.XLOOKUP(E86,'All Products'!D:D,'All Products'!N:N,FALSE)</f>
        <v>0.378</v>
      </c>
      <c r="U86" s="397" t="str">
        <f>_xlfn.XLOOKUP(E86,'All Products'!D:D,'All Products'!O:O,FALSE)</f>
        <v>-</v>
      </c>
      <c r="V86" s="384">
        <f>_xlfn.XLOOKUP(E86,'All Products'!D:D,'All Products'!P:P,FALSE)</f>
        <v>8.35</v>
      </c>
      <c r="W86" s="384">
        <f>_xlfn.XLOOKUP(E86,'All Products'!D:D,'All Products'!Q:Q,FALSE)</f>
        <v>0.8</v>
      </c>
    </row>
    <row r="87" spans="1:23" ht="15" customHeight="1">
      <c r="A87" s="101" t="str">
        <f>IF(K87&gt;0,COUNT($A$7:A86)
+COUNT('DWV PVC'!$A$9:$A$316)
+COUNT('DWV ABS'!$A$8:$A$116)+1,"")</f>
        <v/>
      </c>
      <c r="B87" s="610"/>
      <c r="C87" s="611"/>
      <c r="D87" s="369" t="str">
        <f>_xlfn.XLOOKUP(E87,'All Products'!D:D,'All Products'!C:C,FALSE)</f>
        <v>402-249</v>
      </c>
      <c r="E87" s="51">
        <v>100022455</v>
      </c>
      <c r="F87" s="376" t="str">
        <f>_xlfn.XLOOKUP(E87,'All Products'!D:D,'All Products'!E:E,FALSE)</f>
        <v>2X2X1 REDUCING TEE SXSXFIPT</v>
      </c>
      <c r="G87" s="232">
        <f>_xlfn.XLOOKUP(E87,'All Products'!D:D,'All Products'!F:F,FALSE)</f>
        <v>15</v>
      </c>
      <c r="H87" s="387">
        <f>_xlfn.XLOOKUP(E87,'All Products'!D:D,'All Products'!G:G,FALSE)</f>
        <v>1800</v>
      </c>
      <c r="I87" s="394">
        <f>_xlfn.XLOOKUP(E87,'All Products'!D:D,'All Products'!H:H,FALSE)</f>
        <v>19.62</v>
      </c>
      <c r="J87" s="183">
        <f>IFERROR(ROUND(I87*Order_Quote!$L$4,2),0)</f>
        <v>19.62</v>
      </c>
      <c r="K87" s="73"/>
      <c r="L87" s="76"/>
      <c r="M87" s="114">
        <f t="shared" si="6"/>
        <v>0</v>
      </c>
      <c r="O87" s="384" t="str">
        <f>_xlfn.XLOOKUP(E87,'All Products'!D:D,'All Products'!I:I,FALSE)</f>
        <v>In Stock</v>
      </c>
      <c r="P87" s="384" t="str">
        <f>_xlfn.XLOOKUP(E87,'All Products'!D:D,'All Products'!J:J,FALSE)</f>
        <v>Manufactured</v>
      </c>
      <c r="Q87" s="397">
        <f>_xlfn.XLOOKUP(E87,'All Products'!D:D,'All Products'!K:K,FALSE)</f>
        <v>49081148461</v>
      </c>
      <c r="R87" s="397" t="str">
        <f>_xlfn.XLOOKUP(E87,'All Products'!D:D,'All Products'!L:L,FALSE)</f>
        <v>-</v>
      </c>
      <c r="S87" s="397">
        <f>_xlfn.XLOOKUP(E87,'All Products'!D:D,'All Products'!M:M,FALSE)</f>
        <v>40049081148469</v>
      </c>
      <c r="T87" s="384">
        <f>_xlfn.XLOOKUP(E87,'All Products'!D:D,'All Products'!N:N,FALSE)</f>
        <v>0.434</v>
      </c>
      <c r="U87" s="397" t="str">
        <f>_xlfn.XLOOKUP(E87,'All Products'!D:D,'All Products'!O:O,FALSE)</f>
        <v>-</v>
      </c>
      <c r="V87" s="384">
        <f>_xlfn.XLOOKUP(E87,'All Products'!D:D,'All Products'!P:P,FALSE)</f>
        <v>7.15</v>
      </c>
      <c r="W87" s="384">
        <f>_xlfn.XLOOKUP(E87,'All Products'!D:D,'All Products'!Q:Q,FALSE)</f>
        <v>0.65</v>
      </c>
    </row>
    <row r="88" spans="1:23" ht="15" customHeight="1">
      <c r="B88" s="610"/>
      <c r="C88" s="611"/>
      <c r="D88" s="369" t="str">
        <f>_xlfn.XLOOKUP(E88,'All Products'!D:D,'All Products'!C:C,FALSE)</f>
        <v>402-250</v>
      </c>
      <c r="E88" s="51">
        <v>100022456</v>
      </c>
      <c r="F88" s="376" t="str">
        <f>_xlfn.XLOOKUP(E88,'All Products'!D:D,'All Products'!E:E,FALSE)</f>
        <v>2 X 2 X 1-1/4" REDUCING TEE SXSXFIPT</v>
      </c>
      <c r="G88" s="232">
        <f>_xlfn.XLOOKUP(E88,'All Products'!D:D,'All Products'!F:F,FALSE)</f>
        <v>15</v>
      </c>
      <c r="H88" s="387">
        <f>_xlfn.XLOOKUP(E88,'All Products'!D:D,'All Products'!G:G,FALSE)</f>
        <v>1125</v>
      </c>
      <c r="I88" s="394">
        <f>_xlfn.XLOOKUP(E88,'All Products'!D:D,'All Products'!H:H,FALSE)</f>
        <v>18.68</v>
      </c>
      <c r="J88" s="183">
        <f>IFERROR(ROUND(I88*Order_Quote!$L$4,2),0)</f>
        <v>18.68</v>
      </c>
      <c r="K88" s="73"/>
      <c r="L88" s="76"/>
      <c r="M88" s="114">
        <f t="shared" si="6"/>
        <v>0</v>
      </c>
      <c r="O88" s="384" t="str">
        <f>_xlfn.XLOOKUP(E88,'All Products'!D:D,'All Products'!I:I,FALSE)</f>
        <v>Within 3 Weeks</v>
      </c>
      <c r="P88" s="384" t="str">
        <f>_xlfn.XLOOKUP(E88,'All Products'!D:D,'All Products'!J:J,FALSE)</f>
        <v>Manufactured</v>
      </c>
      <c r="Q88" s="397">
        <f>_xlfn.XLOOKUP(E88,'All Products'!D:D,'All Products'!K:K,FALSE)</f>
        <v>49081148447</v>
      </c>
      <c r="R88" s="397" t="str">
        <f>_xlfn.XLOOKUP(E88,'All Products'!D:D,'All Products'!L:L,FALSE)</f>
        <v>-</v>
      </c>
      <c r="S88" s="397">
        <f>_xlfn.XLOOKUP(E88,'All Products'!D:D,'All Products'!M:M,FALSE)</f>
        <v>40049081148445</v>
      </c>
      <c r="T88" s="384">
        <f>_xlfn.XLOOKUP(E88,'All Products'!D:D,'All Products'!N:N,FALSE)</f>
        <v>0.52700000000000002</v>
      </c>
      <c r="U88" s="397" t="str">
        <f>_xlfn.XLOOKUP(E88,'All Products'!D:D,'All Products'!O:O,FALSE)</f>
        <v>-</v>
      </c>
      <c r="V88" s="384">
        <f>_xlfn.XLOOKUP(E88,'All Products'!D:D,'All Products'!P:P,FALSE)</f>
        <v>7.9</v>
      </c>
      <c r="W88" s="384">
        <f>_xlfn.XLOOKUP(E88,'All Products'!D:D,'All Products'!Q:Q,FALSE)</f>
        <v>0.57999999999999996</v>
      </c>
    </row>
    <row r="89" spans="1:23" ht="15" customHeight="1">
      <c r="A89" s="101" t="str">
        <f>IF(K89&gt;0,COUNT($A$7:A87)
+COUNT('DWV PVC'!$A$9:$A$316)
+COUNT('DWV ABS'!$A$8:$A$116)+1,"")</f>
        <v/>
      </c>
      <c r="B89" s="610"/>
      <c r="C89" s="611"/>
      <c r="D89" s="369" t="str">
        <f>_xlfn.XLOOKUP(E89,'All Products'!D:D,'All Products'!C:C,FALSE)</f>
        <v>402-251</v>
      </c>
      <c r="E89" s="51">
        <v>100022457</v>
      </c>
      <c r="F89" s="376" t="str">
        <f>_xlfn.XLOOKUP(E89,'All Products'!D:D,'All Products'!E:E,FALSE)</f>
        <v>2X2X1-1/2 REDUCING TEE SXSXFIPT</v>
      </c>
      <c r="G89" s="232">
        <f>_xlfn.XLOOKUP(E89,'All Products'!D:D,'All Products'!F:F,FALSE)</f>
        <v>10</v>
      </c>
      <c r="H89" s="387">
        <f>_xlfn.XLOOKUP(E89,'All Products'!D:D,'All Products'!G:G,FALSE)</f>
        <v>1200</v>
      </c>
      <c r="I89" s="394">
        <f>_xlfn.XLOOKUP(E89,'All Products'!D:D,'All Products'!H:H,FALSE)</f>
        <v>19.62</v>
      </c>
      <c r="J89" s="183">
        <f>IFERROR(ROUND(I89*Order_Quote!$L$4,2),0)</f>
        <v>19.62</v>
      </c>
      <c r="K89" s="73"/>
      <c r="L89" s="76"/>
      <c r="M89" s="114">
        <f t="shared" si="4"/>
        <v>0</v>
      </c>
      <c r="O89" s="384" t="str">
        <f>_xlfn.XLOOKUP(E89,'All Products'!D:D,'All Products'!I:I,FALSE)</f>
        <v>Within 3 Weeks</v>
      </c>
      <c r="P89" s="384" t="str">
        <f>_xlfn.XLOOKUP(E89,'All Products'!D:D,'All Products'!J:J,FALSE)</f>
        <v>Manufactured</v>
      </c>
      <c r="Q89" s="397">
        <f>_xlfn.XLOOKUP(E89,'All Products'!D:D,'All Products'!K:K,FALSE)</f>
        <v>49081148423</v>
      </c>
      <c r="R89" s="397" t="str">
        <f>_xlfn.XLOOKUP(E89,'All Products'!D:D,'All Products'!L:L,FALSE)</f>
        <v>-</v>
      </c>
      <c r="S89" s="397">
        <f>_xlfn.XLOOKUP(E89,'All Products'!D:D,'All Products'!M:M,FALSE)</f>
        <v>40049081148421</v>
      </c>
      <c r="T89" s="384">
        <f>_xlfn.XLOOKUP(E89,'All Products'!D:D,'All Products'!N:N,FALSE)</f>
        <v>0.52900000000000003</v>
      </c>
      <c r="U89" s="397" t="str">
        <f>_xlfn.XLOOKUP(E89,'All Products'!D:D,'All Products'!O:O,FALSE)</f>
        <v>-</v>
      </c>
      <c r="V89" s="384">
        <f>_xlfn.XLOOKUP(E89,'All Products'!D:D,'All Products'!P:P,FALSE)</f>
        <v>7.53</v>
      </c>
      <c r="W89" s="384">
        <f>_xlfn.XLOOKUP(E89,'All Products'!D:D,'All Products'!Q:Q,FALSE)</f>
        <v>0.65</v>
      </c>
    </row>
    <row r="90" spans="1:23" ht="15" customHeight="1">
      <c r="A90" s="101" t="str">
        <f>IF(K90&gt;0,COUNT($A$7:A89)
+COUNT('DWV PVC'!$A$9:$A$316)
+COUNT('DWV ABS'!$A$8:$A$116)+1,"")</f>
        <v/>
      </c>
      <c r="B90" s="610"/>
      <c r="C90" s="611"/>
      <c r="D90" s="369" t="str">
        <f>_xlfn.XLOOKUP(E90,'All Products'!D:D,'All Products'!C:C,FALSE)</f>
        <v>402-335</v>
      </c>
      <c r="E90" s="51">
        <v>100022466</v>
      </c>
      <c r="F90" s="376" t="str">
        <f>_xlfn.XLOOKUP(E90,'All Products'!D:D,'All Products'!E:E,FALSE)</f>
        <v>3X3X1 REDUCING TEE SXSXFIPT</v>
      </c>
      <c r="G90" s="232">
        <f>_xlfn.XLOOKUP(E90,'All Products'!D:D,'All Products'!F:F,FALSE)</f>
        <v>5</v>
      </c>
      <c r="H90" s="387">
        <f>_xlfn.XLOOKUP(E90,'All Products'!D:D,'All Products'!G:G,FALSE)</f>
        <v>750</v>
      </c>
      <c r="I90" s="394">
        <f>_xlfn.XLOOKUP(E90,'All Products'!D:D,'All Products'!H:H,FALSE)</f>
        <v>60.69</v>
      </c>
      <c r="J90" s="183">
        <f>IFERROR(ROUND(I90*Order_Quote!$L$4,2),0)</f>
        <v>60.69</v>
      </c>
      <c r="K90" s="73"/>
      <c r="L90" s="76"/>
      <c r="M90" s="114">
        <f t="shared" ref="M90:M126" si="7">K90/G90</f>
        <v>0</v>
      </c>
      <c r="O90" s="384" t="str">
        <f>_xlfn.XLOOKUP(E90,'All Products'!D:D,'All Products'!I:I,FALSE)</f>
        <v>In Stock</v>
      </c>
      <c r="P90" s="384" t="str">
        <f>_xlfn.XLOOKUP(E90,'All Products'!D:D,'All Products'!J:J,FALSE)</f>
        <v>Manufactured</v>
      </c>
      <c r="Q90" s="397">
        <f>_xlfn.XLOOKUP(E90,'All Products'!D:D,'All Products'!K:K,FALSE)</f>
        <v>49081148928</v>
      </c>
      <c r="R90" s="397" t="str">
        <f>_xlfn.XLOOKUP(E90,'All Products'!D:D,'All Products'!L:L,FALSE)</f>
        <v>-</v>
      </c>
      <c r="S90" s="397">
        <f>_xlfn.XLOOKUP(E90,'All Products'!D:D,'All Products'!M:M,FALSE)</f>
        <v>40049081148926</v>
      </c>
      <c r="T90" s="384">
        <f>_xlfn.XLOOKUP(E90,'All Products'!D:D,'All Products'!N:N,FALSE)</f>
        <v>0.92400000000000004</v>
      </c>
      <c r="U90" s="397" t="str">
        <f>_xlfn.XLOOKUP(E90,'All Products'!D:D,'All Products'!O:O,FALSE)</f>
        <v>-</v>
      </c>
      <c r="V90" s="384">
        <f>_xlfn.XLOOKUP(E90,'All Products'!D:D,'All Products'!P:P,FALSE)</f>
        <v>5.6</v>
      </c>
      <c r="W90" s="384">
        <f>_xlfn.XLOOKUP(E90,'All Products'!D:D,'All Products'!Q:Q,FALSE)</f>
        <v>0.5</v>
      </c>
    </row>
    <row r="91" spans="1:23" ht="15" customHeight="1">
      <c r="A91" s="101" t="str">
        <f>IF(K91&gt;0,COUNT($A$7:A90)
+COUNT('DWV PVC'!$A$9:$A$316)
+COUNT('DWV ABS'!$A$8:$A$116)+1,"")</f>
        <v/>
      </c>
      <c r="B91" s="610"/>
      <c r="C91" s="611"/>
      <c r="D91" s="369" t="str">
        <f>_xlfn.XLOOKUP(E91,'All Products'!D:D,'All Products'!C:C,FALSE)</f>
        <v>402-422</v>
      </c>
      <c r="E91" s="51">
        <v>100022472</v>
      </c>
      <c r="F91" s="376" t="str">
        <f>_xlfn.XLOOKUP(E91,'All Products'!D:D,'All Products'!E:E,FALSE)</f>
        <v>4X4X3 REDUCING TEE SXSXFIPT</v>
      </c>
      <c r="G91" s="232">
        <f>_xlfn.XLOOKUP(E91,'All Products'!D:D,'All Products'!F:F,FALSE)</f>
        <v>3</v>
      </c>
      <c r="H91" s="387">
        <f>_xlfn.XLOOKUP(E91,'All Products'!D:D,'All Products'!G:G,FALSE)</f>
        <v>270</v>
      </c>
      <c r="I91" s="394">
        <f>_xlfn.XLOOKUP(E91,'All Products'!D:D,'All Products'!H:H,FALSE)</f>
        <v>101.37</v>
      </c>
      <c r="J91" s="183">
        <f>IFERROR(ROUND(I91*Order_Quote!$L$4,2),0)</f>
        <v>101.37</v>
      </c>
      <c r="K91" s="73"/>
      <c r="L91" s="76"/>
      <c r="M91" s="114">
        <f t="shared" si="7"/>
        <v>0</v>
      </c>
      <c r="O91" s="384" t="str">
        <f>_xlfn.XLOOKUP(E91,'All Products'!D:D,'All Products'!I:I,FALSE)</f>
        <v>Within 3 Weeks</v>
      </c>
      <c r="P91" s="384" t="str">
        <f>_xlfn.XLOOKUP(E91,'All Products'!D:D,'All Products'!J:J,FALSE)</f>
        <v>Manufactured</v>
      </c>
      <c r="Q91" s="397">
        <f>_xlfn.XLOOKUP(E91,'All Products'!D:D,'All Products'!K:K,FALSE)</f>
        <v>49081149000</v>
      </c>
      <c r="R91" s="397" t="str">
        <f>_xlfn.XLOOKUP(E91,'All Products'!D:D,'All Products'!L:L,FALSE)</f>
        <v>-</v>
      </c>
      <c r="S91" s="397">
        <f>_xlfn.XLOOKUP(E91,'All Products'!D:D,'All Products'!M:M,FALSE)</f>
        <v>40049081149008</v>
      </c>
      <c r="T91" s="384">
        <f>_xlfn.XLOOKUP(E91,'All Products'!D:D,'All Products'!N:N,FALSE)</f>
        <v>3.1560000000000001</v>
      </c>
      <c r="U91" s="397" t="str">
        <f>_xlfn.XLOOKUP(E91,'All Products'!D:D,'All Products'!O:O,FALSE)</f>
        <v>-</v>
      </c>
      <c r="V91" s="384">
        <f>_xlfn.XLOOKUP(E91,'All Products'!D:D,'All Products'!P:P,FALSE)</f>
        <v>10.27</v>
      </c>
      <c r="W91" s="384">
        <f>_xlfn.XLOOKUP(E91,'All Products'!D:D,'All Products'!Q:Q,FALSE)</f>
        <v>0.8</v>
      </c>
    </row>
    <row r="92" spans="1:23" ht="15" customHeight="1">
      <c r="A92" s="101" t="str">
        <f>IF(K92&gt;0,COUNT($A$7:A91)
+COUNT('DWV PVC'!$A$9:$A$316)
+COUNT('DWV ABS'!$A$8:$A$116)+1,"")</f>
        <v/>
      </c>
      <c r="B92" s="610"/>
      <c r="C92" s="611"/>
      <c r="D92" s="369" t="str">
        <f>_xlfn.XLOOKUP(E92,'All Products'!D:D,'All Products'!C:C,FALSE)</f>
        <v>402-528</v>
      </c>
      <c r="E92" s="51">
        <v>100022474</v>
      </c>
      <c r="F92" s="376" t="str">
        <f>_xlfn.XLOOKUP(E92,'All Products'!D:D,'All Products'!E:E,FALSE)</f>
        <v>6X6X2 REDUCING TEE SXSXFIPT</v>
      </c>
      <c r="G92" s="232">
        <f>_xlfn.XLOOKUP(E92,'All Products'!D:D,'All Products'!F:F,FALSE)</f>
        <v>2</v>
      </c>
      <c r="H92" s="387">
        <f>_xlfn.XLOOKUP(E92,'All Products'!D:D,'All Products'!G:G,FALSE)</f>
        <v>180</v>
      </c>
      <c r="I92" s="394">
        <f>_xlfn.XLOOKUP(E92,'All Products'!D:D,'All Products'!H:H,FALSE)</f>
        <v>343.52</v>
      </c>
      <c r="J92" s="183">
        <f>IFERROR(ROUND(I92*Order_Quote!$L$4,2),0)</f>
        <v>343.52</v>
      </c>
      <c r="K92" s="73"/>
      <c r="L92" s="76"/>
      <c r="M92" s="114">
        <f t="shared" si="7"/>
        <v>0</v>
      </c>
      <c r="O92" s="384" t="str">
        <f>_xlfn.XLOOKUP(E92,'All Products'!D:D,'All Products'!I:I,FALSE)</f>
        <v>In Stock</v>
      </c>
      <c r="P92" s="384" t="str">
        <f>_xlfn.XLOOKUP(E92,'All Products'!D:D,'All Products'!J:J,FALSE)</f>
        <v>Manufactured</v>
      </c>
      <c r="Q92" s="397">
        <f>_xlfn.XLOOKUP(E92,'All Products'!D:D,'All Products'!K:K,FALSE)</f>
        <v>49081149222</v>
      </c>
      <c r="R92" s="397" t="str">
        <f>_xlfn.XLOOKUP(E92,'All Products'!D:D,'All Products'!L:L,FALSE)</f>
        <v>-</v>
      </c>
      <c r="S92" s="397">
        <f>_xlfn.XLOOKUP(E92,'All Products'!D:D,'All Products'!M:M,FALSE)</f>
        <v>40049081149220</v>
      </c>
      <c r="T92" s="384">
        <f>_xlfn.XLOOKUP(E92,'All Products'!D:D,'All Products'!N:N,FALSE)</f>
        <v>3.58</v>
      </c>
      <c r="U92" s="397" t="str">
        <f>_xlfn.XLOOKUP(E92,'All Products'!D:D,'All Products'!O:O,FALSE)</f>
        <v>-</v>
      </c>
      <c r="V92" s="384">
        <f>_xlfn.XLOOKUP(E92,'All Products'!D:D,'All Products'!P:P,FALSE)</f>
        <v>7.85</v>
      </c>
      <c r="W92" s="384">
        <f>_xlfn.XLOOKUP(E92,'All Products'!D:D,'All Products'!Q:Q,FALSE)</f>
        <v>0.8</v>
      </c>
    </row>
    <row r="93" spans="1:23" ht="15" customHeight="1">
      <c r="A93" s="101" t="str">
        <f>IF(K93&gt;0,COUNT($A$7:A92)
+COUNT('DWV PVC'!$A$9:$A$316)
+COUNT('DWV ABS'!$A$8:$A$116)+1,"")</f>
        <v/>
      </c>
      <c r="B93" s="610"/>
      <c r="C93" s="611"/>
      <c r="D93" s="369" t="str">
        <f>_xlfn.XLOOKUP(E93,'All Products'!D:D,'All Products'!C:C,FALSE)</f>
        <v>402-532</v>
      </c>
      <c r="E93" s="51">
        <v>100027391</v>
      </c>
      <c r="F93" s="376" t="str">
        <f>_xlfn.XLOOKUP(E93,'All Products'!D:D,'All Products'!E:E,FALSE)</f>
        <v>6X6X4 REDUCING TEE SXSXFIPT</v>
      </c>
      <c r="G93" s="232">
        <f>_xlfn.XLOOKUP(E93,'All Products'!D:D,'All Products'!F:F,FALSE)</f>
        <v>2</v>
      </c>
      <c r="H93" s="387">
        <f>_xlfn.XLOOKUP(E93,'All Products'!D:D,'All Products'!G:G,FALSE)</f>
        <v>120</v>
      </c>
      <c r="I93" s="394">
        <f>_xlfn.XLOOKUP(E93,'All Products'!D:D,'All Products'!H:H,FALSE)</f>
        <v>343.52</v>
      </c>
      <c r="J93" s="183">
        <f>IFERROR(ROUND(I93*Order_Quote!$L$4,2),0)</f>
        <v>343.52</v>
      </c>
      <c r="K93" s="73"/>
      <c r="L93" s="76"/>
      <c r="M93" s="114">
        <f t="shared" si="7"/>
        <v>0</v>
      </c>
      <c r="O93" s="384" t="str">
        <f>_xlfn.XLOOKUP(E93,'All Products'!D:D,'All Products'!I:I,FALSE)</f>
        <v>In Stock</v>
      </c>
      <c r="P93" s="384" t="str">
        <f>_xlfn.XLOOKUP(E93,'All Products'!D:D,'All Products'!J:J,FALSE)</f>
        <v>Manufactured</v>
      </c>
      <c r="Q93" s="397">
        <f>_xlfn.XLOOKUP(E93,'All Products'!D:D,'All Products'!K:K,FALSE)</f>
        <v>49081149185</v>
      </c>
      <c r="R93" s="397" t="str">
        <f>_xlfn.XLOOKUP(E93,'All Products'!D:D,'All Products'!L:L,FALSE)</f>
        <v>-</v>
      </c>
      <c r="S93" s="397">
        <f>_xlfn.XLOOKUP(E93,'All Products'!D:D,'All Products'!M:M,FALSE)</f>
        <v>40049081149183</v>
      </c>
      <c r="T93" s="384">
        <f>_xlfn.XLOOKUP(E93,'All Products'!D:D,'All Products'!N:N,FALSE)</f>
        <v>5.3920000000000003</v>
      </c>
      <c r="U93" s="397" t="str">
        <f>_xlfn.XLOOKUP(E93,'All Products'!D:D,'All Products'!O:O,FALSE)</f>
        <v>-</v>
      </c>
      <c r="V93" s="384">
        <f>_xlfn.XLOOKUP(E93,'All Products'!D:D,'All Products'!P:P,FALSE)</f>
        <v>11.85</v>
      </c>
      <c r="W93" s="384">
        <f>_xlfn.XLOOKUP(E93,'All Products'!D:D,'All Products'!Q:Q,FALSE)</f>
        <v>1.41</v>
      </c>
    </row>
    <row r="94" spans="1:23" ht="15" customHeight="1">
      <c r="A94" s="101" t="str">
        <f>IF(K94&gt;0,COUNT($A$7:A93)
+COUNT('DWV PVC'!$A$9:$A$316)
+COUNT('DWV ABS'!$A$8:$A$116)+1,"")</f>
        <v/>
      </c>
      <c r="B94" s="612"/>
      <c r="C94" s="613"/>
      <c r="D94" s="369" t="str">
        <f>_xlfn.XLOOKUP(E94,'All Products'!D:D,'All Products'!C:C,FALSE)</f>
        <v>402-582</v>
      </c>
      <c r="E94" s="51">
        <v>100022475</v>
      </c>
      <c r="F94" s="376" t="str">
        <f>_xlfn.XLOOKUP(E94,'All Products'!D:D,'All Products'!E:E,FALSE)</f>
        <v>8X8X4 REDUCING TEE SXSXFIPT</v>
      </c>
      <c r="G94" s="232">
        <f>_xlfn.XLOOKUP(E94,'All Products'!D:D,'All Products'!F:F,FALSE)</f>
        <v>2</v>
      </c>
      <c r="H94" s="387">
        <f>_xlfn.XLOOKUP(E94,'All Products'!D:D,'All Products'!G:G,FALSE)</f>
        <v>48</v>
      </c>
      <c r="I94" s="394">
        <f>_xlfn.XLOOKUP(E94,'All Products'!D:D,'All Products'!H:H,FALSE)</f>
        <v>742.89</v>
      </c>
      <c r="J94" s="183">
        <f>IFERROR(ROUND(I94*Order_Quote!$L$4,2),0)</f>
        <v>742.89</v>
      </c>
      <c r="K94" s="73"/>
      <c r="L94" s="76"/>
      <c r="M94" s="114">
        <f t="shared" si="7"/>
        <v>0</v>
      </c>
      <c r="O94" s="384" t="str">
        <f>_xlfn.XLOOKUP(E94,'All Products'!D:D,'All Products'!I:I,FALSE)</f>
        <v>In Stock</v>
      </c>
      <c r="P94" s="384" t="str">
        <f>_xlfn.XLOOKUP(E94,'All Products'!D:D,'All Products'!J:J,FALSE)</f>
        <v>Manufactured</v>
      </c>
      <c r="Q94" s="397">
        <f>_xlfn.XLOOKUP(E94,'All Products'!D:D,'All Products'!K:K,FALSE)</f>
        <v>49081149321</v>
      </c>
      <c r="R94" s="397" t="str">
        <f>_xlfn.XLOOKUP(E94,'All Products'!D:D,'All Products'!L:L,FALSE)</f>
        <v>-</v>
      </c>
      <c r="S94" s="397">
        <f>_xlfn.XLOOKUP(E94,'All Products'!D:D,'All Products'!M:M,FALSE)</f>
        <v>40049081149329</v>
      </c>
      <c r="T94" s="384">
        <f>_xlfn.XLOOKUP(E94,'All Products'!D:D,'All Products'!N:N,FALSE)</f>
        <v>8.5519999999999996</v>
      </c>
      <c r="U94" s="397" t="str">
        <f>_xlfn.XLOOKUP(E94,'All Products'!D:D,'All Products'!O:O,FALSE)</f>
        <v>-</v>
      </c>
      <c r="V94" s="384">
        <f>_xlfn.XLOOKUP(E94,'All Products'!D:D,'All Products'!P:P,FALSE)</f>
        <v>18.690000000000001</v>
      </c>
      <c r="W94" s="384">
        <f>_xlfn.XLOOKUP(E94,'All Products'!D:D,'All Products'!Q:Q,FALSE)</f>
        <v>2.77</v>
      </c>
    </row>
    <row r="95" spans="1:23" ht="15" customHeight="1">
      <c r="A95" s="101" t="str">
        <f>IF(K95&gt;0,COUNT($A$7:A94)
+COUNT('DWV PVC'!$A$9:$A$316)
+COUNT('DWV ABS'!$A$8:$A$116)+1,"")</f>
        <v/>
      </c>
      <c r="B95" s="608"/>
      <c r="C95" s="609"/>
      <c r="D95" s="369" t="str">
        <f>_xlfn.XLOOKUP(E95,'All Products'!D:D,'All Products'!C:C,FALSE)</f>
        <v>405-005</v>
      </c>
      <c r="E95" s="51">
        <v>100022477</v>
      </c>
      <c r="F95" s="376" t="str">
        <f>_xlfn.XLOOKUP(E95,'All Products'!D:D,'All Products'!E:E,FALSE)</f>
        <v>1/2 TEE FIPT X FIPT X FIPT</v>
      </c>
      <c r="G95" s="232">
        <f>_xlfn.XLOOKUP(E95,'All Products'!D:D,'All Products'!F:F,FALSE)</f>
        <v>100</v>
      </c>
      <c r="H95" s="387">
        <f>_xlfn.XLOOKUP(E95,'All Products'!D:D,'All Products'!G:G,FALSE)</f>
        <v>15000</v>
      </c>
      <c r="I95" s="394">
        <f>_xlfn.XLOOKUP(E95,'All Products'!D:D,'All Products'!H:H,FALSE)</f>
        <v>7.27</v>
      </c>
      <c r="J95" s="183">
        <f>IFERROR(ROUND(I95*Order_Quote!$L$4,2),0)</f>
        <v>7.27</v>
      </c>
      <c r="K95" s="73"/>
      <c r="L95" s="76"/>
      <c r="M95" s="114">
        <f t="shared" si="7"/>
        <v>0</v>
      </c>
      <c r="O95" s="384" t="str">
        <f>_xlfn.XLOOKUP(E95,'All Products'!D:D,'All Products'!I:I,FALSE)</f>
        <v>In Stock</v>
      </c>
      <c r="P95" s="384" t="str">
        <f>_xlfn.XLOOKUP(E95,'All Products'!D:D,'All Products'!J:J,FALSE)</f>
        <v>Manufactured</v>
      </c>
      <c r="Q95" s="397">
        <f>_xlfn.XLOOKUP(E95,'All Products'!D:D,'All Products'!K:K,FALSE)</f>
        <v>49081149383</v>
      </c>
      <c r="R95" s="397">
        <f>_xlfn.XLOOKUP(E95,'All Products'!D:D,'All Products'!L:L,FALSE)</f>
        <v>49081649388</v>
      </c>
      <c r="S95" s="397">
        <f>_xlfn.XLOOKUP(E95,'All Products'!D:D,'All Products'!M:M,FALSE)</f>
        <v>40049081149381</v>
      </c>
      <c r="T95" s="384">
        <f>_xlfn.XLOOKUP(E95,'All Products'!D:D,'All Products'!N:N,FALSE)</f>
        <v>7.9000000000000001E-2</v>
      </c>
      <c r="U95" s="397">
        <f>_xlfn.XLOOKUP(E95,'All Products'!D:D,'All Products'!O:O,FALSE)</f>
        <v>10</v>
      </c>
      <c r="V95" s="384">
        <f>_xlfn.XLOOKUP(E95,'All Products'!D:D,'All Products'!P:P,FALSE)</f>
        <v>8.3699999999999992</v>
      </c>
      <c r="W95" s="384">
        <f>_xlfn.XLOOKUP(E95,'All Products'!D:D,'All Products'!Q:Q,FALSE)</f>
        <v>0.5</v>
      </c>
    </row>
    <row r="96" spans="1:23" ht="15" customHeight="1">
      <c r="A96" s="101" t="str">
        <f>IF(K96&gt;0,COUNT($A$7:A95)
+COUNT('DWV PVC'!$A$9:$A$316)
+COUNT('DWV ABS'!$A$8:$A$116)+1,"")</f>
        <v/>
      </c>
      <c r="B96" s="610"/>
      <c r="C96" s="611"/>
      <c r="D96" s="369" t="str">
        <f>_xlfn.XLOOKUP(E96,'All Products'!D:D,'All Products'!C:C,FALSE)</f>
        <v>405-010</v>
      </c>
      <c r="E96" s="51">
        <v>100022481</v>
      </c>
      <c r="F96" s="376" t="str">
        <f>_xlfn.XLOOKUP(E96,'All Products'!D:D,'All Products'!E:E,FALSE)</f>
        <v>1 TEE FIPT X FIPT X FIPT</v>
      </c>
      <c r="G96" s="232">
        <f>_xlfn.XLOOKUP(E96,'All Products'!D:D,'All Products'!F:F,FALSE)</f>
        <v>50</v>
      </c>
      <c r="H96" s="387">
        <f>_xlfn.XLOOKUP(E96,'All Products'!D:D,'All Products'!G:G,FALSE)</f>
        <v>6000</v>
      </c>
      <c r="I96" s="394">
        <f>_xlfn.XLOOKUP(E96,'All Products'!D:D,'All Products'!H:H,FALSE)</f>
        <v>15.75</v>
      </c>
      <c r="J96" s="183">
        <f>IFERROR(ROUND(I96*Order_Quote!$L$4,2),0)</f>
        <v>15.75</v>
      </c>
      <c r="K96" s="73"/>
      <c r="L96" s="76"/>
      <c r="M96" s="114">
        <f t="shared" si="7"/>
        <v>0</v>
      </c>
      <c r="O96" s="384" t="str">
        <f>_xlfn.XLOOKUP(E96,'All Products'!D:D,'All Products'!I:I,FALSE)</f>
        <v>In Stock</v>
      </c>
      <c r="P96" s="384" t="str">
        <f>_xlfn.XLOOKUP(E96,'All Products'!D:D,'All Products'!J:J,FALSE)</f>
        <v>Manufactured</v>
      </c>
      <c r="Q96" s="397">
        <f>_xlfn.XLOOKUP(E96,'All Products'!D:D,'All Products'!K:K,FALSE)</f>
        <v>49081149420</v>
      </c>
      <c r="R96" s="397">
        <f>_xlfn.XLOOKUP(E96,'All Products'!D:D,'All Products'!L:L,FALSE)</f>
        <v>49081649425</v>
      </c>
      <c r="S96" s="397">
        <f>_xlfn.XLOOKUP(E96,'All Products'!D:D,'All Products'!M:M,FALSE)</f>
        <v>40049081149428</v>
      </c>
      <c r="T96" s="384">
        <f>_xlfn.XLOOKUP(E96,'All Products'!D:D,'All Products'!N:N,FALSE)</f>
        <v>0.192</v>
      </c>
      <c r="U96" s="397">
        <f>_xlfn.XLOOKUP(E96,'All Products'!D:D,'All Products'!O:O,FALSE)</f>
        <v>10</v>
      </c>
      <c r="V96" s="384">
        <f>_xlfn.XLOOKUP(E96,'All Products'!D:D,'All Products'!P:P,FALSE)</f>
        <v>10.36</v>
      </c>
      <c r="W96" s="384">
        <f>_xlfn.XLOOKUP(E96,'All Products'!D:D,'All Products'!Q:Q,FALSE)</f>
        <v>0.65</v>
      </c>
    </row>
    <row r="97" spans="1:23" ht="15" customHeight="1">
      <c r="A97" s="101" t="str">
        <f>IF(K97&gt;0,COUNT($A$7:A96)
+COUNT('DWV PVC'!$A$9:$A$316)
+COUNT('DWV ABS'!$A$8:$A$116)+1,"")</f>
        <v/>
      </c>
      <c r="B97" s="610"/>
      <c r="C97" s="611"/>
      <c r="D97" s="369" t="str">
        <f>_xlfn.XLOOKUP(E97,'All Products'!D:D,'All Products'!C:C,FALSE)</f>
        <v>405-012</v>
      </c>
      <c r="E97" s="51">
        <v>100022483</v>
      </c>
      <c r="F97" s="376" t="str">
        <f>_xlfn.XLOOKUP(E97,'All Products'!D:D,'All Products'!E:E,FALSE)</f>
        <v>1-1/4 TEE FIPT X FIPT X FIPT</v>
      </c>
      <c r="G97" s="232">
        <f>_xlfn.XLOOKUP(E97,'All Products'!D:D,'All Products'!F:F,FALSE)</f>
        <v>25</v>
      </c>
      <c r="H97" s="387">
        <f>_xlfn.XLOOKUP(E97,'All Products'!D:D,'All Products'!G:G,FALSE)</f>
        <v>3000</v>
      </c>
      <c r="I97" s="394">
        <f>_xlfn.XLOOKUP(E97,'All Products'!D:D,'All Products'!H:H,FALSE)</f>
        <v>21.83</v>
      </c>
      <c r="J97" s="183">
        <f>IFERROR(ROUND(I97*Order_Quote!$L$4,2),0)</f>
        <v>21.83</v>
      </c>
      <c r="K97" s="73"/>
      <c r="L97" s="76"/>
      <c r="M97" s="114">
        <f t="shared" si="7"/>
        <v>0</v>
      </c>
      <c r="O97" s="384" t="str">
        <f>_xlfn.XLOOKUP(E97,'All Products'!D:D,'All Products'!I:I,FALSE)</f>
        <v>Within 3 Weeks</v>
      </c>
      <c r="P97" s="384" t="str">
        <f>_xlfn.XLOOKUP(E97,'All Products'!D:D,'All Products'!J:J,FALSE)</f>
        <v>Manufactured</v>
      </c>
      <c r="Q97" s="397">
        <f>_xlfn.XLOOKUP(E97,'All Products'!D:D,'All Products'!K:K,FALSE)</f>
        <v>49081149444</v>
      </c>
      <c r="R97" s="397" t="str">
        <f>_xlfn.XLOOKUP(E97,'All Products'!D:D,'All Products'!L:L,FALSE)</f>
        <v>-</v>
      </c>
      <c r="S97" s="397">
        <f>_xlfn.XLOOKUP(E97,'All Products'!D:D,'All Products'!M:M,FALSE)</f>
        <v>40049081149442</v>
      </c>
      <c r="T97" s="384">
        <f>_xlfn.XLOOKUP(E97,'All Products'!D:D,'All Products'!N:N,FALSE)</f>
        <v>0.26800000000000002</v>
      </c>
      <c r="U97" s="397" t="str">
        <f>_xlfn.XLOOKUP(E97,'All Products'!D:D,'All Products'!O:O,FALSE)</f>
        <v>-</v>
      </c>
      <c r="V97" s="384">
        <f>_xlfn.XLOOKUP(E97,'All Products'!D:D,'All Products'!P:P,FALSE)</f>
        <v>7.56</v>
      </c>
      <c r="W97" s="384">
        <f>_xlfn.XLOOKUP(E97,'All Products'!D:D,'All Products'!Q:Q,FALSE)</f>
        <v>0.65</v>
      </c>
    </row>
    <row r="98" spans="1:23" ht="15" customHeight="1">
      <c r="A98" s="101" t="str">
        <f>IF(K98&gt;0,COUNT($A$7:A97)
+COUNT('DWV PVC'!$A$9:$A$316)
+COUNT('DWV ABS'!$A$8:$A$116)+1,"")</f>
        <v/>
      </c>
      <c r="B98" s="610"/>
      <c r="C98" s="611"/>
      <c r="D98" s="369" t="str">
        <f>_xlfn.XLOOKUP(E98,'All Products'!D:D,'All Products'!C:C,FALSE)</f>
        <v>405-015</v>
      </c>
      <c r="E98" s="51">
        <v>100022485</v>
      </c>
      <c r="F98" s="376" t="str">
        <f>_xlfn.XLOOKUP(E98,'All Products'!D:D,'All Products'!E:E,FALSE)</f>
        <v>1-1/2 TEE FIPT X FIPT X FIPT</v>
      </c>
      <c r="G98" s="232">
        <f>_xlfn.XLOOKUP(E98,'All Products'!D:D,'All Products'!F:F,FALSE)</f>
        <v>25</v>
      </c>
      <c r="H98" s="387">
        <f>_xlfn.XLOOKUP(E98,'All Products'!D:D,'All Products'!G:G,FALSE)</f>
        <v>3000</v>
      </c>
      <c r="I98" s="394">
        <f>_xlfn.XLOOKUP(E98,'All Products'!D:D,'All Products'!H:H,FALSE)</f>
        <v>22.52</v>
      </c>
      <c r="J98" s="183">
        <f>IFERROR(ROUND(I98*Order_Quote!$L$4,2),0)</f>
        <v>22.52</v>
      </c>
      <c r="K98" s="73"/>
      <c r="L98" s="76"/>
      <c r="M98" s="114">
        <f t="shared" si="7"/>
        <v>0</v>
      </c>
      <c r="O98" s="384" t="str">
        <f>_xlfn.XLOOKUP(E98,'All Products'!D:D,'All Products'!I:I,FALSE)</f>
        <v>In Stock</v>
      </c>
      <c r="P98" s="384" t="str">
        <f>_xlfn.XLOOKUP(E98,'All Products'!D:D,'All Products'!J:J,FALSE)</f>
        <v>Manufactured</v>
      </c>
      <c r="Q98" s="397">
        <f>_xlfn.XLOOKUP(E98,'All Products'!D:D,'All Products'!K:K,FALSE)</f>
        <v>49081149468</v>
      </c>
      <c r="R98" s="397" t="str">
        <f>_xlfn.XLOOKUP(E98,'All Products'!D:D,'All Products'!L:L,FALSE)</f>
        <v>-</v>
      </c>
      <c r="S98" s="397">
        <f>_xlfn.XLOOKUP(E98,'All Products'!D:D,'All Products'!M:M,FALSE)</f>
        <v>40049081149466</v>
      </c>
      <c r="T98" s="384">
        <f>_xlfn.XLOOKUP(E98,'All Products'!D:D,'All Products'!N:N,FALSE)</f>
        <v>0.34100000000000003</v>
      </c>
      <c r="U98" s="397" t="str">
        <f>_xlfn.XLOOKUP(E98,'All Products'!D:D,'All Products'!O:O,FALSE)</f>
        <v>-</v>
      </c>
      <c r="V98" s="384">
        <f>_xlfn.XLOOKUP(E98,'All Products'!D:D,'All Products'!P:P,FALSE)</f>
        <v>9.33</v>
      </c>
      <c r="W98" s="384">
        <f>_xlfn.XLOOKUP(E98,'All Products'!D:D,'All Products'!Q:Q,FALSE)</f>
        <v>0.65</v>
      </c>
    </row>
    <row r="99" spans="1:23" ht="15" customHeight="1">
      <c r="A99" s="101" t="str">
        <f>IF(K99&gt;0,COUNT($A$7:A98)
+COUNT('DWV PVC'!$A$9:$A$316)
+COUNT('DWV ABS'!$A$8:$A$116)+1,"")</f>
        <v/>
      </c>
      <c r="B99" s="612"/>
      <c r="C99" s="613"/>
      <c r="D99" s="369" t="str">
        <f>_xlfn.XLOOKUP(E99,'All Products'!D:D,'All Products'!C:C,FALSE)</f>
        <v>405-020</v>
      </c>
      <c r="E99" s="51">
        <v>100022487</v>
      </c>
      <c r="F99" s="376" t="str">
        <f>_xlfn.XLOOKUP(E99,'All Products'!D:D,'All Products'!E:E,FALSE)</f>
        <v>2 TEE FIPT X FIPT X FIPT</v>
      </c>
      <c r="G99" s="232">
        <f>_xlfn.XLOOKUP(E99,'All Products'!D:D,'All Products'!F:F,FALSE)</f>
        <v>15</v>
      </c>
      <c r="H99" s="387">
        <f>_xlfn.XLOOKUP(E99,'All Products'!D:D,'All Products'!G:G,FALSE)</f>
        <v>1350</v>
      </c>
      <c r="I99" s="394">
        <f>_xlfn.XLOOKUP(E99,'All Products'!D:D,'All Products'!H:H,FALSE)</f>
        <v>29.78</v>
      </c>
      <c r="J99" s="183">
        <f>IFERROR(ROUND(I99*Order_Quote!$L$4,2),0)</f>
        <v>29.78</v>
      </c>
      <c r="K99" s="73"/>
      <c r="L99" s="76"/>
      <c r="M99" s="114">
        <f t="shared" si="7"/>
        <v>0</v>
      </c>
      <c r="O99" s="384" t="str">
        <f>_xlfn.XLOOKUP(E99,'All Products'!D:D,'All Products'!I:I,FALSE)</f>
        <v>In Stock</v>
      </c>
      <c r="P99" s="384" t="str">
        <f>_xlfn.XLOOKUP(E99,'All Products'!D:D,'All Products'!J:J,FALSE)</f>
        <v>Manufactured</v>
      </c>
      <c r="Q99" s="397">
        <f>_xlfn.XLOOKUP(E99,'All Products'!D:D,'All Products'!K:K,FALSE)</f>
        <v>49081149482</v>
      </c>
      <c r="R99" s="397" t="str">
        <f>_xlfn.XLOOKUP(E99,'All Products'!D:D,'All Products'!L:L,FALSE)</f>
        <v>-</v>
      </c>
      <c r="S99" s="397">
        <f>_xlfn.XLOOKUP(E99,'All Products'!D:D,'All Products'!M:M,FALSE)</f>
        <v>40049081149480</v>
      </c>
      <c r="T99" s="384">
        <f>_xlfn.XLOOKUP(E99,'All Products'!D:D,'All Products'!N:N,FALSE)</f>
        <v>0.49199999999999999</v>
      </c>
      <c r="U99" s="397" t="str">
        <f>_xlfn.XLOOKUP(E99,'All Products'!D:D,'All Products'!O:O,FALSE)</f>
        <v>-</v>
      </c>
      <c r="V99" s="384">
        <f>_xlfn.XLOOKUP(E99,'All Products'!D:D,'All Products'!P:P,FALSE)</f>
        <v>8.0500000000000007</v>
      </c>
      <c r="W99" s="384">
        <f>_xlfn.XLOOKUP(E99,'All Products'!D:D,'All Products'!Q:Q,FALSE)</f>
        <v>0.8</v>
      </c>
    </row>
    <row r="100" spans="1:23" ht="15" customHeight="1">
      <c r="A100" s="101" t="str">
        <f>IF(K100&gt;0,COUNT($A$7:A99)
+COUNT('DWV PVC'!$A$9:$A$316)
+COUNT('DWV ABS'!$A$8:$A$116)+1,"")</f>
        <v/>
      </c>
      <c r="B100" s="608"/>
      <c r="C100" s="609"/>
      <c r="D100" s="369" t="str">
        <f>_xlfn.XLOOKUP(E100,'All Products'!D:D,'All Products'!C:C,FALSE)</f>
        <v>406-005</v>
      </c>
      <c r="E100" s="51">
        <v>100022489</v>
      </c>
      <c r="F100" s="376" t="str">
        <f>_xlfn.XLOOKUP(E100,'All Products'!D:D,'All Products'!E:E,FALSE)</f>
        <v>1/2 90 ELL SLIP X SLIP</v>
      </c>
      <c r="G100" s="232">
        <f>_xlfn.XLOOKUP(E100,'All Products'!D:D,'All Products'!F:F,FALSE)</f>
        <v>250</v>
      </c>
      <c r="H100" s="387">
        <f>_xlfn.XLOOKUP(E100,'All Products'!D:D,'All Products'!G:G,FALSE)</f>
        <v>22500</v>
      </c>
      <c r="I100" s="394">
        <f>_xlfn.XLOOKUP(E100,'All Products'!D:D,'All Products'!H:H,FALSE)</f>
        <v>1.58</v>
      </c>
      <c r="J100" s="183">
        <f>IFERROR(ROUND(I100*Order_Quote!$L$4,2),0)</f>
        <v>1.58</v>
      </c>
      <c r="K100" s="73"/>
      <c r="L100" s="76"/>
      <c r="M100" s="114">
        <f t="shared" si="7"/>
        <v>0</v>
      </c>
      <c r="O100" s="384" t="str">
        <f>_xlfn.XLOOKUP(E100,'All Products'!D:D,'All Products'!I:I,FALSE)</f>
        <v>In Stock</v>
      </c>
      <c r="P100" s="384" t="str">
        <f>_xlfn.XLOOKUP(E100,'All Products'!D:D,'All Products'!J:J,FALSE)</f>
        <v>Manufactured</v>
      </c>
      <c r="Q100" s="397">
        <f>_xlfn.XLOOKUP(E100,'All Products'!D:D,'All Products'!K:K,FALSE)</f>
        <v>49081140625</v>
      </c>
      <c r="R100" s="397">
        <f>_xlfn.XLOOKUP(E100,'All Products'!D:D,'All Products'!L:L,FALSE)</f>
        <v>49081640620</v>
      </c>
      <c r="S100" s="397">
        <f>_xlfn.XLOOKUP(E100,'All Products'!D:D,'All Products'!M:M,FALSE)</f>
        <v>40049081140623</v>
      </c>
      <c r="T100" s="384">
        <f>_xlfn.XLOOKUP(E100,'All Products'!D:D,'All Products'!N:N,FALSE)</f>
        <v>5.0999999999999997E-2</v>
      </c>
      <c r="U100" s="397">
        <f>_xlfn.XLOOKUP(E100,'All Products'!D:D,'All Products'!O:O,FALSE)</f>
        <v>10</v>
      </c>
      <c r="V100" s="384">
        <f>_xlfn.XLOOKUP(E100,'All Products'!D:D,'All Products'!P:P,FALSE)</f>
        <v>14.33</v>
      </c>
      <c r="W100" s="384">
        <f>_xlfn.XLOOKUP(E100,'All Products'!D:D,'All Products'!Q:Q,FALSE)</f>
        <v>0.8</v>
      </c>
    </row>
    <row r="101" spans="1:23" ht="15" customHeight="1">
      <c r="A101" s="101" t="str">
        <f>IF(K101&gt;0,COUNT($A$7:A100)
+COUNT('DWV PVC'!$A$9:$A$316)
+COUNT('DWV ABS'!$A$8:$A$116)+1,"")</f>
        <v/>
      </c>
      <c r="B101" s="610"/>
      <c r="C101" s="611"/>
      <c r="D101" s="369" t="str">
        <f>_xlfn.XLOOKUP(E101,'All Products'!D:D,'All Products'!C:C,FALSE)</f>
        <v>406-007</v>
      </c>
      <c r="E101" s="51">
        <v>100022491</v>
      </c>
      <c r="F101" s="376" t="str">
        <f>_xlfn.XLOOKUP(E101,'All Products'!D:D,'All Products'!E:E,FALSE)</f>
        <v>3/4 90 ELL SLIP X SLIP</v>
      </c>
      <c r="G101" s="232">
        <f>_xlfn.XLOOKUP(E101,'All Products'!D:D,'All Products'!F:F,FALSE)</f>
        <v>150</v>
      </c>
      <c r="H101" s="387">
        <f>_xlfn.XLOOKUP(E101,'All Products'!D:D,'All Products'!G:G,FALSE)</f>
        <v>13500</v>
      </c>
      <c r="I101" s="394">
        <f>_xlfn.XLOOKUP(E101,'All Products'!D:D,'All Products'!H:H,FALSE)</f>
        <v>1.78</v>
      </c>
      <c r="J101" s="183">
        <f>IFERROR(ROUND(I101*Order_Quote!$L$4,2),0)</f>
        <v>1.78</v>
      </c>
      <c r="K101" s="73"/>
      <c r="L101" s="76"/>
      <c r="M101" s="114">
        <f t="shared" si="7"/>
        <v>0</v>
      </c>
      <c r="O101" s="384" t="str">
        <f>_xlfn.XLOOKUP(E101,'All Products'!D:D,'All Products'!I:I,FALSE)</f>
        <v>In Stock</v>
      </c>
      <c r="P101" s="384" t="str">
        <f>_xlfn.XLOOKUP(E101,'All Products'!D:D,'All Products'!J:J,FALSE)</f>
        <v>Manufactured</v>
      </c>
      <c r="Q101" s="397">
        <f>_xlfn.XLOOKUP(E101,'All Products'!D:D,'All Products'!K:K,FALSE)</f>
        <v>49081140649</v>
      </c>
      <c r="R101" s="397">
        <f>_xlfn.XLOOKUP(E101,'All Products'!D:D,'All Products'!L:L,FALSE)</f>
        <v>49081640644</v>
      </c>
      <c r="S101" s="397">
        <f>_xlfn.XLOOKUP(E101,'All Products'!D:D,'All Products'!M:M,FALSE)</f>
        <v>40049081140647</v>
      </c>
      <c r="T101" s="384">
        <f>_xlfn.XLOOKUP(E101,'All Products'!D:D,'All Products'!N:N,FALSE)</f>
        <v>7.1999999999999995E-2</v>
      </c>
      <c r="U101" s="397">
        <f>_xlfn.XLOOKUP(E101,'All Products'!D:D,'All Products'!O:O,FALSE)</f>
        <v>10</v>
      </c>
      <c r="V101" s="384">
        <f>_xlfn.XLOOKUP(E101,'All Products'!D:D,'All Products'!P:P,FALSE)</f>
        <v>12.83</v>
      </c>
      <c r="W101" s="384">
        <f>_xlfn.XLOOKUP(E101,'All Products'!D:D,'All Products'!Q:Q,FALSE)</f>
        <v>0.8</v>
      </c>
    </row>
    <row r="102" spans="1:23" ht="15" customHeight="1">
      <c r="A102" s="101" t="str">
        <f>IF(K102&gt;0,COUNT($A$7:A101)
+COUNT('DWV PVC'!$A$9:$A$316)
+COUNT('DWV ABS'!$A$8:$A$116)+1,"")</f>
        <v/>
      </c>
      <c r="B102" s="610"/>
      <c r="C102" s="611"/>
      <c r="D102" s="369" t="str">
        <f>_xlfn.XLOOKUP(E102,'All Products'!D:D,'All Products'!C:C,FALSE)</f>
        <v>406-010</v>
      </c>
      <c r="E102" s="51">
        <v>100022493</v>
      </c>
      <c r="F102" s="376" t="str">
        <f>_xlfn.XLOOKUP(E102,'All Products'!D:D,'All Products'!E:E,FALSE)</f>
        <v>1 90 ELL SLIP X SLIP</v>
      </c>
      <c r="G102" s="232">
        <f>_xlfn.XLOOKUP(E102,'All Products'!D:D,'All Products'!F:F,FALSE)</f>
        <v>50</v>
      </c>
      <c r="H102" s="387">
        <f>_xlfn.XLOOKUP(E102,'All Products'!D:D,'All Products'!G:G,FALSE)</f>
        <v>7500</v>
      </c>
      <c r="I102" s="394">
        <f>_xlfn.XLOOKUP(E102,'All Products'!D:D,'All Products'!H:H,FALSE)</f>
        <v>3.2</v>
      </c>
      <c r="J102" s="183">
        <f>IFERROR(ROUND(I102*Order_Quote!$L$4,2),0)</f>
        <v>3.2</v>
      </c>
      <c r="K102" s="73"/>
      <c r="L102" s="76"/>
      <c r="M102" s="114">
        <f t="shared" si="7"/>
        <v>0</v>
      </c>
      <c r="O102" s="384" t="str">
        <f>_xlfn.XLOOKUP(E102,'All Products'!D:D,'All Products'!I:I,FALSE)</f>
        <v>In Stock</v>
      </c>
      <c r="P102" s="384" t="str">
        <f>_xlfn.XLOOKUP(E102,'All Products'!D:D,'All Products'!J:J,FALSE)</f>
        <v>Manufactured</v>
      </c>
      <c r="Q102" s="397">
        <f>_xlfn.XLOOKUP(E102,'All Products'!D:D,'All Products'!K:K,FALSE)</f>
        <v>49081140687</v>
      </c>
      <c r="R102" s="397">
        <f>_xlfn.XLOOKUP(E102,'All Products'!D:D,'All Products'!L:L,FALSE)</f>
        <v>49081640682</v>
      </c>
      <c r="S102" s="397">
        <f>_xlfn.XLOOKUP(E102,'All Products'!D:D,'All Products'!M:M,FALSE)</f>
        <v>40049081140685</v>
      </c>
      <c r="T102" s="384">
        <f>_xlfn.XLOOKUP(E102,'All Products'!D:D,'All Products'!N:N,FALSE)</f>
        <v>0.128</v>
      </c>
      <c r="U102" s="397">
        <f>_xlfn.XLOOKUP(E102,'All Products'!D:D,'All Products'!O:O,FALSE)</f>
        <v>10</v>
      </c>
      <c r="V102" s="384">
        <f>_xlfn.XLOOKUP(E102,'All Products'!D:D,'All Products'!P:P,FALSE)</f>
        <v>7.04</v>
      </c>
      <c r="W102" s="384">
        <f>_xlfn.XLOOKUP(E102,'All Products'!D:D,'All Products'!Q:Q,FALSE)</f>
        <v>0.5</v>
      </c>
    </row>
    <row r="103" spans="1:23" ht="15" customHeight="1">
      <c r="A103" s="101" t="str">
        <f>IF(K103&gt;0,COUNT($A$7:A102)
+COUNT('DWV PVC'!$A$9:$A$316)
+COUNT('DWV ABS'!$A$8:$A$116)+1,"")</f>
        <v/>
      </c>
      <c r="B103" s="610"/>
      <c r="C103" s="611"/>
      <c r="D103" s="369" t="str">
        <f>_xlfn.XLOOKUP(E103,'All Products'!D:D,'All Products'!C:C,FALSE)</f>
        <v>406-012</v>
      </c>
      <c r="E103" s="51">
        <v>100022495</v>
      </c>
      <c r="F103" s="376" t="str">
        <f>_xlfn.XLOOKUP(E103,'All Products'!D:D,'All Products'!E:E,FALSE)</f>
        <v>1-1/4 90 ELL SLIP X SLIP</v>
      </c>
      <c r="G103" s="232">
        <f>_xlfn.XLOOKUP(E103,'All Products'!D:D,'All Products'!F:F,FALSE)</f>
        <v>50</v>
      </c>
      <c r="H103" s="387">
        <f>_xlfn.XLOOKUP(E103,'All Products'!D:D,'All Products'!G:G,FALSE)</f>
        <v>4500</v>
      </c>
      <c r="I103" s="394">
        <f>_xlfn.XLOOKUP(E103,'All Products'!D:D,'All Products'!H:H,FALSE)</f>
        <v>5.63</v>
      </c>
      <c r="J103" s="183">
        <f>IFERROR(ROUND(I103*Order_Quote!$L$4,2),0)</f>
        <v>5.63</v>
      </c>
      <c r="K103" s="73"/>
      <c r="L103" s="76"/>
      <c r="M103" s="114">
        <f t="shared" si="7"/>
        <v>0</v>
      </c>
      <c r="O103" s="384" t="str">
        <f>_xlfn.XLOOKUP(E103,'All Products'!D:D,'All Products'!I:I,FALSE)</f>
        <v>In Stock</v>
      </c>
      <c r="P103" s="384" t="str">
        <f>_xlfn.XLOOKUP(E103,'All Products'!D:D,'All Products'!J:J,FALSE)</f>
        <v>Manufactured</v>
      </c>
      <c r="Q103" s="397">
        <f>_xlfn.XLOOKUP(E103,'All Products'!D:D,'All Products'!K:K,FALSE)</f>
        <v>49081140748</v>
      </c>
      <c r="R103" s="397">
        <f>_xlfn.XLOOKUP(E103,'All Products'!D:D,'All Products'!L:L,FALSE)</f>
        <v>49081640743</v>
      </c>
      <c r="S103" s="397">
        <f>_xlfn.XLOOKUP(E103,'All Products'!D:D,'All Products'!M:M,FALSE)</f>
        <v>40049081140746</v>
      </c>
      <c r="T103" s="384">
        <f>_xlfn.XLOOKUP(E103,'All Products'!D:D,'All Products'!N:N,FALSE)</f>
        <v>0.24199999999999999</v>
      </c>
      <c r="U103" s="397">
        <f>_xlfn.XLOOKUP(E103,'All Products'!D:D,'All Products'!O:O,FALSE)</f>
        <v>5</v>
      </c>
      <c r="V103" s="384">
        <f>_xlfn.XLOOKUP(E103,'All Products'!D:D,'All Products'!P:P,FALSE)</f>
        <v>11.09</v>
      </c>
      <c r="W103" s="384">
        <f>_xlfn.XLOOKUP(E103,'All Products'!D:D,'All Products'!Q:Q,FALSE)</f>
        <v>0.8</v>
      </c>
    </row>
    <row r="104" spans="1:23" ht="15" customHeight="1">
      <c r="A104" s="101" t="str">
        <f>IF(K104&gt;0,COUNT($A$7:A103)
+COUNT('DWV PVC'!$A$9:$A$316)
+COUNT('DWV ABS'!$A$8:$A$116)+1,"")</f>
        <v/>
      </c>
      <c r="B104" s="610"/>
      <c r="C104" s="611"/>
      <c r="D104" s="369" t="str">
        <f>_xlfn.XLOOKUP(E104,'All Products'!D:D,'All Products'!C:C,FALSE)</f>
        <v>406-015</v>
      </c>
      <c r="E104" s="51">
        <v>100022497</v>
      </c>
      <c r="F104" s="376" t="str">
        <f>_xlfn.XLOOKUP(E104,'All Products'!D:D,'All Products'!E:E,FALSE)</f>
        <v>1-1/2 90 ELL SLIP X SLIP</v>
      </c>
      <c r="G104" s="232">
        <f>_xlfn.XLOOKUP(E104,'All Products'!D:D,'All Products'!F:F,FALSE)</f>
        <v>50</v>
      </c>
      <c r="H104" s="387">
        <f>_xlfn.XLOOKUP(E104,'All Products'!D:D,'All Products'!G:G,FALSE)</f>
        <v>3750</v>
      </c>
      <c r="I104" s="394">
        <f>_xlfn.XLOOKUP(E104,'All Products'!D:D,'All Products'!H:H,FALSE)</f>
        <v>6.1</v>
      </c>
      <c r="J104" s="183">
        <f>IFERROR(ROUND(I104*Order_Quote!$L$4,2),0)</f>
        <v>6.1</v>
      </c>
      <c r="K104" s="73"/>
      <c r="L104" s="76"/>
      <c r="M104" s="114">
        <f t="shared" si="7"/>
        <v>0</v>
      </c>
      <c r="O104" s="384" t="str">
        <f>_xlfn.XLOOKUP(E104,'All Products'!D:D,'All Products'!I:I,FALSE)</f>
        <v>In Stock</v>
      </c>
      <c r="P104" s="384" t="str">
        <f>_xlfn.XLOOKUP(E104,'All Products'!D:D,'All Products'!J:J,FALSE)</f>
        <v>Manufactured</v>
      </c>
      <c r="Q104" s="397">
        <f>_xlfn.XLOOKUP(E104,'All Products'!D:D,'All Products'!K:K,FALSE)</f>
        <v>49081140823</v>
      </c>
      <c r="R104" s="397">
        <f>_xlfn.XLOOKUP(E104,'All Products'!D:D,'All Products'!L:L,FALSE)</f>
        <v>49081640828</v>
      </c>
      <c r="S104" s="397">
        <f>_xlfn.XLOOKUP(E104,'All Products'!D:D,'All Products'!M:M,FALSE)</f>
        <v>40049081140821</v>
      </c>
      <c r="T104" s="384">
        <f>_xlfn.XLOOKUP(E104,'All Products'!D:D,'All Products'!N:N,FALSE)</f>
        <v>0.25700000000000001</v>
      </c>
      <c r="U104" s="397">
        <f>_xlfn.XLOOKUP(E104,'All Products'!D:D,'All Products'!O:O,FALSE)</f>
        <v>10</v>
      </c>
      <c r="V104" s="384">
        <f>_xlfn.XLOOKUP(E104,'All Products'!D:D,'All Products'!P:P,FALSE)</f>
        <v>14.75</v>
      </c>
      <c r="W104" s="384">
        <f>_xlfn.XLOOKUP(E104,'All Products'!D:D,'All Products'!Q:Q,FALSE)</f>
        <v>1.1000000000000001</v>
      </c>
    </row>
    <row r="105" spans="1:23" ht="15" customHeight="1">
      <c r="A105" s="101" t="str">
        <f>IF(K105&gt;0,COUNT($A$7:A104)
+COUNT('DWV PVC'!$A$9:$A$316)
+COUNT('DWV ABS'!$A$8:$A$116)+1,"")</f>
        <v/>
      </c>
      <c r="B105" s="610"/>
      <c r="C105" s="611"/>
      <c r="D105" s="369" t="str">
        <f>_xlfn.XLOOKUP(E105,'All Products'!D:D,'All Products'!C:C,FALSE)</f>
        <v>406-020</v>
      </c>
      <c r="E105" s="51">
        <v>100022499</v>
      </c>
      <c r="F105" s="376" t="str">
        <f>_xlfn.XLOOKUP(E105,'All Products'!D:D,'All Products'!E:E,FALSE)</f>
        <v>2 90 ELL SLIP X SLIP</v>
      </c>
      <c r="G105" s="232">
        <f>_xlfn.XLOOKUP(E105,'All Products'!D:D,'All Products'!F:F,FALSE)</f>
        <v>20</v>
      </c>
      <c r="H105" s="387">
        <f>_xlfn.XLOOKUP(E105,'All Products'!D:D,'All Products'!G:G,FALSE)</f>
        <v>1800</v>
      </c>
      <c r="I105" s="394">
        <f>_xlfn.XLOOKUP(E105,'All Products'!D:D,'All Products'!H:H,FALSE)</f>
        <v>9.5</v>
      </c>
      <c r="J105" s="183">
        <f>IFERROR(ROUND(I105*Order_Quote!$L$4,2),0)</f>
        <v>9.5</v>
      </c>
      <c r="K105" s="73"/>
      <c r="L105" s="76"/>
      <c r="M105" s="114">
        <f t="shared" si="7"/>
        <v>0</v>
      </c>
      <c r="O105" s="384" t="str">
        <f>_xlfn.XLOOKUP(E105,'All Products'!D:D,'All Products'!I:I,FALSE)</f>
        <v>In Stock</v>
      </c>
      <c r="P105" s="384" t="str">
        <f>_xlfn.XLOOKUP(E105,'All Products'!D:D,'All Products'!J:J,FALSE)</f>
        <v>Manufactured</v>
      </c>
      <c r="Q105" s="397">
        <f>_xlfn.XLOOKUP(E105,'All Products'!D:D,'All Products'!K:K,FALSE)</f>
        <v>49081140908</v>
      </c>
      <c r="R105" s="397">
        <f>_xlfn.XLOOKUP(E105,'All Products'!D:D,'All Products'!L:L,FALSE)</f>
        <v>49081640903</v>
      </c>
      <c r="S105" s="397">
        <f>_xlfn.XLOOKUP(E105,'All Products'!D:D,'All Products'!M:M,FALSE)</f>
        <v>40049081140906</v>
      </c>
      <c r="T105" s="384">
        <f>_xlfn.XLOOKUP(E105,'All Products'!D:D,'All Products'!N:N,FALSE)</f>
        <v>0.371</v>
      </c>
      <c r="U105" s="397">
        <f>_xlfn.XLOOKUP(E105,'All Products'!D:D,'All Products'!O:O,FALSE)</f>
        <v>5</v>
      </c>
      <c r="V105" s="384">
        <f>_xlfn.XLOOKUP(E105,'All Products'!D:D,'All Products'!P:P,FALSE)</f>
        <v>9.23</v>
      </c>
      <c r="W105" s="384">
        <f>_xlfn.XLOOKUP(E105,'All Products'!D:D,'All Products'!Q:Q,FALSE)</f>
        <v>0.8</v>
      </c>
    </row>
    <row r="106" spans="1:23" ht="15" customHeight="1">
      <c r="A106" s="101" t="str">
        <f>IF(K106&gt;0,COUNT($A$7:A105)
+COUNT('DWV PVC'!$A$9:$A$316)
+COUNT('DWV ABS'!$A$8:$A$116)+1,"")</f>
        <v/>
      </c>
      <c r="B106" s="610"/>
      <c r="C106" s="611"/>
      <c r="D106" s="369" t="str">
        <f>_xlfn.XLOOKUP(E106,'All Products'!D:D,'All Products'!C:C,FALSE)</f>
        <v>406-025</v>
      </c>
      <c r="E106" s="51">
        <v>100022501</v>
      </c>
      <c r="F106" s="376" t="str">
        <f>_xlfn.XLOOKUP(E106,'All Products'!D:D,'All Products'!E:E,FALSE)</f>
        <v>2-1/2 90 ELL SLIP X SLIP</v>
      </c>
      <c r="G106" s="232">
        <f>_xlfn.XLOOKUP(E106,'All Products'!D:D,'All Products'!F:F,FALSE)</f>
        <v>10</v>
      </c>
      <c r="H106" s="387">
        <f>_xlfn.XLOOKUP(E106,'All Products'!D:D,'All Products'!G:G,FALSE)</f>
        <v>900</v>
      </c>
      <c r="I106" s="394">
        <f>_xlfn.XLOOKUP(E106,'All Products'!D:D,'All Products'!H:H,FALSE)</f>
        <v>28.99</v>
      </c>
      <c r="J106" s="183">
        <f>IFERROR(ROUND(I106*Order_Quote!$L$4,2),0)</f>
        <v>28.99</v>
      </c>
      <c r="K106" s="73"/>
      <c r="L106" s="76"/>
      <c r="M106" s="114">
        <f t="shared" si="7"/>
        <v>0</v>
      </c>
      <c r="O106" s="384" t="str">
        <f>_xlfn.XLOOKUP(E106,'All Products'!D:D,'All Products'!I:I,FALSE)</f>
        <v>In Stock</v>
      </c>
      <c r="P106" s="384" t="str">
        <f>_xlfn.XLOOKUP(E106,'All Products'!D:D,'All Products'!J:J,FALSE)</f>
        <v>Manufactured</v>
      </c>
      <c r="Q106" s="397">
        <f>_xlfn.XLOOKUP(E106,'All Products'!D:D,'All Products'!K:K,FALSE)</f>
        <v>49081140960</v>
      </c>
      <c r="R106" s="397" t="str">
        <f>_xlfn.XLOOKUP(E106,'All Products'!D:D,'All Products'!L:L,FALSE)</f>
        <v>-</v>
      </c>
      <c r="S106" s="397">
        <f>_xlfn.XLOOKUP(E106,'All Products'!D:D,'All Products'!M:M,FALSE)</f>
        <v>40049081140968</v>
      </c>
      <c r="T106" s="384">
        <f>_xlfn.XLOOKUP(E106,'All Products'!D:D,'All Products'!N:N,FALSE)</f>
        <v>0.8</v>
      </c>
      <c r="U106" s="397" t="str">
        <f>_xlfn.XLOOKUP(E106,'All Products'!D:D,'All Products'!O:O,FALSE)</f>
        <v>-</v>
      </c>
      <c r="V106" s="384">
        <f>_xlfn.XLOOKUP(E106,'All Products'!D:D,'All Products'!P:P,FALSE)</f>
        <v>8.3699999999999992</v>
      </c>
      <c r="W106" s="384">
        <f>_xlfn.XLOOKUP(E106,'All Products'!D:D,'All Products'!Q:Q,FALSE)</f>
        <v>0.8</v>
      </c>
    </row>
    <row r="107" spans="1:23" ht="15" customHeight="1">
      <c r="A107" s="101" t="str">
        <f>IF(K107&gt;0,COUNT($A$7:A106)
+COUNT('DWV PVC'!$A$9:$A$316)
+COUNT('DWV ABS'!$A$8:$A$116)+1,"")</f>
        <v/>
      </c>
      <c r="B107" s="610"/>
      <c r="C107" s="611"/>
      <c r="D107" s="369" t="str">
        <f>_xlfn.XLOOKUP(E107,'All Products'!D:D,'All Products'!C:C,FALSE)</f>
        <v>406-030</v>
      </c>
      <c r="E107" s="51">
        <v>100022503</v>
      </c>
      <c r="F107" s="376" t="str">
        <f>_xlfn.XLOOKUP(E107,'All Products'!D:D,'All Products'!E:E,FALSE)</f>
        <v>3 90 ELL SLIP X SLIP</v>
      </c>
      <c r="G107" s="232">
        <f>_xlfn.XLOOKUP(E107,'All Products'!D:D,'All Products'!F:F,FALSE)</f>
        <v>8</v>
      </c>
      <c r="H107" s="387">
        <f>_xlfn.XLOOKUP(E107,'All Products'!D:D,'All Products'!G:G,FALSE)</f>
        <v>720</v>
      </c>
      <c r="I107" s="394">
        <f>_xlfn.XLOOKUP(E107,'All Products'!D:D,'All Products'!H:H,FALSE)</f>
        <v>34.700000000000003</v>
      </c>
      <c r="J107" s="183">
        <f>IFERROR(ROUND(I107*Order_Quote!$L$4,2),0)</f>
        <v>34.700000000000003</v>
      </c>
      <c r="K107" s="73"/>
      <c r="L107" s="76"/>
      <c r="M107" s="114">
        <f t="shared" si="7"/>
        <v>0</v>
      </c>
      <c r="O107" s="384" t="str">
        <f>_xlfn.XLOOKUP(E107,'All Products'!D:D,'All Products'!I:I,FALSE)</f>
        <v>In Stock</v>
      </c>
      <c r="P107" s="384" t="str">
        <f>_xlfn.XLOOKUP(E107,'All Products'!D:D,'All Products'!J:J,FALSE)</f>
        <v>Manufactured</v>
      </c>
      <c r="Q107" s="397">
        <f>_xlfn.XLOOKUP(E107,'All Products'!D:D,'All Products'!K:K,FALSE)</f>
        <v>49081140984</v>
      </c>
      <c r="R107" s="397" t="str">
        <f>_xlfn.XLOOKUP(E107,'All Products'!D:D,'All Products'!L:L,FALSE)</f>
        <v>-</v>
      </c>
      <c r="S107" s="397">
        <f>_xlfn.XLOOKUP(E107,'All Products'!D:D,'All Products'!M:M,FALSE)</f>
        <v>40049081140982</v>
      </c>
      <c r="T107" s="384">
        <f>_xlfn.XLOOKUP(E107,'All Products'!D:D,'All Products'!N:N,FALSE)</f>
        <v>1.0720000000000001</v>
      </c>
      <c r="U107" s="397" t="str">
        <f>_xlfn.XLOOKUP(E107,'All Products'!D:D,'All Products'!O:O,FALSE)</f>
        <v>-</v>
      </c>
      <c r="V107" s="384">
        <f>_xlfn.XLOOKUP(E107,'All Products'!D:D,'All Products'!P:P,FALSE)</f>
        <v>9.5399999999999991</v>
      </c>
      <c r="W107" s="384">
        <f>_xlfn.XLOOKUP(E107,'All Products'!D:D,'All Products'!Q:Q,FALSE)</f>
        <v>0.8</v>
      </c>
    </row>
    <row r="108" spans="1:23" ht="15" customHeight="1">
      <c r="A108" s="101" t="str">
        <f>IF(K108&gt;0,COUNT($A$7:A107)
+COUNT('DWV PVC'!$A$9:$A$316)
+COUNT('DWV ABS'!$A$8:$A$116)+1,"")</f>
        <v/>
      </c>
      <c r="B108" s="610"/>
      <c r="C108" s="611"/>
      <c r="D108" s="369" t="str">
        <f>_xlfn.XLOOKUP(E108,'All Products'!D:D,'All Products'!C:C,FALSE)</f>
        <v>406-040</v>
      </c>
      <c r="E108" s="51">
        <v>100022505</v>
      </c>
      <c r="F108" s="376" t="str">
        <f>_xlfn.XLOOKUP(E108,'All Products'!D:D,'All Products'!E:E,FALSE)</f>
        <v>4 90 ELL SLIP X SLIP</v>
      </c>
      <c r="G108" s="232">
        <f>_xlfn.XLOOKUP(E108,'All Products'!D:D,'All Products'!F:F,FALSE)</f>
        <v>3</v>
      </c>
      <c r="H108" s="387">
        <f>_xlfn.XLOOKUP(E108,'All Products'!D:D,'All Products'!G:G,FALSE)</f>
        <v>360</v>
      </c>
      <c r="I108" s="394">
        <f>_xlfn.XLOOKUP(E108,'All Products'!D:D,'All Products'!H:H,FALSE)</f>
        <v>62.05</v>
      </c>
      <c r="J108" s="183">
        <f>IFERROR(ROUND(I108*Order_Quote!$L$4,2),0)</f>
        <v>62.05</v>
      </c>
      <c r="K108" s="73"/>
      <c r="L108" s="76"/>
      <c r="M108" s="114">
        <f t="shared" si="7"/>
        <v>0</v>
      </c>
      <c r="O108" s="384" t="str">
        <f>_xlfn.XLOOKUP(E108,'All Products'!D:D,'All Products'!I:I,FALSE)</f>
        <v>In Stock</v>
      </c>
      <c r="P108" s="384" t="str">
        <f>_xlfn.XLOOKUP(E108,'All Products'!D:D,'All Products'!J:J,FALSE)</f>
        <v>Manufactured</v>
      </c>
      <c r="Q108" s="397">
        <f>_xlfn.XLOOKUP(E108,'All Products'!D:D,'All Products'!K:K,FALSE)</f>
        <v>49081141004</v>
      </c>
      <c r="R108" s="397" t="str">
        <f>_xlfn.XLOOKUP(E108,'All Products'!D:D,'All Products'!L:L,FALSE)</f>
        <v>-</v>
      </c>
      <c r="S108" s="397">
        <f>_xlfn.XLOOKUP(E108,'All Products'!D:D,'All Products'!M:M,FALSE)</f>
        <v>40049081141002</v>
      </c>
      <c r="T108" s="384">
        <f>_xlfn.XLOOKUP(E108,'All Products'!D:D,'All Products'!N:N,FALSE)</f>
        <v>1.9350000000000001</v>
      </c>
      <c r="U108" s="397" t="str">
        <f>_xlfn.XLOOKUP(E108,'All Products'!D:D,'All Products'!O:O,FALSE)</f>
        <v>-</v>
      </c>
      <c r="V108" s="384">
        <f>_xlfn.XLOOKUP(E108,'All Products'!D:D,'All Products'!P:P,FALSE)</f>
        <v>9.23</v>
      </c>
      <c r="W108" s="384">
        <f>_xlfn.XLOOKUP(E108,'All Products'!D:D,'All Products'!Q:Q,FALSE)</f>
        <v>0.65</v>
      </c>
    </row>
    <row r="109" spans="1:23" ht="15" customHeight="1">
      <c r="A109" s="101" t="str">
        <f>IF(K109&gt;0,COUNT($A$7:A108)
+COUNT('DWV PVC'!$A$9:$A$316)
+COUNT('DWV ABS'!$A$8:$A$116)+1,"")</f>
        <v/>
      </c>
      <c r="B109" s="610"/>
      <c r="C109" s="611"/>
      <c r="D109" s="369" t="str">
        <f>_xlfn.XLOOKUP(E109,'All Products'!D:D,'All Products'!C:C,FALSE)</f>
        <v>406-050</v>
      </c>
      <c r="E109" s="51">
        <v>100022507</v>
      </c>
      <c r="F109" s="376" t="str">
        <f>_xlfn.XLOOKUP(E109,'All Products'!D:D,'All Products'!E:E,FALSE)</f>
        <v>5 90 ELL SLIP X SLIP</v>
      </c>
      <c r="G109" s="232">
        <f>_xlfn.XLOOKUP(E109,'All Products'!D:D,'All Products'!F:F,FALSE)</f>
        <v>2</v>
      </c>
      <c r="H109" s="387">
        <f>_xlfn.XLOOKUP(E109,'All Products'!D:D,'All Products'!G:G,FALSE)</f>
        <v>150</v>
      </c>
      <c r="I109" s="394">
        <f>_xlfn.XLOOKUP(E109,'All Products'!D:D,'All Products'!H:H,FALSE)</f>
        <v>160.22999999999999</v>
      </c>
      <c r="J109" s="183">
        <f>IFERROR(ROUND(I109*Order_Quote!$L$4,2),0)</f>
        <v>160.22999999999999</v>
      </c>
      <c r="K109" s="73"/>
      <c r="L109" s="76"/>
      <c r="M109" s="114">
        <f t="shared" si="7"/>
        <v>0</v>
      </c>
      <c r="O109" s="384" t="str">
        <f>_xlfn.XLOOKUP(E109,'All Products'!D:D,'All Products'!I:I,FALSE)</f>
        <v>Within 3 Weeks</v>
      </c>
      <c r="P109" s="384" t="str">
        <f>_xlfn.XLOOKUP(E109,'All Products'!D:D,'All Products'!J:J,FALSE)</f>
        <v>Manufactured</v>
      </c>
      <c r="Q109" s="397">
        <f>_xlfn.XLOOKUP(E109,'All Products'!D:D,'All Products'!K:K,FALSE)</f>
        <v>49081141028</v>
      </c>
      <c r="R109" s="397" t="str">
        <f>_xlfn.XLOOKUP(E109,'All Products'!D:D,'All Products'!L:L,FALSE)</f>
        <v>-</v>
      </c>
      <c r="S109" s="397">
        <f>_xlfn.XLOOKUP(E109,'All Products'!D:D,'All Products'!M:M,FALSE)</f>
        <v>40049081141026</v>
      </c>
      <c r="T109" s="384">
        <f>_xlfn.XLOOKUP(E109,'All Products'!D:D,'All Products'!N:N,FALSE)</f>
        <v>4.7750000000000004</v>
      </c>
      <c r="U109" s="397" t="str">
        <f>_xlfn.XLOOKUP(E109,'All Products'!D:D,'All Products'!O:O,FALSE)</f>
        <v>-</v>
      </c>
      <c r="V109" s="384">
        <f>_xlfn.XLOOKUP(E109,'All Products'!D:D,'All Products'!P:P,FALSE)</f>
        <v>9.5500000000000007</v>
      </c>
      <c r="W109" s="384">
        <f>_xlfn.XLOOKUP(E109,'All Products'!D:D,'All Products'!Q:Q,FALSE)</f>
        <v>0.95</v>
      </c>
    </row>
    <row r="110" spans="1:23" ht="15" customHeight="1">
      <c r="A110" s="101" t="str">
        <f>IF(K110&gt;0,COUNT($A$7:A109)
+COUNT('DWV PVC'!$A$9:$A$316)
+COUNT('DWV ABS'!$A$8:$A$116)+1,"")</f>
        <v/>
      </c>
      <c r="B110" s="610"/>
      <c r="C110" s="611"/>
      <c r="D110" s="369" t="str">
        <f>_xlfn.XLOOKUP(E110,'All Products'!D:D,'All Products'!C:C,FALSE)</f>
        <v>406-060</v>
      </c>
      <c r="E110" s="51">
        <v>100022509</v>
      </c>
      <c r="F110" s="376" t="str">
        <f>_xlfn.XLOOKUP(E110,'All Products'!D:D,'All Products'!E:E,FALSE)</f>
        <v>6 90 ELL SLIP X SLIP</v>
      </c>
      <c r="G110" s="232">
        <f>_xlfn.XLOOKUP(E110,'All Products'!D:D,'All Products'!F:F,FALSE)</f>
        <v>1</v>
      </c>
      <c r="H110" s="387">
        <f>_xlfn.XLOOKUP(E110,'All Products'!D:D,'All Products'!G:G,FALSE)</f>
        <v>75</v>
      </c>
      <c r="I110" s="394">
        <f>_xlfn.XLOOKUP(E110,'All Products'!D:D,'All Products'!H:H,FALSE)</f>
        <v>197.23</v>
      </c>
      <c r="J110" s="183">
        <f>IFERROR(ROUND(I110*Order_Quote!$L$4,2),0)</f>
        <v>197.23</v>
      </c>
      <c r="K110" s="73"/>
      <c r="L110" s="76"/>
      <c r="M110" s="114">
        <f t="shared" si="7"/>
        <v>0</v>
      </c>
      <c r="O110" s="384" t="str">
        <f>_xlfn.XLOOKUP(E110,'All Products'!D:D,'All Products'!I:I,FALSE)</f>
        <v>In Stock</v>
      </c>
      <c r="P110" s="384" t="str">
        <f>_xlfn.XLOOKUP(E110,'All Products'!D:D,'All Products'!J:J,FALSE)</f>
        <v>Manufactured</v>
      </c>
      <c r="Q110" s="397">
        <f>_xlfn.XLOOKUP(E110,'All Products'!D:D,'All Products'!K:K,FALSE)</f>
        <v>49081141042</v>
      </c>
      <c r="R110" s="397" t="str">
        <f>_xlfn.XLOOKUP(E110,'All Products'!D:D,'All Products'!L:L,FALSE)</f>
        <v>-</v>
      </c>
      <c r="S110" s="397">
        <f>_xlfn.XLOOKUP(E110,'All Products'!D:D,'All Products'!M:M,FALSE)</f>
        <v>40049081141040</v>
      </c>
      <c r="T110" s="384">
        <f>_xlfn.XLOOKUP(E110,'All Products'!D:D,'All Products'!N:N,FALSE)</f>
        <v>5.5460000000000003</v>
      </c>
      <c r="U110" s="397" t="str">
        <f>_xlfn.XLOOKUP(E110,'All Products'!D:D,'All Products'!O:O,FALSE)</f>
        <v>-</v>
      </c>
      <c r="V110" s="384">
        <f>_xlfn.XLOOKUP(E110,'All Products'!D:D,'All Products'!P:P,FALSE)</f>
        <v>6.54</v>
      </c>
      <c r="W110" s="384">
        <f>_xlfn.XLOOKUP(E110,'All Products'!D:D,'All Products'!Q:Q,FALSE)</f>
        <v>0.95</v>
      </c>
    </row>
    <row r="111" spans="1:23" ht="15" customHeight="1">
      <c r="A111" s="101" t="str">
        <f>IF(K111&gt;0,COUNT($A$7:A110)
+COUNT('DWV PVC'!$A$9:$A$316)
+COUNT('DWV ABS'!$A$8:$A$116)+1,"")</f>
        <v/>
      </c>
      <c r="B111" s="612"/>
      <c r="C111" s="613"/>
      <c r="D111" s="369" t="str">
        <f>_xlfn.XLOOKUP(E111,'All Products'!D:D,'All Products'!C:C,FALSE)</f>
        <v>406-080</v>
      </c>
      <c r="E111" s="51">
        <v>100022511</v>
      </c>
      <c r="F111" s="376" t="str">
        <f>_xlfn.XLOOKUP(E111,'All Products'!D:D,'All Products'!E:E,FALSE)</f>
        <v>8 90 ELL SLIP X SLIP</v>
      </c>
      <c r="G111" s="232">
        <f>_xlfn.XLOOKUP(E111,'All Products'!D:D,'All Products'!F:F,FALSE)</f>
        <v>2</v>
      </c>
      <c r="H111" s="387">
        <f>_xlfn.XLOOKUP(E111,'All Products'!D:D,'All Products'!G:G,FALSE)</f>
        <v>48</v>
      </c>
      <c r="I111" s="394">
        <f>_xlfn.XLOOKUP(E111,'All Products'!D:D,'All Products'!H:H,FALSE)</f>
        <v>507.78</v>
      </c>
      <c r="J111" s="183">
        <f>IFERROR(ROUND(I111*Order_Quote!$L$4,2),0)</f>
        <v>507.78</v>
      </c>
      <c r="K111" s="73"/>
      <c r="L111" s="76"/>
      <c r="M111" s="114">
        <f t="shared" si="7"/>
        <v>0</v>
      </c>
      <c r="O111" s="384" t="str">
        <f>_xlfn.XLOOKUP(E111,'All Products'!D:D,'All Products'!I:I,FALSE)</f>
        <v>In Stock</v>
      </c>
      <c r="P111" s="384" t="str">
        <f>_xlfn.XLOOKUP(E111,'All Products'!D:D,'All Products'!J:J,FALSE)</f>
        <v>Manufactured</v>
      </c>
      <c r="Q111" s="397">
        <f>_xlfn.XLOOKUP(E111,'All Products'!D:D,'All Products'!K:K,FALSE)</f>
        <v>49081141066</v>
      </c>
      <c r="R111" s="397" t="str">
        <f>_xlfn.XLOOKUP(E111,'All Products'!D:D,'All Products'!L:L,FALSE)</f>
        <v>-</v>
      </c>
      <c r="S111" s="397">
        <f>_xlfn.XLOOKUP(E111,'All Products'!D:D,'All Products'!M:M,FALSE)</f>
        <v>40049081141064</v>
      </c>
      <c r="T111" s="384">
        <f>_xlfn.XLOOKUP(E111,'All Products'!D:D,'All Products'!N:N,FALSE)</f>
        <v>10.595000000000001</v>
      </c>
      <c r="U111" s="397" t="str">
        <f>_xlfn.XLOOKUP(E111,'All Products'!D:D,'All Products'!O:O,FALSE)</f>
        <v>-</v>
      </c>
      <c r="V111" s="384">
        <f>_xlfn.XLOOKUP(E111,'All Products'!D:D,'All Products'!P:P,FALSE)</f>
        <v>21.69</v>
      </c>
      <c r="W111" s="384">
        <f>_xlfn.XLOOKUP(E111,'All Products'!D:D,'All Products'!Q:Q,FALSE)</f>
        <v>2.77</v>
      </c>
    </row>
    <row r="112" spans="1:23" ht="15" customHeight="1">
      <c r="A112" s="101" t="str">
        <f>IF(K112&gt;0,COUNT($A$7:A111)
+COUNT('DWV PVC'!$A$9:$A$316)
+COUNT('DWV ABS'!$A$8:$A$116)+1,"")</f>
        <v/>
      </c>
      <c r="B112" s="608"/>
      <c r="C112" s="609"/>
      <c r="D112" s="369" t="str">
        <f>_xlfn.XLOOKUP(E112,'All Products'!D:D,'All Products'!C:C,FALSE)</f>
        <v>406-101</v>
      </c>
      <c r="E112" s="51">
        <v>100022513</v>
      </c>
      <c r="F112" s="376" t="str">
        <f>_xlfn.XLOOKUP(E112,'All Products'!D:D,'All Products'!E:E,FALSE)</f>
        <v>3/4X1/2 90 REDUCING ELL SLIP X SLIP</v>
      </c>
      <c r="G112" s="232">
        <f>_xlfn.XLOOKUP(E112,'All Products'!D:D,'All Products'!F:F,FALSE)</f>
        <v>200</v>
      </c>
      <c r="H112" s="387">
        <f>_xlfn.XLOOKUP(E112,'All Products'!D:D,'All Products'!G:G,FALSE)</f>
        <v>15000</v>
      </c>
      <c r="I112" s="394">
        <f>_xlfn.XLOOKUP(E112,'All Products'!D:D,'All Products'!H:H,FALSE)</f>
        <v>3.2</v>
      </c>
      <c r="J112" s="183">
        <f>IFERROR(ROUND(I112*Order_Quote!$L$4,2),0)</f>
        <v>3.2</v>
      </c>
      <c r="K112" s="73"/>
      <c r="L112" s="76"/>
      <c r="M112" s="114">
        <f t="shared" si="7"/>
        <v>0</v>
      </c>
      <c r="O112" s="384" t="str">
        <f>_xlfn.XLOOKUP(E112,'All Products'!D:D,'All Products'!I:I,FALSE)</f>
        <v>Within 3 Weeks</v>
      </c>
      <c r="P112" s="384" t="str">
        <f>_xlfn.XLOOKUP(E112,'All Products'!D:D,'All Products'!J:J,FALSE)</f>
        <v>Manufactured</v>
      </c>
      <c r="Q112" s="397">
        <f>_xlfn.XLOOKUP(E112,'All Products'!D:D,'All Products'!K:K,FALSE)</f>
        <v>49081140663</v>
      </c>
      <c r="R112" s="397">
        <f>_xlfn.XLOOKUP(E112,'All Products'!D:D,'All Products'!L:L,FALSE)</f>
        <v>49081640668</v>
      </c>
      <c r="S112" s="397">
        <f>_xlfn.XLOOKUP(E112,'All Products'!D:D,'All Products'!M:M,FALSE)</f>
        <v>40049081140661</v>
      </c>
      <c r="T112" s="384">
        <f>_xlfn.XLOOKUP(E112,'All Products'!D:D,'All Products'!N:N,FALSE)</f>
        <v>6.8000000000000005E-2</v>
      </c>
      <c r="U112" s="397">
        <f>_xlfn.XLOOKUP(E112,'All Products'!D:D,'All Products'!O:O,FALSE)</f>
        <v>10</v>
      </c>
      <c r="V112" s="384">
        <f>_xlfn.XLOOKUP(E112,'All Products'!D:D,'All Products'!P:P,FALSE)</f>
        <v>14.18</v>
      </c>
      <c r="W112" s="384">
        <f>_xlfn.XLOOKUP(E112,'All Products'!D:D,'All Products'!Q:Q,FALSE)</f>
        <v>0.95</v>
      </c>
    </row>
    <row r="113" spans="1:23" ht="15" customHeight="1">
      <c r="A113" s="101" t="str">
        <f>IF(K113&gt;0,COUNT($A$7:A112)
+COUNT('DWV PVC'!$A$9:$A$316)
+COUNT('DWV ABS'!$A$8:$A$116)+1,"")</f>
        <v/>
      </c>
      <c r="B113" s="610"/>
      <c r="C113" s="611"/>
      <c r="D113" s="369" t="str">
        <f>_xlfn.XLOOKUP(E113,'All Products'!D:D,'All Products'!C:C,FALSE)</f>
        <v>406-130</v>
      </c>
      <c r="E113" s="51">
        <v>100022515</v>
      </c>
      <c r="F113" s="376" t="str">
        <f>_xlfn.XLOOKUP(E113,'All Products'!D:D,'All Products'!E:E,FALSE)</f>
        <v>1X1/2 90 REDUCING ELL SLIP X SLIP</v>
      </c>
      <c r="G113" s="232">
        <f>_xlfn.XLOOKUP(E113,'All Products'!D:D,'All Products'!F:F,FALSE)</f>
        <v>100</v>
      </c>
      <c r="H113" s="387">
        <f>_xlfn.XLOOKUP(E113,'All Products'!D:D,'All Products'!G:G,FALSE)</f>
        <v>12000</v>
      </c>
      <c r="I113" s="394">
        <f>_xlfn.XLOOKUP(E113,'All Products'!D:D,'All Products'!H:H,FALSE)</f>
        <v>4.78</v>
      </c>
      <c r="J113" s="183">
        <f>IFERROR(ROUND(I113*Order_Quote!$L$4,2),0)</f>
        <v>4.78</v>
      </c>
      <c r="K113" s="73"/>
      <c r="L113" s="76"/>
      <c r="M113" s="114">
        <f t="shared" si="7"/>
        <v>0</v>
      </c>
      <c r="O113" s="384" t="str">
        <f>_xlfn.XLOOKUP(E113,'All Products'!D:D,'All Products'!I:I,FALSE)</f>
        <v>Within 3 Weeks</v>
      </c>
      <c r="P113" s="384" t="str">
        <f>_xlfn.XLOOKUP(E113,'All Products'!D:D,'All Products'!J:J,FALSE)</f>
        <v>Manufactured</v>
      </c>
      <c r="Q113" s="397">
        <f>_xlfn.XLOOKUP(E113,'All Products'!D:D,'All Products'!K:K,FALSE)</f>
        <v>49081140724</v>
      </c>
      <c r="R113" s="397">
        <f>_xlfn.XLOOKUP(E113,'All Products'!D:D,'All Products'!L:L,FALSE)</f>
        <v>49081640729</v>
      </c>
      <c r="S113" s="397">
        <f>_xlfn.XLOOKUP(E113,'All Products'!D:D,'All Products'!M:M,FALSE)</f>
        <v>40049081140722</v>
      </c>
      <c r="T113" s="384">
        <f>_xlfn.XLOOKUP(E113,'All Products'!D:D,'All Products'!N:N,FALSE)</f>
        <v>9.9000000000000005E-2</v>
      </c>
      <c r="U113" s="397">
        <f>_xlfn.XLOOKUP(E113,'All Products'!D:D,'All Products'!O:O,FALSE)</f>
        <v>10</v>
      </c>
      <c r="V113" s="384">
        <f>_xlfn.XLOOKUP(E113,'All Products'!D:D,'All Products'!P:P,FALSE)</f>
        <v>11.62</v>
      </c>
      <c r="W113" s="384">
        <f>_xlfn.XLOOKUP(E113,'All Products'!D:D,'All Products'!Q:Q,FALSE)</f>
        <v>0.65</v>
      </c>
    </row>
    <row r="114" spans="1:23" ht="15" customHeight="1">
      <c r="A114" s="101" t="str">
        <f>IF(K114&gt;0,COUNT($A$7:A113)
+COUNT('DWV PVC'!$A$9:$A$316)
+COUNT('DWV ABS'!$A$8:$A$116)+1,"")</f>
        <v/>
      </c>
      <c r="B114" s="610"/>
      <c r="C114" s="611"/>
      <c r="D114" s="369" t="str">
        <f>_xlfn.XLOOKUP(E114,'All Products'!D:D,'All Products'!C:C,FALSE)</f>
        <v>406-131</v>
      </c>
      <c r="E114" s="51">
        <v>100022517</v>
      </c>
      <c r="F114" s="376" t="str">
        <f>_xlfn.XLOOKUP(E114,'All Products'!D:D,'All Products'!E:E,FALSE)</f>
        <v>1X3/4 90 REDUCING ELL SLIP X SLIP</v>
      </c>
      <c r="G114" s="232">
        <f>_xlfn.XLOOKUP(E114,'All Products'!D:D,'All Products'!F:F,FALSE)</f>
        <v>50</v>
      </c>
      <c r="H114" s="387">
        <f>_xlfn.XLOOKUP(E114,'All Products'!D:D,'All Products'!G:G,FALSE)</f>
        <v>7500</v>
      </c>
      <c r="I114" s="394">
        <f>_xlfn.XLOOKUP(E114,'All Products'!D:D,'All Products'!H:H,FALSE)</f>
        <v>5.64</v>
      </c>
      <c r="J114" s="183">
        <f>IFERROR(ROUND(I114*Order_Quote!$L$4,2),0)</f>
        <v>5.64</v>
      </c>
      <c r="K114" s="73"/>
      <c r="L114" s="76"/>
      <c r="M114" s="114">
        <f t="shared" si="7"/>
        <v>0</v>
      </c>
      <c r="O114" s="384" t="str">
        <f>_xlfn.XLOOKUP(E114,'All Products'!D:D,'All Products'!I:I,FALSE)</f>
        <v>Within 3 Weeks</v>
      </c>
      <c r="P114" s="384" t="str">
        <f>_xlfn.XLOOKUP(E114,'All Products'!D:D,'All Products'!J:J,FALSE)</f>
        <v>Manufactured</v>
      </c>
      <c r="Q114" s="397">
        <f>_xlfn.XLOOKUP(E114,'All Products'!D:D,'All Products'!K:K,FALSE)</f>
        <v>49081140700</v>
      </c>
      <c r="R114" s="397">
        <f>_xlfn.XLOOKUP(E114,'All Products'!D:D,'All Products'!L:L,FALSE)</f>
        <v>49081640705</v>
      </c>
      <c r="S114" s="397">
        <f>_xlfn.XLOOKUP(E114,'All Products'!D:D,'All Products'!M:M,FALSE)</f>
        <v>40049081140708</v>
      </c>
      <c r="T114" s="384">
        <f>_xlfn.XLOOKUP(E114,'All Products'!D:D,'All Products'!N:N,FALSE)</f>
        <v>0.114</v>
      </c>
      <c r="U114" s="397">
        <f>_xlfn.XLOOKUP(E114,'All Products'!D:D,'All Products'!O:O,FALSE)</f>
        <v>10</v>
      </c>
      <c r="V114" s="384">
        <f>_xlfn.XLOOKUP(E114,'All Products'!D:D,'All Products'!P:P,FALSE)</f>
        <v>6.2</v>
      </c>
      <c r="W114" s="384">
        <f>_xlfn.XLOOKUP(E114,'All Products'!D:D,'All Products'!Q:Q,FALSE)</f>
        <v>0.5</v>
      </c>
    </row>
    <row r="115" spans="1:23" ht="15" customHeight="1">
      <c r="B115" s="610"/>
      <c r="C115" s="611"/>
      <c r="D115" s="369" t="str">
        <f>_xlfn.XLOOKUP(E115,'All Products'!D:D,'All Products'!C:C,FALSE)</f>
        <v>406-168</v>
      </c>
      <c r="E115" s="51">
        <v>100022519</v>
      </c>
      <c r="F115" s="376" t="str">
        <f>_xlfn.XLOOKUP(E115,'All Products'!D:D,'All Products'!E:E,FALSE)</f>
        <v>1-1/4 X 1" REDUCING ELL SLIP X SLIP</v>
      </c>
      <c r="G115" s="232">
        <f>_xlfn.XLOOKUP(E115,'All Products'!D:D,'All Products'!F:F,FALSE)</f>
        <v>50</v>
      </c>
      <c r="H115" s="387">
        <f>_xlfn.XLOOKUP(E115,'All Products'!D:D,'All Products'!G:G,FALSE)</f>
        <v>3750</v>
      </c>
      <c r="I115" s="394">
        <f>_xlfn.XLOOKUP(E115,'All Products'!D:D,'All Products'!H:H,FALSE)</f>
        <v>8.6300000000000008</v>
      </c>
      <c r="J115" s="183">
        <f>IFERROR(ROUND(I115*Order_Quote!$L$4,2),0)</f>
        <v>8.6300000000000008</v>
      </c>
      <c r="K115" s="73"/>
      <c r="L115" s="76"/>
      <c r="M115" s="114">
        <f t="shared" ref="M115" si="8">K115/G115</f>
        <v>0</v>
      </c>
      <c r="O115" s="384" t="str">
        <f>_xlfn.XLOOKUP(E115,'All Products'!D:D,'All Products'!I:I,FALSE)</f>
        <v>In Stock</v>
      </c>
      <c r="P115" s="384" t="str">
        <f>_xlfn.XLOOKUP(E115,'All Products'!D:D,'All Products'!J:J,FALSE)</f>
        <v>Manufactured</v>
      </c>
      <c r="Q115" s="397">
        <f>_xlfn.XLOOKUP(E115,'All Products'!D:D,'All Products'!K:K,FALSE)</f>
        <v>49081140762</v>
      </c>
      <c r="R115" s="397">
        <f>_xlfn.XLOOKUP(E115,'All Products'!D:D,'All Products'!L:L,FALSE)</f>
        <v>49081640767</v>
      </c>
      <c r="S115" s="397">
        <f>_xlfn.XLOOKUP(E115,'All Products'!D:D,'All Products'!M:M,FALSE)</f>
        <v>40049081140760</v>
      </c>
      <c r="T115" s="384">
        <f>_xlfn.XLOOKUP(E115,'All Products'!D:D,'All Products'!N:N,FALSE)</f>
        <v>0.19900000000000001</v>
      </c>
      <c r="U115" s="397">
        <f>_xlfn.XLOOKUP(E115,'All Products'!D:D,'All Products'!O:O,FALSE)</f>
        <v>10</v>
      </c>
      <c r="V115" s="384">
        <f>_xlfn.XLOOKUP(E115,'All Products'!D:D,'All Products'!P:P,FALSE)</f>
        <v>12.7</v>
      </c>
      <c r="W115" s="384">
        <f>_xlfn.XLOOKUP(E115,'All Products'!D:D,'All Products'!Q:Q,FALSE)</f>
        <v>0.57999999999999996</v>
      </c>
    </row>
    <row r="116" spans="1:23" ht="15" customHeight="1">
      <c r="A116" s="101" t="str">
        <f>IF(K116&gt;0,COUNT($A$7:A114)
+COUNT('DWV PVC'!$A$9:$A$316)
+COUNT('DWV ABS'!$A$8:$A$116)+1,"")</f>
        <v/>
      </c>
      <c r="B116" s="612"/>
      <c r="C116" s="613"/>
      <c r="D116" s="369" t="str">
        <f>_xlfn.XLOOKUP(E116,'All Products'!D:D,'All Products'!C:C,FALSE)</f>
        <v>406-251</v>
      </c>
      <c r="E116" s="51">
        <v>100022521</v>
      </c>
      <c r="F116" s="376" t="str">
        <f>_xlfn.XLOOKUP(E116,'All Products'!D:D,'All Products'!E:E,FALSE)</f>
        <v>2X1-1/2 90 REDUCING ELL SLIP X SLIP</v>
      </c>
      <c r="G116" s="232">
        <f>_xlfn.XLOOKUP(E116,'All Products'!D:D,'All Products'!F:F,FALSE)</f>
        <v>25</v>
      </c>
      <c r="H116" s="387">
        <f>_xlfn.XLOOKUP(E116,'All Products'!D:D,'All Products'!G:G,FALSE)</f>
        <v>2250</v>
      </c>
      <c r="I116" s="394">
        <f>_xlfn.XLOOKUP(E116,'All Products'!D:D,'All Products'!H:H,FALSE)</f>
        <v>24.45</v>
      </c>
      <c r="J116" s="183">
        <f>IFERROR(ROUND(I116*Order_Quote!$L$4,2),0)</f>
        <v>24.45</v>
      </c>
      <c r="K116" s="73"/>
      <c r="L116" s="76"/>
      <c r="M116" s="114">
        <f t="shared" si="7"/>
        <v>0</v>
      </c>
      <c r="O116" s="384" t="str">
        <f>_xlfn.XLOOKUP(E116,'All Products'!D:D,'All Products'!I:I,FALSE)</f>
        <v>Within 3 Weeks</v>
      </c>
      <c r="P116" s="384" t="str">
        <f>_xlfn.XLOOKUP(E116,'All Products'!D:D,'All Products'!J:J,FALSE)</f>
        <v>Manufactured</v>
      </c>
      <c r="Q116" s="397">
        <f>_xlfn.XLOOKUP(E116,'All Products'!D:D,'All Products'!K:K,FALSE)</f>
        <v>49081140922</v>
      </c>
      <c r="R116" s="397" t="str">
        <f>_xlfn.XLOOKUP(E116,'All Products'!D:D,'All Products'!L:L,FALSE)</f>
        <v>-</v>
      </c>
      <c r="S116" s="397">
        <f>_xlfn.XLOOKUP(E116,'All Products'!D:D,'All Products'!M:M,FALSE)</f>
        <v>40049081140920</v>
      </c>
      <c r="T116" s="384">
        <f>_xlfn.XLOOKUP(E116,'All Products'!D:D,'All Products'!N:N,FALSE)</f>
        <v>0.434</v>
      </c>
      <c r="U116" s="397" t="str">
        <f>_xlfn.XLOOKUP(E116,'All Products'!D:D,'All Products'!O:O,FALSE)</f>
        <v>-</v>
      </c>
      <c r="V116" s="384">
        <f>_xlfn.XLOOKUP(E116,'All Products'!D:D,'All Products'!P:P,FALSE)</f>
        <v>11.7</v>
      </c>
      <c r="W116" s="384">
        <f>_xlfn.XLOOKUP(E116,'All Products'!D:D,'All Products'!Q:Q,FALSE)</f>
        <v>0.8</v>
      </c>
    </row>
    <row r="117" spans="1:23" ht="15" customHeight="1">
      <c r="A117" s="101" t="str">
        <f>IF(K117&gt;0,COUNT($A$7:A116)
+COUNT('DWV PVC'!$A$9:$A$316)
+COUNT('DWV ABS'!$A$8:$A$116)+1,"")</f>
        <v/>
      </c>
      <c r="B117" s="608"/>
      <c r="C117" s="609"/>
      <c r="D117" s="369" t="str">
        <f>_xlfn.XLOOKUP(E117,'All Products'!D:D,'All Products'!C:C,FALSE)</f>
        <v>407-005</v>
      </c>
      <c r="E117" s="51">
        <v>100022523</v>
      </c>
      <c r="F117" s="376" t="str">
        <f>_xlfn.XLOOKUP(E117,'All Products'!D:D,'All Products'!E:E,FALSE)</f>
        <v>1/2 90 ELL SLIP X FIPT</v>
      </c>
      <c r="G117" s="232">
        <f>_xlfn.XLOOKUP(E117,'All Products'!D:D,'All Products'!F:F,FALSE)</f>
        <v>250</v>
      </c>
      <c r="H117" s="387">
        <f>_xlfn.XLOOKUP(E117,'All Products'!D:D,'All Products'!G:G,FALSE)</f>
        <v>22500</v>
      </c>
      <c r="I117" s="394">
        <f>_xlfn.XLOOKUP(E117,'All Products'!D:D,'All Products'!H:H,FALSE)</f>
        <v>1.96</v>
      </c>
      <c r="J117" s="183">
        <f>IFERROR(ROUND(I117*Order_Quote!$L$4,2),0)</f>
        <v>1.96</v>
      </c>
      <c r="K117" s="73"/>
      <c r="L117" s="76"/>
      <c r="M117" s="114">
        <f t="shared" si="7"/>
        <v>0</v>
      </c>
      <c r="O117" s="384" t="str">
        <f>_xlfn.XLOOKUP(E117,'All Products'!D:D,'All Products'!I:I,FALSE)</f>
        <v>In Stock</v>
      </c>
      <c r="P117" s="384" t="str">
        <f>_xlfn.XLOOKUP(E117,'All Products'!D:D,'All Products'!J:J,FALSE)</f>
        <v>Manufactured</v>
      </c>
      <c r="Q117" s="397">
        <f>_xlfn.XLOOKUP(E117,'All Products'!D:D,'All Products'!K:K,FALSE)</f>
        <v>49081141202</v>
      </c>
      <c r="R117" s="397">
        <f>_xlfn.XLOOKUP(E117,'All Products'!D:D,'All Products'!L:L,FALSE)</f>
        <v>49081641207</v>
      </c>
      <c r="S117" s="397">
        <f>_xlfn.XLOOKUP(E117,'All Products'!D:D,'All Products'!M:M,FALSE)</f>
        <v>40049081141200</v>
      </c>
      <c r="T117" s="384">
        <f>_xlfn.XLOOKUP(E117,'All Products'!D:D,'All Products'!N:N,FALSE)</f>
        <v>5.7000000000000002E-2</v>
      </c>
      <c r="U117" s="397">
        <f>_xlfn.XLOOKUP(E117,'All Products'!D:D,'All Products'!O:O,FALSE)</f>
        <v>10</v>
      </c>
      <c r="V117" s="384">
        <f>_xlfn.XLOOKUP(E117,'All Products'!D:D,'All Products'!P:P,FALSE)</f>
        <v>15.3</v>
      </c>
      <c r="W117" s="384">
        <f>_xlfn.XLOOKUP(E117,'All Products'!D:D,'All Products'!Q:Q,FALSE)</f>
        <v>0.8</v>
      </c>
    </row>
    <row r="118" spans="1:23" ht="15" customHeight="1">
      <c r="A118" s="101" t="str">
        <f>IF(K118&gt;0,COUNT($A$7:A117)
+COUNT('DWV PVC'!$A$9:$A$316)
+COUNT('DWV ABS'!$A$8:$A$116)+1,"")</f>
        <v/>
      </c>
      <c r="B118" s="610"/>
      <c r="C118" s="611"/>
      <c r="D118" s="369" t="str">
        <f>_xlfn.XLOOKUP(E118,'All Products'!D:D,'All Products'!C:C,FALSE)</f>
        <v>407-010</v>
      </c>
      <c r="E118" s="51">
        <v>100022527</v>
      </c>
      <c r="F118" s="376" t="str">
        <f>_xlfn.XLOOKUP(E118,'All Products'!D:D,'All Products'!E:E,FALSE)</f>
        <v>1 90 ELL SLIP X FIPT</v>
      </c>
      <c r="G118" s="232">
        <f>_xlfn.XLOOKUP(E118,'All Products'!D:D,'All Products'!F:F,FALSE)</f>
        <v>50</v>
      </c>
      <c r="H118" s="387">
        <f>_xlfn.XLOOKUP(E118,'All Products'!D:D,'All Products'!G:G,FALSE)</f>
        <v>7500</v>
      </c>
      <c r="I118" s="394">
        <f>_xlfn.XLOOKUP(E118,'All Products'!D:D,'All Products'!H:H,FALSE)</f>
        <v>4.25</v>
      </c>
      <c r="J118" s="183">
        <f>IFERROR(ROUND(I118*Order_Quote!$L$4,2),0)</f>
        <v>4.25</v>
      </c>
      <c r="K118" s="73"/>
      <c r="L118" s="76"/>
      <c r="M118" s="114">
        <f t="shared" si="7"/>
        <v>0</v>
      </c>
      <c r="O118" s="384" t="str">
        <f>_xlfn.XLOOKUP(E118,'All Products'!D:D,'All Products'!I:I,FALSE)</f>
        <v>In Stock</v>
      </c>
      <c r="P118" s="384" t="str">
        <f>_xlfn.XLOOKUP(E118,'All Products'!D:D,'All Products'!J:J,FALSE)</f>
        <v>Manufactured</v>
      </c>
      <c r="Q118" s="397">
        <f>_xlfn.XLOOKUP(E118,'All Products'!D:D,'All Products'!K:K,FALSE)</f>
        <v>49081141288</v>
      </c>
      <c r="R118" s="397">
        <f>_xlfn.XLOOKUP(E118,'All Products'!D:D,'All Products'!L:L,FALSE)</f>
        <v>49081641283</v>
      </c>
      <c r="S118" s="397">
        <f>_xlfn.XLOOKUP(E118,'All Products'!D:D,'All Products'!M:M,FALSE)</f>
        <v>40049081141286</v>
      </c>
      <c r="T118" s="384">
        <f>_xlfn.XLOOKUP(E118,'All Products'!D:D,'All Products'!N:N,FALSE)</f>
        <v>0.16700000000000001</v>
      </c>
      <c r="U118" s="397">
        <f>_xlfn.XLOOKUP(E118,'All Products'!D:D,'All Products'!O:O,FALSE)</f>
        <v>10</v>
      </c>
      <c r="V118" s="384">
        <f>_xlfn.XLOOKUP(E118,'All Products'!D:D,'All Products'!P:P,FALSE)</f>
        <v>9.18</v>
      </c>
      <c r="W118" s="384">
        <f>_xlfn.XLOOKUP(E118,'All Products'!D:D,'All Products'!Q:Q,FALSE)</f>
        <v>0.5</v>
      </c>
    </row>
    <row r="119" spans="1:23" ht="15" customHeight="1">
      <c r="B119" s="610"/>
      <c r="C119" s="611"/>
      <c r="D119" s="369" t="str">
        <f>_xlfn.XLOOKUP(E119,'All Products'!D:D,'All Products'!C:C,FALSE)</f>
        <v>407-012</v>
      </c>
      <c r="E119" s="51">
        <v>100022529</v>
      </c>
      <c r="F119" s="376" t="str">
        <f>_xlfn.XLOOKUP(E119,'All Products'!D:D,'All Products'!E:E,FALSE)</f>
        <v>1-1/4" ELL SLIP X FIPT</v>
      </c>
      <c r="G119" s="232">
        <f>_xlfn.XLOOKUP(E119,'All Products'!D:D,'All Products'!F:F,FALSE)</f>
        <v>50</v>
      </c>
      <c r="H119" s="387">
        <f>_xlfn.XLOOKUP(E119,'All Products'!D:D,'All Products'!G:G,FALSE)</f>
        <v>3000</v>
      </c>
      <c r="I119" s="394">
        <f>_xlfn.XLOOKUP(E119,'All Products'!D:D,'All Products'!H:H,FALSE)</f>
        <v>6.79</v>
      </c>
      <c r="J119" s="183">
        <f>IFERROR(ROUND(I119*Order_Quote!$L$4,2),0)</f>
        <v>6.79</v>
      </c>
      <c r="K119" s="73"/>
      <c r="L119" s="76"/>
      <c r="M119" s="114">
        <f t="shared" ref="M119" si="9">K119/G119</f>
        <v>0</v>
      </c>
      <c r="O119" s="384" t="str">
        <f>_xlfn.XLOOKUP(E119,'All Products'!D:D,'All Products'!I:I,FALSE)</f>
        <v>In Stock</v>
      </c>
      <c r="P119" s="384" t="str">
        <f>_xlfn.XLOOKUP(E119,'All Products'!D:D,'All Products'!J:J,FALSE)</f>
        <v>Manufactured</v>
      </c>
      <c r="Q119" s="397">
        <f>_xlfn.XLOOKUP(E119,'All Products'!D:D,'All Products'!K:K,FALSE)</f>
        <v>49081141349</v>
      </c>
      <c r="R119" s="397">
        <f>_xlfn.XLOOKUP(E119,'All Products'!D:D,'All Products'!L:L,FALSE)</f>
        <v>49081641344</v>
      </c>
      <c r="S119" s="397">
        <f>_xlfn.XLOOKUP(E119,'All Products'!D:D,'All Products'!M:M,FALSE)</f>
        <v>40049081141347</v>
      </c>
      <c r="T119" s="384">
        <f>_xlfn.XLOOKUP(E119,'All Products'!D:D,'All Products'!N:N,FALSE)</f>
        <v>0.28199999999999997</v>
      </c>
      <c r="U119" s="397">
        <f>_xlfn.XLOOKUP(E119,'All Products'!D:D,'All Products'!O:O,FALSE)</f>
        <v>5</v>
      </c>
      <c r="V119" s="384">
        <f>_xlfn.XLOOKUP(E119,'All Products'!D:D,'All Products'!P:P,FALSE)</f>
        <v>14.9</v>
      </c>
      <c r="W119" s="384">
        <f>_xlfn.XLOOKUP(E119,'All Products'!D:D,'All Products'!Q:Q,FALSE)</f>
        <v>0.72</v>
      </c>
    </row>
    <row r="120" spans="1:23" ht="15" customHeight="1">
      <c r="A120" s="101" t="str">
        <f>IF(K120&gt;0,COUNT($A$7:A118)
+COUNT('DWV PVC'!$A$9:$A$316)
+COUNT('DWV ABS'!$A$8:$A$116)+1,"")</f>
        <v/>
      </c>
      <c r="B120" s="610"/>
      <c r="C120" s="611"/>
      <c r="D120" s="369" t="str">
        <f>_xlfn.XLOOKUP(E120,'All Products'!D:D,'All Products'!C:C,FALSE)</f>
        <v>407-015</v>
      </c>
      <c r="E120" s="51">
        <v>100022531</v>
      </c>
      <c r="F120" s="376" t="str">
        <f>_xlfn.XLOOKUP(E120,'All Products'!D:D,'All Products'!E:E,FALSE)</f>
        <v>1-1/2 90 ELL SLIP X FIPT</v>
      </c>
      <c r="G120" s="232">
        <f>_xlfn.XLOOKUP(E120,'All Products'!D:D,'All Products'!F:F,FALSE)</f>
        <v>25</v>
      </c>
      <c r="H120" s="387">
        <f>_xlfn.XLOOKUP(E120,'All Products'!D:D,'All Products'!G:G,FALSE)</f>
        <v>3000</v>
      </c>
      <c r="I120" s="394">
        <f>_xlfn.XLOOKUP(E120,'All Products'!D:D,'All Products'!H:H,FALSE)</f>
        <v>7.93</v>
      </c>
      <c r="J120" s="183">
        <f>IFERROR(ROUND(I120*Order_Quote!$L$4,2),0)</f>
        <v>7.93</v>
      </c>
      <c r="K120" s="73"/>
      <c r="L120" s="76"/>
      <c r="M120" s="114">
        <f t="shared" si="7"/>
        <v>0</v>
      </c>
      <c r="O120" s="384" t="str">
        <f>_xlfn.XLOOKUP(E120,'All Products'!D:D,'All Products'!I:I,FALSE)</f>
        <v>Within 3 Weeks</v>
      </c>
      <c r="P120" s="384" t="str">
        <f>_xlfn.XLOOKUP(E120,'All Products'!D:D,'All Products'!J:J,FALSE)</f>
        <v>Manufactured</v>
      </c>
      <c r="Q120" s="397">
        <f>_xlfn.XLOOKUP(E120,'All Products'!D:D,'All Products'!K:K,FALSE)</f>
        <v>49081141400</v>
      </c>
      <c r="R120" s="397">
        <f>_xlfn.XLOOKUP(E120,'All Products'!D:D,'All Products'!L:L,FALSE)</f>
        <v>49081641405</v>
      </c>
      <c r="S120" s="397">
        <f>_xlfn.XLOOKUP(E120,'All Products'!D:D,'All Products'!M:M,FALSE)</f>
        <v>40049081141408</v>
      </c>
      <c r="T120" s="384">
        <f>_xlfn.XLOOKUP(E120,'All Products'!D:D,'All Products'!N:N,FALSE)</f>
        <v>0.32</v>
      </c>
      <c r="U120" s="397">
        <f>_xlfn.XLOOKUP(E120,'All Products'!D:D,'All Products'!O:O,FALSE)</f>
        <v>5</v>
      </c>
      <c r="V120" s="384">
        <f>_xlfn.XLOOKUP(E120,'All Products'!D:D,'All Products'!P:P,FALSE)</f>
        <v>8.5500000000000007</v>
      </c>
      <c r="W120" s="384">
        <f>_xlfn.XLOOKUP(E120,'All Products'!D:D,'All Products'!Q:Q,FALSE)</f>
        <v>0.65</v>
      </c>
    </row>
    <row r="121" spans="1:23" ht="15" customHeight="1">
      <c r="A121" s="101" t="str">
        <f>IF(K121&gt;0,COUNT($A$7:A120)
+COUNT('DWV PVC'!$A$9:$A$316)
+COUNT('DWV ABS'!$A$8:$A$116)+1,"")</f>
        <v/>
      </c>
      <c r="B121" s="610"/>
      <c r="C121" s="611"/>
      <c r="D121" s="369" t="str">
        <f>_xlfn.XLOOKUP(E121,'All Products'!D:D,'All Products'!C:C,FALSE)</f>
        <v>407-020</v>
      </c>
      <c r="E121" s="51">
        <v>100022533</v>
      </c>
      <c r="F121" s="376" t="str">
        <f>_xlfn.XLOOKUP(E121,'All Products'!D:D,'All Products'!E:E,FALSE)</f>
        <v>2 90 ELL SLIP X FIPT</v>
      </c>
      <c r="G121" s="232">
        <f>_xlfn.XLOOKUP(E121,'All Products'!D:D,'All Products'!F:F,FALSE)</f>
        <v>25</v>
      </c>
      <c r="H121" s="387">
        <f>_xlfn.XLOOKUP(E121,'All Products'!D:D,'All Products'!G:G,FALSE)</f>
        <v>1875</v>
      </c>
      <c r="I121" s="394">
        <f>_xlfn.XLOOKUP(E121,'All Products'!D:D,'All Products'!H:H,FALSE)</f>
        <v>20.38</v>
      </c>
      <c r="J121" s="183">
        <f>IFERROR(ROUND(I121*Order_Quote!$L$4,2),0)</f>
        <v>20.38</v>
      </c>
      <c r="K121" s="73"/>
      <c r="L121" s="76"/>
      <c r="M121" s="114">
        <f t="shared" si="7"/>
        <v>0</v>
      </c>
      <c r="O121" s="384" t="str">
        <f>_xlfn.XLOOKUP(E121,'All Products'!D:D,'All Products'!I:I,FALSE)</f>
        <v>In Stock</v>
      </c>
      <c r="P121" s="384" t="str">
        <f>_xlfn.XLOOKUP(E121,'All Products'!D:D,'All Products'!J:J,FALSE)</f>
        <v>Manufactured</v>
      </c>
      <c r="Q121" s="397">
        <f>_xlfn.XLOOKUP(E121,'All Products'!D:D,'All Products'!K:K,FALSE)</f>
        <v>49081141462</v>
      </c>
      <c r="R121" s="397">
        <f>_xlfn.XLOOKUP(E121,'All Products'!D:D,'All Products'!L:L,FALSE)</f>
        <v>49081641467</v>
      </c>
      <c r="S121" s="397">
        <f>_xlfn.XLOOKUP(E121,'All Products'!D:D,'All Products'!M:M,FALSE)</f>
        <v>40049081141460</v>
      </c>
      <c r="T121" s="384">
        <f>_xlfn.XLOOKUP(E121,'All Products'!D:D,'All Products'!N:N,FALSE)</f>
        <v>0.47199999999999998</v>
      </c>
      <c r="U121" s="397">
        <f>_xlfn.XLOOKUP(E121,'All Products'!D:D,'All Products'!O:O,FALSE)</f>
        <v>5</v>
      </c>
      <c r="V121" s="384">
        <f>_xlfn.XLOOKUP(E121,'All Products'!D:D,'All Products'!P:P,FALSE)</f>
        <v>12.81</v>
      </c>
      <c r="W121" s="384">
        <f>_xlfn.XLOOKUP(E121,'All Products'!D:D,'All Products'!Q:Q,FALSE)</f>
        <v>1.1000000000000001</v>
      </c>
    </row>
    <row r="122" spans="1:23" ht="15" customHeight="1">
      <c r="A122" s="101" t="str">
        <f>IF(K122&gt;0,COUNT($A$7:A121)
+COUNT('DWV PVC'!$A$9:$A$316)
+COUNT('DWV ABS'!$A$8:$A$116)+1,"")</f>
        <v/>
      </c>
      <c r="B122" s="610"/>
      <c r="C122" s="611"/>
      <c r="D122" s="369" t="str">
        <f>_xlfn.XLOOKUP(E122,'All Products'!D:D,'All Products'!C:C,FALSE)</f>
        <v>407-030</v>
      </c>
      <c r="E122" s="51">
        <v>100022536</v>
      </c>
      <c r="F122" s="376" t="str">
        <f>_xlfn.XLOOKUP(E122,'All Products'!D:D,'All Products'!E:E,FALSE)</f>
        <v>3 90 ELL SLIP X FIPT</v>
      </c>
      <c r="G122" s="232">
        <f>_xlfn.XLOOKUP(E122,'All Products'!D:D,'All Products'!F:F,FALSE)</f>
        <v>10</v>
      </c>
      <c r="H122" s="387">
        <f>_xlfn.XLOOKUP(E122,'All Products'!D:D,'All Products'!G:G,FALSE)</f>
        <v>750</v>
      </c>
      <c r="I122" s="394">
        <f>_xlfn.XLOOKUP(E122,'All Products'!D:D,'All Products'!H:H,FALSE)</f>
        <v>75.48</v>
      </c>
      <c r="J122" s="183">
        <f>IFERROR(ROUND(I122*Order_Quote!$L$4,2),0)</f>
        <v>75.48</v>
      </c>
      <c r="K122" s="73"/>
      <c r="L122" s="76"/>
      <c r="M122" s="114">
        <f t="shared" si="7"/>
        <v>0</v>
      </c>
      <c r="O122" s="384" t="str">
        <f>_xlfn.XLOOKUP(E122,'All Products'!D:D,'All Products'!I:I,FALSE)</f>
        <v>In Stock</v>
      </c>
      <c r="P122" s="384" t="str">
        <f>_xlfn.XLOOKUP(E122,'All Products'!D:D,'All Products'!J:J,FALSE)</f>
        <v>Manufactured</v>
      </c>
      <c r="Q122" s="397">
        <f>_xlfn.XLOOKUP(E122,'All Products'!D:D,'All Products'!K:K,FALSE)</f>
        <v>49081141547</v>
      </c>
      <c r="R122" s="397" t="str">
        <f>_xlfn.XLOOKUP(E122,'All Products'!D:D,'All Products'!L:L,FALSE)</f>
        <v>-</v>
      </c>
      <c r="S122" s="397">
        <f>_xlfn.XLOOKUP(E122,'All Products'!D:D,'All Products'!M:M,FALSE)</f>
        <v>40049081141545</v>
      </c>
      <c r="T122" s="384">
        <f>_xlfn.XLOOKUP(E122,'All Products'!D:D,'All Products'!N:N,FALSE)</f>
        <v>1.4450000000000001</v>
      </c>
      <c r="U122" s="397" t="str">
        <f>_xlfn.XLOOKUP(E122,'All Products'!D:D,'All Products'!O:O,FALSE)</f>
        <v>-</v>
      </c>
      <c r="V122" s="384">
        <f>_xlfn.XLOOKUP(E122,'All Products'!D:D,'All Products'!P:P,FALSE)</f>
        <v>14.6</v>
      </c>
      <c r="W122" s="384">
        <f>_xlfn.XLOOKUP(E122,'All Products'!D:D,'All Products'!Q:Q,FALSE)</f>
        <v>0.95</v>
      </c>
    </row>
    <row r="123" spans="1:23" ht="15" customHeight="1">
      <c r="A123" s="101" t="str">
        <f>IF(K123&gt;0,COUNT($A$7:A122)
+COUNT('DWV PVC'!$A$9:$A$316)
+COUNT('DWV ABS'!$A$8:$A$116)+1,"")</f>
        <v/>
      </c>
      <c r="B123" s="612"/>
      <c r="C123" s="613"/>
      <c r="D123" s="369" t="str">
        <f>_xlfn.XLOOKUP(E123,'All Products'!D:D,'All Products'!C:C,FALSE)</f>
        <v>407-040</v>
      </c>
      <c r="E123" s="51">
        <v>100022537</v>
      </c>
      <c r="F123" s="376" t="str">
        <f>_xlfn.XLOOKUP(E123,'All Products'!D:D,'All Products'!E:E,FALSE)</f>
        <v>4 90 ELL SLIP X FIPT</v>
      </c>
      <c r="G123" s="232">
        <f>_xlfn.XLOOKUP(E123,'All Products'!D:D,'All Products'!F:F,FALSE)</f>
        <v>5</v>
      </c>
      <c r="H123" s="387">
        <f>_xlfn.XLOOKUP(E123,'All Products'!D:D,'All Products'!G:G,FALSE)</f>
        <v>375</v>
      </c>
      <c r="I123" s="394">
        <f>_xlfn.XLOOKUP(E123,'All Products'!D:D,'All Products'!H:H,FALSE)</f>
        <v>114.43</v>
      </c>
      <c r="J123" s="183">
        <f>IFERROR(ROUND(I123*Order_Quote!$L$4,2),0)</f>
        <v>114.43</v>
      </c>
      <c r="K123" s="73"/>
      <c r="L123" s="76"/>
      <c r="M123" s="114">
        <f t="shared" si="7"/>
        <v>0</v>
      </c>
      <c r="O123" s="384" t="str">
        <f>_xlfn.XLOOKUP(E123,'All Products'!D:D,'All Products'!I:I,FALSE)</f>
        <v>In Stock</v>
      </c>
      <c r="P123" s="384" t="str">
        <f>_xlfn.XLOOKUP(E123,'All Products'!D:D,'All Products'!J:J,FALSE)</f>
        <v>Manufactured</v>
      </c>
      <c r="Q123" s="397">
        <f>_xlfn.XLOOKUP(E123,'All Products'!D:D,'All Products'!K:K,FALSE)</f>
        <v>49081141561</v>
      </c>
      <c r="R123" s="397" t="str">
        <f>_xlfn.XLOOKUP(E123,'All Products'!D:D,'All Products'!L:L,FALSE)</f>
        <v>-</v>
      </c>
      <c r="S123" s="397">
        <f>_xlfn.XLOOKUP(E123,'All Products'!D:D,'All Products'!M:M,FALSE)</f>
        <v>40049081141569</v>
      </c>
      <c r="T123" s="384">
        <f>_xlfn.XLOOKUP(E123,'All Products'!D:D,'All Products'!N:N,FALSE)</f>
        <v>2.3639999999999999</v>
      </c>
      <c r="U123" s="397" t="str">
        <f>_xlfn.XLOOKUP(E123,'All Products'!D:D,'All Products'!O:O,FALSE)</f>
        <v>-</v>
      </c>
      <c r="V123" s="384">
        <f>_xlfn.XLOOKUP(E123,'All Products'!D:D,'All Products'!P:P,FALSE)</f>
        <v>11.82</v>
      </c>
      <c r="W123" s="384">
        <f>_xlfn.XLOOKUP(E123,'All Products'!D:D,'All Products'!Q:Q,FALSE)</f>
        <v>1.1000000000000001</v>
      </c>
    </row>
    <row r="124" spans="1:23" ht="15" customHeight="1">
      <c r="A124" s="101" t="str">
        <f>IF(K124&gt;0,COUNT($A$7:A123)
+COUNT('DWV PVC'!$A$9:$A$316)
+COUNT('DWV ABS'!$A$8:$A$116)+1,"")</f>
        <v/>
      </c>
      <c r="B124" s="608"/>
      <c r="C124" s="609"/>
      <c r="D124" s="369" t="str">
        <f>_xlfn.XLOOKUP(E124,'All Products'!D:D,'All Products'!C:C,FALSE)</f>
        <v>407-101</v>
      </c>
      <c r="E124" s="51">
        <v>100022539</v>
      </c>
      <c r="F124" s="376" t="str">
        <f>_xlfn.XLOOKUP(E124,'All Products'!D:D,'All Products'!E:E,FALSE)</f>
        <v>3/4X1/2 90 REDUCING ELL SXFIPT</v>
      </c>
      <c r="G124" s="232">
        <f>_xlfn.XLOOKUP(E124,'All Products'!D:D,'All Products'!F:F,FALSE)</f>
        <v>200</v>
      </c>
      <c r="H124" s="387">
        <f>_xlfn.XLOOKUP(E124,'All Products'!D:D,'All Products'!G:G,FALSE)</f>
        <v>18000</v>
      </c>
      <c r="I124" s="394">
        <f>_xlfn.XLOOKUP(E124,'All Products'!D:D,'All Products'!H:H,FALSE)</f>
        <v>2.37</v>
      </c>
      <c r="J124" s="183">
        <f>IFERROR(ROUND(I124*Order_Quote!$L$4,2),0)</f>
        <v>2.37</v>
      </c>
      <c r="K124" s="73"/>
      <c r="L124" s="76"/>
      <c r="M124" s="114">
        <f t="shared" si="7"/>
        <v>0</v>
      </c>
      <c r="O124" s="384" t="str">
        <f>_xlfn.XLOOKUP(E124,'All Products'!D:D,'All Products'!I:I,FALSE)</f>
        <v>In Stock</v>
      </c>
      <c r="P124" s="384" t="str">
        <f>_xlfn.XLOOKUP(E124,'All Products'!D:D,'All Products'!J:J,FALSE)</f>
        <v>Manufactured</v>
      </c>
      <c r="Q124" s="397">
        <f>_xlfn.XLOOKUP(E124,'All Products'!D:D,'All Products'!K:K,FALSE)</f>
        <v>49081141264</v>
      </c>
      <c r="R124" s="397">
        <f>_xlfn.XLOOKUP(E124,'All Products'!D:D,'All Products'!L:L,FALSE)</f>
        <v>49081641269</v>
      </c>
      <c r="S124" s="397">
        <f>_xlfn.XLOOKUP(E124,'All Products'!D:D,'All Products'!M:M,FALSE)</f>
        <v>40049081141262</v>
      </c>
      <c r="T124" s="384">
        <f>_xlfn.XLOOKUP(E124,'All Products'!D:D,'All Products'!N:N,FALSE)</f>
        <v>7.3999999999999996E-2</v>
      </c>
      <c r="U124" s="397">
        <f>_xlfn.XLOOKUP(E124,'All Products'!D:D,'All Products'!O:O,FALSE)</f>
        <v>10</v>
      </c>
      <c r="V124" s="384">
        <f>_xlfn.XLOOKUP(E124,'All Products'!D:D,'All Products'!P:P,FALSE)</f>
        <v>14.3</v>
      </c>
      <c r="W124" s="384">
        <f>_xlfn.XLOOKUP(E124,'All Products'!D:D,'All Products'!Q:Q,FALSE)</f>
        <v>0.8</v>
      </c>
    </row>
    <row r="125" spans="1:23" ht="15" customHeight="1">
      <c r="A125" s="101" t="str">
        <f>IF(K125&gt;0,COUNT($A$7:A124)
+COUNT('DWV PVC'!$A$9:$A$316)
+COUNT('DWV ABS'!$A$8:$A$116)+1,"")</f>
        <v/>
      </c>
      <c r="B125" s="610"/>
      <c r="C125" s="611"/>
      <c r="D125" s="369" t="str">
        <f>_xlfn.XLOOKUP(E125,'All Products'!D:D,'All Products'!C:C,FALSE)</f>
        <v>407-130</v>
      </c>
      <c r="E125" s="51">
        <v>100022541</v>
      </c>
      <c r="F125" s="376" t="str">
        <f>_xlfn.XLOOKUP(E125,'All Products'!D:D,'All Products'!E:E,FALSE)</f>
        <v>1X1/2 90 REDUCING ELL SXFIPT</v>
      </c>
      <c r="G125" s="232">
        <f>_xlfn.XLOOKUP(E125,'All Products'!D:D,'All Products'!F:F,FALSE)</f>
        <v>100</v>
      </c>
      <c r="H125" s="387">
        <f>_xlfn.XLOOKUP(E125,'All Products'!D:D,'All Products'!G:G,FALSE)</f>
        <v>12000</v>
      </c>
      <c r="I125" s="394">
        <f>_xlfn.XLOOKUP(E125,'All Products'!D:D,'All Products'!H:H,FALSE)</f>
        <v>6.53</v>
      </c>
      <c r="J125" s="183">
        <f>IFERROR(ROUND(I125*Order_Quote!$L$4,2),0)</f>
        <v>6.53</v>
      </c>
      <c r="K125" s="73"/>
      <c r="L125" s="76"/>
      <c r="M125" s="114">
        <f t="shared" si="7"/>
        <v>0</v>
      </c>
      <c r="O125" s="384" t="str">
        <f>_xlfn.XLOOKUP(E125,'All Products'!D:D,'All Products'!I:I,FALSE)</f>
        <v>In Stock</v>
      </c>
      <c r="P125" s="384" t="str">
        <f>_xlfn.XLOOKUP(E125,'All Products'!D:D,'All Products'!J:J,FALSE)</f>
        <v>Manufactured</v>
      </c>
      <c r="Q125" s="397">
        <f>_xlfn.XLOOKUP(E125,'All Products'!D:D,'All Products'!K:K,FALSE)</f>
        <v>49081141325</v>
      </c>
      <c r="R125" s="397">
        <f>_xlfn.XLOOKUP(E125,'All Products'!D:D,'All Products'!L:L,FALSE)</f>
        <v>49081641320</v>
      </c>
      <c r="S125" s="397">
        <f>_xlfn.XLOOKUP(E125,'All Products'!D:D,'All Products'!M:M,FALSE)</f>
        <v>40049081141323</v>
      </c>
      <c r="T125" s="384">
        <f>_xlfn.XLOOKUP(E125,'All Products'!D:D,'All Products'!N:N,FALSE)</f>
        <v>0.104</v>
      </c>
      <c r="U125" s="397">
        <f>_xlfn.XLOOKUP(E125,'All Products'!D:D,'All Products'!O:O,FALSE)</f>
        <v>10</v>
      </c>
      <c r="V125" s="384">
        <f>_xlfn.XLOOKUP(E125,'All Products'!D:D,'All Products'!P:P,FALSE)</f>
        <v>11.31</v>
      </c>
      <c r="W125" s="384">
        <f>_xlfn.XLOOKUP(E125,'All Products'!D:D,'All Products'!Q:Q,FALSE)</f>
        <v>0.65</v>
      </c>
    </row>
    <row r="126" spans="1:23" ht="15" customHeight="1">
      <c r="A126" s="101" t="str">
        <f>IF(K126&gt;0,COUNT($A$7:A125)
+COUNT('DWV PVC'!$A$9:$A$316)
+COUNT('DWV ABS'!$A$8:$A$116)+1,"")</f>
        <v/>
      </c>
      <c r="B126" s="610"/>
      <c r="C126" s="611"/>
      <c r="D126" s="369" t="str">
        <f>_xlfn.XLOOKUP(E126,'All Products'!D:D,'All Products'!C:C,FALSE)</f>
        <v>407-131</v>
      </c>
      <c r="E126" s="51">
        <v>100022543</v>
      </c>
      <c r="F126" s="376" t="str">
        <f>_xlfn.XLOOKUP(E126,'All Products'!D:D,'All Products'!E:E,FALSE)</f>
        <v>1X3/4 90 REDUCING ELL SXFIPT</v>
      </c>
      <c r="G126" s="232">
        <f>_xlfn.XLOOKUP(E126,'All Products'!D:D,'All Products'!F:F,FALSE)</f>
        <v>50</v>
      </c>
      <c r="H126" s="387">
        <f>_xlfn.XLOOKUP(E126,'All Products'!D:D,'All Products'!G:G,FALSE)</f>
        <v>7500</v>
      </c>
      <c r="I126" s="394">
        <f>_xlfn.XLOOKUP(E126,'All Products'!D:D,'All Products'!H:H,FALSE)</f>
        <v>6.53</v>
      </c>
      <c r="J126" s="183">
        <f>IFERROR(ROUND(I126*Order_Quote!$L$4,2),0)</f>
        <v>6.53</v>
      </c>
      <c r="K126" s="73"/>
      <c r="L126" s="76"/>
      <c r="M126" s="114">
        <f t="shared" si="7"/>
        <v>0</v>
      </c>
      <c r="O126" s="384" t="str">
        <f>_xlfn.XLOOKUP(E126,'All Products'!D:D,'All Products'!I:I,FALSE)</f>
        <v>In Stock</v>
      </c>
      <c r="P126" s="384" t="str">
        <f>_xlfn.XLOOKUP(E126,'All Products'!D:D,'All Products'!J:J,FALSE)</f>
        <v>Manufactured</v>
      </c>
      <c r="Q126" s="397">
        <f>_xlfn.XLOOKUP(E126,'All Products'!D:D,'All Products'!K:K,FALSE)</f>
        <v>49081141301</v>
      </c>
      <c r="R126" s="397">
        <f>_xlfn.XLOOKUP(E126,'All Products'!D:D,'All Products'!L:L,FALSE)</f>
        <v>49081641306</v>
      </c>
      <c r="S126" s="397">
        <f>_xlfn.XLOOKUP(E126,'All Products'!D:D,'All Products'!M:M,FALSE)</f>
        <v>40049081141309</v>
      </c>
      <c r="T126" s="384">
        <f>_xlfn.XLOOKUP(E126,'All Products'!D:D,'All Products'!N:N,FALSE)</f>
        <v>0.115</v>
      </c>
      <c r="U126" s="397">
        <f>_xlfn.XLOOKUP(E126,'All Products'!D:D,'All Products'!O:O,FALSE)</f>
        <v>10</v>
      </c>
      <c r="V126" s="384">
        <f>_xlfn.XLOOKUP(E126,'All Products'!D:D,'All Products'!P:P,FALSE)</f>
        <v>6.93</v>
      </c>
      <c r="W126" s="384">
        <f>_xlfn.XLOOKUP(E126,'All Products'!D:D,'All Products'!Q:Q,FALSE)</f>
        <v>0.5</v>
      </c>
    </row>
    <row r="127" spans="1:23" ht="15" customHeight="1">
      <c r="B127" s="610"/>
      <c r="C127" s="611"/>
      <c r="D127" s="369" t="str">
        <f>_xlfn.XLOOKUP(E127,'All Products'!D:D,'All Products'!C:C,FALSE)</f>
        <v>407-168</v>
      </c>
      <c r="E127" s="51">
        <v>100022544</v>
      </c>
      <c r="F127" s="376" t="str">
        <f>_xlfn.XLOOKUP(E127,'All Products'!D:D,'All Products'!E:E,FALSE)</f>
        <v>1-1/4 X 1" REDUCING ELL SXFIPT</v>
      </c>
      <c r="G127" s="232">
        <f>_xlfn.XLOOKUP(E127,'All Products'!D:D,'All Products'!F:F,FALSE)</f>
        <v>50</v>
      </c>
      <c r="H127" s="387">
        <f>_xlfn.XLOOKUP(E127,'All Products'!D:D,'All Products'!G:G,FALSE)</f>
        <v>3750</v>
      </c>
      <c r="I127" s="394">
        <f>_xlfn.XLOOKUP(E127,'All Products'!D:D,'All Products'!H:H,FALSE)</f>
        <v>9.06</v>
      </c>
      <c r="J127" s="183">
        <f>IFERROR(ROUND(I127*Order_Quote!$L$4,2),0)</f>
        <v>9.06</v>
      </c>
      <c r="K127" s="73"/>
      <c r="L127" s="76"/>
      <c r="M127" s="114">
        <f t="shared" ref="M127" si="10">K127/G127</f>
        <v>0</v>
      </c>
      <c r="O127" s="384" t="str">
        <f>_xlfn.XLOOKUP(E127,'All Products'!D:D,'All Products'!I:I,FALSE)</f>
        <v>Within 3 Weeks</v>
      </c>
      <c r="P127" s="384" t="str">
        <f>_xlfn.XLOOKUP(E127,'All Products'!D:D,'All Products'!J:J,FALSE)</f>
        <v>Manufactured</v>
      </c>
      <c r="Q127" s="397">
        <f>_xlfn.XLOOKUP(E127,'All Products'!D:D,'All Products'!K:K,FALSE)</f>
        <v>49081141363</v>
      </c>
      <c r="R127" s="397">
        <f>_xlfn.XLOOKUP(E127,'All Products'!D:D,'All Products'!L:L,FALSE)</f>
        <v>49081641368</v>
      </c>
      <c r="S127" s="397">
        <f>_xlfn.XLOOKUP(E127,'All Products'!D:D,'All Products'!M:M,FALSE)</f>
        <v>40049081141361</v>
      </c>
      <c r="T127" s="384">
        <f>_xlfn.XLOOKUP(E127,'All Products'!D:D,'All Products'!N:N,FALSE)</f>
        <v>0.26400000000000001</v>
      </c>
      <c r="U127" s="397">
        <f>_xlfn.XLOOKUP(E127,'All Products'!D:D,'All Products'!O:O,FALSE)</f>
        <v>5</v>
      </c>
      <c r="V127" s="384">
        <f>_xlfn.XLOOKUP(E127,'All Products'!D:D,'All Products'!P:P,FALSE)</f>
        <v>13.2</v>
      </c>
      <c r="W127" s="384">
        <f>_xlfn.XLOOKUP(E127,'All Products'!D:D,'All Products'!Q:Q,FALSE)</f>
        <v>0.57999999999999996</v>
      </c>
    </row>
    <row r="128" spans="1:23" ht="15" customHeight="1">
      <c r="A128" s="101" t="str">
        <f>IF(K128&gt;0,COUNT($A$7:A126)
+COUNT('DWV PVC'!$A$9:$A$316)
+COUNT('DWV ABS'!$A$8:$A$116)+1,"")</f>
        <v/>
      </c>
      <c r="B128" s="612"/>
      <c r="C128" s="613"/>
      <c r="D128" s="369" t="str">
        <f>_xlfn.XLOOKUP(E128,'All Products'!D:D,'All Products'!C:C,FALSE)</f>
        <v>407-211</v>
      </c>
      <c r="E128" s="51">
        <v>100022545</v>
      </c>
      <c r="F128" s="376" t="str">
        <f>_xlfn.XLOOKUP(E128,'All Products'!D:D,'All Products'!E:E,FALSE)</f>
        <v>1-1/2X1 90 REDUCING ELL SLIPXFIPT</v>
      </c>
      <c r="G128" s="232">
        <f>_xlfn.XLOOKUP(E128,'All Products'!D:D,'All Products'!F:F,FALSE)</f>
        <v>25</v>
      </c>
      <c r="H128" s="387">
        <f>_xlfn.XLOOKUP(E128,'All Products'!D:D,'All Products'!G:G,FALSE)</f>
        <v>3000</v>
      </c>
      <c r="I128" s="394">
        <f>_xlfn.XLOOKUP(E128,'All Products'!D:D,'All Products'!H:H,FALSE)</f>
        <v>15.78</v>
      </c>
      <c r="J128" s="183">
        <f>IFERROR(ROUND(I128*Order_Quote!$L$4,2),0)</f>
        <v>15.78</v>
      </c>
      <c r="K128" s="73"/>
      <c r="L128" s="76"/>
      <c r="M128" s="114">
        <f t="shared" ref="M128:M171" si="11">K128/G128</f>
        <v>0</v>
      </c>
      <c r="O128" s="384" t="str">
        <f>_xlfn.XLOOKUP(E128,'All Products'!D:D,'All Products'!I:I,FALSE)</f>
        <v>In Stock</v>
      </c>
      <c r="P128" s="384" t="str">
        <f>_xlfn.XLOOKUP(E128,'All Products'!D:D,'All Products'!J:J,FALSE)</f>
        <v>Manufactured</v>
      </c>
      <c r="Q128" s="397">
        <f>_xlfn.XLOOKUP(E128,'All Products'!D:D,'All Products'!K:K,FALSE)</f>
        <v>49081141448</v>
      </c>
      <c r="R128" s="397">
        <f>_xlfn.XLOOKUP(E128,'All Products'!D:D,'All Products'!L:L,FALSE)</f>
        <v>49081641443</v>
      </c>
      <c r="S128" s="397">
        <f>_xlfn.XLOOKUP(E128,'All Products'!D:D,'All Products'!M:M,FALSE)</f>
        <v>40049081141446</v>
      </c>
      <c r="T128" s="384">
        <f>_xlfn.XLOOKUP(E128,'All Products'!D:D,'All Products'!N:N,FALSE)</f>
        <v>0.46300000000000002</v>
      </c>
      <c r="U128" s="397">
        <f>_xlfn.XLOOKUP(E128,'All Products'!D:D,'All Products'!O:O,FALSE)</f>
        <v>5</v>
      </c>
      <c r="V128" s="384">
        <f>_xlfn.XLOOKUP(E128,'All Products'!D:D,'All Products'!P:P,FALSE)</f>
        <v>11.57</v>
      </c>
      <c r="W128" s="384">
        <f>_xlfn.XLOOKUP(E128,'All Products'!D:D,'All Products'!Q:Q,FALSE)</f>
        <v>0.65</v>
      </c>
    </row>
    <row r="129" spans="1:23" ht="15" customHeight="1">
      <c r="A129" s="101" t="str">
        <f>IF(K129&gt;0,COUNT($A$7:A128)
+COUNT('DWV PVC'!$A$9:$A$316)
+COUNT('DWV ABS'!$A$8:$A$116)+1,"")</f>
        <v/>
      </c>
      <c r="B129" s="608"/>
      <c r="C129" s="609"/>
      <c r="D129" s="369" t="str">
        <f>_xlfn.XLOOKUP(E129,'All Products'!D:D,'All Products'!C:C,FALSE)</f>
        <v>408-005</v>
      </c>
      <c r="E129" s="51">
        <v>100022547</v>
      </c>
      <c r="F129" s="376" t="str">
        <f>_xlfn.XLOOKUP(E129,'All Products'!D:D,'All Products'!E:E,FALSE)</f>
        <v>1/2 90 ELL FIPT X FIPT</v>
      </c>
      <c r="G129" s="232">
        <f>_xlfn.XLOOKUP(E129,'All Products'!D:D,'All Products'!F:F,FALSE)</f>
        <v>250</v>
      </c>
      <c r="H129" s="387">
        <f>_xlfn.XLOOKUP(E129,'All Products'!D:D,'All Products'!G:G,FALSE)</f>
        <v>22500</v>
      </c>
      <c r="I129" s="394">
        <f>_xlfn.XLOOKUP(E129,'All Products'!D:D,'All Products'!H:H,FALSE)</f>
        <v>3.86</v>
      </c>
      <c r="J129" s="183">
        <f>IFERROR(ROUND(I129*Order_Quote!$L$4,2),0)</f>
        <v>3.86</v>
      </c>
      <c r="K129" s="73"/>
      <c r="L129" s="76"/>
      <c r="M129" s="114">
        <f t="shared" si="11"/>
        <v>0</v>
      </c>
      <c r="O129" s="384" t="str">
        <f>_xlfn.XLOOKUP(E129,'All Products'!D:D,'All Products'!I:I,FALSE)</f>
        <v>In Stock</v>
      </c>
      <c r="P129" s="384" t="str">
        <f>_xlfn.XLOOKUP(E129,'All Products'!D:D,'All Products'!J:J,FALSE)</f>
        <v>Manufactured</v>
      </c>
      <c r="Q129" s="397">
        <f>_xlfn.XLOOKUP(E129,'All Products'!D:D,'All Products'!K:K,FALSE)</f>
        <v>49081142063</v>
      </c>
      <c r="R129" s="397">
        <f>_xlfn.XLOOKUP(E129,'All Products'!D:D,'All Products'!L:L,FALSE)</f>
        <v>49081642068</v>
      </c>
      <c r="S129" s="397">
        <f>_xlfn.XLOOKUP(E129,'All Products'!D:D,'All Products'!M:M,FALSE)</f>
        <v>40049081142061</v>
      </c>
      <c r="T129" s="384">
        <f>_xlfn.XLOOKUP(E129,'All Products'!D:D,'All Products'!N:N,FALSE)</f>
        <v>7.0000000000000007E-2</v>
      </c>
      <c r="U129" s="397">
        <f>_xlfn.XLOOKUP(E129,'All Products'!D:D,'All Products'!O:O,FALSE)</f>
        <v>10</v>
      </c>
      <c r="V129" s="384">
        <f>_xlfn.XLOOKUP(E129,'All Products'!D:D,'All Products'!P:P,FALSE)</f>
        <v>18.53</v>
      </c>
      <c r="W129" s="384">
        <f>_xlfn.XLOOKUP(E129,'All Products'!D:D,'All Products'!Q:Q,FALSE)</f>
        <v>0.8</v>
      </c>
    </row>
    <row r="130" spans="1:23" ht="15" customHeight="1">
      <c r="A130" s="101" t="str">
        <f>IF(K130&gt;0,COUNT($A$7:A129)
+COUNT('DWV PVC'!$A$9:$A$316)
+COUNT('DWV ABS'!$A$8:$A$116)+1,"")</f>
        <v/>
      </c>
      <c r="B130" s="610"/>
      <c r="C130" s="611"/>
      <c r="D130" s="369" t="str">
        <f>_xlfn.XLOOKUP(E130,'All Products'!D:D,'All Products'!C:C,FALSE)</f>
        <v>408-010</v>
      </c>
      <c r="E130" s="51">
        <v>100022551</v>
      </c>
      <c r="F130" s="376" t="str">
        <f>_xlfn.XLOOKUP(E130,'All Products'!D:D,'All Products'!E:E,FALSE)</f>
        <v>1 90 ELL FIPT X FIPT</v>
      </c>
      <c r="G130" s="232">
        <f>_xlfn.XLOOKUP(E130,'All Products'!D:D,'All Products'!F:F,FALSE)</f>
        <v>50</v>
      </c>
      <c r="H130" s="387">
        <f>_xlfn.XLOOKUP(E130,'All Products'!D:D,'All Products'!G:G,FALSE)</f>
        <v>7500</v>
      </c>
      <c r="I130" s="394">
        <f>_xlfn.XLOOKUP(E130,'All Products'!D:D,'All Products'!H:H,FALSE)</f>
        <v>12.14</v>
      </c>
      <c r="J130" s="183">
        <f>IFERROR(ROUND(I130*Order_Quote!$L$4,2),0)</f>
        <v>12.14</v>
      </c>
      <c r="K130" s="73"/>
      <c r="L130" s="76"/>
      <c r="M130" s="114">
        <f t="shared" si="11"/>
        <v>0</v>
      </c>
      <c r="O130" s="384" t="str">
        <f>_xlfn.XLOOKUP(E130,'All Products'!D:D,'All Products'!I:I,FALSE)</f>
        <v>In Stock</v>
      </c>
      <c r="P130" s="384" t="str">
        <f>_xlfn.XLOOKUP(E130,'All Products'!D:D,'All Products'!J:J,FALSE)</f>
        <v>Manufactured</v>
      </c>
      <c r="Q130" s="397">
        <f>_xlfn.XLOOKUP(E130,'All Products'!D:D,'All Products'!K:K,FALSE)</f>
        <v>49081142100</v>
      </c>
      <c r="R130" s="397">
        <f>_xlfn.XLOOKUP(E130,'All Products'!D:D,'All Products'!L:L,FALSE)</f>
        <v>49081642105</v>
      </c>
      <c r="S130" s="397">
        <f>_xlfn.XLOOKUP(E130,'All Products'!D:D,'All Products'!M:M,FALSE)</f>
        <v>40049081142108</v>
      </c>
      <c r="T130" s="384">
        <f>_xlfn.XLOOKUP(E130,'All Products'!D:D,'All Products'!N:N,FALSE)</f>
        <v>0.19900000000000001</v>
      </c>
      <c r="U130" s="397">
        <f>_xlfn.XLOOKUP(E130,'All Products'!D:D,'All Products'!O:O,FALSE)</f>
        <v>10</v>
      </c>
      <c r="V130" s="384">
        <f>_xlfn.XLOOKUP(E130,'All Products'!D:D,'All Products'!P:P,FALSE)</f>
        <v>10.35</v>
      </c>
      <c r="W130" s="384">
        <f>_xlfn.XLOOKUP(E130,'All Products'!D:D,'All Products'!Q:Q,FALSE)</f>
        <v>0.5</v>
      </c>
    </row>
    <row r="131" spans="1:23" ht="15" customHeight="1">
      <c r="B131" s="610"/>
      <c r="C131" s="611"/>
      <c r="D131" s="369" t="str">
        <f>_xlfn.XLOOKUP(E131,'All Products'!D:D,'All Products'!C:C,FALSE)</f>
        <v>408-012</v>
      </c>
      <c r="E131" s="51">
        <v>100022553</v>
      </c>
      <c r="F131" s="376" t="str">
        <f>_xlfn.XLOOKUP(E131,'All Products'!D:D,'All Products'!E:E,FALSE)</f>
        <v>1-1/4" ELL FIPT X FIPT</v>
      </c>
      <c r="G131" s="232">
        <f>_xlfn.XLOOKUP(E131,'All Products'!D:D,'All Products'!F:F,FALSE)</f>
        <v>50</v>
      </c>
      <c r="H131" s="387">
        <f>_xlfn.XLOOKUP(E131,'All Products'!D:D,'All Products'!G:G,FALSE)</f>
        <v>3000</v>
      </c>
      <c r="I131" s="394">
        <f>_xlfn.XLOOKUP(E131,'All Products'!D:D,'All Products'!H:H,FALSE)</f>
        <v>12.38</v>
      </c>
      <c r="J131" s="183">
        <f>IFERROR(ROUND(I131*Order_Quote!$L$4,2),0)</f>
        <v>12.38</v>
      </c>
      <c r="K131" s="73"/>
      <c r="L131" s="76"/>
      <c r="M131" s="114">
        <f t="shared" ref="M131" si="12">K131/G131</f>
        <v>0</v>
      </c>
      <c r="O131" s="384" t="str">
        <f>_xlfn.XLOOKUP(E131,'All Products'!D:D,'All Products'!I:I,FALSE)</f>
        <v>Within 3 Weeks</v>
      </c>
      <c r="P131" s="384" t="str">
        <f>_xlfn.XLOOKUP(E131,'All Products'!D:D,'All Products'!J:J,FALSE)</f>
        <v>Manufactured</v>
      </c>
      <c r="Q131" s="397">
        <f>_xlfn.XLOOKUP(E131,'All Products'!D:D,'All Products'!K:K,FALSE)</f>
        <v>49081142124</v>
      </c>
      <c r="R131" s="397">
        <f>_xlfn.XLOOKUP(E131,'All Products'!D:D,'All Products'!L:L,FALSE)</f>
        <v>49081642129</v>
      </c>
      <c r="S131" s="397">
        <f>_xlfn.XLOOKUP(E131,'All Products'!D:D,'All Products'!M:M,FALSE)</f>
        <v>40049081142122</v>
      </c>
      <c r="T131" s="384">
        <f>_xlfn.XLOOKUP(E131,'All Products'!D:D,'All Products'!N:N,FALSE)</f>
        <v>0.29599999999999999</v>
      </c>
      <c r="U131" s="397">
        <f>_xlfn.XLOOKUP(E131,'All Products'!D:D,'All Products'!O:O,FALSE)</f>
        <v>5</v>
      </c>
      <c r="V131" s="384">
        <f>_xlfn.XLOOKUP(E131,'All Products'!D:D,'All Products'!P:P,FALSE)</f>
        <v>15.75</v>
      </c>
      <c r="W131" s="384">
        <f>_xlfn.XLOOKUP(E131,'All Products'!D:D,'All Products'!Q:Q,FALSE)</f>
        <v>0.72</v>
      </c>
    </row>
    <row r="132" spans="1:23" ht="15" customHeight="1">
      <c r="A132" s="101" t="str">
        <f>IF(K132&gt;0,COUNT($A$7:A130)
+COUNT('DWV PVC'!$A$9:$A$316)
+COUNT('DWV ABS'!$A$8:$A$116)+1,"")</f>
        <v/>
      </c>
      <c r="B132" s="612"/>
      <c r="C132" s="613"/>
      <c r="D132" s="369" t="str">
        <f>_xlfn.XLOOKUP(E132,'All Products'!D:D,'All Products'!C:C,FALSE)</f>
        <v>408-015</v>
      </c>
      <c r="E132" s="51">
        <v>100022555</v>
      </c>
      <c r="F132" s="376" t="str">
        <f>_xlfn.XLOOKUP(E132,'All Products'!D:D,'All Products'!E:E,FALSE)</f>
        <v>1-1/2 90 ELL FIPT X FIPT</v>
      </c>
      <c r="G132" s="232">
        <f>_xlfn.XLOOKUP(E132,'All Products'!D:D,'All Products'!F:F,FALSE)</f>
        <v>25</v>
      </c>
      <c r="H132" s="387">
        <f>_xlfn.XLOOKUP(E132,'All Products'!D:D,'All Products'!G:G,FALSE)</f>
        <v>3000</v>
      </c>
      <c r="I132" s="394">
        <f>_xlfn.XLOOKUP(E132,'All Products'!D:D,'All Products'!H:H,FALSE)</f>
        <v>16.440000000000001</v>
      </c>
      <c r="J132" s="183">
        <f>IFERROR(ROUND(I132*Order_Quote!$L$4,2),0)</f>
        <v>16.440000000000001</v>
      </c>
      <c r="K132" s="73"/>
      <c r="L132" s="76"/>
      <c r="M132" s="114">
        <f t="shared" si="11"/>
        <v>0</v>
      </c>
      <c r="O132" s="384" t="str">
        <f>_xlfn.XLOOKUP(E132,'All Products'!D:D,'All Products'!I:I,FALSE)</f>
        <v>Within 3 Weeks</v>
      </c>
      <c r="P132" s="384" t="str">
        <f>_xlfn.XLOOKUP(E132,'All Products'!D:D,'All Products'!J:J,FALSE)</f>
        <v>Manufactured</v>
      </c>
      <c r="Q132" s="397">
        <f>_xlfn.XLOOKUP(E132,'All Products'!D:D,'All Products'!K:K,FALSE)</f>
        <v>49081142148</v>
      </c>
      <c r="R132" s="397">
        <f>_xlfn.XLOOKUP(E132,'All Products'!D:D,'All Products'!L:L,FALSE)</f>
        <v>49081642143</v>
      </c>
      <c r="S132" s="397">
        <f>_xlfn.XLOOKUP(E132,'All Products'!D:D,'All Products'!M:M,FALSE)</f>
        <v>40049081142146</v>
      </c>
      <c r="T132" s="384">
        <f>_xlfn.XLOOKUP(E132,'All Products'!D:D,'All Products'!N:N,FALSE)</f>
        <v>0.36599999999999999</v>
      </c>
      <c r="U132" s="397">
        <f>_xlfn.XLOOKUP(E132,'All Products'!D:D,'All Products'!O:O,FALSE)</f>
        <v>5</v>
      </c>
      <c r="V132" s="384">
        <f>_xlfn.XLOOKUP(E132,'All Products'!D:D,'All Products'!P:P,FALSE)</f>
        <v>9.8000000000000007</v>
      </c>
      <c r="W132" s="384">
        <f>_xlfn.XLOOKUP(E132,'All Products'!D:D,'All Products'!Q:Q,FALSE)</f>
        <v>0.65</v>
      </c>
    </row>
    <row r="133" spans="1:23" ht="15" customHeight="1">
      <c r="A133" s="101" t="str">
        <f>IF(K133&gt;0,COUNT($A$7:A132)
+COUNT('DWV PVC'!$A$9:$A$316)
+COUNT('DWV ABS'!$A$8:$A$116)+1,"")</f>
        <v/>
      </c>
      <c r="B133" s="608"/>
      <c r="C133" s="609"/>
      <c r="D133" s="369" t="str">
        <f>_xlfn.XLOOKUP(E133,'All Products'!D:D,'All Products'!C:C,FALSE)</f>
        <v>409-005</v>
      </c>
      <c r="E133" s="51">
        <v>100022559</v>
      </c>
      <c r="F133" s="376" t="str">
        <f>_xlfn.XLOOKUP(E133,'All Products'!D:D,'All Products'!E:E,FALSE)</f>
        <v>1/2 90 STREET ELL SPGXSLIP</v>
      </c>
      <c r="G133" s="232">
        <f>_xlfn.XLOOKUP(E133,'All Products'!D:D,'All Products'!F:F,FALSE)</f>
        <v>250</v>
      </c>
      <c r="H133" s="387">
        <f>_xlfn.XLOOKUP(E133,'All Products'!D:D,'All Products'!G:G,FALSE)</f>
        <v>22500</v>
      </c>
      <c r="I133" s="394">
        <f>_xlfn.XLOOKUP(E133,'All Products'!D:D,'All Products'!H:H,FALSE)</f>
        <v>4.49</v>
      </c>
      <c r="J133" s="183">
        <f>IFERROR(ROUND(I133*Order_Quote!$L$4,2),0)</f>
        <v>4.49</v>
      </c>
      <c r="K133" s="73"/>
      <c r="L133" s="76"/>
      <c r="M133" s="114">
        <f t="shared" si="11"/>
        <v>0</v>
      </c>
      <c r="O133" s="384" t="str">
        <f>_xlfn.XLOOKUP(E133,'All Products'!D:D,'All Products'!I:I,FALSE)</f>
        <v>In Stock</v>
      </c>
      <c r="P133" s="384" t="str">
        <f>_xlfn.XLOOKUP(E133,'All Products'!D:D,'All Products'!J:J,FALSE)</f>
        <v>Manufactured</v>
      </c>
      <c r="Q133" s="397">
        <f>_xlfn.XLOOKUP(E133,'All Products'!D:D,'All Products'!K:K,FALSE)</f>
        <v>49081142322</v>
      </c>
      <c r="R133" s="397">
        <f>_xlfn.XLOOKUP(E133,'All Products'!D:D,'All Products'!L:L,FALSE)</f>
        <v>49081642327</v>
      </c>
      <c r="S133" s="397">
        <f>_xlfn.XLOOKUP(E133,'All Products'!D:D,'All Products'!M:M,FALSE)</f>
        <v>40049081142320</v>
      </c>
      <c r="T133" s="384">
        <f>_xlfn.XLOOKUP(E133,'All Products'!D:D,'All Products'!N:N,FALSE)</f>
        <v>4.7E-2</v>
      </c>
      <c r="U133" s="397">
        <f>_xlfn.XLOOKUP(E133,'All Products'!D:D,'All Products'!O:O,FALSE)</f>
        <v>10</v>
      </c>
      <c r="V133" s="384">
        <f>_xlfn.XLOOKUP(E133,'All Products'!D:D,'All Products'!P:P,FALSE)</f>
        <v>14.96</v>
      </c>
      <c r="W133" s="384">
        <f>_xlfn.XLOOKUP(E133,'All Products'!D:D,'All Products'!Q:Q,FALSE)</f>
        <v>0.8</v>
      </c>
    </row>
    <row r="134" spans="1:23" ht="15" customHeight="1">
      <c r="A134" s="101" t="str">
        <f>IF(K134&gt;0,COUNT($A$7:A133)
+COUNT('DWV PVC'!$A$9:$A$316)
+COUNT('DWV ABS'!$A$8:$A$116)+1,"")</f>
        <v/>
      </c>
      <c r="B134" s="610"/>
      <c r="C134" s="611"/>
      <c r="D134" s="369" t="str">
        <f>_xlfn.XLOOKUP(E134,'All Products'!D:D,'All Products'!C:C,FALSE)</f>
        <v>409-007</v>
      </c>
      <c r="E134" s="51">
        <v>100022561</v>
      </c>
      <c r="F134" s="376" t="str">
        <f>_xlfn.XLOOKUP(E134,'All Products'!D:D,'All Products'!E:E,FALSE)</f>
        <v>3/4 90 STREET ELL SPGXSLIP</v>
      </c>
      <c r="G134" s="232">
        <f>_xlfn.XLOOKUP(E134,'All Products'!D:D,'All Products'!F:F,FALSE)</f>
        <v>150</v>
      </c>
      <c r="H134" s="387">
        <f>_xlfn.XLOOKUP(E134,'All Products'!D:D,'All Products'!G:G,FALSE)</f>
        <v>13500</v>
      </c>
      <c r="I134" s="394">
        <f>_xlfn.XLOOKUP(E134,'All Products'!D:D,'All Products'!H:H,FALSE)</f>
        <v>5.5</v>
      </c>
      <c r="J134" s="183">
        <f>IFERROR(ROUND(I134*Order_Quote!$L$4,2),0)</f>
        <v>5.5</v>
      </c>
      <c r="K134" s="73"/>
      <c r="L134" s="76"/>
      <c r="M134" s="114">
        <f t="shared" si="11"/>
        <v>0</v>
      </c>
      <c r="O134" s="384" t="str">
        <f>_xlfn.XLOOKUP(E134,'All Products'!D:D,'All Products'!I:I,FALSE)</f>
        <v>In Stock</v>
      </c>
      <c r="P134" s="384" t="str">
        <f>_xlfn.XLOOKUP(E134,'All Products'!D:D,'All Products'!J:J,FALSE)</f>
        <v>Manufactured</v>
      </c>
      <c r="Q134" s="397">
        <f>_xlfn.XLOOKUP(E134,'All Products'!D:D,'All Products'!K:K,FALSE)</f>
        <v>49081142346</v>
      </c>
      <c r="R134" s="397">
        <f>_xlfn.XLOOKUP(E134,'All Products'!D:D,'All Products'!L:L,FALSE)</f>
        <v>49081642341</v>
      </c>
      <c r="S134" s="397">
        <f>_xlfn.XLOOKUP(E134,'All Products'!D:D,'All Products'!M:M,FALSE)</f>
        <v>40049081142344</v>
      </c>
      <c r="T134" s="384">
        <f>_xlfn.XLOOKUP(E134,'All Products'!D:D,'All Products'!N:N,FALSE)</f>
        <v>8.3000000000000004E-2</v>
      </c>
      <c r="U134" s="397">
        <f>_xlfn.XLOOKUP(E134,'All Products'!D:D,'All Products'!O:O,FALSE)</f>
        <v>10</v>
      </c>
      <c r="V134" s="384">
        <f>_xlfn.XLOOKUP(E134,'All Products'!D:D,'All Products'!P:P,FALSE)</f>
        <v>13.25</v>
      </c>
      <c r="W134" s="384">
        <f>_xlfn.XLOOKUP(E134,'All Products'!D:D,'All Products'!Q:Q,FALSE)</f>
        <v>0.8</v>
      </c>
    </row>
    <row r="135" spans="1:23" ht="15" customHeight="1">
      <c r="A135" s="101" t="str">
        <f>IF(K135&gt;0,COUNT($A$7:A134)
+COUNT('DWV PVC'!$A$9:$A$316)
+COUNT('DWV ABS'!$A$8:$A$116)+1,"")</f>
        <v/>
      </c>
      <c r="B135" s="610"/>
      <c r="C135" s="611"/>
      <c r="D135" s="369" t="str">
        <f>_xlfn.XLOOKUP(E135,'All Products'!D:D,'All Products'!C:C,FALSE)</f>
        <v>409-010</v>
      </c>
      <c r="E135" s="51">
        <v>100022563</v>
      </c>
      <c r="F135" s="376" t="str">
        <f>_xlfn.XLOOKUP(E135,'All Products'!D:D,'All Products'!E:E,FALSE)</f>
        <v>1 90 STREET ELL SPGXSLIP</v>
      </c>
      <c r="G135" s="232">
        <f>_xlfn.XLOOKUP(E135,'All Products'!D:D,'All Products'!F:F,FALSE)</f>
        <v>50</v>
      </c>
      <c r="H135" s="387">
        <f>_xlfn.XLOOKUP(E135,'All Products'!D:D,'All Products'!G:G,FALSE)</f>
        <v>7500</v>
      </c>
      <c r="I135" s="394">
        <f>_xlfn.XLOOKUP(E135,'All Products'!D:D,'All Products'!H:H,FALSE)</f>
        <v>9.5</v>
      </c>
      <c r="J135" s="183">
        <f>IFERROR(ROUND(I135*Order_Quote!$L$4,2),0)</f>
        <v>9.5</v>
      </c>
      <c r="K135" s="73"/>
      <c r="L135" s="76"/>
      <c r="M135" s="114">
        <f t="shared" si="11"/>
        <v>0</v>
      </c>
      <c r="O135" s="384" t="str">
        <f>_xlfn.XLOOKUP(E135,'All Products'!D:D,'All Products'!I:I,FALSE)</f>
        <v>In Stock</v>
      </c>
      <c r="P135" s="384" t="str">
        <f>_xlfn.XLOOKUP(E135,'All Products'!D:D,'All Products'!J:J,FALSE)</f>
        <v>Manufactured</v>
      </c>
      <c r="Q135" s="397">
        <f>_xlfn.XLOOKUP(E135,'All Products'!D:D,'All Products'!K:K,FALSE)</f>
        <v>49081142360</v>
      </c>
      <c r="R135" s="397">
        <f>_xlfn.XLOOKUP(E135,'All Products'!D:D,'All Products'!L:L,FALSE)</f>
        <v>49081642365</v>
      </c>
      <c r="S135" s="397">
        <f>_xlfn.XLOOKUP(E135,'All Products'!D:D,'All Products'!M:M,FALSE)</f>
        <v>40049081142368</v>
      </c>
      <c r="T135" s="384">
        <f>_xlfn.XLOOKUP(E135,'All Products'!D:D,'All Products'!N:N,FALSE)</f>
        <v>0.13</v>
      </c>
      <c r="U135" s="397">
        <f>_xlfn.XLOOKUP(E135,'All Products'!D:D,'All Products'!O:O,FALSE)</f>
        <v>10</v>
      </c>
      <c r="V135" s="384">
        <f>_xlfn.XLOOKUP(E135,'All Products'!D:D,'All Products'!P:P,FALSE)</f>
        <v>7.17</v>
      </c>
      <c r="W135" s="384">
        <f>_xlfn.XLOOKUP(E135,'All Products'!D:D,'All Products'!Q:Q,FALSE)</f>
        <v>0.5</v>
      </c>
    </row>
    <row r="136" spans="1:23" ht="15" customHeight="1">
      <c r="A136" s="101" t="str">
        <f>IF(K136&gt;0,COUNT($A$7:A135)
+COUNT('DWV PVC'!$A$9:$A$316)
+COUNT('DWV ABS'!$A$8:$A$116)+1,"")</f>
        <v/>
      </c>
      <c r="B136" s="610"/>
      <c r="C136" s="611"/>
      <c r="D136" s="369" t="str">
        <f>_xlfn.XLOOKUP(E136,'All Products'!D:D,'All Products'!C:C,FALSE)</f>
        <v>409-012</v>
      </c>
      <c r="E136" s="51">
        <v>100022566</v>
      </c>
      <c r="F136" s="376" t="str">
        <f>_xlfn.XLOOKUP(E136,'All Products'!D:D,'All Products'!E:E,FALSE)</f>
        <v>1-1/4 90 STREET ELL SPGXSLIP</v>
      </c>
      <c r="G136" s="232">
        <f>_xlfn.XLOOKUP(E136,'All Products'!D:D,'All Products'!F:F,FALSE)</f>
        <v>50</v>
      </c>
      <c r="H136" s="387">
        <f>_xlfn.XLOOKUP(E136,'All Products'!D:D,'All Products'!G:G,FALSE)</f>
        <v>4500</v>
      </c>
      <c r="I136" s="394">
        <f>_xlfn.XLOOKUP(E136,'All Products'!D:D,'All Products'!H:H,FALSE)</f>
        <v>11.38</v>
      </c>
      <c r="J136" s="183">
        <f>IFERROR(ROUND(I136*Order_Quote!$L$4,2),0)</f>
        <v>11.38</v>
      </c>
      <c r="K136" s="73"/>
      <c r="L136" s="76"/>
      <c r="M136" s="114">
        <f t="shared" si="11"/>
        <v>0</v>
      </c>
      <c r="O136" s="384" t="str">
        <f>_xlfn.XLOOKUP(E136,'All Products'!D:D,'All Products'!I:I,FALSE)</f>
        <v>Within 3 Weeks</v>
      </c>
      <c r="P136" s="384" t="str">
        <f>_xlfn.XLOOKUP(E136,'All Products'!D:D,'All Products'!J:J,FALSE)</f>
        <v>Manufactured</v>
      </c>
      <c r="Q136" s="397">
        <f>_xlfn.XLOOKUP(E136,'All Products'!D:D,'All Products'!K:K,FALSE)</f>
        <v>49081142384</v>
      </c>
      <c r="R136" s="397">
        <f>_xlfn.XLOOKUP(E136,'All Products'!D:D,'All Products'!L:L,FALSE)</f>
        <v>49081642389</v>
      </c>
      <c r="S136" s="397">
        <f>_xlfn.XLOOKUP(E136,'All Products'!D:D,'All Products'!M:M,FALSE)</f>
        <v>40049081142382</v>
      </c>
      <c r="T136" s="384">
        <f>_xlfn.XLOOKUP(E136,'All Products'!D:D,'All Products'!N:N,FALSE)</f>
        <v>0.224</v>
      </c>
      <c r="U136" s="397">
        <f>_xlfn.XLOOKUP(E136,'All Products'!D:D,'All Products'!O:O,FALSE)</f>
        <v>5</v>
      </c>
      <c r="V136" s="384">
        <f>_xlfn.XLOOKUP(E136,'All Products'!D:D,'All Products'!P:P,FALSE)</f>
        <v>11.85</v>
      </c>
      <c r="W136" s="384">
        <f>_xlfn.XLOOKUP(E136,'All Products'!D:D,'All Products'!Q:Q,FALSE)</f>
        <v>0.8</v>
      </c>
    </row>
    <row r="137" spans="1:23" ht="15" customHeight="1">
      <c r="A137" s="101" t="str">
        <f>IF(K137&gt;0,COUNT($A$7:A136)
+COUNT('DWV PVC'!$A$9:$A$316)
+COUNT('DWV ABS'!$A$8:$A$116)+1,"")</f>
        <v/>
      </c>
      <c r="B137" s="610"/>
      <c r="C137" s="611"/>
      <c r="D137" s="369" t="str">
        <f>_xlfn.XLOOKUP(E137,'All Products'!D:D,'All Products'!C:C,FALSE)</f>
        <v>409-015</v>
      </c>
      <c r="E137" s="51">
        <v>100022568</v>
      </c>
      <c r="F137" s="376" t="str">
        <f>_xlfn.XLOOKUP(E137,'All Products'!D:D,'All Products'!E:E,FALSE)</f>
        <v>1-1/2 90 STREET ELL SPGXSLIP</v>
      </c>
      <c r="G137" s="232">
        <f>_xlfn.XLOOKUP(E137,'All Products'!D:D,'All Products'!F:F,FALSE)</f>
        <v>50</v>
      </c>
      <c r="H137" s="387">
        <f>_xlfn.XLOOKUP(E137,'All Products'!D:D,'All Products'!G:G,FALSE)</f>
        <v>3750</v>
      </c>
      <c r="I137" s="394">
        <f>_xlfn.XLOOKUP(E137,'All Products'!D:D,'All Products'!H:H,FALSE)</f>
        <v>12.56</v>
      </c>
      <c r="J137" s="183">
        <f>IFERROR(ROUND(I137*Order_Quote!$L$4,2),0)</f>
        <v>12.56</v>
      </c>
      <c r="K137" s="73"/>
      <c r="L137" s="76"/>
      <c r="M137" s="114">
        <f t="shared" si="11"/>
        <v>0</v>
      </c>
      <c r="O137" s="384" t="str">
        <f>_xlfn.XLOOKUP(E137,'All Products'!D:D,'All Products'!I:I,FALSE)</f>
        <v>In Stock</v>
      </c>
      <c r="P137" s="384" t="str">
        <f>_xlfn.XLOOKUP(E137,'All Products'!D:D,'All Products'!J:J,FALSE)</f>
        <v>Manufactured</v>
      </c>
      <c r="Q137" s="397">
        <f>_xlfn.XLOOKUP(E137,'All Products'!D:D,'All Products'!K:K,FALSE)</f>
        <v>49081142407</v>
      </c>
      <c r="R137" s="397">
        <f>_xlfn.XLOOKUP(E137,'All Products'!D:D,'All Products'!L:L,FALSE)</f>
        <v>49081642402</v>
      </c>
      <c r="S137" s="397">
        <f>_xlfn.XLOOKUP(E137,'All Products'!D:D,'All Products'!M:M,FALSE)</f>
        <v>40049081142405</v>
      </c>
      <c r="T137" s="384">
        <f>_xlfn.XLOOKUP(E137,'All Products'!D:D,'All Products'!N:N,FALSE)</f>
        <v>0.224</v>
      </c>
      <c r="U137" s="397">
        <f>_xlfn.XLOOKUP(E137,'All Products'!D:D,'All Products'!O:O,FALSE)</f>
        <v>5</v>
      </c>
      <c r="V137" s="384">
        <f>_xlfn.XLOOKUP(E137,'All Products'!D:D,'All Products'!P:P,FALSE)</f>
        <v>12.43</v>
      </c>
      <c r="W137" s="384">
        <f>_xlfn.XLOOKUP(E137,'All Products'!D:D,'All Products'!Q:Q,FALSE)</f>
        <v>0.95</v>
      </c>
    </row>
    <row r="138" spans="1:23" ht="15" customHeight="1">
      <c r="A138" s="101" t="str">
        <f>IF(K138&gt;0,COUNT($A$7:A137)
+COUNT('DWV PVC'!$A$9:$A$316)
+COUNT('DWV ABS'!$A$8:$A$116)+1,"")</f>
        <v/>
      </c>
      <c r="B138" s="612"/>
      <c r="C138" s="613"/>
      <c r="D138" s="369" t="str">
        <f>_xlfn.XLOOKUP(E138,'All Products'!D:D,'All Products'!C:C,FALSE)</f>
        <v>409-020</v>
      </c>
      <c r="E138" s="51">
        <v>100022570</v>
      </c>
      <c r="F138" s="376" t="str">
        <f>_xlfn.XLOOKUP(E138,'All Products'!D:D,'All Products'!E:E,FALSE)</f>
        <v>2 90 STREET ELL SPGXSLIP</v>
      </c>
      <c r="G138" s="232">
        <f>_xlfn.XLOOKUP(E138,'All Products'!D:D,'All Products'!F:F,FALSE)</f>
        <v>20</v>
      </c>
      <c r="H138" s="387">
        <f>_xlfn.XLOOKUP(E138,'All Products'!D:D,'All Products'!G:G,FALSE)</f>
        <v>1800</v>
      </c>
      <c r="I138" s="394">
        <f>_xlfn.XLOOKUP(E138,'All Products'!D:D,'All Products'!H:H,FALSE)</f>
        <v>24.23</v>
      </c>
      <c r="J138" s="183">
        <f>IFERROR(ROUND(I138*Order_Quote!$L$4,2),0)</f>
        <v>24.23</v>
      </c>
      <c r="K138" s="73"/>
      <c r="L138" s="76"/>
      <c r="M138" s="114">
        <f t="shared" si="11"/>
        <v>0</v>
      </c>
      <c r="O138" s="384" t="str">
        <f>_xlfn.XLOOKUP(E138,'All Products'!D:D,'All Products'!I:I,FALSE)</f>
        <v>In Stock</v>
      </c>
      <c r="P138" s="384" t="str">
        <f>_xlfn.XLOOKUP(E138,'All Products'!D:D,'All Products'!J:J,FALSE)</f>
        <v>Manufactured</v>
      </c>
      <c r="Q138" s="397">
        <f>_xlfn.XLOOKUP(E138,'All Products'!D:D,'All Products'!K:K,FALSE)</f>
        <v>49081142421</v>
      </c>
      <c r="R138" s="397">
        <f>_xlfn.XLOOKUP(E138,'All Products'!D:D,'All Products'!L:L,FALSE)</f>
        <v>49081642426</v>
      </c>
      <c r="S138" s="397">
        <f>_xlfn.XLOOKUP(E138,'All Products'!D:D,'All Products'!M:M,FALSE)</f>
        <v>40049081142429</v>
      </c>
      <c r="T138" s="384">
        <f>_xlfn.XLOOKUP(E138,'All Products'!D:D,'All Products'!N:N,FALSE)</f>
        <v>0.40300000000000002</v>
      </c>
      <c r="U138" s="397">
        <f>_xlfn.XLOOKUP(E138,'All Products'!D:D,'All Products'!O:O,FALSE)</f>
        <v>5</v>
      </c>
      <c r="V138" s="384">
        <f>_xlfn.XLOOKUP(E138,'All Products'!D:D,'All Products'!P:P,FALSE)</f>
        <v>10.1</v>
      </c>
      <c r="W138" s="384">
        <f>_xlfn.XLOOKUP(E138,'All Products'!D:D,'All Products'!Q:Q,FALSE)</f>
        <v>0.8</v>
      </c>
    </row>
    <row r="139" spans="1:23" ht="15" customHeight="1">
      <c r="A139" s="101" t="str">
        <f>IF(K139&gt;0,COUNT($A$7:A138)
+COUNT('DWV PVC'!$A$9:$A$316)
+COUNT('DWV ABS'!$A$8:$A$116)+1,"")</f>
        <v/>
      </c>
      <c r="B139" s="608"/>
      <c r="C139" s="609"/>
      <c r="D139" s="369" t="str">
        <f>_xlfn.XLOOKUP(E139,'All Products'!D:D,'All Products'!C:C,FALSE)</f>
        <v>410-005</v>
      </c>
      <c r="E139" s="51">
        <v>100022575</v>
      </c>
      <c r="F139" s="376" t="str">
        <f>_xlfn.XLOOKUP(E139,'All Products'!D:D,'All Products'!E:E,FALSE)</f>
        <v>1/2 90 STREET ELL MIPT X SLIP</v>
      </c>
      <c r="G139" s="232">
        <f>_xlfn.XLOOKUP(E139,'All Products'!D:D,'All Products'!F:F,FALSE)</f>
        <v>250</v>
      </c>
      <c r="H139" s="387">
        <f>_xlfn.XLOOKUP(E139,'All Products'!D:D,'All Products'!G:G,FALSE)</f>
        <v>22500</v>
      </c>
      <c r="I139" s="394">
        <f>_xlfn.XLOOKUP(E139,'All Products'!D:D,'All Products'!H:H,FALSE)</f>
        <v>3.48</v>
      </c>
      <c r="J139" s="183">
        <f>IFERROR(ROUND(I139*Order_Quote!$L$4,2),0)</f>
        <v>3.48</v>
      </c>
      <c r="K139" s="73"/>
      <c r="L139" s="76"/>
      <c r="M139" s="114">
        <f t="shared" si="11"/>
        <v>0</v>
      </c>
      <c r="O139" s="384" t="str">
        <f>_xlfn.XLOOKUP(E139,'All Products'!D:D,'All Products'!I:I,FALSE)</f>
        <v>Within 3 Weeks</v>
      </c>
      <c r="P139" s="384" t="str">
        <f>_xlfn.XLOOKUP(E139,'All Products'!D:D,'All Products'!J:J,FALSE)</f>
        <v>Manufactured</v>
      </c>
      <c r="Q139" s="397">
        <f>_xlfn.XLOOKUP(E139,'All Products'!D:D,'All Products'!K:K,FALSE)</f>
        <v>49081141660</v>
      </c>
      <c r="R139" s="397">
        <f>_xlfn.XLOOKUP(E139,'All Products'!D:D,'All Products'!L:L,FALSE)</f>
        <v>49081641665</v>
      </c>
      <c r="S139" s="397">
        <f>_xlfn.XLOOKUP(E139,'All Products'!D:D,'All Products'!M:M,FALSE)</f>
        <v>40049081141668</v>
      </c>
      <c r="T139" s="384">
        <f>_xlfn.XLOOKUP(E139,'All Products'!D:D,'All Products'!N:N,FALSE)</f>
        <v>5.8000000000000003E-2</v>
      </c>
      <c r="U139" s="397">
        <f>_xlfn.XLOOKUP(E139,'All Products'!D:D,'All Products'!O:O,FALSE)</f>
        <v>10</v>
      </c>
      <c r="V139" s="384">
        <f>_xlfn.XLOOKUP(E139,'All Products'!D:D,'All Products'!P:P,FALSE)</f>
        <v>15.89</v>
      </c>
      <c r="W139" s="384">
        <f>_xlfn.XLOOKUP(E139,'All Products'!D:D,'All Products'!Q:Q,FALSE)</f>
        <v>0.8</v>
      </c>
    </row>
    <row r="140" spans="1:23" ht="15" customHeight="1">
      <c r="A140" s="101" t="str">
        <f>IF(K140&gt;0,COUNT($A$7:A139)
+COUNT('DWV PVC'!$A$9:$A$316)
+COUNT('DWV ABS'!$A$8:$A$116)+1,"")</f>
        <v/>
      </c>
      <c r="B140" s="610"/>
      <c r="C140" s="611"/>
      <c r="D140" s="369" t="str">
        <f>_xlfn.XLOOKUP(E140,'All Products'!D:D,'All Products'!C:C,FALSE)</f>
        <v>410-007</v>
      </c>
      <c r="E140" s="51">
        <v>100022577</v>
      </c>
      <c r="F140" s="376" t="str">
        <f>_xlfn.XLOOKUP(E140,'All Products'!D:D,'All Products'!E:E,FALSE)</f>
        <v>3/4 90 STREET ELL MIPT X SLIP</v>
      </c>
      <c r="G140" s="232">
        <f>_xlfn.XLOOKUP(E140,'All Products'!D:D,'All Products'!F:F,FALSE)</f>
        <v>150</v>
      </c>
      <c r="H140" s="387">
        <f>_xlfn.XLOOKUP(E140,'All Products'!D:D,'All Products'!G:G,FALSE)</f>
        <v>13500</v>
      </c>
      <c r="I140" s="394">
        <f>_xlfn.XLOOKUP(E140,'All Products'!D:D,'All Products'!H:H,FALSE)</f>
        <v>4.07</v>
      </c>
      <c r="J140" s="183">
        <f>IFERROR(ROUND(I140*Order_Quote!$L$4,2),0)</f>
        <v>4.07</v>
      </c>
      <c r="K140" s="73"/>
      <c r="L140" s="76"/>
      <c r="M140" s="114">
        <f t="shared" si="11"/>
        <v>0</v>
      </c>
      <c r="O140" s="384" t="str">
        <f>_xlfn.XLOOKUP(E140,'All Products'!D:D,'All Products'!I:I,FALSE)</f>
        <v>In Stock</v>
      </c>
      <c r="P140" s="384" t="str">
        <f>_xlfn.XLOOKUP(E140,'All Products'!D:D,'All Products'!J:J,FALSE)</f>
        <v>Manufactured</v>
      </c>
      <c r="Q140" s="397">
        <f>_xlfn.XLOOKUP(E140,'All Products'!D:D,'All Products'!K:K,FALSE)</f>
        <v>49081141684</v>
      </c>
      <c r="R140" s="397">
        <f>_xlfn.XLOOKUP(E140,'All Products'!D:D,'All Products'!L:L,FALSE)</f>
        <v>49081641689</v>
      </c>
      <c r="S140" s="397">
        <f>_xlfn.XLOOKUP(E140,'All Products'!D:D,'All Products'!M:M,FALSE)</f>
        <v>40049081141682</v>
      </c>
      <c r="T140" s="384">
        <f>_xlfn.XLOOKUP(E140,'All Products'!D:D,'All Products'!N:N,FALSE)</f>
        <v>0.08</v>
      </c>
      <c r="U140" s="397">
        <f>_xlfn.XLOOKUP(E140,'All Products'!D:D,'All Products'!O:O,FALSE)</f>
        <v>10</v>
      </c>
      <c r="V140" s="384">
        <f>_xlfn.XLOOKUP(E140,'All Products'!D:D,'All Products'!P:P,FALSE)</f>
        <v>13.05</v>
      </c>
      <c r="W140" s="384">
        <f>_xlfn.XLOOKUP(E140,'All Products'!D:D,'All Products'!Q:Q,FALSE)</f>
        <v>0.8</v>
      </c>
    </row>
    <row r="141" spans="1:23" ht="15" customHeight="1">
      <c r="A141" s="101" t="str">
        <f>IF(K141&gt;0,COUNT($A$7:A140)
+COUNT('DWV PVC'!$A$9:$A$316)
+COUNT('DWV ABS'!$A$8:$A$116)+1,"")</f>
        <v/>
      </c>
      <c r="B141" s="610"/>
      <c r="C141" s="611"/>
      <c r="D141" s="369" t="str">
        <f>_xlfn.XLOOKUP(E141,'All Products'!D:D,'All Products'!C:C,FALSE)</f>
        <v>410-010</v>
      </c>
      <c r="E141" s="51">
        <v>100022579</v>
      </c>
      <c r="F141" s="376" t="str">
        <f>_xlfn.XLOOKUP(E141,'All Products'!D:D,'All Products'!E:E,FALSE)</f>
        <v>1 90 STREET ELL MIPT X SLIP</v>
      </c>
      <c r="G141" s="232">
        <f>_xlfn.XLOOKUP(E141,'All Products'!D:D,'All Products'!F:F,FALSE)</f>
        <v>50</v>
      </c>
      <c r="H141" s="387">
        <f>_xlfn.XLOOKUP(E141,'All Products'!D:D,'All Products'!G:G,FALSE)</f>
        <v>6000</v>
      </c>
      <c r="I141" s="394">
        <f>_xlfn.XLOOKUP(E141,'All Products'!D:D,'All Products'!H:H,FALSE)</f>
        <v>6.84</v>
      </c>
      <c r="J141" s="183">
        <f>IFERROR(ROUND(I141*Order_Quote!$L$4,2),0)</f>
        <v>6.84</v>
      </c>
      <c r="K141" s="73"/>
      <c r="L141" s="76"/>
      <c r="M141" s="114">
        <f t="shared" si="11"/>
        <v>0</v>
      </c>
      <c r="O141" s="384" t="str">
        <f>_xlfn.XLOOKUP(E141,'All Products'!D:D,'All Products'!I:I,FALSE)</f>
        <v>In Stock</v>
      </c>
      <c r="P141" s="384" t="str">
        <f>_xlfn.XLOOKUP(E141,'All Products'!D:D,'All Products'!J:J,FALSE)</f>
        <v>Manufactured</v>
      </c>
      <c r="Q141" s="397">
        <f>_xlfn.XLOOKUP(E141,'All Products'!D:D,'All Products'!K:K,FALSE)</f>
        <v>49081141707</v>
      </c>
      <c r="R141" s="397">
        <f>_xlfn.XLOOKUP(E141,'All Products'!D:D,'All Products'!L:L,FALSE)</f>
        <v>49081641702</v>
      </c>
      <c r="S141" s="397">
        <f>_xlfn.XLOOKUP(E141,'All Products'!D:D,'All Products'!M:M,FALSE)</f>
        <v>40049081141705</v>
      </c>
      <c r="T141" s="384">
        <f>_xlfn.XLOOKUP(E141,'All Products'!D:D,'All Products'!N:N,FALSE)</f>
        <v>0.155</v>
      </c>
      <c r="U141" s="397">
        <f>_xlfn.XLOOKUP(E141,'All Products'!D:D,'All Products'!O:O,FALSE)</f>
        <v>10</v>
      </c>
      <c r="V141" s="384">
        <f>_xlfn.XLOOKUP(E141,'All Products'!D:D,'All Products'!P:P,FALSE)</f>
        <v>12.9</v>
      </c>
      <c r="W141" s="384">
        <f>_xlfn.XLOOKUP(E141,'All Products'!D:D,'All Products'!Q:Q,FALSE)</f>
        <v>0.65</v>
      </c>
    </row>
    <row r="142" spans="1:23" ht="15" customHeight="1">
      <c r="A142" s="101" t="str">
        <f>IF(K142&gt;0,COUNT($A$7:A141)
+COUNT('DWV PVC'!$A$9:$A$316)
+COUNT('DWV ABS'!$A$8:$A$116)+1,"")</f>
        <v/>
      </c>
      <c r="B142" s="610"/>
      <c r="C142" s="611"/>
      <c r="D142" s="369" t="str">
        <f>_xlfn.XLOOKUP(E142,'All Products'!D:D,'All Products'!C:C,FALSE)</f>
        <v>410-012</v>
      </c>
      <c r="E142" s="51">
        <v>100022581</v>
      </c>
      <c r="F142" s="376" t="str">
        <f>_xlfn.XLOOKUP(E142,'All Products'!D:D,'All Products'!E:E,FALSE)</f>
        <v>1-1/4 90 STREET ELL MIPT X SLIP</v>
      </c>
      <c r="G142" s="232">
        <f>_xlfn.XLOOKUP(E142,'All Products'!D:D,'All Products'!F:F,FALSE)</f>
        <v>50</v>
      </c>
      <c r="H142" s="387">
        <f>_xlfn.XLOOKUP(E142,'All Products'!D:D,'All Products'!G:G,FALSE)</f>
        <v>4500</v>
      </c>
      <c r="I142" s="394">
        <f>_xlfn.XLOOKUP(E142,'All Products'!D:D,'All Products'!H:H,FALSE)</f>
        <v>9.5</v>
      </c>
      <c r="J142" s="183">
        <f>IFERROR(ROUND(I142*Order_Quote!$L$4,2),0)</f>
        <v>9.5</v>
      </c>
      <c r="K142" s="73"/>
      <c r="L142" s="76"/>
      <c r="M142" s="114">
        <f t="shared" si="11"/>
        <v>0</v>
      </c>
      <c r="O142" s="384" t="str">
        <f>_xlfn.XLOOKUP(E142,'All Products'!D:D,'All Products'!I:I,FALSE)</f>
        <v>In Stock</v>
      </c>
      <c r="P142" s="384" t="str">
        <f>_xlfn.XLOOKUP(E142,'All Products'!D:D,'All Products'!J:J,FALSE)</f>
        <v>Manufactured</v>
      </c>
      <c r="Q142" s="397">
        <f>_xlfn.XLOOKUP(E142,'All Products'!D:D,'All Products'!K:K,FALSE)</f>
        <v>49081141721</v>
      </c>
      <c r="R142" s="397">
        <f>_xlfn.XLOOKUP(E142,'All Products'!D:D,'All Products'!L:L,FALSE)</f>
        <v>49081641726</v>
      </c>
      <c r="S142" s="397">
        <f>_xlfn.XLOOKUP(E142,'All Products'!D:D,'All Products'!M:M,FALSE)</f>
        <v>40049081141729</v>
      </c>
      <c r="T142" s="384">
        <f>_xlfn.XLOOKUP(E142,'All Products'!D:D,'All Products'!N:N,FALSE)</f>
        <v>0.25800000000000001</v>
      </c>
      <c r="U142" s="397">
        <f>_xlfn.XLOOKUP(E142,'All Products'!D:D,'All Products'!O:O,FALSE)</f>
        <v>5</v>
      </c>
      <c r="V142" s="384">
        <f>_xlfn.XLOOKUP(E142,'All Products'!D:D,'All Products'!P:P,FALSE)</f>
        <v>8.65</v>
      </c>
      <c r="W142" s="384">
        <f>_xlfn.XLOOKUP(E142,'All Products'!D:D,'All Products'!Q:Q,FALSE)</f>
        <v>0.72</v>
      </c>
    </row>
    <row r="143" spans="1:23" ht="15" customHeight="1">
      <c r="A143" s="101" t="str">
        <f>IF(K143&gt;0,COUNT($A$7:A142)
+COUNT('DWV PVC'!$A$9:$A$316)
+COUNT('DWV ABS'!$A$8:$A$116)+1,"")</f>
        <v/>
      </c>
      <c r="B143" s="610"/>
      <c r="C143" s="611"/>
      <c r="D143" s="369" t="str">
        <f>_xlfn.XLOOKUP(E143,'All Products'!D:D,'All Products'!C:C,FALSE)</f>
        <v>410-015</v>
      </c>
      <c r="E143" s="51">
        <v>100022583</v>
      </c>
      <c r="F143" s="376" t="str">
        <f>_xlfn.XLOOKUP(E143,'All Products'!D:D,'All Products'!E:E,FALSE)</f>
        <v>1-1/2 90 STREET ELL MIPT X SLIP</v>
      </c>
      <c r="G143" s="232">
        <f>_xlfn.XLOOKUP(E143,'All Products'!D:D,'All Products'!F:F,FALSE)</f>
        <v>25</v>
      </c>
      <c r="H143" s="387">
        <f>_xlfn.XLOOKUP(E143,'All Products'!D:D,'All Products'!G:G,FALSE)</f>
        <v>3000</v>
      </c>
      <c r="I143" s="394">
        <f>_xlfn.XLOOKUP(E143,'All Products'!D:D,'All Products'!H:H,FALSE)</f>
        <v>9.9600000000000009</v>
      </c>
      <c r="J143" s="183">
        <f>IFERROR(ROUND(I143*Order_Quote!$L$4,2),0)</f>
        <v>9.9600000000000009</v>
      </c>
      <c r="K143" s="73"/>
      <c r="L143" s="76"/>
      <c r="M143" s="114">
        <f t="shared" si="11"/>
        <v>0</v>
      </c>
      <c r="O143" s="384" t="str">
        <f>_xlfn.XLOOKUP(E143,'All Products'!D:D,'All Products'!I:I,FALSE)</f>
        <v>Within 3 Weeks</v>
      </c>
      <c r="P143" s="384" t="str">
        <f>_xlfn.XLOOKUP(E143,'All Products'!D:D,'All Products'!J:J,FALSE)</f>
        <v>Manufactured</v>
      </c>
      <c r="Q143" s="397">
        <f>_xlfn.XLOOKUP(E143,'All Products'!D:D,'All Products'!K:K,FALSE)</f>
        <v>49081141745</v>
      </c>
      <c r="R143" s="397">
        <f>_xlfn.XLOOKUP(E143,'All Products'!D:D,'All Products'!L:L,FALSE)</f>
        <v>49081641740</v>
      </c>
      <c r="S143" s="397">
        <f>_xlfn.XLOOKUP(E143,'All Products'!D:D,'All Products'!M:M,FALSE)</f>
        <v>40049081141743</v>
      </c>
      <c r="T143" s="384">
        <f>_xlfn.XLOOKUP(E143,'All Products'!D:D,'All Products'!N:N,FALSE)</f>
        <v>0.316</v>
      </c>
      <c r="U143" s="397">
        <f>_xlfn.XLOOKUP(E143,'All Products'!D:D,'All Products'!O:O,FALSE)</f>
        <v>5</v>
      </c>
      <c r="V143" s="384">
        <f>_xlfn.XLOOKUP(E143,'All Products'!D:D,'All Products'!P:P,FALSE)</f>
        <v>8.65</v>
      </c>
      <c r="W143" s="384">
        <f>_xlfn.XLOOKUP(E143,'All Products'!D:D,'All Products'!Q:Q,FALSE)</f>
        <v>0.65</v>
      </c>
    </row>
    <row r="144" spans="1:23" ht="15" customHeight="1">
      <c r="A144" s="101" t="str">
        <f>IF(K144&gt;0,COUNT($A$7:A143)
+COUNT('DWV PVC'!$A$9:$A$316)
+COUNT('DWV ABS'!$A$8:$A$116)+1,"")</f>
        <v/>
      </c>
      <c r="B144" s="612"/>
      <c r="C144" s="613"/>
      <c r="D144" s="369" t="str">
        <f>_xlfn.XLOOKUP(E144,'All Products'!D:D,'All Products'!C:C,FALSE)</f>
        <v>410-020</v>
      </c>
      <c r="E144" s="51">
        <v>100022585</v>
      </c>
      <c r="F144" s="376" t="str">
        <f>_xlfn.XLOOKUP(E144,'All Products'!D:D,'All Products'!E:E,FALSE)</f>
        <v>2 90 STREET ELL MIPT X SLIP</v>
      </c>
      <c r="G144" s="232">
        <f>_xlfn.XLOOKUP(E144,'All Products'!D:D,'All Products'!F:F,FALSE)</f>
        <v>20</v>
      </c>
      <c r="H144" s="387">
        <f>_xlfn.XLOOKUP(E144,'All Products'!D:D,'All Products'!G:G,FALSE)</f>
        <v>1800</v>
      </c>
      <c r="I144" s="394">
        <f>_xlfn.XLOOKUP(E144,'All Products'!D:D,'All Products'!H:H,FALSE)</f>
        <v>24.51</v>
      </c>
      <c r="J144" s="183">
        <f>IFERROR(ROUND(I144*Order_Quote!$L$4,2),0)</f>
        <v>24.51</v>
      </c>
      <c r="K144" s="73"/>
      <c r="L144" s="76"/>
      <c r="M144" s="114">
        <f t="shared" si="11"/>
        <v>0</v>
      </c>
      <c r="O144" s="384" t="str">
        <f>_xlfn.XLOOKUP(E144,'All Products'!D:D,'All Products'!I:I,FALSE)</f>
        <v>In Stock</v>
      </c>
      <c r="P144" s="384" t="str">
        <f>_xlfn.XLOOKUP(E144,'All Products'!D:D,'All Products'!J:J,FALSE)</f>
        <v>Manufactured</v>
      </c>
      <c r="Q144" s="397">
        <f>_xlfn.XLOOKUP(E144,'All Products'!D:D,'All Products'!K:K,FALSE)</f>
        <v>49081141769</v>
      </c>
      <c r="R144" s="397">
        <f>_xlfn.XLOOKUP(E144,'All Products'!D:D,'All Products'!L:L,FALSE)</f>
        <v>49081641764</v>
      </c>
      <c r="S144" s="397">
        <f>_xlfn.XLOOKUP(E144,'All Products'!D:D,'All Products'!M:M,FALSE)</f>
        <v>40049081141767</v>
      </c>
      <c r="T144" s="384">
        <f>_xlfn.XLOOKUP(E144,'All Products'!D:D,'All Products'!N:N,FALSE)</f>
        <v>0.47599999999999998</v>
      </c>
      <c r="U144" s="397">
        <f>_xlfn.XLOOKUP(E144,'All Products'!D:D,'All Products'!O:O,FALSE)</f>
        <v>5</v>
      </c>
      <c r="V144" s="384">
        <f>_xlfn.XLOOKUP(E144,'All Products'!D:D,'All Products'!P:P,FALSE)</f>
        <v>10.25</v>
      </c>
      <c r="W144" s="384">
        <f>_xlfn.XLOOKUP(E144,'All Products'!D:D,'All Products'!Q:Q,FALSE)</f>
        <v>0.8</v>
      </c>
    </row>
    <row r="145" spans="1:23" ht="66.75" customHeight="1">
      <c r="A145" s="101" t="str">
        <f>IF(K145&gt;0,COUNT($A$7:A144)
+COUNT('DWV PVC'!$A$9:$A$316)
+COUNT('DWV ABS'!$A$8:$A$116)+1,"")</f>
        <v/>
      </c>
      <c r="B145" s="616"/>
      <c r="C145" s="617"/>
      <c r="D145" s="369" t="str">
        <f>_xlfn.XLOOKUP(E145,'All Products'!D:D,'All Products'!C:C,FALSE)</f>
        <v>410-102</v>
      </c>
      <c r="E145" s="51">
        <v>100022588</v>
      </c>
      <c r="F145" s="376" t="str">
        <f>_xlfn.XLOOKUP(E145,'All Products'!D:D,'All Products'!E:E,FALSE)</f>
        <v>3/4X1 90 RED STREET ELL MIPTXSLIP</v>
      </c>
      <c r="G145" s="232">
        <f>_xlfn.XLOOKUP(E145,'All Products'!D:D,'All Products'!F:F,FALSE)</f>
        <v>100</v>
      </c>
      <c r="H145" s="387">
        <f>_xlfn.XLOOKUP(E145,'All Products'!D:D,'All Products'!G:G,FALSE)</f>
        <v>9000</v>
      </c>
      <c r="I145" s="394">
        <f>_xlfn.XLOOKUP(E145,'All Products'!D:D,'All Products'!H:H,FALSE)</f>
        <v>8.44</v>
      </c>
      <c r="J145" s="183">
        <f>IFERROR(ROUND(I145*Order_Quote!$L$4,2),0)</f>
        <v>8.44</v>
      </c>
      <c r="K145" s="73"/>
      <c r="L145" s="76"/>
      <c r="M145" s="114">
        <f t="shared" si="11"/>
        <v>0</v>
      </c>
      <c r="O145" s="384" t="str">
        <f>_xlfn.XLOOKUP(E145,'All Products'!D:D,'All Products'!I:I,FALSE)</f>
        <v>In Stock</v>
      </c>
      <c r="P145" s="384" t="str">
        <f>_xlfn.XLOOKUP(E145,'All Products'!D:D,'All Products'!J:J,FALSE)</f>
        <v>Manufactured</v>
      </c>
      <c r="Q145" s="397">
        <f>_xlfn.XLOOKUP(E145,'All Products'!D:D,'All Products'!K:K,FALSE)</f>
        <v>49081141646</v>
      </c>
      <c r="R145" s="397">
        <f>_xlfn.XLOOKUP(E145,'All Products'!D:D,'All Products'!L:L,FALSE)</f>
        <v>49081641641</v>
      </c>
      <c r="S145" s="397">
        <f>_xlfn.XLOOKUP(E145,'All Products'!D:D,'All Products'!M:M,FALSE)</f>
        <v>40049081141644</v>
      </c>
      <c r="T145" s="384">
        <f>_xlfn.XLOOKUP(E145,'All Products'!D:D,'All Products'!N:N,FALSE)</f>
        <v>0.15</v>
      </c>
      <c r="U145" s="397">
        <f>_xlfn.XLOOKUP(E145,'All Products'!D:D,'All Products'!O:O,FALSE)</f>
        <v>10</v>
      </c>
      <c r="V145" s="384">
        <f>_xlfn.XLOOKUP(E145,'All Products'!D:D,'All Products'!P:P,FALSE)</f>
        <v>15.67</v>
      </c>
      <c r="W145" s="384">
        <f>_xlfn.XLOOKUP(E145,'All Products'!D:D,'All Products'!Q:Q,FALSE)</f>
        <v>0.8</v>
      </c>
    </row>
    <row r="146" spans="1:23" ht="35.25" customHeight="1">
      <c r="A146" s="101" t="str">
        <f>IF(K146&gt;0,COUNT($A$7:A145)
+COUNT('DWV PVC'!$A$9:$A$316)
+COUNT('DWV ABS'!$A$8:$A$116)+1,"")</f>
        <v/>
      </c>
      <c r="B146" s="615"/>
      <c r="C146" s="615"/>
      <c r="D146" s="369" t="str">
        <f>_xlfn.XLOOKUP(E146,'All Products'!D:D,'All Products'!C:C,FALSE)</f>
        <v>411-010</v>
      </c>
      <c r="E146" s="51">
        <v>100022595</v>
      </c>
      <c r="F146" s="376" t="str">
        <f>_xlfn.XLOOKUP(E146,'All Products'!D:D,'All Products'!E:E,FALSE)</f>
        <v>1 90 STREET ELL SPGXFIPT</v>
      </c>
      <c r="G146" s="232">
        <f>_xlfn.XLOOKUP(E146,'All Products'!D:D,'All Products'!F:F,FALSE)</f>
        <v>50</v>
      </c>
      <c r="H146" s="387">
        <f>_xlfn.XLOOKUP(E146,'All Products'!D:D,'All Products'!G:G,FALSE)</f>
        <v>7500</v>
      </c>
      <c r="I146" s="394">
        <f>_xlfn.XLOOKUP(E146,'All Products'!D:D,'All Products'!H:H,FALSE)</f>
        <v>9.11</v>
      </c>
      <c r="J146" s="183">
        <f>IFERROR(ROUND(I146*Order_Quote!$L$4,2),0)</f>
        <v>9.11</v>
      </c>
      <c r="K146" s="73"/>
      <c r="L146" s="76"/>
      <c r="M146" s="114">
        <f t="shared" si="11"/>
        <v>0</v>
      </c>
      <c r="O146" s="384" t="str">
        <f>_xlfn.XLOOKUP(E146,'All Products'!D:D,'All Products'!I:I,FALSE)</f>
        <v>Within 3 Weeks</v>
      </c>
      <c r="P146" s="384" t="str">
        <f>_xlfn.XLOOKUP(E146,'All Products'!D:D,'All Products'!J:J,FALSE)</f>
        <v>Manufactured</v>
      </c>
      <c r="Q146" s="397">
        <f>_xlfn.XLOOKUP(E146,'All Products'!D:D,'All Products'!K:K,FALSE)</f>
        <v>49081142568</v>
      </c>
      <c r="R146" s="397">
        <f>_xlfn.XLOOKUP(E146,'All Products'!D:D,'All Products'!L:L,FALSE)</f>
        <v>49081642563</v>
      </c>
      <c r="S146" s="397">
        <f>_xlfn.XLOOKUP(E146,'All Products'!D:D,'All Products'!M:M,FALSE)</f>
        <v>40049081142566</v>
      </c>
      <c r="T146" s="384">
        <f>_xlfn.XLOOKUP(E146,'All Products'!D:D,'All Products'!N:N,FALSE)</f>
        <v>0.13200000000000001</v>
      </c>
      <c r="U146" s="397">
        <f>_xlfn.XLOOKUP(E146,'All Products'!D:D,'All Products'!O:O,FALSE)</f>
        <v>10</v>
      </c>
      <c r="V146" s="384">
        <f>_xlfn.XLOOKUP(E146,'All Products'!D:D,'All Products'!P:P,FALSE)</f>
        <v>7.48</v>
      </c>
      <c r="W146" s="384">
        <f>_xlfn.XLOOKUP(E146,'All Products'!D:D,'All Products'!Q:Q,FALSE)</f>
        <v>0.5</v>
      </c>
    </row>
    <row r="147" spans="1:23" ht="30.75" customHeight="1">
      <c r="B147" s="615"/>
      <c r="C147" s="615"/>
      <c r="D147" s="369" t="str">
        <f>_xlfn.XLOOKUP(E147,'All Products'!D:D,'All Products'!C:C,FALSE)</f>
        <v>411-012</v>
      </c>
      <c r="E147" s="51">
        <v>100027398</v>
      </c>
      <c r="F147" s="376" t="str">
        <f>_xlfn.XLOOKUP(E147,'All Products'!D:D,'All Products'!E:E,FALSE)</f>
        <v>1-1/4" STREET ELL SPGXFIPT</v>
      </c>
      <c r="G147" s="232">
        <f>_xlfn.XLOOKUP(E147,'All Products'!D:D,'All Products'!F:F,FALSE)</f>
        <v>50</v>
      </c>
      <c r="H147" s="387">
        <f>_xlfn.XLOOKUP(E147,'All Products'!D:D,'All Products'!G:G,FALSE)</f>
        <v>1000</v>
      </c>
      <c r="I147" s="394">
        <f>_xlfn.XLOOKUP(E147,'All Products'!D:D,'All Products'!H:H,FALSE)</f>
        <v>10.94</v>
      </c>
      <c r="J147" s="183">
        <f>IFERROR(ROUND(I147*Order_Quote!$L$4,2),0)</f>
        <v>10.94</v>
      </c>
      <c r="K147" s="73"/>
      <c r="L147" s="76"/>
      <c r="M147" s="114">
        <f t="shared" ref="M147" si="13">K147/G147</f>
        <v>0</v>
      </c>
      <c r="O147" s="384" t="str">
        <f>_xlfn.XLOOKUP(E147,'All Products'!D:D,'All Products'!I:I,FALSE)</f>
        <v>Within 3 Weeks</v>
      </c>
      <c r="P147" s="384" t="str">
        <f>_xlfn.XLOOKUP(E147,'All Products'!D:D,'All Products'!J:J,FALSE)</f>
        <v>Sourced</v>
      </c>
      <c r="Q147" s="397">
        <f>_xlfn.XLOOKUP(E147,'All Products'!D:D,'All Products'!K:K,FALSE)</f>
        <v>49081142582</v>
      </c>
      <c r="R147" s="397" t="str">
        <f>_xlfn.XLOOKUP(E147,'All Products'!D:D,'All Products'!L:L,FALSE)</f>
        <v>-</v>
      </c>
      <c r="S147" s="397">
        <f>_xlfn.XLOOKUP(E147,'All Products'!D:D,'All Products'!M:M,FALSE)</f>
        <v>40049081142580</v>
      </c>
      <c r="T147" s="384">
        <f>_xlfn.XLOOKUP(E147,'All Products'!D:D,'All Products'!N:N,FALSE)</f>
        <v>0.26700000000000002</v>
      </c>
      <c r="U147" s="397" t="str">
        <f>_xlfn.XLOOKUP(E147,'All Products'!D:D,'All Products'!O:O,FALSE)</f>
        <v>-</v>
      </c>
      <c r="V147" s="384">
        <f>_xlfn.XLOOKUP(E147,'All Products'!D:D,'All Products'!P:P,FALSE)</f>
        <v>13.35</v>
      </c>
      <c r="W147" s="384" t="str">
        <f>_xlfn.XLOOKUP(E147,'All Products'!D:D,'All Products'!Q:Q,FALSE)</f>
        <v>-</v>
      </c>
    </row>
    <row r="148" spans="1:23" ht="15" customHeight="1">
      <c r="A148" s="101" t="str">
        <f>IF(K148&gt;0,COUNT($A$7:A146)
+COUNT('DWV PVC'!$A$9:$A$316)
+COUNT('DWV ABS'!$A$8:$A$116)+1,"")</f>
        <v/>
      </c>
      <c r="B148" s="608"/>
      <c r="C148" s="609"/>
      <c r="D148" s="369" t="str">
        <f>_xlfn.XLOOKUP(E148,'All Products'!D:D,'All Products'!C:C,FALSE)</f>
        <v>412-005</v>
      </c>
      <c r="E148" s="51">
        <v>100022601</v>
      </c>
      <c r="F148" s="376" t="str">
        <f>_xlfn.XLOOKUP(E148,'All Products'!D:D,'All Products'!E:E,FALSE)</f>
        <v>1/2 90 STREET ELL MIPT X FIPT</v>
      </c>
      <c r="G148" s="232">
        <f>_xlfn.XLOOKUP(E148,'All Products'!D:D,'All Products'!F:F,FALSE)</f>
        <v>250</v>
      </c>
      <c r="H148" s="387">
        <f>_xlfn.XLOOKUP(E148,'All Products'!D:D,'All Products'!G:G,FALSE)</f>
        <v>30000</v>
      </c>
      <c r="I148" s="394">
        <f>_xlfn.XLOOKUP(E148,'All Products'!D:D,'All Products'!H:H,FALSE)</f>
        <v>4.67</v>
      </c>
      <c r="J148" s="183">
        <f>IFERROR(ROUND(I148*Order_Quote!$L$4,2),0)</f>
        <v>4.67</v>
      </c>
      <c r="K148" s="73"/>
      <c r="L148" s="76"/>
      <c r="M148" s="114">
        <f t="shared" si="11"/>
        <v>0</v>
      </c>
      <c r="O148" s="384" t="str">
        <f>_xlfn.XLOOKUP(E148,'All Products'!D:D,'All Products'!I:I,FALSE)</f>
        <v>In Stock</v>
      </c>
      <c r="P148" s="384" t="str">
        <f>_xlfn.XLOOKUP(E148,'All Products'!D:D,'All Products'!J:J,FALSE)</f>
        <v>Manufactured</v>
      </c>
      <c r="Q148" s="397">
        <f>_xlfn.XLOOKUP(E148,'All Products'!D:D,'All Products'!K:K,FALSE)</f>
        <v>49081141868</v>
      </c>
      <c r="R148" s="397">
        <f>_xlfn.XLOOKUP(E148,'All Products'!D:D,'All Products'!L:L,FALSE)</f>
        <v>49081641863</v>
      </c>
      <c r="S148" s="397">
        <f>_xlfn.XLOOKUP(E148,'All Products'!D:D,'All Products'!M:M,FALSE)</f>
        <v>40049081141866</v>
      </c>
      <c r="T148" s="384">
        <f>_xlfn.XLOOKUP(E148,'All Products'!D:D,'All Products'!N:N,FALSE)</f>
        <v>3.7999999999999999E-2</v>
      </c>
      <c r="U148" s="397">
        <f>_xlfn.XLOOKUP(E148,'All Products'!D:D,'All Products'!O:O,FALSE)</f>
        <v>10</v>
      </c>
      <c r="V148" s="384">
        <f>_xlfn.XLOOKUP(E148,'All Products'!D:D,'All Products'!P:P,FALSE)</f>
        <v>11.44</v>
      </c>
      <c r="W148" s="384">
        <f>_xlfn.XLOOKUP(E148,'All Products'!D:D,'All Products'!Q:Q,FALSE)</f>
        <v>0.65</v>
      </c>
    </row>
    <row r="149" spans="1:23" ht="15" customHeight="1">
      <c r="A149" s="101" t="str">
        <f>IF(K149&gt;0,COUNT($A$7:A148)
+COUNT('DWV PVC'!$A$9:$A$316)
+COUNT('DWV ABS'!$A$8:$A$116)+1,"")</f>
        <v/>
      </c>
      <c r="B149" s="610"/>
      <c r="C149" s="611"/>
      <c r="D149" s="369" t="str">
        <f>_xlfn.XLOOKUP(E149,'All Products'!D:D,'All Products'!C:C,FALSE)</f>
        <v>412-006</v>
      </c>
      <c r="E149" s="51">
        <v>100022603</v>
      </c>
      <c r="F149" s="376" t="str">
        <f>_xlfn.XLOOKUP(E149,'All Products'!D:D,'All Products'!E:E,FALSE)</f>
        <v>1/2 90 STREET ELL MIPT XFIPT MARLEX</v>
      </c>
      <c r="G149" s="232">
        <f>_xlfn.XLOOKUP(E149,'All Products'!D:D,'All Products'!F:F,FALSE)</f>
        <v>250</v>
      </c>
      <c r="H149" s="387">
        <f>_xlfn.XLOOKUP(E149,'All Products'!D:D,'All Products'!G:G,FALSE)</f>
        <v>37500</v>
      </c>
      <c r="I149" s="394">
        <f>_xlfn.XLOOKUP(E149,'All Products'!D:D,'All Products'!H:H,FALSE)</f>
        <v>3.9</v>
      </c>
      <c r="J149" s="183">
        <f>IFERROR(ROUND(I149*Order_Quote!$L$4,2),0)</f>
        <v>3.9</v>
      </c>
      <c r="K149" s="73"/>
      <c r="L149" s="76"/>
      <c r="M149" s="114">
        <f t="shared" si="11"/>
        <v>0</v>
      </c>
      <c r="O149" s="384" t="str">
        <f>_xlfn.XLOOKUP(E149,'All Products'!D:D,'All Products'!I:I,FALSE)</f>
        <v>In Stock</v>
      </c>
      <c r="P149" s="384" t="str">
        <f>_xlfn.XLOOKUP(E149,'All Products'!D:D,'All Products'!J:J,FALSE)</f>
        <v>Manufactured</v>
      </c>
      <c r="Q149" s="397">
        <f>_xlfn.XLOOKUP(E149,'All Products'!D:D,'All Products'!K:K,FALSE)</f>
        <v>49081141875</v>
      </c>
      <c r="R149" s="397">
        <f>_xlfn.XLOOKUP(E149,'All Products'!D:D,'All Products'!L:L,FALSE)</f>
        <v>49081641870</v>
      </c>
      <c r="S149" s="397">
        <f>_xlfn.XLOOKUP(E149,'All Products'!D:D,'All Products'!M:M,FALSE)</f>
        <v>40049081141873</v>
      </c>
      <c r="T149" s="384">
        <f>_xlfn.XLOOKUP(E149,'All Products'!D:D,'All Products'!N:N,FALSE)</f>
        <v>3.2000000000000001E-2</v>
      </c>
      <c r="U149" s="397">
        <f>_xlfn.XLOOKUP(E149,'All Products'!D:D,'All Products'!O:O,FALSE)</f>
        <v>10</v>
      </c>
      <c r="V149" s="384">
        <f>_xlfn.XLOOKUP(E149,'All Products'!D:D,'All Products'!P:P,FALSE)</f>
        <v>8.6999999999999993</v>
      </c>
      <c r="W149" s="384">
        <f>_xlfn.XLOOKUP(E149,'All Products'!D:D,'All Products'!Q:Q,FALSE)</f>
        <v>0.5</v>
      </c>
    </row>
    <row r="150" spans="1:23" ht="15" customHeight="1">
      <c r="A150" s="101" t="str">
        <f>IF(K150&gt;0,COUNT($A$7:A149)
+COUNT('DWV PVC'!$A$9:$A$316)
+COUNT('DWV ABS'!$A$8:$A$116)+1,"")</f>
        <v/>
      </c>
      <c r="B150" s="610"/>
      <c r="C150" s="611"/>
      <c r="D150" s="369" t="str">
        <f>_xlfn.XLOOKUP(E150,'All Products'!D:D,'All Products'!C:C,FALSE)</f>
        <v>412-008</v>
      </c>
      <c r="E150" s="51">
        <v>100022605</v>
      </c>
      <c r="F150" s="376" t="str">
        <f>_xlfn.XLOOKUP(E150,'All Products'!D:D,'All Products'!E:E,FALSE)</f>
        <v>3/4 90 STREET ELL MIPT XFIPT MARLEX</v>
      </c>
      <c r="G150" s="232">
        <f>_xlfn.XLOOKUP(E150,'All Products'!D:D,'All Products'!F:F,FALSE)</f>
        <v>250</v>
      </c>
      <c r="H150" s="387">
        <f>_xlfn.XLOOKUP(E150,'All Products'!D:D,'All Products'!G:G,FALSE)</f>
        <v>18750</v>
      </c>
      <c r="I150" s="394">
        <f>_xlfn.XLOOKUP(E150,'All Products'!D:D,'All Products'!H:H,FALSE)</f>
        <v>4.7</v>
      </c>
      <c r="J150" s="183">
        <f>IFERROR(ROUND(I150*Order_Quote!$L$4,2),0)</f>
        <v>4.7</v>
      </c>
      <c r="K150" s="73"/>
      <c r="L150" s="76"/>
      <c r="M150" s="114">
        <f t="shared" si="11"/>
        <v>0</v>
      </c>
      <c r="O150" s="384" t="str">
        <f>_xlfn.XLOOKUP(E150,'All Products'!D:D,'All Products'!I:I,FALSE)</f>
        <v>In Stock</v>
      </c>
      <c r="P150" s="384" t="str">
        <f>_xlfn.XLOOKUP(E150,'All Products'!D:D,'All Products'!J:J,FALSE)</f>
        <v>Manufactured</v>
      </c>
      <c r="Q150" s="397">
        <f>_xlfn.XLOOKUP(E150,'All Products'!D:D,'All Products'!K:K,FALSE)</f>
        <v>49081141899</v>
      </c>
      <c r="R150" s="397">
        <f>_xlfn.XLOOKUP(E150,'All Products'!D:D,'All Products'!L:L,FALSE)</f>
        <v>49081641894</v>
      </c>
      <c r="S150" s="397">
        <f>_xlfn.XLOOKUP(E150,'All Products'!D:D,'All Products'!M:M,FALSE)</f>
        <v>40049081141897</v>
      </c>
      <c r="T150" s="384">
        <f>_xlfn.XLOOKUP(E150,'All Products'!D:D,'All Products'!N:N,FALSE)</f>
        <v>0.05</v>
      </c>
      <c r="U150" s="397">
        <f>_xlfn.XLOOKUP(E150,'All Products'!D:D,'All Products'!O:O,FALSE)</f>
        <v>10</v>
      </c>
      <c r="V150" s="384">
        <f>_xlfn.XLOOKUP(E150,'All Products'!D:D,'All Products'!P:P,FALSE)</f>
        <v>13.51</v>
      </c>
      <c r="W150" s="384">
        <f>_xlfn.XLOOKUP(E150,'All Products'!D:D,'All Products'!Q:Q,FALSE)</f>
        <v>0.95</v>
      </c>
    </row>
    <row r="151" spans="1:23" ht="15" customHeight="1">
      <c r="A151" s="101" t="str">
        <f>IF(K151&gt;0,COUNT($A$7:A150)
+COUNT('DWV PVC'!$A$9:$A$316)
+COUNT('DWV ABS'!$A$8:$A$116)+1,"")</f>
        <v/>
      </c>
      <c r="B151" s="610"/>
      <c r="C151" s="611"/>
      <c r="D151" s="369" t="str">
        <f>_xlfn.XLOOKUP(E151,'All Products'!D:D,'All Products'!C:C,FALSE)</f>
        <v>412-010</v>
      </c>
      <c r="E151" s="51">
        <v>100022607</v>
      </c>
      <c r="F151" s="376" t="str">
        <f>_xlfn.XLOOKUP(E151,'All Products'!D:D,'All Products'!E:E,FALSE)</f>
        <v>1 90 STREET ELL MIPT X FIPT</v>
      </c>
      <c r="G151" s="232">
        <f>_xlfn.XLOOKUP(E151,'All Products'!D:D,'All Products'!F:F,FALSE)</f>
        <v>100</v>
      </c>
      <c r="H151" s="387">
        <f>_xlfn.XLOOKUP(E151,'All Products'!D:D,'All Products'!G:G,FALSE)</f>
        <v>12000</v>
      </c>
      <c r="I151" s="394">
        <f>_xlfn.XLOOKUP(E151,'All Products'!D:D,'All Products'!H:H,FALSE)</f>
        <v>9.7899999999999991</v>
      </c>
      <c r="J151" s="183">
        <f>IFERROR(ROUND(I151*Order_Quote!$L$4,2),0)</f>
        <v>9.7899999999999991</v>
      </c>
      <c r="K151" s="73"/>
      <c r="L151" s="76"/>
      <c r="M151" s="114">
        <f t="shared" si="11"/>
        <v>0</v>
      </c>
      <c r="O151" s="384" t="str">
        <f>_xlfn.XLOOKUP(E151,'All Products'!D:D,'All Products'!I:I,FALSE)</f>
        <v>In Stock</v>
      </c>
      <c r="P151" s="384" t="str">
        <f>_xlfn.XLOOKUP(E151,'All Products'!D:D,'All Products'!J:J,FALSE)</f>
        <v>Manufactured</v>
      </c>
      <c r="Q151" s="397">
        <f>_xlfn.XLOOKUP(E151,'All Products'!D:D,'All Products'!K:K,FALSE)</f>
        <v>49081141905</v>
      </c>
      <c r="R151" s="397">
        <f>_xlfn.XLOOKUP(E151,'All Products'!D:D,'All Products'!L:L,FALSE)</f>
        <v>49081641900</v>
      </c>
      <c r="S151" s="397">
        <f>_xlfn.XLOOKUP(E151,'All Products'!D:D,'All Products'!M:M,FALSE)</f>
        <v>40049081141903</v>
      </c>
      <c r="T151" s="384">
        <f>_xlfn.XLOOKUP(E151,'All Products'!D:D,'All Products'!N:N,FALSE)</f>
        <v>0.126</v>
      </c>
      <c r="U151" s="397">
        <f>_xlfn.XLOOKUP(E151,'All Products'!D:D,'All Products'!O:O,FALSE)</f>
        <v>10</v>
      </c>
      <c r="V151" s="384">
        <f>_xlfn.XLOOKUP(E151,'All Products'!D:D,'All Products'!P:P,FALSE)</f>
        <v>13.71</v>
      </c>
      <c r="W151" s="384">
        <f>_xlfn.XLOOKUP(E151,'All Products'!D:D,'All Products'!Q:Q,FALSE)</f>
        <v>0.65</v>
      </c>
    </row>
    <row r="152" spans="1:23" ht="15" customHeight="1">
      <c r="A152" s="101" t="str">
        <f>IF(K152&gt;0,COUNT($A$7:A151)
+COUNT('DWV PVC'!$A$9:$A$316)
+COUNT('DWV ABS'!$A$8:$A$116)+1,"")</f>
        <v/>
      </c>
      <c r="B152" s="610"/>
      <c r="C152" s="611"/>
      <c r="D152" s="369" t="str">
        <f>_xlfn.XLOOKUP(E152,'All Products'!D:D,'All Products'!C:C,FALSE)</f>
        <v>412-011</v>
      </c>
      <c r="E152" s="51">
        <v>100022609</v>
      </c>
      <c r="F152" s="376" t="str">
        <f>_xlfn.XLOOKUP(E152,'All Products'!D:D,'All Products'!E:E,FALSE)</f>
        <v>1 90 STREET ELL MIPT X FIPT MARLEX</v>
      </c>
      <c r="G152" s="232">
        <f>_xlfn.XLOOKUP(E152,'All Products'!D:D,'All Products'!F:F,FALSE)</f>
        <v>100</v>
      </c>
      <c r="H152" s="387">
        <f>_xlfn.XLOOKUP(E152,'All Products'!D:D,'All Products'!G:G,FALSE)</f>
        <v>12000</v>
      </c>
      <c r="I152" s="394">
        <f>_xlfn.XLOOKUP(E152,'All Products'!D:D,'All Products'!H:H,FALSE)</f>
        <v>8.1999999999999993</v>
      </c>
      <c r="J152" s="183">
        <f>IFERROR(ROUND(I152*Order_Quote!$L$4,2),0)</f>
        <v>8.1999999999999993</v>
      </c>
      <c r="K152" s="73"/>
      <c r="L152" s="76"/>
      <c r="M152" s="114">
        <f t="shared" si="11"/>
        <v>0</v>
      </c>
      <c r="O152" s="384" t="str">
        <f>_xlfn.XLOOKUP(E152,'All Products'!D:D,'All Products'!I:I,FALSE)</f>
        <v>Within 3 Weeks</v>
      </c>
      <c r="P152" s="384" t="str">
        <f>_xlfn.XLOOKUP(E152,'All Products'!D:D,'All Products'!J:J,FALSE)</f>
        <v>Manufactured</v>
      </c>
      <c r="Q152" s="397">
        <f>_xlfn.XLOOKUP(E152,'All Products'!D:D,'All Products'!K:K,FALSE)</f>
        <v>49081141912</v>
      </c>
      <c r="R152" s="397">
        <f>_xlfn.XLOOKUP(E152,'All Products'!D:D,'All Products'!L:L,FALSE)</f>
        <v>49081641917</v>
      </c>
      <c r="S152" s="397">
        <f>_xlfn.XLOOKUP(E152,'All Products'!D:D,'All Products'!M:M,FALSE)</f>
        <v>40049081141910</v>
      </c>
      <c r="T152" s="384">
        <f>_xlfn.XLOOKUP(E152,'All Products'!D:D,'All Products'!N:N,FALSE)</f>
        <v>8.8999999999999996E-2</v>
      </c>
      <c r="U152" s="397">
        <f>_xlfn.XLOOKUP(E152,'All Products'!D:D,'All Products'!O:O,FALSE)</f>
        <v>10</v>
      </c>
      <c r="V152" s="384">
        <f>_xlfn.XLOOKUP(E152,'All Products'!D:D,'All Products'!P:P,FALSE)</f>
        <v>8.9700000000000006</v>
      </c>
      <c r="W152" s="384">
        <f>_xlfn.XLOOKUP(E152,'All Products'!D:D,'All Products'!Q:Q,FALSE)</f>
        <v>0.65</v>
      </c>
    </row>
    <row r="153" spans="1:23" ht="15" customHeight="1">
      <c r="B153" s="610"/>
      <c r="C153" s="611"/>
      <c r="D153" s="369" t="str">
        <f>_xlfn.XLOOKUP(E153,'All Products'!D:D,'All Products'!C:C,FALSE)</f>
        <v>412-012</v>
      </c>
      <c r="E153" s="51">
        <v>100022611</v>
      </c>
      <c r="F153" s="376" t="str">
        <f>_xlfn.XLOOKUP(E153,'All Products'!D:D,'All Products'!E:E,FALSE)</f>
        <v>1-1/4" 90 STREET ELL MIPT X FIPT MARLEX</v>
      </c>
      <c r="G153" s="232">
        <f>_xlfn.XLOOKUP(E153,'All Products'!D:D,'All Products'!F:F,FALSE)</f>
        <v>50</v>
      </c>
      <c r="H153" s="387">
        <f>_xlfn.XLOOKUP(E153,'All Products'!D:D,'All Products'!G:G,FALSE)</f>
        <v>3000</v>
      </c>
      <c r="I153" s="394">
        <f>_xlfn.XLOOKUP(E153,'All Products'!D:D,'All Products'!H:H,FALSE)</f>
        <v>11.56</v>
      </c>
      <c r="J153" s="183">
        <f>IFERROR(ROUND(I153*Order_Quote!$L$4,2),0)</f>
        <v>11.56</v>
      </c>
      <c r="K153" s="73"/>
      <c r="L153" s="76"/>
      <c r="M153" s="114">
        <f t="shared" ref="M153" si="14">K153/G153</f>
        <v>0</v>
      </c>
      <c r="O153" s="384" t="str">
        <f>_xlfn.XLOOKUP(E153,'All Products'!D:D,'All Products'!I:I,FALSE)</f>
        <v>Within 3 Weeks</v>
      </c>
      <c r="P153" s="384" t="str">
        <f>_xlfn.XLOOKUP(E153,'All Products'!D:D,'All Products'!J:J,FALSE)</f>
        <v>Manufactured</v>
      </c>
      <c r="Q153" s="397">
        <f>_xlfn.XLOOKUP(E153,'All Products'!D:D,'All Products'!K:K,FALSE)</f>
        <v>49081141929</v>
      </c>
      <c r="R153" s="397">
        <f>_xlfn.XLOOKUP(E153,'All Products'!D:D,'All Products'!L:L,FALSE)</f>
        <v>49081641924</v>
      </c>
      <c r="S153" s="397">
        <f>_xlfn.XLOOKUP(E153,'All Products'!D:D,'All Products'!M:M,FALSE)</f>
        <v>40049081141927</v>
      </c>
      <c r="T153" s="384">
        <f>_xlfn.XLOOKUP(E153,'All Products'!D:D,'All Products'!N:N,FALSE)</f>
        <v>0.36199999999999999</v>
      </c>
      <c r="U153" s="397">
        <f>_xlfn.XLOOKUP(E153,'All Products'!D:D,'All Products'!O:O,FALSE)</f>
        <v>5</v>
      </c>
      <c r="V153" s="384">
        <f>_xlfn.XLOOKUP(E153,'All Products'!D:D,'All Products'!P:P,FALSE)</f>
        <v>18.100000000000001</v>
      </c>
      <c r="W153" s="384">
        <f>_xlfn.XLOOKUP(E153,'All Products'!D:D,'All Products'!Q:Q,FALSE)</f>
        <v>0.72</v>
      </c>
    </row>
    <row r="154" spans="1:23" ht="15" customHeight="1">
      <c r="A154" s="101" t="str">
        <f>IF(K154&gt;0,COUNT($A$7:A152)
+COUNT('DWV PVC'!$A$9:$A$316)
+COUNT('DWV ABS'!$A$8:$A$116)+1,"")</f>
        <v/>
      </c>
      <c r="B154" s="610"/>
      <c r="C154" s="611"/>
      <c r="D154" s="369" t="str">
        <f>_xlfn.XLOOKUP(E154,'All Products'!D:D,'All Products'!C:C,FALSE)</f>
        <v>412-015</v>
      </c>
      <c r="E154" s="51">
        <v>100022613</v>
      </c>
      <c r="F154" s="376" t="str">
        <f>_xlfn.XLOOKUP(E154,'All Products'!D:D,'All Products'!E:E,FALSE)</f>
        <v>1-1/2 90 STREET ELL MIPT XFIPT</v>
      </c>
      <c r="G154" s="232">
        <f>_xlfn.XLOOKUP(E154,'All Products'!D:D,'All Products'!F:F,FALSE)</f>
        <v>25</v>
      </c>
      <c r="H154" s="387">
        <f>_xlfn.XLOOKUP(E154,'All Products'!D:D,'All Products'!G:G,FALSE)</f>
        <v>3000</v>
      </c>
      <c r="I154" s="394">
        <f>_xlfn.XLOOKUP(E154,'All Products'!D:D,'All Products'!H:H,FALSE)</f>
        <v>13.18</v>
      </c>
      <c r="J154" s="183">
        <f>IFERROR(ROUND(I154*Order_Quote!$L$4,2),0)</f>
        <v>13.18</v>
      </c>
      <c r="K154" s="73"/>
      <c r="L154" s="76"/>
      <c r="M154" s="114">
        <f t="shared" si="11"/>
        <v>0</v>
      </c>
      <c r="O154" s="384" t="str">
        <f>_xlfn.XLOOKUP(E154,'All Products'!D:D,'All Products'!I:I,FALSE)</f>
        <v>Within 3 Weeks</v>
      </c>
      <c r="P154" s="384" t="str">
        <f>_xlfn.XLOOKUP(E154,'All Products'!D:D,'All Products'!J:J,FALSE)</f>
        <v>Manufactured</v>
      </c>
      <c r="Q154" s="397">
        <f>_xlfn.XLOOKUP(E154,'All Products'!D:D,'All Products'!K:K,FALSE)</f>
        <v>49081141943</v>
      </c>
      <c r="R154" s="397">
        <f>_xlfn.XLOOKUP(E154,'All Products'!D:D,'All Products'!L:L,FALSE)</f>
        <v>49081641948</v>
      </c>
      <c r="S154" s="397">
        <f>_xlfn.XLOOKUP(E154,'All Products'!D:D,'All Products'!M:M,FALSE)</f>
        <v>40049081141941</v>
      </c>
      <c r="T154" s="384">
        <f>_xlfn.XLOOKUP(E154,'All Products'!D:D,'All Products'!N:N,FALSE)</f>
        <v>0.44</v>
      </c>
      <c r="U154" s="397">
        <f>_xlfn.XLOOKUP(E154,'All Products'!D:D,'All Products'!O:O,FALSE)</f>
        <v>5</v>
      </c>
      <c r="V154" s="384">
        <f>_xlfn.XLOOKUP(E154,'All Products'!D:D,'All Products'!P:P,FALSE)</f>
        <v>11.65</v>
      </c>
      <c r="W154" s="384">
        <f>_xlfn.XLOOKUP(E154,'All Products'!D:D,'All Products'!Q:Q,FALSE)</f>
        <v>0.65</v>
      </c>
    </row>
    <row r="155" spans="1:23" ht="15" customHeight="1">
      <c r="A155" s="101" t="str">
        <f>IF(K155&gt;0,COUNT($A$7:A154)
+COUNT('DWV PVC'!$A$9:$A$316)
+COUNT('DWV ABS'!$A$8:$A$116)+1,"")</f>
        <v/>
      </c>
      <c r="B155" s="612"/>
      <c r="C155" s="613"/>
      <c r="D155" s="369" t="str">
        <f>_xlfn.XLOOKUP(E155,'All Products'!D:D,'All Products'!C:C,FALSE)</f>
        <v>412-020</v>
      </c>
      <c r="E155" s="51">
        <v>100022615</v>
      </c>
      <c r="F155" s="376" t="str">
        <f>_xlfn.XLOOKUP(E155,'All Products'!D:D,'All Products'!E:E,FALSE)</f>
        <v>2 90 STREET ELL MIPT X FIPT</v>
      </c>
      <c r="G155" s="232">
        <f>_xlfn.XLOOKUP(E155,'All Products'!D:D,'All Products'!F:F,FALSE)</f>
        <v>20</v>
      </c>
      <c r="H155" s="387">
        <f>_xlfn.XLOOKUP(E155,'All Products'!D:D,'All Products'!G:G,FALSE)</f>
        <v>1500</v>
      </c>
      <c r="I155" s="394">
        <f>_xlfn.XLOOKUP(E155,'All Products'!D:D,'All Products'!H:H,FALSE)</f>
        <v>25.13</v>
      </c>
      <c r="J155" s="183">
        <f>IFERROR(ROUND(I155*Order_Quote!$L$4,2),0)</f>
        <v>25.13</v>
      </c>
      <c r="K155" s="73"/>
      <c r="L155" s="76"/>
      <c r="M155" s="114">
        <f t="shared" si="11"/>
        <v>0</v>
      </c>
      <c r="O155" s="384" t="str">
        <f>_xlfn.XLOOKUP(E155,'All Products'!D:D,'All Products'!I:I,FALSE)</f>
        <v>Within 3 Weeks</v>
      </c>
      <c r="P155" s="384" t="str">
        <f>_xlfn.XLOOKUP(E155,'All Products'!D:D,'All Products'!J:J,FALSE)</f>
        <v>Manufactured</v>
      </c>
      <c r="Q155" s="397">
        <f>_xlfn.XLOOKUP(E155,'All Products'!D:D,'All Products'!K:K,FALSE)</f>
        <v>49081141967</v>
      </c>
      <c r="R155" s="397">
        <f>_xlfn.XLOOKUP(E155,'All Products'!D:D,'All Products'!L:L,FALSE)</f>
        <v>49081641962</v>
      </c>
      <c r="S155" s="397">
        <f>_xlfn.XLOOKUP(E155,'All Products'!D:D,'All Products'!M:M,FALSE)</f>
        <v>40049081141965</v>
      </c>
      <c r="T155" s="384">
        <f>_xlfn.XLOOKUP(E155,'All Products'!D:D,'All Products'!N:N,FALSE)</f>
        <v>0.52</v>
      </c>
      <c r="U155" s="397">
        <f>_xlfn.XLOOKUP(E155,'All Products'!D:D,'All Products'!O:O,FALSE)</f>
        <v>5</v>
      </c>
      <c r="V155" s="384">
        <f>_xlfn.XLOOKUP(E155,'All Products'!D:D,'All Products'!P:P,FALSE)</f>
        <v>11.3</v>
      </c>
      <c r="W155" s="384">
        <f>_xlfn.XLOOKUP(E155,'All Products'!D:D,'All Products'!Q:Q,FALSE)</f>
        <v>0.95</v>
      </c>
    </row>
    <row r="156" spans="1:23" ht="15" customHeight="1">
      <c r="A156" s="101" t="str">
        <f>IF(K156&gt;0,COUNT($A$7:A155)
+COUNT('DWV PVC'!$A$9:$A$316)
+COUNT('DWV ABS'!$A$8:$A$116)+1,"")</f>
        <v/>
      </c>
      <c r="B156" s="608"/>
      <c r="C156" s="609"/>
      <c r="D156" s="369" t="str">
        <f>_xlfn.XLOOKUP(E156,'All Products'!D:D,'All Products'!C:C,FALSE)</f>
        <v>413-005</v>
      </c>
      <c r="E156" s="51">
        <v>100022618</v>
      </c>
      <c r="F156" s="376" t="str">
        <f>_xlfn.XLOOKUP(E156,'All Products'!D:D,'All Products'!E:E,FALSE)</f>
        <v>1/2 SIDE OUTLET 90 ELL SXSXS</v>
      </c>
      <c r="G156" s="232">
        <f>_xlfn.XLOOKUP(E156,'All Products'!D:D,'All Products'!F:F,FALSE)</f>
        <v>100</v>
      </c>
      <c r="H156" s="387">
        <f>_xlfn.XLOOKUP(E156,'All Products'!D:D,'All Products'!G:G,FALSE)</f>
        <v>12000</v>
      </c>
      <c r="I156" s="394">
        <f>_xlfn.XLOOKUP(E156,'All Products'!D:D,'All Products'!H:H,FALSE)</f>
        <v>8.6</v>
      </c>
      <c r="J156" s="183">
        <f>IFERROR(ROUND(I156*Order_Quote!$L$4,2),0)</f>
        <v>8.6</v>
      </c>
      <c r="K156" s="73"/>
      <c r="L156" s="76"/>
      <c r="M156" s="114">
        <f t="shared" si="11"/>
        <v>0</v>
      </c>
      <c r="O156" s="384" t="str">
        <f>_xlfn.XLOOKUP(E156,'All Products'!D:D,'All Products'!I:I,FALSE)</f>
        <v>Within 3 Weeks</v>
      </c>
      <c r="P156" s="384" t="str">
        <f>_xlfn.XLOOKUP(E156,'All Products'!D:D,'All Products'!J:J,FALSE)</f>
        <v>Manufactured</v>
      </c>
      <c r="Q156" s="397">
        <f>_xlfn.XLOOKUP(E156,'All Products'!D:D,'All Products'!K:K,FALSE)</f>
        <v>49081142681</v>
      </c>
      <c r="R156" s="397">
        <f>_xlfn.XLOOKUP(E156,'All Products'!D:D,'All Products'!L:L,FALSE)</f>
        <v>49081642686</v>
      </c>
      <c r="S156" s="397">
        <f>_xlfn.XLOOKUP(E156,'All Products'!D:D,'All Products'!M:M,FALSE)</f>
        <v>40049081142689</v>
      </c>
      <c r="T156" s="384">
        <f>_xlfn.XLOOKUP(E156,'All Products'!D:D,'All Products'!N:N,FALSE)</f>
        <v>0.06</v>
      </c>
      <c r="U156" s="397">
        <f>_xlfn.XLOOKUP(E156,'All Products'!D:D,'All Products'!O:O,FALSE)</f>
        <v>10</v>
      </c>
      <c r="V156" s="384">
        <f>_xlfn.XLOOKUP(E156,'All Products'!D:D,'All Products'!P:P,FALSE)</f>
        <v>9.6199999999999992</v>
      </c>
      <c r="W156" s="384">
        <f>_xlfn.XLOOKUP(E156,'All Products'!D:D,'All Products'!Q:Q,FALSE)</f>
        <v>0.65</v>
      </c>
    </row>
    <row r="157" spans="1:23" ht="15" customHeight="1">
      <c r="A157" s="101" t="str">
        <f>IF(K157&gt;0,COUNT($A$7:A156)
+COUNT('DWV PVC'!$A$9:$A$316)
+COUNT('DWV ABS'!$A$8:$A$116)+1,"")</f>
        <v/>
      </c>
      <c r="B157" s="610"/>
      <c r="C157" s="611"/>
      <c r="D157" s="369" t="str">
        <f>_xlfn.XLOOKUP(E157,'All Products'!D:D,'All Products'!C:C,FALSE)</f>
        <v>413-007</v>
      </c>
      <c r="E157" s="51">
        <v>100027400</v>
      </c>
      <c r="F157" s="376" t="str">
        <f>_xlfn.XLOOKUP(E157,'All Products'!D:D,'All Products'!E:E,FALSE)</f>
        <v>3/4 SIDE OUTLET 90 ELL SXSXS</v>
      </c>
      <c r="G157" s="232">
        <f>_xlfn.XLOOKUP(E157,'All Products'!D:D,'All Products'!F:F,FALSE)</f>
        <v>100</v>
      </c>
      <c r="H157" s="387" t="str">
        <f>_xlfn.XLOOKUP(E157,'All Products'!D:D,'All Products'!G:G,FALSE)</f>
        <v>-</v>
      </c>
      <c r="I157" s="394">
        <f>_xlfn.XLOOKUP(E157,'All Products'!D:D,'All Products'!H:H,FALSE)</f>
        <v>11.74</v>
      </c>
      <c r="J157" s="183">
        <f>IFERROR(ROUND(I157*Order_Quote!$L$4,2),0)</f>
        <v>11.74</v>
      </c>
      <c r="K157" s="73"/>
      <c r="L157" s="76"/>
      <c r="M157" s="114">
        <f t="shared" si="11"/>
        <v>0</v>
      </c>
      <c r="O157" s="384" t="str">
        <f>_xlfn.XLOOKUP(E157,'All Products'!D:D,'All Products'!I:I,FALSE)</f>
        <v>In Stock</v>
      </c>
      <c r="P157" s="384" t="str">
        <f>_xlfn.XLOOKUP(E157,'All Products'!D:D,'All Products'!J:J,FALSE)</f>
        <v>Manufactured</v>
      </c>
      <c r="Q157" s="397">
        <f>_xlfn.XLOOKUP(E157,'All Products'!D:D,'All Products'!K:K,FALSE)</f>
        <v>49081142636</v>
      </c>
      <c r="R157" s="397" t="str">
        <f>_xlfn.XLOOKUP(E157,'All Products'!D:D,'All Products'!L:L,FALSE)</f>
        <v>-</v>
      </c>
      <c r="S157" s="397">
        <f>_xlfn.XLOOKUP(E157,'All Products'!D:D,'All Products'!M:M,FALSE)</f>
        <v>40049081142634</v>
      </c>
      <c r="T157" s="384">
        <f>_xlfn.XLOOKUP(E157,'All Products'!D:D,'All Products'!N:N,FALSE)</f>
        <v>8.5999999999999993E-2</v>
      </c>
      <c r="U157" s="397">
        <f>_xlfn.XLOOKUP(E157,'All Products'!D:D,'All Products'!O:O,FALSE)</f>
        <v>10</v>
      </c>
      <c r="V157" s="384" t="str">
        <f>_xlfn.XLOOKUP(E157,'All Products'!D:D,'All Products'!P:P,FALSE)</f>
        <v>-</v>
      </c>
      <c r="W157" s="384" t="str">
        <f>_xlfn.XLOOKUP(E157,'All Products'!D:D,'All Products'!Q:Q,FALSE)</f>
        <v>-</v>
      </c>
    </row>
    <row r="158" spans="1:23" ht="15" customHeight="1">
      <c r="A158" s="101" t="str">
        <f>IF(K158&gt;0,COUNT($A$7:A157)
+COUNT('DWV PVC'!$A$9:$A$316)
+COUNT('DWV ABS'!$A$8:$A$116)+1,"")</f>
        <v/>
      </c>
      <c r="B158" s="610"/>
      <c r="C158" s="611"/>
      <c r="D158" s="369" t="str">
        <f>_xlfn.XLOOKUP(E158,'All Products'!D:D,'All Products'!C:C,FALSE)</f>
        <v>413-010</v>
      </c>
      <c r="E158" s="51">
        <v>100027401</v>
      </c>
      <c r="F158" s="376" t="str">
        <f>_xlfn.XLOOKUP(E158,'All Products'!D:D,'All Products'!E:E,FALSE)</f>
        <v>1 SIDE OUTLET 90 ELL SXSXS</v>
      </c>
      <c r="G158" s="232">
        <f>_xlfn.XLOOKUP(E158,'All Products'!D:D,'All Products'!F:F,FALSE)</f>
        <v>50</v>
      </c>
      <c r="H158" s="387" t="str">
        <f>_xlfn.XLOOKUP(E158,'All Products'!D:D,'All Products'!G:G,FALSE)</f>
        <v>-</v>
      </c>
      <c r="I158" s="394">
        <f>_xlfn.XLOOKUP(E158,'All Products'!D:D,'All Products'!H:H,FALSE)</f>
        <v>15.02</v>
      </c>
      <c r="J158" s="183">
        <f>IFERROR(ROUND(I158*Order_Quote!$L$4,2),0)</f>
        <v>15.02</v>
      </c>
      <c r="K158" s="73"/>
      <c r="L158" s="76"/>
      <c r="M158" s="114">
        <f t="shared" si="11"/>
        <v>0</v>
      </c>
      <c r="O158" s="384" t="str">
        <f>_xlfn.XLOOKUP(E158,'All Products'!D:D,'All Products'!I:I,FALSE)</f>
        <v>In Stock</v>
      </c>
      <c r="P158" s="384" t="str">
        <f>_xlfn.XLOOKUP(E158,'All Products'!D:D,'All Products'!J:J,FALSE)</f>
        <v>Manufactured</v>
      </c>
      <c r="Q158" s="397">
        <f>_xlfn.XLOOKUP(E158,'All Products'!D:D,'All Products'!K:K,FALSE)</f>
        <v>49081142643</v>
      </c>
      <c r="R158" s="397" t="str">
        <f>_xlfn.XLOOKUP(E158,'All Products'!D:D,'All Products'!L:L,FALSE)</f>
        <v>-</v>
      </c>
      <c r="S158" s="397">
        <f>_xlfn.XLOOKUP(E158,'All Products'!D:D,'All Products'!M:M,FALSE)</f>
        <v>40049081142641</v>
      </c>
      <c r="T158" s="384">
        <f>_xlfn.XLOOKUP(E158,'All Products'!D:D,'All Products'!N:N,FALSE)</f>
        <v>0.151</v>
      </c>
      <c r="U158" s="397">
        <f>_xlfn.XLOOKUP(E158,'All Products'!D:D,'All Products'!O:O,FALSE)</f>
        <v>10</v>
      </c>
      <c r="V158" s="384" t="str">
        <f>_xlfn.XLOOKUP(E158,'All Products'!D:D,'All Products'!P:P,FALSE)</f>
        <v>-</v>
      </c>
      <c r="W158" s="384" t="str">
        <f>_xlfn.XLOOKUP(E158,'All Products'!D:D,'All Products'!Q:Q,FALSE)</f>
        <v>-</v>
      </c>
    </row>
    <row r="159" spans="1:23" ht="66" customHeight="1">
      <c r="A159" s="101" t="str">
        <f>IF(K159&gt;0,COUNT($A$7:A158)
+COUNT('DWV PVC'!$A$9:$A$316)
+COUNT('DWV ABS'!$A$8:$A$116)+1,"")</f>
        <v/>
      </c>
      <c r="B159" s="616"/>
      <c r="C159" s="617"/>
      <c r="D159" s="369" t="str">
        <f>_xlfn.XLOOKUP(E159,'All Products'!D:D,'All Products'!C:C,FALSE)</f>
        <v>414-101</v>
      </c>
      <c r="E159" s="51">
        <v>100022626</v>
      </c>
      <c r="F159" s="376" t="str">
        <f>_xlfn.XLOOKUP(E159,'All Products'!D:D,'All Products'!E:E,FALSE)</f>
        <v>3/4X3/4X1/2 SIDE OUTLET 90 SXSXFIPT</v>
      </c>
      <c r="G159" s="232">
        <f>_xlfn.XLOOKUP(E159,'All Products'!D:D,'All Products'!F:F,FALSE)</f>
        <v>100</v>
      </c>
      <c r="H159" s="387">
        <f>_xlfn.XLOOKUP(E159,'All Products'!D:D,'All Products'!G:G,FALSE)</f>
        <v>9000</v>
      </c>
      <c r="I159" s="394">
        <f>_xlfn.XLOOKUP(E159,'All Products'!D:D,'All Products'!H:H,FALSE)</f>
        <v>10.87</v>
      </c>
      <c r="J159" s="183">
        <f>IFERROR(ROUND(I159*Order_Quote!$L$4,2),0)</f>
        <v>10.87</v>
      </c>
      <c r="K159" s="73"/>
      <c r="L159" s="76"/>
      <c r="M159" s="114">
        <f t="shared" si="11"/>
        <v>0</v>
      </c>
      <c r="O159" s="384" t="str">
        <f>_xlfn.XLOOKUP(E159,'All Products'!D:D,'All Products'!I:I,FALSE)</f>
        <v>Within 3 Weeks</v>
      </c>
      <c r="P159" s="384" t="str">
        <f>_xlfn.XLOOKUP(E159,'All Products'!D:D,'All Products'!J:J,FALSE)</f>
        <v>Manufactured</v>
      </c>
      <c r="Q159" s="397">
        <f>_xlfn.XLOOKUP(E159,'All Products'!D:D,'All Products'!K:K,FALSE)</f>
        <v>49081142728</v>
      </c>
      <c r="R159" s="397">
        <f>_xlfn.XLOOKUP(E159,'All Products'!D:D,'All Products'!L:L,FALSE)</f>
        <v>49081642723</v>
      </c>
      <c r="S159" s="397">
        <f>_xlfn.XLOOKUP(E159,'All Products'!D:D,'All Products'!M:M,FALSE)</f>
        <v>40049081142726</v>
      </c>
      <c r="T159" s="384">
        <f>_xlfn.XLOOKUP(E159,'All Products'!D:D,'All Products'!N:N,FALSE)</f>
        <v>0.11</v>
      </c>
      <c r="U159" s="397">
        <f>_xlfn.XLOOKUP(E159,'All Products'!D:D,'All Products'!O:O,FALSE)</f>
        <v>10</v>
      </c>
      <c r="V159" s="384">
        <f>_xlfn.XLOOKUP(E159,'All Products'!D:D,'All Products'!P:P,FALSE)</f>
        <v>12.6</v>
      </c>
      <c r="W159" s="384">
        <f>_xlfn.XLOOKUP(E159,'All Products'!D:D,'All Products'!Q:Q,FALSE)</f>
        <v>0.8</v>
      </c>
    </row>
    <row r="160" spans="1:23" ht="15" customHeight="1">
      <c r="A160" s="101" t="str">
        <f>IF(K160&gt;0,COUNT($A$7:A159)
+COUNT('DWV PVC'!$A$9:$A$316)
+COUNT('DWV ABS'!$A$8:$A$116)+1,"")</f>
        <v/>
      </c>
      <c r="B160" s="608"/>
      <c r="C160" s="609"/>
      <c r="D160" s="369" t="str">
        <f>_xlfn.XLOOKUP(E160,'All Products'!D:D,'All Products'!C:C,FALSE)</f>
        <v>417-005</v>
      </c>
      <c r="E160" s="51">
        <v>100022631</v>
      </c>
      <c r="F160" s="376" t="str">
        <f>_xlfn.XLOOKUP(E160,'All Products'!D:D,'All Products'!E:E,FALSE)</f>
        <v>1/2 45 ELL SLIP X SLIP</v>
      </c>
      <c r="G160" s="232">
        <f>_xlfn.XLOOKUP(E160,'All Products'!D:D,'All Products'!F:F,FALSE)</f>
        <v>250</v>
      </c>
      <c r="H160" s="387">
        <f>_xlfn.XLOOKUP(E160,'All Products'!D:D,'All Products'!G:G,FALSE)</f>
        <v>22500</v>
      </c>
      <c r="I160" s="394">
        <f>_xlfn.XLOOKUP(E160,'All Products'!D:D,'All Products'!H:H,FALSE)</f>
        <v>2.65</v>
      </c>
      <c r="J160" s="183">
        <f>IFERROR(ROUND(I160*Order_Quote!$L$4,2),0)</f>
        <v>2.65</v>
      </c>
      <c r="K160" s="73"/>
      <c r="L160" s="76"/>
      <c r="M160" s="114">
        <f t="shared" si="11"/>
        <v>0</v>
      </c>
      <c r="O160" s="384" t="str">
        <f>_xlfn.XLOOKUP(E160,'All Products'!D:D,'All Products'!I:I,FALSE)</f>
        <v>In Stock</v>
      </c>
      <c r="P160" s="384" t="str">
        <f>_xlfn.XLOOKUP(E160,'All Products'!D:D,'All Products'!J:J,FALSE)</f>
        <v>Manufactured</v>
      </c>
      <c r="Q160" s="397">
        <f>_xlfn.XLOOKUP(E160,'All Products'!D:D,'All Products'!K:K,FALSE)</f>
        <v>49081140229</v>
      </c>
      <c r="R160" s="397">
        <f>_xlfn.XLOOKUP(E160,'All Products'!D:D,'All Products'!L:L,FALSE)</f>
        <v>49081640224</v>
      </c>
      <c r="S160" s="397">
        <f>_xlfn.XLOOKUP(E160,'All Products'!D:D,'All Products'!M:M,FALSE)</f>
        <v>40049081140227</v>
      </c>
      <c r="T160" s="384">
        <f>_xlfn.XLOOKUP(E160,'All Products'!D:D,'All Products'!N:N,FALSE)</f>
        <v>4.8000000000000001E-2</v>
      </c>
      <c r="U160" s="397">
        <f>_xlfn.XLOOKUP(E160,'All Products'!D:D,'All Products'!O:O,FALSE)</f>
        <v>10</v>
      </c>
      <c r="V160" s="384">
        <f>_xlfn.XLOOKUP(E160,'All Products'!D:D,'All Products'!P:P,FALSE)</f>
        <v>13.27</v>
      </c>
      <c r="W160" s="384">
        <f>_xlfn.XLOOKUP(E160,'All Products'!D:D,'All Products'!Q:Q,FALSE)</f>
        <v>0.8</v>
      </c>
    </row>
    <row r="161" spans="1:23" ht="15" customHeight="1">
      <c r="A161" s="101" t="str">
        <f>IF(K161&gt;0,COUNT($A$7:A160)
+COUNT('DWV PVC'!$A$9:$A$316)
+COUNT('DWV ABS'!$A$8:$A$116)+1,"")</f>
        <v/>
      </c>
      <c r="B161" s="610"/>
      <c r="C161" s="611"/>
      <c r="D161" s="369" t="str">
        <f>_xlfn.XLOOKUP(E161,'All Products'!D:D,'All Products'!C:C,FALSE)</f>
        <v>417-007</v>
      </c>
      <c r="E161" s="51">
        <v>100022633</v>
      </c>
      <c r="F161" s="376" t="str">
        <f>_xlfn.XLOOKUP(E161,'All Products'!D:D,'All Products'!E:E,FALSE)</f>
        <v>3/4 45 ELL SLIP X SLIP</v>
      </c>
      <c r="G161" s="232">
        <f>_xlfn.XLOOKUP(E161,'All Products'!D:D,'All Products'!F:F,FALSE)</f>
        <v>100</v>
      </c>
      <c r="H161" s="387">
        <f>_xlfn.XLOOKUP(E161,'All Products'!D:D,'All Products'!G:G,FALSE)</f>
        <v>24000</v>
      </c>
      <c r="I161" s="394">
        <f>_xlfn.XLOOKUP(E161,'All Products'!D:D,'All Products'!H:H,FALSE)</f>
        <v>4.07</v>
      </c>
      <c r="J161" s="183">
        <f>IFERROR(ROUND(I161*Order_Quote!$L$4,2),0)</f>
        <v>4.07</v>
      </c>
      <c r="K161" s="73"/>
      <c r="L161" s="76"/>
      <c r="M161" s="114">
        <f t="shared" si="11"/>
        <v>0</v>
      </c>
      <c r="O161" s="384" t="str">
        <f>_xlfn.XLOOKUP(E161,'All Products'!D:D,'All Products'!I:I,FALSE)</f>
        <v>In Stock</v>
      </c>
      <c r="P161" s="384" t="str">
        <f>_xlfn.XLOOKUP(E161,'All Products'!D:D,'All Products'!J:J,FALSE)</f>
        <v>Manufactured</v>
      </c>
      <c r="Q161" s="397">
        <f>_xlfn.XLOOKUP(E161,'All Products'!D:D,'All Products'!K:K,FALSE)</f>
        <v>49081140243</v>
      </c>
      <c r="R161" s="397">
        <f>_xlfn.XLOOKUP(E161,'All Products'!D:D,'All Products'!L:L,FALSE)</f>
        <v>49081640248</v>
      </c>
      <c r="S161" s="397">
        <f>_xlfn.XLOOKUP(E161,'All Products'!D:D,'All Products'!M:M,FALSE)</f>
        <v>40049081140241</v>
      </c>
      <c r="T161" s="384">
        <f>_xlfn.XLOOKUP(E161,'All Products'!D:D,'All Products'!N:N,FALSE)</f>
        <v>8.3000000000000004E-2</v>
      </c>
      <c r="U161" s="397">
        <f>_xlfn.XLOOKUP(E161,'All Products'!D:D,'All Products'!O:O,FALSE)</f>
        <v>10</v>
      </c>
      <c r="V161" s="384">
        <f>_xlfn.XLOOKUP(E161,'All Products'!D:D,'All Products'!P:P,FALSE)</f>
        <v>9</v>
      </c>
      <c r="W161" s="384">
        <f>_xlfn.XLOOKUP(E161,'All Products'!D:D,'All Products'!Q:Q,FALSE)</f>
        <v>0.65</v>
      </c>
    </row>
    <row r="162" spans="1:23" ht="15" customHeight="1">
      <c r="A162" s="101" t="str">
        <f>IF(K162&gt;0,COUNT($A$7:A161)
+COUNT('DWV PVC'!$A$9:$A$316)
+COUNT('DWV ABS'!$A$8:$A$116)+1,"")</f>
        <v/>
      </c>
      <c r="B162" s="610"/>
      <c r="C162" s="611"/>
      <c r="D162" s="369" t="str">
        <f>_xlfn.XLOOKUP(E162,'All Products'!D:D,'All Products'!C:C,FALSE)</f>
        <v>417-010</v>
      </c>
      <c r="E162" s="51">
        <v>100022635</v>
      </c>
      <c r="F162" s="376" t="str">
        <f>_xlfn.XLOOKUP(E162,'All Products'!D:D,'All Products'!E:E,FALSE)</f>
        <v>1 45 ELL SLIP X SLIP</v>
      </c>
      <c r="G162" s="232">
        <f>_xlfn.XLOOKUP(E162,'All Products'!D:D,'All Products'!F:F,FALSE)</f>
        <v>100</v>
      </c>
      <c r="H162" s="387">
        <f>_xlfn.XLOOKUP(E162,'All Products'!D:D,'All Products'!G:G,FALSE)</f>
        <v>9000</v>
      </c>
      <c r="I162" s="394">
        <f>_xlfn.XLOOKUP(E162,'All Products'!D:D,'All Products'!H:H,FALSE)</f>
        <v>4.92</v>
      </c>
      <c r="J162" s="183">
        <f>IFERROR(ROUND(I162*Order_Quote!$L$4,2),0)</f>
        <v>4.92</v>
      </c>
      <c r="K162" s="73"/>
      <c r="L162" s="76"/>
      <c r="M162" s="114">
        <f t="shared" si="11"/>
        <v>0</v>
      </c>
      <c r="O162" s="384" t="str">
        <f>_xlfn.XLOOKUP(E162,'All Products'!D:D,'All Products'!I:I,FALSE)</f>
        <v>In Stock</v>
      </c>
      <c r="P162" s="384" t="str">
        <f>_xlfn.XLOOKUP(E162,'All Products'!D:D,'All Products'!J:J,FALSE)</f>
        <v>Manufactured</v>
      </c>
      <c r="Q162" s="397">
        <f>_xlfn.XLOOKUP(E162,'All Products'!D:D,'All Products'!K:K,FALSE)</f>
        <v>49081140267</v>
      </c>
      <c r="R162" s="397">
        <f>_xlfn.XLOOKUP(E162,'All Products'!D:D,'All Products'!L:L,FALSE)</f>
        <v>49081640262</v>
      </c>
      <c r="S162" s="397">
        <f>_xlfn.XLOOKUP(E162,'All Products'!D:D,'All Products'!M:M,FALSE)</f>
        <v>40049081140265</v>
      </c>
      <c r="T162" s="384">
        <f>_xlfn.XLOOKUP(E162,'All Products'!D:D,'All Products'!N:N,FALSE)</f>
        <v>0.13500000000000001</v>
      </c>
      <c r="U162" s="397">
        <f>_xlfn.XLOOKUP(E162,'All Products'!D:D,'All Products'!O:O,FALSE)</f>
        <v>10</v>
      </c>
      <c r="V162" s="384">
        <f>_xlfn.XLOOKUP(E162,'All Products'!D:D,'All Products'!P:P,FALSE)</f>
        <v>14.72</v>
      </c>
      <c r="W162" s="384">
        <f>_xlfn.XLOOKUP(E162,'All Products'!D:D,'All Products'!Q:Q,FALSE)</f>
        <v>0.8</v>
      </c>
    </row>
    <row r="163" spans="1:23" ht="15" customHeight="1">
      <c r="A163" s="101" t="str">
        <f>IF(K163&gt;0,COUNT($A$7:A162)
+COUNT('DWV PVC'!$A$9:$A$316)
+COUNT('DWV ABS'!$A$8:$A$116)+1,"")</f>
        <v/>
      </c>
      <c r="B163" s="610"/>
      <c r="C163" s="611"/>
      <c r="D163" s="369" t="str">
        <f>_xlfn.XLOOKUP(E163,'All Products'!D:D,'All Products'!C:C,FALSE)</f>
        <v>417-012</v>
      </c>
      <c r="E163" s="51">
        <v>100022637</v>
      </c>
      <c r="F163" s="376" t="str">
        <f>_xlfn.XLOOKUP(E163,'All Products'!D:D,'All Products'!E:E,FALSE)</f>
        <v>1-1/4 45 ELL SLIP X SLIP</v>
      </c>
      <c r="G163" s="232">
        <f>_xlfn.XLOOKUP(E163,'All Products'!D:D,'All Products'!F:F,FALSE)</f>
        <v>50</v>
      </c>
      <c r="H163" s="387">
        <f>_xlfn.XLOOKUP(E163,'All Products'!D:D,'All Products'!G:G,FALSE)</f>
        <v>4500</v>
      </c>
      <c r="I163" s="394">
        <f>_xlfn.XLOOKUP(E163,'All Products'!D:D,'All Products'!H:H,FALSE)</f>
        <v>6.84</v>
      </c>
      <c r="J163" s="183">
        <f>IFERROR(ROUND(I163*Order_Quote!$L$4,2),0)</f>
        <v>6.84</v>
      </c>
      <c r="K163" s="73"/>
      <c r="L163" s="76"/>
      <c r="M163" s="114">
        <f t="shared" si="11"/>
        <v>0</v>
      </c>
      <c r="O163" s="384" t="str">
        <f>_xlfn.XLOOKUP(E163,'All Products'!D:D,'All Products'!I:I,FALSE)</f>
        <v>In Stock</v>
      </c>
      <c r="P163" s="384" t="str">
        <f>_xlfn.XLOOKUP(E163,'All Products'!D:D,'All Products'!J:J,FALSE)</f>
        <v>Manufactured</v>
      </c>
      <c r="Q163" s="397">
        <f>_xlfn.XLOOKUP(E163,'All Products'!D:D,'All Products'!K:K,FALSE)</f>
        <v>49081140281</v>
      </c>
      <c r="R163" s="397">
        <f>_xlfn.XLOOKUP(E163,'All Products'!D:D,'All Products'!L:L,FALSE)</f>
        <v>49081640286</v>
      </c>
      <c r="S163" s="397">
        <f>_xlfn.XLOOKUP(E163,'All Products'!D:D,'All Products'!M:M,FALSE)</f>
        <v>40049081140289</v>
      </c>
      <c r="T163" s="384">
        <f>_xlfn.XLOOKUP(E163,'All Products'!D:D,'All Products'!N:N,FALSE)</f>
        <v>0.19400000000000001</v>
      </c>
      <c r="U163" s="397">
        <f>_xlfn.XLOOKUP(E163,'All Products'!D:D,'All Products'!O:O,FALSE)</f>
        <v>5</v>
      </c>
      <c r="V163" s="384">
        <f>_xlfn.XLOOKUP(E163,'All Products'!D:D,'All Products'!P:P,FALSE)</f>
        <v>10.73</v>
      </c>
      <c r="W163" s="384">
        <f>_xlfn.XLOOKUP(E163,'All Products'!D:D,'All Products'!Q:Q,FALSE)</f>
        <v>0.8</v>
      </c>
    </row>
    <row r="164" spans="1:23" ht="15" customHeight="1">
      <c r="A164" s="101" t="str">
        <f>IF(K164&gt;0,COUNT($A$7:A163)
+COUNT('DWV PVC'!$A$9:$A$316)
+COUNT('DWV ABS'!$A$8:$A$116)+1,"")</f>
        <v/>
      </c>
      <c r="B164" s="610"/>
      <c r="C164" s="611"/>
      <c r="D164" s="369" t="str">
        <f>_xlfn.XLOOKUP(E164,'All Products'!D:D,'All Products'!C:C,FALSE)</f>
        <v>417-015</v>
      </c>
      <c r="E164" s="51">
        <v>100022639</v>
      </c>
      <c r="F164" s="376" t="str">
        <f>_xlfn.XLOOKUP(E164,'All Products'!D:D,'All Products'!E:E,FALSE)</f>
        <v>1-1/2 45 ELL SLIP X SLIP</v>
      </c>
      <c r="G164" s="232">
        <f>_xlfn.XLOOKUP(E164,'All Products'!D:D,'All Products'!F:F,FALSE)</f>
        <v>50</v>
      </c>
      <c r="H164" s="387">
        <f>_xlfn.XLOOKUP(E164,'All Products'!D:D,'All Products'!G:G,FALSE)</f>
        <v>3750</v>
      </c>
      <c r="I164" s="394">
        <f>_xlfn.XLOOKUP(E164,'All Products'!D:D,'All Products'!H:H,FALSE)</f>
        <v>8.5399999999999991</v>
      </c>
      <c r="J164" s="183">
        <f>IFERROR(ROUND(I164*Order_Quote!$L$4,2),0)</f>
        <v>8.5399999999999991</v>
      </c>
      <c r="K164" s="73"/>
      <c r="L164" s="76"/>
      <c r="M164" s="114">
        <f t="shared" si="11"/>
        <v>0</v>
      </c>
      <c r="O164" s="384" t="str">
        <f>_xlfn.XLOOKUP(E164,'All Products'!D:D,'All Products'!I:I,FALSE)</f>
        <v>In Stock</v>
      </c>
      <c r="P164" s="384" t="str">
        <f>_xlfn.XLOOKUP(E164,'All Products'!D:D,'All Products'!J:J,FALSE)</f>
        <v>Manufactured</v>
      </c>
      <c r="Q164" s="397">
        <f>_xlfn.XLOOKUP(E164,'All Products'!D:D,'All Products'!K:K,FALSE)</f>
        <v>49081140304</v>
      </c>
      <c r="R164" s="397">
        <f>_xlfn.XLOOKUP(E164,'All Products'!D:D,'All Products'!L:L,FALSE)</f>
        <v>49081640309</v>
      </c>
      <c r="S164" s="397">
        <f>_xlfn.XLOOKUP(E164,'All Products'!D:D,'All Products'!M:M,FALSE)</f>
        <v>40049081140302</v>
      </c>
      <c r="T164" s="384">
        <f>_xlfn.XLOOKUP(E164,'All Products'!D:D,'All Products'!N:N,FALSE)</f>
        <v>0.22800000000000001</v>
      </c>
      <c r="U164" s="397">
        <f>_xlfn.XLOOKUP(E164,'All Products'!D:D,'All Products'!O:O,FALSE)</f>
        <v>10</v>
      </c>
      <c r="V164" s="384">
        <f>_xlfn.XLOOKUP(E164,'All Products'!D:D,'All Products'!P:P,FALSE)</f>
        <v>12.35</v>
      </c>
      <c r="W164" s="384">
        <f>_xlfn.XLOOKUP(E164,'All Products'!D:D,'All Products'!Q:Q,FALSE)</f>
        <v>0.95</v>
      </c>
    </row>
    <row r="165" spans="1:23" ht="15" customHeight="1">
      <c r="A165" s="101" t="str">
        <f>IF(K165&gt;0,COUNT($A$7:A164)
+COUNT('DWV PVC'!$A$9:$A$316)
+COUNT('DWV ABS'!$A$8:$A$116)+1,"")</f>
        <v/>
      </c>
      <c r="B165" s="610"/>
      <c r="C165" s="611"/>
      <c r="D165" s="369" t="str">
        <f>_xlfn.XLOOKUP(E165,'All Products'!D:D,'All Products'!C:C,FALSE)</f>
        <v>417-020</v>
      </c>
      <c r="E165" s="51">
        <v>100027403</v>
      </c>
      <c r="F165" s="376" t="str">
        <f>_xlfn.XLOOKUP(E165,'All Products'!D:D,'All Products'!E:E,FALSE)</f>
        <v>2 45 ELL SLIP X SLIP</v>
      </c>
      <c r="G165" s="232">
        <f>_xlfn.XLOOKUP(E165,'All Products'!D:D,'All Products'!F:F,FALSE)</f>
        <v>20</v>
      </c>
      <c r="H165" s="387">
        <f>_xlfn.XLOOKUP(E165,'All Products'!D:D,'All Products'!G:G,FALSE)</f>
        <v>2400</v>
      </c>
      <c r="I165" s="394">
        <f>_xlfn.XLOOKUP(E165,'All Products'!D:D,'All Products'!H:H,FALSE)</f>
        <v>11.15</v>
      </c>
      <c r="J165" s="183">
        <f>IFERROR(ROUND(I165*Order_Quote!$L$4,2),0)</f>
        <v>11.15</v>
      </c>
      <c r="K165" s="73"/>
      <c r="L165" s="76"/>
      <c r="M165" s="114">
        <f t="shared" si="11"/>
        <v>0</v>
      </c>
      <c r="O165" s="384" t="str">
        <f>_xlfn.XLOOKUP(E165,'All Products'!D:D,'All Products'!I:I,FALSE)</f>
        <v>In Stock</v>
      </c>
      <c r="P165" s="384" t="str">
        <f>_xlfn.XLOOKUP(E165,'All Products'!D:D,'All Products'!J:J,FALSE)</f>
        <v>Manufactured</v>
      </c>
      <c r="Q165" s="397">
        <f>_xlfn.XLOOKUP(E165,'All Products'!D:D,'All Products'!K:K,FALSE)</f>
        <v>49081140328</v>
      </c>
      <c r="R165" s="397">
        <f>_xlfn.XLOOKUP(E165,'All Products'!D:D,'All Products'!L:L,FALSE)</f>
        <v>49081640323</v>
      </c>
      <c r="S165" s="397">
        <f>_xlfn.XLOOKUP(E165,'All Products'!D:D,'All Products'!M:M,FALSE)</f>
        <v>40049081140326</v>
      </c>
      <c r="T165" s="384">
        <f>_xlfn.XLOOKUP(E165,'All Products'!D:D,'All Products'!N:N,FALSE)</f>
        <v>0.307</v>
      </c>
      <c r="U165" s="397">
        <f>_xlfn.XLOOKUP(E165,'All Products'!D:D,'All Products'!O:O,FALSE)</f>
        <v>5</v>
      </c>
      <c r="V165" s="384">
        <f>_xlfn.XLOOKUP(E165,'All Products'!D:D,'All Products'!P:P,FALSE)</f>
        <v>7.56</v>
      </c>
      <c r="W165" s="384">
        <f>_xlfn.XLOOKUP(E165,'All Products'!D:D,'All Products'!Q:Q,FALSE)</f>
        <v>0.65</v>
      </c>
    </row>
    <row r="166" spans="1:23" ht="15" customHeight="1">
      <c r="A166" s="101" t="str">
        <f>IF(K166&gt;0,COUNT($A$7:A165)
+COUNT('DWV PVC'!$A$9:$A$316)
+COUNT('DWV ABS'!$A$8:$A$116)+1,"")</f>
        <v/>
      </c>
      <c r="B166" s="610"/>
      <c r="C166" s="611"/>
      <c r="D166" s="369" t="str">
        <f>_xlfn.XLOOKUP(E166,'All Products'!D:D,'All Products'!C:C,FALSE)</f>
        <v>417-025</v>
      </c>
      <c r="E166" s="51">
        <v>100022641</v>
      </c>
      <c r="F166" s="376" t="str">
        <f>_xlfn.XLOOKUP(E166,'All Products'!D:D,'All Products'!E:E,FALSE)</f>
        <v>2-1/2 45 ELL SLIP X SLIP</v>
      </c>
      <c r="G166" s="232">
        <f>_xlfn.XLOOKUP(E166,'All Products'!D:D,'All Products'!F:F,FALSE)</f>
        <v>10</v>
      </c>
      <c r="H166" s="387">
        <f>_xlfn.XLOOKUP(E166,'All Products'!D:D,'All Products'!G:G,FALSE)</f>
        <v>900</v>
      </c>
      <c r="I166" s="394">
        <f>_xlfn.XLOOKUP(E166,'All Products'!D:D,'All Products'!H:H,FALSE)</f>
        <v>29.05</v>
      </c>
      <c r="J166" s="183">
        <f>IFERROR(ROUND(I166*Order_Quote!$L$4,2),0)</f>
        <v>29.05</v>
      </c>
      <c r="K166" s="73"/>
      <c r="L166" s="76"/>
      <c r="M166" s="114">
        <f t="shared" si="11"/>
        <v>0</v>
      </c>
      <c r="O166" s="384" t="str">
        <f>_xlfn.XLOOKUP(E166,'All Products'!D:D,'All Products'!I:I,FALSE)</f>
        <v>In Stock</v>
      </c>
      <c r="P166" s="384" t="str">
        <f>_xlfn.XLOOKUP(E166,'All Products'!D:D,'All Products'!J:J,FALSE)</f>
        <v>Manufactured</v>
      </c>
      <c r="Q166" s="397">
        <f>_xlfn.XLOOKUP(E166,'All Products'!D:D,'All Products'!K:K,FALSE)</f>
        <v>49081140342</v>
      </c>
      <c r="R166" s="397" t="str">
        <f>_xlfn.XLOOKUP(E166,'All Products'!D:D,'All Products'!L:L,FALSE)</f>
        <v>-</v>
      </c>
      <c r="S166" s="397">
        <f>_xlfn.XLOOKUP(E166,'All Products'!D:D,'All Products'!M:M,FALSE)</f>
        <v>40049081140340</v>
      </c>
      <c r="T166" s="384">
        <f>_xlfn.XLOOKUP(E166,'All Products'!D:D,'All Products'!N:N,FALSE)</f>
        <v>0.63200000000000001</v>
      </c>
      <c r="U166" s="397" t="str">
        <f>_xlfn.XLOOKUP(E166,'All Products'!D:D,'All Products'!O:O,FALSE)</f>
        <v>-</v>
      </c>
      <c r="V166" s="384">
        <f>_xlfn.XLOOKUP(E166,'All Products'!D:D,'All Products'!P:P,FALSE)</f>
        <v>8.81</v>
      </c>
      <c r="W166" s="384">
        <f>_xlfn.XLOOKUP(E166,'All Products'!D:D,'All Products'!Q:Q,FALSE)</f>
        <v>0.8</v>
      </c>
    </row>
    <row r="167" spans="1:23" ht="15" customHeight="1">
      <c r="A167" s="101" t="str">
        <f>IF(K167&gt;0,COUNT($A$7:A166)
+COUNT('DWV PVC'!$A$9:$A$316)
+COUNT('DWV ABS'!$A$8:$A$116)+1,"")</f>
        <v/>
      </c>
      <c r="B167" s="610"/>
      <c r="C167" s="611"/>
      <c r="D167" s="369" t="str">
        <f>_xlfn.XLOOKUP(E167,'All Products'!D:D,'All Products'!C:C,FALSE)</f>
        <v>417-030</v>
      </c>
      <c r="E167" s="51">
        <v>100022643</v>
      </c>
      <c r="F167" s="376" t="str">
        <f>_xlfn.XLOOKUP(E167,'All Products'!D:D,'All Products'!E:E,FALSE)</f>
        <v>3 45 ELL SLIP X SLIP</v>
      </c>
      <c r="G167" s="232">
        <f>_xlfn.XLOOKUP(E167,'All Products'!D:D,'All Products'!F:F,FALSE)</f>
        <v>8</v>
      </c>
      <c r="H167" s="387">
        <f>_xlfn.XLOOKUP(E167,'All Products'!D:D,'All Products'!G:G,FALSE)</f>
        <v>720</v>
      </c>
      <c r="I167" s="394">
        <f>_xlfn.XLOOKUP(E167,'All Products'!D:D,'All Products'!H:H,FALSE)</f>
        <v>45.06</v>
      </c>
      <c r="J167" s="183">
        <f>IFERROR(ROUND(I167*Order_Quote!$L$4,2),0)</f>
        <v>45.06</v>
      </c>
      <c r="K167" s="73"/>
      <c r="L167" s="76"/>
      <c r="M167" s="114">
        <f t="shared" si="11"/>
        <v>0</v>
      </c>
      <c r="O167" s="384" t="str">
        <f>_xlfn.XLOOKUP(E167,'All Products'!D:D,'All Products'!I:I,FALSE)</f>
        <v>In Stock</v>
      </c>
      <c r="P167" s="384" t="str">
        <f>_xlfn.XLOOKUP(E167,'All Products'!D:D,'All Products'!J:J,FALSE)</f>
        <v>Manufactured</v>
      </c>
      <c r="Q167" s="397">
        <f>_xlfn.XLOOKUP(E167,'All Products'!D:D,'All Products'!K:K,FALSE)</f>
        <v>49081140366</v>
      </c>
      <c r="R167" s="397" t="str">
        <f>_xlfn.XLOOKUP(E167,'All Products'!D:D,'All Products'!L:L,FALSE)</f>
        <v>-</v>
      </c>
      <c r="S167" s="397">
        <f>_xlfn.XLOOKUP(E167,'All Products'!D:D,'All Products'!M:M,FALSE)</f>
        <v>40049081140364</v>
      </c>
      <c r="T167" s="384">
        <f>_xlfn.XLOOKUP(E167,'All Products'!D:D,'All Products'!N:N,FALSE)</f>
        <v>1.53</v>
      </c>
      <c r="U167" s="397" t="str">
        <f>_xlfn.XLOOKUP(E167,'All Products'!D:D,'All Products'!O:O,FALSE)</f>
        <v>-</v>
      </c>
      <c r="V167" s="384">
        <f>_xlfn.XLOOKUP(E167,'All Products'!D:D,'All Products'!P:P,FALSE)</f>
        <v>13</v>
      </c>
      <c r="W167" s="384">
        <f>_xlfn.XLOOKUP(E167,'All Products'!D:D,'All Products'!Q:Q,FALSE)</f>
        <v>0.8</v>
      </c>
    </row>
    <row r="168" spans="1:23" ht="15" customHeight="1">
      <c r="A168" s="101" t="str">
        <f>IF(K168&gt;0,COUNT($A$7:A167)
+COUNT('DWV PVC'!$A$9:$A$316)
+COUNT('DWV ABS'!$A$8:$A$116)+1,"")</f>
        <v/>
      </c>
      <c r="B168" s="610"/>
      <c r="C168" s="611"/>
      <c r="D168" s="369" t="str">
        <f>_xlfn.XLOOKUP(E168,'All Products'!D:D,'All Products'!C:C,FALSE)</f>
        <v>417-040</v>
      </c>
      <c r="E168" s="51">
        <v>100022645</v>
      </c>
      <c r="F168" s="376" t="str">
        <f>_xlfn.XLOOKUP(E168,'All Products'!D:D,'All Products'!E:E,FALSE)</f>
        <v>4 45 ELL SLIP X SLIP</v>
      </c>
      <c r="G168" s="232">
        <f>_xlfn.XLOOKUP(E168,'All Products'!D:D,'All Products'!F:F,FALSE)</f>
        <v>3</v>
      </c>
      <c r="H168" s="387">
        <f>_xlfn.XLOOKUP(E168,'All Products'!D:D,'All Products'!G:G,FALSE)</f>
        <v>270</v>
      </c>
      <c r="I168" s="394">
        <f>_xlfn.XLOOKUP(E168,'All Products'!D:D,'All Products'!H:H,FALSE)</f>
        <v>80.77</v>
      </c>
      <c r="J168" s="183">
        <f>IFERROR(ROUND(I168*Order_Quote!$L$4,2),0)</f>
        <v>80.77</v>
      </c>
      <c r="K168" s="73"/>
      <c r="L168" s="76"/>
      <c r="M168" s="114">
        <f t="shared" si="11"/>
        <v>0</v>
      </c>
      <c r="O168" s="384" t="str">
        <f>_xlfn.XLOOKUP(E168,'All Products'!D:D,'All Products'!I:I,FALSE)</f>
        <v>In Stock</v>
      </c>
      <c r="P168" s="384" t="str">
        <f>_xlfn.XLOOKUP(E168,'All Products'!D:D,'All Products'!J:J,FALSE)</f>
        <v>Manufactured</v>
      </c>
      <c r="Q168" s="397">
        <f>_xlfn.XLOOKUP(E168,'All Products'!D:D,'All Products'!K:K,FALSE)</f>
        <v>49081140380</v>
      </c>
      <c r="R168" s="397" t="str">
        <f>_xlfn.XLOOKUP(E168,'All Products'!D:D,'All Products'!L:L,FALSE)</f>
        <v>-</v>
      </c>
      <c r="S168" s="397">
        <f>_xlfn.XLOOKUP(E168,'All Products'!D:D,'All Products'!M:M,FALSE)</f>
        <v>40049081140388</v>
      </c>
      <c r="T168" s="384">
        <f>_xlfn.XLOOKUP(E168,'All Products'!D:D,'All Products'!N:N,FALSE)</f>
        <v>1.48</v>
      </c>
      <c r="U168" s="397" t="str">
        <f>_xlfn.XLOOKUP(E168,'All Products'!D:D,'All Products'!O:O,FALSE)</f>
        <v>-</v>
      </c>
      <c r="V168" s="384">
        <f>_xlfn.XLOOKUP(E168,'All Products'!D:D,'All Products'!P:P,FALSE)</f>
        <v>7.07</v>
      </c>
      <c r="W168" s="384">
        <f>_xlfn.XLOOKUP(E168,'All Products'!D:D,'All Products'!Q:Q,FALSE)</f>
        <v>0.8</v>
      </c>
    </row>
    <row r="169" spans="1:23" ht="15" customHeight="1">
      <c r="A169" s="101" t="str">
        <f>IF(K169&gt;0,COUNT($A$7:A168)
+COUNT('DWV PVC'!$A$9:$A$316)
+COUNT('DWV ABS'!$A$8:$A$116)+1,"")</f>
        <v/>
      </c>
      <c r="B169" s="610"/>
      <c r="C169" s="611"/>
      <c r="D169" s="369" t="str">
        <f>_xlfn.XLOOKUP(E169,'All Products'!D:D,'All Products'!C:C,FALSE)</f>
        <v>417-050</v>
      </c>
      <c r="E169" s="51">
        <v>100022647</v>
      </c>
      <c r="F169" s="376" t="str">
        <f>_xlfn.XLOOKUP(E169,'All Products'!D:D,'All Products'!E:E,FALSE)</f>
        <v>5 45 ELL SLIP X SLIP</v>
      </c>
      <c r="G169" s="232">
        <f>_xlfn.XLOOKUP(E169,'All Products'!D:D,'All Products'!F:F,FALSE)</f>
        <v>2</v>
      </c>
      <c r="H169" s="387">
        <f>_xlfn.XLOOKUP(E169,'All Products'!D:D,'All Products'!G:G,FALSE)</f>
        <v>150</v>
      </c>
      <c r="I169" s="394">
        <f>_xlfn.XLOOKUP(E169,'All Products'!D:D,'All Products'!H:H,FALSE)</f>
        <v>160.22999999999999</v>
      </c>
      <c r="J169" s="183">
        <f>IFERROR(ROUND(I169*Order_Quote!$L$4,2),0)</f>
        <v>160.22999999999999</v>
      </c>
      <c r="K169" s="73"/>
      <c r="L169" s="76"/>
      <c r="M169" s="114">
        <f t="shared" si="11"/>
        <v>0</v>
      </c>
      <c r="O169" s="384" t="str">
        <f>_xlfn.XLOOKUP(E169,'All Products'!D:D,'All Products'!I:I,FALSE)</f>
        <v>In Stock</v>
      </c>
      <c r="P169" s="384" t="str">
        <f>_xlfn.XLOOKUP(E169,'All Products'!D:D,'All Products'!J:J,FALSE)</f>
        <v>Manufactured</v>
      </c>
      <c r="Q169" s="397">
        <f>_xlfn.XLOOKUP(E169,'All Products'!D:D,'All Products'!K:K,FALSE)</f>
        <v>49081140403</v>
      </c>
      <c r="R169" s="397" t="str">
        <f>_xlfn.XLOOKUP(E169,'All Products'!D:D,'All Products'!L:L,FALSE)</f>
        <v>-</v>
      </c>
      <c r="S169" s="397">
        <f>_xlfn.XLOOKUP(E169,'All Products'!D:D,'All Products'!M:M,FALSE)</f>
        <v>40049081140401</v>
      </c>
      <c r="T169" s="384">
        <f>_xlfn.XLOOKUP(E169,'All Products'!D:D,'All Products'!N:N,FALSE)</f>
        <v>3.1560000000000001</v>
      </c>
      <c r="U169" s="397" t="str">
        <f>_xlfn.XLOOKUP(E169,'All Products'!D:D,'All Products'!O:O,FALSE)</f>
        <v>-</v>
      </c>
      <c r="V169" s="384">
        <f>_xlfn.XLOOKUP(E169,'All Products'!D:D,'All Products'!P:P,FALSE)</f>
        <v>7.05</v>
      </c>
      <c r="W169" s="384">
        <f>_xlfn.XLOOKUP(E169,'All Products'!D:D,'All Products'!Q:Q,FALSE)</f>
        <v>0.95</v>
      </c>
    </row>
    <row r="170" spans="1:23" ht="15" customHeight="1">
      <c r="A170" s="101" t="str">
        <f>IF(K170&gt;0,COUNT($A$7:A169)
+COUNT('DWV PVC'!$A$9:$A$316)
+COUNT('DWV ABS'!$A$8:$A$116)+1,"")</f>
        <v/>
      </c>
      <c r="B170" s="610"/>
      <c r="C170" s="611"/>
      <c r="D170" s="369" t="str">
        <f>_xlfn.XLOOKUP(E170,'All Products'!D:D,'All Products'!C:C,FALSE)</f>
        <v>417-060</v>
      </c>
      <c r="E170" s="51">
        <v>100022649</v>
      </c>
      <c r="F170" s="376" t="str">
        <f>_xlfn.XLOOKUP(E170,'All Products'!D:D,'All Products'!E:E,FALSE)</f>
        <v>6 45 ELL SLIP X SLIP</v>
      </c>
      <c r="G170" s="232">
        <f>_xlfn.XLOOKUP(E170,'All Products'!D:D,'All Products'!F:F,FALSE)</f>
        <v>2</v>
      </c>
      <c r="H170" s="387">
        <f>_xlfn.XLOOKUP(E170,'All Products'!D:D,'All Products'!G:G,FALSE)</f>
        <v>120</v>
      </c>
      <c r="I170" s="394">
        <f>_xlfn.XLOOKUP(E170,'All Products'!D:D,'All Products'!H:H,FALSE)</f>
        <v>199.57</v>
      </c>
      <c r="J170" s="183">
        <f>IFERROR(ROUND(I170*Order_Quote!$L$4,2),0)</f>
        <v>199.57</v>
      </c>
      <c r="K170" s="73"/>
      <c r="L170" s="76"/>
      <c r="M170" s="114">
        <f t="shared" si="11"/>
        <v>0</v>
      </c>
      <c r="O170" s="384" t="str">
        <f>_xlfn.XLOOKUP(E170,'All Products'!D:D,'All Products'!I:I,FALSE)</f>
        <v>In Stock</v>
      </c>
      <c r="P170" s="384" t="str">
        <f>_xlfn.XLOOKUP(E170,'All Products'!D:D,'All Products'!J:J,FALSE)</f>
        <v>Manufactured</v>
      </c>
      <c r="Q170" s="397">
        <f>_xlfn.XLOOKUP(E170,'All Products'!D:D,'All Products'!K:K,FALSE)</f>
        <v>49081140427</v>
      </c>
      <c r="R170" s="397" t="str">
        <f>_xlfn.XLOOKUP(E170,'All Products'!D:D,'All Products'!L:L,FALSE)</f>
        <v>-</v>
      </c>
      <c r="S170" s="397">
        <f>_xlfn.XLOOKUP(E170,'All Products'!D:D,'All Products'!M:M,FALSE)</f>
        <v>40049081140425</v>
      </c>
      <c r="T170" s="384">
        <f>_xlfn.XLOOKUP(E170,'All Products'!D:D,'All Products'!N:N,FALSE)</f>
        <v>4.0549999999999997</v>
      </c>
      <c r="U170" s="397" t="str">
        <f>_xlfn.XLOOKUP(E170,'All Products'!D:D,'All Products'!O:O,FALSE)</f>
        <v>-</v>
      </c>
      <c r="V170" s="384">
        <f>_xlfn.XLOOKUP(E170,'All Products'!D:D,'All Products'!P:P,FALSE)</f>
        <v>9.06</v>
      </c>
      <c r="W170" s="384">
        <f>_xlfn.XLOOKUP(E170,'All Products'!D:D,'All Products'!Q:Q,FALSE)</f>
        <v>1.41</v>
      </c>
    </row>
    <row r="171" spans="1:23" ht="15" customHeight="1">
      <c r="A171" s="101" t="str">
        <f>IF(K171&gt;0,COUNT($A$7:A170)
+COUNT('DWV PVC'!$A$9:$A$316)
+COUNT('DWV ABS'!$A$8:$A$116)+1,"")</f>
        <v/>
      </c>
      <c r="B171" s="612"/>
      <c r="C171" s="613"/>
      <c r="D171" s="369" t="str">
        <f>_xlfn.XLOOKUP(E171,'All Products'!D:D,'All Products'!C:C,FALSE)</f>
        <v>417-080</v>
      </c>
      <c r="E171" s="51">
        <v>100027404</v>
      </c>
      <c r="F171" s="376" t="str">
        <f>_xlfn.XLOOKUP(E171,'All Products'!D:D,'All Products'!E:E,FALSE)</f>
        <v>8 45 ELL SLIP X SLIP</v>
      </c>
      <c r="G171" s="232">
        <f>_xlfn.XLOOKUP(E171,'All Products'!D:D,'All Products'!F:F,FALSE)</f>
        <v>2</v>
      </c>
      <c r="H171" s="387">
        <f>_xlfn.XLOOKUP(E171,'All Products'!D:D,'All Products'!G:G,FALSE)</f>
        <v>48</v>
      </c>
      <c r="I171" s="394">
        <f>_xlfn.XLOOKUP(E171,'All Products'!D:D,'All Products'!H:H,FALSE)</f>
        <v>479.99</v>
      </c>
      <c r="J171" s="183">
        <f>IFERROR(ROUND(I171*Order_Quote!$L$4,2),0)</f>
        <v>479.99</v>
      </c>
      <c r="K171" s="73"/>
      <c r="L171" s="76"/>
      <c r="M171" s="114">
        <f t="shared" si="11"/>
        <v>0</v>
      </c>
      <c r="O171" s="384" t="str">
        <f>_xlfn.XLOOKUP(E171,'All Products'!D:D,'All Products'!I:I,FALSE)</f>
        <v>In Stock</v>
      </c>
      <c r="P171" s="384" t="str">
        <f>_xlfn.XLOOKUP(E171,'All Products'!D:D,'All Products'!J:J,FALSE)</f>
        <v>Manufactured</v>
      </c>
      <c r="Q171" s="397">
        <f>_xlfn.XLOOKUP(E171,'All Products'!D:D,'All Products'!K:K,FALSE)</f>
        <v>49081140441</v>
      </c>
      <c r="R171" s="397" t="str">
        <f>_xlfn.XLOOKUP(E171,'All Products'!D:D,'All Products'!L:L,FALSE)</f>
        <v>-</v>
      </c>
      <c r="S171" s="397">
        <f>_xlfn.XLOOKUP(E171,'All Products'!D:D,'All Products'!M:M,FALSE)</f>
        <v>40049081140449</v>
      </c>
      <c r="T171" s="384">
        <f>_xlfn.XLOOKUP(E171,'All Products'!D:D,'All Products'!N:N,FALSE)</f>
        <v>8.2059999999999995</v>
      </c>
      <c r="U171" s="397" t="str">
        <f>_xlfn.XLOOKUP(E171,'All Products'!D:D,'All Products'!O:O,FALSE)</f>
        <v>-</v>
      </c>
      <c r="V171" s="384">
        <f>_xlfn.XLOOKUP(E171,'All Products'!D:D,'All Products'!P:P,FALSE)</f>
        <v>18.489999999999998</v>
      </c>
      <c r="W171" s="384">
        <f>_xlfn.XLOOKUP(E171,'All Products'!D:D,'All Products'!Q:Q,FALSE)</f>
        <v>2.77</v>
      </c>
    </row>
    <row r="172" spans="1:23" ht="15" customHeight="1">
      <c r="A172" s="101" t="str">
        <f>IF(K172&gt;0,COUNT($A$7:A171)
+COUNT('DWV PVC'!$A$9:$A$316)
+COUNT('DWV ABS'!$A$8:$A$116)+1,"")</f>
        <v/>
      </c>
      <c r="B172" s="608"/>
      <c r="C172" s="609"/>
      <c r="D172" s="369" t="str">
        <f>_xlfn.XLOOKUP(E172,'All Products'!D:D,'All Products'!C:C,FALSE)</f>
        <v>420-005</v>
      </c>
      <c r="E172" s="51">
        <v>100022651</v>
      </c>
      <c r="F172" s="376" t="str">
        <f>_xlfn.XLOOKUP(E172,'All Products'!D:D,'All Products'!E:E,FALSE)</f>
        <v>1/2 CROSS SLIP</v>
      </c>
      <c r="G172" s="232">
        <f>_xlfn.XLOOKUP(E172,'All Products'!D:D,'All Products'!F:F,FALSE)</f>
        <v>100</v>
      </c>
      <c r="H172" s="387">
        <f>_xlfn.XLOOKUP(E172,'All Products'!D:D,'All Products'!G:G,FALSE)</f>
        <v>9000</v>
      </c>
      <c r="I172" s="394">
        <f>_xlfn.XLOOKUP(E172,'All Products'!D:D,'All Products'!H:H,FALSE)</f>
        <v>6.1</v>
      </c>
      <c r="J172" s="183">
        <f>IFERROR(ROUND(I172*Order_Quote!$L$4,2),0)</f>
        <v>6.1</v>
      </c>
      <c r="K172" s="73"/>
      <c r="L172" s="76"/>
      <c r="M172" s="114">
        <f t="shared" ref="M172:M193" si="15">K172/G172</f>
        <v>0</v>
      </c>
      <c r="O172" s="384" t="str">
        <f>_xlfn.XLOOKUP(E172,'All Products'!D:D,'All Products'!I:I,FALSE)</f>
        <v>In Stock</v>
      </c>
      <c r="P172" s="384" t="str">
        <f>_xlfn.XLOOKUP(E172,'All Products'!D:D,'All Products'!J:J,FALSE)</f>
        <v>Manufactured</v>
      </c>
      <c r="Q172" s="397">
        <f>_xlfn.XLOOKUP(E172,'All Products'!D:D,'All Products'!K:K,FALSE)</f>
        <v>49081139285</v>
      </c>
      <c r="R172" s="397">
        <f>_xlfn.XLOOKUP(E172,'All Products'!D:D,'All Products'!L:L,FALSE)</f>
        <v>49081639280</v>
      </c>
      <c r="S172" s="397">
        <f>_xlfn.XLOOKUP(E172,'All Products'!D:D,'All Products'!M:M,FALSE)</f>
        <v>40049081139283</v>
      </c>
      <c r="T172" s="384">
        <f>_xlfn.XLOOKUP(E172,'All Products'!D:D,'All Products'!N:N,FALSE)</f>
        <v>8.5999999999999993E-2</v>
      </c>
      <c r="U172" s="397">
        <f>_xlfn.XLOOKUP(E172,'All Products'!D:D,'All Products'!O:O,FALSE)</f>
        <v>10</v>
      </c>
      <c r="V172" s="384">
        <f>_xlfn.XLOOKUP(E172,'All Products'!D:D,'All Products'!P:P,FALSE)</f>
        <v>9.39</v>
      </c>
      <c r="W172" s="384">
        <f>_xlfn.XLOOKUP(E172,'All Products'!D:D,'All Products'!Q:Q,FALSE)</f>
        <v>0.8</v>
      </c>
    </row>
    <row r="173" spans="1:23" ht="15" customHeight="1">
      <c r="A173" s="101" t="str">
        <f>IF(K173&gt;0,COUNT($A$7:A172)
+COUNT('DWV PVC'!$A$9:$A$316)
+COUNT('DWV ABS'!$A$8:$A$116)+1,"")</f>
        <v/>
      </c>
      <c r="B173" s="610"/>
      <c r="C173" s="611"/>
      <c r="D173" s="369" t="str">
        <f>_xlfn.XLOOKUP(E173,'All Products'!D:D,'All Products'!C:C,FALSE)</f>
        <v>420-007</v>
      </c>
      <c r="E173" s="51">
        <v>100022653</v>
      </c>
      <c r="F173" s="376" t="str">
        <f>_xlfn.XLOOKUP(E173,'All Products'!D:D,'All Products'!E:E,FALSE)</f>
        <v>3/4 CROSS SLIP</v>
      </c>
      <c r="G173" s="232">
        <f>_xlfn.XLOOKUP(E173,'All Products'!D:D,'All Products'!F:F,FALSE)</f>
        <v>50</v>
      </c>
      <c r="H173" s="387">
        <f>_xlfn.XLOOKUP(E173,'All Products'!D:D,'All Products'!G:G,FALSE)</f>
        <v>6000</v>
      </c>
      <c r="I173" s="394">
        <f>_xlfn.XLOOKUP(E173,'All Products'!D:D,'All Products'!H:H,FALSE)</f>
        <v>10.08</v>
      </c>
      <c r="J173" s="183">
        <f>IFERROR(ROUND(I173*Order_Quote!$L$4,2),0)</f>
        <v>10.08</v>
      </c>
      <c r="K173" s="73"/>
      <c r="L173" s="76"/>
      <c r="M173" s="114">
        <f t="shared" si="15"/>
        <v>0</v>
      </c>
      <c r="O173" s="384" t="str">
        <f>_xlfn.XLOOKUP(E173,'All Products'!D:D,'All Products'!I:I,FALSE)</f>
        <v>In Stock</v>
      </c>
      <c r="P173" s="384" t="str">
        <f>_xlfn.XLOOKUP(E173,'All Products'!D:D,'All Products'!J:J,FALSE)</f>
        <v>Manufactured</v>
      </c>
      <c r="Q173" s="397">
        <f>_xlfn.XLOOKUP(E173,'All Products'!D:D,'All Products'!K:K,FALSE)</f>
        <v>49081139308</v>
      </c>
      <c r="R173" s="397">
        <f>_xlfn.XLOOKUP(E173,'All Products'!D:D,'All Products'!L:L,FALSE)</f>
        <v>49081639303</v>
      </c>
      <c r="S173" s="397">
        <f>_xlfn.XLOOKUP(E173,'All Products'!D:D,'All Products'!M:M,FALSE)</f>
        <v>40049081139306</v>
      </c>
      <c r="T173" s="384">
        <f>_xlfn.XLOOKUP(E173,'All Products'!D:D,'All Products'!N:N,FALSE)</f>
        <v>0.13900000000000001</v>
      </c>
      <c r="U173" s="397">
        <f>_xlfn.XLOOKUP(E173,'All Products'!D:D,'All Products'!O:O,FALSE)</f>
        <v>10</v>
      </c>
      <c r="V173" s="384">
        <f>_xlfn.XLOOKUP(E173,'All Products'!D:D,'All Products'!P:P,FALSE)</f>
        <v>7.57</v>
      </c>
      <c r="W173" s="384">
        <f>_xlfn.XLOOKUP(E173,'All Products'!D:D,'All Products'!Q:Q,FALSE)</f>
        <v>0.65</v>
      </c>
    </row>
    <row r="174" spans="1:23" ht="15" customHeight="1">
      <c r="A174" s="101" t="str">
        <f>IF(K174&gt;0,COUNT($A$7:A173)
+COUNT('DWV PVC'!$A$9:$A$316)
+COUNT('DWV ABS'!$A$8:$A$116)+1,"")</f>
        <v/>
      </c>
      <c r="B174" s="610"/>
      <c r="C174" s="611"/>
      <c r="D174" s="369" t="str">
        <f>_xlfn.XLOOKUP(E174,'All Products'!D:D,'All Products'!C:C,FALSE)</f>
        <v>420-010</v>
      </c>
      <c r="E174" s="51">
        <v>100027405</v>
      </c>
      <c r="F174" s="376" t="str">
        <f>_xlfn.XLOOKUP(E174,'All Products'!D:D,'All Products'!E:E,FALSE)</f>
        <v>1 CROSS SLIP</v>
      </c>
      <c r="G174" s="232">
        <f>_xlfn.XLOOKUP(E174,'All Products'!D:D,'All Products'!F:F,FALSE)</f>
        <v>25</v>
      </c>
      <c r="H174" s="387">
        <f>_xlfn.XLOOKUP(E174,'All Products'!D:D,'All Products'!G:G,FALSE)</f>
        <v>3750</v>
      </c>
      <c r="I174" s="394">
        <f>_xlfn.XLOOKUP(E174,'All Products'!D:D,'All Products'!H:H,FALSE)</f>
        <v>12.56</v>
      </c>
      <c r="J174" s="183">
        <f>IFERROR(ROUND(I174*Order_Quote!$L$4,2),0)</f>
        <v>12.56</v>
      </c>
      <c r="K174" s="73"/>
      <c r="L174" s="76"/>
      <c r="M174" s="114">
        <f t="shared" si="15"/>
        <v>0</v>
      </c>
      <c r="O174" s="384" t="str">
        <f>_xlfn.XLOOKUP(E174,'All Products'!D:D,'All Products'!I:I,FALSE)</f>
        <v>In Stock</v>
      </c>
      <c r="P174" s="384" t="str">
        <f>_xlfn.XLOOKUP(E174,'All Products'!D:D,'All Products'!J:J,FALSE)</f>
        <v>Manufactured</v>
      </c>
      <c r="Q174" s="397">
        <f>_xlfn.XLOOKUP(E174,'All Products'!D:D,'All Products'!K:K,FALSE)</f>
        <v>0</v>
      </c>
      <c r="R174" s="397">
        <f>_xlfn.XLOOKUP(E174,'All Products'!D:D,'All Products'!L:L,FALSE)</f>
        <v>49081639327</v>
      </c>
      <c r="S174" s="397">
        <f>_xlfn.XLOOKUP(E174,'All Products'!D:D,'All Products'!M:M,FALSE)</f>
        <v>40049081139320</v>
      </c>
      <c r="T174" s="384">
        <f>_xlfn.XLOOKUP(E174,'All Products'!D:D,'All Products'!N:N,FALSE)</f>
        <v>0.224</v>
      </c>
      <c r="U174" s="397">
        <f>_xlfn.XLOOKUP(E174,'All Products'!D:D,'All Products'!O:O,FALSE)</f>
        <v>5</v>
      </c>
      <c r="V174" s="384">
        <f>_xlfn.XLOOKUP(E174,'All Products'!D:D,'All Products'!P:P,FALSE)</f>
        <v>6.28</v>
      </c>
      <c r="W174" s="384">
        <f>_xlfn.XLOOKUP(E174,'All Products'!D:D,'All Products'!Q:Q,FALSE)</f>
        <v>0.5</v>
      </c>
    </row>
    <row r="175" spans="1:23" ht="15" customHeight="1">
      <c r="B175" s="610"/>
      <c r="C175" s="611"/>
      <c r="D175" s="369" t="str">
        <f>_xlfn.XLOOKUP(E175,'All Products'!D:D,'All Products'!C:C,FALSE)</f>
        <v>420-012</v>
      </c>
      <c r="E175" s="51">
        <v>100022655</v>
      </c>
      <c r="F175" s="376" t="str">
        <f>_xlfn.XLOOKUP(E175,'All Products'!D:D,'All Products'!E:E,FALSE)</f>
        <v>1-1/4" CROSS SLIP</v>
      </c>
      <c r="G175" s="232">
        <f>_xlfn.XLOOKUP(E175,'All Products'!D:D,'All Products'!F:F,FALSE)</f>
        <v>25</v>
      </c>
      <c r="H175" s="387">
        <f>_xlfn.XLOOKUP(E175,'All Products'!D:D,'All Products'!G:G,FALSE)</f>
        <v>1500</v>
      </c>
      <c r="I175" s="394">
        <f>_xlfn.XLOOKUP(E175,'All Products'!D:D,'All Products'!H:H,FALSE)</f>
        <v>15.81</v>
      </c>
      <c r="J175" s="183">
        <f>IFERROR(ROUND(I175*Order_Quote!$L$4,2),0)</f>
        <v>15.81</v>
      </c>
      <c r="K175" s="73"/>
      <c r="L175" s="76"/>
      <c r="M175" s="114">
        <f t="shared" ref="M175" si="16">K175/G175</f>
        <v>0</v>
      </c>
      <c r="O175" s="384" t="str">
        <f>_xlfn.XLOOKUP(E175,'All Products'!D:D,'All Products'!I:I,FALSE)</f>
        <v>In Stock</v>
      </c>
      <c r="P175" s="384" t="str">
        <f>_xlfn.XLOOKUP(E175,'All Products'!D:D,'All Products'!J:J,FALSE)</f>
        <v>Manufactured</v>
      </c>
      <c r="Q175" s="397">
        <f>_xlfn.XLOOKUP(E175,'All Products'!D:D,'All Products'!K:K,FALSE)</f>
        <v>49081139346</v>
      </c>
      <c r="R175" s="397">
        <f>_xlfn.XLOOKUP(E175,'All Products'!D:D,'All Products'!L:L,FALSE)</f>
        <v>49081639341</v>
      </c>
      <c r="S175" s="397">
        <f>_xlfn.XLOOKUP(E175,'All Products'!D:D,'All Products'!M:M,FALSE)</f>
        <v>40049081139344</v>
      </c>
      <c r="T175" s="384">
        <f>_xlfn.XLOOKUP(E175,'All Products'!D:D,'All Products'!N:N,FALSE)</f>
        <v>0.34200000000000003</v>
      </c>
      <c r="U175" s="397">
        <f>_xlfn.XLOOKUP(E175,'All Products'!D:D,'All Products'!O:O,FALSE)</f>
        <v>5</v>
      </c>
      <c r="V175" s="384">
        <f>_xlfn.XLOOKUP(E175,'All Products'!D:D,'All Products'!P:P,FALSE)</f>
        <v>9.4499999999999993</v>
      </c>
      <c r="W175" s="384">
        <f>_xlfn.XLOOKUP(E175,'All Products'!D:D,'All Products'!Q:Q,FALSE)</f>
        <v>0.72</v>
      </c>
    </row>
    <row r="176" spans="1:23" ht="15" customHeight="1">
      <c r="A176" s="101" t="str">
        <f>IF(K176&gt;0,COUNT($A$7:A174)
+COUNT('DWV PVC'!$A$9:$A$316)
+COUNT('DWV ABS'!$A$8:$A$116)+1,"")</f>
        <v/>
      </c>
      <c r="B176" s="612"/>
      <c r="C176" s="613"/>
      <c r="D176" s="369" t="str">
        <f>_xlfn.XLOOKUP(E176,'All Products'!D:D,'All Products'!C:C,FALSE)</f>
        <v>420-020</v>
      </c>
      <c r="E176" s="51">
        <v>100022659</v>
      </c>
      <c r="F176" s="376" t="str">
        <f>_xlfn.XLOOKUP(E176,'All Products'!D:D,'All Products'!E:E,FALSE)</f>
        <v>2 CROSS SLIP</v>
      </c>
      <c r="G176" s="232">
        <f>_xlfn.XLOOKUP(E176,'All Products'!D:D,'All Products'!F:F,FALSE)</f>
        <v>10</v>
      </c>
      <c r="H176" s="387">
        <f>_xlfn.XLOOKUP(E176,'All Products'!D:D,'All Products'!G:G,FALSE)</f>
        <v>900</v>
      </c>
      <c r="I176" s="394">
        <f>_xlfn.XLOOKUP(E176,'All Products'!D:D,'All Products'!H:H,FALSE)</f>
        <v>27.77</v>
      </c>
      <c r="J176" s="183">
        <f>IFERROR(ROUND(I176*Order_Quote!$L$4,2),0)</f>
        <v>27.77</v>
      </c>
      <c r="K176" s="73"/>
      <c r="L176" s="76"/>
      <c r="M176" s="114">
        <f t="shared" si="15"/>
        <v>0</v>
      </c>
      <c r="O176" s="384" t="str">
        <f>_xlfn.XLOOKUP(E176,'All Products'!D:D,'All Products'!I:I,FALSE)</f>
        <v>In Stock</v>
      </c>
      <c r="P176" s="384" t="str">
        <f>_xlfn.XLOOKUP(E176,'All Products'!D:D,'All Products'!J:J,FALSE)</f>
        <v>Manufactured</v>
      </c>
      <c r="Q176" s="397">
        <f>_xlfn.XLOOKUP(E176,'All Products'!D:D,'All Products'!K:K,FALSE)</f>
        <v>49081139384</v>
      </c>
      <c r="R176" s="397" t="str">
        <f>_xlfn.XLOOKUP(E176,'All Products'!D:D,'All Products'!L:L,FALSE)</f>
        <v>-</v>
      </c>
      <c r="S176" s="397">
        <f>_xlfn.XLOOKUP(E176,'All Products'!D:D,'All Products'!M:M,FALSE)</f>
        <v>40049081139382</v>
      </c>
      <c r="T176" s="384">
        <f>_xlfn.XLOOKUP(E176,'All Products'!D:D,'All Products'!N:N,FALSE)</f>
        <v>0.70399999999999996</v>
      </c>
      <c r="U176" s="397" t="str">
        <f>_xlfn.XLOOKUP(E176,'All Products'!D:D,'All Products'!O:O,FALSE)</f>
        <v>-</v>
      </c>
      <c r="V176" s="384">
        <f>_xlfn.XLOOKUP(E176,'All Products'!D:D,'All Products'!P:P,FALSE)</f>
        <v>7.65</v>
      </c>
      <c r="W176" s="384">
        <f>_xlfn.XLOOKUP(E176,'All Products'!D:D,'All Products'!Q:Q,FALSE)</f>
        <v>0.8</v>
      </c>
    </row>
    <row r="177" spans="1:23" ht="15" customHeight="1">
      <c r="B177" s="608"/>
      <c r="C177" s="609"/>
      <c r="D177" s="369" t="str">
        <f>_xlfn.XLOOKUP(E177,'All Products'!D:D,'All Products'!C:C,FALSE)</f>
        <v>427-012</v>
      </c>
      <c r="E177" s="51">
        <v>100022662</v>
      </c>
      <c r="F177" s="376" t="str">
        <f>_xlfn.XLOOKUP(E177,'All Products'!D:D,'All Products'!E:E,FALSE)</f>
        <v>1-1/4" 45 ELL SPGX SLIP</v>
      </c>
      <c r="G177" s="232">
        <f>_xlfn.XLOOKUP(E177,'All Products'!D:D,'All Products'!F:F,FALSE)</f>
        <v>50</v>
      </c>
      <c r="H177" s="387">
        <f>_xlfn.XLOOKUP(E177,'All Products'!D:D,'All Products'!G:G,FALSE)</f>
        <v>3000</v>
      </c>
      <c r="I177" s="394">
        <f>_xlfn.XLOOKUP(E177,'All Products'!D:D,'All Products'!H:H,FALSE)</f>
        <v>6.51</v>
      </c>
      <c r="J177" s="183">
        <f>IFERROR(ROUND(I177*Order_Quote!$L$4,2),0)</f>
        <v>6.51</v>
      </c>
      <c r="K177" s="73"/>
      <c r="L177" s="76"/>
      <c r="M177" s="114">
        <f t="shared" ref="M177" si="17">K177/G177</f>
        <v>0</v>
      </c>
      <c r="O177" s="384" t="str">
        <f>_xlfn.XLOOKUP(E177,'All Products'!D:D,'All Products'!I:I,FALSE)</f>
        <v>Within 3 Weeks</v>
      </c>
      <c r="P177" s="384" t="str">
        <f>_xlfn.XLOOKUP(E177,'All Products'!D:D,'All Products'!J:J,FALSE)</f>
        <v>Manufactured</v>
      </c>
      <c r="Q177" s="397">
        <f>_xlfn.XLOOKUP(E177,'All Products'!D:D,'All Products'!K:K,FALSE)</f>
        <v>49081141165</v>
      </c>
      <c r="R177" s="397">
        <f>_xlfn.XLOOKUP(E177,'All Products'!D:D,'All Products'!L:L,FALSE)</f>
        <v>49081641160</v>
      </c>
      <c r="S177" s="397">
        <f>_xlfn.XLOOKUP(E177,'All Products'!D:D,'All Products'!M:M,FALSE)</f>
        <v>40049081141163</v>
      </c>
      <c r="T177" s="384">
        <f>_xlfn.XLOOKUP(E177,'All Products'!D:D,'All Products'!N:N,FALSE)</f>
        <v>0.20399999999999999</v>
      </c>
      <c r="U177" s="397">
        <f>_xlfn.XLOOKUP(E177,'All Products'!D:D,'All Products'!O:O,FALSE)</f>
        <v>5</v>
      </c>
      <c r="V177" s="384">
        <f>_xlfn.XLOOKUP(E177,'All Products'!D:D,'All Products'!P:P,FALSE)</f>
        <v>11</v>
      </c>
      <c r="W177" s="384">
        <f>_xlfn.XLOOKUP(E177,'All Products'!D:D,'All Products'!Q:Q,FALSE)</f>
        <v>0.72</v>
      </c>
    </row>
    <row r="178" spans="1:23" ht="15" customHeight="1">
      <c r="A178" s="101" t="str">
        <f>IF(K178&gt;0,COUNT($A$7:A176)
+COUNT('DWV PVC'!$A$9:$A$316)
+COUNT('DWV ABS'!$A$8:$A$116)+1,"")</f>
        <v/>
      </c>
      <c r="B178" s="610"/>
      <c r="C178" s="611"/>
      <c r="D178" s="369" t="str">
        <f>_xlfn.XLOOKUP(E178,'All Products'!D:D,'All Products'!C:C,FALSE)</f>
        <v>427-015</v>
      </c>
      <c r="E178" s="51">
        <v>100022664</v>
      </c>
      <c r="F178" s="376" t="str">
        <f>_xlfn.XLOOKUP(E178,'All Products'!D:D,'All Products'!E:E,FALSE)</f>
        <v>1-1/2 45 ELL SPGX SLIP</v>
      </c>
      <c r="G178" s="232">
        <f>_xlfn.XLOOKUP(E178,'All Products'!D:D,'All Products'!F:F,FALSE)</f>
        <v>50</v>
      </c>
      <c r="H178" s="387">
        <f>_xlfn.XLOOKUP(E178,'All Products'!D:D,'All Products'!G:G,FALSE)</f>
        <v>3750</v>
      </c>
      <c r="I178" s="394">
        <f>_xlfn.XLOOKUP(E178,'All Products'!D:D,'All Products'!H:H,FALSE)</f>
        <v>8.5399999999999991</v>
      </c>
      <c r="J178" s="183">
        <f>IFERROR(ROUND(I178*Order_Quote!$L$4,2),0)</f>
        <v>8.5399999999999991</v>
      </c>
      <c r="K178" s="73"/>
      <c r="L178" s="76"/>
      <c r="M178" s="114">
        <f t="shared" si="15"/>
        <v>0</v>
      </c>
      <c r="O178" s="384" t="str">
        <f>_xlfn.XLOOKUP(E178,'All Products'!D:D,'All Products'!I:I,FALSE)</f>
        <v>In Stock</v>
      </c>
      <c r="P178" s="384" t="str">
        <f>_xlfn.XLOOKUP(E178,'All Products'!D:D,'All Products'!J:J,FALSE)</f>
        <v>Manufactured</v>
      </c>
      <c r="Q178" s="397">
        <f>_xlfn.XLOOKUP(E178,'All Products'!D:D,'All Products'!K:K,FALSE)</f>
        <v>49081141172</v>
      </c>
      <c r="R178" s="397">
        <f>_xlfn.XLOOKUP(E178,'All Products'!D:D,'All Products'!L:L,FALSE)</f>
        <v>49081641177</v>
      </c>
      <c r="S178" s="397">
        <f>_xlfn.XLOOKUP(E178,'All Products'!D:D,'All Products'!M:M,FALSE)</f>
        <v>40049081141170</v>
      </c>
      <c r="T178" s="384">
        <f>_xlfn.XLOOKUP(E178,'All Products'!D:D,'All Products'!N:N,FALSE)</f>
        <v>0.25</v>
      </c>
      <c r="U178" s="397">
        <f>_xlfn.XLOOKUP(E178,'All Products'!D:D,'All Products'!O:O,FALSE)</f>
        <v>10</v>
      </c>
      <c r="V178" s="384">
        <f>_xlfn.XLOOKUP(E178,'All Products'!D:D,'All Products'!P:P,FALSE)</f>
        <v>13.58</v>
      </c>
      <c r="W178" s="384">
        <f>_xlfn.XLOOKUP(E178,'All Products'!D:D,'All Products'!Q:Q,FALSE)</f>
        <v>0.95</v>
      </c>
    </row>
    <row r="179" spans="1:23" ht="15" customHeight="1">
      <c r="A179" s="101" t="str">
        <f>IF(K179&gt;0,COUNT($A$7:A178)
+COUNT('DWV PVC'!$A$9:$A$316)
+COUNT('DWV ABS'!$A$8:$A$116)+1,"")</f>
        <v/>
      </c>
      <c r="B179" s="612"/>
      <c r="C179" s="613"/>
      <c r="D179" s="369" t="str">
        <f>_xlfn.XLOOKUP(E179,'All Products'!D:D,'All Products'!C:C,FALSE)</f>
        <v>427-020</v>
      </c>
      <c r="E179" s="51">
        <v>100022666</v>
      </c>
      <c r="F179" s="376" t="str">
        <f>_xlfn.XLOOKUP(E179,'All Products'!D:D,'All Products'!E:E,FALSE)</f>
        <v>2 45 ELL SPGX SLIP</v>
      </c>
      <c r="G179" s="232">
        <f>_xlfn.XLOOKUP(E179,'All Products'!D:D,'All Products'!F:F,FALSE)</f>
        <v>20</v>
      </c>
      <c r="H179" s="387">
        <f>_xlfn.XLOOKUP(E179,'All Products'!D:D,'All Products'!G:G,FALSE)</f>
        <v>2400</v>
      </c>
      <c r="I179" s="394">
        <f>_xlfn.XLOOKUP(E179,'All Products'!D:D,'All Products'!H:H,FALSE)</f>
        <v>11.15</v>
      </c>
      <c r="J179" s="183">
        <f>IFERROR(ROUND(I179*Order_Quote!$L$4,2),0)</f>
        <v>11.15</v>
      </c>
      <c r="K179" s="73"/>
      <c r="L179" s="76"/>
      <c r="M179" s="114">
        <f t="shared" si="15"/>
        <v>0</v>
      </c>
      <c r="O179" s="384" t="str">
        <f>_xlfn.XLOOKUP(E179,'All Products'!D:D,'All Products'!I:I,FALSE)</f>
        <v>In Stock</v>
      </c>
      <c r="P179" s="384" t="str">
        <f>_xlfn.XLOOKUP(E179,'All Products'!D:D,'All Products'!J:J,FALSE)</f>
        <v>Manufactured</v>
      </c>
      <c r="Q179" s="397">
        <f>_xlfn.XLOOKUP(E179,'All Products'!D:D,'All Products'!K:K,FALSE)</f>
        <v>49081141196</v>
      </c>
      <c r="R179" s="397">
        <f>_xlfn.XLOOKUP(E179,'All Products'!D:D,'All Products'!L:L,FALSE)</f>
        <v>49081641191</v>
      </c>
      <c r="S179" s="397">
        <f>_xlfn.XLOOKUP(E179,'All Products'!D:D,'All Products'!M:M,FALSE)</f>
        <v>40049081141194</v>
      </c>
      <c r="T179" s="384">
        <f>_xlfn.XLOOKUP(E179,'All Products'!D:D,'All Products'!N:N,FALSE)</f>
        <v>0.34599999999999997</v>
      </c>
      <c r="U179" s="397">
        <f>_xlfn.XLOOKUP(E179,'All Products'!D:D,'All Products'!O:O,FALSE)</f>
        <v>5</v>
      </c>
      <c r="V179" s="384">
        <f>_xlfn.XLOOKUP(E179,'All Products'!D:D,'All Products'!P:P,FALSE)</f>
        <v>7.87</v>
      </c>
      <c r="W179" s="384">
        <f>_xlfn.XLOOKUP(E179,'All Products'!D:D,'All Products'!Q:Q,FALSE)</f>
        <v>0.65</v>
      </c>
    </row>
    <row r="180" spans="1:23" ht="15" customHeight="1">
      <c r="A180" s="101" t="str">
        <f>IF(K180&gt;0,COUNT($A$7:A179)
+COUNT('DWV PVC'!$A$9:$A$316)
+COUNT('DWV ABS'!$A$8:$A$116)+1,"")</f>
        <v/>
      </c>
      <c r="B180" s="608"/>
      <c r="C180" s="609"/>
      <c r="D180" s="369" t="str">
        <f>_xlfn.XLOOKUP(E180,'All Products'!D:D,'All Products'!C:C,FALSE)</f>
        <v>429-005</v>
      </c>
      <c r="E180" s="51">
        <v>100022668</v>
      </c>
      <c r="F180" s="376" t="str">
        <f>_xlfn.XLOOKUP(E180,'All Products'!D:D,'All Products'!E:E,FALSE)</f>
        <v>1/2 COUPLING SLIP X SLIP</v>
      </c>
      <c r="G180" s="232">
        <f>_xlfn.XLOOKUP(E180,'All Products'!D:D,'All Products'!F:F,FALSE)</f>
        <v>250</v>
      </c>
      <c r="H180" s="387">
        <f>_xlfn.XLOOKUP(E180,'All Products'!D:D,'All Products'!G:G,FALSE)</f>
        <v>30000</v>
      </c>
      <c r="I180" s="394">
        <f>_xlfn.XLOOKUP(E180,'All Products'!D:D,'All Products'!H:H,FALSE)</f>
        <v>1.03</v>
      </c>
      <c r="J180" s="183">
        <f>IFERROR(ROUND(I180*Order_Quote!$L$4,2),0)</f>
        <v>1.03</v>
      </c>
      <c r="K180" s="73"/>
      <c r="L180" s="76"/>
      <c r="M180" s="114">
        <f t="shared" si="15"/>
        <v>0</v>
      </c>
      <c r="O180" s="384" t="str">
        <f>_xlfn.XLOOKUP(E180,'All Products'!D:D,'All Products'!I:I,FALSE)</f>
        <v>In Stock</v>
      </c>
      <c r="P180" s="384" t="str">
        <f>_xlfn.XLOOKUP(E180,'All Products'!D:D,'All Products'!J:J,FALSE)</f>
        <v>Manufactured</v>
      </c>
      <c r="Q180" s="397">
        <f>_xlfn.XLOOKUP(E180,'All Products'!D:D,'All Products'!K:K,FALSE)</f>
        <v>49081137489</v>
      </c>
      <c r="R180" s="397">
        <f>_xlfn.XLOOKUP(E180,'All Products'!D:D,'All Products'!L:L,FALSE)</f>
        <v>49081637484</v>
      </c>
      <c r="S180" s="397">
        <f>_xlfn.XLOOKUP(E180,'All Products'!D:D,'All Products'!M:M,FALSE)</f>
        <v>40049081137487</v>
      </c>
      <c r="T180" s="384">
        <f>_xlfn.XLOOKUP(E180,'All Products'!D:D,'All Products'!N:N,FALSE)</f>
        <v>3.6999999999999998E-2</v>
      </c>
      <c r="U180" s="397">
        <f>_xlfn.XLOOKUP(E180,'All Products'!D:D,'All Products'!O:O,FALSE)</f>
        <v>10</v>
      </c>
      <c r="V180" s="384">
        <f>_xlfn.XLOOKUP(E180,'All Products'!D:D,'All Products'!P:P,FALSE)</f>
        <v>10.52</v>
      </c>
      <c r="W180" s="384">
        <f>_xlfn.XLOOKUP(E180,'All Products'!D:D,'All Products'!Q:Q,FALSE)</f>
        <v>0.65</v>
      </c>
    </row>
    <row r="181" spans="1:23" ht="15" customHeight="1">
      <c r="A181" s="101" t="str">
        <f>IF(K181&gt;0,COUNT($A$7:A180)
+COUNT('DWV PVC'!$A$9:$A$316)
+COUNT('DWV ABS'!$A$8:$A$116)+1,"")</f>
        <v/>
      </c>
      <c r="B181" s="610"/>
      <c r="C181" s="611"/>
      <c r="D181" s="369" t="str">
        <f>_xlfn.XLOOKUP(E181,'All Products'!D:D,'All Products'!C:C,FALSE)</f>
        <v>429-007</v>
      </c>
      <c r="E181" s="51">
        <v>100022672</v>
      </c>
      <c r="F181" s="376" t="str">
        <f>_xlfn.XLOOKUP(E181,'All Products'!D:D,'All Products'!E:E,FALSE)</f>
        <v>3/4 COUPLING SLIP X SLIP</v>
      </c>
      <c r="G181" s="232">
        <f>_xlfn.XLOOKUP(E181,'All Products'!D:D,'All Products'!F:F,FALSE)</f>
        <v>250</v>
      </c>
      <c r="H181" s="387">
        <f>_xlfn.XLOOKUP(E181,'All Products'!D:D,'All Products'!G:G,FALSE)</f>
        <v>18750</v>
      </c>
      <c r="I181" s="394">
        <f>_xlfn.XLOOKUP(E181,'All Products'!D:D,'All Products'!H:H,FALSE)</f>
        <v>1.42</v>
      </c>
      <c r="J181" s="183">
        <f>IFERROR(ROUND(I181*Order_Quote!$L$4,2),0)</f>
        <v>1.42</v>
      </c>
      <c r="K181" s="73"/>
      <c r="L181" s="76"/>
      <c r="M181" s="114">
        <f t="shared" si="15"/>
        <v>0</v>
      </c>
      <c r="O181" s="384" t="str">
        <f>_xlfn.XLOOKUP(E181,'All Products'!D:D,'All Products'!I:I,FALSE)</f>
        <v>In Stock</v>
      </c>
      <c r="P181" s="384" t="str">
        <f>_xlfn.XLOOKUP(E181,'All Products'!D:D,'All Products'!J:J,FALSE)</f>
        <v>Manufactured</v>
      </c>
      <c r="Q181" s="397">
        <f>_xlfn.XLOOKUP(E181,'All Products'!D:D,'All Products'!K:K,FALSE)</f>
        <v>49081137502</v>
      </c>
      <c r="R181" s="397">
        <f>_xlfn.XLOOKUP(E181,'All Products'!D:D,'All Products'!L:L,FALSE)</f>
        <v>49081637507</v>
      </c>
      <c r="S181" s="397">
        <f>_xlfn.XLOOKUP(E181,'All Products'!D:D,'All Products'!M:M,FALSE)</f>
        <v>40049081137500</v>
      </c>
      <c r="T181" s="384">
        <f>_xlfn.XLOOKUP(E181,'All Products'!D:D,'All Products'!N:N,FALSE)</f>
        <v>5.5E-2</v>
      </c>
      <c r="U181" s="397">
        <f>_xlfn.XLOOKUP(E181,'All Products'!D:D,'All Products'!O:O,FALSE)</f>
        <v>10</v>
      </c>
      <c r="V181" s="384">
        <f>_xlfn.XLOOKUP(E181,'All Products'!D:D,'All Products'!P:P,FALSE)</f>
        <v>15.03</v>
      </c>
      <c r="W181" s="384">
        <f>_xlfn.XLOOKUP(E181,'All Products'!D:D,'All Products'!Q:Q,FALSE)</f>
        <v>0.95</v>
      </c>
    </row>
    <row r="182" spans="1:23" ht="15" customHeight="1">
      <c r="A182" s="101" t="str">
        <f>IF(K182&gt;0,COUNT($A$7:A181)
+COUNT('DWV PVC'!$A$9:$A$316)
+COUNT('DWV ABS'!$A$8:$A$116)+1,"")</f>
        <v/>
      </c>
      <c r="B182" s="610"/>
      <c r="C182" s="611"/>
      <c r="D182" s="369" t="str">
        <f>_xlfn.XLOOKUP(E182,'All Products'!D:D,'All Products'!C:C,FALSE)</f>
        <v>429-010</v>
      </c>
      <c r="E182" s="51">
        <v>100022674</v>
      </c>
      <c r="F182" s="376" t="str">
        <f>_xlfn.XLOOKUP(E182,'All Products'!D:D,'All Products'!E:E,FALSE)</f>
        <v>1 COUPLING SLIP X SLIP</v>
      </c>
      <c r="G182" s="232">
        <f>_xlfn.XLOOKUP(E182,'All Products'!D:D,'All Products'!F:F,FALSE)</f>
        <v>100</v>
      </c>
      <c r="H182" s="387">
        <f>_xlfn.XLOOKUP(E182,'All Products'!D:D,'All Products'!G:G,FALSE)</f>
        <v>12000</v>
      </c>
      <c r="I182" s="394">
        <f>_xlfn.XLOOKUP(E182,'All Products'!D:D,'All Products'!H:H,FALSE)</f>
        <v>2.54</v>
      </c>
      <c r="J182" s="183">
        <f>IFERROR(ROUND(I182*Order_Quote!$L$4,2),0)</f>
        <v>2.54</v>
      </c>
      <c r="K182" s="73"/>
      <c r="L182" s="76"/>
      <c r="M182" s="114">
        <f t="shared" si="15"/>
        <v>0</v>
      </c>
      <c r="O182" s="384" t="str">
        <f>_xlfn.XLOOKUP(E182,'All Products'!D:D,'All Products'!I:I,FALSE)</f>
        <v>In Stock</v>
      </c>
      <c r="P182" s="384" t="str">
        <f>_xlfn.XLOOKUP(E182,'All Products'!D:D,'All Products'!J:J,FALSE)</f>
        <v>Manufactured</v>
      </c>
      <c r="Q182" s="397">
        <f>_xlfn.XLOOKUP(E182,'All Products'!D:D,'All Products'!K:K,FALSE)</f>
        <v>49081137540</v>
      </c>
      <c r="R182" s="397">
        <f>_xlfn.XLOOKUP(E182,'All Products'!D:D,'All Products'!L:L,FALSE)</f>
        <v>49081637545</v>
      </c>
      <c r="S182" s="397">
        <f>_xlfn.XLOOKUP(E182,'All Products'!D:D,'All Products'!M:M,FALSE)</f>
        <v>40049081137548</v>
      </c>
      <c r="T182" s="384">
        <f>_xlfn.XLOOKUP(E182,'All Products'!D:D,'All Products'!N:N,FALSE)</f>
        <v>9.5000000000000001E-2</v>
      </c>
      <c r="U182" s="397">
        <f>_xlfn.XLOOKUP(E182,'All Products'!D:D,'All Products'!O:O,FALSE)</f>
        <v>10</v>
      </c>
      <c r="V182" s="384">
        <f>_xlfn.XLOOKUP(E182,'All Products'!D:D,'All Products'!P:P,FALSE)</f>
        <v>10.42</v>
      </c>
      <c r="W182" s="384">
        <f>_xlfn.XLOOKUP(E182,'All Products'!D:D,'All Products'!Q:Q,FALSE)</f>
        <v>0.65</v>
      </c>
    </row>
    <row r="183" spans="1:23" ht="15" customHeight="1">
      <c r="A183" s="101" t="str">
        <f>IF(K183&gt;0,COUNT($A$7:A182)
+COUNT('DWV PVC'!$A$9:$A$316)
+COUNT('DWV ABS'!$A$8:$A$116)+1,"")</f>
        <v/>
      </c>
      <c r="B183" s="610"/>
      <c r="C183" s="611"/>
      <c r="D183" s="369" t="str">
        <f>_xlfn.XLOOKUP(E183,'All Products'!D:D,'All Products'!C:C,FALSE)</f>
        <v>429-012</v>
      </c>
      <c r="E183" s="51">
        <v>100022676</v>
      </c>
      <c r="F183" s="376" t="str">
        <f>_xlfn.XLOOKUP(E183,'All Products'!D:D,'All Products'!E:E,FALSE)</f>
        <v>1-1/4 COUPLING SLIP X SLIP</v>
      </c>
      <c r="G183" s="232">
        <f>_xlfn.XLOOKUP(E183,'All Products'!D:D,'All Products'!F:F,FALSE)</f>
        <v>50</v>
      </c>
      <c r="H183" s="387">
        <f>_xlfn.XLOOKUP(E183,'All Products'!D:D,'All Products'!G:G,FALSE)</f>
        <v>6000</v>
      </c>
      <c r="I183" s="394">
        <f>_xlfn.XLOOKUP(E183,'All Products'!D:D,'All Products'!H:H,FALSE)</f>
        <v>3.48</v>
      </c>
      <c r="J183" s="183">
        <f>IFERROR(ROUND(I183*Order_Quote!$L$4,2),0)</f>
        <v>3.48</v>
      </c>
      <c r="K183" s="73"/>
      <c r="L183" s="76"/>
      <c r="M183" s="114">
        <f t="shared" si="15"/>
        <v>0</v>
      </c>
      <c r="O183" s="384" t="str">
        <f>_xlfn.XLOOKUP(E183,'All Products'!D:D,'All Products'!I:I,FALSE)</f>
        <v>In Stock</v>
      </c>
      <c r="P183" s="384" t="str">
        <f>_xlfn.XLOOKUP(E183,'All Products'!D:D,'All Products'!J:J,FALSE)</f>
        <v>Manufactured</v>
      </c>
      <c r="Q183" s="397">
        <f>_xlfn.XLOOKUP(E183,'All Products'!D:D,'All Products'!K:K,FALSE)</f>
        <v>49081137588</v>
      </c>
      <c r="R183" s="397">
        <f>_xlfn.XLOOKUP(E183,'All Products'!D:D,'All Products'!L:L,FALSE)</f>
        <v>49081637583</v>
      </c>
      <c r="S183" s="397">
        <f>_xlfn.XLOOKUP(E183,'All Products'!D:D,'All Products'!M:M,FALSE)</f>
        <v>40049081137586</v>
      </c>
      <c r="T183" s="384">
        <f>_xlfn.XLOOKUP(E183,'All Products'!D:D,'All Products'!N:N,FALSE)</f>
        <v>0.11899999999999999</v>
      </c>
      <c r="U183" s="397">
        <f>_xlfn.XLOOKUP(E183,'All Products'!D:D,'All Products'!O:O,FALSE)</f>
        <v>10</v>
      </c>
      <c r="V183" s="384">
        <f>_xlfn.XLOOKUP(E183,'All Products'!D:D,'All Products'!P:P,FALSE)</f>
        <v>6.67</v>
      </c>
      <c r="W183" s="384">
        <f>_xlfn.XLOOKUP(E183,'All Products'!D:D,'All Products'!Q:Q,FALSE)</f>
        <v>0.65</v>
      </c>
    </row>
    <row r="184" spans="1:23" ht="15" customHeight="1">
      <c r="A184" s="101" t="str">
        <f>IF(K184&gt;0,COUNT($A$7:A183)
+COUNT('DWV PVC'!$A$9:$A$316)
+COUNT('DWV ABS'!$A$8:$A$116)+1,"")</f>
        <v/>
      </c>
      <c r="B184" s="610"/>
      <c r="C184" s="611"/>
      <c r="D184" s="369" t="str">
        <f>_xlfn.XLOOKUP(E184,'All Products'!D:D,'All Products'!C:C,FALSE)</f>
        <v>429-015</v>
      </c>
      <c r="E184" s="51">
        <v>100022678</v>
      </c>
      <c r="F184" s="376" t="str">
        <f>_xlfn.XLOOKUP(E184,'All Products'!D:D,'All Products'!E:E,FALSE)</f>
        <v>1-1/2 COUPLING SLIP X SLIP</v>
      </c>
      <c r="G184" s="232">
        <f>_xlfn.XLOOKUP(E184,'All Products'!D:D,'All Products'!F:F,FALSE)</f>
        <v>50</v>
      </c>
      <c r="H184" s="387">
        <f>_xlfn.XLOOKUP(E184,'All Products'!D:D,'All Products'!G:G,FALSE)</f>
        <v>4500</v>
      </c>
      <c r="I184" s="394">
        <f>_xlfn.XLOOKUP(E184,'All Products'!D:D,'All Products'!H:H,FALSE)</f>
        <v>3.73</v>
      </c>
      <c r="J184" s="183">
        <f>IFERROR(ROUND(I184*Order_Quote!$L$4,2),0)</f>
        <v>3.73</v>
      </c>
      <c r="K184" s="73"/>
      <c r="L184" s="76"/>
      <c r="M184" s="114">
        <f t="shared" si="15"/>
        <v>0</v>
      </c>
      <c r="O184" s="384" t="str">
        <f>_xlfn.XLOOKUP(E184,'All Products'!D:D,'All Products'!I:I,FALSE)</f>
        <v>In Stock</v>
      </c>
      <c r="P184" s="384" t="str">
        <f>_xlfn.XLOOKUP(E184,'All Products'!D:D,'All Products'!J:J,FALSE)</f>
        <v>Manufactured</v>
      </c>
      <c r="Q184" s="397">
        <f>_xlfn.XLOOKUP(E184,'All Products'!D:D,'All Products'!K:K,FALSE)</f>
        <v>49081137625</v>
      </c>
      <c r="R184" s="397">
        <f>_xlfn.XLOOKUP(E184,'All Products'!D:D,'All Products'!L:L,FALSE)</f>
        <v>49081637620</v>
      </c>
      <c r="S184" s="397">
        <f>_xlfn.XLOOKUP(E184,'All Products'!D:D,'All Products'!M:M,FALSE)</f>
        <v>40049081137623</v>
      </c>
      <c r="T184" s="384">
        <f>_xlfn.XLOOKUP(E184,'All Products'!D:D,'All Products'!N:N,FALSE)</f>
        <v>0.155</v>
      </c>
      <c r="U184" s="397">
        <f>_xlfn.XLOOKUP(E184,'All Products'!D:D,'All Products'!O:O,FALSE)</f>
        <v>10</v>
      </c>
      <c r="V184" s="384">
        <f>_xlfn.XLOOKUP(E184,'All Products'!D:D,'All Products'!P:P,FALSE)</f>
        <v>8.76</v>
      </c>
      <c r="W184" s="384">
        <f>_xlfn.XLOOKUP(E184,'All Products'!D:D,'All Products'!Q:Q,FALSE)</f>
        <v>0.8</v>
      </c>
    </row>
    <row r="185" spans="1:23" ht="15" customHeight="1">
      <c r="A185" s="101" t="str">
        <f>IF(K185&gt;0,COUNT($A$7:A184)
+COUNT('DWV PVC'!$A$9:$A$316)
+COUNT('DWV ABS'!$A$8:$A$116)+1,"")</f>
        <v/>
      </c>
      <c r="B185" s="610"/>
      <c r="C185" s="611"/>
      <c r="D185" s="369" t="str">
        <f>_xlfn.XLOOKUP(E185,'All Products'!D:D,'All Products'!C:C,FALSE)</f>
        <v>429-020</v>
      </c>
      <c r="E185" s="51">
        <v>100022680</v>
      </c>
      <c r="F185" s="376" t="str">
        <f>_xlfn.XLOOKUP(E185,'All Products'!D:D,'All Products'!E:E,FALSE)</f>
        <v>2 COUPLING SLIP X SLIP</v>
      </c>
      <c r="G185" s="232">
        <f>_xlfn.XLOOKUP(E185,'All Products'!D:D,'All Products'!F:F,FALSE)</f>
        <v>25</v>
      </c>
      <c r="H185" s="387">
        <f>_xlfn.XLOOKUP(E185,'All Products'!D:D,'All Products'!G:G,FALSE)</f>
        <v>3000</v>
      </c>
      <c r="I185" s="394">
        <f>_xlfn.XLOOKUP(E185,'All Products'!D:D,'All Products'!H:H,FALSE)</f>
        <v>5.64</v>
      </c>
      <c r="J185" s="183">
        <f>IFERROR(ROUND(I185*Order_Quote!$L$4,2),0)</f>
        <v>5.64</v>
      </c>
      <c r="K185" s="73"/>
      <c r="L185" s="76"/>
      <c r="M185" s="114">
        <f t="shared" si="15"/>
        <v>0</v>
      </c>
      <c r="O185" s="384" t="str">
        <f>_xlfn.XLOOKUP(E185,'All Products'!D:D,'All Products'!I:I,FALSE)</f>
        <v>In Stock</v>
      </c>
      <c r="P185" s="384" t="str">
        <f>_xlfn.XLOOKUP(E185,'All Products'!D:D,'All Products'!J:J,FALSE)</f>
        <v>Manufactured</v>
      </c>
      <c r="Q185" s="397">
        <f>_xlfn.XLOOKUP(E185,'All Products'!D:D,'All Products'!K:K,FALSE)</f>
        <v>49081137663</v>
      </c>
      <c r="R185" s="397">
        <f>_xlfn.XLOOKUP(E185,'All Products'!D:D,'All Products'!L:L,FALSE)</f>
        <v>49081637668</v>
      </c>
      <c r="S185" s="397">
        <f>_xlfn.XLOOKUP(E185,'All Products'!D:D,'All Products'!M:M,FALSE)</f>
        <v>40049081137661</v>
      </c>
      <c r="T185" s="384">
        <f>_xlfn.XLOOKUP(E185,'All Products'!D:D,'All Products'!N:N,FALSE)</f>
        <v>0.19600000000000001</v>
      </c>
      <c r="U185" s="397">
        <f>_xlfn.XLOOKUP(E185,'All Products'!D:D,'All Products'!O:O,FALSE)</f>
        <v>5</v>
      </c>
      <c r="V185" s="384">
        <f>_xlfn.XLOOKUP(E185,'All Products'!D:D,'All Products'!P:P,FALSE)</f>
        <v>6.38</v>
      </c>
      <c r="W185" s="384">
        <f>_xlfn.XLOOKUP(E185,'All Products'!D:D,'All Products'!Q:Q,FALSE)</f>
        <v>0.65</v>
      </c>
    </row>
    <row r="186" spans="1:23" ht="15" customHeight="1">
      <c r="A186" s="101" t="str">
        <f>IF(K186&gt;0,COUNT($A$7:A185)
+COUNT('DWV PVC'!$A$9:$A$316)
+COUNT('DWV ABS'!$A$8:$A$116)+1,"")</f>
        <v/>
      </c>
      <c r="B186" s="610"/>
      <c r="C186" s="611"/>
      <c r="D186" s="369" t="str">
        <f>_xlfn.XLOOKUP(E186,'All Products'!D:D,'All Products'!C:C,FALSE)</f>
        <v>429-025</v>
      </c>
      <c r="E186" s="51">
        <v>100022682</v>
      </c>
      <c r="F186" s="376" t="str">
        <f>_xlfn.XLOOKUP(E186,'All Products'!D:D,'All Products'!E:E,FALSE)</f>
        <v>2-1/2 COUPLING SLIP X SLIP</v>
      </c>
      <c r="G186" s="232">
        <f>_xlfn.XLOOKUP(E186,'All Products'!D:D,'All Products'!F:F,FALSE)</f>
        <v>25</v>
      </c>
      <c r="H186" s="387">
        <f>_xlfn.XLOOKUP(E186,'All Products'!D:D,'All Products'!G:G,FALSE)</f>
        <v>2250</v>
      </c>
      <c r="I186" s="394">
        <f>_xlfn.XLOOKUP(E186,'All Products'!D:D,'All Products'!H:H,FALSE)</f>
        <v>12.56</v>
      </c>
      <c r="J186" s="183">
        <f>IFERROR(ROUND(I186*Order_Quote!$L$4,2),0)</f>
        <v>12.56</v>
      </c>
      <c r="K186" s="73"/>
      <c r="L186" s="76"/>
      <c r="M186" s="114">
        <f t="shared" si="15"/>
        <v>0</v>
      </c>
      <c r="O186" s="384" t="str">
        <f>_xlfn.XLOOKUP(E186,'All Products'!D:D,'All Products'!I:I,FALSE)</f>
        <v>In Stock</v>
      </c>
      <c r="P186" s="384" t="str">
        <f>_xlfn.XLOOKUP(E186,'All Products'!D:D,'All Products'!J:J,FALSE)</f>
        <v>Manufactured</v>
      </c>
      <c r="Q186" s="397">
        <f>_xlfn.XLOOKUP(E186,'All Products'!D:D,'All Products'!K:K,FALSE)</f>
        <v>49081137700</v>
      </c>
      <c r="R186" s="397" t="str">
        <f>_xlfn.XLOOKUP(E186,'All Products'!D:D,'All Products'!L:L,FALSE)</f>
        <v>-</v>
      </c>
      <c r="S186" s="397">
        <f>_xlfn.XLOOKUP(E186,'All Products'!D:D,'All Products'!M:M,FALSE)</f>
        <v>40049081137708</v>
      </c>
      <c r="T186" s="384">
        <f>_xlfn.XLOOKUP(E186,'All Products'!D:D,'All Products'!N:N,FALSE)</f>
        <v>0.46600000000000003</v>
      </c>
      <c r="U186" s="397" t="str">
        <f>_xlfn.XLOOKUP(E186,'All Products'!D:D,'All Products'!O:O,FALSE)</f>
        <v>-</v>
      </c>
      <c r="V186" s="384">
        <f>_xlfn.XLOOKUP(E186,'All Products'!D:D,'All Products'!P:P,FALSE)</f>
        <v>12.36</v>
      </c>
      <c r="W186" s="384">
        <f>_xlfn.XLOOKUP(E186,'All Products'!D:D,'All Products'!Q:Q,FALSE)</f>
        <v>0.8</v>
      </c>
    </row>
    <row r="187" spans="1:23" ht="15" customHeight="1">
      <c r="A187" s="101" t="str">
        <f>IF(K187&gt;0,COUNT($A$7:A186)
+COUNT('DWV PVC'!$A$9:$A$316)
+COUNT('DWV ABS'!$A$8:$A$116)+1,"")</f>
        <v/>
      </c>
      <c r="B187" s="610"/>
      <c r="C187" s="611"/>
      <c r="D187" s="369" t="str">
        <f>_xlfn.XLOOKUP(E187,'All Products'!D:D,'All Products'!C:C,FALSE)</f>
        <v>429-030</v>
      </c>
      <c r="E187" s="51">
        <v>100022684</v>
      </c>
      <c r="F187" s="376" t="str">
        <f>_xlfn.XLOOKUP(E187,'All Products'!D:D,'All Products'!E:E,FALSE)</f>
        <v>3 COUPLING SLIP X SLIP</v>
      </c>
      <c r="G187" s="232">
        <f>_xlfn.XLOOKUP(E187,'All Products'!D:D,'All Products'!F:F,FALSE)</f>
        <v>10</v>
      </c>
      <c r="H187" s="387">
        <f>_xlfn.XLOOKUP(E187,'All Products'!D:D,'All Products'!G:G,FALSE)</f>
        <v>1200</v>
      </c>
      <c r="I187" s="394">
        <f>_xlfn.XLOOKUP(E187,'All Products'!D:D,'All Products'!H:H,FALSE)</f>
        <v>19.670000000000002</v>
      </c>
      <c r="J187" s="183">
        <f>IFERROR(ROUND(I187*Order_Quote!$L$4,2),0)</f>
        <v>19.670000000000002</v>
      </c>
      <c r="K187" s="73"/>
      <c r="L187" s="76"/>
      <c r="M187" s="114">
        <f t="shared" si="15"/>
        <v>0</v>
      </c>
      <c r="O187" s="384" t="str">
        <f>_xlfn.XLOOKUP(E187,'All Products'!D:D,'All Products'!I:I,FALSE)</f>
        <v>In Stock</v>
      </c>
      <c r="P187" s="384" t="str">
        <f>_xlfn.XLOOKUP(E187,'All Products'!D:D,'All Products'!J:J,FALSE)</f>
        <v>Manufactured</v>
      </c>
      <c r="Q187" s="397">
        <f>_xlfn.XLOOKUP(E187,'All Products'!D:D,'All Products'!K:K,FALSE)</f>
        <v>49081137724</v>
      </c>
      <c r="R187" s="397" t="str">
        <f>_xlfn.XLOOKUP(E187,'All Products'!D:D,'All Products'!L:L,FALSE)</f>
        <v>-</v>
      </c>
      <c r="S187" s="397">
        <f>_xlfn.XLOOKUP(E187,'All Products'!D:D,'All Products'!M:M,FALSE)</f>
        <v>40049081137722</v>
      </c>
      <c r="T187" s="384">
        <f>_xlfn.XLOOKUP(E187,'All Products'!D:D,'All Products'!N:N,FALSE)</f>
        <v>0.71799999999999997</v>
      </c>
      <c r="U187" s="397" t="str">
        <f>_xlfn.XLOOKUP(E187,'All Products'!D:D,'All Products'!O:O,FALSE)</f>
        <v>-</v>
      </c>
      <c r="V187" s="384">
        <f>_xlfn.XLOOKUP(E187,'All Products'!D:D,'All Products'!P:P,FALSE)</f>
        <v>7.92</v>
      </c>
      <c r="W187" s="384">
        <f>_xlfn.XLOOKUP(E187,'All Products'!D:D,'All Products'!Q:Q,FALSE)</f>
        <v>0.65</v>
      </c>
    </row>
    <row r="188" spans="1:23" ht="15" customHeight="1">
      <c r="A188" s="101" t="str">
        <f>IF(K188&gt;0,COUNT($A$7:A187)
+COUNT('DWV PVC'!$A$9:$A$316)
+COUNT('DWV ABS'!$A$8:$A$116)+1,"")</f>
        <v/>
      </c>
      <c r="B188" s="610"/>
      <c r="C188" s="611"/>
      <c r="D188" s="369" t="str">
        <f>_xlfn.XLOOKUP(E188,'All Products'!D:D,'All Products'!C:C,FALSE)</f>
        <v>429-040</v>
      </c>
      <c r="E188" s="51">
        <v>100022686</v>
      </c>
      <c r="F188" s="376" t="str">
        <f>_xlfn.XLOOKUP(E188,'All Products'!D:D,'All Products'!E:E,FALSE)</f>
        <v>4 COUPLING SLIP X SLIP</v>
      </c>
      <c r="G188" s="232">
        <f>_xlfn.XLOOKUP(E188,'All Products'!D:D,'All Products'!F:F,FALSE)</f>
        <v>6</v>
      </c>
      <c r="H188" s="387">
        <f>_xlfn.XLOOKUP(E188,'All Products'!D:D,'All Products'!G:G,FALSE)</f>
        <v>540</v>
      </c>
      <c r="I188" s="394">
        <f>_xlfn.XLOOKUP(E188,'All Products'!D:D,'All Products'!H:H,FALSE)</f>
        <v>28.48</v>
      </c>
      <c r="J188" s="183">
        <f>IFERROR(ROUND(I188*Order_Quote!$L$4,2),0)</f>
        <v>28.48</v>
      </c>
      <c r="K188" s="73"/>
      <c r="L188" s="76"/>
      <c r="M188" s="114">
        <f t="shared" si="15"/>
        <v>0</v>
      </c>
      <c r="O188" s="384" t="str">
        <f>_xlfn.XLOOKUP(E188,'All Products'!D:D,'All Products'!I:I,FALSE)</f>
        <v>In Stock</v>
      </c>
      <c r="P188" s="384" t="str">
        <f>_xlfn.XLOOKUP(E188,'All Products'!D:D,'All Products'!J:J,FALSE)</f>
        <v>Manufactured</v>
      </c>
      <c r="Q188" s="397">
        <f>_xlfn.XLOOKUP(E188,'All Products'!D:D,'All Products'!K:K,FALSE)</f>
        <v>49081137748</v>
      </c>
      <c r="R188" s="397" t="str">
        <f>_xlfn.XLOOKUP(E188,'All Products'!D:D,'All Products'!L:L,FALSE)</f>
        <v>-</v>
      </c>
      <c r="S188" s="397">
        <f>_xlfn.XLOOKUP(E188,'All Products'!D:D,'All Products'!M:M,FALSE)</f>
        <v>40049081137746</v>
      </c>
      <c r="T188" s="384">
        <f>_xlfn.XLOOKUP(E188,'All Products'!D:D,'All Products'!N:N,FALSE)</f>
        <v>1.079</v>
      </c>
      <c r="U188" s="397" t="str">
        <f>_xlfn.XLOOKUP(E188,'All Products'!D:D,'All Products'!O:O,FALSE)</f>
        <v>-</v>
      </c>
      <c r="V188" s="384">
        <f>_xlfn.XLOOKUP(E188,'All Products'!D:D,'All Products'!P:P,FALSE)</f>
        <v>7.41</v>
      </c>
      <c r="W188" s="384">
        <f>_xlfn.XLOOKUP(E188,'All Products'!D:D,'All Products'!Q:Q,FALSE)</f>
        <v>0.8</v>
      </c>
    </row>
    <row r="189" spans="1:23" ht="15" customHeight="1">
      <c r="A189" s="101" t="str">
        <f>IF(K189&gt;0,COUNT($A$7:A188)
+COUNT('DWV PVC'!$A$9:$A$316)
+COUNT('DWV ABS'!$A$8:$A$116)+1,"")</f>
        <v/>
      </c>
      <c r="B189" s="610"/>
      <c r="C189" s="611"/>
      <c r="D189" s="369" t="str">
        <f>_xlfn.XLOOKUP(E189,'All Products'!D:D,'All Products'!C:C,FALSE)</f>
        <v>429-050</v>
      </c>
      <c r="E189" s="51">
        <v>100022688</v>
      </c>
      <c r="F189" s="376" t="str">
        <f>_xlfn.XLOOKUP(E189,'All Products'!D:D,'All Products'!E:E,FALSE)</f>
        <v>5 COUPLING SLIP X SLIP</v>
      </c>
      <c r="G189" s="232">
        <f>_xlfn.XLOOKUP(E189,'All Products'!D:D,'All Products'!F:F,FALSE)</f>
        <v>5</v>
      </c>
      <c r="H189" s="387">
        <f>_xlfn.XLOOKUP(E189,'All Products'!D:D,'All Products'!G:G,FALSE)</f>
        <v>375</v>
      </c>
      <c r="I189" s="394">
        <f>_xlfn.XLOOKUP(E189,'All Products'!D:D,'All Products'!H:H,FALSE)</f>
        <v>52.09</v>
      </c>
      <c r="J189" s="183">
        <f>IFERROR(ROUND(I189*Order_Quote!$L$4,2),0)</f>
        <v>52.09</v>
      </c>
      <c r="K189" s="73"/>
      <c r="L189" s="76"/>
      <c r="M189" s="114">
        <f t="shared" si="15"/>
        <v>0</v>
      </c>
      <c r="O189" s="384" t="str">
        <f>_xlfn.XLOOKUP(E189,'All Products'!D:D,'All Products'!I:I,FALSE)</f>
        <v>In Stock</v>
      </c>
      <c r="P189" s="384" t="str">
        <f>_xlfn.XLOOKUP(E189,'All Products'!D:D,'All Products'!J:J,FALSE)</f>
        <v>Manufactured</v>
      </c>
      <c r="Q189" s="397">
        <f>_xlfn.XLOOKUP(E189,'All Products'!D:D,'All Products'!K:K,FALSE)</f>
        <v>49081137762</v>
      </c>
      <c r="R189" s="397" t="str">
        <f>_xlfn.XLOOKUP(E189,'All Products'!D:D,'All Products'!L:L,FALSE)</f>
        <v>-</v>
      </c>
      <c r="S189" s="397">
        <f>_xlfn.XLOOKUP(E189,'All Products'!D:D,'All Products'!M:M,FALSE)</f>
        <v>40049081137760</v>
      </c>
      <c r="T189" s="384">
        <f>_xlfn.XLOOKUP(E189,'All Products'!D:D,'All Products'!N:N,FALSE)</f>
        <v>1.85</v>
      </c>
      <c r="U189" s="397" t="str">
        <f>_xlfn.XLOOKUP(E189,'All Products'!D:D,'All Products'!O:O,FALSE)</f>
        <v>-</v>
      </c>
      <c r="V189" s="384">
        <f>_xlfn.XLOOKUP(E189,'All Products'!D:D,'All Products'!P:P,FALSE)</f>
        <v>9.98</v>
      </c>
      <c r="W189" s="384">
        <f>_xlfn.XLOOKUP(E189,'All Products'!D:D,'All Products'!Q:Q,FALSE)</f>
        <v>1.1000000000000001</v>
      </c>
    </row>
    <row r="190" spans="1:23" ht="15" customHeight="1">
      <c r="A190" s="101" t="str">
        <f>IF(K190&gt;0,COUNT($A$7:A189)
+COUNT('DWV PVC'!$A$9:$A$316)
+COUNT('DWV ABS'!$A$8:$A$116)+1,"")</f>
        <v/>
      </c>
      <c r="B190" s="610"/>
      <c r="C190" s="611"/>
      <c r="D190" s="369" t="str">
        <f>_xlfn.XLOOKUP(E190,'All Products'!D:D,'All Products'!C:C,FALSE)</f>
        <v>429-060</v>
      </c>
      <c r="E190" s="51">
        <v>100022690</v>
      </c>
      <c r="F190" s="376" t="str">
        <f>_xlfn.XLOOKUP(E190,'All Products'!D:D,'All Products'!E:E,FALSE)</f>
        <v>6 COUPLING SLIP X SLIP</v>
      </c>
      <c r="G190" s="232">
        <f>_xlfn.XLOOKUP(E190,'All Products'!D:D,'All Products'!F:F,FALSE)</f>
        <v>4</v>
      </c>
      <c r="H190" s="387">
        <f>_xlfn.XLOOKUP(E190,'All Products'!D:D,'All Products'!G:G,FALSE)</f>
        <v>300</v>
      </c>
      <c r="I190" s="394">
        <f>_xlfn.XLOOKUP(E190,'All Products'!D:D,'All Products'!H:H,FALSE)</f>
        <v>90</v>
      </c>
      <c r="J190" s="183">
        <f>IFERROR(ROUND(I190*Order_Quote!$L$4,2),0)</f>
        <v>90</v>
      </c>
      <c r="K190" s="73"/>
      <c r="L190" s="76"/>
      <c r="M190" s="114">
        <f t="shared" si="15"/>
        <v>0</v>
      </c>
      <c r="O190" s="384" t="str">
        <f>_xlfn.XLOOKUP(E190,'All Products'!D:D,'All Products'!I:I,FALSE)</f>
        <v>In Stock</v>
      </c>
      <c r="P190" s="384" t="str">
        <f>_xlfn.XLOOKUP(E190,'All Products'!D:D,'All Products'!J:J,FALSE)</f>
        <v>Manufactured</v>
      </c>
      <c r="Q190" s="397">
        <f>_xlfn.XLOOKUP(E190,'All Products'!D:D,'All Products'!K:K,FALSE)</f>
        <v>49081137786</v>
      </c>
      <c r="R190" s="397" t="str">
        <f>_xlfn.XLOOKUP(E190,'All Products'!D:D,'All Products'!L:L,FALSE)</f>
        <v>-</v>
      </c>
      <c r="S190" s="397">
        <f>_xlfn.XLOOKUP(E190,'All Products'!D:D,'All Products'!M:M,FALSE)</f>
        <v>40049081137784</v>
      </c>
      <c r="T190" s="384">
        <f>_xlfn.XLOOKUP(E190,'All Products'!D:D,'All Products'!N:N,FALSE)</f>
        <v>2.246</v>
      </c>
      <c r="U190" s="397" t="str">
        <f>_xlfn.XLOOKUP(E190,'All Products'!D:D,'All Products'!O:O,FALSE)</f>
        <v>-</v>
      </c>
      <c r="V190" s="384">
        <f>_xlfn.XLOOKUP(E190,'All Products'!D:D,'All Products'!P:P,FALSE)</f>
        <v>10</v>
      </c>
      <c r="W190" s="384">
        <f>_xlfn.XLOOKUP(E190,'All Products'!D:D,'All Products'!Q:Q,FALSE)</f>
        <v>1.1000000000000001</v>
      </c>
    </row>
    <row r="191" spans="1:23" ht="15" customHeight="1">
      <c r="A191" s="101" t="str">
        <f>IF(K191&gt;0,COUNT($A$7:A190)
+COUNT('DWV PVC'!$A$9:$A$316)
+COUNT('DWV ABS'!$A$8:$A$116)+1,"")</f>
        <v/>
      </c>
      <c r="B191" s="612"/>
      <c r="C191" s="613"/>
      <c r="D191" s="369" t="str">
        <f>_xlfn.XLOOKUP(E191,'All Products'!D:D,'All Products'!C:C,FALSE)</f>
        <v>429-080</v>
      </c>
      <c r="E191" s="51">
        <v>100022692</v>
      </c>
      <c r="F191" s="376" t="str">
        <f>_xlfn.XLOOKUP(E191,'All Products'!D:D,'All Products'!E:E,FALSE)</f>
        <v>8 COUPLING SLIP X SLIP</v>
      </c>
      <c r="G191" s="232">
        <f>_xlfn.XLOOKUP(E191,'All Products'!D:D,'All Products'!F:F,FALSE)</f>
        <v>5</v>
      </c>
      <c r="H191" s="387">
        <f>_xlfn.XLOOKUP(E191,'All Products'!D:D,'All Products'!G:G,FALSE)</f>
        <v>120</v>
      </c>
      <c r="I191" s="394">
        <f>_xlfn.XLOOKUP(E191,'All Products'!D:D,'All Products'!H:H,FALSE)</f>
        <v>168.06</v>
      </c>
      <c r="J191" s="183">
        <f>IFERROR(ROUND(I191*Order_Quote!$L$4,2),0)</f>
        <v>168.06</v>
      </c>
      <c r="K191" s="73"/>
      <c r="L191" s="76"/>
      <c r="M191" s="114">
        <f t="shared" si="15"/>
        <v>0</v>
      </c>
      <c r="O191" s="384" t="str">
        <f>_xlfn.XLOOKUP(E191,'All Products'!D:D,'All Products'!I:I,FALSE)</f>
        <v>In Stock</v>
      </c>
      <c r="P191" s="384" t="str">
        <f>_xlfn.XLOOKUP(E191,'All Products'!D:D,'All Products'!J:J,FALSE)</f>
        <v>Manufactured</v>
      </c>
      <c r="Q191" s="397">
        <f>_xlfn.XLOOKUP(E191,'All Products'!D:D,'All Products'!K:K,FALSE)</f>
        <v>49081137809</v>
      </c>
      <c r="R191" s="397" t="str">
        <f>_xlfn.XLOOKUP(E191,'All Products'!D:D,'All Products'!L:L,FALSE)</f>
        <v>-</v>
      </c>
      <c r="S191" s="397">
        <f>_xlfn.XLOOKUP(E191,'All Products'!D:D,'All Products'!M:M,FALSE)</f>
        <v>40049081137807</v>
      </c>
      <c r="T191" s="384">
        <f>_xlfn.XLOOKUP(E191,'All Products'!D:D,'All Products'!N:N,FALSE)</f>
        <v>4.2869999999999999</v>
      </c>
      <c r="U191" s="397" t="str">
        <f>_xlfn.XLOOKUP(E191,'All Products'!D:D,'All Products'!O:O,FALSE)</f>
        <v>-</v>
      </c>
      <c r="V191" s="384">
        <f>_xlfn.XLOOKUP(E191,'All Products'!D:D,'All Products'!P:P,FALSE)</f>
        <v>23.69</v>
      </c>
      <c r="W191" s="384">
        <f>_xlfn.XLOOKUP(E191,'All Products'!D:D,'All Products'!Q:Q,FALSE)</f>
        <v>2.77</v>
      </c>
    </row>
    <row r="192" spans="1:23" ht="20.25" customHeight="1">
      <c r="A192" s="101" t="str">
        <f>IF(K192&gt;0,COUNT($A$7:A191)
+COUNT('DWV PVC'!$A$9:$A$316)
+COUNT('DWV ABS'!$A$8:$A$116)+1,"")</f>
        <v/>
      </c>
      <c r="B192" s="608"/>
      <c r="C192" s="609"/>
      <c r="D192" s="369" t="str">
        <f>_xlfn.XLOOKUP(E192,'All Products'!D:D,'All Products'!C:C,FALSE)</f>
        <v>S429-015</v>
      </c>
      <c r="E192" s="51">
        <v>100023367</v>
      </c>
      <c r="F192" s="376" t="str">
        <f>_xlfn.XLOOKUP(E192,'All Products'!D:D,'All Products'!E:E,FALSE)</f>
        <v>1-1/2 SHORT COUPLING SLIP X SLIP</v>
      </c>
      <c r="G192" s="232">
        <f>_xlfn.XLOOKUP(E192,'All Products'!D:D,'All Products'!F:F,FALSE)</f>
        <v>50</v>
      </c>
      <c r="H192" s="387">
        <f>_xlfn.XLOOKUP(E192,'All Products'!D:D,'All Products'!G:G,FALSE)</f>
        <v>6000</v>
      </c>
      <c r="I192" s="394">
        <f>_xlfn.XLOOKUP(E192,'All Products'!D:D,'All Products'!H:H,FALSE)</f>
        <v>3.14</v>
      </c>
      <c r="J192" s="183">
        <f>IFERROR(ROUND(I192*Order_Quote!$L$4,2),0)</f>
        <v>3.14</v>
      </c>
      <c r="K192" s="73"/>
      <c r="L192" s="76"/>
      <c r="M192" s="114">
        <f t="shared" si="15"/>
        <v>0</v>
      </c>
      <c r="O192" s="384" t="str">
        <f>_xlfn.XLOOKUP(E192,'All Products'!D:D,'All Products'!I:I,FALSE)</f>
        <v>Within 3 Weeks</v>
      </c>
      <c r="P192" s="384" t="str">
        <f>_xlfn.XLOOKUP(E192,'All Products'!D:D,'All Products'!J:J,FALSE)</f>
        <v>Manufactured</v>
      </c>
      <c r="Q192" s="397">
        <f>_xlfn.XLOOKUP(E192,'All Products'!D:D,'All Products'!K:K,FALSE)</f>
        <v>49081138714</v>
      </c>
      <c r="R192" s="397">
        <f>_xlfn.XLOOKUP(E192,'All Products'!D:D,'All Products'!L:L,FALSE)</f>
        <v>49081638719</v>
      </c>
      <c r="S192" s="397">
        <f>_xlfn.XLOOKUP(E192,'All Products'!D:D,'All Products'!M:M,FALSE)</f>
        <v>40049081138712</v>
      </c>
      <c r="T192" s="384">
        <f>_xlfn.XLOOKUP(E192,'All Products'!D:D,'All Products'!N:N,FALSE)</f>
        <v>0.14799999999999999</v>
      </c>
      <c r="U192" s="397">
        <f>_xlfn.XLOOKUP(E192,'All Products'!D:D,'All Products'!O:O,FALSE)</f>
        <v>10</v>
      </c>
      <c r="V192" s="384">
        <f>_xlfn.XLOOKUP(E192,'All Products'!D:D,'All Products'!P:P,FALSE)</f>
        <v>7.45</v>
      </c>
      <c r="W192" s="384">
        <f>_xlfn.XLOOKUP(E192,'All Products'!D:D,'All Products'!Q:Q,FALSE)</f>
        <v>0.65</v>
      </c>
    </row>
    <row r="193" spans="1:23" ht="20.25" customHeight="1">
      <c r="A193" s="101" t="str">
        <f>IF(K193&gt;0,COUNT($A$7:A192)
+COUNT('DWV PVC'!$A$9:$A$316)
+COUNT('DWV ABS'!$A$8:$A$116)+1,"")</f>
        <v/>
      </c>
      <c r="B193" s="612"/>
      <c r="C193" s="613"/>
      <c r="D193" s="369" t="str">
        <f>_xlfn.XLOOKUP(E193,'All Products'!D:D,'All Products'!C:C,FALSE)</f>
        <v>S429-020</v>
      </c>
      <c r="E193" s="51">
        <v>100023368</v>
      </c>
      <c r="F193" s="376" t="str">
        <f>_xlfn.XLOOKUP(E193,'All Products'!D:D,'All Products'!E:E,FALSE)</f>
        <v>2 SHORT COUPLING SLIP X SLIP</v>
      </c>
      <c r="G193" s="232">
        <f>_xlfn.XLOOKUP(E193,'All Products'!D:D,'All Products'!F:F,FALSE)</f>
        <v>25</v>
      </c>
      <c r="H193" s="387">
        <f>_xlfn.XLOOKUP(E193,'All Products'!D:D,'All Products'!G:G,FALSE)</f>
        <v>3750</v>
      </c>
      <c r="I193" s="394">
        <f>_xlfn.XLOOKUP(E193,'All Products'!D:D,'All Products'!H:H,FALSE)</f>
        <v>4.9400000000000004</v>
      </c>
      <c r="J193" s="183">
        <f>IFERROR(ROUND(I193*Order_Quote!$L$4,2),0)</f>
        <v>4.9400000000000004</v>
      </c>
      <c r="K193" s="73"/>
      <c r="L193" s="76"/>
      <c r="M193" s="114">
        <f t="shared" si="15"/>
        <v>0</v>
      </c>
      <c r="O193" s="384" t="str">
        <f>_xlfn.XLOOKUP(E193,'All Products'!D:D,'All Products'!I:I,FALSE)</f>
        <v>Within 3 Weeks</v>
      </c>
      <c r="P193" s="384" t="str">
        <f>_xlfn.XLOOKUP(E193,'All Products'!D:D,'All Products'!J:J,FALSE)</f>
        <v>Manufactured</v>
      </c>
      <c r="Q193" s="397">
        <f>_xlfn.XLOOKUP(E193,'All Products'!D:D,'All Products'!K:K,FALSE)</f>
        <v>49081138721</v>
      </c>
      <c r="R193" s="397">
        <f>_xlfn.XLOOKUP(E193,'All Products'!D:D,'All Products'!L:L,FALSE)</f>
        <v>49081638726</v>
      </c>
      <c r="S193" s="397">
        <f>_xlfn.XLOOKUP(E193,'All Products'!D:D,'All Products'!M:M,FALSE)</f>
        <v>40049081138729</v>
      </c>
      <c r="T193" s="384">
        <f>_xlfn.XLOOKUP(E193,'All Products'!D:D,'All Products'!N:N,FALSE)</f>
        <v>0.214</v>
      </c>
      <c r="U193" s="397">
        <f>_xlfn.XLOOKUP(E193,'All Products'!D:D,'All Products'!O:O,FALSE)</f>
        <v>5</v>
      </c>
      <c r="V193" s="384">
        <f>_xlfn.XLOOKUP(E193,'All Products'!D:D,'All Products'!P:P,FALSE)</f>
        <v>5.34</v>
      </c>
      <c r="W193" s="384">
        <f>_xlfn.XLOOKUP(E193,'All Products'!D:D,'All Products'!Q:Q,FALSE)</f>
        <v>0.5</v>
      </c>
    </row>
    <row r="194" spans="1:23" ht="15" customHeight="1">
      <c r="A194" s="101" t="str">
        <f>IF(K194&gt;0,COUNT($A$7:A193)
+COUNT('DWV PVC'!$A$9:$A$316)
+COUNT('DWV ABS'!$A$8:$A$116)+1,"")</f>
        <v/>
      </c>
      <c r="B194" s="608"/>
      <c r="C194" s="609"/>
      <c r="D194" s="369" t="str">
        <f>_xlfn.XLOOKUP(E194,'All Products'!D:D,'All Products'!C:C,FALSE)</f>
        <v>429-101</v>
      </c>
      <c r="E194" s="51">
        <v>100022694</v>
      </c>
      <c r="F194" s="376" t="str">
        <f>_xlfn.XLOOKUP(E194,'All Products'!D:D,'All Products'!E:E,FALSE)</f>
        <v>3/4X1/2 REDUCER COUPLING S X S</v>
      </c>
      <c r="G194" s="232">
        <f>_xlfn.XLOOKUP(E194,'All Products'!D:D,'All Products'!F:F,FALSE)</f>
        <v>100</v>
      </c>
      <c r="H194" s="387">
        <f>_xlfn.XLOOKUP(E194,'All Products'!D:D,'All Products'!G:G,FALSE)</f>
        <v>27000</v>
      </c>
      <c r="I194" s="394">
        <f>_xlfn.XLOOKUP(E194,'All Products'!D:D,'All Products'!H:H,FALSE)</f>
        <v>2.65</v>
      </c>
      <c r="J194" s="183">
        <f>IFERROR(ROUND(I194*Order_Quote!$L$4,2),0)</f>
        <v>2.65</v>
      </c>
      <c r="K194" s="73"/>
      <c r="L194" s="76"/>
      <c r="M194" s="114">
        <f t="shared" ref="M194:M213" si="18">K194/G194</f>
        <v>0</v>
      </c>
      <c r="O194" s="384" t="str">
        <f>_xlfn.XLOOKUP(E194,'All Products'!D:D,'All Products'!I:I,FALSE)</f>
        <v>In Stock</v>
      </c>
      <c r="P194" s="384" t="str">
        <f>_xlfn.XLOOKUP(E194,'All Products'!D:D,'All Products'!J:J,FALSE)</f>
        <v>Manufactured</v>
      </c>
      <c r="Q194" s="397">
        <f>_xlfn.XLOOKUP(E194,'All Products'!D:D,'All Products'!K:K,FALSE)</f>
        <v>49081137526</v>
      </c>
      <c r="R194" s="397">
        <f>_xlfn.XLOOKUP(E194,'All Products'!D:D,'All Products'!L:L,FALSE)</f>
        <v>49081637521</v>
      </c>
      <c r="S194" s="397">
        <f>_xlfn.XLOOKUP(E194,'All Products'!D:D,'All Products'!M:M,FALSE)</f>
        <v>40049081137524</v>
      </c>
      <c r="T194" s="384">
        <f>_xlfn.XLOOKUP(E194,'All Products'!D:D,'All Products'!N:N,FALSE)</f>
        <v>5.3999999999999999E-2</v>
      </c>
      <c r="U194" s="397">
        <f>_xlfn.XLOOKUP(E194,'All Products'!D:D,'All Products'!O:O,FALSE)</f>
        <v>25</v>
      </c>
      <c r="V194" s="384">
        <f>_xlfn.XLOOKUP(E194,'All Products'!D:D,'All Products'!P:P,FALSE)</f>
        <v>5.73</v>
      </c>
      <c r="W194" s="384">
        <f>_xlfn.XLOOKUP(E194,'All Products'!D:D,'All Products'!Q:Q,FALSE)</f>
        <v>0.31</v>
      </c>
    </row>
    <row r="195" spans="1:23" ht="15" customHeight="1">
      <c r="A195" s="101" t="str">
        <f>IF(K195&gt;0,COUNT($A$7:A194)
+COUNT('DWV PVC'!$A$9:$A$316)
+COUNT('DWV ABS'!$A$8:$A$116)+1,"")</f>
        <v/>
      </c>
      <c r="B195" s="610"/>
      <c r="C195" s="611"/>
      <c r="D195" s="369" t="str">
        <f>_xlfn.XLOOKUP(E195,'All Products'!D:D,'All Products'!C:C,FALSE)</f>
        <v>429-131</v>
      </c>
      <c r="E195" s="51">
        <v>100022698</v>
      </c>
      <c r="F195" s="376" t="str">
        <f>_xlfn.XLOOKUP(E195,'All Products'!D:D,'All Products'!E:E,FALSE)</f>
        <v>1X3/4 REDUCER COUPLING S X S</v>
      </c>
      <c r="G195" s="232">
        <f>_xlfn.XLOOKUP(E195,'All Products'!D:D,'All Products'!F:F,FALSE)</f>
        <v>40</v>
      </c>
      <c r="H195" s="387">
        <f>_xlfn.XLOOKUP(E195,'All Products'!D:D,'All Products'!G:G,FALSE)</f>
        <v>10800</v>
      </c>
      <c r="I195" s="394">
        <f>_xlfn.XLOOKUP(E195,'All Products'!D:D,'All Products'!H:H,FALSE)</f>
        <v>4.49</v>
      </c>
      <c r="J195" s="183">
        <f>IFERROR(ROUND(I195*Order_Quote!$L$4,2),0)</f>
        <v>4.49</v>
      </c>
      <c r="K195" s="73"/>
      <c r="L195" s="76"/>
      <c r="M195" s="114">
        <f t="shared" si="18"/>
        <v>0</v>
      </c>
      <c r="O195" s="384" t="str">
        <f>_xlfn.XLOOKUP(E195,'All Products'!D:D,'All Products'!I:I,FALSE)</f>
        <v>In Stock</v>
      </c>
      <c r="P195" s="384" t="str">
        <f>_xlfn.XLOOKUP(E195,'All Products'!D:D,'All Products'!J:J,FALSE)</f>
        <v>Manufactured</v>
      </c>
      <c r="Q195" s="397">
        <f>_xlfn.XLOOKUP(E195,'All Products'!D:D,'All Products'!K:K,FALSE)</f>
        <v>49081137564</v>
      </c>
      <c r="R195" s="397">
        <f>_xlfn.XLOOKUP(E195,'All Products'!D:D,'All Products'!L:L,FALSE)</f>
        <v>49081637569</v>
      </c>
      <c r="S195" s="397">
        <f>_xlfn.XLOOKUP(E195,'All Products'!D:D,'All Products'!M:M,FALSE)</f>
        <v>40049081137562</v>
      </c>
      <c r="T195" s="384">
        <f>_xlfn.XLOOKUP(E195,'All Products'!D:D,'All Products'!N:N,FALSE)</f>
        <v>8.5999999999999993E-2</v>
      </c>
      <c r="U195" s="397">
        <f>_xlfn.XLOOKUP(E195,'All Products'!D:D,'All Products'!O:O,FALSE)</f>
        <v>5</v>
      </c>
      <c r="V195" s="384">
        <f>_xlfn.XLOOKUP(E195,'All Products'!D:D,'All Products'!P:P,FALSE)</f>
        <v>4.07</v>
      </c>
      <c r="W195" s="384">
        <f>_xlfn.XLOOKUP(E195,'All Products'!D:D,'All Products'!Q:Q,FALSE)</f>
        <v>0.31</v>
      </c>
    </row>
    <row r="196" spans="1:23" ht="15" customHeight="1">
      <c r="B196" s="610"/>
      <c r="C196" s="611"/>
      <c r="D196" s="369" t="str">
        <f>_xlfn.XLOOKUP(E196,'All Products'!D:D,'All Products'!C:C,FALSE)</f>
        <v>429-167</v>
      </c>
      <c r="E196" s="51">
        <v>100022700</v>
      </c>
      <c r="F196" s="376" t="str">
        <f>_xlfn.XLOOKUP(E196,'All Products'!D:D,'All Products'!E:E,FALSE)</f>
        <v>1-1/4 X 3/4" REDUCER COUPLING S X S</v>
      </c>
      <c r="G196" s="232">
        <f>_xlfn.XLOOKUP(E196,'All Products'!D:D,'All Products'!F:F,FALSE)</f>
        <v>20</v>
      </c>
      <c r="H196" s="387">
        <f>_xlfn.XLOOKUP(E196,'All Products'!D:D,'All Products'!G:G,FALSE)</f>
        <v>1800</v>
      </c>
      <c r="I196" s="394">
        <f>_xlfn.XLOOKUP(E196,'All Products'!D:D,'All Products'!H:H,FALSE)</f>
        <v>7.18</v>
      </c>
      <c r="J196" s="183">
        <f>IFERROR(ROUND(I196*Order_Quote!$L$4,2),0)</f>
        <v>7.18</v>
      </c>
      <c r="K196" s="73"/>
      <c r="L196" s="76"/>
      <c r="M196" s="114">
        <f t="shared" ref="M196:M200" si="19">K196/G196</f>
        <v>0</v>
      </c>
      <c r="O196" s="384" t="str">
        <f>_xlfn.XLOOKUP(E196,'All Products'!D:D,'All Products'!I:I,FALSE)</f>
        <v>Within 3 Weeks</v>
      </c>
      <c r="P196" s="384" t="str">
        <f>_xlfn.XLOOKUP(E196,'All Products'!D:D,'All Products'!J:J,FALSE)</f>
        <v>Manufactured</v>
      </c>
      <c r="Q196" s="397">
        <f>_xlfn.XLOOKUP(E196,'All Products'!D:D,'All Products'!K:K,FALSE)</f>
        <v>49081138219</v>
      </c>
      <c r="R196" s="397">
        <f>_xlfn.XLOOKUP(E196,'All Products'!D:D,'All Products'!L:L,FALSE)</f>
        <v>49081638214</v>
      </c>
      <c r="S196" s="397">
        <f>_xlfn.XLOOKUP(E196,'All Products'!D:D,'All Products'!M:M,FALSE)</f>
        <v>40049081138217</v>
      </c>
      <c r="T196" s="384">
        <f>_xlfn.XLOOKUP(E196,'All Products'!D:D,'All Products'!N:N,FALSE)</f>
        <v>0.13700000000000001</v>
      </c>
      <c r="U196" s="397">
        <f>_xlfn.XLOOKUP(E196,'All Products'!D:D,'All Products'!O:O,FALSE)</f>
        <v>5</v>
      </c>
      <c r="V196" s="384">
        <f>_xlfn.XLOOKUP(E196,'All Products'!D:D,'All Products'!P:P,FALSE)</f>
        <v>2.74</v>
      </c>
      <c r="W196" s="384">
        <f>_xlfn.XLOOKUP(E196,'All Products'!D:D,'All Products'!Q:Q,FALSE)</f>
        <v>0.43</v>
      </c>
    </row>
    <row r="197" spans="1:23" ht="15" customHeight="1">
      <c r="B197" s="610"/>
      <c r="C197" s="611"/>
      <c r="D197" s="369" t="str">
        <f>_xlfn.XLOOKUP(E197,'All Products'!D:D,'All Products'!C:C,FALSE)</f>
        <v>429-168</v>
      </c>
      <c r="E197" s="51">
        <v>100022702</v>
      </c>
      <c r="F197" s="376" t="str">
        <f>_xlfn.XLOOKUP(E197,'All Products'!D:D,'All Products'!E:E,FALSE)</f>
        <v>1-1/4 X 1" REDUCER COUPLING S X S</v>
      </c>
      <c r="G197" s="232">
        <f>_xlfn.XLOOKUP(E197,'All Products'!D:D,'All Products'!F:F,FALSE)</f>
        <v>20</v>
      </c>
      <c r="H197" s="387">
        <f>_xlfn.XLOOKUP(E197,'All Products'!D:D,'All Products'!G:G,FALSE)</f>
        <v>1800</v>
      </c>
      <c r="I197" s="394">
        <f>_xlfn.XLOOKUP(E197,'All Products'!D:D,'All Products'!H:H,FALSE)</f>
        <v>7.18</v>
      </c>
      <c r="J197" s="183">
        <f>IFERROR(ROUND(I197*Order_Quote!$L$4,2),0)</f>
        <v>7.18</v>
      </c>
      <c r="K197" s="73"/>
      <c r="L197" s="76"/>
      <c r="M197" s="114">
        <f t="shared" si="19"/>
        <v>0</v>
      </c>
      <c r="O197" s="384" t="str">
        <f>_xlfn.XLOOKUP(E197,'All Products'!D:D,'All Products'!I:I,FALSE)</f>
        <v>In Stock</v>
      </c>
      <c r="P197" s="384" t="str">
        <f>_xlfn.XLOOKUP(E197,'All Products'!D:D,'All Products'!J:J,FALSE)</f>
        <v>Manufactured</v>
      </c>
      <c r="Q197" s="397">
        <f>_xlfn.XLOOKUP(E197,'All Products'!D:D,'All Products'!K:K,FALSE)</f>
        <v>49081137601</v>
      </c>
      <c r="R197" s="397">
        <f>_xlfn.XLOOKUP(E197,'All Products'!D:D,'All Products'!L:L,FALSE)</f>
        <v>49081637606</v>
      </c>
      <c r="S197" s="397">
        <f>_xlfn.XLOOKUP(E197,'All Products'!D:D,'All Products'!M:M,FALSE)</f>
        <v>40049081137609</v>
      </c>
      <c r="T197" s="384">
        <f>_xlfn.XLOOKUP(E197,'All Products'!D:D,'All Products'!N:N,FALSE)</f>
        <v>0.14699999999999999</v>
      </c>
      <c r="U197" s="397">
        <f>_xlfn.XLOOKUP(E197,'All Products'!D:D,'All Products'!O:O,FALSE)</f>
        <v>5</v>
      </c>
      <c r="V197" s="384">
        <f>_xlfn.XLOOKUP(E197,'All Products'!D:D,'All Products'!P:P,FALSE)</f>
        <v>2.96</v>
      </c>
      <c r="W197" s="384">
        <f>_xlfn.XLOOKUP(E197,'All Products'!D:D,'All Products'!Q:Q,FALSE)</f>
        <v>0.43</v>
      </c>
    </row>
    <row r="198" spans="1:23" ht="15" customHeight="1">
      <c r="A198" s="101" t="str">
        <f>IF(K198&gt;0,COUNT($A$7:A195)
+COUNT('DWV PVC'!$A$9:$A$316)
+COUNT('DWV ABS'!$A$8:$A$116)+1,"")</f>
        <v/>
      </c>
      <c r="B198" s="610"/>
      <c r="C198" s="611"/>
      <c r="D198" s="369" t="str">
        <f>_xlfn.XLOOKUP(E198,'All Products'!D:D,'All Products'!C:C,FALSE)</f>
        <v>429-211</v>
      </c>
      <c r="E198" s="51">
        <v>100022704</v>
      </c>
      <c r="F198" s="376" t="str">
        <f>_xlfn.XLOOKUP(E198,'All Products'!D:D,'All Products'!E:E,FALSE)</f>
        <v>1-1/2X1 REDUCER COUPLING S X S</v>
      </c>
      <c r="G198" s="232">
        <f>_xlfn.XLOOKUP(E198,'All Products'!D:D,'All Products'!F:F,FALSE)</f>
        <v>20</v>
      </c>
      <c r="H198" s="387">
        <f>_xlfn.XLOOKUP(E198,'All Products'!D:D,'All Products'!G:G,FALSE)</f>
        <v>5400</v>
      </c>
      <c r="I198" s="394">
        <f>_xlfn.XLOOKUP(E198,'All Products'!D:D,'All Products'!H:H,FALSE)</f>
        <v>7.96</v>
      </c>
      <c r="J198" s="183">
        <f>IFERROR(ROUND(I198*Order_Quote!$L$4,2),0)</f>
        <v>7.96</v>
      </c>
      <c r="K198" s="73"/>
      <c r="L198" s="76"/>
      <c r="M198" s="114">
        <f t="shared" si="19"/>
        <v>0</v>
      </c>
      <c r="O198" s="384" t="str">
        <f>_xlfn.XLOOKUP(E198,'All Products'!D:D,'All Products'!I:I,FALSE)</f>
        <v>Within 3 Weeks</v>
      </c>
      <c r="P198" s="384" t="str">
        <f>_xlfn.XLOOKUP(E198,'All Products'!D:D,'All Products'!J:J,FALSE)</f>
        <v>Manufactured</v>
      </c>
      <c r="Q198" s="397">
        <f>_xlfn.XLOOKUP(E198,'All Products'!D:D,'All Products'!K:K,FALSE)</f>
        <v>49081137649</v>
      </c>
      <c r="R198" s="397">
        <f>_xlfn.XLOOKUP(E198,'All Products'!D:D,'All Products'!L:L,FALSE)</f>
        <v>49081637644</v>
      </c>
      <c r="S198" s="397">
        <f>_xlfn.XLOOKUP(E198,'All Products'!D:D,'All Products'!M:M,FALSE)</f>
        <v>40049081137647</v>
      </c>
      <c r="T198" s="384">
        <f>_xlfn.XLOOKUP(E198,'All Products'!D:D,'All Products'!N:N,FALSE)</f>
        <v>0.152</v>
      </c>
      <c r="U198" s="397">
        <f>_xlfn.XLOOKUP(E198,'All Products'!D:D,'All Products'!O:O,FALSE)</f>
        <v>5</v>
      </c>
      <c r="V198" s="384">
        <f>_xlfn.XLOOKUP(E198,'All Products'!D:D,'All Products'!P:P,FALSE)</f>
        <v>3.58</v>
      </c>
      <c r="W198" s="384">
        <f>_xlfn.XLOOKUP(E198,'All Products'!D:D,'All Products'!Q:Q,FALSE)</f>
        <v>0.27</v>
      </c>
    </row>
    <row r="199" spans="1:23" ht="15" customHeight="1">
      <c r="B199" s="610"/>
      <c r="C199" s="611"/>
      <c r="D199" s="369" t="str">
        <f>_xlfn.XLOOKUP(E199,'All Products'!D:D,'All Products'!C:C,FALSE)</f>
        <v>429-212</v>
      </c>
      <c r="E199" s="51">
        <v>100022706</v>
      </c>
      <c r="F199" s="376" t="str">
        <f>_xlfn.XLOOKUP(E199,'All Products'!D:D,'All Products'!E:E,FALSE)</f>
        <v>1-1/2 X 1-1/4" REDUCER COUPLING S X S</v>
      </c>
      <c r="G199" s="232">
        <f>_xlfn.XLOOKUP(E199,'All Products'!D:D,'All Products'!F:F,FALSE)</f>
        <v>30</v>
      </c>
      <c r="H199" s="387">
        <f>_xlfn.XLOOKUP(E199,'All Products'!D:D,'All Products'!G:G,FALSE)</f>
        <v>2700</v>
      </c>
      <c r="I199" s="394">
        <f>_xlfn.XLOOKUP(E199,'All Products'!D:D,'All Products'!H:H,FALSE)</f>
        <v>7.58</v>
      </c>
      <c r="J199" s="183">
        <f>IFERROR(ROUND(I199*Order_Quote!$L$4,2),0)</f>
        <v>7.58</v>
      </c>
      <c r="K199" s="73"/>
      <c r="L199" s="76"/>
      <c r="M199" s="114">
        <f t="shared" si="19"/>
        <v>0</v>
      </c>
      <c r="O199" s="384" t="str">
        <f>_xlfn.XLOOKUP(E199,'All Products'!D:D,'All Products'!I:I,FALSE)</f>
        <v>In Stock</v>
      </c>
      <c r="P199" s="384" t="str">
        <f>_xlfn.XLOOKUP(E199,'All Products'!D:D,'All Products'!J:J,FALSE)</f>
        <v>Manufactured</v>
      </c>
      <c r="Q199" s="397">
        <f>_xlfn.XLOOKUP(E199,'All Products'!D:D,'All Products'!K:K,FALSE)</f>
        <v>49081137632</v>
      </c>
      <c r="R199" s="397">
        <f>_xlfn.XLOOKUP(E199,'All Products'!D:D,'All Products'!L:L,FALSE)</f>
        <v>49081637637</v>
      </c>
      <c r="S199" s="397">
        <f>_xlfn.XLOOKUP(E199,'All Products'!D:D,'All Products'!M:M,FALSE)</f>
        <v>40049081137630</v>
      </c>
      <c r="T199" s="384">
        <f>_xlfn.XLOOKUP(E199,'All Products'!D:D,'All Products'!N:N,FALSE)</f>
        <v>0.17599999999999999</v>
      </c>
      <c r="U199" s="397">
        <f>_xlfn.XLOOKUP(E199,'All Products'!D:D,'All Products'!O:O,FALSE)</f>
        <v>5</v>
      </c>
      <c r="V199" s="384">
        <f>_xlfn.XLOOKUP(E199,'All Products'!D:D,'All Products'!P:P,FALSE)</f>
        <v>5.31</v>
      </c>
      <c r="W199" s="384">
        <f>_xlfn.XLOOKUP(E199,'All Products'!D:D,'All Products'!Q:Q,FALSE)</f>
        <v>0.43</v>
      </c>
    </row>
    <row r="200" spans="1:23" ht="15" customHeight="1">
      <c r="B200" s="610"/>
      <c r="C200" s="611"/>
      <c r="D200" s="369" t="str">
        <f>_xlfn.XLOOKUP(E200,'All Products'!D:D,'All Products'!C:C,FALSE)</f>
        <v>429-250</v>
      </c>
      <c r="E200" s="51">
        <v>100022708</v>
      </c>
      <c r="F200" s="376" t="str">
        <f>_xlfn.XLOOKUP(E200,'All Products'!D:D,'All Products'!E:E,FALSE)</f>
        <v>2 X 1-1/4" REDUCER COUPLING S X S</v>
      </c>
      <c r="G200" s="232">
        <f>_xlfn.XLOOKUP(E200,'All Products'!D:D,'All Products'!F:F,FALSE)</f>
        <v>30</v>
      </c>
      <c r="H200" s="387">
        <f>_xlfn.XLOOKUP(E200,'All Products'!D:D,'All Products'!G:G,FALSE)</f>
        <v>2700</v>
      </c>
      <c r="I200" s="394">
        <f>_xlfn.XLOOKUP(E200,'All Products'!D:D,'All Products'!H:H,FALSE)</f>
        <v>12.12</v>
      </c>
      <c r="J200" s="183">
        <f>IFERROR(ROUND(I200*Order_Quote!$L$4,2),0)</f>
        <v>12.12</v>
      </c>
      <c r="K200" s="73"/>
      <c r="L200" s="76"/>
      <c r="M200" s="114">
        <f t="shared" si="19"/>
        <v>0</v>
      </c>
      <c r="O200" s="384" t="str">
        <f>_xlfn.XLOOKUP(E200,'All Products'!D:D,'All Products'!I:I,FALSE)</f>
        <v>Within 3 Weeks</v>
      </c>
      <c r="P200" s="384" t="str">
        <f>_xlfn.XLOOKUP(E200,'All Products'!D:D,'All Products'!J:J,FALSE)</f>
        <v>Manufactured</v>
      </c>
      <c r="Q200" s="397">
        <f>_xlfn.XLOOKUP(E200,'All Products'!D:D,'All Products'!K:K,FALSE)</f>
        <v>49081137670</v>
      </c>
      <c r="R200" s="397" t="str">
        <f>_xlfn.XLOOKUP(E200,'All Products'!D:D,'All Products'!L:L,FALSE)</f>
        <v>-</v>
      </c>
      <c r="S200" s="397">
        <f>_xlfn.XLOOKUP(E200,'All Products'!D:D,'All Products'!M:M,FALSE)</f>
        <v>40049081137678</v>
      </c>
      <c r="T200" s="384">
        <f>_xlfn.XLOOKUP(E200,'All Products'!D:D,'All Products'!N:N,FALSE)</f>
        <v>0.24299999999999999</v>
      </c>
      <c r="U200" s="397" t="str">
        <f>_xlfn.XLOOKUP(E200,'All Products'!D:D,'All Products'!O:O,FALSE)</f>
        <v>-</v>
      </c>
      <c r="V200" s="384">
        <f>_xlfn.XLOOKUP(E200,'All Products'!D:D,'All Products'!P:P,FALSE)</f>
        <v>7.29</v>
      </c>
      <c r="W200" s="384">
        <f>_xlfn.XLOOKUP(E200,'All Products'!D:D,'All Products'!Q:Q,FALSE)</f>
        <v>0.43</v>
      </c>
    </row>
    <row r="201" spans="1:23" ht="15" customHeight="1">
      <c r="A201" s="101" t="str">
        <f>IF(K201&gt;0,COUNT($A$7:A198)
+COUNT('DWV PVC'!$A$9:$A$316)
+COUNT('DWV ABS'!$A$8:$A$116)+1,"")</f>
        <v/>
      </c>
      <c r="B201" s="610"/>
      <c r="C201" s="611"/>
      <c r="D201" s="369" t="str">
        <f>_xlfn.XLOOKUP(E201,'All Products'!D:D,'All Products'!C:C,FALSE)</f>
        <v>429-251</v>
      </c>
      <c r="E201" s="51">
        <v>100022710</v>
      </c>
      <c r="F201" s="376" t="str">
        <f>_xlfn.XLOOKUP(E201,'All Products'!D:D,'All Products'!E:E,FALSE)</f>
        <v>2X1-1/2 REDUCER COUPLING S X S</v>
      </c>
      <c r="G201" s="232">
        <f>_xlfn.XLOOKUP(E201,'All Products'!D:D,'All Products'!F:F,FALSE)</f>
        <v>30</v>
      </c>
      <c r="H201" s="387">
        <f>_xlfn.XLOOKUP(E201,'All Products'!D:D,'All Products'!G:G,FALSE)</f>
        <v>4500</v>
      </c>
      <c r="I201" s="394">
        <f>_xlfn.XLOOKUP(E201,'All Products'!D:D,'All Products'!H:H,FALSE)</f>
        <v>12.73</v>
      </c>
      <c r="J201" s="183">
        <f>IFERROR(ROUND(I201*Order_Quote!$L$4,2),0)</f>
        <v>12.73</v>
      </c>
      <c r="K201" s="73"/>
      <c r="L201" s="76"/>
      <c r="M201" s="114">
        <f t="shared" si="18"/>
        <v>0</v>
      </c>
      <c r="O201" s="384" t="str">
        <f>_xlfn.XLOOKUP(E201,'All Products'!D:D,'All Products'!I:I,FALSE)</f>
        <v>In Stock</v>
      </c>
      <c r="P201" s="384" t="str">
        <f>_xlfn.XLOOKUP(E201,'All Products'!D:D,'All Products'!J:J,FALSE)</f>
        <v>Manufactured</v>
      </c>
      <c r="Q201" s="397">
        <f>_xlfn.XLOOKUP(E201,'All Products'!D:D,'All Products'!K:K,FALSE)</f>
        <v>49081137687</v>
      </c>
      <c r="R201" s="397" t="str">
        <f>_xlfn.XLOOKUP(E201,'All Products'!D:D,'All Products'!L:L,FALSE)</f>
        <v>-</v>
      </c>
      <c r="S201" s="397">
        <f>_xlfn.XLOOKUP(E201,'All Products'!D:D,'All Products'!M:M,FALSE)</f>
        <v>40049081137685</v>
      </c>
      <c r="T201" s="384">
        <f>_xlfn.XLOOKUP(E201,'All Products'!D:D,'All Products'!N:N,FALSE)</f>
        <v>0.224</v>
      </c>
      <c r="U201" s="397" t="str">
        <f>_xlfn.XLOOKUP(E201,'All Products'!D:D,'All Products'!O:O,FALSE)</f>
        <v>-</v>
      </c>
      <c r="V201" s="384">
        <f>_xlfn.XLOOKUP(E201,'All Products'!D:D,'All Products'!P:P,FALSE)</f>
        <v>8.59</v>
      </c>
      <c r="W201" s="384">
        <f>_xlfn.XLOOKUP(E201,'All Products'!D:D,'All Products'!Q:Q,FALSE)</f>
        <v>0.5</v>
      </c>
    </row>
    <row r="202" spans="1:23" ht="15" customHeight="1">
      <c r="A202" s="101" t="str">
        <f>IF(K202&gt;0,COUNT($A$7:A201)
+COUNT('DWV PVC'!$A$9:$A$316)
+COUNT('DWV ABS'!$A$8:$A$116)+1,"")</f>
        <v/>
      </c>
      <c r="B202" s="612"/>
      <c r="C202" s="613"/>
      <c r="D202" s="369" t="str">
        <f>_xlfn.XLOOKUP(E202,'All Products'!D:D,'All Products'!C:C,FALSE)</f>
        <v>429-338</v>
      </c>
      <c r="E202" s="51">
        <v>300005591</v>
      </c>
      <c r="F202" s="376" t="str">
        <f>_xlfn.XLOOKUP(E202,'All Products'!D:D,'All Products'!E:E,FALSE)</f>
        <v>3X2 REDUCER COUPLING S X S</v>
      </c>
      <c r="G202" s="232">
        <f>_xlfn.XLOOKUP(E202,'All Products'!D:D,'All Products'!F:F,FALSE)</f>
        <v>5</v>
      </c>
      <c r="H202" s="387" t="str">
        <f>_xlfn.XLOOKUP(E202,'All Products'!D:D,'All Products'!G:G,FALSE)</f>
        <v>-</v>
      </c>
      <c r="I202" s="394" t="str">
        <f>_xlfn.XLOOKUP(E202,'All Products'!D:D,'All Products'!H:H,FALSE)</f>
        <v>Quote Required</v>
      </c>
      <c r="J202" s="183">
        <f>IFERROR(ROUND(I202*Order_Quote!$L$4,2),0)</f>
        <v>0</v>
      </c>
      <c r="K202" s="73"/>
      <c r="L202" s="76"/>
      <c r="M202" s="114">
        <f t="shared" si="18"/>
        <v>0</v>
      </c>
      <c r="O202" s="384" t="str">
        <f>_xlfn.XLOOKUP(E202,'All Products'!D:D,'All Products'!I:I,FALSE)</f>
        <v>Within 6 Weeks</v>
      </c>
      <c r="P202" s="384" t="str">
        <f>_xlfn.XLOOKUP(E202,'All Products'!D:D,'All Products'!J:J,FALSE)</f>
        <v>Sourced</v>
      </c>
      <c r="Q202" s="397">
        <f>_xlfn.XLOOKUP(E202,'All Products'!D:D,'All Products'!K:K,FALSE)</f>
        <v>816842025213</v>
      </c>
      <c r="R202" s="397" t="str">
        <f>_xlfn.XLOOKUP(E202,'All Products'!D:D,'All Products'!L:L,FALSE)</f>
        <v>-</v>
      </c>
      <c r="S202" s="397" t="str">
        <f>_xlfn.XLOOKUP(E202,'All Products'!D:D,'All Products'!M:M,FALSE)</f>
        <v>-</v>
      </c>
      <c r="T202" s="384">
        <f>_xlfn.XLOOKUP(E202,'All Products'!D:D,'All Products'!N:N,FALSE)</f>
        <v>0.24199999999999999</v>
      </c>
      <c r="U202" s="397" t="str">
        <f>_xlfn.XLOOKUP(E202,'All Products'!D:D,'All Products'!O:O,FALSE)</f>
        <v>-</v>
      </c>
      <c r="V202" s="384" t="str">
        <f>_xlfn.XLOOKUP(E202,'All Products'!D:D,'All Products'!P:P,FALSE)</f>
        <v>-</v>
      </c>
      <c r="W202" s="384" t="str">
        <f>_xlfn.XLOOKUP(E202,'All Products'!D:D,'All Products'!Q:Q,FALSE)</f>
        <v>-</v>
      </c>
    </row>
    <row r="203" spans="1:23" ht="15" customHeight="1">
      <c r="A203" s="101" t="str">
        <f>IF(K203&gt;0,COUNT($A$7:A202)
+COUNT('DWV PVC'!$A$9:$A$316)
+COUNT('DWV ABS'!$A$8:$A$116)+1,"")</f>
        <v/>
      </c>
      <c r="B203" s="608"/>
      <c r="C203" s="609"/>
      <c r="D203" s="369" t="str">
        <f>_xlfn.XLOOKUP(E203,'All Products'!D:D,'All Products'!C:C,FALSE)</f>
        <v>430-005GY</v>
      </c>
      <c r="E203" s="51">
        <v>100026961</v>
      </c>
      <c r="F203" s="376" t="str">
        <f>_xlfn.XLOOKUP(E203,'All Products'!D:D,'All Products'!E:E,FALSE)</f>
        <v>1/2 THREADED COUPLING FXF GRAY</v>
      </c>
      <c r="G203" s="232">
        <f>_xlfn.XLOOKUP(E203,'All Products'!D:D,'All Products'!F:F,FALSE)</f>
        <v>250</v>
      </c>
      <c r="H203" s="387">
        <f>_xlfn.XLOOKUP(E203,'All Products'!D:D,'All Products'!G:G,FALSE)</f>
        <v>30000</v>
      </c>
      <c r="I203" s="394">
        <f>_xlfn.XLOOKUP(E203,'All Products'!D:D,'All Products'!H:H,FALSE)</f>
        <v>2.02</v>
      </c>
      <c r="J203" s="183">
        <f>IFERROR(ROUND(I203*Order_Quote!$L$4,2),0)</f>
        <v>2.02</v>
      </c>
      <c r="K203" s="73"/>
      <c r="L203" s="76"/>
      <c r="M203" s="114">
        <f t="shared" si="18"/>
        <v>0</v>
      </c>
      <c r="O203" s="384" t="str">
        <f>_xlfn.XLOOKUP(E203,'All Products'!D:D,'All Products'!I:I,FALSE)</f>
        <v>In Stock</v>
      </c>
      <c r="P203" s="384" t="str">
        <f>_xlfn.XLOOKUP(E203,'All Products'!D:D,'All Products'!J:J,FALSE)</f>
        <v>Manufactured</v>
      </c>
      <c r="Q203" s="397">
        <f>_xlfn.XLOOKUP(E203,'All Products'!D:D,'All Products'!K:K,FALSE)</f>
        <v>49081137946</v>
      </c>
      <c r="R203" s="397">
        <f>_xlfn.XLOOKUP(E203,'All Products'!D:D,'All Products'!L:L,FALSE)</f>
        <v>49081637941</v>
      </c>
      <c r="S203" s="397">
        <f>_xlfn.XLOOKUP(E203,'All Products'!D:D,'All Products'!M:M,FALSE)</f>
        <v>40049081137944</v>
      </c>
      <c r="T203" s="384">
        <f>_xlfn.XLOOKUP(E203,'All Products'!D:D,'All Products'!N:N,FALSE)</f>
        <v>0.05</v>
      </c>
      <c r="U203" s="397">
        <f>_xlfn.XLOOKUP(E203,'All Products'!D:D,'All Products'!O:O,FALSE)</f>
        <v>10</v>
      </c>
      <c r="V203" s="384">
        <f>_xlfn.XLOOKUP(E203,'All Products'!D:D,'All Products'!P:P,FALSE)</f>
        <v>12.81</v>
      </c>
      <c r="W203" s="384">
        <f>_xlfn.XLOOKUP(E203,'All Products'!D:D,'All Products'!Q:Q,FALSE)</f>
        <v>0.65</v>
      </c>
    </row>
    <row r="204" spans="1:23" ht="15" customHeight="1">
      <c r="A204" s="101" t="str">
        <f>IF(K204&gt;0,COUNT($A$7:A203)
+COUNT('DWV PVC'!$A$9:$A$316)
+COUNT('DWV ABS'!$A$8:$A$116)+1,"")</f>
        <v/>
      </c>
      <c r="B204" s="610"/>
      <c r="C204" s="611"/>
      <c r="D204" s="369" t="str">
        <f>_xlfn.XLOOKUP(E204,'All Products'!D:D,'All Products'!C:C,FALSE)</f>
        <v>430-005W</v>
      </c>
      <c r="E204" s="51">
        <v>100027407</v>
      </c>
      <c r="F204" s="376" t="str">
        <f>_xlfn.XLOOKUP(E204,'All Products'!D:D,'All Products'!E:E,FALSE)</f>
        <v>1/2 THREADED COUPLING FXF WHITE</v>
      </c>
      <c r="G204" s="232">
        <f>_xlfn.XLOOKUP(E204,'All Products'!D:D,'All Products'!F:F,FALSE)</f>
        <v>250</v>
      </c>
      <c r="H204" s="387">
        <f>_xlfn.XLOOKUP(E204,'All Products'!D:D,'All Products'!G:G,FALSE)</f>
        <v>30000</v>
      </c>
      <c r="I204" s="394">
        <f>_xlfn.XLOOKUP(E204,'All Products'!D:D,'All Products'!H:H,FALSE)</f>
        <v>2.0099999999999998</v>
      </c>
      <c r="J204" s="183">
        <f>IFERROR(ROUND(I204*Order_Quote!$L$4,2),0)</f>
        <v>2.0099999999999998</v>
      </c>
      <c r="K204" s="73"/>
      <c r="L204" s="76"/>
      <c r="M204" s="114">
        <f t="shared" si="18"/>
        <v>0</v>
      </c>
      <c r="O204" s="384" t="str">
        <f>_xlfn.XLOOKUP(E204,'All Products'!D:D,'All Products'!I:I,FALSE)</f>
        <v>In Stock</v>
      </c>
      <c r="P204" s="384" t="str">
        <f>_xlfn.XLOOKUP(E204,'All Products'!D:D,'All Products'!J:J,FALSE)</f>
        <v>Manufactured</v>
      </c>
      <c r="Q204" s="397" t="str">
        <f>_xlfn.XLOOKUP(E204,'All Products'!D:D,'All Products'!K:K,FALSE)</f>
        <v>-</v>
      </c>
      <c r="R204" s="397">
        <f>_xlfn.XLOOKUP(E204,'All Products'!D:D,'All Products'!L:L,FALSE)</f>
        <v>49081638238</v>
      </c>
      <c r="S204" s="397">
        <f>_xlfn.XLOOKUP(E204,'All Products'!D:D,'All Products'!M:M,FALSE)</f>
        <v>40049081138231</v>
      </c>
      <c r="T204" s="384">
        <f>_xlfn.XLOOKUP(E204,'All Products'!D:D,'All Products'!N:N,FALSE)</f>
        <v>4.9000000000000002E-2</v>
      </c>
      <c r="U204" s="397">
        <f>_xlfn.XLOOKUP(E204,'All Products'!D:D,'All Products'!O:O,FALSE)</f>
        <v>10</v>
      </c>
      <c r="V204" s="384">
        <f>_xlfn.XLOOKUP(E204,'All Products'!D:D,'All Products'!P:P,FALSE)</f>
        <v>12.9</v>
      </c>
      <c r="W204" s="384">
        <f>_xlfn.XLOOKUP(E204,'All Products'!D:D,'All Products'!Q:Q,FALSE)</f>
        <v>0.65</v>
      </c>
    </row>
    <row r="205" spans="1:23" ht="15" customHeight="1">
      <c r="A205" s="101" t="str">
        <f>IF(K205&gt;0,COUNT($A$7:A204)
+COUNT('DWV PVC'!$A$9:$A$316)
+COUNT('DWV ABS'!$A$8:$A$116)+1,"")</f>
        <v/>
      </c>
      <c r="B205" s="610"/>
      <c r="C205" s="611"/>
      <c r="D205" s="369" t="str">
        <f>_xlfn.XLOOKUP(E205,'All Products'!D:D,'All Products'!C:C,FALSE)</f>
        <v>430-007GY</v>
      </c>
      <c r="E205" s="51">
        <v>100026964</v>
      </c>
      <c r="F205" s="376" t="str">
        <f>_xlfn.XLOOKUP(E205,'All Products'!D:D,'All Products'!E:E,FALSE)</f>
        <v>3/4 THREADED COUPLING FXF GRAY</v>
      </c>
      <c r="G205" s="232">
        <f>_xlfn.XLOOKUP(E205,'All Products'!D:D,'All Products'!F:F,FALSE)</f>
        <v>250</v>
      </c>
      <c r="H205" s="387">
        <f>_xlfn.XLOOKUP(E205,'All Products'!D:D,'All Products'!G:G,FALSE)</f>
        <v>22500</v>
      </c>
      <c r="I205" s="394">
        <f>_xlfn.XLOOKUP(E205,'All Products'!D:D,'All Products'!H:H,FALSE)</f>
        <v>3.73</v>
      </c>
      <c r="J205" s="183">
        <f>IFERROR(ROUND(I205*Order_Quote!$L$4,2),0)</f>
        <v>3.73</v>
      </c>
      <c r="K205" s="73"/>
      <c r="L205" s="76"/>
      <c r="M205" s="114">
        <f t="shared" si="18"/>
        <v>0</v>
      </c>
      <c r="O205" s="384" t="str">
        <f>_xlfn.XLOOKUP(E205,'All Products'!D:D,'All Products'!I:I,FALSE)</f>
        <v>In Stock</v>
      </c>
      <c r="P205" s="384" t="str">
        <f>_xlfn.XLOOKUP(E205,'All Products'!D:D,'All Products'!J:J,FALSE)</f>
        <v>Manufactured</v>
      </c>
      <c r="Q205" s="397">
        <f>_xlfn.XLOOKUP(E205,'All Products'!D:D,'All Products'!K:K,FALSE)</f>
        <v>49081137960</v>
      </c>
      <c r="R205" s="397">
        <f>_xlfn.XLOOKUP(E205,'All Products'!D:D,'All Products'!L:L,FALSE)</f>
        <v>49081637965</v>
      </c>
      <c r="S205" s="397">
        <f>_xlfn.XLOOKUP(E205,'All Products'!D:D,'All Products'!M:M,FALSE)</f>
        <v>40049081137968</v>
      </c>
      <c r="T205" s="384">
        <f>_xlfn.XLOOKUP(E205,'All Products'!D:D,'All Products'!N:N,FALSE)</f>
        <v>4.8000000000000001E-2</v>
      </c>
      <c r="U205" s="397">
        <f>_xlfn.XLOOKUP(E205,'All Products'!D:D,'All Products'!O:O,FALSE)</f>
        <v>10</v>
      </c>
      <c r="V205" s="384">
        <f>_xlfn.XLOOKUP(E205,'All Products'!D:D,'All Products'!P:P,FALSE)</f>
        <v>16</v>
      </c>
      <c r="W205" s="384">
        <f>_xlfn.XLOOKUP(E205,'All Products'!D:D,'All Products'!Q:Q,FALSE)</f>
        <v>0.8</v>
      </c>
    </row>
    <row r="206" spans="1:23" ht="15" customHeight="1">
      <c r="A206" s="101" t="str">
        <f>IF(K206&gt;0,COUNT($A$7:A205)
+COUNT('DWV PVC'!$A$9:$A$316)
+COUNT('DWV ABS'!$A$8:$A$116)+1,"")</f>
        <v/>
      </c>
      <c r="B206" s="610"/>
      <c r="C206" s="611"/>
      <c r="D206" s="369" t="str">
        <f>_xlfn.XLOOKUP(E206,'All Products'!D:D,'All Products'!C:C,FALSE)</f>
        <v>430-007W</v>
      </c>
      <c r="E206" s="51">
        <v>100027408</v>
      </c>
      <c r="F206" s="376" t="str">
        <f>_xlfn.XLOOKUP(E206,'All Products'!D:D,'All Products'!E:E,FALSE)</f>
        <v>3/4 THREADED COUPLING FXF WHITE</v>
      </c>
      <c r="G206" s="232">
        <f>_xlfn.XLOOKUP(E206,'All Products'!D:D,'All Products'!F:F,FALSE)</f>
        <v>250</v>
      </c>
      <c r="H206" s="387">
        <f>_xlfn.XLOOKUP(E206,'All Products'!D:D,'All Products'!G:G,FALSE)</f>
        <v>22500</v>
      </c>
      <c r="I206" s="394">
        <f>_xlfn.XLOOKUP(E206,'All Products'!D:D,'All Products'!H:H,FALSE)</f>
        <v>3.73</v>
      </c>
      <c r="J206" s="183">
        <f>IFERROR(ROUND(I206*Order_Quote!$L$4,2),0)</f>
        <v>3.73</v>
      </c>
      <c r="K206" s="73"/>
      <c r="L206" s="76"/>
      <c r="M206" s="114">
        <f t="shared" si="18"/>
        <v>0</v>
      </c>
      <c r="O206" s="384" t="str">
        <f>_xlfn.XLOOKUP(E206,'All Products'!D:D,'All Products'!I:I,FALSE)</f>
        <v>In Stock</v>
      </c>
      <c r="P206" s="384" t="str">
        <f>_xlfn.XLOOKUP(E206,'All Products'!D:D,'All Products'!J:J,FALSE)</f>
        <v>Manufactured</v>
      </c>
      <c r="Q206" s="397" t="str">
        <f>_xlfn.XLOOKUP(E206,'All Products'!D:D,'All Products'!K:K,FALSE)</f>
        <v>-</v>
      </c>
      <c r="R206" s="397">
        <f>_xlfn.XLOOKUP(E206,'All Products'!D:D,'All Products'!L:L,FALSE)</f>
        <v>49081638252</v>
      </c>
      <c r="S206" s="397">
        <f>_xlfn.XLOOKUP(E206,'All Products'!D:D,'All Products'!M:M,FALSE)</f>
        <v>40049081138255</v>
      </c>
      <c r="T206" s="384">
        <f>_xlfn.XLOOKUP(E206,'All Products'!D:D,'All Products'!N:N,FALSE)</f>
        <v>4.9000000000000002E-2</v>
      </c>
      <c r="U206" s="397">
        <f>_xlfn.XLOOKUP(E206,'All Products'!D:D,'All Products'!O:O,FALSE)</f>
        <v>10</v>
      </c>
      <c r="V206" s="384">
        <f>_xlfn.XLOOKUP(E206,'All Products'!D:D,'All Products'!P:P,FALSE)</f>
        <v>16.04</v>
      </c>
      <c r="W206" s="384">
        <f>_xlfn.XLOOKUP(E206,'All Products'!D:D,'All Products'!Q:Q,FALSE)</f>
        <v>0.8</v>
      </c>
    </row>
    <row r="207" spans="1:23" ht="15" customHeight="1">
      <c r="A207" s="101" t="str">
        <f>IF(K207&gt;0,COUNT($A$7:A206)
+COUNT('DWV PVC'!$A$9:$A$316)
+COUNT('DWV ABS'!$A$8:$A$116)+1,"")</f>
        <v/>
      </c>
      <c r="B207" s="610"/>
      <c r="C207" s="611"/>
      <c r="D207" s="369" t="str">
        <f>_xlfn.XLOOKUP(E207,'All Products'!D:D,'All Products'!C:C,FALSE)</f>
        <v>430-010GY</v>
      </c>
      <c r="E207" s="51">
        <v>100026967</v>
      </c>
      <c r="F207" s="376" t="str">
        <f>_xlfn.XLOOKUP(E207,'All Products'!D:D,'All Products'!E:E,FALSE)</f>
        <v>1 THREADED COUPLING FXF GRAY</v>
      </c>
      <c r="G207" s="232">
        <f>_xlfn.XLOOKUP(E207,'All Products'!D:D,'All Products'!F:F,FALSE)</f>
        <v>100</v>
      </c>
      <c r="H207" s="387">
        <f>_xlfn.XLOOKUP(E207,'All Products'!D:D,'All Products'!G:G,FALSE)</f>
        <v>12000</v>
      </c>
      <c r="I207" s="394">
        <f>_xlfn.XLOOKUP(E207,'All Products'!D:D,'All Products'!H:H,FALSE)</f>
        <v>4.92</v>
      </c>
      <c r="J207" s="183">
        <f>IFERROR(ROUND(I207*Order_Quote!$L$4,2),0)</f>
        <v>4.92</v>
      </c>
      <c r="K207" s="73"/>
      <c r="L207" s="76"/>
      <c r="M207" s="114">
        <f t="shared" si="18"/>
        <v>0</v>
      </c>
      <c r="O207" s="384" t="str">
        <f>_xlfn.XLOOKUP(E207,'All Products'!D:D,'All Products'!I:I,FALSE)</f>
        <v>In Stock</v>
      </c>
      <c r="P207" s="384" t="str">
        <f>_xlfn.XLOOKUP(E207,'All Products'!D:D,'All Products'!J:J,FALSE)</f>
        <v>Manufactured</v>
      </c>
      <c r="Q207" s="397">
        <f>_xlfn.XLOOKUP(E207,'All Products'!D:D,'All Products'!K:K,FALSE)</f>
        <v>49081137984</v>
      </c>
      <c r="R207" s="397">
        <f>_xlfn.XLOOKUP(E207,'All Products'!D:D,'All Products'!L:L,FALSE)</f>
        <v>49081637989</v>
      </c>
      <c r="S207" s="397">
        <f>_xlfn.XLOOKUP(E207,'All Products'!D:D,'All Products'!M:M,FALSE)</f>
        <v>40049081137982</v>
      </c>
      <c r="T207" s="384">
        <f>_xlfn.XLOOKUP(E207,'All Products'!D:D,'All Products'!N:N,FALSE)</f>
        <v>0.106</v>
      </c>
      <c r="U207" s="397">
        <f>_xlfn.XLOOKUP(E207,'All Products'!D:D,'All Products'!O:O,FALSE)</f>
        <v>10</v>
      </c>
      <c r="V207" s="384">
        <f>_xlfn.XLOOKUP(E207,'All Products'!D:D,'All Products'!P:P,FALSE)</f>
        <v>11.44</v>
      </c>
      <c r="W207" s="384">
        <f>_xlfn.XLOOKUP(E207,'All Products'!D:D,'All Products'!Q:Q,FALSE)</f>
        <v>0.65</v>
      </c>
    </row>
    <row r="208" spans="1:23" ht="15" customHeight="1">
      <c r="A208" s="101" t="str">
        <f>IF(K208&gt;0,COUNT($A$7:A207)
+COUNT('DWV PVC'!$A$9:$A$316)
+COUNT('DWV ABS'!$A$8:$A$116)+1,"")</f>
        <v/>
      </c>
      <c r="B208" s="610"/>
      <c r="C208" s="611"/>
      <c r="D208" s="369" t="str">
        <f>_xlfn.XLOOKUP(E208,'All Products'!D:D,'All Products'!C:C,FALSE)</f>
        <v>430-010W</v>
      </c>
      <c r="E208" s="51">
        <v>100027409</v>
      </c>
      <c r="F208" s="376" t="str">
        <f>_xlfn.XLOOKUP(E208,'All Products'!D:D,'All Products'!E:E,FALSE)</f>
        <v>1 THREADED COUPLING FXF WHITE</v>
      </c>
      <c r="G208" s="232">
        <f>_xlfn.XLOOKUP(E208,'All Products'!D:D,'All Products'!F:F,FALSE)</f>
        <v>100</v>
      </c>
      <c r="H208" s="387">
        <f>_xlfn.XLOOKUP(E208,'All Products'!D:D,'All Products'!G:G,FALSE)</f>
        <v>12000</v>
      </c>
      <c r="I208" s="394">
        <f>_xlfn.XLOOKUP(E208,'All Products'!D:D,'All Products'!H:H,FALSE)</f>
        <v>4.92</v>
      </c>
      <c r="J208" s="183">
        <f>IFERROR(ROUND(I208*Order_Quote!$L$4,2),0)</f>
        <v>4.92</v>
      </c>
      <c r="K208" s="73"/>
      <c r="L208" s="76"/>
      <c r="M208" s="114">
        <f t="shared" si="18"/>
        <v>0</v>
      </c>
      <c r="O208" s="384" t="str">
        <f>_xlfn.XLOOKUP(E208,'All Products'!D:D,'All Products'!I:I,FALSE)</f>
        <v>In Stock</v>
      </c>
      <c r="P208" s="384" t="str">
        <f>_xlfn.XLOOKUP(E208,'All Products'!D:D,'All Products'!J:J,FALSE)</f>
        <v>Manufactured</v>
      </c>
      <c r="Q208" s="397" t="str">
        <f>_xlfn.XLOOKUP(E208,'All Products'!D:D,'All Products'!K:K,FALSE)</f>
        <v>-</v>
      </c>
      <c r="R208" s="397" t="str">
        <f>_xlfn.XLOOKUP(E208,'All Products'!D:D,'All Products'!L:L,FALSE)</f>
        <v>-</v>
      </c>
      <c r="S208" s="397">
        <f>_xlfn.XLOOKUP(E208,'All Products'!D:D,'All Products'!M:M,FALSE)</f>
        <v>40049081138279</v>
      </c>
      <c r="T208" s="384">
        <f>_xlfn.XLOOKUP(E208,'All Products'!D:D,'All Products'!N:N,FALSE)</f>
        <v>0.106</v>
      </c>
      <c r="U208" s="397">
        <f>_xlfn.XLOOKUP(E208,'All Products'!D:D,'All Products'!O:O,FALSE)</f>
        <v>10</v>
      </c>
      <c r="V208" s="384">
        <f>_xlfn.XLOOKUP(E208,'All Products'!D:D,'All Products'!P:P,FALSE)</f>
        <v>11.36</v>
      </c>
      <c r="W208" s="384">
        <f>_xlfn.XLOOKUP(E208,'All Products'!D:D,'All Products'!Q:Q,FALSE)</f>
        <v>0.65</v>
      </c>
    </row>
    <row r="209" spans="1:23" ht="15" customHeight="1">
      <c r="A209" s="101" t="str">
        <f>IF(K209&gt;0,COUNT($A$7:A208)
+COUNT('DWV PVC'!$A$9:$A$316)
+COUNT('DWV ABS'!$A$8:$A$116)+1,"")</f>
        <v/>
      </c>
      <c r="B209" s="610"/>
      <c r="C209" s="611"/>
      <c r="D209" s="369" t="str">
        <f>_xlfn.XLOOKUP(E209,'All Products'!D:D,'All Products'!C:C,FALSE)</f>
        <v>430-012GY</v>
      </c>
      <c r="E209" s="51">
        <v>100026970</v>
      </c>
      <c r="F209" s="376" t="str">
        <f>_xlfn.XLOOKUP(E209,'All Products'!D:D,'All Products'!E:E,FALSE)</f>
        <v>1-1/4 THREADED COUPLING FXF GRAY</v>
      </c>
      <c r="G209" s="232">
        <f>_xlfn.XLOOKUP(E209,'All Products'!D:D,'All Products'!F:F,FALSE)</f>
        <v>50</v>
      </c>
      <c r="H209" s="387">
        <f>_xlfn.XLOOKUP(E209,'All Products'!D:D,'All Products'!G:G,FALSE)</f>
        <v>6000</v>
      </c>
      <c r="I209" s="394">
        <f>_xlfn.XLOOKUP(E209,'All Products'!D:D,'All Products'!H:H,FALSE)</f>
        <v>16.47</v>
      </c>
      <c r="J209" s="183">
        <f>IFERROR(ROUND(I209*Order_Quote!$L$4,2),0)</f>
        <v>16.47</v>
      </c>
      <c r="K209" s="73"/>
      <c r="L209" s="76"/>
      <c r="M209" s="114">
        <f t="shared" si="18"/>
        <v>0</v>
      </c>
      <c r="O209" s="384" t="str">
        <f>_xlfn.XLOOKUP(E209,'All Products'!D:D,'All Products'!I:I,FALSE)</f>
        <v>Within 3 Weeks</v>
      </c>
      <c r="P209" s="384" t="str">
        <f>_xlfn.XLOOKUP(E209,'All Products'!D:D,'All Products'!J:J,FALSE)</f>
        <v>Manufactured</v>
      </c>
      <c r="Q209" s="397">
        <f>_xlfn.XLOOKUP(E209,'All Products'!D:D,'All Products'!K:K,FALSE)</f>
        <v>49081138004</v>
      </c>
      <c r="R209" s="397">
        <f>_xlfn.XLOOKUP(E209,'All Products'!D:D,'All Products'!L:L,FALSE)</f>
        <v>49081638009</v>
      </c>
      <c r="S209" s="397">
        <f>_xlfn.XLOOKUP(E209,'All Products'!D:D,'All Products'!M:M,FALSE)</f>
        <v>40049081138002</v>
      </c>
      <c r="T209" s="384">
        <f>_xlfn.XLOOKUP(E209,'All Products'!D:D,'All Products'!N:N,FALSE)</f>
        <v>0.217</v>
      </c>
      <c r="U209" s="397">
        <f>_xlfn.XLOOKUP(E209,'All Products'!D:D,'All Products'!O:O,FALSE)</f>
        <v>5</v>
      </c>
      <c r="V209" s="384">
        <f>_xlfn.XLOOKUP(E209,'All Products'!D:D,'All Products'!P:P,FALSE)</f>
        <v>10.83</v>
      </c>
      <c r="W209" s="384">
        <f>_xlfn.XLOOKUP(E209,'All Products'!D:D,'All Products'!Q:Q,FALSE)</f>
        <v>0.65</v>
      </c>
    </row>
    <row r="210" spans="1:23" ht="15" customHeight="1">
      <c r="A210" s="101" t="str">
        <f>IF(K210&gt;0,COUNT($A$7:A209)
+COUNT('DWV PVC'!$A$9:$A$316)
+COUNT('DWV ABS'!$A$8:$A$116)+1,"")</f>
        <v/>
      </c>
      <c r="B210" s="610"/>
      <c r="C210" s="611"/>
      <c r="D210" s="369" t="str">
        <f>_xlfn.XLOOKUP(E210,'All Products'!D:D,'All Products'!C:C,FALSE)</f>
        <v>430-015GY</v>
      </c>
      <c r="E210" s="51">
        <v>100026972</v>
      </c>
      <c r="F210" s="376" t="str">
        <f>_xlfn.XLOOKUP(E210,'All Products'!D:D,'All Products'!E:E,FALSE)</f>
        <v>1-1/2 THREADED COUPLING FXF GRAY</v>
      </c>
      <c r="G210" s="232">
        <f>_xlfn.XLOOKUP(E210,'All Products'!D:D,'All Products'!F:F,FALSE)</f>
        <v>50</v>
      </c>
      <c r="H210" s="387">
        <f>_xlfn.XLOOKUP(E210,'All Products'!D:D,'All Products'!G:G,FALSE)</f>
        <v>6000</v>
      </c>
      <c r="I210" s="394">
        <f>_xlfn.XLOOKUP(E210,'All Products'!D:D,'All Products'!H:H,FALSE)</f>
        <v>32.43</v>
      </c>
      <c r="J210" s="183">
        <f>IFERROR(ROUND(I210*Order_Quote!$L$4,2),0)</f>
        <v>32.43</v>
      </c>
      <c r="K210" s="73"/>
      <c r="L210" s="76"/>
      <c r="M210" s="114">
        <f t="shared" si="18"/>
        <v>0</v>
      </c>
      <c r="O210" s="384" t="str">
        <f>_xlfn.XLOOKUP(E210,'All Products'!D:D,'All Products'!I:I,FALSE)</f>
        <v>In Stock</v>
      </c>
      <c r="P210" s="384" t="str">
        <f>_xlfn.XLOOKUP(E210,'All Products'!D:D,'All Products'!J:J,FALSE)</f>
        <v>Manufactured</v>
      </c>
      <c r="Q210" s="397">
        <f>_xlfn.XLOOKUP(E210,'All Products'!D:D,'All Products'!K:K,FALSE)</f>
        <v>49081138028</v>
      </c>
      <c r="R210" s="397">
        <f>_xlfn.XLOOKUP(E210,'All Products'!D:D,'All Products'!L:L,FALSE)</f>
        <v>49081638023</v>
      </c>
      <c r="S210" s="397">
        <f>_xlfn.XLOOKUP(E210,'All Products'!D:D,'All Products'!M:M,FALSE)</f>
        <v>40049081138026</v>
      </c>
      <c r="T210" s="384">
        <f>_xlfn.XLOOKUP(E210,'All Products'!D:D,'All Products'!N:N,FALSE)</f>
        <v>0.23400000000000001</v>
      </c>
      <c r="U210" s="397">
        <f>_xlfn.XLOOKUP(E210,'All Products'!D:D,'All Products'!O:O,FALSE)</f>
        <v>5</v>
      </c>
      <c r="V210" s="384">
        <f>_xlfn.XLOOKUP(E210,'All Products'!D:D,'All Products'!P:P,FALSE)</f>
        <v>12.45</v>
      </c>
      <c r="W210" s="384">
        <f>_xlfn.XLOOKUP(E210,'All Products'!D:D,'All Products'!Q:Q,FALSE)</f>
        <v>0.65</v>
      </c>
    </row>
    <row r="211" spans="1:23" ht="15" customHeight="1">
      <c r="A211" s="101" t="str">
        <f>IF(K211&gt;0,COUNT($A$7:A210)
+COUNT('DWV PVC'!$A$9:$A$316)
+COUNT('DWV ABS'!$A$8:$A$116)+1,"")</f>
        <v/>
      </c>
      <c r="B211" s="612"/>
      <c r="C211" s="613"/>
      <c r="D211" s="369" t="str">
        <f>_xlfn.XLOOKUP(E211,'All Products'!D:D,'All Products'!C:C,FALSE)</f>
        <v>430-020GY</v>
      </c>
      <c r="E211" s="51">
        <v>100026974</v>
      </c>
      <c r="F211" s="376" t="str">
        <f>_xlfn.XLOOKUP(E211,'All Products'!D:D,'All Products'!E:E,FALSE)</f>
        <v>2 THREADED COUPLING FXF GRAY</v>
      </c>
      <c r="G211" s="232">
        <f>_xlfn.XLOOKUP(E211,'All Products'!D:D,'All Products'!F:F,FALSE)</f>
        <v>25</v>
      </c>
      <c r="H211" s="387">
        <f>_xlfn.XLOOKUP(E211,'All Products'!D:D,'All Products'!G:G,FALSE)</f>
        <v>3750</v>
      </c>
      <c r="I211" s="394">
        <f>_xlfn.XLOOKUP(E211,'All Products'!D:D,'All Products'!H:H,FALSE)</f>
        <v>38.54</v>
      </c>
      <c r="J211" s="183">
        <f>IFERROR(ROUND(I211*Order_Quote!$L$4,2),0)</f>
        <v>38.54</v>
      </c>
      <c r="K211" s="73"/>
      <c r="L211" s="76"/>
      <c r="M211" s="114">
        <f t="shared" si="18"/>
        <v>0</v>
      </c>
      <c r="O211" s="384" t="str">
        <f>_xlfn.XLOOKUP(E211,'All Products'!D:D,'All Products'!I:I,FALSE)</f>
        <v>In Stock</v>
      </c>
      <c r="P211" s="384" t="str">
        <f>_xlfn.XLOOKUP(E211,'All Products'!D:D,'All Products'!J:J,FALSE)</f>
        <v>Manufactured</v>
      </c>
      <c r="Q211" s="397">
        <f>_xlfn.XLOOKUP(E211,'All Products'!D:D,'All Products'!K:K,FALSE)</f>
        <v>49081138042</v>
      </c>
      <c r="R211" s="397">
        <f>_xlfn.XLOOKUP(E211,'All Products'!D:D,'All Products'!L:L,FALSE)</f>
        <v>49081638047</v>
      </c>
      <c r="S211" s="397">
        <f>_xlfn.XLOOKUP(E211,'All Products'!D:D,'All Products'!M:M,FALSE)</f>
        <v>40049081138040</v>
      </c>
      <c r="T211" s="384">
        <f>_xlfn.XLOOKUP(E211,'All Products'!D:D,'All Products'!N:N,FALSE)</f>
        <v>0.35599999999999998</v>
      </c>
      <c r="U211" s="397">
        <f>_xlfn.XLOOKUP(E211,'All Products'!D:D,'All Products'!O:O,FALSE)</f>
        <v>5</v>
      </c>
      <c r="V211" s="384">
        <f>_xlfn.XLOOKUP(E211,'All Products'!D:D,'All Products'!P:P,FALSE)</f>
        <v>9.02</v>
      </c>
      <c r="W211" s="384">
        <f>_xlfn.XLOOKUP(E211,'All Products'!D:D,'All Products'!Q:Q,FALSE)</f>
        <v>0.5</v>
      </c>
    </row>
    <row r="212" spans="1:23" ht="15" customHeight="1">
      <c r="A212" s="101" t="str">
        <f>IF(K212&gt;0,COUNT($A$7:A211)
+COUNT('DWV PVC'!$A$9:$A$316)
+COUNT('DWV ABS'!$A$8:$A$116)+1,"")</f>
        <v/>
      </c>
      <c r="B212" s="608"/>
      <c r="C212" s="609"/>
      <c r="D212" s="369" t="str">
        <f>_xlfn.XLOOKUP(E212,'All Products'!D:D,'All Products'!C:C,FALSE)</f>
        <v>430-073W</v>
      </c>
      <c r="E212" s="51">
        <v>100022720</v>
      </c>
      <c r="F212" s="376" t="str">
        <f>_xlfn.XLOOKUP(E212,'All Products'!D:D,'All Products'!E:E,FALSE)</f>
        <v>1/2X3/8 RED THREADED COUPLING FXF WHITE</v>
      </c>
      <c r="G212" s="232">
        <f>_xlfn.XLOOKUP(E212,'All Products'!D:D,'All Products'!F:F,FALSE)</f>
        <v>250</v>
      </c>
      <c r="H212" s="387">
        <f>_xlfn.XLOOKUP(E212,'All Products'!D:D,'All Products'!G:G,FALSE)</f>
        <v>22500</v>
      </c>
      <c r="I212" s="394">
        <f>_xlfn.XLOOKUP(E212,'All Products'!D:D,'All Products'!H:H,FALSE)</f>
        <v>3.2</v>
      </c>
      <c r="J212" s="183">
        <f>IFERROR(ROUND(I212*Order_Quote!$L$4,2),0)</f>
        <v>3.2</v>
      </c>
      <c r="K212" s="73"/>
      <c r="L212" s="76"/>
      <c r="M212" s="114">
        <f t="shared" si="18"/>
        <v>0</v>
      </c>
      <c r="O212" s="384" t="str">
        <f>_xlfn.XLOOKUP(E212,'All Products'!D:D,'All Products'!I:I,FALSE)</f>
        <v>Within 3 Weeks</v>
      </c>
      <c r="P212" s="384" t="str">
        <f>_xlfn.XLOOKUP(E212,'All Products'!D:D,'All Products'!J:J,FALSE)</f>
        <v>Manufactured</v>
      </c>
      <c r="Q212" s="397">
        <f>_xlfn.XLOOKUP(E212,'All Products'!D:D,'All Products'!K:K,FALSE)</f>
        <v>49081137939</v>
      </c>
      <c r="R212" s="397">
        <f>_xlfn.XLOOKUP(E212,'All Products'!D:D,'All Products'!L:L,FALSE)</f>
        <v>49081637934</v>
      </c>
      <c r="S212" s="397">
        <f>_xlfn.XLOOKUP(E212,'All Products'!D:D,'All Products'!M:M,FALSE)</f>
        <v>40049081137937</v>
      </c>
      <c r="T212" s="384">
        <f>_xlfn.XLOOKUP(E212,'All Products'!D:D,'All Products'!N:N,FALSE)</f>
        <v>7.8E-2</v>
      </c>
      <c r="U212" s="397">
        <f>_xlfn.XLOOKUP(E212,'All Products'!D:D,'All Products'!O:O,FALSE)</f>
        <v>10</v>
      </c>
      <c r="V212" s="384">
        <f>_xlfn.XLOOKUP(E212,'All Products'!D:D,'All Products'!P:P,FALSE)</f>
        <v>20.96</v>
      </c>
      <c r="W212" s="384">
        <f>_xlfn.XLOOKUP(E212,'All Products'!D:D,'All Products'!Q:Q,FALSE)</f>
        <v>0.8</v>
      </c>
    </row>
    <row r="213" spans="1:23" ht="15" customHeight="1">
      <c r="A213" s="101" t="str">
        <f>IF(K213&gt;0,COUNT($A$7:A212)
+COUNT('DWV PVC'!$A$9:$A$316)
+COUNT('DWV ABS'!$A$8:$A$116)+1,"")</f>
        <v/>
      </c>
      <c r="B213" s="610"/>
      <c r="C213" s="611"/>
      <c r="D213" s="369" t="str">
        <f>_xlfn.XLOOKUP(E213,'All Products'!D:D,'All Products'!C:C,FALSE)</f>
        <v>430-101</v>
      </c>
      <c r="E213" s="51">
        <v>100022722</v>
      </c>
      <c r="F213" s="376" t="str">
        <f>_xlfn.XLOOKUP(E213,'All Products'!D:D,'All Products'!E:E,FALSE)</f>
        <v>3/4X1/2 RED THREADED COUPLING FXF</v>
      </c>
      <c r="G213" s="232">
        <f>_xlfn.XLOOKUP(E213,'All Products'!D:D,'All Products'!F:F,FALSE)</f>
        <v>250</v>
      </c>
      <c r="H213" s="387">
        <f>_xlfn.XLOOKUP(E213,'All Products'!D:D,'All Products'!G:G,FALSE)</f>
        <v>22500</v>
      </c>
      <c r="I213" s="394">
        <f>_xlfn.XLOOKUP(E213,'All Products'!D:D,'All Products'!H:H,FALSE)</f>
        <v>4.83</v>
      </c>
      <c r="J213" s="183">
        <f>IFERROR(ROUND(I213*Order_Quote!$L$4,2),0)</f>
        <v>4.83</v>
      </c>
      <c r="K213" s="73"/>
      <c r="L213" s="76"/>
      <c r="M213" s="114">
        <f t="shared" si="18"/>
        <v>0</v>
      </c>
      <c r="O213" s="384" t="str">
        <f>_xlfn.XLOOKUP(E213,'All Products'!D:D,'All Products'!I:I,FALSE)</f>
        <v>Within 3 Weeks</v>
      </c>
      <c r="P213" s="384" t="str">
        <f>_xlfn.XLOOKUP(E213,'All Products'!D:D,'All Products'!J:J,FALSE)</f>
        <v>Manufactured</v>
      </c>
      <c r="Q213" s="397">
        <f>_xlfn.XLOOKUP(E213,'All Products'!D:D,'All Products'!K:K,FALSE)</f>
        <v>49081138127</v>
      </c>
      <c r="R213" s="397">
        <f>_xlfn.XLOOKUP(E213,'All Products'!D:D,'All Products'!L:L,FALSE)</f>
        <v>49081638122</v>
      </c>
      <c r="S213" s="397">
        <f>_xlfn.XLOOKUP(E213,'All Products'!D:D,'All Products'!M:M,FALSE)</f>
        <v>40049081138125</v>
      </c>
      <c r="T213" s="384">
        <f>_xlfn.XLOOKUP(E213,'All Products'!D:D,'All Products'!N:N,FALSE)</f>
        <v>7.4999999999999997E-2</v>
      </c>
      <c r="U213" s="397">
        <f>_xlfn.XLOOKUP(E213,'All Products'!D:D,'All Products'!O:O,FALSE)</f>
        <v>10</v>
      </c>
      <c r="V213" s="384">
        <f>_xlfn.XLOOKUP(E213,'All Products'!D:D,'All Products'!P:P,FALSE)</f>
        <v>19.64</v>
      </c>
      <c r="W213" s="384">
        <f>_xlfn.XLOOKUP(E213,'All Products'!D:D,'All Products'!Q:Q,FALSE)</f>
        <v>0.8</v>
      </c>
    </row>
    <row r="214" spans="1:23" ht="15" customHeight="1">
      <c r="A214" s="101" t="str">
        <f>IF(K214&gt;0,COUNT($A$7:A213)
+COUNT('DWV PVC'!$A$9:$A$316)
+COUNT('DWV ABS'!$A$8:$A$116)+1,"")</f>
        <v/>
      </c>
      <c r="B214" s="610"/>
      <c r="C214" s="611"/>
      <c r="D214" s="369" t="str">
        <f>_xlfn.XLOOKUP(E214,'All Products'!D:D,'All Products'!C:C,FALSE)</f>
        <v>430-131</v>
      </c>
      <c r="E214" s="51">
        <v>100022724</v>
      </c>
      <c r="F214" s="376" t="str">
        <f>_xlfn.XLOOKUP(E214,'All Products'!D:D,'All Products'!E:E,FALSE)</f>
        <v>1X3/4 RED THREADED COUPLING FXF</v>
      </c>
      <c r="G214" s="232">
        <f>_xlfn.XLOOKUP(E214,'All Products'!D:D,'All Products'!F:F,FALSE)</f>
        <v>100</v>
      </c>
      <c r="H214" s="387">
        <f>_xlfn.XLOOKUP(E214,'All Products'!D:D,'All Products'!G:G,FALSE)</f>
        <v>12000</v>
      </c>
      <c r="I214" s="394">
        <f>_xlfn.XLOOKUP(E214,'All Products'!D:D,'All Products'!H:H,FALSE)</f>
        <v>7.3</v>
      </c>
      <c r="J214" s="183">
        <f>IFERROR(ROUND(I214*Order_Quote!$L$4,2),0)</f>
        <v>7.3</v>
      </c>
      <c r="K214" s="73"/>
      <c r="L214" s="76"/>
      <c r="M214" s="114">
        <f t="shared" ref="M214:M231" si="20">K214/G214</f>
        <v>0</v>
      </c>
      <c r="O214" s="384" t="str">
        <f>_xlfn.XLOOKUP(E214,'All Products'!D:D,'All Products'!I:I,FALSE)</f>
        <v>Within 3 Weeks</v>
      </c>
      <c r="P214" s="384" t="str">
        <f>_xlfn.XLOOKUP(E214,'All Products'!D:D,'All Products'!J:J,FALSE)</f>
        <v>Manufactured</v>
      </c>
      <c r="Q214" s="397">
        <f>_xlfn.XLOOKUP(E214,'All Products'!D:D,'All Products'!K:K,FALSE)</f>
        <v>49081138141</v>
      </c>
      <c r="R214" s="397">
        <f>_xlfn.XLOOKUP(E214,'All Products'!D:D,'All Products'!L:L,FALSE)</f>
        <v>49081638146</v>
      </c>
      <c r="S214" s="397">
        <f>_xlfn.XLOOKUP(E214,'All Products'!D:D,'All Products'!M:M,FALSE)</f>
        <v>40049081138149</v>
      </c>
      <c r="T214" s="384">
        <f>_xlfn.XLOOKUP(E214,'All Products'!D:D,'All Products'!N:N,FALSE)</f>
        <v>0.13100000000000001</v>
      </c>
      <c r="U214" s="397">
        <f>_xlfn.XLOOKUP(E214,'All Products'!D:D,'All Products'!O:O,FALSE)</f>
        <v>10</v>
      </c>
      <c r="V214" s="384">
        <f>_xlfn.XLOOKUP(E214,'All Products'!D:D,'All Products'!P:P,FALSE)</f>
        <v>13.22</v>
      </c>
      <c r="W214" s="384">
        <f>_xlfn.XLOOKUP(E214,'All Products'!D:D,'All Products'!Q:Q,FALSE)</f>
        <v>0.65</v>
      </c>
    </row>
    <row r="215" spans="1:23" ht="15" customHeight="1">
      <c r="B215" s="610"/>
      <c r="C215" s="611"/>
      <c r="D215" s="369" t="str">
        <f>_xlfn.XLOOKUP(E215,'All Products'!D:D,'All Products'!C:C,FALSE)</f>
        <v>430-168</v>
      </c>
      <c r="E215" s="51">
        <v>100022725</v>
      </c>
      <c r="F215" s="376" t="str">
        <f>_xlfn.XLOOKUP(E215,'All Products'!D:D,'All Products'!E:E,FALSE)</f>
        <v>1-1/4 X 1" RED THREADED COUPLING FXF</v>
      </c>
      <c r="G215" s="232">
        <f>_xlfn.XLOOKUP(E215,'All Products'!D:D,'All Products'!F:F,FALSE)</f>
        <v>50</v>
      </c>
      <c r="H215" s="387">
        <f>_xlfn.XLOOKUP(E215,'All Products'!D:D,'All Products'!G:G,FALSE)</f>
        <v>3750</v>
      </c>
      <c r="I215" s="394">
        <f>_xlfn.XLOOKUP(E215,'All Products'!D:D,'All Products'!H:H,FALSE)</f>
        <v>21.22</v>
      </c>
      <c r="J215" s="183">
        <f>IFERROR(ROUND(I215*Order_Quote!$L$4,2),0)</f>
        <v>21.22</v>
      </c>
      <c r="K215" s="73"/>
      <c r="L215" s="76"/>
      <c r="M215" s="114">
        <f t="shared" ref="M215" si="21">K215/G215</f>
        <v>0</v>
      </c>
      <c r="O215" s="384" t="str">
        <f>_xlfn.XLOOKUP(E215,'All Products'!D:D,'All Products'!I:I,FALSE)</f>
        <v>Within 3 Weeks</v>
      </c>
      <c r="P215" s="384" t="str">
        <f>_xlfn.XLOOKUP(E215,'All Products'!D:D,'All Products'!J:J,FALSE)</f>
        <v>Manufactured</v>
      </c>
      <c r="Q215" s="397">
        <f>_xlfn.XLOOKUP(E215,'All Products'!D:D,'All Products'!K:K,FALSE)</f>
        <v>49081138073</v>
      </c>
      <c r="R215" s="397">
        <f>_xlfn.XLOOKUP(E215,'All Products'!D:D,'All Products'!L:L,FALSE)</f>
        <v>49081638078</v>
      </c>
      <c r="S215" s="397">
        <f>_xlfn.XLOOKUP(E215,'All Products'!D:D,'All Products'!M:M,FALSE)</f>
        <v>40049081138071</v>
      </c>
      <c r="T215" s="384">
        <f>_xlfn.XLOOKUP(E215,'All Products'!D:D,'All Products'!N:N,FALSE)</f>
        <v>0.26</v>
      </c>
      <c r="U215" s="397">
        <f>_xlfn.XLOOKUP(E215,'All Products'!D:D,'All Products'!O:O,FALSE)</f>
        <v>10</v>
      </c>
      <c r="V215" s="384">
        <f>_xlfn.XLOOKUP(E215,'All Products'!D:D,'All Products'!P:P,FALSE)</f>
        <v>13</v>
      </c>
      <c r="W215" s="384">
        <f>_xlfn.XLOOKUP(E215,'All Products'!D:D,'All Products'!Q:Q,FALSE)</f>
        <v>0.57999999999999996</v>
      </c>
    </row>
    <row r="216" spans="1:23" ht="15" customHeight="1">
      <c r="A216" s="101" t="str">
        <f>IF(K216&gt;0,COUNT($A$7:A214)
+COUNT('DWV PVC'!$A$9:$A$316)
+COUNT('DWV ABS'!$A$8:$A$116)+1,"")</f>
        <v/>
      </c>
      <c r="B216" s="610"/>
      <c r="C216" s="611"/>
      <c r="D216" s="369" t="str">
        <f>_xlfn.XLOOKUP(E216,'All Products'!D:D,'All Products'!C:C,FALSE)</f>
        <v>430-212</v>
      </c>
      <c r="E216" s="51">
        <v>100022726</v>
      </c>
      <c r="F216" s="376" t="str">
        <f>_xlfn.XLOOKUP(E216,'All Products'!D:D,'All Products'!E:E,FALSE)</f>
        <v>1-1/2X1-1/4 RED THREAD COUPLING FXF</v>
      </c>
      <c r="G216" s="232">
        <f>_xlfn.XLOOKUP(E216,'All Products'!D:D,'All Products'!F:F,FALSE)</f>
        <v>50</v>
      </c>
      <c r="H216" s="387">
        <f>_xlfn.XLOOKUP(E216,'All Products'!D:D,'All Products'!G:G,FALSE)</f>
        <v>6000</v>
      </c>
      <c r="I216" s="394">
        <f>_xlfn.XLOOKUP(E216,'All Products'!D:D,'All Products'!H:H,FALSE)</f>
        <v>42.08</v>
      </c>
      <c r="J216" s="183">
        <f>IFERROR(ROUND(I216*Order_Quote!$L$4,2),0)</f>
        <v>42.08</v>
      </c>
      <c r="K216" s="73"/>
      <c r="L216" s="76"/>
      <c r="M216" s="114">
        <f t="shared" si="20"/>
        <v>0</v>
      </c>
      <c r="O216" s="384" t="str">
        <f>_xlfn.XLOOKUP(E216,'All Products'!D:D,'All Products'!I:I,FALSE)</f>
        <v>In Stock</v>
      </c>
      <c r="P216" s="384" t="str">
        <f>_xlfn.XLOOKUP(E216,'All Products'!D:D,'All Products'!J:J,FALSE)</f>
        <v>Manufactured</v>
      </c>
      <c r="Q216" s="397">
        <f>_xlfn.XLOOKUP(E216,'All Products'!D:D,'All Products'!K:K,FALSE)</f>
        <v>49081138097</v>
      </c>
      <c r="R216" s="397">
        <f>_xlfn.XLOOKUP(E216,'All Products'!D:D,'All Products'!L:L,FALSE)</f>
        <v>49081638092</v>
      </c>
      <c r="S216" s="397">
        <f>_xlfn.XLOOKUP(E216,'All Products'!D:D,'All Products'!M:M,FALSE)</f>
        <v>40049081138095</v>
      </c>
      <c r="T216" s="384">
        <f>_xlfn.XLOOKUP(E216,'All Products'!D:D,'All Products'!N:N,FALSE)</f>
        <v>0.28599999999999998</v>
      </c>
      <c r="U216" s="397">
        <f>_xlfn.XLOOKUP(E216,'All Products'!D:D,'All Products'!O:O,FALSE)</f>
        <v>5</v>
      </c>
      <c r="V216" s="384">
        <f>_xlfn.XLOOKUP(E216,'All Products'!D:D,'All Products'!P:P,FALSE)</f>
        <v>14.12</v>
      </c>
      <c r="W216" s="384">
        <f>_xlfn.XLOOKUP(E216,'All Products'!D:D,'All Products'!Q:Q,FALSE)</f>
        <v>0.65</v>
      </c>
    </row>
    <row r="217" spans="1:23" ht="15" customHeight="1">
      <c r="A217" s="101" t="str">
        <f>IF(K217&gt;0,COUNT($A$7:A216)
+COUNT('DWV PVC'!$A$9:$A$316)
+COUNT('DWV ABS'!$A$8:$A$116)+1,"")</f>
        <v/>
      </c>
      <c r="B217" s="612"/>
      <c r="C217" s="613"/>
      <c r="D217" s="369" t="str">
        <f>_xlfn.XLOOKUP(E217,'All Products'!D:D,'All Products'!C:C,FALSE)</f>
        <v>430-251</v>
      </c>
      <c r="E217" s="51">
        <v>100022727</v>
      </c>
      <c r="F217" s="376" t="str">
        <f>_xlfn.XLOOKUP(E217,'All Products'!D:D,'All Products'!E:E,FALSE)</f>
        <v>2X1-1/2 RED THREADED COUPLING FXF</v>
      </c>
      <c r="G217" s="232">
        <f>_xlfn.XLOOKUP(E217,'All Products'!D:D,'All Products'!F:F,FALSE)</f>
        <v>50</v>
      </c>
      <c r="H217" s="387">
        <f>_xlfn.XLOOKUP(E217,'All Products'!D:D,'All Products'!G:G,FALSE)</f>
        <v>3750</v>
      </c>
      <c r="I217" s="394">
        <f>_xlfn.XLOOKUP(E217,'All Products'!D:D,'All Products'!H:H,FALSE)</f>
        <v>50.06</v>
      </c>
      <c r="J217" s="183">
        <f>IFERROR(ROUND(I217*Order_Quote!$L$4,2),0)</f>
        <v>50.06</v>
      </c>
      <c r="K217" s="73"/>
      <c r="L217" s="76"/>
      <c r="M217" s="114">
        <f t="shared" si="20"/>
        <v>0</v>
      </c>
      <c r="O217" s="384" t="str">
        <f>_xlfn.XLOOKUP(E217,'All Products'!D:D,'All Products'!I:I,FALSE)</f>
        <v>In Stock</v>
      </c>
      <c r="P217" s="384" t="str">
        <f>_xlfn.XLOOKUP(E217,'All Products'!D:D,'All Products'!J:J,FALSE)</f>
        <v>Manufactured</v>
      </c>
      <c r="Q217" s="397">
        <f>_xlfn.XLOOKUP(E217,'All Products'!D:D,'All Products'!K:K,FALSE)</f>
        <v>49081138110</v>
      </c>
      <c r="R217" s="397">
        <f>_xlfn.XLOOKUP(E217,'All Products'!D:D,'All Products'!L:L,FALSE)</f>
        <v>49081638115</v>
      </c>
      <c r="S217" s="397">
        <f>_xlfn.XLOOKUP(E217,'All Products'!D:D,'All Products'!M:M,FALSE)</f>
        <v>40049081138118</v>
      </c>
      <c r="T217" s="384">
        <f>_xlfn.XLOOKUP(E217,'All Products'!D:D,'All Products'!N:N,FALSE)</f>
        <v>0.43099999999999999</v>
      </c>
      <c r="U217" s="397">
        <f>_xlfn.XLOOKUP(E217,'All Products'!D:D,'All Products'!O:O,FALSE)</f>
        <v>5</v>
      </c>
      <c r="V217" s="384">
        <f>_xlfn.XLOOKUP(E217,'All Products'!D:D,'All Products'!P:P,FALSE)</f>
        <v>21.57</v>
      </c>
      <c r="W217" s="384">
        <f>_xlfn.XLOOKUP(E217,'All Products'!D:D,'All Products'!Q:Q,FALSE)</f>
        <v>0.95</v>
      </c>
    </row>
    <row r="218" spans="1:23" ht="15" customHeight="1">
      <c r="A218" s="101" t="str">
        <f>IF(K218&gt;0,COUNT($A$7:A217)
+COUNT('DWV PVC'!$A$9:$A$316)
+COUNT('DWV ABS'!$A$8:$A$116)+1,"")</f>
        <v/>
      </c>
      <c r="B218" s="608"/>
      <c r="C218" s="609"/>
      <c r="D218" s="369" t="str">
        <f>_xlfn.XLOOKUP(E218,'All Products'!D:D,'All Products'!C:C,FALSE)</f>
        <v>433-007</v>
      </c>
      <c r="E218" s="51">
        <v>100022736</v>
      </c>
      <c r="F218" s="376" t="str">
        <f>_xlfn.XLOOKUP(E218,'All Products'!D:D,'All Products'!E:E,FALSE)</f>
        <v>3/4 MALE FITTING ADAPTER SPGX MIPT</v>
      </c>
      <c r="G218" s="232">
        <f>_xlfn.XLOOKUP(E218,'All Products'!D:D,'All Products'!F:F,FALSE)</f>
        <v>250</v>
      </c>
      <c r="H218" s="387">
        <f>_xlfn.XLOOKUP(E218,'All Products'!D:D,'All Products'!G:G,FALSE)</f>
        <v>30000</v>
      </c>
      <c r="I218" s="394">
        <f>_xlfn.XLOOKUP(E218,'All Products'!D:D,'All Products'!H:H,FALSE)</f>
        <v>2.85</v>
      </c>
      <c r="J218" s="183">
        <f>IFERROR(ROUND(I218*Order_Quote!$L$4,2),0)</f>
        <v>2.85</v>
      </c>
      <c r="K218" s="73"/>
      <c r="L218" s="76"/>
      <c r="M218" s="114">
        <f t="shared" si="20"/>
        <v>0</v>
      </c>
      <c r="O218" s="384" t="str">
        <f>_xlfn.XLOOKUP(E218,'All Products'!D:D,'All Products'!I:I,FALSE)</f>
        <v>In Stock</v>
      </c>
      <c r="P218" s="384" t="str">
        <f>_xlfn.XLOOKUP(E218,'All Products'!D:D,'All Products'!J:J,FALSE)</f>
        <v>Manufactured</v>
      </c>
      <c r="Q218" s="397">
        <f>_xlfn.XLOOKUP(E218,'All Products'!D:D,'All Products'!K:K,FALSE)</f>
        <v>49081132439</v>
      </c>
      <c r="R218" s="397">
        <f>_xlfn.XLOOKUP(E218,'All Products'!D:D,'All Products'!L:L,FALSE)</f>
        <v>49081632434</v>
      </c>
      <c r="S218" s="397">
        <f>_xlfn.XLOOKUP(E218,'All Products'!D:D,'All Products'!M:M,FALSE)</f>
        <v>40049081132437</v>
      </c>
      <c r="T218" s="384">
        <f>_xlfn.XLOOKUP(E218,'All Products'!D:D,'All Products'!N:N,FALSE)</f>
        <v>4.5999999999999999E-2</v>
      </c>
      <c r="U218" s="397">
        <f>_xlfn.XLOOKUP(E218,'All Products'!D:D,'All Products'!O:O,FALSE)</f>
        <v>10</v>
      </c>
      <c r="V218" s="384">
        <f>_xlfn.XLOOKUP(E218,'All Products'!D:D,'All Products'!P:P,FALSE)</f>
        <v>17.399999999999999</v>
      </c>
      <c r="W218" s="384">
        <f>_xlfn.XLOOKUP(E218,'All Products'!D:D,'All Products'!Q:Q,FALSE)</f>
        <v>0.65</v>
      </c>
    </row>
    <row r="219" spans="1:23" ht="15" customHeight="1">
      <c r="A219" s="101" t="str">
        <f>IF(K219&gt;0,COUNT($A$7:A218)
+COUNT('DWV PVC'!$A$9:$A$316)
+COUNT('DWV ABS'!$A$8:$A$116)+1,"")</f>
        <v/>
      </c>
      <c r="B219" s="610"/>
      <c r="C219" s="611"/>
      <c r="D219" s="369" t="str">
        <f>_xlfn.XLOOKUP(E219,'All Products'!D:D,'All Products'!C:C,FALSE)</f>
        <v>433-010</v>
      </c>
      <c r="E219" s="51">
        <v>100022738</v>
      </c>
      <c r="F219" s="376" t="str">
        <f>_xlfn.XLOOKUP(E219,'All Products'!D:D,'All Products'!E:E,FALSE)</f>
        <v>1 MALE FITTING ADAPTER SPGX MIPT</v>
      </c>
      <c r="G219" s="232">
        <f>_xlfn.XLOOKUP(E219,'All Products'!D:D,'All Products'!F:F,FALSE)</f>
        <v>100</v>
      </c>
      <c r="H219" s="387">
        <f>_xlfn.XLOOKUP(E219,'All Products'!D:D,'All Products'!G:G,FALSE)</f>
        <v>15000</v>
      </c>
      <c r="I219" s="394">
        <f>_xlfn.XLOOKUP(E219,'All Products'!D:D,'All Products'!H:H,FALSE)</f>
        <v>4.96</v>
      </c>
      <c r="J219" s="183">
        <f>IFERROR(ROUND(I219*Order_Quote!$L$4,2),0)</f>
        <v>4.96</v>
      </c>
      <c r="K219" s="73"/>
      <c r="L219" s="76"/>
      <c r="M219" s="114">
        <f t="shared" si="20"/>
        <v>0</v>
      </c>
      <c r="O219" s="384" t="str">
        <f>_xlfn.XLOOKUP(E219,'All Products'!D:D,'All Products'!I:I,FALSE)</f>
        <v>Within 3 Weeks</v>
      </c>
      <c r="P219" s="384" t="str">
        <f>_xlfn.XLOOKUP(E219,'All Products'!D:D,'All Products'!J:J,FALSE)</f>
        <v>Manufactured</v>
      </c>
      <c r="Q219" s="397">
        <f>_xlfn.XLOOKUP(E219,'All Products'!D:D,'All Products'!K:K,FALSE)</f>
        <v>49081132446</v>
      </c>
      <c r="R219" s="397">
        <f>_xlfn.XLOOKUP(E219,'All Products'!D:D,'All Products'!L:L,FALSE)</f>
        <v>49081632441</v>
      </c>
      <c r="S219" s="397">
        <f>_xlfn.XLOOKUP(E219,'All Products'!D:D,'All Products'!M:M,FALSE)</f>
        <v>40049081132444</v>
      </c>
      <c r="T219" s="384">
        <f>_xlfn.XLOOKUP(E219,'All Products'!D:D,'All Products'!N:N,FALSE)</f>
        <v>7.1999999999999995E-2</v>
      </c>
      <c r="U219" s="397">
        <f>_xlfn.XLOOKUP(E219,'All Products'!D:D,'All Products'!O:O,FALSE)</f>
        <v>10</v>
      </c>
      <c r="V219" s="384">
        <f>_xlfn.XLOOKUP(E219,'All Products'!D:D,'All Products'!P:P,FALSE)</f>
        <v>7.83</v>
      </c>
      <c r="W219" s="384">
        <f>_xlfn.XLOOKUP(E219,'All Products'!D:D,'All Products'!Q:Q,FALSE)</f>
        <v>0.5</v>
      </c>
    </row>
    <row r="220" spans="1:23" ht="15" customHeight="1">
      <c r="B220" s="610"/>
      <c r="C220" s="611"/>
      <c r="D220" s="369" t="str">
        <f>_xlfn.XLOOKUP(E220,'All Products'!D:D,'All Products'!C:C,FALSE)</f>
        <v>433-012</v>
      </c>
      <c r="E220" s="51">
        <v>100022739</v>
      </c>
      <c r="F220" s="376" t="str">
        <f>_xlfn.XLOOKUP(E220,'All Products'!D:D,'All Products'!E:E,FALSE)</f>
        <v>1-1/4" MALE FITTING ADAPTER SPGX MIPT</v>
      </c>
      <c r="G220" s="232">
        <f>_xlfn.XLOOKUP(E220,'All Products'!D:D,'All Products'!F:F,FALSE)</f>
        <v>50</v>
      </c>
      <c r="H220" s="387">
        <f>_xlfn.XLOOKUP(E220,'All Products'!D:D,'All Products'!G:G,FALSE)</f>
        <v>4500</v>
      </c>
      <c r="I220" s="394">
        <f>_xlfn.XLOOKUP(E220,'All Products'!D:D,'All Products'!H:H,FALSE)</f>
        <v>5.82</v>
      </c>
      <c r="J220" s="183">
        <f>IFERROR(ROUND(I220*Order_Quote!$L$4,2),0)</f>
        <v>5.82</v>
      </c>
      <c r="K220" s="73"/>
      <c r="L220" s="76"/>
      <c r="M220" s="114">
        <f t="shared" ref="M220" si="22">K220/G220</f>
        <v>0</v>
      </c>
      <c r="O220" s="384" t="str">
        <f>_xlfn.XLOOKUP(E220,'All Products'!D:D,'All Products'!I:I,FALSE)</f>
        <v>Within 3 Weeks</v>
      </c>
      <c r="P220" s="384" t="str">
        <f>_xlfn.XLOOKUP(E220,'All Products'!D:D,'All Products'!J:J,FALSE)</f>
        <v>Manufactured</v>
      </c>
      <c r="Q220" s="397">
        <f>_xlfn.XLOOKUP(E220,'All Products'!D:D,'All Products'!K:K,FALSE)</f>
        <v>49081132453</v>
      </c>
      <c r="R220" s="397">
        <f>_xlfn.XLOOKUP(E220,'All Products'!D:D,'All Products'!L:L,FALSE)</f>
        <v>49081632458</v>
      </c>
      <c r="S220" s="397">
        <f>_xlfn.XLOOKUP(E220,'All Products'!D:D,'All Products'!M:M,FALSE)</f>
        <v>40049081132451</v>
      </c>
      <c r="T220" s="384">
        <f>_xlfn.XLOOKUP(E220,'All Products'!D:D,'All Products'!N:N,FALSE)</f>
        <v>0.12</v>
      </c>
      <c r="U220" s="397">
        <f>_xlfn.XLOOKUP(E220,'All Products'!D:D,'All Products'!O:O,FALSE)</f>
        <v>5</v>
      </c>
      <c r="V220" s="384">
        <f>_xlfn.XLOOKUP(E220,'All Products'!D:D,'All Products'!P:P,FALSE)</f>
        <v>6.05</v>
      </c>
      <c r="W220" s="384">
        <f>_xlfn.XLOOKUP(E220,'All Products'!D:D,'All Products'!Q:Q,FALSE)</f>
        <v>0.43</v>
      </c>
    </row>
    <row r="221" spans="1:23" ht="15" customHeight="1">
      <c r="A221" s="101" t="str">
        <f>IF(K221&gt;0,COUNT($A$7:A219)
+COUNT('DWV PVC'!$A$9:$A$316)
+COUNT('DWV ABS'!$A$8:$A$116)+1,"")</f>
        <v/>
      </c>
      <c r="B221" s="610"/>
      <c r="C221" s="611"/>
      <c r="D221" s="369" t="str">
        <f>_xlfn.XLOOKUP(E221,'All Products'!D:D,'All Products'!C:C,FALSE)</f>
        <v>433-015</v>
      </c>
      <c r="E221" s="51">
        <v>100022741</v>
      </c>
      <c r="F221" s="376" t="str">
        <f>_xlfn.XLOOKUP(E221,'All Products'!D:D,'All Products'!E:E,FALSE)</f>
        <v>1-1/2 MALE FITTING ADAPTER SPGXMIPT</v>
      </c>
      <c r="G221" s="232">
        <f>_xlfn.XLOOKUP(E221,'All Products'!D:D,'All Products'!F:F,FALSE)</f>
        <v>50</v>
      </c>
      <c r="H221" s="387">
        <f>_xlfn.XLOOKUP(E221,'All Products'!D:D,'All Products'!G:G,FALSE)</f>
        <v>7500</v>
      </c>
      <c r="I221" s="394">
        <f>_xlfn.XLOOKUP(E221,'All Products'!D:D,'All Products'!H:H,FALSE)</f>
        <v>8.14</v>
      </c>
      <c r="J221" s="183">
        <f>IFERROR(ROUND(I221*Order_Quote!$L$4,2),0)</f>
        <v>8.14</v>
      </c>
      <c r="K221" s="73"/>
      <c r="L221" s="76"/>
      <c r="M221" s="114">
        <f t="shared" si="20"/>
        <v>0</v>
      </c>
      <c r="O221" s="384" t="str">
        <f>_xlfn.XLOOKUP(E221,'All Products'!D:D,'All Products'!I:I,FALSE)</f>
        <v>In Stock</v>
      </c>
      <c r="P221" s="384" t="str">
        <f>_xlfn.XLOOKUP(E221,'All Products'!D:D,'All Products'!J:J,FALSE)</f>
        <v>Manufactured</v>
      </c>
      <c r="Q221" s="397">
        <f>_xlfn.XLOOKUP(E221,'All Products'!D:D,'All Products'!K:K,FALSE)</f>
        <v>49081132460</v>
      </c>
      <c r="R221" s="397">
        <f>_xlfn.XLOOKUP(E221,'All Products'!D:D,'All Products'!L:L,FALSE)</f>
        <v>49081632465</v>
      </c>
      <c r="S221" s="397">
        <f>_xlfn.XLOOKUP(E221,'All Products'!D:D,'All Products'!M:M,FALSE)</f>
        <v>40049081132468</v>
      </c>
      <c r="T221" s="384">
        <f>_xlfn.XLOOKUP(E221,'All Products'!D:D,'All Products'!N:N,FALSE)</f>
        <v>0.152</v>
      </c>
      <c r="U221" s="397">
        <f>_xlfn.XLOOKUP(E221,'All Products'!D:D,'All Products'!O:O,FALSE)</f>
        <v>10</v>
      </c>
      <c r="V221" s="384">
        <f>_xlfn.XLOOKUP(E221,'All Products'!D:D,'All Products'!P:P,FALSE)</f>
        <v>7.6</v>
      </c>
      <c r="W221" s="384">
        <f>_xlfn.XLOOKUP(E221,'All Products'!D:D,'All Products'!Q:Q,FALSE)</f>
        <v>0.5</v>
      </c>
    </row>
    <row r="222" spans="1:23" ht="15" customHeight="1">
      <c r="A222" s="101" t="str">
        <f>IF(K222&gt;0,COUNT($A$7:A221)
+COUNT('DWV PVC'!$A$9:$A$316)
+COUNT('DWV ABS'!$A$8:$A$116)+1,"")</f>
        <v/>
      </c>
      <c r="B222" s="612"/>
      <c r="C222" s="613"/>
      <c r="D222" s="369" t="str">
        <f>_xlfn.XLOOKUP(E222,'All Products'!D:D,'All Products'!C:C,FALSE)</f>
        <v>433-020</v>
      </c>
      <c r="E222" s="51">
        <v>100022743</v>
      </c>
      <c r="F222" s="376" t="str">
        <f>_xlfn.XLOOKUP(E222,'All Products'!D:D,'All Products'!E:E,FALSE)</f>
        <v>2 MALE FITTING ADAPTER SPGX MIPT</v>
      </c>
      <c r="G222" s="232">
        <f>_xlfn.XLOOKUP(E222,'All Products'!D:D,'All Products'!F:F,FALSE)</f>
        <v>25</v>
      </c>
      <c r="H222" s="387">
        <f>_xlfn.XLOOKUP(E222,'All Products'!D:D,'All Products'!G:G,FALSE)</f>
        <v>3000</v>
      </c>
      <c r="I222" s="394">
        <f>_xlfn.XLOOKUP(E222,'All Products'!D:D,'All Products'!H:H,FALSE)</f>
        <v>10.07</v>
      </c>
      <c r="J222" s="183">
        <f>IFERROR(ROUND(I222*Order_Quote!$L$4,2),0)</f>
        <v>10.07</v>
      </c>
      <c r="K222" s="73"/>
      <c r="L222" s="76"/>
      <c r="M222" s="114">
        <f t="shared" si="20"/>
        <v>0</v>
      </c>
      <c r="O222" s="384" t="str">
        <f>_xlfn.XLOOKUP(E222,'All Products'!D:D,'All Products'!I:I,FALSE)</f>
        <v>In Stock</v>
      </c>
      <c r="P222" s="384" t="str">
        <f>_xlfn.XLOOKUP(E222,'All Products'!D:D,'All Products'!J:J,FALSE)</f>
        <v>Manufactured</v>
      </c>
      <c r="Q222" s="397">
        <f>_xlfn.XLOOKUP(E222,'All Products'!D:D,'All Products'!K:K,FALSE)</f>
        <v>49081132477</v>
      </c>
      <c r="R222" s="397">
        <f>_xlfn.XLOOKUP(E222,'All Products'!D:D,'All Products'!L:L,FALSE)</f>
        <v>49081632472</v>
      </c>
      <c r="S222" s="397">
        <f>_xlfn.XLOOKUP(E222,'All Products'!D:D,'All Products'!M:M,FALSE)</f>
        <v>40049081132475</v>
      </c>
      <c r="T222" s="384">
        <f>_xlfn.XLOOKUP(E222,'All Products'!D:D,'All Products'!N:N,FALSE)</f>
        <v>0.27300000000000002</v>
      </c>
      <c r="U222" s="397">
        <f>_xlfn.XLOOKUP(E222,'All Products'!D:D,'All Products'!O:O,FALSE)</f>
        <v>5</v>
      </c>
      <c r="V222" s="384">
        <f>_xlfn.XLOOKUP(E222,'All Products'!D:D,'All Products'!P:P,FALSE)</f>
        <v>7.38</v>
      </c>
      <c r="W222" s="384">
        <f>_xlfn.XLOOKUP(E222,'All Products'!D:D,'All Products'!Q:Q,FALSE)</f>
        <v>0.65</v>
      </c>
    </row>
    <row r="223" spans="1:23" ht="15" customHeight="1">
      <c r="A223" s="101" t="str">
        <f>IF(K223&gt;0,COUNT($A$7:A222)
+COUNT('DWV PVC'!$A$9:$A$316)
+COUNT('DWV ABS'!$A$8:$A$116)+1,"")</f>
        <v/>
      </c>
      <c r="B223" s="610"/>
      <c r="C223" s="611"/>
      <c r="D223" s="369" t="str">
        <f>_xlfn.XLOOKUP(E223,'All Products'!D:D,'All Products'!C:C,FALSE)</f>
        <v>435-005</v>
      </c>
      <c r="E223" s="51">
        <v>100022747</v>
      </c>
      <c r="F223" s="376" t="str">
        <f>_xlfn.XLOOKUP(E223,'All Products'!D:D,'All Products'!E:E,FALSE)</f>
        <v>1/2 FEMALE ADAPTER SLIP X FIPT</v>
      </c>
      <c r="G223" s="232">
        <f>_xlfn.XLOOKUP(E223,'All Products'!D:D,'All Products'!F:F,FALSE)</f>
        <v>250</v>
      </c>
      <c r="H223" s="387">
        <f>_xlfn.XLOOKUP(E223,'All Products'!D:D,'All Products'!G:G,FALSE)</f>
        <v>30000</v>
      </c>
      <c r="I223" s="394">
        <f>_xlfn.XLOOKUP(E223,'All Products'!D:D,'All Products'!H:H,FALSE)</f>
        <v>1.78</v>
      </c>
      <c r="J223" s="183">
        <f>IFERROR(ROUND(I223*Order_Quote!$L$4,2),0)</f>
        <v>1.78</v>
      </c>
      <c r="K223" s="73"/>
      <c r="L223" s="76"/>
      <c r="M223" s="114">
        <f t="shared" si="20"/>
        <v>0</v>
      </c>
      <c r="O223" s="384" t="str">
        <f>_xlfn.XLOOKUP(E223,'All Products'!D:D,'All Products'!I:I,FALSE)</f>
        <v>In Stock</v>
      </c>
      <c r="P223" s="384" t="str">
        <f>_xlfn.XLOOKUP(E223,'All Products'!D:D,'All Products'!J:J,FALSE)</f>
        <v>Manufactured</v>
      </c>
      <c r="Q223" s="397">
        <f>_xlfn.XLOOKUP(E223,'All Products'!D:D,'All Products'!K:K,FALSE)</f>
        <v>49081130381</v>
      </c>
      <c r="R223" s="397">
        <f>_xlfn.XLOOKUP(E223,'All Products'!D:D,'All Products'!L:L,FALSE)</f>
        <v>49081630386</v>
      </c>
      <c r="S223" s="397">
        <f>_xlfn.XLOOKUP(E223,'All Products'!D:D,'All Products'!M:M,FALSE)</f>
        <v>40049081130389</v>
      </c>
      <c r="T223" s="384">
        <f>_xlfn.XLOOKUP(E223,'All Products'!D:D,'All Products'!N:N,FALSE)</f>
        <v>3.5999999999999997E-2</v>
      </c>
      <c r="U223" s="397">
        <f>_xlfn.XLOOKUP(E223,'All Products'!D:D,'All Products'!O:O,FALSE)</f>
        <v>10</v>
      </c>
      <c r="V223" s="384">
        <f>_xlfn.XLOOKUP(E223,'All Products'!D:D,'All Products'!P:P,FALSE)</f>
        <v>10.07</v>
      </c>
      <c r="W223" s="384">
        <f>_xlfn.XLOOKUP(E223,'All Products'!D:D,'All Products'!Q:Q,FALSE)</f>
        <v>0.65</v>
      </c>
    </row>
    <row r="224" spans="1:23" ht="15" customHeight="1">
      <c r="A224" s="101" t="str">
        <f>IF(K224&gt;0,COUNT($A$7:A223)
+COUNT('DWV PVC'!$A$9:$A$316)
+COUNT('DWV ABS'!$A$8:$A$116)+1,"")</f>
        <v/>
      </c>
      <c r="B224" s="610"/>
      <c r="C224" s="611"/>
      <c r="D224" s="369" t="str">
        <f>_xlfn.XLOOKUP(E224,'All Products'!D:D,'All Products'!C:C,FALSE)</f>
        <v>435-007</v>
      </c>
      <c r="E224" s="51">
        <v>100022749</v>
      </c>
      <c r="F224" s="376" t="str">
        <f>_xlfn.XLOOKUP(E224,'All Products'!D:D,'All Products'!E:E,FALSE)</f>
        <v>3/4 FEMALE ADAPTER SLIP X FIPT</v>
      </c>
      <c r="G224" s="232">
        <f>_xlfn.XLOOKUP(E224,'All Products'!D:D,'All Products'!F:F,FALSE)</f>
        <v>250</v>
      </c>
      <c r="H224" s="387">
        <f>_xlfn.XLOOKUP(E224,'All Products'!D:D,'All Products'!G:G,FALSE)</f>
        <v>22500</v>
      </c>
      <c r="I224" s="394">
        <f>_xlfn.XLOOKUP(E224,'All Products'!D:D,'All Products'!H:H,FALSE)</f>
        <v>2.29</v>
      </c>
      <c r="J224" s="183">
        <f>IFERROR(ROUND(I224*Order_Quote!$L$4,2),0)</f>
        <v>2.29</v>
      </c>
      <c r="K224" s="73"/>
      <c r="L224" s="76"/>
      <c r="M224" s="114">
        <f t="shared" si="20"/>
        <v>0</v>
      </c>
      <c r="O224" s="384" t="str">
        <f>_xlfn.XLOOKUP(E224,'All Products'!D:D,'All Products'!I:I,FALSE)</f>
        <v>In Stock</v>
      </c>
      <c r="P224" s="384" t="str">
        <f>_xlfn.XLOOKUP(E224,'All Products'!D:D,'All Products'!J:J,FALSE)</f>
        <v>Manufactured</v>
      </c>
      <c r="Q224" s="397">
        <f>_xlfn.XLOOKUP(E224,'All Products'!D:D,'All Products'!K:K,FALSE)</f>
        <v>49081130466</v>
      </c>
      <c r="R224" s="397">
        <f>_xlfn.XLOOKUP(E224,'All Products'!D:D,'All Products'!L:L,FALSE)</f>
        <v>49081630461</v>
      </c>
      <c r="S224" s="397">
        <f>_xlfn.XLOOKUP(E224,'All Products'!D:D,'All Products'!M:M,FALSE)</f>
        <v>40049081130464</v>
      </c>
      <c r="T224" s="384">
        <f>_xlfn.XLOOKUP(E224,'All Products'!D:D,'All Products'!N:N,FALSE)</f>
        <v>5.1999999999999998E-2</v>
      </c>
      <c r="U224" s="397">
        <f>_xlfn.XLOOKUP(E224,'All Products'!D:D,'All Products'!O:O,FALSE)</f>
        <v>10</v>
      </c>
      <c r="V224" s="384">
        <f>_xlfn.XLOOKUP(E224,'All Products'!D:D,'All Products'!P:P,FALSE)</f>
        <v>14.32</v>
      </c>
      <c r="W224" s="384">
        <f>_xlfn.XLOOKUP(E224,'All Products'!D:D,'All Products'!Q:Q,FALSE)</f>
        <v>0.8</v>
      </c>
    </row>
    <row r="225" spans="1:23" ht="15" customHeight="1">
      <c r="A225" s="101" t="str">
        <f>IF(K225&gt;0,COUNT($A$7:A224)
+COUNT('DWV PVC'!$A$9:$A$316)
+COUNT('DWV ABS'!$A$8:$A$116)+1,"")</f>
        <v/>
      </c>
      <c r="B225" s="610"/>
      <c r="C225" s="611"/>
      <c r="D225" s="369" t="str">
        <f>_xlfn.XLOOKUP(E225,'All Products'!D:D,'All Products'!C:C,FALSE)</f>
        <v>435-010</v>
      </c>
      <c r="E225" s="51">
        <v>100022751</v>
      </c>
      <c r="F225" s="376" t="str">
        <f>_xlfn.XLOOKUP(E225,'All Products'!D:D,'All Products'!E:E,FALSE)</f>
        <v>1 FEMALE ADAPTER SLIP X FIPT</v>
      </c>
      <c r="G225" s="232">
        <f>_xlfn.XLOOKUP(E225,'All Products'!D:D,'All Products'!F:F,FALSE)</f>
        <v>100</v>
      </c>
      <c r="H225" s="387">
        <f>_xlfn.XLOOKUP(E225,'All Products'!D:D,'All Products'!G:G,FALSE)</f>
        <v>12000</v>
      </c>
      <c r="I225" s="394">
        <f>_xlfn.XLOOKUP(E225,'All Products'!D:D,'All Products'!H:H,FALSE)</f>
        <v>2.65</v>
      </c>
      <c r="J225" s="183">
        <f>IFERROR(ROUND(I225*Order_Quote!$L$4,2),0)</f>
        <v>2.65</v>
      </c>
      <c r="K225" s="73"/>
      <c r="L225" s="76"/>
      <c r="M225" s="114">
        <f t="shared" si="20"/>
        <v>0</v>
      </c>
      <c r="O225" s="384" t="str">
        <f>_xlfn.XLOOKUP(E225,'All Products'!D:D,'All Products'!I:I,FALSE)</f>
        <v>In Stock</v>
      </c>
      <c r="P225" s="384" t="str">
        <f>_xlfn.XLOOKUP(E225,'All Products'!D:D,'All Products'!J:J,FALSE)</f>
        <v>Manufactured</v>
      </c>
      <c r="Q225" s="397">
        <f>_xlfn.XLOOKUP(E225,'All Products'!D:D,'All Products'!K:K,FALSE)</f>
        <v>49081130527</v>
      </c>
      <c r="R225" s="397">
        <f>_xlfn.XLOOKUP(E225,'All Products'!D:D,'All Products'!L:L,FALSE)</f>
        <v>49081630522</v>
      </c>
      <c r="S225" s="397">
        <f>_xlfn.XLOOKUP(E225,'All Products'!D:D,'All Products'!M:M,FALSE)</f>
        <v>40049081130525</v>
      </c>
      <c r="T225" s="384">
        <f>_xlfn.XLOOKUP(E225,'All Products'!D:D,'All Products'!N:N,FALSE)</f>
        <v>9.5000000000000001E-2</v>
      </c>
      <c r="U225" s="397">
        <f>_xlfn.XLOOKUP(E225,'All Products'!D:D,'All Products'!O:O,FALSE)</f>
        <v>10</v>
      </c>
      <c r="V225" s="384">
        <f>_xlfn.XLOOKUP(E225,'All Products'!D:D,'All Products'!P:P,FALSE)</f>
        <v>10.55</v>
      </c>
      <c r="W225" s="384">
        <f>_xlfn.XLOOKUP(E225,'All Products'!D:D,'All Products'!Q:Q,FALSE)</f>
        <v>0.65</v>
      </c>
    </row>
    <row r="226" spans="1:23" ht="15" customHeight="1">
      <c r="A226" s="101" t="str">
        <f>IF(K226&gt;0,COUNT($A$7:A225)
+COUNT('DWV PVC'!$A$9:$A$316)
+COUNT('DWV ABS'!$A$8:$A$116)+1,"")</f>
        <v/>
      </c>
      <c r="B226" s="610"/>
      <c r="C226" s="611"/>
      <c r="D226" s="369" t="str">
        <f>_xlfn.XLOOKUP(E226,'All Products'!D:D,'All Products'!C:C,FALSE)</f>
        <v>435-012</v>
      </c>
      <c r="E226" s="51">
        <v>100022753</v>
      </c>
      <c r="F226" s="376" t="str">
        <f>_xlfn.XLOOKUP(E226,'All Products'!D:D,'All Products'!E:E,FALSE)</f>
        <v>1-1/4 FEMALE ADAPTER SLIP X FIPT</v>
      </c>
      <c r="G226" s="232">
        <f>_xlfn.XLOOKUP(E226,'All Products'!D:D,'All Products'!F:F,FALSE)</f>
        <v>50</v>
      </c>
      <c r="H226" s="387">
        <f>_xlfn.XLOOKUP(E226,'All Products'!D:D,'All Products'!G:G,FALSE)</f>
        <v>7500</v>
      </c>
      <c r="I226" s="394">
        <f>_xlfn.XLOOKUP(E226,'All Products'!D:D,'All Products'!H:H,FALSE)</f>
        <v>4.07</v>
      </c>
      <c r="J226" s="183">
        <f>IFERROR(ROUND(I226*Order_Quote!$L$4,2),0)</f>
        <v>4.07</v>
      </c>
      <c r="K226" s="73"/>
      <c r="L226" s="76"/>
      <c r="M226" s="114">
        <f t="shared" si="20"/>
        <v>0</v>
      </c>
      <c r="O226" s="384" t="str">
        <f>_xlfn.XLOOKUP(E226,'All Products'!D:D,'All Products'!I:I,FALSE)</f>
        <v>In Stock</v>
      </c>
      <c r="P226" s="384" t="str">
        <f>_xlfn.XLOOKUP(E226,'All Products'!D:D,'All Products'!J:J,FALSE)</f>
        <v>Manufactured</v>
      </c>
      <c r="Q226" s="397">
        <f>_xlfn.XLOOKUP(E226,'All Products'!D:D,'All Products'!K:K,FALSE)</f>
        <v>49081130626</v>
      </c>
      <c r="R226" s="397">
        <f>_xlfn.XLOOKUP(E226,'All Products'!D:D,'All Products'!L:L,FALSE)</f>
        <v>49081630621</v>
      </c>
      <c r="S226" s="397">
        <f>_xlfn.XLOOKUP(E226,'All Products'!D:D,'All Products'!M:M,FALSE)</f>
        <v>40049081130624</v>
      </c>
      <c r="T226" s="384">
        <f>_xlfn.XLOOKUP(E226,'All Products'!D:D,'All Products'!N:N,FALSE)</f>
        <v>0.11700000000000001</v>
      </c>
      <c r="U226" s="397">
        <f>_xlfn.XLOOKUP(E226,'All Products'!D:D,'All Products'!O:O,FALSE)</f>
        <v>5</v>
      </c>
      <c r="V226" s="384">
        <f>_xlfn.XLOOKUP(E226,'All Products'!D:D,'All Products'!P:P,FALSE)</f>
        <v>7.24</v>
      </c>
      <c r="W226" s="384">
        <f>_xlfn.XLOOKUP(E226,'All Products'!D:D,'All Products'!Q:Q,FALSE)</f>
        <v>0.5</v>
      </c>
    </row>
    <row r="227" spans="1:23" ht="15" customHeight="1">
      <c r="A227" s="101" t="str">
        <f>IF(K227&gt;0,COUNT($A$7:A226)
+COUNT('DWV PVC'!$A$9:$A$316)
+COUNT('DWV ABS'!$A$8:$A$116)+1,"")</f>
        <v/>
      </c>
      <c r="B227" s="610"/>
      <c r="C227" s="611"/>
      <c r="D227" s="369" t="str">
        <f>_xlfn.XLOOKUP(E227,'All Products'!D:D,'All Products'!C:C,FALSE)</f>
        <v>435-015</v>
      </c>
      <c r="E227" s="51">
        <v>100022755</v>
      </c>
      <c r="F227" s="376" t="str">
        <f>_xlfn.XLOOKUP(E227,'All Products'!D:D,'All Products'!E:E,FALSE)</f>
        <v>1-1/2 FEMALE ADAPTER SLIP X FIPT</v>
      </c>
      <c r="G227" s="232">
        <f>_xlfn.XLOOKUP(E227,'All Products'!D:D,'All Products'!F:F,FALSE)</f>
        <v>50</v>
      </c>
      <c r="H227" s="387">
        <f>_xlfn.XLOOKUP(E227,'All Products'!D:D,'All Products'!G:G,FALSE)</f>
        <v>6000</v>
      </c>
      <c r="I227" s="394">
        <f>_xlfn.XLOOKUP(E227,'All Products'!D:D,'All Products'!H:H,FALSE)</f>
        <v>4.67</v>
      </c>
      <c r="J227" s="183">
        <f>IFERROR(ROUND(I227*Order_Quote!$L$4,2),0)</f>
        <v>4.67</v>
      </c>
      <c r="K227" s="73"/>
      <c r="L227" s="76"/>
      <c r="M227" s="114">
        <f t="shared" si="20"/>
        <v>0</v>
      </c>
      <c r="O227" s="384" t="str">
        <f>_xlfn.XLOOKUP(E227,'All Products'!D:D,'All Products'!I:I,FALSE)</f>
        <v>In Stock</v>
      </c>
      <c r="P227" s="384" t="str">
        <f>_xlfn.XLOOKUP(E227,'All Products'!D:D,'All Products'!J:J,FALSE)</f>
        <v>Manufactured</v>
      </c>
      <c r="Q227" s="397">
        <f>_xlfn.XLOOKUP(E227,'All Products'!D:D,'All Products'!K:K,FALSE)</f>
        <v>49081130664</v>
      </c>
      <c r="R227" s="397">
        <f>_xlfn.XLOOKUP(E227,'All Products'!D:D,'All Products'!L:L,FALSE)</f>
        <v>49081630669</v>
      </c>
      <c r="S227" s="397">
        <f>_xlfn.XLOOKUP(E227,'All Products'!D:D,'All Products'!M:M,FALSE)</f>
        <v>40049081130662</v>
      </c>
      <c r="T227" s="384">
        <f>_xlfn.XLOOKUP(E227,'All Products'!D:D,'All Products'!N:N,FALSE)</f>
        <v>0.154</v>
      </c>
      <c r="U227" s="397">
        <f>_xlfn.XLOOKUP(E227,'All Products'!D:D,'All Products'!O:O,FALSE)</f>
        <v>5</v>
      </c>
      <c r="V227" s="384">
        <f>_xlfn.XLOOKUP(E227,'All Products'!D:D,'All Products'!P:P,FALSE)</f>
        <v>8.36</v>
      </c>
      <c r="W227" s="384">
        <f>_xlfn.XLOOKUP(E227,'All Products'!D:D,'All Products'!Q:Q,FALSE)</f>
        <v>0.65</v>
      </c>
    </row>
    <row r="228" spans="1:23" ht="15" customHeight="1">
      <c r="A228" s="101" t="str">
        <f>IF(K228&gt;0,COUNT($A$7:A227)
+COUNT('DWV PVC'!$A$9:$A$316)
+COUNT('DWV ABS'!$A$8:$A$116)+1,"")</f>
        <v/>
      </c>
      <c r="B228" s="610"/>
      <c r="C228" s="611"/>
      <c r="D228" s="369" t="str">
        <f>_xlfn.XLOOKUP(E228,'All Products'!D:D,'All Products'!C:C,FALSE)</f>
        <v>435-020</v>
      </c>
      <c r="E228" s="51">
        <v>100022757</v>
      </c>
      <c r="F228" s="376" t="str">
        <f>_xlfn.XLOOKUP(E228,'All Products'!D:D,'All Products'!E:E,FALSE)</f>
        <v>2 FEMALE ADAPTER SLIP X FIPT</v>
      </c>
      <c r="G228" s="232">
        <f>_xlfn.XLOOKUP(E228,'All Products'!D:D,'All Products'!F:F,FALSE)</f>
        <v>25</v>
      </c>
      <c r="H228" s="387">
        <f>_xlfn.XLOOKUP(E228,'All Products'!D:D,'All Products'!G:G,FALSE)</f>
        <v>3750</v>
      </c>
      <c r="I228" s="394">
        <f>_xlfn.XLOOKUP(E228,'All Products'!D:D,'All Products'!H:H,FALSE)</f>
        <v>6.26</v>
      </c>
      <c r="J228" s="183">
        <f>IFERROR(ROUND(I228*Order_Quote!$L$4,2),0)</f>
        <v>6.26</v>
      </c>
      <c r="K228" s="73"/>
      <c r="L228" s="76"/>
      <c r="M228" s="114">
        <f t="shared" si="20"/>
        <v>0</v>
      </c>
      <c r="O228" s="384" t="str">
        <f>_xlfn.XLOOKUP(E228,'All Products'!D:D,'All Products'!I:I,FALSE)</f>
        <v>In Stock</v>
      </c>
      <c r="P228" s="384" t="str">
        <f>_xlfn.XLOOKUP(E228,'All Products'!D:D,'All Products'!J:J,FALSE)</f>
        <v>Manufactured</v>
      </c>
      <c r="Q228" s="397">
        <f>_xlfn.XLOOKUP(E228,'All Products'!D:D,'All Products'!K:K,FALSE)</f>
        <v>49081130701</v>
      </c>
      <c r="R228" s="397">
        <f>_xlfn.XLOOKUP(E228,'All Products'!D:D,'All Products'!L:L,FALSE)</f>
        <v>49081630706</v>
      </c>
      <c r="S228" s="397">
        <f>_xlfn.XLOOKUP(E228,'All Products'!D:D,'All Products'!M:M,FALSE)</f>
        <v>40049081130709</v>
      </c>
      <c r="T228" s="384">
        <f>_xlfn.XLOOKUP(E228,'All Products'!D:D,'All Products'!N:N,FALSE)</f>
        <v>0.217</v>
      </c>
      <c r="U228" s="397">
        <f>_xlfn.XLOOKUP(E228,'All Products'!D:D,'All Products'!O:O,FALSE)</f>
        <v>5</v>
      </c>
      <c r="V228" s="384">
        <f>_xlfn.XLOOKUP(E228,'All Products'!D:D,'All Products'!P:P,FALSE)</f>
        <v>6.11</v>
      </c>
      <c r="W228" s="384">
        <f>_xlfn.XLOOKUP(E228,'All Products'!D:D,'All Products'!Q:Q,FALSE)</f>
        <v>0.5</v>
      </c>
    </row>
    <row r="229" spans="1:23" ht="15" customHeight="1">
      <c r="A229" s="101" t="str">
        <f>IF(K229&gt;0,COUNT($A$7:A228)
+COUNT('DWV PVC'!$A$9:$A$316)
+COUNT('DWV ABS'!$A$8:$A$116)+1,"")</f>
        <v/>
      </c>
      <c r="B229" s="610"/>
      <c r="C229" s="611"/>
      <c r="D229" s="369" t="str">
        <f>_xlfn.XLOOKUP(E229,'All Products'!D:D,'All Products'!C:C,FALSE)</f>
        <v>435-025</v>
      </c>
      <c r="E229" s="51">
        <v>100027410</v>
      </c>
      <c r="F229" s="376" t="str">
        <f>_xlfn.XLOOKUP(E229,'All Products'!D:D,'All Products'!E:E,FALSE)</f>
        <v>2-1/2 FEMALE ADAPTER SLIP X FIPT</v>
      </c>
      <c r="G229" s="232">
        <f>_xlfn.XLOOKUP(E229,'All Products'!D:D,'All Products'!F:F,FALSE)</f>
        <v>15</v>
      </c>
      <c r="H229" s="387">
        <f>_xlfn.XLOOKUP(E229,'All Products'!D:D,'All Products'!G:G,FALSE)</f>
        <v>2250</v>
      </c>
      <c r="I229" s="394">
        <f>_xlfn.XLOOKUP(E229,'All Products'!D:D,'All Products'!H:H,FALSE)</f>
        <v>15.78</v>
      </c>
      <c r="J229" s="183">
        <f>IFERROR(ROUND(I229*Order_Quote!$L$4,2),0)</f>
        <v>15.78</v>
      </c>
      <c r="K229" s="73"/>
      <c r="L229" s="76"/>
      <c r="M229" s="114">
        <f t="shared" si="20"/>
        <v>0</v>
      </c>
      <c r="O229" s="384" t="str">
        <f>_xlfn.XLOOKUP(E229,'All Products'!D:D,'All Products'!I:I,FALSE)</f>
        <v>Within 3 Weeks</v>
      </c>
      <c r="P229" s="384" t="str">
        <f>_xlfn.XLOOKUP(E229,'All Products'!D:D,'All Products'!J:J,FALSE)</f>
        <v>Manufactured</v>
      </c>
      <c r="Q229" s="397">
        <f>_xlfn.XLOOKUP(E229,'All Products'!D:D,'All Products'!K:K,FALSE)</f>
        <v>49081130725</v>
      </c>
      <c r="R229" s="397" t="str">
        <f>_xlfn.XLOOKUP(E229,'All Products'!D:D,'All Products'!L:L,FALSE)</f>
        <v>-</v>
      </c>
      <c r="S229" s="397">
        <f>_xlfn.XLOOKUP(E229,'All Products'!D:D,'All Products'!M:M,FALSE)</f>
        <v>40049081130723</v>
      </c>
      <c r="T229" s="384">
        <f>_xlfn.XLOOKUP(E229,'All Products'!D:D,'All Products'!N:N,FALSE)</f>
        <v>0.375</v>
      </c>
      <c r="U229" s="397" t="str">
        <f>_xlfn.XLOOKUP(E229,'All Products'!D:D,'All Products'!O:O,FALSE)</f>
        <v>-</v>
      </c>
      <c r="V229" s="384">
        <f>_xlfn.XLOOKUP(E229,'All Products'!D:D,'All Products'!P:P,FALSE)</f>
        <v>6.3</v>
      </c>
      <c r="W229" s="384">
        <f>_xlfn.XLOOKUP(E229,'All Products'!D:D,'All Products'!Q:Q,FALSE)</f>
        <v>0.5</v>
      </c>
    </row>
    <row r="230" spans="1:23" ht="15" customHeight="1">
      <c r="A230" s="101" t="str">
        <f>IF(K230&gt;0,COUNT($A$7:A229)
+COUNT('DWV PVC'!$A$9:$A$316)
+COUNT('DWV ABS'!$A$8:$A$116)+1,"")</f>
        <v/>
      </c>
      <c r="B230" s="610"/>
      <c r="C230" s="611"/>
      <c r="D230" s="369" t="str">
        <f>_xlfn.XLOOKUP(E230,'All Products'!D:D,'All Products'!C:C,FALSE)</f>
        <v>435-030</v>
      </c>
      <c r="E230" s="51">
        <v>100022759</v>
      </c>
      <c r="F230" s="376" t="str">
        <f>_xlfn.XLOOKUP(E230,'All Products'!D:D,'All Products'!E:E,FALSE)</f>
        <v>3 FEMALE ADAPTER SLIP X FIPT</v>
      </c>
      <c r="G230" s="232">
        <f>_xlfn.XLOOKUP(E230,'All Products'!D:D,'All Products'!F:F,FALSE)</f>
        <v>10</v>
      </c>
      <c r="H230" s="387">
        <f>_xlfn.XLOOKUP(E230,'All Products'!D:D,'All Products'!G:G,FALSE)</f>
        <v>1200</v>
      </c>
      <c r="I230" s="394">
        <f>_xlfn.XLOOKUP(E230,'All Products'!D:D,'All Products'!H:H,FALSE)</f>
        <v>21.28</v>
      </c>
      <c r="J230" s="183">
        <f>IFERROR(ROUND(I230*Order_Quote!$L$4,2),0)</f>
        <v>21.28</v>
      </c>
      <c r="K230" s="73"/>
      <c r="L230" s="76"/>
      <c r="M230" s="114">
        <f t="shared" si="20"/>
        <v>0</v>
      </c>
      <c r="O230" s="384" t="str">
        <f>_xlfn.XLOOKUP(E230,'All Products'!D:D,'All Products'!I:I,FALSE)</f>
        <v>In Stock</v>
      </c>
      <c r="P230" s="384" t="str">
        <f>_xlfn.XLOOKUP(E230,'All Products'!D:D,'All Products'!J:J,FALSE)</f>
        <v>Manufactured</v>
      </c>
      <c r="Q230" s="397">
        <f>_xlfn.XLOOKUP(E230,'All Products'!D:D,'All Products'!K:K,FALSE)</f>
        <v>49081130749</v>
      </c>
      <c r="R230" s="397" t="str">
        <f>_xlfn.XLOOKUP(E230,'All Products'!D:D,'All Products'!L:L,FALSE)</f>
        <v>-</v>
      </c>
      <c r="S230" s="397">
        <f>_xlfn.XLOOKUP(E230,'All Products'!D:D,'All Products'!M:M,FALSE)</f>
        <v>40049081130747</v>
      </c>
      <c r="T230" s="384">
        <f>_xlfn.XLOOKUP(E230,'All Products'!D:D,'All Products'!N:N,FALSE)</f>
        <v>0.51500000000000001</v>
      </c>
      <c r="U230" s="397" t="str">
        <f>_xlfn.XLOOKUP(E230,'All Products'!D:D,'All Products'!O:O,FALSE)</f>
        <v>-</v>
      </c>
      <c r="V230" s="384">
        <f>_xlfn.XLOOKUP(E230,'All Products'!D:D,'All Products'!P:P,FALSE)</f>
        <v>5.83</v>
      </c>
      <c r="W230" s="384">
        <f>_xlfn.XLOOKUP(E230,'All Products'!D:D,'All Products'!Q:Q,FALSE)</f>
        <v>0.65</v>
      </c>
    </row>
    <row r="231" spans="1:23" ht="15" customHeight="1">
      <c r="A231" s="101" t="str">
        <f>IF(K231&gt;0,COUNT($A$7:A230)
+COUNT('DWV PVC'!$A$9:$A$316)
+COUNT('DWV ABS'!$A$8:$A$116)+1,"")</f>
        <v/>
      </c>
      <c r="B231" s="612"/>
      <c r="C231" s="613"/>
      <c r="D231" s="369" t="str">
        <f>_xlfn.XLOOKUP(E231,'All Products'!D:D,'All Products'!C:C,FALSE)</f>
        <v>435-040</v>
      </c>
      <c r="E231" s="51">
        <v>100022761</v>
      </c>
      <c r="F231" s="376" t="str">
        <f>_xlfn.XLOOKUP(E231,'All Products'!D:D,'All Products'!E:E,FALSE)</f>
        <v>4 FEMALE ADAPTER SLIP X FIPT</v>
      </c>
      <c r="G231" s="232">
        <f>_xlfn.XLOOKUP(E231,'All Products'!D:D,'All Products'!F:F,FALSE)</f>
        <v>5</v>
      </c>
      <c r="H231" s="387">
        <f>_xlfn.XLOOKUP(E231,'All Products'!D:D,'All Products'!G:G,FALSE)</f>
        <v>750</v>
      </c>
      <c r="I231" s="394">
        <f>_xlfn.XLOOKUP(E231,'All Products'!D:D,'All Products'!H:H,FALSE)</f>
        <v>35.229999999999997</v>
      </c>
      <c r="J231" s="183">
        <f>IFERROR(ROUND(I231*Order_Quote!$L$4,2),0)</f>
        <v>35.229999999999997</v>
      </c>
      <c r="K231" s="73"/>
      <c r="L231" s="76"/>
      <c r="M231" s="114">
        <f t="shared" si="20"/>
        <v>0</v>
      </c>
      <c r="O231" s="384" t="str">
        <f>_xlfn.XLOOKUP(E231,'All Products'!D:D,'All Products'!I:I,FALSE)</f>
        <v>In Stock</v>
      </c>
      <c r="P231" s="384" t="str">
        <f>_xlfn.XLOOKUP(E231,'All Products'!D:D,'All Products'!J:J,FALSE)</f>
        <v>Manufactured</v>
      </c>
      <c r="Q231" s="397">
        <f>_xlfn.XLOOKUP(E231,'All Products'!D:D,'All Products'!K:K,FALSE)</f>
        <v>49081130763</v>
      </c>
      <c r="R231" s="397" t="str">
        <f>_xlfn.XLOOKUP(E231,'All Products'!D:D,'All Products'!L:L,FALSE)</f>
        <v>-</v>
      </c>
      <c r="S231" s="397">
        <f>_xlfn.XLOOKUP(E231,'All Products'!D:D,'All Products'!M:M,FALSE)</f>
        <v>40049081130761</v>
      </c>
      <c r="T231" s="384">
        <f>_xlfn.XLOOKUP(E231,'All Products'!D:D,'All Products'!N:N,FALSE)</f>
        <v>0.86799999999999999</v>
      </c>
      <c r="U231" s="397" t="str">
        <f>_xlfn.XLOOKUP(E231,'All Products'!D:D,'All Products'!O:O,FALSE)</f>
        <v>-</v>
      </c>
      <c r="V231" s="384">
        <f>_xlfn.XLOOKUP(E231,'All Products'!D:D,'All Products'!P:P,FALSE)</f>
        <v>4.95</v>
      </c>
      <c r="W231" s="384">
        <f>_xlfn.XLOOKUP(E231,'All Products'!D:D,'All Products'!Q:Q,FALSE)</f>
        <v>0.5</v>
      </c>
    </row>
    <row r="232" spans="1:23" ht="15" customHeight="1">
      <c r="A232" s="101" t="str">
        <f>IF(K232&gt;0,COUNT($A$7:A231)
+COUNT('DWV PVC'!$A$9:$A$316)
+COUNT('DWV ABS'!$A$8:$A$116)+1,"")</f>
        <v/>
      </c>
      <c r="B232" s="608"/>
      <c r="C232" s="609"/>
      <c r="D232" s="369" t="str">
        <f>_xlfn.XLOOKUP(E232,'All Products'!D:D,'All Products'!C:C,FALSE)</f>
        <v>435-074</v>
      </c>
      <c r="E232" s="51">
        <v>100022765</v>
      </c>
      <c r="F232" s="376" t="str">
        <f>_xlfn.XLOOKUP(E232,'All Products'!D:D,'All Products'!E:E,FALSE)</f>
        <v>1/2X3/4 RED FEM ADAPTER SLIPXFIPT</v>
      </c>
      <c r="G232" s="232">
        <f>_xlfn.XLOOKUP(E232,'All Products'!D:D,'All Products'!F:F,FALSE)</f>
        <v>250</v>
      </c>
      <c r="H232" s="387">
        <f>_xlfn.XLOOKUP(E232,'All Products'!D:D,'All Products'!G:G,FALSE)</f>
        <v>22500</v>
      </c>
      <c r="I232" s="394">
        <f>_xlfn.XLOOKUP(E232,'All Products'!D:D,'All Products'!H:H,FALSE)</f>
        <v>3.2</v>
      </c>
      <c r="J232" s="183">
        <f>IFERROR(ROUND(I232*Order_Quote!$L$4,2),0)</f>
        <v>3.2</v>
      </c>
      <c r="K232" s="73"/>
      <c r="L232" s="76"/>
      <c r="M232" s="114">
        <f t="shared" ref="M232:M253" si="23">K232/G232</f>
        <v>0</v>
      </c>
      <c r="O232" s="384" t="str">
        <f>_xlfn.XLOOKUP(E232,'All Products'!D:D,'All Products'!I:I,FALSE)</f>
        <v>Within 3 Weeks</v>
      </c>
      <c r="P232" s="384" t="str">
        <f>_xlfn.XLOOKUP(E232,'All Products'!D:D,'All Products'!J:J,FALSE)</f>
        <v>Manufactured</v>
      </c>
      <c r="Q232" s="397">
        <f>_xlfn.XLOOKUP(E232,'All Products'!D:D,'All Products'!K:K,FALSE)</f>
        <v>49081130404</v>
      </c>
      <c r="R232" s="397">
        <f>_xlfn.XLOOKUP(E232,'All Products'!D:D,'All Products'!L:L,FALSE)</f>
        <v>49081630409</v>
      </c>
      <c r="S232" s="397">
        <f>_xlfn.XLOOKUP(E232,'All Products'!D:D,'All Products'!M:M,FALSE)</f>
        <v>40049081130402</v>
      </c>
      <c r="T232" s="384">
        <f>_xlfn.XLOOKUP(E232,'All Products'!D:D,'All Products'!N:N,FALSE)</f>
        <v>5.8999999999999997E-2</v>
      </c>
      <c r="U232" s="397">
        <f>_xlfn.XLOOKUP(E232,'All Products'!D:D,'All Products'!O:O,FALSE)</f>
        <v>10</v>
      </c>
      <c r="V232" s="384">
        <f>_xlfn.XLOOKUP(E232,'All Products'!D:D,'All Products'!P:P,FALSE)</f>
        <v>12.81</v>
      </c>
      <c r="W232" s="384">
        <f>_xlfn.XLOOKUP(E232,'All Products'!D:D,'All Products'!Q:Q,FALSE)</f>
        <v>0.8</v>
      </c>
    </row>
    <row r="233" spans="1:23" ht="15" customHeight="1">
      <c r="A233" s="101" t="str">
        <f>IF(K233&gt;0,COUNT($A$7:A232)
+COUNT('DWV PVC'!$A$9:$A$316)
+COUNT('DWV ABS'!$A$8:$A$116)+1,"")</f>
        <v/>
      </c>
      <c r="B233" s="610"/>
      <c r="C233" s="611"/>
      <c r="D233" s="369" t="str">
        <f>_xlfn.XLOOKUP(E233,'All Products'!D:D,'All Products'!C:C,FALSE)</f>
        <v>435-101</v>
      </c>
      <c r="E233" s="51">
        <v>100022767</v>
      </c>
      <c r="F233" s="376" t="str">
        <f>_xlfn.XLOOKUP(E233,'All Products'!D:D,'All Products'!E:E,FALSE)</f>
        <v>3/4X1/2 RED FEM ADAPTER SLIPXFIPT</v>
      </c>
      <c r="G233" s="232">
        <f>_xlfn.XLOOKUP(E233,'All Products'!D:D,'All Products'!F:F,FALSE)</f>
        <v>250</v>
      </c>
      <c r="H233" s="387">
        <f>_xlfn.XLOOKUP(E233,'All Products'!D:D,'All Products'!G:G,FALSE)</f>
        <v>22500</v>
      </c>
      <c r="I233" s="394">
        <f>_xlfn.XLOOKUP(E233,'All Products'!D:D,'All Products'!H:H,FALSE)</f>
        <v>3.2</v>
      </c>
      <c r="J233" s="183">
        <f>IFERROR(ROUND(I233*Order_Quote!$L$4,2),0)</f>
        <v>3.2</v>
      </c>
      <c r="K233" s="73"/>
      <c r="L233" s="76"/>
      <c r="M233" s="114">
        <f t="shared" si="23"/>
        <v>0</v>
      </c>
      <c r="O233" s="384" t="str">
        <f>_xlfn.XLOOKUP(E233,'All Products'!D:D,'All Products'!I:I,FALSE)</f>
        <v>In Stock</v>
      </c>
      <c r="P233" s="384" t="str">
        <f>_xlfn.XLOOKUP(E233,'All Products'!D:D,'All Products'!J:J,FALSE)</f>
        <v>Manufactured</v>
      </c>
      <c r="Q233" s="397">
        <f>_xlfn.XLOOKUP(E233,'All Products'!D:D,'All Products'!K:K,FALSE)</f>
        <v>49081130503</v>
      </c>
      <c r="R233" s="397">
        <f>_xlfn.XLOOKUP(E233,'All Products'!D:D,'All Products'!L:L,FALSE)</f>
        <v>49081630508</v>
      </c>
      <c r="S233" s="397">
        <f>_xlfn.XLOOKUP(E233,'All Products'!D:D,'All Products'!M:M,FALSE)</f>
        <v>40049081130501</v>
      </c>
      <c r="T233" s="384">
        <f>_xlfn.XLOOKUP(E233,'All Products'!D:D,'All Products'!N:N,FALSE)</f>
        <v>4.5999999999999999E-2</v>
      </c>
      <c r="U233" s="397">
        <f>_xlfn.XLOOKUP(E233,'All Products'!D:D,'All Products'!O:O,FALSE)</f>
        <v>10</v>
      </c>
      <c r="V233" s="384">
        <f>_xlfn.XLOOKUP(E233,'All Products'!D:D,'All Products'!P:P,FALSE)</f>
        <v>12.76</v>
      </c>
      <c r="W233" s="384">
        <f>_xlfn.XLOOKUP(E233,'All Products'!D:D,'All Products'!Q:Q,FALSE)</f>
        <v>0.8</v>
      </c>
    </row>
    <row r="234" spans="1:23" ht="15" customHeight="1">
      <c r="A234" s="101" t="str">
        <f>IF(K234&gt;0,COUNT($A$7:A233)
+COUNT('DWV PVC'!$A$9:$A$316)
+COUNT('DWV ABS'!$A$8:$A$116)+1,"")</f>
        <v/>
      </c>
      <c r="B234" s="610"/>
      <c r="C234" s="611"/>
      <c r="D234" s="369" t="str">
        <f>_xlfn.XLOOKUP(E234,'All Products'!D:D,'All Products'!C:C,FALSE)</f>
        <v>435-130</v>
      </c>
      <c r="E234" s="51">
        <v>100022771</v>
      </c>
      <c r="F234" s="376" t="str">
        <f>_xlfn.XLOOKUP(E234,'All Products'!D:D,'All Products'!E:E,FALSE)</f>
        <v>1X1/2 RED FEM ADAPTER SLIPXFIPT</v>
      </c>
      <c r="G234" s="232">
        <f>_xlfn.XLOOKUP(E234,'All Products'!D:D,'All Products'!F:F,FALSE)</f>
        <v>100</v>
      </c>
      <c r="H234" s="387">
        <f>_xlfn.XLOOKUP(E234,'All Products'!D:D,'All Products'!G:G,FALSE)</f>
        <v>15000</v>
      </c>
      <c r="I234" s="394">
        <f>_xlfn.XLOOKUP(E234,'All Products'!D:D,'All Products'!H:H,FALSE)</f>
        <v>4.25</v>
      </c>
      <c r="J234" s="183">
        <f>IFERROR(ROUND(I234*Order_Quote!$L$4,2),0)</f>
        <v>4.25</v>
      </c>
      <c r="K234" s="73"/>
      <c r="L234" s="76"/>
      <c r="M234" s="114">
        <f t="shared" si="23"/>
        <v>0</v>
      </c>
      <c r="O234" s="384" t="str">
        <f>_xlfn.XLOOKUP(E234,'All Products'!D:D,'All Products'!I:I,FALSE)</f>
        <v>In Stock</v>
      </c>
      <c r="P234" s="384" t="str">
        <f>_xlfn.XLOOKUP(E234,'All Products'!D:D,'All Products'!J:J,FALSE)</f>
        <v>Manufactured</v>
      </c>
      <c r="Q234" s="397">
        <f>_xlfn.XLOOKUP(E234,'All Products'!D:D,'All Products'!K:K,FALSE)</f>
        <v>49081130602</v>
      </c>
      <c r="R234" s="397">
        <f>_xlfn.XLOOKUP(E234,'All Products'!D:D,'All Products'!L:L,FALSE)</f>
        <v>49081630607</v>
      </c>
      <c r="S234" s="397">
        <f>_xlfn.XLOOKUP(E234,'All Products'!D:D,'All Products'!M:M,FALSE)</f>
        <v>40049081130600</v>
      </c>
      <c r="T234" s="384">
        <f>_xlfn.XLOOKUP(E234,'All Products'!D:D,'All Products'!N:N,FALSE)</f>
        <v>7.4999999999999997E-2</v>
      </c>
      <c r="U234" s="397">
        <f>_xlfn.XLOOKUP(E234,'All Products'!D:D,'All Products'!O:O,FALSE)</f>
        <v>10</v>
      </c>
      <c r="V234" s="384">
        <f>_xlfn.XLOOKUP(E234,'All Products'!D:D,'All Products'!P:P,FALSE)</f>
        <v>9.44</v>
      </c>
      <c r="W234" s="384">
        <f>_xlfn.XLOOKUP(E234,'All Products'!D:D,'All Products'!Q:Q,FALSE)</f>
        <v>0.5</v>
      </c>
    </row>
    <row r="235" spans="1:23" ht="15" customHeight="1">
      <c r="A235" s="101" t="str">
        <f>IF(K235&gt;0,COUNT($A$7:A234)
+COUNT('DWV PVC'!$A$9:$A$316)
+COUNT('DWV ABS'!$A$8:$A$116)+1,"")</f>
        <v/>
      </c>
      <c r="B235" s="610"/>
      <c r="C235" s="611"/>
      <c r="D235" s="369" t="str">
        <f>_xlfn.XLOOKUP(E235,'All Products'!D:D,'All Products'!C:C,FALSE)</f>
        <v>435-131</v>
      </c>
      <c r="E235" s="51">
        <v>100022773</v>
      </c>
      <c r="F235" s="376" t="str">
        <f>_xlfn.XLOOKUP(E235,'All Products'!D:D,'All Products'!E:E,FALSE)</f>
        <v>1X3/4 RED FEM ADAPTER SLIPXFIPT</v>
      </c>
      <c r="G235" s="232">
        <f>_xlfn.XLOOKUP(E235,'All Products'!D:D,'All Products'!F:F,FALSE)</f>
        <v>100</v>
      </c>
      <c r="H235" s="387">
        <f>_xlfn.XLOOKUP(E235,'All Products'!D:D,'All Products'!G:G,FALSE)</f>
        <v>15000</v>
      </c>
      <c r="I235" s="394">
        <f>_xlfn.XLOOKUP(E235,'All Products'!D:D,'All Products'!H:H,FALSE)</f>
        <v>4.25</v>
      </c>
      <c r="J235" s="183">
        <f>IFERROR(ROUND(I235*Order_Quote!$L$4,2),0)</f>
        <v>4.25</v>
      </c>
      <c r="K235" s="73"/>
      <c r="L235" s="76"/>
      <c r="M235" s="114">
        <f t="shared" si="23"/>
        <v>0</v>
      </c>
      <c r="O235" s="384" t="str">
        <f>_xlfn.XLOOKUP(E235,'All Products'!D:D,'All Products'!I:I,FALSE)</f>
        <v>In Stock</v>
      </c>
      <c r="P235" s="384" t="str">
        <f>_xlfn.XLOOKUP(E235,'All Products'!D:D,'All Products'!J:J,FALSE)</f>
        <v>Manufactured</v>
      </c>
      <c r="Q235" s="397">
        <f>_xlfn.XLOOKUP(E235,'All Products'!D:D,'All Products'!K:K,FALSE)</f>
        <v>49081130589</v>
      </c>
      <c r="R235" s="397">
        <f>_xlfn.XLOOKUP(E235,'All Products'!D:D,'All Products'!L:L,FALSE)</f>
        <v>49081630584</v>
      </c>
      <c r="S235" s="397">
        <f>_xlfn.XLOOKUP(E235,'All Products'!D:D,'All Products'!M:M,FALSE)</f>
        <v>40049081130587</v>
      </c>
      <c r="T235" s="384">
        <f>_xlfn.XLOOKUP(E235,'All Products'!D:D,'All Products'!N:N,FALSE)</f>
        <v>7.9000000000000001E-2</v>
      </c>
      <c r="U235" s="397">
        <f>_xlfn.XLOOKUP(E235,'All Products'!D:D,'All Products'!O:O,FALSE)</f>
        <v>10</v>
      </c>
      <c r="V235" s="384">
        <f>_xlfn.XLOOKUP(E235,'All Products'!D:D,'All Products'!P:P,FALSE)</f>
        <v>9.57</v>
      </c>
      <c r="W235" s="384">
        <f>_xlfn.XLOOKUP(E235,'All Products'!D:D,'All Products'!Q:Q,FALSE)</f>
        <v>0.5</v>
      </c>
    </row>
    <row r="236" spans="1:23" ht="15" customHeight="1">
      <c r="B236" s="610"/>
      <c r="C236" s="611"/>
      <c r="D236" s="369" t="str">
        <f>_xlfn.XLOOKUP(E236,'All Products'!D:D,'All Products'!C:C,FALSE)</f>
        <v>435-132</v>
      </c>
      <c r="E236" s="51">
        <v>100022774</v>
      </c>
      <c r="F236" s="376" t="str">
        <f>_xlfn.XLOOKUP(E236,'All Products'!D:D,'All Products'!E:E,FALSE)</f>
        <v>1 X 1-1/4" RED FEM ADAPTER SLIPXFIPT</v>
      </c>
      <c r="G236" s="232">
        <f>_xlfn.XLOOKUP(E236,'All Products'!D:D,'All Products'!F:F,FALSE)</f>
        <v>50</v>
      </c>
      <c r="H236" s="387">
        <f>_xlfn.XLOOKUP(E236,'All Products'!D:D,'All Products'!G:G,FALSE)</f>
        <v>4500</v>
      </c>
      <c r="I236" s="394">
        <f>_xlfn.XLOOKUP(E236,'All Products'!D:D,'All Products'!H:H,FALSE)</f>
        <v>8.14</v>
      </c>
      <c r="J236" s="183">
        <f>IFERROR(ROUND(I236*Order_Quote!$L$4,2),0)</f>
        <v>8.14</v>
      </c>
      <c r="K236" s="73"/>
      <c r="L236" s="76"/>
      <c r="M236" s="114">
        <f t="shared" ref="M236:M239" si="24">K236/G236</f>
        <v>0</v>
      </c>
      <c r="O236" s="384" t="str">
        <f>_xlfn.XLOOKUP(E236,'All Products'!D:D,'All Products'!I:I,FALSE)</f>
        <v>Within 3 Weeks</v>
      </c>
      <c r="P236" s="384" t="str">
        <f>_xlfn.XLOOKUP(E236,'All Products'!D:D,'All Products'!J:J,FALSE)</f>
        <v>Manufactured</v>
      </c>
      <c r="Q236" s="397">
        <f>_xlfn.XLOOKUP(E236,'All Products'!D:D,'All Products'!K:K,FALSE)</f>
        <v>49081130565</v>
      </c>
      <c r="R236" s="397">
        <f>_xlfn.XLOOKUP(E236,'All Products'!D:D,'All Products'!L:L,FALSE)</f>
        <v>49081630560</v>
      </c>
      <c r="S236" s="397">
        <f>_xlfn.XLOOKUP(E236,'All Products'!D:D,'All Products'!M:M,FALSE)</f>
        <v>40049081130563</v>
      </c>
      <c r="T236" s="384">
        <f>_xlfn.XLOOKUP(E236,'All Products'!D:D,'All Products'!N:N,FALSE)</f>
        <v>0.14099999999999999</v>
      </c>
      <c r="U236" s="397">
        <f>_xlfn.XLOOKUP(E236,'All Products'!D:D,'All Products'!O:O,FALSE)</f>
        <v>10</v>
      </c>
      <c r="V236" s="384">
        <f>_xlfn.XLOOKUP(E236,'All Products'!D:D,'All Products'!P:P,FALSE)</f>
        <v>7.05</v>
      </c>
      <c r="W236" s="384">
        <f>_xlfn.XLOOKUP(E236,'All Products'!D:D,'All Products'!Q:Q,FALSE)</f>
        <v>0.43</v>
      </c>
    </row>
    <row r="237" spans="1:23" ht="15" customHeight="1">
      <c r="B237" s="610"/>
      <c r="C237" s="611"/>
      <c r="D237" s="369" t="str">
        <f>_xlfn.XLOOKUP(E237,'All Products'!D:D,'All Products'!C:C,FALSE)</f>
        <v>435-168</v>
      </c>
      <c r="E237" s="51">
        <v>100022775</v>
      </c>
      <c r="F237" s="376" t="str">
        <f>_xlfn.XLOOKUP(E237,'All Products'!D:D,'All Products'!E:E,FALSE)</f>
        <v>1-1/4 X 1" RED FEM ADAPTER SLIPXFIPT</v>
      </c>
      <c r="G237" s="232">
        <f>_xlfn.XLOOKUP(E237,'All Products'!D:D,'All Products'!F:F,FALSE)</f>
        <v>50</v>
      </c>
      <c r="H237" s="387">
        <f>_xlfn.XLOOKUP(E237,'All Products'!D:D,'All Products'!G:G,FALSE)</f>
        <v>4500</v>
      </c>
      <c r="I237" s="394">
        <f>_xlfn.XLOOKUP(E237,'All Products'!D:D,'All Products'!H:H,FALSE)</f>
        <v>8.14</v>
      </c>
      <c r="J237" s="183">
        <f>IFERROR(ROUND(I237*Order_Quote!$L$4,2),0)</f>
        <v>8.14</v>
      </c>
      <c r="K237" s="73"/>
      <c r="L237" s="76"/>
      <c r="M237" s="114">
        <f t="shared" si="24"/>
        <v>0</v>
      </c>
      <c r="O237" s="384" t="str">
        <f>_xlfn.XLOOKUP(E237,'All Products'!D:D,'All Products'!I:I,FALSE)</f>
        <v>In Stock</v>
      </c>
      <c r="P237" s="384" t="str">
        <f>_xlfn.XLOOKUP(E237,'All Products'!D:D,'All Products'!J:J,FALSE)</f>
        <v>Manufactured</v>
      </c>
      <c r="Q237" s="397">
        <f>_xlfn.XLOOKUP(E237,'All Products'!D:D,'All Products'!K:K,FALSE)</f>
        <v>49081130640</v>
      </c>
      <c r="R237" s="397">
        <f>_xlfn.XLOOKUP(E237,'All Products'!D:D,'All Products'!L:L,FALSE)</f>
        <v>49081630645</v>
      </c>
      <c r="S237" s="397">
        <f>_xlfn.XLOOKUP(E237,'All Products'!D:D,'All Products'!M:M,FALSE)</f>
        <v>40049081130648</v>
      </c>
      <c r="T237" s="384">
        <f>_xlfn.XLOOKUP(E237,'All Products'!D:D,'All Products'!N:N,FALSE)</f>
        <v>0.14000000000000001</v>
      </c>
      <c r="U237" s="397">
        <f>_xlfn.XLOOKUP(E237,'All Products'!D:D,'All Products'!O:O,FALSE)</f>
        <v>10</v>
      </c>
      <c r="V237" s="384">
        <f>_xlfn.XLOOKUP(E237,'All Products'!D:D,'All Products'!P:P,FALSE)</f>
        <v>7</v>
      </c>
      <c r="W237" s="384">
        <f>_xlfn.XLOOKUP(E237,'All Products'!D:D,'All Products'!Q:Q,FALSE)</f>
        <v>0.43</v>
      </c>
    </row>
    <row r="238" spans="1:23" ht="15" customHeight="1">
      <c r="B238" s="610"/>
      <c r="C238" s="611"/>
      <c r="D238" s="369" t="str">
        <f>_xlfn.XLOOKUP(E238,'All Products'!D:D,'All Products'!C:C,FALSE)</f>
        <v>435-169</v>
      </c>
      <c r="E238" s="51">
        <v>100022776</v>
      </c>
      <c r="F238" s="376" t="str">
        <f>_xlfn.XLOOKUP(E238,'All Products'!D:D,'All Products'!E:E,FALSE)</f>
        <v>1-1/4 X 1-1/2" RED FEM ADAPTER SLIPXFIPT</v>
      </c>
      <c r="G238" s="232">
        <f>_xlfn.XLOOKUP(E238,'All Products'!D:D,'All Products'!F:F,FALSE)</f>
        <v>50</v>
      </c>
      <c r="H238" s="387">
        <f>_xlfn.XLOOKUP(E238,'All Products'!D:D,'All Products'!G:G,FALSE)</f>
        <v>3750</v>
      </c>
      <c r="I238" s="394">
        <f>_xlfn.XLOOKUP(E238,'All Products'!D:D,'All Products'!H:H,FALSE)</f>
        <v>8.14</v>
      </c>
      <c r="J238" s="183">
        <f>IFERROR(ROUND(I238*Order_Quote!$L$4,2),0)</f>
        <v>8.14</v>
      </c>
      <c r="K238" s="73"/>
      <c r="L238" s="76"/>
      <c r="M238" s="114">
        <f t="shared" si="24"/>
        <v>0</v>
      </c>
      <c r="O238" s="384" t="str">
        <f>_xlfn.XLOOKUP(E238,'All Products'!D:D,'All Products'!I:I,FALSE)</f>
        <v>Within 3 Weeks</v>
      </c>
      <c r="P238" s="384" t="str">
        <f>_xlfn.XLOOKUP(E238,'All Products'!D:D,'All Products'!J:J,FALSE)</f>
        <v>Manufactured</v>
      </c>
      <c r="Q238" s="397">
        <f>_xlfn.XLOOKUP(E238,'All Products'!D:D,'All Products'!K:K,FALSE)</f>
        <v>49081130657</v>
      </c>
      <c r="R238" s="397">
        <f>_xlfn.XLOOKUP(E238,'All Products'!D:D,'All Products'!L:L,FALSE)</f>
        <v>49081630652</v>
      </c>
      <c r="S238" s="397">
        <f>_xlfn.XLOOKUP(E238,'All Products'!D:D,'All Products'!M:M,FALSE)</f>
        <v>40049081130655</v>
      </c>
      <c r="T238" s="384">
        <f>_xlfn.XLOOKUP(E238,'All Products'!D:D,'All Products'!N:N,FALSE)</f>
        <v>0.16</v>
      </c>
      <c r="U238" s="397">
        <f>_xlfn.XLOOKUP(E238,'All Products'!D:D,'All Products'!O:O,FALSE)</f>
        <v>5</v>
      </c>
      <c r="V238" s="384">
        <f>_xlfn.XLOOKUP(E238,'All Products'!D:D,'All Products'!P:P,FALSE)</f>
        <v>8</v>
      </c>
      <c r="W238" s="384">
        <f>_xlfn.XLOOKUP(E238,'All Products'!D:D,'All Products'!Q:Q,FALSE)</f>
        <v>0.57999999999999996</v>
      </c>
    </row>
    <row r="239" spans="1:23" ht="15" customHeight="1">
      <c r="B239" s="610"/>
      <c r="C239" s="611"/>
      <c r="D239" s="369" t="str">
        <f>_xlfn.XLOOKUP(E239,'All Products'!D:D,'All Products'!C:C,FALSE)</f>
        <v>435-212</v>
      </c>
      <c r="E239" s="51">
        <v>100022778</v>
      </c>
      <c r="F239" s="376" t="str">
        <f>_xlfn.XLOOKUP(E239,'All Products'!D:D,'All Products'!E:E,FALSE)</f>
        <v>1-1/2 X 1-1/4" RED FEM ADAPTER SLIPXFIPT</v>
      </c>
      <c r="G239" s="232">
        <f>_xlfn.XLOOKUP(E239,'All Products'!D:D,'All Products'!F:F,FALSE)</f>
        <v>50</v>
      </c>
      <c r="H239" s="387">
        <f>_xlfn.XLOOKUP(E239,'All Products'!D:D,'All Products'!G:G,FALSE)</f>
        <v>3750</v>
      </c>
      <c r="I239" s="394">
        <f>_xlfn.XLOOKUP(E239,'All Products'!D:D,'All Products'!H:H,FALSE)</f>
        <v>8.14</v>
      </c>
      <c r="J239" s="183">
        <f>IFERROR(ROUND(I239*Order_Quote!$L$4,2),0)</f>
        <v>8.14</v>
      </c>
      <c r="K239" s="73"/>
      <c r="L239" s="76"/>
      <c r="M239" s="114">
        <f t="shared" si="24"/>
        <v>0</v>
      </c>
      <c r="O239" s="384" t="str">
        <f>_xlfn.XLOOKUP(E239,'All Products'!D:D,'All Products'!I:I,FALSE)</f>
        <v>Within 3 Weeks</v>
      </c>
      <c r="P239" s="384" t="str">
        <f>_xlfn.XLOOKUP(E239,'All Products'!D:D,'All Products'!J:J,FALSE)</f>
        <v>Manufactured</v>
      </c>
      <c r="Q239" s="397">
        <f>_xlfn.XLOOKUP(E239,'All Products'!D:D,'All Products'!K:K,FALSE)</f>
        <v>49081130671</v>
      </c>
      <c r="R239" s="397">
        <f>_xlfn.XLOOKUP(E239,'All Products'!D:D,'All Products'!L:L,FALSE)</f>
        <v>49081630676</v>
      </c>
      <c r="S239" s="397">
        <f>_xlfn.XLOOKUP(E239,'All Products'!D:D,'All Products'!M:M,FALSE)</f>
        <v>40049081130679</v>
      </c>
      <c r="T239" s="384">
        <f>_xlfn.XLOOKUP(E239,'All Products'!D:D,'All Products'!N:N,FALSE)</f>
        <v>0.17899999999999999</v>
      </c>
      <c r="U239" s="397">
        <f>_xlfn.XLOOKUP(E239,'All Products'!D:D,'All Products'!O:O,FALSE)</f>
        <v>5</v>
      </c>
      <c r="V239" s="384">
        <f>_xlfn.XLOOKUP(E239,'All Products'!D:D,'All Products'!P:P,FALSE)</f>
        <v>8.9499999999999993</v>
      </c>
      <c r="W239" s="384">
        <f>_xlfn.XLOOKUP(E239,'All Products'!D:D,'All Products'!Q:Q,FALSE)</f>
        <v>0.57999999999999996</v>
      </c>
    </row>
    <row r="240" spans="1:23" ht="15" customHeight="1">
      <c r="A240" s="101" t="str">
        <f>IF(K240&gt;0,COUNT($A$7:A235)
+COUNT('DWV PVC'!$A$9:$A$316)
+COUNT('DWV ABS'!$A$8:$A$116)+1,"")</f>
        <v/>
      </c>
      <c r="B240" s="612"/>
      <c r="C240" s="613"/>
      <c r="D240" s="369" t="str">
        <f>_xlfn.XLOOKUP(E240,'All Products'!D:D,'All Products'!C:C,FALSE)</f>
        <v>435-213</v>
      </c>
      <c r="E240" s="51">
        <v>100022779</v>
      </c>
      <c r="F240" s="376" t="str">
        <f>_xlfn.XLOOKUP(E240,'All Products'!D:D,'All Products'!E:E,FALSE)</f>
        <v>1-1/2X2 RED FEM ADAPTER SLIPXFIPT</v>
      </c>
      <c r="G240" s="232">
        <f>_xlfn.XLOOKUP(E240,'All Products'!D:D,'All Products'!F:F,FALSE)</f>
        <v>25</v>
      </c>
      <c r="H240" s="387">
        <f>_xlfn.XLOOKUP(E240,'All Products'!D:D,'All Products'!G:G,FALSE)</f>
        <v>3750</v>
      </c>
      <c r="I240" s="394">
        <f>_xlfn.XLOOKUP(E240,'All Products'!D:D,'All Products'!H:H,FALSE)</f>
        <v>8.5399999999999991</v>
      </c>
      <c r="J240" s="183">
        <f>IFERROR(ROUND(I240*Order_Quote!$L$4,2),0)</f>
        <v>8.5399999999999991</v>
      </c>
      <c r="K240" s="73"/>
      <c r="L240" s="76"/>
      <c r="M240" s="114">
        <f t="shared" si="23"/>
        <v>0</v>
      </c>
      <c r="O240" s="384" t="str">
        <f>_xlfn.XLOOKUP(E240,'All Products'!D:D,'All Products'!I:I,FALSE)</f>
        <v>Within 3 Weeks</v>
      </c>
      <c r="P240" s="384" t="str">
        <f>_xlfn.XLOOKUP(E240,'All Products'!D:D,'All Products'!J:J,FALSE)</f>
        <v>Manufactured</v>
      </c>
      <c r="Q240" s="397">
        <f>_xlfn.XLOOKUP(E240,'All Products'!D:D,'All Products'!K:K,FALSE)</f>
        <v>49081130695</v>
      </c>
      <c r="R240" s="397">
        <f>_xlfn.XLOOKUP(E240,'All Products'!D:D,'All Products'!L:L,FALSE)</f>
        <v>49081630690</v>
      </c>
      <c r="S240" s="397">
        <f>_xlfn.XLOOKUP(E240,'All Products'!D:D,'All Products'!M:M,FALSE)</f>
        <v>40049081130693</v>
      </c>
      <c r="T240" s="384">
        <f>_xlfn.XLOOKUP(E240,'All Products'!D:D,'All Products'!N:N,FALSE)</f>
        <v>0.19800000000000001</v>
      </c>
      <c r="U240" s="397">
        <f>_xlfn.XLOOKUP(E240,'All Products'!D:D,'All Products'!O:O,FALSE)</f>
        <v>5</v>
      </c>
      <c r="V240" s="384">
        <f>_xlfn.XLOOKUP(E240,'All Products'!D:D,'All Products'!P:P,FALSE)</f>
        <v>5.7</v>
      </c>
      <c r="W240" s="384">
        <f>_xlfn.XLOOKUP(E240,'All Products'!D:D,'All Products'!Q:Q,FALSE)</f>
        <v>0.5</v>
      </c>
    </row>
    <row r="241" spans="1:23" ht="15" customHeight="1">
      <c r="A241" s="101" t="str">
        <f>IF(K241&gt;0,COUNT($A$7:A240)
+COUNT('DWV PVC'!$A$9:$A$316)
+COUNT('DWV ABS'!$A$8:$A$116)+1,"")</f>
        <v/>
      </c>
      <c r="B241" s="608"/>
      <c r="C241" s="609"/>
      <c r="D241" s="369" t="str">
        <f>_xlfn.XLOOKUP(E241,'All Products'!D:D,'All Products'!C:C,FALSE)</f>
        <v>436-005</v>
      </c>
      <c r="E241" s="51">
        <v>100022782</v>
      </c>
      <c r="F241" s="376" t="str">
        <f>_xlfn.XLOOKUP(E241,'All Products'!D:D,'All Products'!E:E,FALSE)</f>
        <v>1/2 MALE ADAPTER MIPT X SLIP</v>
      </c>
      <c r="G241" s="232">
        <f>_xlfn.XLOOKUP(E241,'All Products'!D:D,'All Products'!F:F,FALSE)</f>
        <v>250</v>
      </c>
      <c r="H241" s="387">
        <f>_xlfn.XLOOKUP(E241,'All Products'!D:D,'All Products'!G:G,FALSE)</f>
        <v>37500</v>
      </c>
      <c r="I241" s="394">
        <f>_xlfn.XLOOKUP(E241,'All Products'!D:D,'All Products'!H:H,FALSE)</f>
        <v>1.42</v>
      </c>
      <c r="J241" s="183">
        <f>IFERROR(ROUND(I241*Order_Quote!$L$4,2),0)</f>
        <v>1.42</v>
      </c>
      <c r="K241" s="73"/>
      <c r="L241" s="76"/>
      <c r="M241" s="114">
        <f t="shared" si="23"/>
        <v>0</v>
      </c>
      <c r="O241" s="384" t="str">
        <f>_xlfn.XLOOKUP(E241,'All Products'!D:D,'All Products'!I:I,FALSE)</f>
        <v>In Stock</v>
      </c>
      <c r="P241" s="384" t="str">
        <f>_xlfn.XLOOKUP(E241,'All Products'!D:D,'All Products'!J:J,FALSE)</f>
        <v>Manufactured</v>
      </c>
      <c r="Q241" s="397">
        <f>_xlfn.XLOOKUP(E241,'All Products'!D:D,'All Products'!K:K,FALSE)</f>
        <v>49081131661</v>
      </c>
      <c r="R241" s="397">
        <f>_xlfn.XLOOKUP(E241,'All Products'!D:D,'All Products'!L:L,FALSE)</f>
        <v>49081631666</v>
      </c>
      <c r="S241" s="397">
        <f>_xlfn.XLOOKUP(E241,'All Products'!D:D,'All Products'!M:M,FALSE)</f>
        <v>40049081131669</v>
      </c>
      <c r="T241" s="384">
        <f>_xlfn.XLOOKUP(E241,'All Products'!D:D,'All Products'!N:N,FALSE)</f>
        <v>3.3000000000000002E-2</v>
      </c>
      <c r="U241" s="397">
        <f>_xlfn.XLOOKUP(E241,'All Products'!D:D,'All Products'!O:O,FALSE)</f>
        <v>10</v>
      </c>
      <c r="V241" s="384">
        <f>_xlfn.XLOOKUP(E241,'All Products'!D:D,'All Products'!P:P,FALSE)</f>
        <v>9.18</v>
      </c>
      <c r="W241" s="384">
        <f>_xlfn.XLOOKUP(E241,'All Products'!D:D,'All Products'!Q:Q,FALSE)</f>
        <v>0.5</v>
      </c>
    </row>
    <row r="242" spans="1:23" ht="15" customHeight="1">
      <c r="A242" s="101" t="str">
        <f>IF(K242&gt;0,COUNT($A$7:A241)
+COUNT('DWV PVC'!$A$9:$A$316)
+COUNT('DWV ABS'!$A$8:$A$116)+1,"")</f>
        <v/>
      </c>
      <c r="B242" s="610"/>
      <c r="C242" s="611"/>
      <c r="D242" s="369" t="str">
        <f>_xlfn.XLOOKUP(E242,'All Products'!D:D,'All Products'!C:C,FALSE)</f>
        <v>436-007</v>
      </c>
      <c r="E242" s="51">
        <v>100022784</v>
      </c>
      <c r="F242" s="376" t="str">
        <f>_xlfn.XLOOKUP(E242,'All Products'!D:D,'All Products'!E:E,FALSE)</f>
        <v>3/4 MALE ADAPTER MIPT X SLIP</v>
      </c>
      <c r="G242" s="232">
        <f>_xlfn.XLOOKUP(E242,'All Products'!D:D,'All Products'!F:F,FALSE)</f>
        <v>250</v>
      </c>
      <c r="H242" s="387">
        <f>_xlfn.XLOOKUP(E242,'All Products'!D:D,'All Products'!G:G,FALSE)</f>
        <v>22500</v>
      </c>
      <c r="I242" s="394">
        <f>_xlfn.XLOOKUP(E242,'All Products'!D:D,'All Products'!H:H,FALSE)</f>
        <v>1.58</v>
      </c>
      <c r="J242" s="183">
        <f>IFERROR(ROUND(I242*Order_Quote!$L$4,2),0)</f>
        <v>1.58</v>
      </c>
      <c r="K242" s="73"/>
      <c r="L242" s="76"/>
      <c r="M242" s="114">
        <f t="shared" si="23"/>
        <v>0</v>
      </c>
      <c r="O242" s="384" t="str">
        <f>_xlfn.XLOOKUP(E242,'All Products'!D:D,'All Products'!I:I,FALSE)</f>
        <v>In Stock</v>
      </c>
      <c r="P242" s="384" t="str">
        <f>_xlfn.XLOOKUP(E242,'All Products'!D:D,'All Products'!J:J,FALSE)</f>
        <v>Manufactured</v>
      </c>
      <c r="Q242" s="397">
        <f>_xlfn.XLOOKUP(E242,'All Products'!D:D,'All Products'!K:K,FALSE)</f>
        <v>49081131722</v>
      </c>
      <c r="R242" s="397">
        <f>_xlfn.XLOOKUP(E242,'All Products'!D:D,'All Products'!L:L,FALSE)</f>
        <v>49081631727</v>
      </c>
      <c r="S242" s="397">
        <f>_xlfn.XLOOKUP(E242,'All Products'!D:D,'All Products'!M:M,FALSE)</f>
        <v>40049081131720</v>
      </c>
      <c r="T242" s="384">
        <f>_xlfn.XLOOKUP(E242,'All Products'!D:D,'All Products'!N:N,FALSE)</f>
        <v>4.9000000000000002E-2</v>
      </c>
      <c r="U242" s="397">
        <f>_xlfn.XLOOKUP(E242,'All Products'!D:D,'All Products'!O:O,FALSE)</f>
        <v>10</v>
      </c>
      <c r="V242" s="384">
        <f>_xlfn.XLOOKUP(E242,'All Products'!D:D,'All Products'!P:P,FALSE)</f>
        <v>13.49</v>
      </c>
      <c r="W242" s="384">
        <f>_xlfn.XLOOKUP(E242,'All Products'!D:D,'All Products'!Q:Q,FALSE)</f>
        <v>0.8</v>
      </c>
    </row>
    <row r="243" spans="1:23" ht="15" customHeight="1">
      <c r="A243" s="101" t="str">
        <f>IF(K243&gt;0,COUNT($A$7:A242)
+COUNT('DWV PVC'!$A$9:$A$316)
+COUNT('DWV ABS'!$A$8:$A$116)+1,"")</f>
        <v/>
      </c>
      <c r="B243" s="610"/>
      <c r="C243" s="611"/>
      <c r="D243" s="369" t="str">
        <f>_xlfn.XLOOKUP(E243,'All Products'!D:D,'All Products'!C:C,FALSE)</f>
        <v>436-010</v>
      </c>
      <c r="E243" s="51">
        <v>100022787</v>
      </c>
      <c r="F243" s="376" t="str">
        <f>_xlfn.XLOOKUP(E243,'All Products'!D:D,'All Products'!E:E,FALSE)</f>
        <v>1 MALE ADAPTER MIPT X SLIP</v>
      </c>
      <c r="G243" s="232">
        <f>_xlfn.XLOOKUP(E243,'All Products'!D:D,'All Products'!F:F,FALSE)</f>
        <v>100</v>
      </c>
      <c r="H243" s="387">
        <f>_xlfn.XLOOKUP(E243,'All Products'!D:D,'All Products'!G:G,FALSE)</f>
        <v>12000</v>
      </c>
      <c r="I243" s="394">
        <f>_xlfn.XLOOKUP(E243,'All Products'!D:D,'All Products'!H:H,FALSE)</f>
        <v>2.85</v>
      </c>
      <c r="J243" s="183">
        <f>IFERROR(ROUND(I243*Order_Quote!$L$4,2),0)</f>
        <v>2.85</v>
      </c>
      <c r="K243" s="73"/>
      <c r="L243" s="76"/>
      <c r="M243" s="114">
        <f t="shared" si="23"/>
        <v>0</v>
      </c>
      <c r="O243" s="384" t="str">
        <f>_xlfn.XLOOKUP(E243,'All Products'!D:D,'All Products'!I:I,FALSE)</f>
        <v>In Stock</v>
      </c>
      <c r="P243" s="384" t="str">
        <f>_xlfn.XLOOKUP(E243,'All Products'!D:D,'All Products'!J:J,FALSE)</f>
        <v>Manufactured</v>
      </c>
      <c r="Q243" s="397">
        <f>_xlfn.XLOOKUP(E243,'All Products'!D:D,'All Products'!K:K,FALSE)</f>
        <v>49081131784</v>
      </c>
      <c r="R243" s="397">
        <f>_xlfn.XLOOKUP(E243,'All Products'!D:D,'All Products'!L:L,FALSE)</f>
        <v>49081631789</v>
      </c>
      <c r="S243" s="397">
        <f>_xlfn.XLOOKUP(E243,'All Products'!D:D,'All Products'!M:M,FALSE)</f>
        <v>40049081131782</v>
      </c>
      <c r="T243" s="384">
        <f>_xlfn.XLOOKUP(E243,'All Products'!D:D,'All Products'!N:N,FALSE)</f>
        <v>7.8E-2</v>
      </c>
      <c r="U243" s="397">
        <f>_xlfn.XLOOKUP(E243,'All Products'!D:D,'All Products'!O:O,FALSE)</f>
        <v>10</v>
      </c>
      <c r="V243" s="384">
        <f>_xlfn.XLOOKUP(E243,'All Products'!D:D,'All Products'!P:P,FALSE)</f>
        <v>8.9600000000000009</v>
      </c>
      <c r="W243" s="384">
        <f>_xlfn.XLOOKUP(E243,'All Products'!D:D,'All Products'!Q:Q,FALSE)</f>
        <v>0.65</v>
      </c>
    </row>
    <row r="244" spans="1:23" ht="15" customHeight="1">
      <c r="A244" s="101" t="str">
        <f>IF(K244&gt;0,COUNT($A$7:A243)
+COUNT('DWV PVC'!$A$9:$A$316)
+COUNT('DWV ABS'!$A$8:$A$116)+1,"")</f>
        <v/>
      </c>
      <c r="B244" s="610"/>
      <c r="C244" s="611"/>
      <c r="D244" s="369" t="str">
        <f>_xlfn.XLOOKUP(E244,'All Products'!D:D,'All Products'!C:C,FALSE)</f>
        <v>436-012</v>
      </c>
      <c r="E244" s="51">
        <v>100022789</v>
      </c>
      <c r="F244" s="376" t="str">
        <f>_xlfn.XLOOKUP(E244,'All Products'!D:D,'All Products'!E:E,FALSE)</f>
        <v>1-1/4 MALE ADAPTER MIPT X SLIP</v>
      </c>
      <c r="G244" s="232">
        <f>_xlfn.XLOOKUP(E244,'All Products'!D:D,'All Products'!F:F,FALSE)</f>
        <v>50</v>
      </c>
      <c r="H244" s="387">
        <f>_xlfn.XLOOKUP(E244,'All Products'!D:D,'All Products'!G:G,FALSE)</f>
        <v>7500</v>
      </c>
      <c r="I244" s="394">
        <f>_xlfn.XLOOKUP(E244,'All Products'!D:D,'All Products'!H:H,FALSE)</f>
        <v>3.48</v>
      </c>
      <c r="J244" s="183">
        <f>IFERROR(ROUND(I244*Order_Quote!$L$4,2),0)</f>
        <v>3.48</v>
      </c>
      <c r="K244" s="73"/>
      <c r="L244" s="76"/>
      <c r="M244" s="114">
        <f t="shared" si="23"/>
        <v>0</v>
      </c>
      <c r="O244" s="384" t="str">
        <f>_xlfn.XLOOKUP(E244,'All Products'!D:D,'All Products'!I:I,FALSE)</f>
        <v>In Stock</v>
      </c>
      <c r="P244" s="384" t="str">
        <f>_xlfn.XLOOKUP(E244,'All Products'!D:D,'All Products'!J:J,FALSE)</f>
        <v>Manufactured</v>
      </c>
      <c r="Q244" s="397">
        <f>_xlfn.XLOOKUP(E244,'All Products'!D:D,'All Products'!K:K,FALSE)</f>
        <v>49081131845</v>
      </c>
      <c r="R244" s="397">
        <f>_xlfn.XLOOKUP(E244,'All Products'!D:D,'All Products'!L:L,FALSE)</f>
        <v>49081631840</v>
      </c>
      <c r="S244" s="397">
        <f>_xlfn.XLOOKUP(E244,'All Products'!D:D,'All Products'!M:M,FALSE)</f>
        <v>40049081131843</v>
      </c>
      <c r="T244" s="384">
        <f>_xlfn.XLOOKUP(E244,'All Products'!D:D,'All Products'!N:N,FALSE)</f>
        <v>0.11700000000000001</v>
      </c>
      <c r="U244" s="397">
        <f>_xlfn.XLOOKUP(E244,'All Products'!D:D,'All Products'!O:O,FALSE)</f>
        <v>5</v>
      </c>
      <c r="V244" s="384">
        <f>_xlfn.XLOOKUP(E244,'All Products'!D:D,'All Products'!P:P,FALSE)</f>
        <v>6.6</v>
      </c>
      <c r="W244" s="384">
        <f>_xlfn.XLOOKUP(E244,'All Products'!D:D,'All Products'!Q:Q,FALSE)</f>
        <v>0.5</v>
      </c>
    </row>
    <row r="245" spans="1:23" ht="15" customHeight="1">
      <c r="A245" s="101" t="str">
        <f>IF(K245&gt;0,COUNT($A$7:A244)
+COUNT('DWV PVC'!$A$9:$A$316)
+COUNT('DWV ABS'!$A$8:$A$116)+1,"")</f>
        <v/>
      </c>
      <c r="B245" s="610"/>
      <c r="C245" s="611"/>
      <c r="D245" s="369" t="str">
        <f>_xlfn.XLOOKUP(E245,'All Products'!D:D,'All Products'!C:C,FALSE)</f>
        <v>436-015</v>
      </c>
      <c r="E245" s="51">
        <v>100022791</v>
      </c>
      <c r="F245" s="376" t="str">
        <f>_xlfn.XLOOKUP(E245,'All Products'!D:D,'All Products'!E:E,FALSE)</f>
        <v>1-1/2 MALE ADAPTER MIPT X SLIP</v>
      </c>
      <c r="G245" s="232">
        <f>_xlfn.XLOOKUP(E245,'All Products'!D:D,'All Products'!F:F,FALSE)</f>
        <v>50</v>
      </c>
      <c r="H245" s="387">
        <f>_xlfn.XLOOKUP(E245,'All Products'!D:D,'All Products'!G:G,FALSE)</f>
        <v>6000</v>
      </c>
      <c r="I245" s="394">
        <f>_xlfn.XLOOKUP(E245,'All Products'!D:D,'All Products'!H:H,FALSE)</f>
        <v>4.67</v>
      </c>
      <c r="J245" s="183">
        <f>IFERROR(ROUND(I245*Order_Quote!$L$4,2),0)</f>
        <v>4.67</v>
      </c>
      <c r="K245" s="73"/>
      <c r="L245" s="76"/>
      <c r="M245" s="114">
        <f t="shared" si="23"/>
        <v>0</v>
      </c>
      <c r="O245" s="384" t="str">
        <f>_xlfn.XLOOKUP(E245,'All Products'!D:D,'All Products'!I:I,FALSE)</f>
        <v>In Stock</v>
      </c>
      <c r="P245" s="384" t="str">
        <f>_xlfn.XLOOKUP(E245,'All Products'!D:D,'All Products'!J:J,FALSE)</f>
        <v>Manufactured</v>
      </c>
      <c r="Q245" s="397">
        <f>_xlfn.XLOOKUP(E245,'All Products'!D:D,'All Products'!K:K,FALSE)</f>
        <v>49081131906</v>
      </c>
      <c r="R245" s="397">
        <f>_xlfn.XLOOKUP(E245,'All Products'!D:D,'All Products'!L:L,FALSE)</f>
        <v>49081631901</v>
      </c>
      <c r="S245" s="397">
        <f>_xlfn.XLOOKUP(E245,'All Products'!D:D,'All Products'!M:M,FALSE)</f>
        <v>40049081131904</v>
      </c>
      <c r="T245" s="384">
        <f>_xlfn.XLOOKUP(E245,'All Products'!D:D,'All Products'!N:N,FALSE)</f>
        <v>0.14899999999999999</v>
      </c>
      <c r="U245" s="397">
        <f>_xlfn.XLOOKUP(E245,'All Products'!D:D,'All Products'!O:O,FALSE)</f>
        <v>5</v>
      </c>
      <c r="V245" s="384">
        <f>_xlfn.XLOOKUP(E245,'All Products'!D:D,'All Products'!P:P,FALSE)</f>
        <v>8.26</v>
      </c>
      <c r="W245" s="384">
        <f>_xlfn.XLOOKUP(E245,'All Products'!D:D,'All Products'!Q:Q,FALSE)</f>
        <v>0.65</v>
      </c>
    </row>
    <row r="246" spans="1:23" ht="15" customHeight="1">
      <c r="A246" s="101" t="str">
        <f>IF(K246&gt;0,COUNT($A$7:A245)
+COUNT('DWV PVC'!$A$9:$A$316)
+COUNT('DWV ABS'!$A$8:$A$116)+1,"")</f>
        <v/>
      </c>
      <c r="B246" s="610"/>
      <c r="C246" s="611"/>
      <c r="D246" s="369" t="str">
        <f>_xlfn.XLOOKUP(E246,'All Products'!D:D,'All Products'!C:C,FALSE)</f>
        <v>436-020</v>
      </c>
      <c r="E246" s="51">
        <v>100022793</v>
      </c>
      <c r="F246" s="376" t="str">
        <f>_xlfn.XLOOKUP(E246,'All Products'!D:D,'All Products'!E:E,FALSE)</f>
        <v>2 MALE ADAPTER MIPT X SLIP</v>
      </c>
      <c r="G246" s="232">
        <f>_xlfn.XLOOKUP(E246,'All Products'!D:D,'All Products'!F:F,FALSE)</f>
        <v>25</v>
      </c>
      <c r="H246" s="387">
        <f>_xlfn.XLOOKUP(E246,'All Products'!D:D,'All Products'!G:G,FALSE)</f>
        <v>3750</v>
      </c>
      <c r="I246" s="394">
        <f>_xlfn.XLOOKUP(E246,'All Products'!D:D,'All Products'!H:H,FALSE)</f>
        <v>6.11</v>
      </c>
      <c r="J246" s="183">
        <f>IFERROR(ROUND(I246*Order_Quote!$L$4,2),0)</f>
        <v>6.11</v>
      </c>
      <c r="K246" s="73"/>
      <c r="L246" s="76"/>
      <c r="M246" s="114">
        <f t="shared" si="23"/>
        <v>0</v>
      </c>
      <c r="O246" s="384" t="str">
        <f>_xlfn.XLOOKUP(E246,'All Products'!D:D,'All Products'!I:I,FALSE)</f>
        <v>In Stock</v>
      </c>
      <c r="P246" s="384" t="str">
        <f>_xlfn.XLOOKUP(E246,'All Products'!D:D,'All Products'!J:J,FALSE)</f>
        <v>Manufactured</v>
      </c>
      <c r="Q246" s="397">
        <f>_xlfn.XLOOKUP(E246,'All Products'!D:D,'All Products'!K:K,FALSE)</f>
        <v>49081131968</v>
      </c>
      <c r="R246" s="397">
        <f>_xlfn.XLOOKUP(E246,'All Products'!D:D,'All Products'!L:L,FALSE)</f>
        <v>49081631963</v>
      </c>
      <c r="S246" s="397">
        <f>_xlfn.XLOOKUP(E246,'All Products'!D:D,'All Products'!M:M,FALSE)</f>
        <v>40049081131966</v>
      </c>
      <c r="T246" s="384">
        <f>_xlfn.XLOOKUP(E246,'All Products'!D:D,'All Products'!N:N,FALSE)</f>
        <v>0.223</v>
      </c>
      <c r="U246" s="397">
        <f>_xlfn.XLOOKUP(E246,'All Products'!D:D,'All Products'!O:O,FALSE)</f>
        <v>5</v>
      </c>
      <c r="V246" s="384">
        <f>_xlfn.XLOOKUP(E246,'All Products'!D:D,'All Products'!P:P,FALSE)</f>
        <v>6.15</v>
      </c>
      <c r="W246" s="384">
        <f>_xlfn.XLOOKUP(E246,'All Products'!D:D,'All Products'!Q:Q,FALSE)</f>
        <v>0.5</v>
      </c>
    </row>
    <row r="247" spans="1:23" ht="15" customHeight="1">
      <c r="A247" s="101" t="str">
        <f>IF(K247&gt;0,COUNT($A$7:A246)
+COUNT('DWV PVC'!$A$9:$A$316)
+COUNT('DWV ABS'!$A$8:$A$116)+1,"")</f>
        <v/>
      </c>
      <c r="B247" s="610"/>
      <c r="C247" s="611"/>
      <c r="D247" s="369" t="str">
        <f>_xlfn.XLOOKUP(E247,'All Products'!D:D,'All Products'!C:C,FALSE)</f>
        <v>436-030</v>
      </c>
      <c r="E247" s="51">
        <v>100022797</v>
      </c>
      <c r="F247" s="376" t="str">
        <f>_xlfn.XLOOKUP(E247,'All Products'!D:D,'All Products'!E:E,FALSE)</f>
        <v>3 MALE ADAPTER MIPT X SLIP</v>
      </c>
      <c r="G247" s="232">
        <f>_xlfn.XLOOKUP(E247,'All Products'!D:D,'All Products'!F:F,FALSE)</f>
        <v>16</v>
      </c>
      <c r="H247" s="387">
        <f>_xlfn.XLOOKUP(E247,'All Products'!D:D,'All Products'!G:G,FALSE)</f>
        <v>1920</v>
      </c>
      <c r="I247" s="394">
        <f>_xlfn.XLOOKUP(E247,'All Products'!D:D,'All Products'!H:H,FALSE)</f>
        <v>26.38</v>
      </c>
      <c r="J247" s="183">
        <f>IFERROR(ROUND(I247*Order_Quote!$L$4,2),0)</f>
        <v>26.38</v>
      </c>
      <c r="K247" s="73"/>
      <c r="L247" s="76"/>
      <c r="M247" s="114">
        <f t="shared" si="23"/>
        <v>0</v>
      </c>
      <c r="O247" s="384" t="str">
        <f>_xlfn.XLOOKUP(E247,'All Products'!D:D,'All Products'!I:I,FALSE)</f>
        <v>In Stock</v>
      </c>
      <c r="P247" s="384" t="str">
        <f>_xlfn.XLOOKUP(E247,'All Products'!D:D,'All Products'!J:J,FALSE)</f>
        <v>Manufactured</v>
      </c>
      <c r="Q247" s="397">
        <f>_xlfn.XLOOKUP(E247,'All Products'!D:D,'All Products'!K:K,FALSE)</f>
        <v>49081132088</v>
      </c>
      <c r="R247" s="397" t="str">
        <f>_xlfn.XLOOKUP(E247,'All Products'!D:D,'All Products'!L:L,FALSE)</f>
        <v>-</v>
      </c>
      <c r="S247" s="397">
        <f>_xlfn.XLOOKUP(E247,'All Products'!D:D,'All Products'!M:M,FALSE)</f>
        <v>40049081132086</v>
      </c>
      <c r="T247" s="384">
        <f>_xlfn.XLOOKUP(E247,'All Products'!D:D,'All Products'!N:N,FALSE)</f>
        <v>0.6</v>
      </c>
      <c r="U247" s="397" t="str">
        <f>_xlfn.XLOOKUP(E247,'All Products'!D:D,'All Products'!O:O,FALSE)</f>
        <v>-</v>
      </c>
      <c r="V247" s="384">
        <f>_xlfn.XLOOKUP(E247,'All Products'!D:D,'All Products'!P:P,FALSE)</f>
        <v>11</v>
      </c>
      <c r="W247" s="384">
        <f>_xlfn.XLOOKUP(E247,'All Products'!D:D,'All Products'!Q:Q,FALSE)</f>
        <v>0.65</v>
      </c>
    </row>
    <row r="248" spans="1:23" ht="15" customHeight="1">
      <c r="A248" s="101" t="str">
        <f>IF(K248&gt;0,COUNT($A$7:A247)
+COUNT('DWV PVC'!$A$9:$A$316)
+COUNT('DWV ABS'!$A$8:$A$116)+1,"")</f>
        <v/>
      </c>
      <c r="B248" s="612"/>
      <c r="C248" s="613"/>
      <c r="D248" s="369" t="str">
        <f>_xlfn.XLOOKUP(E248,'All Products'!D:D,'All Products'!C:C,FALSE)</f>
        <v>436-040</v>
      </c>
      <c r="E248" s="51">
        <v>100022799</v>
      </c>
      <c r="F248" s="376" t="str">
        <f>_xlfn.XLOOKUP(E248,'All Products'!D:D,'All Products'!E:E,FALSE)</f>
        <v>4 MALE ADAPTER MIPT X SLIP</v>
      </c>
      <c r="G248" s="232">
        <f>_xlfn.XLOOKUP(E248,'All Products'!D:D,'All Products'!F:F,FALSE)</f>
        <v>12</v>
      </c>
      <c r="H248" s="387">
        <f>_xlfn.XLOOKUP(E248,'All Products'!D:D,'All Products'!G:G,FALSE)</f>
        <v>1080</v>
      </c>
      <c r="I248" s="394">
        <f>_xlfn.XLOOKUP(E248,'All Products'!D:D,'All Products'!H:H,FALSE)</f>
        <v>33.67</v>
      </c>
      <c r="J248" s="183">
        <f>IFERROR(ROUND(I248*Order_Quote!$L$4,2),0)</f>
        <v>33.67</v>
      </c>
      <c r="K248" s="73"/>
      <c r="L248" s="76"/>
      <c r="M248" s="114">
        <f t="shared" si="23"/>
        <v>0</v>
      </c>
      <c r="O248" s="384" t="str">
        <f>_xlfn.XLOOKUP(E248,'All Products'!D:D,'All Products'!I:I,FALSE)</f>
        <v>In Stock</v>
      </c>
      <c r="P248" s="384" t="str">
        <f>_xlfn.XLOOKUP(E248,'All Products'!D:D,'All Products'!J:J,FALSE)</f>
        <v>Manufactured</v>
      </c>
      <c r="Q248" s="397">
        <f>_xlfn.XLOOKUP(E248,'All Products'!D:D,'All Products'!K:K,FALSE)</f>
        <v>49081132125</v>
      </c>
      <c r="R248" s="397" t="str">
        <f>_xlfn.XLOOKUP(E248,'All Products'!D:D,'All Products'!L:L,FALSE)</f>
        <v>-</v>
      </c>
      <c r="S248" s="397">
        <f>_xlfn.XLOOKUP(E248,'All Products'!D:D,'All Products'!M:M,FALSE)</f>
        <v>40049081132123</v>
      </c>
      <c r="T248" s="384">
        <f>_xlfn.XLOOKUP(E248,'All Products'!D:D,'All Products'!N:N,FALSE)</f>
        <v>0.81799999999999995</v>
      </c>
      <c r="U248" s="397" t="str">
        <f>_xlfn.XLOOKUP(E248,'All Products'!D:D,'All Products'!O:O,FALSE)</f>
        <v>-</v>
      </c>
      <c r="V248" s="384">
        <f>_xlfn.XLOOKUP(E248,'All Products'!D:D,'All Products'!P:P,FALSE)</f>
        <v>10.46</v>
      </c>
      <c r="W248" s="384">
        <f>_xlfn.XLOOKUP(E248,'All Products'!D:D,'All Products'!Q:Q,FALSE)</f>
        <v>0.8</v>
      </c>
    </row>
    <row r="249" spans="1:23" ht="15" customHeight="1">
      <c r="A249" s="101" t="str">
        <f>IF(K249&gt;0,COUNT($A$7:A248)
+COUNT('DWV PVC'!$A$9:$A$316)
+COUNT('DWV ABS'!$A$8:$A$116)+1,"")</f>
        <v/>
      </c>
      <c r="B249" s="608"/>
      <c r="C249" s="609"/>
      <c r="D249" s="369" t="str">
        <f>_xlfn.XLOOKUP(E249,'All Products'!D:D,'All Products'!C:C,FALSE)</f>
        <v>436-045</v>
      </c>
      <c r="E249" s="51">
        <v>100027412</v>
      </c>
      <c r="F249" s="376" t="str">
        <f>_xlfn.XLOOKUP(E249,'All Products'!D:D,'All Products'!E:E,FALSE)</f>
        <v>1/4X1/2 RED MALE ADAPTER MIPT X S</v>
      </c>
      <c r="G249" s="232">
        <f>_xlfn.XLOOKUP(E249,'All Products'!D:D,'All Products'!F:F,FALSE)</f>
        <v>250</v>
      </c>
      <c r="H249" s="387">
        <f>_xlfn.XLOOKUP(E249,'All Products'!D:D,'All Products'!G:G,FALSE)</f>
        <v>37500</v>
      </c>
      <c r="I249" s="394">
        <f>_xlfn.XLOOKUP(E249,'All Products'!D:D,'All Products'!H:H,FALSE)</f>
        <v>8.5500000000000007</v>
      </c>
      <c r="J249" s="183">
        <f>IFERROR(ROUND(I249*Order_Quote!$L$4,2),0)</f>
        <v>8.5500000000000007</v>
      </c>
      <c r="K249" s="73"/>
      <c r="L249" s="76"/>
      <c r="M249" s="114">
        <f t="shared" si="23"/>
        <v>0</v>
      </c>
      <c r="O249" s="384" t="str">
        <f>_xlfn.XLOOKUP(E249,'All Products'!D:D,'All Products'!I:I,FALSE)</f>
        <v>Within 3 Weeks</v>
      </c>
      <c r="P249" s="384" t="str">
        <f>_xlfn.XLOOKUP(E249,'All Products'!D:D,'All Products'!J:J,FALSE)</f>
        <v>Manufactured</v>
      </c>
      <c r="Q249" s="397">
        <f>_xlfn.XLOOKUP(E249,'All Products'!D:D,'All Products'!K:K,FALSE)</f>
        <v>49081131630</v>
      </c>
      <c r="R249" s="397">
        <f>_xlfn.XLOOKUP(E249,'All Products'!D:D,'All Products'!L:L,FALSE)</f>
        <v>49081631635</v>
      </c>
      <c r="S249" s="397">
        <f>_xlfn.XLOOKUP(E249,'All Products'!D:D,'All Products'!M:M,FALSE)</f>
        <v>40049081131638</v>
      </c>
      <c r="T249" s="384">
        <f>_xlfn.XLOOKUP(E249,'All Products'!D:D,'All Products'!N:N,FALSE)</f>
        <v>4.4999999999999998E-2</v>
      </c>
      <c r="U249" s="397">
        <f>_xlfn.XLOOKUP(E249,'All Products'!D:D,'All Products'!O:O,FALSE)</f>
        <v>10</v>
      </c>
      <c r="V249" s="384">
        <f>_xlfn.XLOOKUP(E249,'All Products'!D:D,'All Products'!P:P,FALSE)</f>
        <v>12.34</v>
      </c>
      <c r="W249" s="384">
        <f>_xlfn.XLOOKUP(E249,'All Products'!D:D,'All Products'!Q:Q,FALSE)</f>
        <v>0.5</v>
      </c>
    </row>
    <row r="250" spans="1:23" ht="15" customHeight="1">
      <c r="A250" s="101" t="str">
        <f>IF(K250&gt;0,COUNT($A$7:A249)
+COUNT('DWV PVC'!$A$9:$A$316)
+COUNT('DWV ABS'!$A$8:$A$116)+1,"")</f>
        <v/>
      </c>
      <c r="B250" s="610"/>
      <c r="C250" s="611"/>
      <c r="D250" s="369" t="str">
        <f>_xlfn.XLOOKUP(E250,'All Products'!D:D,'All Products'!C:C,FALSE)</f>
        <v>436-074</v>
      </c>
      <c r="E250" s="51">
        <v>100022805</v>
      </c>
      <c r="F250" s="376" t="str">
        <f>_xlfn.XLOOKUP(E250,'All Products'!D:D,'All Products'!E:E,FALSE)</f>
        <v>1/2X3/4 RED MALE ADAPTER MIPT X S</v>
      </c>
      <c r="G250" s="232">
        <f>_xlfn.XLOOKUP(E250,'All Products'!D:D,'All Products'!F:F,FALSE)</f>
        <v>250</v>
      </c>
      <c r="H250" s="387">
        <f>_xlfn.XLOOKUP(E250,'All Products'!D:D,'All Products'!G:G,FALSE)</f>
        <v>22500</v>
      </c>
      <c r="I250" s="394">
        <f>_xlfn.XLOOKUP(E250,'All Products'!D:D,'All Products'!H:H,FALSE)</f>
        <v>2.85</v>
      </c>
      <c r="J250" s="183">
        <f>IFERROR(ROUND(I250*Order_Quote!$L$4,2),0)</f>
        <v>2.85</v>
      </c>
      <c r="K250" s="73"/>
      <c r="L250" s="76"/>
      <c r="M250" s="114">
        <f t="shared" si="23"/>
        <v>0</v>
      </c>
      <c r="O250" s="384" t="str">
        <f>_xlfn.XLOOKUP(E250,'All Products'!D:D,'All Products'!I:I,FALSE)</f>
        <v>In Stock</v>
      </c>
      <c r="P250" s="384" t="str">
        <f>_xlfn.XLOOKUP(E250,'All Products'!D:D,'All Products'!J:J,FALSE)</f>
        <v>Manufactured</v>
      </c>
      <c r="Q250" s="397">
        <f>_xlfn.XLOOKUP(E250,'All Products'!D:D,'All Products'!K:K,FALSE)</f>
        <v>49081131685</v>
      </c>
      <c r="R250" s="397">
        <f>_xlfn.XLOOKUP(E250,'All Products'!D:D,'All Products'!L:L,FALSE)</f>
        <v>49081631680</v>
      </c>
      <c r="S250" s="397">
        <f>_xlfn.XLOOKUP(E250,'All Products'!D:D,'All Products'!M:M,FALSE)</f>
        <v>40049081131683</v>
      </c>
      <c r="T250" s="384">
        <f>_xlfn.XLOOKUP(E250,'All Products'!D:D,'All Products'!N:N,FALSE)</f>
        <v>4.4999999999999998E-2</v>
      </c>
      <c r="U250" s="397">
        <f>_xlfn.XLOOKUP(E250,'All Products'!D:D,'All Products'!O:O,FALSE)</f>
        <v>10</v>
      </c>
      <c r="V250" s="384">
        <f>_xlfn.XLOOKUP(E250,'All Products'!D:D,'All Products'!P:P,FALSE)</f>
        <v>12.14</v>
      </c>
      <c r="W250" s="384">
        <f>_xlfn.XLOOKUP(E250,'All Products'!D:D,'All Products'!Q:Q,FALSE)</f>
        <v>0.8</v>
      </c>
    </row>
    <row r="251" spans="1:23" ht="15" customHeight="1">
      <c r="A251" s="101" t="str">
        <f>IF(K251&gt;0,COUNT($A$7:A250)
+COUNT('DWV PVC'!$A$9:$A$316)
+COUNT('DWV ABS'!$A$8:$A$116)+1,"")</f>
        <v/>
      </c>
      <c r="B251" s="610"/>
      <c r="C251" s="611"/>
      <c r="D251" s="369" t="str">
        <f>_xlfn.XLOOKUP(E251,'All Products'!D:D,'All Products'!C:C,FALSE)</f>
        <v>436-075</v>
      </c>
      <c r="E251" s="51">
        <v>100022807</v>
      </c>
      <c r="F251" s="376" t="str">
        <f>_xlfn.XLOOKUP(E251,'All Products'!D:D,'All Products'!E:E,FALSE)</f>
        <v>1/2X1 RED MALE ADAPTER MIPT X S</v>
      </c>
      <c r="G251" s="232">
        <f>_xlfn.XLOOKUP(E251,'All Products'!D:D,'All Products'!F:F,FALSE)</f>
        <v>100</v>
      </c>
      <c r="H251" s="387">
        <f>_xlfn.XLOOKUP(E251,'All Products'!D:D,'All Products'!G:G,FALSE)</f>
        <v>12000</v>
      </c>
      <c r="I251" s="394">
        <f>_xlfn.XLOOKUP(E251,'All Products'!D:D,'All Products'!H:H,FALSE)</f>
        <v>9.27</v>
      </c>
      <c r="J251" s="183">
        <f>IFERROR(ROUND(I251*Order_Quote!$L$4,2),0)</f>
        <v>9.27</v>
      </c>
      <c r="K251" s="73"/>
      <c r="L251" s="76"/>
      <c r="M251" s="114">
        <f t="shared" si="23"/>
        <v>0</v>
      </c>
      <c r="O251" s="384" t="str">
        <f>_xlfn.XLOOKUP(E251,'All Products'!D:D,'All Products'!I:I,FALSE)</f>
        <v>In Stock</v>
      </c>
      <c r="P251" s="384" t="str">
        <f>_xlfn.XLOOKUP(E251,'All Products'!D:D,'All Products'!J:J,FALSE)</f>
        <v>Manufactured</v>
      </c>
      <c r="Q251" s="397">
        <f>_xlfn.XLOOKUP(E251,'All Products'!D:D,'All Products'!K:K,FALSE)</f>
        <v>49081131715</v>
      </c>
      <c r="R251" s="397">
        <f>_xlfn.XLOOKUP(E251,'All Products'!D:D,'All Products'!L:L,FALSE)</f>
        <v>49081631710</v>
      </c>
      <c r="S251" s="397">
        <f>_xlfn.XLOOKUP(E251,'All Products'!D:D,'All Products'!M:M,FALSE)</f>
        <v>40049081131713</v>
      </c>
      <c r="T251" s="384">
        <f>_xlfn.XLOOKUP(E251,'All Products'!D:D,'All Products'!N:N,FALSE)</f>
        <v>0.1</v>
      </c>
      <c r="U251" s="397">
        <f>_xlfn.XLOOKUP(E251,'All Products'!D:D,'All Products'!O:O,FALSE)</f>
        <v>10</v>
      </c>
      <c r="V251" s="384">
        <f>_xlfn.XLOOKUP(E251,'All Products'!D:D,'All Products'!P:P,FALSE)</f>
        <v>10.73</v>
      </c>
      <c r="W251" s="384">
        <f>_xlfn.XLOOKUP(E251,'All Products'!D:D,'All Products'!Q:Q,FALSE)</f>
        <v>0.65</v>
      </c>
    </row>
    <row r="252" spans="1:23" ht="15" customHeight="1">
      <c r="A252" s="101" t="str">
        <f>IF(K252&gt;0,COUNT($A$7:A251)
+COUNT('DWV PVC'!$A$9:$A$316)
+COUNT('DWV ABS'!$A$8:$A$116)+1,"")</f>
        <v/>
      </c>
      <c r="B252" s="610"/>
      <c r="C252" s="611"/>
      <c r="D252" s="369" t="str">
        <f>_xlfn.XLOOKUP(E252,'All Products'!D:D,'All Products'!C:C,FALSE)</f>
        <v>436-101</v>
      </c>
      <c r="E252" s="51">
        <v>100022810</v>
      </c>
      <c r="F252" s="376" t="str">
        <f>_xlfn.XLOOKUP(E252,'All Products'!D:D,'All Products'!E:E,FALSE)</f>
        <v>3/4X1/2 RED MALE ADAPTER MIPT X S</v>
      </c>
      <c r="G252" s="232">
        <f>_xlfn.XLOOKUP(E252,'All Products'!D:D,'All Products'!F:F,FALSE)</f>
        <v>250</v>
      </c>
      <c r="H252" s="387">
        <f>_xlfn.XLOOKUP(E252,'All Products'!D:D,'All Products'!G:G,FALSE)</f>
        <v>30000</v>
      </c>
      <c r="I252" s="394">
        <f>_xlfn.XLOOKUP(E252,'All Products'!D:D,'All Products'!H:H,FALSE)</f>
        <v>2.65</v>
      </c>
      <c r="J252" s="183">
        <f>IFERROR(ROUND(I252*Order_Quote!$L$4,2),0)</f>
        <v>2.65</v>
      </c>
      <c r="K252" s="73"/>
      <c r="L252" s="76"/>
      <c r="M252" s="114">
        <f t="shared" si="23"/>
        <v>0</v>
      </c>
      <c r="O252" s="384" t="str">
        <f>_xlfn.XLOOKUP(E252,'All Products'!D:D,'All Products'!I:I,FALSE)</f>
        <v>Within 3 Weeks</v>
      </c>
      <c r="P252" s="384" t="str">
        <f>_xlfn.XLOOKUP(E252,'All Products'!D:D,'All Products'!J:J,FALSE)</f>
        <v>Manufactured</v>
      </c>
      <c r="Q252" s="397">
        <f>_xlfn.XLOOKUP(E252,'All Products'!D:D,'All Products'!K:K,FALSE)</f>
        <v>49081131760</v>
      </c>
      <c r="R252" s="397">
        <f>_xlfn.XLOOKUP(E252,'All Products'!D:D,'All Products'!L:L,FALSE)</f>
        <v>49081631765</v>
      </c>
      <c r="S252" s="397">
        <f>_xlfn.XLOOKUP(E252,'All Products'!D:D,'All Products'!M:M,FALSE)</f>
        <v>40049081131768</v>
      </c>
      <c r="T252" s="384">
        <f>_xlfn.XLOOKUP(E252,'All Products'!D:D,'All Products'!N:N,FALSE)</f>
        <v>3.1E-2</v>
      </c>
      <c r="U252" s="397">
        <f>_xlfn.XLOOKUP(E252,'All Products'!D:D,'All Products'!O:O,FALSE)</f>
        <v>10</v>
      </c>
      <c r="V252" s="384">
        <f>_xlfn.XLOOKUP(E252,'All Products'!D:D,'All Products'!P:P,FALSE)</f>
        <v>11.4</v>
      </c>
      <c r="W252" s="384">
        <f>_xlfn.XLOOKUP(E252,'All Products'!D:D,'All Products'!Q:Q,FALSE)</f>
        <v>0.65</v>
      </c>
    </row>
    <row r="253" spans="1:23" ht="15" customHeight="1">
      <c r="A253" s="101" t="str">
        <f>IF(K253&gt;0,COUNT($A$7:A252)
+COUNT('DWV PVC'!$A$9:$A$316)
+COUNT('DWV ABS'!$A$8:$A$116)+1,"")</f>
        <v/>
      </c>
      <c r="B253" s="610"/>
      <c r="C253" s="611"/>
      <c r="D253" s="369" t="str">
        <f>_xlfn.XLOOKUP(E253,'All Products'!D:D,'All Products'!C:C,FALSE)</f>
        <v>436-102</v>
      </c>
      <c r="E253" s="51">
        <v>100022812</v>
      </c>
      <c r="F253" s="376" t="str">
        <f>_xlfn.XLOOKUP(E253,'All Products'!D:D,'All Products'!E:E,FALSE)</f>
        <v>3/4X1 RED MALE ADAPTER MIPT X S</v>
      </c>
      <c r="G253" s="232">
        <f>_xlfn.XLOOKUP(E253,'All Products'!D:D,'All Products'!F:F,FALSE)</f>
        <v>100</v>
      </c>
      <c r="H253" s="387">
        <f>_xlfn.XLOOKUP(E253,'All Products'!D:D,'All Products'!G:G,FALSE)</f>
        <v>12000</v>
      </c>
      <c r="I253" s="394">
        <f>_xlfn.XLOOKUP(E253,'All Products'!D:D,'All Products'!H:H,FALSE)</f>
        <v>4.07</v>
      </c>
      <c r="J253" s="183">
        <f>IFERROR(ROUND(I253*Order_Quote!$L$4,2),0)</f>
        <v>4.07</v>
      </c>
      <c r="K253" s="73"/>
      <c r="L253" s="76"/>
      <c r="M253" s="114">
        <f t="shared" si="23"/>
        <v>0</v>
      </c>
      <c r="O253" s="384" t="str">
        <f>_xlfn.XLOOKUP(E253,'All Products'!D:D,'All Products'!I:I,FALSE)</f>
        <v>In Stock</v>
      </c>
      <c r="P253" s="384" t="str">
        <f>_xlfn.XLOOKUP(E253,'All Products'!D:D,'All Products'!J:J,FALSE)</f>
        <v>Manufactured</v>
      </c>
      <c r="Q253" s="397">
        <f>_xlfn.XLOOKUP(E253,'All Products'!D:D,'All Products'!K:K,FALSE)</f>
        <v>49081131746</v>
      </c>
      <c r="R253" s="397">
        <f>_xlfn.XLOOKUP(E253,'All Products'!D:D,'All Products'!L:L,FALSE)</f>
        <v>49081631741</v>
      </c>
      <c r="S253" s="397">
        <f>_xlfn.XLOOKUP(E253,'All Products'!D:D,'All Products'!M:M,FALSE)</f>
        <v>40049081131744</v>
      </c>
      <c r="T253" s="384">
        <f>_xlfn.XLOOKUP(E253,'All Products'!D:D,'All Products'!N:N,FALSE)</f>
        <v>7.4999999999999997E-2</v>
      </c>
      <c r="U253" s="397">
        <f>_xlfn.XLOOKUP(E253,'All Products'!D:D,'All Products'!O:O,FALSE)</f>
        <v>10</v>
      </c>
      <c r="V253" s="384">
        <f>_xlfn.XLOOKUP(E253,'All Products'!D:D,'All Products'!P:P,FALSE)</f>
        <v>8.5</v>
      </c>
      <c r="W253" s="384">
        <f>_xlfn.XLOOKUP(E253,'All Products'!D:D,'All Products'!Q:Q,FALSE)</f>
        <v>0.65</v>
      </c>
    </row>
    <row r="254" spans="1:23" ht="15" customHeight="1">
      <c r="B254" s="610"/>
      <c r="C254" s="611"/>
      <c r="D254" s="369" t="str">
        <f>_xlfn.XLOOKUP(E254,'All Products'!D:D,'All Products'!C:C,FALSE)</f>
        <v>436-103</v>
      </c>
      <c r="E254" s="51">
        <v>100022813</v>
      </c>
      <c r="F254" s="376" t="str">
        <f>_xlfn.XLOOKUP(E254,'All Products'!D:D,'All Products'!E:E,FALSE)</f>
        <v>3/4 X 1-1/4" RED MALE ADAPTER MIPT X S</v>
      </c>
      <c r="G254" s="232">
        <f>_xlfn.XLOOKUP(E254,'All Products'!D:D,'All Products'!F:F,FALSE)</f>
        <v>100</v>
      </c>
      <c r="H254" s="387">
        <f>_xlfn.XLOOKUP(E254,'All Products'!D:D,'All Products'!G:G,FALSE)</f>
        <v>6000</v>
      </c>
      <c r="I254" s="394">
        <f>_xlfn.XLOOKUP(E254,'All Products'!D:D,'All Products'!H:H,FALSE)</f>
        <v>6.5</v>
      </c>
      <c r="J254" s="183">
        <f>IFERROR(ROUND(I254*Order_Quote!$L$4,2),0)</f>
        <v>6.5</v>
      </c>
      <c r="K254" s="73"/>
      <c r="L254" s="76"/>
      <c r="M254" s="114">
        <f t="shared" ref="M254:M263" si="25">K254/G254</f>
        <v>0</v>
      </c>
      <c r="O254" s="384" t="str">
        <f>_xlfn.XLOOKUP(E254,'All Products'!D:D,'All Products'!I:I,FALSE)</f>
        <v>Within 3 Weeks</v>
      </c>
      <c r="P254" s="384" t="str">
        <f>_xlfn.XLOOKUP(E254,'All Products'!D:D,'All Products'!J:J,FALSE)</f>
        <v>Manufactured</v>
      </c>
      <c r="Q254" s="397">
        <f>_xlfn.XLOOKUP(E254,'All Products'!D:D,'All Products'!K:K,FALSE)</f>
        <v>49081131739</v>
      </c>
      <c r="R254" s="397">
        <f>_xlfn.XLOOKUP(E254,'All Products'!D:D,'All Products'!L:L,FALSE)</f>
        <v>49081631734</v>
      </c>
      <c r="S254" s="397">
        <f>_xlfn.XLOOKUP(E254,'All Products'!D:D,'All Products'!M:M,FALSE)</f>
        <v>40049081131737</v>
      </c>
      <c r="T254" s="384">
        <f>_xlfn.XLOOKUP(E254,'All Products'!D:D,'All Products'!N:N,FALSE)</f>
        <v>0.111</v>
      </c>
      <c r="U254" s="397">
        <f>_xlfn.XLOOKUP(E254,'All Products'!D:D,'All Products'!O:O,FALSE)</f>
        <v>10</v>
      </c>
      <c r="V254" s="384">
        <f>_xlfn.XLOOKUP(E254,'All Products'!D:D,'All Products'!P:P,FALSE)</f>
        <v>12.8</v>
      </c>
      <c r="W254" s="384">
        <f>_xlfn.XLOOKUP(E254,'All Products'!D:D,'All Products'!Q:Q,FALSE)</f>
        <v>0.72</v>
      </c>
    </row>
    <row r="255" spans="1:23" ht="15" customHeight="1">
      <c r="A255" s="101" t="str">
        <f>IF(K255&gt;0,COUNT($A$7:A253)
+COUNT('DWV PVC'!$A$9:$A$316)
+COUNT('DWV ABS'!$A$8:$A$116)+1,"")</f>
        <v/>
      </c>
      <c r="B255" s="610"/>
      <c r="C255" s="611"/>
      <c r="D255" s="369" t="str">
        <f>_xlfn.XLOOKUP(E255,'All Products'!D:D,'All Products'!C:C,FALSE)</f>
        <v>436-130-2</v>
      </c>
      <c r="E255" s="51">
        <v>100022814</v>
      </c>
      <c r="F255" s="376" t="str">
        <f>_xlfn.XLOOKUP(E255,'All Products'!D:D,'All Products'!E:E,FALSE)</f>
        <v>1X1/2 RED MALE ADAPTER MIPT X S</v>
      </c>
      <c r="G255" s="232">
        <f>_xlfn.XLOOKUP(E255,'All Products'!D:D,'All Products'!F:F,FALSE)</f>
        <v>250</v>
      </c>
      <c r="H255" s="387">
        <f>_xlfn.XLOOKUP(E255,'All Products'!D:D,'All Products'!G:G,FALSE)</f>
        <v>18750</v>
      </c>
      <c r="I255" s="394">
        <f>_xlfn.XLOOKUP(E255,'All Products'!D:D,'All Products'!H:H,FALSE)</f>
        <v>7.57</v>
      </c>
      <c r="J255" s="183">
        <f>IFERROR(ROUND(I255*Order_Quote!$L$4,2),0)</f>
        <v>7.57</v>
      </c>
      <c r="K255" s="73"/>
      <c r="L255" s="76"/>
      <c r="M255" s="114">
        <f t="shared" si="25"/>
        <v>0</v>
      </c>
      <c r="O255" s="384" t="str">
        <f>_xlfn.XLOOKUP(E255,'All Products'!D:D,'All Products'!I:I,FALSE)</f>
        <v>Within 3 Weeks</v>
      </c>
      <c r="P255" s="384" t="str">
        <f>_xlfn.XLOOKUP(E255,'All Products'!D:D,'All Products'!J:J,FALSE)</f>
        <v>Manufactured</v>
      </c>
      <c r="Q255" s="397">
        <f>_xlfn.XLOOKUP(E255,'All Products'!D:D,'All Products'!K:K,FALSE)</f>
        <v>49081131838</v>
      </c>
      <c r="R255" s="397">
        <f>_xlfn.XLOOKUP(E255,'All Products'!D:D,'All Products'!L:L,FALSE)</f>
        <v>49081631833</v>
      </c>
      <c r="S255" s="397">
        <f>_xlfn.XLOOKUP(E255,'All Products'!D:D,'All Products'!M:M,FALSE)</f>
        <v>40049081131836</v>
      </c>
      <c r="T255" s="384">
        <f>_xlfn.XLOOKUP(E255,'All Products'!D:D,'All Products'!N:N,FALSE)</f>
        <v>4.3999999999999997E-2</v>
      </c>
      <c r="U255" s="397">
        <f>_xlfn.XLOOKUP(E255,'All Products'!D:D,'All Products'!O:O,FALSE)</f>
        <v>10</v>
      </c>
      <c r="V255" s="384">
        <f>_xlfn.XLOOKUP(E255,'All Products'!D:D,'All Products'!P:P,FALSE)</f>
        <v>24.58</v>
      </c>
      <c r="W255" s="384">
        <f>_xlfn.XLOOKUP(E255,'All Products'!D:D,'All Products'!Q:Q,FALSE)</f>
        <v>0.95</v>
      </c>
    </row>
    <row r="256" spans="1:23" ht="15" customHeight="1">
      <c r="A256" s="101" t="str">
        <f>IF(K256&gt;0,COUNT($A$7:A255)
+COUNT('DWV PVC'!$A$9:$A$316)
+COUNT('DWV ABS'!$A$8:$A$116)+1,"")</f>
        <v/>
      </c>
      <c r="B256" s="610"/>
      <c r="C256" s="611"/>
      <c r="D256" s="369" t="str">
        <f>_xlfn.XLOOKUP(E256,'All Products'!D:D,'All Products'!C:C,FALSE)</f>
        <v>436-131</v>
      </c>
      <c r="E256" s="51">
        <v>100022816</v>
      </c>
      <c r="F256" s="376" t="str">
        <f>_xlfn.XLOOKUP(E256,'All Products'!D:D,'All Products'!E:E,FALSE)</f>
        <v>1X3/4 RED MALE ADAPTER MIPT X S</v>
      </c>
      <c r="G256" s="232">
        <f>_xlfn.XLOOKUP(E256,'All Products'!D:D,'All Products'!F:F,FALSE)</f>
        <v>200</v>
      </c>
      <c r="H256" s="387">
        <f>_xlfn.XLOOKUP(E256,'All Products'!D:D,'All Products'!G:G,FALSE)</f>
        <v>18000</v>
      </c>
      <c r="I256" s="394">
        <f>_xlfn.XLOOKUP(E256,'All Products'!D:D,'All Products'!H:H,FALSE)</f>
        <v>8.77</v>
      </c>
      <c r="J256" s="183">
        <f>IFERROR(ROUND(I256*Order_Quote!$L$4,2),0)</f>
        <v>8.77</v>
      </c>
      <c r="K256" s="73"/>
      <c r="L256" s="76"/>
      <c r="M256" s="114">
        <f t="shared" si="25"/>
        <v>0</v>
      </c>
      <c r="O256" s="384" t="str">
        <f>_xlfn.XLOOKUP(E256,'All Products'!D:D,'All Products'!I:I,FALSE)</f>
        <v>In Stock</v>
      </c>
      <c r="P256" s="384" t="str">
        <f>_xlfn.XLOOKUP(E256,'All Products'!D:D,'All Products'!J:J,FALSE)</f>
        <v>Manufactured</v>
      </c>
      <c r="Q256" s="397">
        <f>_xlfn.XLOOKUP(E256,'All Products'!D:D,'All Products'!K:K,FALSE)</f>
        <v>49081131821</v>
      </c>
      <c r="R256" s="397">
        <f>_xlfn.XLOOKUP(E256,'All Products'!D:D,'All Products'!L:L,FALSE)</f>
        <v>49081631826</v>
      </c>
      <c r="S256" s="397">
        <f>_xlfn.XLOOKUP(E256,'All Products'!D:D,'All Products'!M:M,FALSE)</f>
        <v>40049081131829</v>
      </c>
      <c r="T256" s="384">
        <f>_xlfn.XLOOKUP(E256,'All Products'!D:D,'All Products'!N:N,FALSE)</f>
        <v>5.3999999999999999E-2</v>
      </c>
      <c r="U256" s="397">
        <f>_xlfn.XLOOKUP(E256,'All Products'!D:D,'All Products'!O:O,FALSE)</f>
        <v>10</v>
      </c>
      <c r="V256" s="384">
        <f>_xlfn.XLOOKUP(E256,'All Products'!D:D,'All Products'!P:P,FALSE)</f>
        <v>13.25</v>
      </c>
      <c r="W256" s="384">
        <f>_xlfn.XLOOKUP(E256,'All Products'!D:D,'All Products'!Q:Q,FALSE)</f>
        <v>0.8</v>
      </c>
    </row>
    <row r="257" spans="1:23" ht="15" customHeight="1">
      <c r="A257" s="101" t="str">
        <f>IF(K257&gt;0,COUNT($A$7:A256)
+COUNT('DWV PVC'!$A$9:$A$316)
+COUNT('DWV ABS'!$A$8:$A$116)+1,"")</f>
        <v/>
      </c>
      <c r="B257" s="610"/>
      <c r="C257" s="611"/>
      <c r="D257" s="369" t="str">
        <f>_xlfn.XLOOKUP(E257,'All Products'!D:D,'All Products'!C:C,FALSE)</f>
        <v>436-132</v>
      </c>
      <c r="E257" s="51">
        <v>100022818</v>
      </c>
      <c r="F257" s="376" t="str">
        <f>_xlfn.XLOOKUP(E257,'All Products'!D:D,'All Products'!E:E,FALSE)</f>
        <v>1x1-1/4 RED MALE ADAPTER MIPTXS</v>
      </c>
      <c r="G257" s="232">
        <f>_xlfn.XLOOKUP(E257,'All Products'!D:D,'All Products'!F:F,FALSE)</f>
        <v>50</v>
      </c>
      <c r="H257" s="387">
        <f>_xlfn.XLOOKUP(E257,'All Products'!D:D,'All Products'!G:G,FALSE)</f>
        <v>7500</v>
      </c>
      <c r="I257" s="394">
        <f>_xlfn.XLOOKUP(E257,'All Products'!D:D,'All Products'!H:H,FALSE)</f>
        <v>9.5</v>
      </c>
      <c r="J257" s="183">
        <f>IFERROR(ROUND(I257*Order_Quote!$L$4,2),0)</f>
        <v>9.5</v>
      </c>
      <c r="K257" s="73"/>
      <c r="L257" s="76"/>
      <c r="M257" s="114">
        <f t="shared" si="25"/>
        <v>0</v>
      </c>
      <c r="O257" s="384" t="str">
        <f>_xlfn.XLOOKUP(E257,'All Products'!D:D,'All Products'!I:I,FALSE)</f>
        <v>In Stock</v>
      </c>
      <c r="P257" s="384" t="str">
        <f>_xlfn.XLOOKUP(E257,'All Products'!D:D,'All Products'!J:J,FALSE)</f>
        <v>Manufactured</v>
      </c>
      <c r="Q257" s="397">
        <f>_xlfn.XLOOKUP(E257,'All Products'!D:D,'All Products'!K:K,FALSE)</f>
        <v>49081131807</v>
      </c>
      <c r="R257" s="397">
        <f>_xlfn.XLOOKUP(E257,'All Products'!D:D,'All Products'!L:L,FALSE)</f>
        <v>49081631802</v>
      </c>
      <c r="S257" s="397">
        <f>_xlfn.XLOOKUP(E257,'All Products'!D:D,'All Products'!M:M,FALSE)</f>
        <v>40049081131805</v>
      </c>
      <c r="T257" s="384">
        <f>_xlfn.XLOOKUP(E257,'All Products'!D:D,'All Products'!N:N,FALSE)</f>
        <v>0.105</v>
      </c>
      <c r="U257" s="397">
        <f>_xlfn.XLOOKUP(E257,'All Products'!D:D,'All Products'!O:O,FALSE)</f>
        <v>5</v>
      </c>
      <c r="V257" s="384">
        <f>_xlfn.XLOOKUP(E257,'All Products'!D:D,'All Products'!P:P,FALSE)</f>
        <v>6.87</v>
      </c>
      <c r="W257" s="384">
        <f>_xlfn.XLOOKUP(E257,'All Products'!D:D,'All Products'!Q:Q,FALSE)</f>
        <v>0.5</v>
      </c>
    </row>
    <row r="258" spans="1:23" ht="15" customHeight="1">
      <c r="A258" s="101" t="str">
        <f>IF(K258&gt;0,COUNT($A$7:A257)
+COUNT('DWV PVC'!$A$9:$A$316)
+COUNT('DWV ABS'!$A$8:$A$116)+1,"")</f>
        <v/>
      </c>
      <c r="B258" s="610"/>
      <c r="C258" s="611"/>
      <c r="D258" s="369" t="str">
        <f>_xlfn.XLOOKUP(E258,'All Products'!D:D,'All Products'!C:C,FALSE)</f>
        <v>436-168</v>
      </c>
      <c r="E258" s="51">
        <v>100022820</v>
      </c>
      <c r="F258" s="376" t="str">
        <f>_xlfn.XLOOKUP(E258,'All Products'!D:D,'All Products'!E:E,FALSE)</f>
        <v>1-1/4X1 RED MALE ADAPTER MIPT X S</v>
      </c>
      <c r="G258" s="232">
        <f>_xlfn.XLOOKUP(E258,'All Products'!D:D,'All Products'!F:F,FALSE)</f>
        <v>100</v>
      </c>
      <c r="H258" s="387">
        <f>_xlfn.XLOOKUP(E258,'All Products'!D:D,'All Products'!G:G,FALSE)</f>
        <v>9000</v>
      </c>
      <c r="I258" s="394">
        <f>_xlfn.XLOOKUP(E258,'All Products'!D:D,'All Products'!H:H,FALSE)</f>
        <v>10.73</v>
      </c>
      <c r="J258" s="183">
        <f>IFERROR(ROUND(I258*Order_Quote!$L$4,2),0)</f>
        <v>10.73</v>
      </c>
      <c r="K258" s="73"/>
      <c r="L258" s="76"/>
      <c r="M258" s="114">
        <f t="shared" si="25"/>
        <v>0</v>
      </c>
      <c r="O258" s="384" t="str">
        <f>_xlfn.XLOOKUP(E258,'All Products'!D:D,'All Products'!I:I,FALSE)</f>
        <v>In Stock</v>
      </c>
      <c r="P258" s="384" t="str">
        <f>_xlfn.XLOOKUP(E258,'All Products'!D:D,'All Products'!J:J,FALSE)</f>
        <v>Manufactured</v>
      </c>
      <c r="Q258" s="397">
        <f>_xlfn.XLOOKUP(E258,'All Products'!D:D,'All Products'!K:K,FALSE)</f>
        <v>49081131883</v>
      </c>
      <c r="R258" s="397">
        <f>_xlfn.XLOOKUP(E258,'All Products'!D:D,'All Products'!L:L,FALSE)</f>
        <v>49081631888</v>
      </c>
      <c r="S258" s="397">
        <f>_xlfn.XLOOKUP(E258,'All Products'!D:D,'All Products'!M:M,FALSE)</f>
        <v>40049081131881</v>
      </c>
      <c r="T258" s="384">
        <f>_xlfn.XLOOKUP(E258,'All Products'!D:D,'All Products'!N:N,FALSE)</f>
        <v>0.122</v>
      </c>
      <c r="U258" s="397">
        <f>_xlfn.XLOOKUP(E258,'All Products'!D:D,'All Products'!O:O,FALSE)</f>
        <v>5</v>
      </c>
      <c r="V258" s="384">
        <f>_xlfn.XLOOKUP(E258,'All Products'!D:D,'All Products'!P:P,FALSE)</f>
        <v>13.2</v>
      </c>
      <c r="W258" s="384">
        <f>_xlfn.XLOOKUP(E258,'All Products'!D:D,'All Products'!Q:Q,FALSE)</f>
        <v>0.8</v>
      </c>
    </row>
    <row r="259" spans="1:23" ht="15" customHeight="1">
      <c r="B259" s="610"/>
      <c r="C259" s="611"/>
      <c r="D259" s="369" t="str">
        <f>_xlfn.XLOOKUP(E259,'All Products'!D:D,'All Products'!C:C,FALSE)</f>
        <v>436-168-2</v>
      </c>
      <c r="E259" s="51">
        <v>100022821</v>
      </c>
      <c r="F259" s="376" t="str">
        <f>_xlfn.XLOOKUP(E259,'All Products'!D:D,'All Products'!E:E,FALSE)</f>
        <v>1-1/4 X 1"RED MALE ADAPTER MIPT X S FLUSH STYLE</v>
      </c>
      <c r="G259" s="232">
        <f>_xlfn.XLOOKUP(E259,'All Products'!D:D,'All Products'!F:F,FALSE)</f>
        <v>125</v>
      </c>
      <c r="H259" s="387">
        <f>_xlfn.XLOOKUP(E259,'All Products'!D:D,'All Products'!G:G,FALSE)</f>
        <v>7500</v>
      </c>
      <c r="I259" s="394">
        <f>_xlfn.XLOOKUP(E259,'All Products'!D:D,'All Products'!H:H,FALSE)</f>
        <v>10.220000000000001</v>
      </c>
      <c r="J259" s="183">
        <f>IFERROR(ROUND(I259*Order_Quote!$L$4,2),0)</f>
        <v>10.220000000000001</v>
      </c>
      <c r="K259" s="73"/>
      <c r="L259" s="76"/>
      <c r="M259" s="114">
        <f t="shared" si="25"/>
        <v>0</v>
      </c>
      <c r="O259" s="384" t="str">
        <f>_xlfn.XLOOKUP(E259,'All Products'!D:D,'All Products'!I:I,FALSE)</f>
        <v>Within 3 Weeks</v>
      </c>
      <c r="P259" s="384" t="str">
        <f>_xlfn.XLOOKUP(E259,'All Products'!D:D,'All Products'!J:J,FALSE)</f>
        <v>Manufactured</v>
      </c>
      <c r="Q259" s="397">
        <f>_xlfn.XLOOKUP(E259,'All Products'!D:D,'All Products'!K:K,FALSE)</f>
        <v>49081131876</v>
      </c>
      <c r="R259" s="397">
        <f>_xlfn.XLOOKUP(E259,'All Products'!D:D,'All Products'!L:L,FALSE)</f>
        <v>49081631871</v>
      </c>
      <c r="S259" s="397">
        <f>_xlfn.XLOOKUP(E259,'All Products'!D:D,'All Products'!M:M,FALSE)</f>
        <v>40049081131874</v>
      </c>
      <c r="T259" s="384">
        <f>_xlfn.XLOOKUP(E259,'All Products'!D:D,'All Products'!N:N,FALSE)</f>
        <v>0.111</v>
      </c>
      <c r="U259" s="397">
        <f>_xlfn.XLOOKUP(E259,'All Products'!D:D,'All Products'!O:O,FALSE)</f>
        <v>5</v>
      </c>
      <c r="V259" s="384">
        <f>_xlfn.XLOOKUP(E259,'All Products'!D:D,'All Products'!P:P,FALSE)</f>
        <v>14</v>
      </c>
      <c r="W259" s="384">
        <f>_xlfn.XLOOKUP(E259,'All Products'!D:D,'All Products'!Q:Q,FALSE)</f>
        <v>0.72</v>
      </c>
    </row>
    <row r="260" spans="1:23" ht="15" customHeight="1">
      <c r="A260" s="101" t="str">
        <f>IF(K260&gt;0,COUNT($A$7:A258)
+COUNT('DWV PVC'!$A$9:$A$316)
+COUNT('DWV ABS'!$A$8:$A$116)+1,"")</f>
        <v/>
      </c>
      <c r="B260" s="610"/>
      <c r="C260" s="611"/>
      <c r="D260" s="369" t="str">
        <f>_xlfn.XLOOKUP(E260,'All Products'!D:D,'All Products'!C:C,FALSE)</f>
        <v>436-169</v>
      </c>
      <c r="E260" s="51">
        <v>100022823</v>
      </c>
      <c r="F260" s="376" t="str">
        <f>_xlfn.XLOOKUP(E260,'All Products'!D:D,'All Products'!E:E,FALSE)</f>
        <v>1-1/4X1-1/2 RED MALE ADAPT MIPTXS</v>
      </c>
      <c r="G260" s="232">
        <f>_xlfn.XLOOKUP(E260,'All Products'!D:D,'All Products'!F:F,FALSE)</f>
        <v>125</v>
      </c>
      <c r="H260" s="387">
        <f>_xlfn.XLOOKUP(E260,'All Products'!D:D,'All Products'!G:G,FALSE)</f>
        <v>7500</v>
      </c>
      <c r="I260" s="394">
        <f>_xlfn.XLOOKUP(E260,'All Products'!D:D,'All Products'!H:H,FALSE)</f>
        <v>10.73</v>
      </c>
      <c r="J260" s="183">
        <f>IFERROR(ROUND(I260*Order_Quote!$L$4,2),0)</f>
        <v>10.73</v>
      </c>
      <c r="K260" s="73"/>
      <c r="L260" s="76"/>
      <c r="M260" s="114">
        <f t="shared" si="25"/>
        <v>0</v>
      </c>
      <c r="O260" s="384" t="str">
        <f>_xlfn.XLOOKUP(E260,'All Products'!D:D,'All Products'!I:I,FALSE)</f>
        <v>Within 3 Weeks</v>
      </c>
      <c r="P260" s="384" t="str">
        <f>_xlfn.XLOOKUP(E260,'All Products'!D:D,'All Products'!J:J,FALSE)</f>
        <v>Manufactured</v>
      </c>
      <c r="Q260" s="397">
        <f>_xlfn.XLOOKUP(E260,'All Products'!D:D,'All Products'!K:K,FALSE)</f>
        <v>49081131869</v>
      </c>
      <c r="R260" s="397">
        <f>_xlfn.XLOOKUP(E260,'All Products'!D:D,'All Products'!L:L,FALSE)</f>
        <v>49081631864</v>
      </c>
      <c r="S260" s="397">
        <f>_xlfn.XLOOKUP(E260,'All Products'!D:D,'All Products'!M:M,FALSE)</f>
        <v>40049081131867</v>
      </c>
      <c r="T260" s="384">
        <f>_xlfn.XLOOKUP(E260,'All Products'!D:D,'All Products'!N:N,FALSE)</f>
        <v>0.15</v>
      </c>
      <c r="U260" s="397">
        <f>_xlfn.XLOOKUP(E260,'All Products'!D:D,'All Products'!O:O,FALSE)</f>
        <v>5</v>
      </c>
      <c r="V260" s="384">
        <f>_xlfn.XLOOKUP(E260,'All Products'!D:D,'All Products'!P:P,FALSE)</f>
        <v>21.5</v>
      </c>
      <c r="W260" s="384">
        <f>_xlfn.XLOOKUP(E260,'All Products'!D:D,'All Products'!Q:Q,FALSE)</f>
        <v>1.25</v>
      </c>
    </row>
    <row r="261" spans="1:23" ht="15" customHeight="1">
      <c r="A261" s="101" t="str">
        <f>IF(K261&gt;0,COUNT($A$7:A260)
+COUNT('DWV PVC'!$A$9:$A$316)
+COUNT('DWV ABS'!$A$8:$A$116)+1,"")</f>
        <v/>
      </c>
      <c r="B261" s="610"/>
      <c r="C261" s="611"/>
      <c r="D261" s="369" t="str">
        <f>_xlfn.XLOOKUP(E261,'All Products'!D:D,'All Products'!C:C,FALSE)</f>
        <v>436-211-2</v>
      </c>
      <c r="E261" s="51">
        <v>100022825</v>
      </c>
      <c r="F261" s="376" t="str">
        <f>_xlfn.XLOOKUP(E261,'All Products'!D:D,'All Products'!E:E,FALSE)</f>
        <v>1-1/2X1 RED MALE ADAPTER MIPT X S</v>
      </c>
      <c r="G261" s="232">
        <f>_xlfn.XLOOKUP(E261,'All Products'!D:D,'All Products'!F:F,FALSE)</f>
        <v>125</v>
      </c>
      <c r="H261" s="387">
        <f>_xlfn.XLOOKUP(E261,'All Products'!D:D,'All Products'!G:G,FALSE)</f>
        <v>11250</v>
      </c>
      <c r="I261" s="394">
        <f>_xlfn.XLOOKUP(E261,'All Products'!D:D,'All Products'!H:H,FALSE)</f>
        <v>9.73</v>
      </c>
      <c r="J261" s="183">
        <f>IFERROR(ROUND(I261*Order_Quote!$L$4,2),0)</f>
        <v>9.73</v>
      </c>
      <c r="K261" s="73"/>
      <c r="L261" s="76"/>
      <c r="M261" s="114">
        <f t="shared" si="25"/>
        <v>0</v>
      </c>
      <c r="O261" s="384" t="str">
        <f>_xlfn.XLOOKUP(E261,'All Products'!D:D,'All Products'!I:I,FALSE)</f>
        <v>Within 3 Weeks</v>
      </c>
      <c r="P261" s="384" t="str">
        <f>_xlfn.XLOOKUP(E261,'All Products'!D:D,'All Products'!J:J,FALSE)</f>
        <v>Manufactured</v>
      </c>
      <c r="Q261" s="397">
        <f>_xlfn.XLOOKUP(E261,'All Products'!D:D,'All Products'!K:K,FALSE)</f>
        <v>49081131913</v>
      </c>
      <c r="R261" s="397">
        <f>_xlfn.XLOOKUP(E261,'All Products'!D:D,'All Products'!L:L,FALSE)</f>
        <v>49081631918</v>
      </c>
      <c r="S261" s="397">
        <f>_xlfn.XLOOKUP(E261,'All Products'!D:D,'All Products'!M:M,FALSE)</f>
        <v>40049081131911</v>
      </c>
      <c r="T261" s="384">
        <f>_xlfn.XLOOKUP(E261,'All Products'!D:D,'All Products'!N:N,FALSE)</f>
        <v>0.151</v>
      </c>
      <c r="U261" s="397">
        <f>_xlfn.XLOOKUP(E261,'All Products'!D:D,'All Products'!O:O,FALSE)</f>
        <v>5</v>
      </c>
      <c r="V261" s="384">
        <f>_xlfn.XLOOKUP(E261,'All Products'!D:D,'All Products'!P:P,FALSE)</f>
        <v>12.6</v>
      </c>
      <c r="W261" s="384">
        <f>_xlfn.XLOOKUP(E261,'All Products'!D:D,'All Products'!Q:Q,FALSE)</f>
        <v>0.8</v>
      </c>
    </row>
    <row r="262" spans="1:23" ht="15" customHeight="1">
      <c r="A262" s="101" t="str">
        <f>IF(K262&gt;0,COUNT($A$7:A261)
+COUNT('DWV PVC'!$A$9:$A$316)
+COUNT('DWV ABS'!$A$8:$A$116)+1,"")</f>
        <v/>
      </c>
      <c r="B262" s="610"/>
      <c r="C262" s="611"/>
      <c r="D262" s="369" t="str">
        <f>_xlfn.XLOOKUP(E262,'All Products'!D:D,'All Products'!C:C,FALSE)</f>
        <v>436-212</v>
      </c>
      <c r="E262" s="51">
        <v>100022827</v>
      </c>
      <c r="F262" s="376" t="str">
        <f>_xlfn.XLOOKUP(E262,'All Products'!D:D,'All Products'!E:E,FALSE)</f>
        <v>1-1/2X1-1/4 RED MALE ADAPTER MXS</v>
      </c>
      <c r="G262" s="232">
        <f>_xlfn.XLOOKUP(E262,'All Products'!D:D,'All Products'!F:F,FALSE)</f>
        <v>50</v>
      </c>
      <c r="H262" s="387">
        <f>_xlfn.XLOOKUP(E262,'All Products'!D:D,'All Products'!G:G,FALSE)</f>
        <v>6000</v>
      </c>
      <c r="I262" s="394">
        <f>_xlfn.XLOOKUP(E262,'All Products'!D:D,'All Products'!H:H,FALSE)</f>
        <v>12.99</v>
      </c>
      <c r="J262" s="183">
        <f>IFERROR(ROUND(I262*Order_Quote!$L$4,2),0)</f>
        <v>12.99</v>
      </c>
      <c r="K262" s="73"/>
      <c r="L262" s="76"/>
      <c r="M262" s="114">
        <f t="shared" si="25"/>
        <v>0</v>
      </c>
      <c r="O262" s="384" t="str">
        <f>_xlfn.XLOOKUP(E262,'All Products'!D:D,'All Products'!I:I,FALSE)</f>
        <v>In Stock</v>
      </c>
      <c r="P262" s="384" t="str">
        <f>_xlfn.XLOOKUP(E262,'All Products'!D:D,'All Products'!J:J,FALSE)</f>
        <v>Manufactured</v>
      </c>
      <c r="Q262" s="397">
        <f>_xlfn.XLOOKUP(E262,'All Products'!D:D,'All Products'!K:K,FALSE)</f>
        <v>49081131944</v>
      </c>
      <c r="R262" s="397">
        <f>_xlfn.XLOOKUP(E262,'All Products'!D:D,'All Products'!L:L,FALSE)</f>
        <v>49081631949</v>
      </c>
      <c r="S262" s="397">
        <f>_xlfn.XLOOKUP(E262,'All Products'!D:D,'All Products'!M:M,FALSE)</f>
        <v>40049081131942</v>
      </c>
      <c r="T262" s="384">
        <f>_xlfn.XLOOKUP(E262,'All Products'!D:D,'All Products'!N:N,FALSE)</f>
        <v>0.108</v>
      </c>
      <c r="U262" s="397">
        <f>_xlfn.XLOOKUP(E262,'All Products'!D:D,'All Products'!O:O,FALSE)</f>
        <v>5</v>
      </c>
      <c r="V262" s="384">
        <f>_xlfn.XLOOKUP(E262,'All Products'!D:D,'All Products'!P:P,FALSE)</f>
        <v>7.43</v>
      </c>
      <c r="W262" s="384">
        <f>_xlfn.XLOOKUP(E262,'All Products'!D:D,'All Products'!Q:Q,FALSE)</f>
        <v>0.65</v>
      </c>
    </row>
    <row r="263" spans="1:23" ht="15" customHeight="1">
      <c r="B263" s="610"/>
      <c r="C263" s="611"/>
      <c r="D263" s="369" t="str">
        <f>_xlfn.XLOOKUP(E263,'All Products'!D:D,'All Products'!C:C,FALSE)</f>
        <v>436-212-2</v>
      </c>
      <c r="E263" s="51">
        <v>100022828</v>
      </c>
      <c r="F263" s="376" t="str">
        <f>_xlfn.XLOOKUP(E263,'All Products'!D:D,'All Products'!E:E,FALSE)</f>
        <v>1-1/2X1-1/4"RED MALE ADAPTER MIPT X S FLUSH STYLE</v>
      </c>
      <c r="G263" s="232">
        <f>_xlfn.XLOOKUP(E263,'All Products'!D:D,'All Products'!F:F,FALSE)</f>
        <v>50</v>
      </c>
      <c r="H263" s="387">
        <f>_xlfn.XLOOKUP(E263,'All Products'!D:D,'All Products'!G:G,FALSE)</f>
        <v>4500</v>
      </c>
      <c r="I263" s="394">
        <f>_xlfn.XLOOKUP(E263,'All Products'!D:D,'All Products'!H:H,FALSE)</f>
        <v>12.37</v>
      </c>
      <c r="J263" s="183">
        <f>IFERROR(ROUND(I263*Order_Quote!$L$4,2),0)</f>
        <v>12.37</v>
      </c>
      <c r="K263" s="73"/>
      <c r="L263" s="76"/>
      <c r="M263" s="114">
        <f t="shared" si="25"/>
        <v>0</v>
      </c>
      <c r="O263" s="384" t="str">
        <f>_xlfn.XLOOKUP(E263,'All Products'!D:D,'All Products'!I:I,FALSE)</f>
        <v>Within 3 Weeks</v>
      </c>
      <c r="P263" s="384" t="str">
        <f>_xlfn.XLOOKUP(E263,'All Products'!D:D,'All Products'!J:J,FALSE)</f>
        <v>Manufactured</v>
      </c>
      <c r="Q263" s="397">
        <f>_xlfn.XLOOKUP(E263,'All Products'!D:D,'All Products'!K:K,FALSE)</f>
        <v>49081131937</v>
      </c>
      <c r="R263" s="397">
        <f>_xlfn.XLOOKUP(E263,'All Products'!D:D,'All Products'!L:L,FALSE)</f>
        <v>49081631932</v>
      </c>
      <c r="S263" s="397">
        <f>_xlfn.XLOOKUP(E263,'All Products'!D:D,'All Products'!M:M,FALSE)</f>
        <v>40049081131935</v>
      </c>
      <c r="T263" s="384">
        <f>_xlfn.XLOOKUP(E263,'All Products'!D:D,'All Products'!N:N,FALSE)</f>
        <v>0.10199999999999999</v>
      </c>
      <c r="U263" s="397">
        <f>_xlfn.XLOOKUP(E263,'All Products'!D:D,'All Products'!O:O,FALSE)</f>
        <v>5</v>
      </c>
      <c r="V263" s="384">
        <f>_xlfn.XLOOKUP(E263,'All Products'!D:D,'All Products'!P:P,FALSE)</f>
        <v>5.0999999999999996</v>
      </c>
      <c r="W263" s="384">
        <f>_xlfn.XLOOKUP(E263,'All Products'!D:D,'All Products'!Q:Q,FALSE)</f>
        <v>0.43</v>
      </c>
    </row>
    <row r="264" spans="1:23" ht="15" customHeight="1">
      <c r="A264" s="101" t="str">
        <f>IF(K264&gt;0,COUNT($A$7:A262)
+COUNT('DWV PVC'!$A$9:$A$316)
+COUNT('DWV ABS'!$A$8:$A$116)+1,"")</f>
        <v/>
      </c>
      <c r="B264" s="610"/>
      <c r="C264" s="611"/>
      <c r="D264" s="369" t="str">
        <f>_xlfn.XLOOKUP(E264,'All Products'!D:D,'All Products'!C:C,FALSE)</f>
        <v>436-213</v>
      </c>
      <c r="E264" s="51">
        <v>100022830</v>
      </c>
      <c r="F264" s="376" t="str">
        <f>_xlfn.XLOOKUP(E264,'All Products'!D:D,'All Products'!E:E,FALSE)</f>
        <v>1-1/2X2 RED MALE ADAPTER MXS</v>
      </c>
      <c r="G264" s="232">
        <f>_xlfn.XLOOKUP(E264,'All Products'!D:D,'All Products'!F:F,FALSE)</f>
        <v>50</v>
      </c>
      <c r="H264" s="387">
        <f>_xlfn.XLOOKUP(E264,'All Products'!D:D,'All Products'!G:G,FALSE)</f>
        <v>3750</v>
      </c>
      <c r="I264" s="394">
        <f>_xlfn.XLOOKUP(E264,'All Products'!D:D,'All Products'!H:H,FALSE)</f>
        <v>12.99</v>
      </c>
      <c r="J264" s="183">
        <f>IFERROR(ROUND(I264*Order_Quote!$L$4,2),0)</f>
        <v>12.99</v>
      </c>
      <c r="K264" s="73"/>
      <c r="L264" s="76"/>
      <c r="M264" s="114">
        <f t="shared" ref="M264:M265" si="26">K264/G264</f>
        <v>0</v>
      </c>
      <c r="O264" s="384" t="str">
        <f>_xlfn.XLOOKUP(E264,'All Products'!D:D,'All Products'!I:I,FALSE)</f>
        <v>In Stock</v>
      </c>
      <c r="P264" s="384" t="str">
        <f>_xlfn.XLOOKUP(E264,'All Products'!D:D,'All Products'!J:J,FALSE)</f>
        <v>Manufactured</v>
      </c>
      <c r="Q264" s="397">
        <f>_xlfn.XLOOKUP(E264,'All Products'!D:D,'All Products'!K:K,FALSE)</f>
        <v>49081131920</v>
      </c>
      <c r="R264" s="397">
        <f>_xlfn.XLOOKUP(E264,'All Products'!D:D,'All Products'!L:L,FALSE)</f>
        <v>49081631925</v>
      </c>
      <c r="S264" s="397">
        <f>_xlfn.XLOOKUP(E264,'All Products'!D:D,'All Products'!M:M,FALSE)</f>
        <v>40049081131928</v>
      </c>
      <c r="T264" s="384">
        <f>_xlfn.XLOOKUP(E264,'All Products'!D:D,'All Products'!N:N,FALSE)</f>
        <v>0.20699999999999999</v>
      </c>
      <c r="U264" s="397">
        <f>_xlfn.XLOOKUP(E264,'All Products'!D:D,'All Products'!O:O,FALSE)</f>
        <v>5</v>
      </c>
      <c r="V264" s="384">
        <f>_xlfn.XLOOKUP(E264,'All Products'!D:D,'All Products'!P:P,FALSE)</f>
        <v>14.64</v>
      </c>
      <c r="W264" s="384">
        <f>_xlfn.XLOOKUP(E264,'All Products'!D:D,'All Products'!Q:Q,FALSE)</f>
        <v>0.95</v>
      </c>
    </row>
    <row r="265" spans="1:23" ht="15" customHeight="1">
      <c r="A265" s="101" t="str">
        <f>IF(K265&gt;0,COUNT($A$7:A264)
+COUNT('DWV PVC'!$A$9:$A$316)
+COUNT('DWV ABS'!$A$8:$A$116)+1,"")</f>
        <v/>
      </c>
      <c r="B265" s="610"/>
      <c r="C265" s="611"/>
      <c r="D265" s="369" t="str">
        <f>_xlfn.XLOOKUP(E265,'All Products'!D:D,'All Products'!C:C,FALSE)</f>
        <v>436-251-2</v>
      </c>
      <c r="E265" s="51">
        <v>100022834</v>
      </c>
      <c r="F265" s="376" t="str">
        <f>_xlfn.XLOOKUP(E265,'All Products'!D:D,'All Products'!E:E,FALSE)</f>
        <v>2X1-1/2 RED MALE ADAPTER MIPTXS</v>
      </c>
      <c r="G265" s="232">
        <f>_xlfn.XLOOKUP(E265,'All Products'!D:D,'All Products'!F:F,FALSE)</f>
        <v>50</v>
      </c>
      <c r="H265" s="387">
        <f>_xlfn.XLOOKUP(E265,'All Products'!D:D,'All Products'!G:G,FALSE)</f>
        <v>7500</v>
      </c>
      <c r="I265" s="394">
        <f>_xlfn.XLOOKUP(E265,'All Products'!D:D,'All Products'!H:H,FALSE)</f>
        <v>14.8</v>
      </c>
      <c r="J265" s="183">
        <f>IFERROR(ROUND(I265*Order_Quote!$L$4,2),0)</f>
        <v>14.8</v>
      </c>
      <c r="K265" s="73"/>
      <c r="L265" s="76"/>
      <c r="M265" s="114">
        <f t="shared" si="26"/>
        <v>0</v>
      </c>
      <c r="O265" s="384" t="str">
        <f>_xlfn.XLOOKUP(E265,'All Products'!D:D,'All Products'!I:I,FALSE)</f>
        <v>In Stock</v>
      </c>
      <c r="P265" s="384" t="str">
        <f>_xlfn.XLOOKUP(E265,'All Products'!D:D,'All Products'!J:J,FALSE)</f>
        <v>Manufactured</v>
      </c>
      <c r="Q265" s="397">
        <f>_xlfn.XLOOKUP(E265,'All Products'!D:D,'All Products'!K:K,FALSE)</f>
        <v>49081132033</v>
      </c>
      <c r="R265" s="397">
        <f>_xlfn.XLOOKUP(E265,'All Products'!D:D,'All Products'!L:L,FALSE)</f>
        <v>49081632038</v>
      </c>
      <c r="S265" s="397">
        <f>_xlfn.XLOOKUP(E265,'All Products'!D:D,'All Products'!M:M,FALSE)</f>
        <v>40049081132031</v>
      </c>
      <c r="T265" s="384">
        <f>_xlfn.XLOOKUP(E265,'All Products'!D:D,'All Products'!N:N,FALSE)</f>
        <v>0.11600000000000001</v>
      </c>
      <c r="U265" s="397">
        <f>_xlfn.XLOOKUP(E265,'All Products'!D:D,'All Products'!O:O,FALSE)</f>
        <v>5</v>
      </c>
      <c r="V265" s="384">
        <f>_xlfn.XLOOKUP(E265,'All Products'!D:D,'All Products'!P:P,FALSE)</f>
        <v>6.62</v>
      </c>
      <c r="W265" s="384">
        <f>_xlfn.XLOOKUP(E265,'All Products'!D:D,'All Products'!Q:Q,FALSE)</f>
        <v>0.5</v>
      </c>
    </row>
    <row r="266" spans="1:23" ht="15" customHeight="1">
      <c r="A266" s="101" t="str">
        <f>IF(K266&gt;0,COUNT($A$7:A265)
+COUNT('DWV PVC'!$A$9:$A$316)
+COUNT('DWV ABS'!$A$8:$A$116)+1,"")</f>
        <v/>
      </c>
      <c r="B266" s="612"/>
      <c r="C266" s="613"/>
      <c r="D266" s="369" t="str">
        <f>_xlfn.XLOOKUP(E266,'All Products'!D:D,'All Products'!C:C,FALSE)</f>
        <v>436-341</v>
      </c>
      <c r="E266" s="51">
        <v>100022840</v>
      </c>
      <c r="F266" s="376" t="str">
        <f>_xlfn.XLOOKUP(E266,'All Products'!D:D,'All Products'!E:E,FALSE)</f>
        <v>3X4 REDUCING MALE ADAPTER MIPT X S</v>
      </c>
      <c r="G266" s="232">
        <f>_xlfn.XLOOKUP(E266,'All Products'!D:D,'All Products'!F:F,FALSE)</f>
        <v>6</v>
      </c>
      <c r="H266" s="387">
        <f>_xlfn.XLOOKUP(E266,'All Products'!D:D,'All Products'!G:G,FALSE)</f>
        <v>1500</v>
      </c>
      <c r="I266" s="394">
        <f>_xlfn.XLOOKUP(E266,'All Products'!D:D,'All Products'!H:H,FALSE)</f>
        <v>44.57</v>
      </c>
      <c r="J266" s="183">
        <f>IFERROR(ROUND(I266*Order_Quote!$L$4,2),0)</f>
        <v>44.57</v>
      </c>
      <c r="K266" s="73"/>
      <c r="L266" s="76"/>
      <c r="M266" s="114">
        <f t="shared" ref="M266:M306" si="27">K266/G266</f>
        <v>0</v>
      </c>
      <c r="O266" s="384" t="str">
        <f>_xlfn.XLOOKUP(E266,'All Products'!D:D,'All Products'!I:I,FALSE)</f>
        <v>In Stock</v>
      </c>
      <c r="P266" s="384" t="str">
        <f>_xlfn.XLOOKUP(E266,'All Products'!D:D,'All Products'!J:J,FALSE)</f>
        <v>Manufactured</v>
      </c>
      <c r="Q266" s="397">
        <f>_xlfn.XLOOKUP(E266,'All Products'!D:D,'All Products'!K:K,FALSE)</f>
        <v>49081305314</v>
      </c>
      <c r="R266" s="397" t="str">
        <f>_xlfn.XLOOKUP(E266,'All Products'!D:D,'All Products'!L:L,FALSE)</f>
        <v>-</v>
      </c>
      <c r="S266" s="397">
        <f>_xlfn.XLOOKUP(E266,'All Products'!D:D,'All Products'!M:M,FALSE)</f>
        <v>40049081305312</v>
      </c>
      <c r="T266" s="384">
        <f>_xlfn.XLOOKUP(E266,'All Products'!D:D,'All Products'!N:N,FALSE)</f>
        <v>0.83599999999999997</v>
      </c>
      <c r="U266" s="397" t="str">
        <f>_xlfn.XLOOKUP(E266,'All Products'!D:D,'All Products'!O:O,FALSE)</f>
        <v>-</v>
      </c>
      <c r="V266" s="384">
        <f>_xlfn.XLOOKUP(E266,'All Products'!D:D,'All Products'!P:P,FALSE)</f>
        <v>5.55</v>
      </c>
      <c r="W266" s="384">
        <f>_xlfn.XLOOKUP(E266,'All Products'!D:D,'All Products'!Q:Q,FALSE)</f>
        <v>0.5</v>
      </c>
    </row>
    <row r="267" spans="1:23" ht="15" customHeight="1">
      <c r="A267" s="101" t="str">
        <f>IF(K267&gt;0,COUNT($A$7:A266)
+COUNT('DWV PVC'!$A$9:$A$316)
+COUNT('DWV ABS'!$A$8:$A$116)+1,"")</f>
        <v/>
      </c>
      <c r="B267" s="608"/>
      <c r="C267" s="609"/>
      <c r="D267" s="369" t="str">
        <f>_xlfn.XLOOKUP(E267,'All Products'!D:D,'All Products'!C:C,FALSE)</f>
        <v>437-101</v>
      </c>
      <c r="E267" s="51">
        <v>100022847</v>
      </c>
      <c r="F267" s="376" t="str">
        <f>_xlfn.XLOOKUP(E267,'All Products'!D:D,'All Products'!E:E,FALSE)</f>
        <v>3/4X1/2 REDUCER BUSHING SPGX SLIP</v>
      </c>
      <c r="G267" s="232">
        <f>_xlfn.XLOOKUP(E267,'All Products'!D:D,'All Products'!F:F,FALSE)</f>
        <v>250</v>
      </c>
      <c r="H267" s="387">
        <f>_xlfn.XLOOKUP(E267,'All Products'!D:D,'All Products'!G:G,FALSE)</f>
        <v>37500</v>
      </c>
      <c r="I267" s="394">
        <f>_xlfn.XLOOKUP(E267,'All Products'!D:D,'All Products'!H:H,FALSE)</f>
        <v>1.67</v>
      </c>
      <c r="J267" s="183">
        <f>IFERROR(ROUND(I267*Order_Quote!$L$4,2),0)</f>
        <v>1.67</v>
      </c>
      <c r="K267" s="73"/>
      <c r="L267" s="76"/>
      <c r="M267" s="114">
        <f t="shared" si="27"/>
        <v>0</v>
      </c>
      <c r="O267" s="384" t="str">
        <f>_xlfn.XLOOKUP(E267,'All Products'!D:D,'All Products'!I:I,FALSE)</f>
        <v>In Stock</v>
      </c>
      <c r="P267" s="384" t="str">
        <f>_xlfn.XLOOKUP(E267,'All Products'!D:D,'All Products'!J:J,FALSE)</f>
        <v>Manufactured</v>
      </c>
      <c r="Q267" s="397">
        <f>_xlfn.XLOOKUP(E267,'All Products'!D:D,'All Products'!K:K,FALSE)</f>
        <v>49081133047</v>
      </c>
      <c r="R267" s="397">
        <f>_xlfn.XLOOKUP(E267,'All Products'!D:D,'All Products'!L:L,FALSE)</f>
        <v>49081633042</v>
      </c>
      <c r="S267" s="397">
        <f>_xlfn.XLOOKUP(E267,'All Products'!D:D,'All Products'!M:M,FALSE)</f>
        <v>40049081133045</v>
      </c>
      <c r="T267" s="384">
        <f>_xlfn.XLOOKUP(E267,'All Products'!D:D,'All Products'!N:N,FALSE)</f>
        <v>2.3E-2</v>
      </c>
      <c r="U267" s="397">
        <f>_xlfn.XLOOKUP(E267,'All Products'!D:D,'All Products'!O:O,FALSE)</f>
        <v>10</v>
      </c>
      <c r="V267" s="384">
        <f>_xlfn.XLOOKUP(E267,'All Products'!D:D,'All Products'!P:P,FALSE)</f>
        <v>6.68</v>
      </c>
      <c r="W267" s="384">
        <f>_xlfn.XLOOKUP(E267,'All Products'!D:D,'All Products'!Q:Q,FALSE)</f>
        <v>0.5</v>
      </c>
    </row>
    <row r="268" spans="1:23" ht="15" customHeight="1">
      <c r="A268" s="101" t="str">
        <f>IF(K268&gt;0,COUNT($A$7:A267)
+COUNT('DWV PVC'!$A$9:$A$316)
+COUNT('DWV ABS'!$A$8:$A$116)+1,"")</f>
        <v/>
      </c>
      <c r="B268" s="610"/>
      <c r="C268" s="611"/>
      <c r="D268" s="369" t="str">
        <f>_xlfn.XLOOKUP(E268,'All Products'!D:D,'All Products'!C:C,FALSE)</f>
        <v>437-130</v>
      </c>
      <c r="E268" s="51">
        <v>100022849</v>
      </c>
      <c r="F268" s="376" t="str">
        <f>_xlfn.XLOOKUP(E268,'All Products'!D:D,'All Products'!E:E,FALSE)</f>
        <v>1X1/2 REDUCER BUSHING SPGX SLIP</v>
      </c>
      <c r="G268" s="232">
        <f>_xlfn.XLOOKUP(E268,'All Products'!D:D,'All Products'!F:F,FALSE)</f>
        <v>250</v>
      </c>
      <c r="H268" s="387">
        <f>_xlfn.XLOOKUP(E268,'All Products'!D:D,'All Products'!G:G,FALSE)</f>
        <v>30000</v>
      </c>
      <c r="I268" s="394">
        <f>_xlfn.XLOOKUP(E268,'All Products'!D:D,'All Products'!H:H,FALSE)</f>
        <v>3.02</v>
      </c>
      <c r="J268" s="183">
        <f>IFERROR(ROUND(I268*Order_Quote!$L$4,2),0)</f>
        <v>3.02</v>
      </c>
      <c r="K268" s="73"/>
      <c r="L268" s="76"/>
      <c r="M268" s="114">
        <f t="shared" si="27"/>
        <v>0</v>
      </c>
      <c r="O268" s="384" t="str">
        <f>_xlfn.XLOOKUP(E268,'All Products'!D:D,'All Products'!I:I,FALSE)</f>
        <v>In Stock</v>
      </c>
      <c r="P268" s="384" t="str">
        <f>_xlfn.XLOOKUP(E268,'All Products'!D:D,'All Products'!J:J,FALSE)</f>
        <v>Manufactured</v>
      </c>
      <c r="Q268" s="397">
        <f>_xlfn.XLOOKUP(E268,'All Products'!D:D,'All Products'!K:K,FALSE)</f>
        <v>49081133122</v>
      </c>
      <c r="R268" s="397">
        <f>_xlfn.XLOOKUP(E268,'All Products'!D:D,'All Products'!L:L,FALSE)</f>
        <v>49081633127</v>
      </c>
      <c r="S268" s="397">
        <f>_xlfn.XLOOKUP(E268,'All Products'!D:D,'All Products'!M:M,FALSE)</f>
        <v>40049081133120</v>
      </c>
      <c r="T268" s="384">
        <f>_xlfn.XLOOKUP(E268,'All Products'!D:D,'All Products'!N:N,FALSE)</f>
        <v>4.4999999999999998E-2</v>
      </c>
      <c r="U268" s="397">
        <f>_xlfn.XLOOKUP(E268,'All Products'!D:D,'All Products'!O:O,FALSE)</f>
        <v>10</v>
      </c>
      <c r="V268" s="384">
        <f>_xlfn.XLOOKUP(E268,'All Products'!D:D,'All Products'!P:P,FALSE)</f>
        <v>14.88</v>
      </c>
      <c r="W268" s="384">
        <f>_xlfn.XLOOKUP(E268,'All Products'!D:D,'All Products'!Q:Q,FALSE)</f>
        <v>0.65</v>
      </c>
    </row>
    <row r="269" spans="1:23" ht="15" customHeight="1">
      <c r="A269" s="101" t="str">
        <f>IF(K269&gt;0,COUNT($A$7:A268)
+COUNT('DWV PVC'!$A$9:$A$316)
+COUNT('DWV ABS'!$A$8:$A$116)+1,"")</f>
        <v/>
      </c>
      <c r="B269" s="610"/>
      <c r="C269" s="611"/>
      <c r="D269" s="369" t="str">
        <f>_xlfn.XLOOKUP(E269,'All Products'!D:D,'All Products'!C:C,FALSE)</f>
        <v>437-131</v>
      </c>
      <c r="E269" s="51">
        <v>100027421</v>
      </c>
      <c r="F269" s="376" t="str">
        <f>_xlfn.XLOOKUP(E269,'All Products'!D:D,'All Products'!E:E,FALSE)</f>
        <v>1X3/4 REDUCER BUSHING SPGX SLIP</v>
      </c>
      <c r="G269" s="232">
        <f>_xlfn.XLOOKUP(E269,'All Products'!D:D,'All Products'!F:F,FALSE)</f>
        <v>250</v>
      </c>
      <c r="H269" s="387">
        <f>_xlfn.XLOOKUP(E269,'All Products'!D:D,'All Products'!G:G,FALSE)</f>
        <v>30000</v>
      </c>
      <c r="I269" s="394">
        <f>_xlfn.XLOOKUP(E269,'All Products'!D:D,'All Products'!H:H,FALSE)</f>
        <v>3.02</v>
      </c>
      <c r="J269" s="183">
        <f>IFERROR(ROUND(I269*Order_Quote!$L$4,2),0)</f>
        <v>3.02</v>
      </c>
      <c r="K269" s="73"/>
      <c r="L269" s="76"/>
      <c r="M269" s="114">
        <f t="shared" si="27"/>
        <v>0</v>
      </c>
      <c r="O269" s="384" t="str">
        <f>_xlfn.XLOOKUP(E269,'All Products'!D:D,'All Products'!I:I,FALSE)</f>
        <v>In Stock</v>
      </c>
      <c r="P269" s="384" t="str">
        <f>_xlfn.XLOOKUP(E269,'All Products'!D:D,'All Products'!J:J,FALSE)</f>
        <v>Manufactured</v>
      </c>
      <c r="Q269" s="397" t="str">
        <f>_xlfn.XLOOKUP(E269,'All Products'!D:D,'All Products'!K:K,FALSE)</f>
        <v>-</v>
      </c>
      <c r="R269" s="397">
        <f>_xlfn.XLOOKUP(E269,'All Products'!D:D,'All Products'!L:L,FALSE)</f>
        <v>49081633103</v>
      </c>
      <c r="S269" s="397">
        <f>_xlfn.XLOOKUP(E269,'All Products'!D:D,'All Products'!M:M,FALSE)</f>
        <v>40049081133106</v>
      </c>
      <c r="T269" s="384">
        <f>_xlfn.XLOOKUP(E269,'All Products'!D:D,'All Products'!N:N,FALSE)</f>
        <v>3.3000000000000002E-2</v>
      </c>
      <c r="U269" s="397">
        <f>_xlfn.XLOOKUP(E269,'All Products'!D:D,'All Products'!O:O,FALSE)</f>
        <v>10</v>
      </c>
      <c r="V269" s="384">
        <f>_xlfn.XLOOKUP(E269,'All Products'!D:D,'All Products'!P:P,FALSE)</f>
        <v>10.88</v>
      </c>
      <c r="W269" s="384">
        <f>_xlfn.XLOOKUP(E269,'All Products'!D:D,'All Products'!Q:Q,FALSE)</f>
        <v>0.65</v>
      </c>
    </row>
    <row r="270" spans="1:23" ht="15" customHeight="1">
      <c r="B270" s="610"/>
      <c r="C270" s="611"/>
      <c r="D270" s="369" t="str">
        <f>_xlfn.XLOOKUP(E270,'All Products'!D:D,'All Products'!C:C,FALSE)</f>
        <v>437-166</v>
      </c>
      <c r="E270" s="51">
        <v>100022852</v>
      </c>
      <c r="F270" s="376" t="str">
        <f>_xlfn.XLOOKUP(E270,'All Products'!D:D,'All Products'!E:E,FALSE)</f>
        <v>1-1/4 X 1/2" REDUCER BUSHING SPGX SLIP</v>
      </c>
      <c r="G270" s="232">
        <f>_xlfn.XLOOKUP(E270,'All Products'!D:D,'All Products'!F:F,FALSE)</f>
        <v>150</v>
      </c>
      <c r="H270" s="387">
        <f>_xlfn.XLOOKUP(E270,'All Products'!D:D,'All Products'!G:G,FALSE)</f>
        <v>9000</v>
      </c>
      <c r="I270" s="394">
        <f>_xlfn.XLOOKUP(E270,'All Products'!D:D,'All Products'!H:H,FALSE)</f>
        <v>3.87</v>
      </c>
      <c r="J270" s="183">
        <f>IFERROR(ROUND(I270*Order_Quote!$L$4,2),0)</f>
        <v>3.87</v>
      </c>
      <c r="K270" s="73"/>
      <c r="L270" s="76"/>
      <c r="M270" s="114">
        <f t="shared" ref="M270:M287" si="28">K270/G270</f>
        <v>0</v>
      </c>
      <c r="O270" s="384" t="str">
        <f>_xlfn.XLOOKUP(E270,'All Products'!D:D,'All Products'!I:I,FALSE)</f>
        <v>In Stock</v>
      </c>
      <c r="P270" s="384" t="str">
        <f>_xlfn.XLOOKUP(E270,'All Products'!D:D,'All Products'!J:J,FALSE)</f>
        <v>Manufactured</v>
      </c>
      <c r="Q270" s="397">
        <f>_xlfn.XLOOKUP(E270,'All Products'!D:D,'All Products'!K:K,FALSE)</f>
        <v>49081133207</v>
      </c>
      <c r="R270" s="397">
        <f>_xlfn.XLOOKUP(E270,'All Products'!D:D,'All Products'!L:L,FALSE)</f>
        <v>49081633202</v>
      </c>
      <c r="S270" s="397">
        <f>_xlfn.XLOOKUP(E270,'All Products'!D:D,'All Products'!M:M,FALSE)</f>
        <v>40049081133205</v>
      </c>
      <c r="T270" s="384">
        <f>_xlfn.XLOOKUP(E270,'All Products'!D:D,'All Products'!N:N,FALSE)</f>
        <v>0.104</v>
      </c>
      <c r="U270" s="397">
        <f>_xlfn.XLOOKUP(E270,'All Products'!D:D,'All Products'!O:O,FALSE)</f>
        <v>5</v>
      </c>
      <c r="V270" s="384">
        <f>_xlfn.XLOOKUP(E270,'All Products'!D:D,'All Products'!P:P,FALSE)</f>
        <v>15.6</v>
      </c>
      <c r="W270" s="384">
        <f>_xlfn.XLOOKUP(E270,'All Products'!D:D,'All Products'!Q:Q,FALSE)</f>
        <v>0.72</v>
      </c>
    </row>
    <row r="271" spans="1:23" ht="15" customHeight="1">
      <c r="A271" s="101" t="str">
        <f>IF(K271&gt;0,COUNT($A$7:A269)
+COUNT('DWV PVC'!$A$9:$A$316)
+COUNT('DWV ABS'!$A$8:$A$116)+1,"")</f>
        <v/>
      </c>
      <c r="B271" s="610"/>
      <c r="C271" s="611"/>
      <c r="D271" s="369" t="str">
        <f>_xlfn.XLOOKUP(E271,'All Products'!D:D,'All Products'!C:C,FALSE)</f>
        <v>437-167</v>
      </c>
      <c r="E271" s="51">
        <v>100022854</v>
      </c>
      <c r="F271" s="376" t="str">
        <f>_xlfn.XLOOKUP(E271,'All Products'!D:D,'All Products'!E:E,FALSE)</f>
        <v>1-1/4X3/4 RED BUSHING SPGX SLIP</v>
      </c>
      <c r="G271" s="232">
        <f>_xlfn.XLOOKUP(E271,'All Products'!D:D,'All Products'!F:F,FALSE)</f>
        <v>150</v>
      </c>
      <c r="H271" s="387">
        <f>_xlfn.XLOOKUP(E271,'All Products'!D:D,'All Products'!G:G,FALSE)</f>
        <v>18000</v>
      </c>
      <c r="I271" s="394">
        <f>_xlfn.XLOOKUP(E271,'All Products'!D:D,'All Products'!H:H,FALSE)</f>
        <v>4.07</v>
      </c>
      <c r="J271" s="183">
        <f>IFERROR(ROUND(I271*Order_Quote!$L$4,2),0)</f>
        <v>4.07</v>
      </c>
      <c r="K271" s="73"/>
      <c r="L271" s="76"/>
      <c r="M271" s="114">
        <f t="shared" si="28"/>
        <v>0</v>
      </c>
      <c r="O271" s="384" t="str">
        <f>_xlfn.XLOOKUP(E271,'All Products'!D:D,'All Products'!I:I,FALSE)</f>
        <v>Within 3 Weeks</v>
      </c>
      <c r="P271" s="384" t="str">
        <f>_xlfn.XLOOKUP(E271,'All Products'!D:D,'All Products'!J:J,FALSE)</f>
        <v>Manufactured</v>
      </c>
      <c r="Q271" s="397">
        <f>_xlfn.XLOOKUP(E271,'All Products'!D:D,'All Products'!K:K,FALSE)</f>
        <v>49081133184</v>
      </c>
      <c r="R271" s="397">
        <f>_xlfn.XLOOKUP(E271,'All Products'!D:D,'All Products'!L:L,FALSE)</f>
        <v>49081633189</v>
      </c>
      <c r="S271" s="397">
        <f>_xlfn.XLOOKUP(E271,'All Products'!D:D,'All Products'!M:M,FALSE)</f>
        <v>40049081133182</v>
      </c>
      <c r="T271" s="384">
        <f>_xlfn.XLOOKUP(E271,'All Products'!D:D,'All Products'!N:N,FALSE)</f>
        <v>9.1999999999999998E-2</v>
      </c>
      <c r="U271" s="397">
        <f>_xlfn.XLOOKUP(E271,'All Products'!D:D,'All Products'!O:O,FALSE)</f>
        <v>5</v>
      </c>
      <c r="V271" s="384">
        <f>_xlfn.XLOOKUP(E271,'All Products'!D:D,'All Products'!P:P,FALSE)</f>
        <v>14.45</v>
      </c>
      <c r="W271" s="384">
        <f>_xlfn.XLOOKUP(E271,'All Products'!D:D,'All Products'!Q:Q,FALSE)</f>
        <v>0.65</v>
      </c>
    </row>
    <row r="272" spans="1:23" ht="15" customHeight="1">
      <c r="A272" s="101" t="str">
        <f>IF(K272&gt;0,COUNT($A$7:A271)
+COUNT('DWV PVC'!$A$9:$A$316)
+COUNT('DWV ABS'!$A$8:$A$116)+1,"")</f>
        <v/>
      </c>
      <c r="B272" s="610"/>
      <c r="C272" s="611"/>
      <c r="D272" s="369" t="str">
        <f>_xlfn.XLOOKUP(E272,'All Products'!D:D,'All Products'!C:C,FALSE)</f>
        <v>437-168</v>
      </c>
      <c r="E272" s="51">
        <v>100027422</v>
      </c>
      <c r="F272" s="376" t="str">
        <f>_xlfn.XLOOKUP(E272,'All Products'!D:D,'All Products'!E:E,FALSE)</f>
        <v>1-1/4X1 RED BUSHING SPGX SLIP</v>
      </c>
      <c r="G272" s="232">
        <f>_xlfn.XLOOKUP(E272,'All Products'!D:D,'All Products'!F:F,FALSE)</f>
        <v>150</v>
      </c>
      <c r="H272" s="387">
        <f>_xlfn.XLOOKUP(E272,'All Products'!D:D,'All Products'!G:G,FALSE)</f>
        <v>13500</v>
      </c>
      <c r="I272" s="394">
        <f>_xlfn.XLOOKUP(E272,'All Products'!D:D,'All Products'!H:H,FALSE)</f>
        <v>4.07</v>
      </c>
      <c r="J272" s="183">
        <f>IFERROR(ROUND(I272*Order_Quote!$L$4,2),0)</f>
        <v>4.07</v>
      </c>
      <c r="K272" s="73"/>
      <c r="L272" s="76"/>
      <c r="M272" s="114">
        <f t="shared" si="28"/>
        <v>0</v>
      </c>
      <c r="O272" s="384" t="str">
        <f>_xlfn.XLOOKUP(E272,'All Products'!D:D,'All Products'!I:I,FALSE)</f>
        <v>In Stock</v>
      </c>
      <c r="P272" s="384" t="str">
        <f>_xlfn.XLOOKUP(E272,'All Products'!D:D,'All Products'!J:J,FALSE)</f>
        <v>Manufactured</v>
      </c>
      <c r="Q272" s="397" t="str">
        <f>_xlfn.XLOOKUP(E272,'All Products'!D:D,'All Products'!K:K,FALSE)</f>
        <v>-</v>
      </c>
      <c r="R272" s="397">
        <f>_xlfn.XLOOKUP(E272,'All Products'!D:D,'All Products'!L:L,FALSE)</f>
        <v>49081633165</v>
      </c>
      <c r="S272" s="397">
        <f>_xlfn.XLOOKUP(E272,'All Products'!D:D,'All Products'!M:M,FALSE)</f>
        <v>40049081133168</v>
      </c>
      <c r="T272" s="384">
        <f>_xlfn.XLOOKUP(E272,'All Products'!D:D,'All Products'!N:N,FALSE)</f>
        <v>6.6000000000000003E-2</v>
      </c>
      <c r="U272" s="397">
        <f>_xlfn.XLOOKUP(E272,'All Products'!D:D,'All Products'!O:O,FALSE)</f>
        <v>5</v>
      </c>
      <c r="V272" s="384">
        <f>_xlfn.XLOOKUP(E272,'All Products'!D:D,'All Products'!P:P,FALSE)</f>
        <v>10.85</v>
      </c>
      <c r="W272" s="384">
        <f>_xlfn.XLOOKUP(E272,'All Products'!D:D,'All Products'!Q:Q,FALSE)</f>
        <v>0.8</v>
      </c>
    </row>
    <row r="273" spans="1:23" ht="15" customHeight="1">
      <c r="A273" s="101" t="str">
        <f>IF(K273&gt;0,COUNT($A$7:A272)
+COUNT('DWV PVC'!$A$9:$A$316)
+COUNT('DWV ABS'!$A$8:$A$116)+1,"")</f>
        <v/>
      </c>
      <c r="B273" s="610"/>
      <c r="C273" s="611"/>
      <c r="D273" s="369" t="str">
        <f>_xlfn.XLOOKUP(E273,'All Products'!D:D,'All Products'!C:C,FALSE)</f>
        <v>437-209</v>
      </c>
      <c r="E273" s="51">
        <v>100022856</v>
      </c>
      <c r="F273" s="376" t="str">
        <f>_xlfn.XLOOKUP(E273,'All Products'!D:D,'All Products'!E:E,FALSE)</f>
        <v>1-1/2X1/2 REDUCER BUSHING SPGX S</v>
      </c>
      <c r="G273" s="232">
        <f>_xlfn.XLOOKUP(E273,'All Products'!D:D,'All Products'!F:F,FALSE)</f>
        <v>100</v>
      </c>
      <c r="H273" s="387">
        <f>_xlfn.XLOOKUP(E273,'All Products'!D:D,'All Products'!G:G,FALSE)</f>
        <v>12000</v>
      </c>
      <c r="I273" s="394">
        <f>_xlfn.XLOOKUP(E273,'All Products'!D:D,'All Products'!H:H,FALSE)</f>
        <v>4.32</v>
      </c>
      <c r="J273" s="183">
        <f>IFERROR(ROUND(I273*Order_Quote!$L$4,2),0)</f>
        <v>4.32</v>
      </c>
      <c r="K273" s="73"/>
      <c r="L273" s="76"/>
      <c r="M273" s="114">
        <f t="shared" si="28"/>
        <v>0</v>
      </c>
      <c r="O273" s="384" t="str">
        <f>_xlfn.XLOOKUP(E273,'All Products'!D:D,'All Products'!I:I,FALSE)</f>
        <v>In Stock</v>
      </c>
      <c r="P273" s="384" t="str">
        <f>_xlfn.XLOOKUP(E273,'All Products'!D:D,'All Products'!J:J,FALSE)</f>
        <v>Manufactured</v>
      </c>
      <c r="Q273" s="397">
        <f>_xlfn.XLOOKUP(E273,'All Products'!D:D,'All Products'!K:K,FALSE)</f>
        <v>49081133306</v>
      </c>
      <c r="R273" s="397">
        <f>_xlfn.XLOOKUP(E273,'All Products'!D:D,'All Products'!L:L,FALSE)</f>
        <v>49081633301</v>
      </c>
      <c r="S273" s="397">
        <f>_xlfn.XLOOKUP(E273,'All Products'!D:D,'All Products'!M:M,FALSE)</f>
        <v>40049081133304</v>
      </c>
      <c r="T273" s="384">
        <f>_xlfn.XLOOKUP(E273,'All Products'!D:D,'All Products'!N:N,FALSE)</f>
        <v>0.122</v>
      </c>
      <c r="U273" s="397">
        <f>_xlfn.XLOOKUP(E273,'All Products'!D:D,'All Products'!O:O,FALSE)</f>
        <v>5</v>
      </c>
      <c r="V273" s="384">
        <f>_xlfn.XLOOKUP(E273,'All Products'!D:D,'All Products'!P:P,FALSE)</f>
        <v>13.46</v>
      </c>
      <c r="W273" s="384">
        <f>_xlfn.XLOOKUP(E273,'All Products'!D:D,'All Products'!Q:Q,FALSE)</f>
        <v>0.65</v>
      </c>
    </row>
    <row r="274" spans="1:23" ht="15" customHeight="1">
      <c r="A274" s="101" t="str">
        <f>IF(K274&gt;0,COUNT($A$7:A273)
+COUNT('DWV PVC'!$A$9:$A$316)
+COUNT('DWV ABS'!$A$8:$A$116)+1,"")</f>
        <v/>
      </c>
      <c r="B274" s="610"/>
      <c r="C274" s="611"/>
      <c r="D274" s="369" t="str">
        <f>_xlfn.XLOOKUP(E274,'All Products'!D:D,'All Products'!C:C,FALSE)</f>
        <v>437-210</v>
      </c>
      <c r="E274" s="51">
        <v>100022858</v>
      </c>
      <c r="F274" s="376" t="str">
        <f>_xlfn.XLOOKUP(E274,'All Products'!D:D,'All Products'!E:E,FALSE)</f>
        <v>1-1/2X3/4 REDUCER BUSHING SPGX S</v>
      </c>
      <c r="G274" s="232">
        <f>_xlfn.XLOOKUP(E274,'All Products'!D:D,'All Products'!F:F,FALSE)</f>
        <v>100</v>
      </c>
      <c r="H274" s="387">
        <f>_xlfn.XLOOKUP(E274,'All Products'!D:D,'All Products'!G:G,FALSE)</f>
        <v>12000</v>
      </c>
      <c r="I274" s="394">
        <f>_xlfn.XLOOKUP(E274,'All Products'!D:D,'All Products'!H:H,FALSE)</f>
        <v>4.32</v>
      </c>
      <c r="J274" s="183">
        <f>IFERROR(ROUND(I274*Order_Quote!$L$4,2),0)</f>
        <v>4.32</v>
      </c>
      <c r="K274" s="73"/>
      <c r="L274" s="76"/>
      <c r="M274" s="114">
        <f t="shared" si="28"/>
        <v>0</v>
      </c>
      <c r="O274" s="384" t="str">
        <f>_xlfn.XLOOKUP(E274,'All Products'!D:D,'All Products'!I:I,FALSE)</f>
        <v>In Stock</v>
      </c>
      <c r="P274" s="384" t="str">
        <f>_xlfn.XLOOKUP(E274,'All Products'!D:D,'All Products'!J:J,FALSE)</f>
        <v>Manufactured</v>
      </c>
      <c r="Q274" s="397">
        <f>_xlfn.XLOOKUP(E274,'All Products'!D:D,'All Products'!K:K,FALSE)</f>
        <v>49081133283</v>
      </c>
      <c r="R274" s="397">
        <f>_xlfn.XLOOKUP(E274,'All Products'!D:D,'All Products'!L:L,FALSE)</f>
        <v>49081633288</v>
      </c>
      <c r="S274" s="397">
        <f>_xlfn.XLOOKUP(E274,'All Products'!D:D,'All Products'!M:M,FALSE)</f>
        <v>40049081133281</v>
      </c>
      <c r="T274" s="384">
        <f>_xlfn.XLOOKUP(E274,'All Products'!D:D,'All Products'!N:N,FALSE)</f>
        <v>0.10199999999999999</v>
      </c>
      <c r="U274" s="397">
        <f>_xlfn.XLOOKUP(E274,'All Products'!D:D,'All Products'!O:O,FALSE)</f>
        <v>5</v>
      </c>
      <c r="V274" s="384">
        <f>_xlfn.XLOOKUP(E274,'All Products'!D:D,'All Products'!P:P,FALSE)</f>
        <v>13.35</v>
      </c>
      <c r="W274" s="384">
        <f>_xlfn.XLOOKUP(E274,'All Products'!D:D,'All Products'!Q:Q,FALSE)</f>
        <v>0.65</v>
      </c>
    </row>
    <row r="275" spans="1:23" ht="15" customHeight="1">
      <c r="A275" s="101" t="str">
        <f>IF(K275&gt;0,COUNT($A$7:A274)
+COUNT('DWV PVC'!$A$9:$A$316)
+COUNT('DWV ABS'!$A$8:$A$116)+1,"")</f>
        <v/>
      </c>
      <c r="B275" s="610"/>
      <c r="C275" s="611"/>
      <c r="D275" s="369" t="str">
        <f>_xlfn.XLOOKUP(E275,'All Products'!D:D,'All Products'!C:C,FALSE)</f>
        <v>437-211</v>
      </c>
      <c r="E275" s="51">
        <v>100022860</v>
      </c>
      <c r="F275" s="376" t="str">
        <f>_xlfn.XLOOKUP(E275,'All Products'!D:D,'All Products'!E:E,FALSE)</f>
        <v>1-1/2X1 REDUCER BUSHING SPGXSLIP</v>
      </c>
      <c r="G275" s="232">
        <f>_xlfn.XLOOKUP(E275,'All Products'!D:D,'All Products'!F:F,FALSE)</f>
        <v>100</v>
      </c>
      <c r="H275" s="387">
        <f>_xlfn.XLOOKUP(E275,'All Products'!D:D,'All Products'!G:G,FALSE)</f>
        <v>12000</v>
      </c>
      <c r="I275" s="394">
        <f>_xlfn.XLOOKUP(E275,'All Products'!D:D,'All Products'!H:H,FALSE)</f>
        <v>4.32</v>
      </c>
      <c r="J275" s="183">
        <f>IFERROR(ROUND(I275*Order_Quote!$L$4,2),0)</f>
        <v>4.32</v>
      </c>
      <c r="K275" s="73"/>
      <c r="L275" s="76"/>
      <c r="M275" s="114">
        <f t="shared" si="28"/>
        <v>0</v>
      </c>
      <c r="O275" s="384" t="str">
        <f>_xlfn.XLOOKUP(E275,'All Products'!D:D,'All Products'!I:I,FALSE)</f>
        <v>In Stock</v>
      </c>
      <c r="P275" s="384" t="str">
        <f>_xlfn.XLOOKUP(E275,'All Products'!D:D,'All Products'!J:J,FALSE)</f>
        <v>Manufactured</v>
      </c>
      <c r="Q275" s="397">
        <f>_xlfn.XLOOKUP(E275,'All Products'!D:D,'All Products'!K:K,FALSE)</f>
        <v>49081133269</v>
      </c>
      <c r="R275" s="397">
        <f>_xlfn.XLOOKUP(E275,'All Products'!D:D,'All Products'!L:L,FALSE)</f>
        <v>49081633264</v>
      </c>
      <c r="S275" s="397">
        <f>_xlfn.XLOOKUP(E275,'All Products'!D:D,'All Products'!M:M,FALSE)</f>
        <v>40049081133267</v>
      </c>
      <c r="T275" s="384">
        <f>_xlfn.XLOOKUP(E275,'All Products'!D:D,'All Products'!N:N,FALSE)</f>
        <v>0.122</v>
      </c>
      <c r="U275" s="397">
        <f>_xlfn.XLOOKUP(E275,'All Products'!D:D,'All Products'!O:O,FALSE)</f>
        <v>10</v>
      </c>
      <c r="V275" s="384">
        <f>_xlfn.XLOOKUP(E275,'All Products'!D:D,'All Products'!P:P,FALSE)</f>
        <v>13.04</v>
      </c>
      <c r="W275" s="384">
        <f>_xlfn.XLOOKUP(E275,'All Products'!D:D,'All Products'!Q:Q,FALSE)</f>
        <v>0.65</v>
      </c>
    </row>
    <row r="276" spans="1:23" ht="15" customHeight="1">
      <c r="A276" s="101" t="str">
        <f>IF(K276&gt;0,COUNT($A$7:A275)
+COUNT('DWV PVC'!$A$9:$A$316)
+COUNT('DWV ABS'!$A$8:$A$116)+1,"")</f>
        <v/>
      </c>
      <c r="B276" s="610"/>
      <c r="C276" s="611"/>
      <c r="D276" s="369" t="str">
        <f>_xlfn.XLOOKUP(E276,'All Products'!D:D,'All Products'!C:C,FALSE)</f>
        <v>437-212</v>
      </c>
      <c r="E276" s="51">
        <v>100022862</v>
      </c>
      <c r="F276" s="376" t="str">
        <f>_xlfn.XLOOKUP(E276,'All Products'!D:D,'All Products'!E:E,FALSE)</f>
        <v>1-1/2X1-1/4 RED BUSHING SPGXS</v>
      </c>
      <c r="G276" s="232">
        <f>_xlfn.XLOOKUP(E276,'All Products'!D:D,'All Products'!F:F,FALSE)</f>
        <v>100</v>
      </c>
      <c r="H276" s="387">
        <f>_xlfn.XLOOKUP(E276,'All Products'!D:D,'All Products'!G:G,FALSE)</f>
        <v>12000</v>
      </c>
      <c r="I276" s="394">
        <f>_xlfn.XLOOKUP(E276,'All Products'!D:D,'All Products'!H:H,FALSE)</f>
        <v>4.32</v>
      </c>
      <c r="J276" s="183">
        <f>IFERROR(ROUND(I276*Order_Quote!$L$4,2),0)</f>
        <v>4.32</v>
      </c>
      <c r="K276" s="73"/>
      <c r="L276" s="76"/>
      <c r="M276" s="114">
        <f t="shared" si="28"/>
        <v>0</v>
      </c>
      <c r="O276" s="384" t="str">
        <f>_xlfn.XLOOKUP(E276,'All Products'!D:D,'All Products'!I:I,FALSE)</f>
        <v>In Stock</v>
      </c>
      <c r="P276" s="384" t="str">
        <f>_xlfn.XLOOKUP(E276,'All Products'!D:D,'All Products'!J:J,FALSE)</f>
        <v>Manufactured</v>
      </c>
      <c r="Q276" s="397">
        <f>_xlfn.XLOOKUP(E276,'All Products'!D:D,'All Products'!K:K,FALSE)</f>
        <v>49081133245</v>
      </c>
      <c r="R276" s="397">
        <f>_xlfn.XLOOKUP(E276,'All Products'!D:D,'All Products'!L:L,FALSE)</f>
        <v>49081633240</v>
      </c>
      <c r="S276" s="397">
        <f>_xlfn.XLOOKUP(E276,'All Products'!D:D,'All Products'!M:M,FALSE)</f>
        <v>40049081133243</v>
      </c>
      <c r="T276" s="384">
        <f>_xlfn.XLOOKUP(E276,'All Products'!D:D,'All Products'!N:N,FALSE)</f>
        <v>5.1999999999999998E-2</v>
      </c>
      <c r="U276" s="397">
        <f>_xlfn.XLOOKUP(E276,'All Products'!D:D,'All Products'!O:O,FALSE)</f>
        <v>10</v>
      </c>
      <c r="V276" s="384">
        <f>_xlfn.XLOOKUP(E276,'All Products'!D:D,'All Products'!P:P,FALSE)</f>
        <v>6.03</v>
      </c>
      <c r="W276" s="384">
        <f>_xlfn.XLOOKUP(E276,'All Products'!D:D,'All Products'!Q:Q,FALSE)</f>
        <v>0.65</v>
      </c>
    </row>
    <row r="277" spans="1:23" ht="15" customHeight="1">
      <c r="A277" s="101" t="str">
        <f>IF(K277&gt;0,COUNT($A$7:A276)
+COUNT('DWV PVC'!$A$9:$A$316)
+COUNT('DWV ABS'!$A$8:$A$116)+1,"")</f>
        <v/>
      </c>
      <c r="B277" s="610"/>
      <c r="C277" s="611"/>
      <c r="D277" s="369" t="str">
        <f>_xlfn.XLOOKUP(E277,'All Products'!D:D,'All Products'!C:C,FALSE)</f>
        <v>437-247</v>
      </c>
      <c r="E277" s="51">
        <v>100022864</v>
      </c>
      <c r="F277" s="376" t="str">
        <f>_xlfn.XLOOKUP(E277,'All Products'!D:D,'All Products'!E:E,FALSE)</f>
        <v>2X1/2 REDUCER BUSHING SPGX S</v>
      </c>
      <c r="G277" s="232">
        <f>_xlfn.XLOOKUP(E277,'All Products'!D:D,'All Products'!F:F,FALSE)</f>
        <v>50</v>
      </c>
      <c r="H277" s="387">
        <f>_xlfn.XLOOKUP(E277,'All Products'!D:D,'All Products'!G:G,FALSE)</f>
        <v>7500</v>
      </c>
      <c r="I277" s="394">
        <f>_xlfn.XLOOKUP(E277,'All Products'!D:D,'All Products'!H:H,FALSE)</f>
        <v>7.13</v>
      </c>
      <c r="J277" s="183">
        <f>IFERROR(ROUND(I277*Order_Quote!$L$4,2),0)</f>
        <v>7.13</v>
      </c>
      <c r="K277" s="73"/>
      <c r="L277" s="76"/>
      <c r="M277" s="114">
        <f t="shared" si="28"/>
        <v>0</v>
      </c>
      <c r="O277" s="384" t="str">
        <f>_xlfn.XLOOKUP(E277,'All Products'!D:D,'All Products'!I:I,FALSE)</f>
        <v>In Stock</v>
      </c>
      <c r="P277" s="384" t="str">
        <f>_xlfn.XLOOKUP(E277,'All Products'!D:D,'All Products'!J:J,FALSE)</f>
        <v>Manufactured</v>
      </c>
      <c r="Q277" s="397">
        <f>_xlfn.XLOOKUP(E277,'All Products'!D:D,'All Products'!K:K,FALSE)</f>
        <v>49081133405</v>
      </c>
      <c r="R277" s="397">
        <f>_xlfn.XLOOKUP(E277,'All Products'!D:D,'All Products'!L:L,FALSE)</f>
        <v>49081633400</v>
      </c>
      <c r="S277" s="397">
        <f>_xlfn.XLOOKUP(E277,'All Products'!D:D,'All Products'!M:M,FALSE)</f>
        <v>40049081133403</v>
      </c>
      <c r="T277" s="384">
        <f>_xlfn.XLOOKUP(E277,'All Products'!D:D,'All Products'!N:N,FALSE)</f>
        <v>0.16400000000000001</v>
      </c>
      <c r="U277" s="397">
        <f>_xlfn.XLOOKUP(E277,'All Products'!D:D,'All Products'!O:O,FALSE)</f>
        <v>5</v>
      </c>
      <c r="V277" s="384">
        <f>_xlfn.XLOOKUP(E277,'All Products'!D:D,'All Products'!P:P,FALSE)</f>
        <v>8.3699999999999992</v>
      </c>
      <c r="W277" s="384">
        <f>_xlfn.XLOOKUP(E277,'All Products'!D:D,'All Products'!Q:Q,FALSE)</f>
        <v>0.5</v>
      </c>
    </row>
    <row r="278" spans="1:23" ht="15" customHeight="1">
      <c r="A278" s="101" t="str">
        <f>IF(K278&gt;0,COUNT($A$7:A277)
+COUNT('DWV PVC'!$A$9:$A$316)
+COUNT('DWV ABS'!$A$8:$A$116)+1,"")</f>
        <v/>
      </c>
      <c r="B278" s="610"/>
      <c r="C278" s="611"/>
      <c r="D278" s="369" t="str">
        <f>_xlfn.XLOOKUP(E278,'All Products'!D:D,'All Products'!C:C,FALSE)</f>
        <v>437-248</v>
      </c>
      <c r="E278" s="51">
        <v>100022866</v>
      </c>
      <c r="F278" s="376" t="str">
        <f>_xlfn.XLOOKUP(E278,'All Products'!D:D,'All Products'!E:E,FALSE)</f>
        <v>2X3/4 REDUCER BUSHING SPGX S</v>
      </c>
      <c r="G278" s="232">
        <f>_xlfn.XLOOKUP(E278,'All Products'!D:D,'All Products'!F:F,FALSE)</f>
        <v>50</v>
      </c>
      <c r="H278" s="387">
        <f>_xlfn.XLOOKUP(E278,'All Products'!D:D,'All Products'!G:G,FALSE)</f>
        <v>7500</v>
      </c>
      <c r="I278" s="394">
        <f>_xlfn.XLOOKUP(E278,'All Products'!D:D,'All Products'!H:H,FALSE)</f>
        <v>7.13</v>
      </c>
      <c r="J278" s="183">
        <f>IFERROR(ROUND(I278*Order_Quote!$L$4,2),0)</f>
        <v>7.13</v>
      </c>
      <c r="K278" s="73"/>
      <c r="L278" s="76"/>
      <c r="M278" s="114">
        <f t="shared" si="28"/>
        <v>0</v>
      </c>
      <c r="O278" s="384" t="str">
        <f>_xlfn.XLOOKUP(E278,'All Products'!D:D,'All Products'!I:I,FALSE)</f>
        <v>In Stock</v>
      </c>
      <c r="P278" s="384" t="str">
        <f>_xlfn.XLOOKUP(E278,'All Products'!D:D,'All Products'!J:J,FALSE)</f>
        <v>Manufactured</v>
      </c>
      <c r="Q278" s="397">
        <f>_xlfn.XLOOKUP(E278,'All Products'!D:D,'All Products'!K:K,FALSE)</f>
        <v>49081133382</v>
      </c>
      <c r="R278" s="397">
        <f>_xlfn.XLOOKUP(E278,'All Products'!D:D,'All Products'!L:L,FALSE)</f>
        <v>49081633387</v>
      </c>
      <c r="S278" s="397">
        <f>_xlfn.XLOOKUP(E278,'All Products'!D:D,'All Products'!M:M,FALSE)</f>
        <v>40049081133380</v>
      </c>
      <c r="T278" s="384">
        <f>_xlfn.XLOOKUP(E278,'All Products'!D:D,'All Products'!N:N,FALSE)</f>
        <v>0.16500000000000001</v>
      </c>
      <c r="U278" s="397">
        <f>_xlfn.XLOOKUP(E278,'All Products'!D:D,'All Products'!O:O,FALSE)</f>
        <v>5</v>
      </c>
      <c r="V278" s="384">
        <f>_xlfn.XLOOKUP(E278,'All Products'!D:D,'All Products'!P:P,FALSE)</f>
        <v>9.06</v>
      </c>
      <c r="W278" s="384">
        <f>_xlfn.XLOOKUP(E278,'All Products'!D:D,'All Products'!Q:Q,FALSE)</f>
        <v>0.5</v>
      </c>
    </row>
    <row r="279" spans="1:23" ht="15" customHeight="1">
      <c r="A279" s="101" t="str">
        <f>IF(K279&gt;0,COUNT($A$7:A278)
+COUNT('DWV PVC'!$A$9:$A$316)
+COUNT('DWV ABS'!$A$8:$A$116)+1,"")</f>
        <v/>
      </c>
      <c r="B279" s="610"/>
      <c r="C279" s="611"/>
      <c r="D279" s="369" t="str">
        <f>_xlfn.XLOOKUP(E279,'All Products'!D:D,'All Products'!C:C,FALSE)</f>
        <v>437-249</v>
      </c>
      <c r="E279" s="51">
        <v>100022868</v>
      </c>
      <c r="F279" s="376" t="str">
        <f>_xlfn.XLOOKUP(E279,'All Products'!D:D,'All Products'!E:E,FALSE)</f>
        <v>2X1 REDUCER BUSHING SPGX S</v>
      </c>
      <c r="G279" s="232">
        <f>_xlfn.XLOOKUP(E279,'All Products'!D:D,'All Products'!F:F,FALSE)</f>
        <v>50</v>
      </c>
      <c r="H279" s="387">
        <f>_xlfn.XLOOKUP(E279,'All Products'!D:D,'All Products'!G:G,FALSE)</f>
        <v>6000</v>
      </c>
      <c r="I279" s="394">
        <f>_xlfn.XLOOKUP(E279,'All Products'!D:D,'All Products'!H:H,FALSE)</f>
        <v>7.13</v>
      </c>
      <c r="J279" s="183">
        <f>IFERROR(ROUND(I279*Order_Quote!$L$4,2),0)</f>
        <v>7.13</v>
      </c>
      <c r="K279" s="73"/>
      <c r="L279" s="76"/>
      <c r="M279" s="114">
        <f t="shared" si="28"/>
        <v>0</v>
      </c>
      <c r="O279" s="384" t="str">
        <f>_xlfn.XLOOKUP(E279,'All Products'!D:D,'All Products'!I:I,FALSE)</f>
        <v>In Stock</v>
      </c>
      <c r="P279" s="384" t="str">
        <f>_xlfn.XLOOKUP(E279,'All Products'!D:D,'All Products'!J:J,FALSE)</f>
        <v>Manufactured</v>
      </c>
      <c r="Q279" s="397">
        <f>_xlfn.XLOOKUP(E279,'All Products'!D:D,'All Products'!K:K,FALSE)</f>
        <v>49081133368</v>
      </c>
      <c r="R279" s="397">
        <f>_xlfn.XLOOKUP(E279,'All Products'!D:D,'All Products'!L:L,FALSE)</f>
        <v>49081633363</v>
      </c>
      <c r="S279" s="397">
        <f>_xlfn.XLOOKUP(E279,'All Products'!D:D,'All Products'!M:M,FALSE)</f>
        <v>40049081133366</v>
      </c>
      <c r="T279" s="384">
        <f>_xlfn.XLOOKUP(E279,'All Products'!D:D,'All Products'!N:N,FALSE)</f>
        <v>0.17100000000000001</v>
      </c>
      <c r="U279" s="397">
        <f>_xlfn.XLOOKUP(E279,'All Products'!D:D,'All Products'!O:O,FALSE)</f>
        <v>5</v>
      </c>
      <c r="V279" s="384">
        <f>_xlfn.XLOOKUP(E279,'All Products'!D:D,'All Products'!P:P,FALSE)</f>
        <v>9.64</v>
      </c>
      <c r="W279" s="384">
        <f>_xlfn.XLOOKUP(E279,'All Products'!D:D,'All Products'!Q:Q,FALSE)</f>
        <v>0.65</v>
      </c>
    </row>
    <row r="280" spans="1:23" ht="15" customHeight="1">
      <c r="B280" s="610"/>
      <c r="C280" s="611"/>
      <c r="D280" s="369" t="str">
        <f>_xlfn.XLOOKUP(E280,'All Products'!D:D,'All Products'!C:C,FALSE)</f>
        <v>437-250</v>
      </c>
      <c r="E280" s="51">
        <v>100027423</v>
      </c>
      <c r="F280" s="376" t="str">
        <f>_xlfn.XLOOKUP(E280,'All Products'!D:D,'All Products'!E:E,FALSE)</f>
        <v>2 X 1-1/4" REDUCER BUSHING SPGX S</v>
      </c>
      <c r="G280" s="232">
        <f>_xlfn.XLOOKUP(E280,'All Products'!D:D,'All Products'!F:F,FALSE)</f>
        <v>50</v>
      </c>
      <c r="H280" s="387">
        <f>_xlfn.XLOOKUP(E280,'All Products'!D:D,'All Products'!G:G,FALSE)</f>
        <v>3750</v>
      </c>
      <c r="I280" s="394">
        <f>_xlfn.XLOOKUP(E280,'All Products'!D:D,'All Products'!H:H,FALSE)</f>
        <v>6.79</v>
      </c>
      <c r="J280" s="183">
        <f>IFERROR(ROUND(I280*Order_Quote!$L$4,2),0)</f>
        <v>6.79</v>
      </c>
      <c r="K280" s="73"/>
      <c r="L280" s="76"/>
      <c r="M280" s="114">
        <f t="shared" si="28"/>
        <v>0</v>
      </c>
      <c r="O280" s="384" t="str">
        <f>_xlfn.XLOOKUP(E280,'All Products'!D:D,'All Products'!I:I,FALSE)</f>
        <v>In Stock</v>
      </c>
      <c r="P280" s="384" t="str">
        <f>_xlfn.XLOOKUP(E280,'All Products'!D:D,'All Products'!J:J,FALSE)</f>
        <v>Manufactured</v>
      </c>
      <c r="Q280" s="397">
        <f>_xlfn.XLOOKUP(E280,'All Products'!D:D,'All Products'!K:K,FALSE)</f>
        <v>49081133160</v>
      </c>
      <c r="R280" s="397" t="str">
        <f>_xlfn.XLOOKUP(E280,'All Products'!D:D,'All Products'!L:L,FALSE)</f>
        <v>-</v>
      </c>
      <c r="S280" s="397">
        <f>_xlfn.XLOOKUP(E280,'All Products'!D:D,'All Products'!M:M,FALSE)</f>
        <v>40049081133342</v>
      </c>
      <c r="T280" s="384">
        <f>_xlfn.XLOOKUP(E280,'All Products'!D:D,'All Products'!N:N,FALSE)</f>
        <v>0.17699999999999999</v>
      </c>
      <c r="U280" s="397" t="str">
        <f>_xlfn.XLOOKUP(E280,'All Products'!D:D,'All Products'!O:O,FALSE)</f>
        <v>-</v>
      </c>
      <c r="V280" s="384">
        <f>_xlfn.XLOOKUP(E280,'All Products'!D:D,'All Products'!P:P,FALSE)</f>
        <v>9.6</v>
      </c>
      <c r="W280" s="384">
        <f>_xlfn.XLOOKUP(E280,'All Products'!D:D,'All Products'!Q:Q,FALSE)</f>
        <v>0.57999999999999996</v>
      </c>
    </row>
    <row r="281" spans="1:23" ht="15" customHeight="1">
      <c r="A281" s="101" t="str">
        <f>IF(K281&gt;0,COUNT($A$7:A279)
+COUNT('DWV PVC'!$A$9:$A$316)
+COUNT('DWV ABS'!$A$8:$A$116)+1,"")</f>
        <v/>
      </c>
      <c r="B281" s="610"/>
      <c r="C281" s="611"/>
      <c r="D281" s="369" t="str">
        <f>_xlfn.XLOOKUP(E281,'All Products'!D:D,'All Products'!C:C,FALSE)</f>
        <v>437-251</v>
      </c>
      <c r="E281" s="51">
        <v>100022870</v>
      </c>
      <c r="F281" s="376" t="str">
        <f>_xlfn.XLOOKUP(E281,'All Products'!D:D,'All Products'!E:E,FALSE)</f>
        <v>2X1-1/2 REDUCER BUSHING SPGX S</v>
      </c>
      <c r="G281" s="232">
        <f>_xlfn.XLOOKUP(E281,'All Products'!D:D,'All Products'!F:F,FALSE)</f>
        <v>50</v>
      </c>
      <c r="H281" s="387">
        <f>_xlfn.XLOOKUP(E281,'All Products'!D:D,'All Products'!G:G,FALSE)</f>
        <v>6000</v>
      </c>
      <c r="I281" s="394">
        <f>_xlfn.XLOOKUP(E281,'All Products'!D:D,'All Products'!H:H,FALSE)</f>
        <v>7.13</v>
      </c>
      <c r="J281" s="183">
        <f>IFERROR(ROUND(I281*Order_Quote!$L$4,2),0)</f>
        <v>7.13</v>
      </c>
      <c r="K281" s="73"/>
      <c r="L281" s="76"/>
      <c r="M281" s="114">
        <f t="shared" si="28"/>
        <v>0</v>
      </c>
      <c r="O281" s="384" t="str">
        <f>_xlfn.XLOOKUP(E281,'All Products'!D:D,'All Products'!I:I,FALSE)</f>
        <v>In Stock</v>
      </c>
      <c r="P281" s="384" t="str">
        <f>_xlfn.XLOOKUP(E281,'All Products'!D:D,'All Products'!J:J,FALSE)</f>
        <v>Manufactured</v>
      </c>
      <c r="Q281" s="397">
        <f>_xlfn.XLOOKUP(E281,'All Products'!D:D,'All Products'!K:K,FALSE)</f>
        <v>49081133320</v>
      </c>
      <c r="R281" s="397">
        <f>_xlfn.XLOOKUP(E281,'All Products'!D:D,'All Products'!L:L,FALSE)</f>
        <v>49081633325</v>
      </c>
      <c r="S281" s="397">
        <f>_xlfn.XLOOKUP(E281,'All Products'!D:D,'All Products'!M:M,FALSE)</f>
        <v>40049081133328</v>
      </c>
      <c r="T281" s="384">
        <f>_xlfn.XLOOKUP(E281,'All Products'!D:D,'All Products'!N:N,FALSE)</f>
        <v>0.13</v>
      </c>
      <c r="U281" s="397">
        <f>_xlfn.XLOOKUP(E281,'All Products'!D:D,'All Products'!O:O,FALSE)</f>
        <v>5</v>
      </c>
      <c r="V281" s="384">
        <f>_xlfn.XLOOKUP(E281,'All Products'!D:D,'All Products'!P:P,FALSE)</f>
        <v>7.37</v>
      </c>
      <c r="W281" s="384">
        <f>_xlfn.XLOOKUP(E281,'All Products'!D:D,'All Products'!Q:Q,FALSE)</f>
        <v>0.65</v>
      </c>
    </row>
    <row r="282" spans="1:23" ht="15" customHeight="1">
      <c r="A282" s="101" t="str">
        <f>IF(K282&gt;0,COUNT($A$7:A281)
+COUNT('DWV PVC'!$A$9:$A$316)
+COUNT('DWV ABS'!$A$8:$A$116)+1,"")</f>
        <v/>
      </c>
      <c r="B282" s="610"/>
      <c r="C282" s="611"/>
      <c r="D282" s="369" t="str">
        <f>_xlfn.XLOOKUP(E282,'All Products'!D:D,'All Products'!C:C,FALSE)</f>
        <v>437-288</v>
      </c>
      <c r="E282" s="51">
        <v>100022872</v>
      </c>
      <c r="F282" s="376" t="str">
        <f>_xlfn.XLOOKUP(E282,'All Products'!D:D,'All Products'!E:E,FALSE)</f>
        <v>2-1/2X3/4 REDUCER BUSHING SPGX S</v>
      </c>
      <c r="G282" s="232">
        <f>_xlfn.XLOOKUP(E282,'All Products'!D:D,'All Products'!F:F,FALSE)</f>
        <v>25</v>
      </c>
      <c r="H282" s="387">
        <f>_xlfn.XLOOKUP(E282,'All Products'!D:D,'All Products'!G:G,FALSE)</f>
        <v>3750</v>
      </c>
      <c r="I282" s="394">
        <f>_xlfn.XLOOKUP(E282,'All Products'!D:D,'All Products'!H:H,FALSE)</f>
        <v>11.4</v>
      </c>
      <c r="J282" s="183">
        <f>IFERROR(ROUND(I282*Order_Quote!$L$4,2),0)</f>
        <v>11.4</v>
      </c>
      <c r="K282" s="73"/>
      <c r="L282" s="76"/>
      <c r="M282" s="114">
        <f t="shared" si="28"/>
        <v>0</v>
      </c>
      <c r="O282" s="384" t="str">
        <f>_xlfn.XLOOKUP(E282,'All Products'!D:D,'All Products'!I:I,FALSE)</f>
        <v>In Stock</v>
      </c>
      <c r="P282" s="384" t="str">
        <f>_xlfn.XLOOKUP(E282,'All Products'!D:D,'All Products'!J:J,FALSE)</f>
        <v>Manufactured</v>
      </c>
      <c r="Q282" s="397">
        <f>_xlfn.XLOOKUP(E282,'All Products'!D:D,'All Products'!K:K,FALSE)</f>
        <v>49081133504</v>
      </c>
      <c r="R282" s="397">
        <f>_xlfn.XLOOKUP(E282,'All Products'!D:D,'All Products'!L:L,FALSE)</f>
        <v>49081633509</v>
      </c>
      <c r="S282" s="397">
        <f>_xlfn.XLOOKUP(E282,'All Products'!D:D,'All Products'!M:M,FALSE)</f>
        <v>40049081133502</v>
      </c>
      <c r="T282" s="384">
        <f>_xlfn.XLOOKUP(E282,'All Products'!D:D,'All Products'!N:N,FALSE)</f>
        <v>0.34200000000000003</v>
      </c>
      <c r="U282" s="397">
        <f>_xlfn.XLOOKUP(E282,'All Products'!D:D,'All Products'!O:O,FALSE)</f>
        <v>5</v>
      </c>
      <c r="V282" s="384">
        <f>_xlfn.XLOOKUP(E282,'All Products'!D:D,'All Products'!P:P,FALSE)</f>
        <v>9.64</v>
      </c>
      <c r="W282" s="384">
        <f>_xlfn.XLOOKUP(E282,'All Products'!D:D,'All Products'!Q:Q,FALSE)</f>
        <v>0.5</v>
      </c>
    </row>
    <row r="283" spans="1:23" ht="15" customHeight="1">
      <c r="B283" s="610"/>
      <c r="C283" s="611"/>
      <c r="D283" s="369" t="str">
        <f>_xlfn.XLOOKUP(E283,'All Products'!D:D,'All Products'!C:C,FALSE)</f>
        <v>437-290</v>
      </c>
      <c r="E283" s="51">
        <v>100022875</v>
      </c>
      <c r="F283" s="376" t="str">
        <f>_xlfn.XLOOKUP(E283,'All Products'!D:D,'All Products'!E:E,FALSE)</f>
        <v>2-1/2 X 1-1/4" REDUCER BUSHING SPGX S</v>
      </c>
      <c r="G283" s="232">
        <f>_xlfn.XLOOKUP(E283,'All Products'!D:D,'All Products'!F:F,FALSE)</f>
        <v>25</v>
      </c>
      <c r="H283" s="387">
        <f>_xlfn.XLOOKUP(E283,'All Products'!D:D,'All Products'!G:G,FALSE)</f>
        <v>1875</v>
      </c>
      <c r="I283" s="394">
        <f>_xlfn.XLOOKUP(E283,'All Products'!D:D,'All Products'!H:H,FALSE)</f>
        <v>10.86</v>
      </c>
      <c r="J283" s="183">
        <f>IFERROR(ROUND(I283*Order_Quote!$L$4,2),0)</f>
        <v>10.86</v>
      </c>
      <c r="K283" s="73"/>
      <c r="L283" s="76"/>
      <c r="M283" s="114">
        <f t="shared" si="28"/>
        <v>0</v>
      </c>
      <c r="O283" s="384" t="str">
        <f>_xlfn.XLOOKUP(E283,'All Products'!D:D,'All Products'!I:I,FALSE)</f>
        <v>In Stock</v>
      </c>
      <c r="P283" s="384" t="str">
        <f>_xlfn.XLOOKUP(E283,'All Products'!D:D,'All Products'!J:J,FALSE)</f>
        <v>Manufactured</v>
      </c>
      <c r="Q283" s="397">
        <f>_xlfn.XLOOKUP(E283,'All Products'!D:D,'All Products'!K:K,FALSE)</f>
        <v>49081133467</v>
      </c>
      <c r="R283" s="397">
        <f>_xlfn.XLOOKUP(E283,'All Products'!D:D,'All Products'!L:L,FALSE)</f>
        <v>49081633462</v>
      </c>
      <c r="S283" s="397">
        <f>_xlfn.XLOOKUP(E283,'All Products'!D:D,'All Products'!M:M,FALSE)</f>
        <v>40049081133465</v>
      </c>
      <c r="T283" s="384">
        <f>_xlfn.XLOOKUP(E283,'All Products'!D:D,'All Products'!N:N,FALSE)</f>
        <v>0.376</v>
      </c>
      <c r="U283" s="397">
        <f>_xlfn.XLOOKUP(E283,'All Products'!D:D,'All Products'!O:O,FALSE)</f>
        <v>5</v>
      </c>
      <c r="V283" s="384">
        <f>_xlfn.XLOOKUP(E283,'All Products'!D:D,'All Products'!P:P,FALSE)</f>
        <v>9.4</v>
      </c>
      <c r="W283" s="384">
        <f>_xlfn.XLOOKUP(E283,'All Products'!D:D,'All Products'!Q:Q,FALSE)</f>
        <v>0.57999999999999996</v>
      </c>
    </row>
    <row r="284" spans="1:23" ht="15" customHeight="1">
      <c r="A284" s="101" t="str">
        <f>IF(K284&gt;0,COUNT($A$7:A282)
+COUNT('DWV PVC'!$A$9:$A$316)
+COUNT('DWV ABS'!$A$8:$A$116)+1,"")</f>
        <v/>
      </c>
      <c r="B284" s="610"/>
      <c r="C284" s="611"/>
      <c r="D284" s="369" t="str">
        <f>_xlfn.XLOOKUP(E284,'All Products'!D:D,'All Products'!C:C,FALSE)</f>
        <v>437-291</v>
      </c>
      <c r="E284" s="51">
        <v>100022877</v>
      </c>
      <c r="F284" s="376" t="str">
        <f>_xlfn.XLOOKUP(E284,'All Products'!D:D,'All Products'!E:E,FALSE)</f>
        <v>2-1/2X1-1/2 RED BUSHING SPGX SLIP</v>
      </c>
      <c r="G284" s="232">
        <f>_xlfn.XLOOKUP(E284,'All Products'!D:D,'All Products'!F:F,FALSE)</f>
        <v>25</v>
      </c>
      <c r="H284" s="387">
        <f>_xlfn.XLOOKUP(E284,'All Products'!D:D,'All Products'!G:G,FALSE)</f>
        <v>3750</v>
      </c>
      <c r="I284" s="394">
        <f>_xlfn.XLOOKUP(E284,'All Products'!D:D,'All Products'!H:H,FALSE)</f>
        <v>11.4</v>
      </c>
      <c r="J284" s="183">
        <f>IFERROR(ROUND(I284*Order_Quote!$L$4,2),0)</f>
        <v>11.4</v>
      </c>
      <c r="K284" s="73"/>
      <c r="L284" s="76"/>
      <c r="M284" s="114">
        <f t="shared" si="28"/>
        <v>0</v>
      </c>
      <c r="O284" s="384" t="str">
        <f>_xlfn.XLOOKUP(E284,'All Products'!D:D,'All Products'!I:I,FALSE)</f>
        <v>In Stock</v>
      </c>
      <c r="P284" s="384" t="str">
        <f>_xlfn.XLOOKUP(E284,'All Products'!D:D,'All Products'!J:J,FALSE)</f>
        <v>Manufactured</v>
      </c>
      <c r="Q284" s="397">
        <f>_xlfn.XLOOKUP(E284,'All Products'!D:D,'All Products'!K:K,FALSE)</f>
        <v>49081133443</v>
      </c>
      <c r="R284" s="397">
        <f>_xlfn.XLOOKUP(E284,'All Products'!D:D,'All Products'!L:L,FALSE)</f>
        <v>49081633448</v>
      </c>
      <c r="S284" s="397">
        <f>_xlfn.XLOOKUP(E284,'All Products'!D:D,'All Products'!M:M,FALSE)</f>
        <v>40049081133441</v>
      </c>
      <c r="T284" s="384">
        <f>_xlfn.XLOOKUP(E284,'All Products'!D:D,'All Products'!N:N,FALSE)</f>
        <v>0.372</v>
      </c>
      <c r="U284" s="397">
        <f>_xlfn.XLOOKUP(E284,'All Products'!D:D,'All Products'!O:O,FALSE)</f>
        <v>5</v>
      </c>
      <c r="V284" s="384">
        <f>_xlfn.XLOOKUP(E284,'All Products'!D:D,'All Products'!P:P,FALSE)</f>
        <v>9.41</v>
      </c>
      <c r="W284" s="384">
        <f>_xlfn.XLOOKUP(E284,'All Products'!D:D,'All Products'!Q:Q,FALSE)</f>
        <v>0.5</v>
      </c>
    </row>
    <row r="285" spans="1:23" ht="15" customHeight="1">
      <c r="A285" s="101" t="str">
        <f>IF(K285&gt;0,COUNT($A$7:A284)
+COUNT('DWV PVC'!$A$9:$A$316)
+COUNT('DWV ABS'!$A$8:$A$116)+1,"")</f>
        <v/>
      </c>
      <c r="B285" s="610"/>
      <c r="C285" s="611"/>
      <c r="D285" s="369" t="str">
        <f>_xlfn.XLOOKUP(E285,'All Products'!D:D,'All Products'!C:C,FALSE)</f>
        <v>437-292</v>
      </c>
      <c r="E285" s="51">
        <v>100022879</v>
      </c>
      <c r="F285" s="376" t="str">
        <f>_xlfn.XLOOKUP(E285,'All Products'!D:D,'All Products'!E:E,FALSE)</f>
        <v>2-1/2X2 REDUCER BUSHING SPGX SLIP</v>
      </c>
      <c r="G285" s="232">
        <f>_xlfn.XLOOKUP(E285,'All Products'!D:D,'All Products'!F:F,FALSE)</f>
        <v>25</v>
      </c>
      <c r="H285" s="387">
        <f>_xlfn.XLOOKUP(E285,'All Products'!D:D,'All Products'!G:G,FALSE)</f>
        <v>3750</v>
      </c>
      <c r="I285" s="394">
        <f>_xlfn.XLOOKUP(E285,'All Products'!D:D,'All Products'!H:H,FALSE)</f>
        <v>11.4</v>
      </c>
      <c r="J285" s="183">
        <f>IFERROR(ROUND(I285*Order_Quote!$L$4,2),0)</f>
        <v>11.4</v>
      </c>
      <c r="K285" s="73"/>
      <c r="L285" s="76"/>
      <c r="M285" s="114">
        <f t="shared" si="28"/>
        <v>0</v>
      </c>
      <c r="O285" s="384" t="str">
        <f>_xlfn.XLOOKUP(E285,'All Products'!D:D,'All Products'!I:I,FALSE)</f>
        <v>In Stock</v>
      </c>
      <c r="P285" s="384" t="str">
        <f>_xlfn.XLOOKUP(E285,'All Products'!D:D,'All Products'!J:J,FALSE)</f>
        <v>Manufactured</v>
      </c>
      <c r="Q285" s="397">
        <f>_xlfn.XLOOKUP(E285,'All Products'!D:D,'All Products'!K:K,FALSE)</f>
        <v>49081133429</v>
      </c>
      <c r="R285" s="397">
        <f>_xlfn.XLOOKUP(E285,'All Products'!D:D,'All Products'!L:L,FALSE)</f>
        <v>49081633424</v>
      </c>
      <c r="S285" s="397">
        <f>_xlfn.XLOOKUP(E285,'All Products'!D:D,'All Products'!M:M,FALSE)</f>
        <v>40049081133427</v>
      </c>
      <c r="T285" s="384">
        <f>_xlfn.XLOOKUP(E285,'All Products'!D:D,'All Products'!N:N,FALSE)</f>
        <v>0.24299999999999999</v>
      </c>
      <c r="U285" s="397">
        <f>_xlfn.XLOOKUP(E285,'All Products'!D:D,'All Products'!O:O,FALSE)</f>
        <v>5</v>
      </c>
      <c r="V285" s="384">
        <f>_xlfn.XLOOKUP(E285,'All Products'!D:D,'All Products'!P:P,FALSE)</f>
        <v>6.94</v>
      </c>
      <c r="W285" s="384">
        <f>_xlfn.XLOOKUP(E285,'All Products'!D:D,'All Products'!Q:Q,FALSE)</f>
        <v>0.5</v>
      </c>
    </row>
    <row r="286" spans="1:23" ht="15" customHeight="1">
      <c r="A286" s="101" t="str">
        <f>IF(K286&gt;0,COUNT($A$7:A285)
+COUNT('DWV PVC'!$A$9:$A$316)
+COUNT('DWV ABS'!$A$8:$A$116)+1,"")</f>
        <v/>
      </c>
      <c r="B286" s="610"/>
      <c r="C286" s="611"/>
      <c r="D286" s="369" t="str">
        <f>_xlfn.XLOOKUP(E286,'All Products'!D:D,'All Products'!C:C,FALSE)</f>
        <v>437-335</v>
      </c>
      <c r="E286" s="51">
        <v>100022884</v>
      </c>
      <c r="F286" s="376" t="str">
        <f>_xlfn.XLOOKUP(E286,'All Products'!D:D,'All Products'!E:E,FALSE)</f>
        <v>3X1 REDUCER BUSHING SPGX SLIP</v>
      </c>
      <c r="G286" s="232">
        <f>_xlfn.XLOOKUP(E286,'All Products'!D:D,'All Products'!F:F,FALSE)</f>
        <v>25</v>
      </c>
      <c r="H286" s="387">
        <f>_xlfn.XLOOKUP(E286,'All Products'!D:D,'All Products'!G:G,FALSE)</f>
        <v>3000</v>
      </c>
      <c r="I286" s="394">
        <f>_xlfn.XLOOKUP(E286,'All Products'!D:D,'All Products'!H:H,FALSE)</f>
        <v>16.82</v>
      </c>
      <c r="J286" s="183">
        <f>IFERROR(ROUND(I286*Order_Quote!$L$4,2),0)</f>
        <v>16.82</v>
      </c>
      <c r="K286" s="73"/>
      <c r="L286" s="76"/>
      <c r="M286" s="114">
        <f t="shared" si="28"/>
        <v>0</v>
      </c>
      <c r="O286" s="384" t="str">
        <f>_xlfn.XLOOKUP(E286,'All Products'!D:D,'All Products'!I:I,FALSE)</f>
        <v>In Stock</v>
      </c>
      <c r="P286" s="384" t="str">
        <f>_xlfn.XLOOKUP(E286,'All Products'!D:D,'All Products'!J:J,FALSE)</f>
        <v>Manufactured</v>
      </c>
      <c r="Q286" s="397">
        <f>_xlfn.XLOOKUP(E286,'All Products'!D:D,'All Products'!K:K,FALSE)</f>
        <v>49081133627</v>
      </c>
      <c r="R286" s="397">
        <f>_xlfn.XLOOKUP(E286,'All Products'!D:D,'All Products'!L:L,FALSE)</f>
        <v>49081633622</v>
      </c>
      <c r="S286" s="397">
        <f>_xlfn.XLOOKUP(E286,'All Products'!D:D,'All Products'!M:M,FALSE)</f>
        <v>40049081133625</v>
      </c>
      <c r="T286" s="384">
        <f>_xlfn.XLOOKUP(E286,'All Products'!D:D,'All Products'!N:N,FALSE)</f>
        <v>0.41399999999999998</v>
      </c>
      <c r="U286" s="397">
        <f>_xlfn.XLOOKUP(E286,'All Products'!D:D,'All Products'!O:O,FALSE)</f>
        <v>5</v>
      </c>
      <c r="V286" s="384">
        <f>_xlfn.XLOOKUP(E286,'All Products'!D:D,'All Products'!P:P,FALSE)</f>
        <v>11.04</v>
      </c>
      <c r="W286" s="384">
        <f>_xlfn.XLOOKUP(E286,'All Products'!D:D,'All Products'!Q:Q,FALSE)</f>
        <v>0.65</v>
      </c>
    </row>
    <row r="287" spans="1:23" ht="15" customHeight="1">
      <c r="B287" s="610"/>
      <c r="C287" s="611"/>
      <c r="D287" s="369" t="str">
        <f>_xlfn.XLOOKUP(E287,'All Products'!D:D,'All Products'!C:C,FALSE)</f>
        <v>437-336</v>
      </c>
      <c r="E287" s="51">
        <v>100022885</v>
      </c>
      <c r="F287" s="376" t="str">
        <f>_xlfn.XLOOKUP(E287,'All Products'!D:D,'All Products'!E:E,FALSE)</f>
        <v>3 X 1-1/4" REDUCER BUSHING SPGX SLIP</v>
      </c>
      <c r="G287" s="232">
        <f>_xlfn.XLOOKUP(E287,'All Products'!D:D,'All Products'!F:F,FALSE)</f>
        <v>25</v>
      </c>
      <c r="H287" s="387">
        <f>_xlfn.XLOOKUP(E287,'All Products'!D:D,'All Products'!G:G,FALSE)</f>
        <v>1500</v>
      </c>
      <c r="I287" s="394">
        <f>_xlfn.XLOOKUP(E287,'All Products'!D:D,'All Products'!H:H,FALSE)</f>
        <v>16.010000000000002</v>
      </c>
      <c r="J287" s="183">
        <f>IFERROR(ROUND(I287*Order_Quote!$L$4,2),0)</f>
        <v>16.010000000000002</v>
      </c>
      <c r="K287" s="73"/>
      <c r="L287" s="76"/>
      <c r="M287" s="114">
        <f t="shared" si="28"/>
        <v>0</v>
      </c>
      <c r="O287" s="384" t="str">
        <f>_xlfn.XLOOKUP(E287,'All Products'!D:D,'All Products'!I:I,FALSE)</f>
        <v>In Stock</v>
      </c>
      <c r="P287" s="384" t="str">
        <f>_xlfn.XLOOKUP(E287,'All Products'!D:D,'All Products'!J:J,FALSE)</f>
        <v>Manufactured</v>
      </c>
      <c r="Q287" s="397">
        <f>_xlfn.XLOOKUP(E287,'All Products'!D:D,'All Products'!K:K,FALSE)</f>
        <v>49081133603</v>
      </c>
      <c r="R287" s="397">
        <f>_xlfn.XLOOKUP(E287,'All Products'!D:D,'All Products'!L:L,FALSE)</f>
        <v>49081633608</v>
      </c>
      <c r="S287" s="397">
        <f>_xlfn.XLOOKUP(E287,'All Products'!D:D,'All Products'!M:M,FALSE)</f>
        <v>40049081133601</v>
      </c>
      <c r="T287" s="384">
        <f>_xlfn.XLOOKUP(E287,'All Products'!D:D,'All Products'!N:N,FALSE)</f>
        <v>0.45200000000000001</v>
      </c>
      <c r="U287" s="397">
        <f>_xlfn.XLOOKUP(E287,'All Products'!D:D,'All Products'!O:O,FALSE)</f>
        <v>5</v>
      </c>
      <c r="V287" s="384">
        <f>_xlfn.XLOOKUP(E287,'All Products'!D:D,'All Products'!P:P,FALSE)</f>
        <v>11.3</v>
      </c>
      <c r="W287" s="384">
        <f>_xlfn.XLOOKUP(E287,'All Products'!D:D,'All Products'!Q:Q,FALSE)</f>
        <v>0.72</v>
      </c>
    </row>
    <row r="288" spans="1:23" ht="15" customHeight="1">
      <c r="A288" s="101" t="str">
        <f>IF(K288&gt;0,COUNT($A$7:A286)
+COUNT('DWV PVC'!$A$9:$A$316)
+COUNT('DWV ABS'!$A$8:$A$116)+1,"")</f>
        <v/>
      </c>
      <c r="B288" s="610"/>
      <c r="C288" s="611"/>
      <c r="D288" s="369" t="str">
        <f>_xlfn.XLOOKUP(E288,'All Products'!D:D,'All Products'!C:C,FALSE)</f>
        <v>437-337</v>
      </c>
      <c r="E288" s="51">
        <v>100022887</v>
      </c>
      <c r="F288" s="376" t="str">
        <f>_xlfn.XLOOKUP(E288,'All Products'!D:D,'All Products'!E:E,FALSE)</f>
        <v>3X1-1/2 REDUCER BUSHING SPGX SLIP</v>
      </c>
      <c r="G288" s="232">
        <f>_xlfn.XLOOKUP(E288,'All Products'!D:D,'All Products'!F:F,FALSE)</f>
        <v>25</v>
      </c>
      <c r="H288" s="387">
        <f>_xlfn.XLOOKUP(E288,'All Products'!D:D,'All Products'!G:G,FALSE)</f>
        <v>3000</v>
      </c>
      <c r="I288" s="394">
        <f>_xlfn.XLOOKUP(E288,'All Products'!D:D,'All Products'!H:H,FALSE)</f>
        <v>16.82</v>
      </c>
      <c r="J288" s="183">
        <f>IFERROR(ROUND(I288*Order_Quote!$L$4,2),0)</f>
        <v>16.82</v>
      </c>
      <c r="K288" s="73"/>
      <c r="L288" s="76"/>
      <c r="M288" s="114">
        <f t="shared" si="27"/>
        <v>0</v>
      </c>
      <c r="O288" s="384" t="str">
        <f>_xlfn.XLOOKUP(E288,'All Products'!D:D,'All Products'!I:I,FALSE)</f>
        <v>In Stock</v>
      </c>
      <c r="P288" s="384" t="str">
        <f>_xlfn.XLOOKUP(E288,'All Products'!D:D,'All Products'!J:J,FALSE)</f>
        <v>Manufactured</v>
      </c>
      <c r="Q288" s="397">
        <f>_xlfn.XLOOKUP(E288,'All Products'!D:D,'All Products'!K:K,FALSE)</f>
        <v>49081133580</v>
      </c>
      <c r="R288" s="397">
        <f>_xlfn.XLOOKUP(E288,'All Products'!D:D,'All Products'!L:L,FALSE)</f>
        <v>49081633585</v>
      </c>
      <c r="S288" s="397">
        <f>_xlfn.XLOOKUP(E288,'All Products'!D:D,'All Products'!M:M,FALSE)</f>
        <v>40049081133588</v>
      </c>
      <c r="T288" s="384">
        <f>_xlfn.XLOOKUP(E288,'All Products'!D:D,'All Products'!N:N,FALSE)</f>
        <v>0.42</v>
      </c>
      <c r="U288" s="397">
        <f>_xlfn.XLOOKUP(E288,'All Products'!D:D,'All Products'!O:O,FALSE)</f>
        <v>5</v>
      </c>
      <c r="V288" s="384">
        <f>_xlfn.XLOOKUP(E288,'All Products'!D:D,'All Products'!P:P,FALSE)</f>
        <v>11.35</v>
      </c>
      <c r="W288" s="384">
        <f>_xlfn.XLOOKUP(E288,'All Products'!D:D,'All Products'!Q:Q,FALSE)</f>
        <v>0.65</v>
      </c>
    </row>
    <row r="289" spans="1:23" ht="15" customHeight="1">
      <c r="A289" s="101" t="str">
        <f>IF(K289&gt;0,COUNT($A$7:A288)
+COUNT('DWV PVC'!$A$9:$A$316)
+COUNT('DWV ABS'!$A$8:$A$116)+1,"")</f>
        <v/>
      </c>
      <c r="B289" s="610"/>
      <c r="C289" s="611"/>
      <c r="D289" s="369" t="str">
        <f>_xlfn.XLOOKUP(E289,'All Products'!D:D,'All Products'!C:C,FALSE)</f>
        <v>437-338</v>
      </c>
      <c r="E289" s="51">
        <v>100022889</v>
      </c>
      <c r="F289" s="376" t="str">
        <f>_xlfn.XLOOKUP(E289,'All Products'!D:D,'All Products'!E:E,FALSE)</f>
        <v>3X2 REDUCER BUSHING SPGX SLIP</v>
      </c>
      <c r="G289" s="232">
        <f>_xlfn.XLOOKUP(E289,'All Products'!D:D,'All Products'!F:F,FALSE)</f>
        <v>25</v>
      </c>
      <c r="H289" s="387">
        <f>_xlfn.XLOOKUP(E289,'All Products'!D:D,'All Products'!G:G,FALSE)</f>
        <v>3000</v>
      </c>
      <c r="I289" s="394">
        <f>_xlfn.XLOOKUP(E289,'All Products'!D:D,'All Products'!H:H,FALSE)</f>
        <v>16.82</v>
      </c>
      <c r="J289" s="183">
        <f>IFERROR(ROUND(I289*Order_Quote!$L$4,2),0)</f>
        <v>16.82</v>
      </c>
      <c r="K289" s="73"/>
      <c r="L289" s="76"/>
      <c r="M289" s="114">
        <f t="shared" si="27"/>
        <v>0</v>
      </c>
      <c r="O289" s="384" t="str">
        <f>_xlfn.XLOOKUP(E289,'All Products'!D:D,'All Products'!I:I,FALSE)</f>
        <v>In Stock</v>
      </c>
      <c r="P289" s="384" t="str">
        <f>_xlfn.XLOOKUP(E289,'All Products'!D:D,'All Products'!J:J,FALSE)</f>
        <v>Manufactured</v>
      </c>
      <c r="Q289" s="397">
        <f>_xlfn.XLOOKUP(E289,'All Products'!D:D,'All Products'!K:K,FALSE)</f>
        <v>49081133566</v>
      </c>
      <c r="R289" s="397">
        <f>_xlfn.XLOOKUP(E289,'All Products'!D:D,'All Products'!L:L,FALSE)</f>
        <v>49081633561</v>
      </c>
      <c r="S289" s="397">
        <f>_xlfn.XLOOKUP(E289,'All Products'!D:D,'All Products'!M:M,FALSE)</f>
        <v>40049081133564</v>
      </c>
      <c r="T289" s="384">
        <f>_xlfn.XLOOKUP(E289,'All Products'!D:D,'All Products'!N:N,FALSE)</f>
        <v>0.378</v>
      </c>
      <c r="U289" s="397">
        <f>_xlfn.XLOOKUP(E289,'All Products'!D:D,'All Products'!O:O,FALSE)</f>
        <v>5</v>
      </c>
      <c r="V289" s="384">
        <f>_xlfn.XLOOKUP(E289,'All Products'!D:D,'All Products'!P:P,FALSE)</f>
        <v>11.05</v>
      </c>
      <c r="W289" s="384">
        <f>_xlfn.XLOOKUP(E289,'All Products'!D:D,'All Products'!Q:Q,FALSE)</f>
        <v>0.65</v>
      </c>
    </row>
    <row r="290" spans="1:23" ht="15" customHeight="1">
      <c r="A290" s="101" t="str">
        <f>IF(K290&gt;0,COUNT($A$7:A289)
+COUNT('DWV PVC'!$A$9:$A$316)
+COUNT('DWV ABS'!$A$8:$A$116)+1,"")</f>
        <v/>
      </c>
      <c r="B290" s="610"/>
      <c r="C290" s="611"/>
      <c r="D290" s="369" t="str">
        <f>_xlfn.XLOOKUP(E290,'All Products'!D:D,'All Products'!C:C,FALSE)</f>
        <v>437-339</v>
      </c>
      <c r="E290" s="51">
        <v>100022891</v>
      </c>
      <c r="F290" s="376" t="str">
        <f>_xlfn.XLOOKUP(E290,'All Products'!D:D,'All Products'!E:E,FALSE)</f>
        <v>3X2-1/2 REDUCER BUSHING SPGX SLIP</v>
      </c>
      <c r="G290" s="232">
        <f>_xlfn.XLOOKUP(E290,'All Products'!D:D,'All Products'!F:F,FALSE)</f>
        <v>25</v>
      </c>
      <c r="H290" s="387">
        <f>_xlfn.XLOOKUP(E290,'All Products'!D:D,'All Products'!G:G,FALSE)</f>
        <v>3000</v>
      </c>
      <c r="I290" s="394">
        <f>_xlfn.XLOOKUP(E290,'All Products'!D:D,'All Products'!H:H,FALSE)</f>
        <v>16.82</v>
      </c>
      <c r="J290" s="183">
        <f>IFERROR(ROUND(I290*Order_Quote!$L$4,2),0)</f>
        <v>16.82</v>
      </c>
      <c r="K290" s="73"/>
      <c r="L290" s="76"/>
      <c r="M290" s="114">
        <f t="shared" si="27"/>
        <v>0</v>
      </c>
      <c r="O290" s="384" t="str">
        <f>_xlfn.XLOOKUP(E290,'All Products'!D:D,'All Products'!I:I,FALSE)</f>
        <v>In Stock</v>
      </c>
      <c r="P290" s="384" t="str">
        <f>_xlfn.XLOOKUP(E290,'All Products'!D:D,'All Products'!J:J,FALSE)</f>
        <v>Manufactured</v>
      </c>
      <c r="Q290" s="397">
        <f>_xlfn.XLOOKUP(E290,'All Products'!D:D,'All Products'!K:K,FALSE)</f>
        <v>49081133542</v>
      </c>
      <c r="R290" s="397">
        <f>_xlfn.XLOOKUP(E290,'All Products'!D:D,'All Products'!L:L,FALSE)</f>
        <v>49081633547</v>
      </c>
      <c r="S290" s="397">
        <f>_xlfn.XLOOKUP(E290,'All Products'!D:D,'All Products'!M:M,FALSE)</f>
        <v>40049081133540</v>
      </c>
      <c r="T290" s="384">
        <f>_xlfn.XLOOKUP(E290,'All Products'!D:D,'All Products'!N:N,FALSE)</f>
        <v>0.33900000000000002</v>
      </c>
      <c r="U290" s="397">
        <f>_xlfn.XLOOKUP(E290,'All Products'!D:D,'All Products'!O:O,FALSE)</f>
        <v>5</v>
      </c>
      <c r="V290" s="384">
        <f>_xlfn.XLOOKUP(E290,'All Products'!D:D,'All Products'!P:P,FALSE)</f>
        <v>9.18</v>
      </c>
      <c r="W290" s="384">
        <f>_xlfn.XLOOKUP(E290,'All Products'!D:D,'All Products'!Q:Q,FALSE)</f>
        <v>0.65</v>
      </c>
    </row>
    <row r="291" spans="1:23" ht="15" customHeight="1">
      <c r="A291" s="101" t="str">
        <f>IF(K291&gt;0,COUNT($A$7:A290)
+COUNT('DWV PVC'!$A$9:$A$316)
+COUNT('DWV ABS'!$A$8:$A$116)+1,"")</f>
        <v/>
      </c>
      <c r="B291" s="610"/>
      <c r="C291" s="611"/>
      <c r="D291" s="369" t="str">
        <f>_xlfn.XLOOKUP(E291,'All Products'!D:D,'All Products'!C:C,FALSE)</f>
        <v>437-420</v>
      </c>
      <c r="E291" s="51">
        <v>100022893</v>
      </c>
      <c r="F291" s="376" t="str">
        <f>_xlfn.XLOOKUP(E291,'All Products'!D:D,'All Products'!E:E,FALSE)</f>
        <v>4X2 REDUCER BUSHING SPGX SLIP</v>
      </c>
      <c r="G291" s="232">
        <f>_xlfn.XLOOKUP(E291,'All Products'!D:D,'All Products'!F:F,FALSE)</f>
        <v>10</v>
      </c>
      <c r="H291" s="387">
        <f>_xlfn.XLOOKUP(E291,'All Products'!D:D,'All Products'!G:G,FALSE)</f>
        <v>1500</v>
      </c>
      <c r="I291" s="394">
        <f>_xlfn.XLOOKUP(E291,'All Products'!D:D,'All Products'!H:H,FALSE)</f>
        <v>37.64</v>
      </c>
      <c r="J291" s="183">
        <f>IFERROR(ROUND(I291*Order_Quote!$L$4,2),0)</f>
        <v>37.64</v>
      </c>
      <c r="K291" s="73"/>
      <c r="L291" s="76"/>
      <c r="M291" s="114">
        <f t="shared" si="27"/>
        <v>0</v>
      </c>
      <c r="O291" s="384" t="str">
        <f>_xlfn.XLOOKUP(E291,'All Products'!D:D,'All Products'!I:I,FALSE)</f>
        <v>In Stock</v>
      </c>
      <c r="P291" s="384" t="str">
        <f>_xlfn.XLOOKUP(E291,'All Products'!D:D,'All Products'!J:J,FALSE)</f>
        <v>Manufactured</v>
      </c>
      <c r="Q291" s="397">
        <f>_xlfn.XLOOKUP(E291,'All Products'!D:D,'All Products'!K:K,FALSE)</f>
        <v>49081133740</v>
      </c>
      <c r="R291" s="397" t="str">
        <f>_xlfn.XLOOKUP(E291,'All Products'!D:D,'All Products'!L:L,FALSE)</f>
        <v>-</v>
      </c>
      <c r="S291" s="397">
        <f>_xlfn.XLOOKUP(E291,'All Products'!D:D,'All Products'!M:M,FALSE)</f>
        <v>40049081133748</v>
      </c>
      <c r="T291" s="384">
        <f>_xlfn.XLOOKUP(E291,'All Products'!D:D,'All Products'!N:N,FALSE)</f>
        <v>0.79</v>
      </c>
      <c r="U291" s="397" t="str">
        <f>_xlfn.XLOOKUP(E291,'All Products'!D:D,'All Products'!O:O,FALSE)</f>
        <v>-</v>
      </c>
      <c r="V291" s="384">
        <f>_xlfn.XLOOKUP(E291,'All Products'!D:D,'All Products'!P:P,FALSE)</f>
        <v>8.84</v>
      </c>
      <c r="W291" s="384">
        <f>_xlfn.XLOOKUP(E291,'All Products'!D:D,'All Products'!Q:Q,FALSE)</f>
        <v>0.5</v>
      </c>
    </row>
    <row r="292" spans="1:23" ht="15" customHeight="1">
      <c r="A292" s="101" t="str">
        <f>IF(K292&gt;0,COUNT($A$7:A291)
+COUNT('DWV PVC'!$A$9:$A$316)
+COUNT('DWV ABS'!$A$8:$A$116)+1,"")</f>
        <v/>
      </c>
      <c r="B292" s="610"/>
      <c r="C292" s="611"/>
      <c r="D292" s="369" t="str">
        <f>_xlfn.XLOOKUP(E292,'All Products'!D:D,'All Products'!C:C,FALSE)</f>
        <v>437-422</v>
      </c>
      <c r="E292" s="51">
        <v>100022895</v>
      </c>
      <c r="F292" s="376" t="str">
        <f>_xlfn.XLOOKUP(E292,'All Products'!D:D,'All Products'!E:E,FALSE)</f>
        <v>4X3 REDUCER BUSHING SPGX SLIP</v>
      </c>
      <c r="G292" s="232">
        <f>_xlfn.XLOOKUP(E292,'All Products'!D:D,'All Products'!F:F,FALSE)</f>
        <v>10</v>
      </c>
      <c r="H292" s="387">
        <f>_xlfn.XLOOKUP(E292,'All Products'!D:D,'All Products'!G:G,FALSE)</f>
        <v>1500</v>
      </c>
      <c r="I292" s="394">
        <f>_xlfn.XLOOKUP(E292,'All Products'!D:D,'All Products'!H:H,FALSE)</f>
        <v>37.64</v>
      </c>
      <c r="J292" s="183">
        <f>IFERROR(ROUND(I292*Order_Quote!$L$4,2),0)</f>
        <v>37.64</v>
      </c>
      <c r="K292" s="73"/>
      <c r="L292" s="76"/>
      <c r="M292" s="114">
        <f t="shared" si="27"/>
        <v>0</v>
      </c>
      <c r="O292" s="384" t="str">
        <f>_xlfn.XLOOKUP(E292,'All Products'!D:D,'All Products'!I:I,FALSE)</f>
        <v>In Stock</v>
      </c>
      <c r="P292" s="384" t="str">
        <f>_xlfn.XLOOKUP(E292,'All Products'!D:D,'All Products'!J:J,FALSE)</f>
        <v>Manufactured</v>
      </c>
      <c r="Q292" s="397">
        <f>_xlfn.XLOOKUP(E292,'All Products'!D:D,'All Products'!K:K,FALSE)</f>
        <v>49081133702</v>
      </c>
      <c r="R292" s="397" t="str">
        <f>_xlfn.XLOOKUP(E292,'All Products'!D:D,'All Products'!L:L,FALSE)</f>
        <v>-</v>
      </c>
      <c r="S292" s="397">
        <f>_xlfn.XLOOKUP(E292,'All Products'!D:D,'All Products'!M:M,FALSE)</f>
        <v>40049081133700</v>
      </c>
      <c r="T292" s="384">
        <f>_xlfn.XLOOKUP(E292,'All Products'!D:D,'All Products'!N:N,FALSE)</f>
        <v>0.78300000000000003</v>
      </c>
      <c r="U292" s="397" t="str">
        <f>_xlfn.XLOOKUP(E292,'All Products'!D:D,'All Products'!O:O,FALSE)</f>
        <v>-</v>
      </c>
      <c r="V292" s="384">
        <f>_xlfn.XLOOKUP(E292,'All Products'!D:D,'All Products'!P:P,FALSE)</f>
        <v>8.5299999999999994</v>
      </c>
      <c r="W292" s="384">
        <f>_xlfn.XLOOKUP(E292,'All Products'!D:D,'All Products'!Q:Q,FALSE)</f>
        <v>0.5</v>
      </c>
    </row>
    <row r="293" spans="1:23" ht="15" customHeight="1">
      <c r="A293" s="101" t="str">
        <f>IF(K293&gt;0,COUNT($A$7:A292)
+COUNT('DWV PVC'!$A$9:$A$316)
+COUNT('DWV ABS'!$A$8:$A$116)+1,"")</f>
        <v/>
      </c>
      <c r="B293" s="610"/>
      <c r="C293" s="611"/>
      <c r="D293" s="369" t="str">
        <f>_xlfn.XLOOKUP(E293,'All Products'!D:D,'All Products'!C:C,FALSE)</f>
        <v>437-488</v>
      </c>
      <c r="E293" s="51">
        <v>100022899</v>
      </c>
      <c r="F293" s="376" t="str">
        <f>_xlfn.XLOOKUP(E293,'All Products'!D:D,'All Products'!E:E,FALSE)</f>
        <v>5X3 REDUCER BUSHING SPGX SLIP</v>
      </c>
      <c r="G293" s="232">
        <f>_xlfn.XLOOKUP(E293,'All Products'!D:D,'All Products'!F:F,FALSE)</f>
        <v>5</v>
      </c>
      <c r="H293" s="387">
        <f>_xlfn.XLOOKUP(E293,'All Products'!D:D,'All Products'!G:G,FALSE)</f>
        <v>750</v>
      </c>
      <c r="I293" s="394">
        <f>_xlfn.XLOOKUP(E293,'All Products'!D:D,'All Products'!H:H,FALSE)</f>
        <v>52.94</v>
      </c>
      <c r="J293" s="183">
        <f>IFERROR(ROUND(I293*Order_Quote!$L$4,2),0)</f>
        <v>52.94</v>
      </c>
      <c r="K293" s="73"/>
      <c r="L293" s="76"/>
      <c r="M293" s="114">
        <f t="shared" si="27"/>
        <v>0</v>
      </c>
      <c r="O293" s="384" t="str">
        <f>_xlfn.XLOOKUP(E293,'All Products'!D:D,'All Products'!I:I,FALSE)</f>
        <v>Within 3 Weeks</v>
      </c>
      <c r="P293" s="384" t="str">
        <f>_xlfn.XLOOKUP(E293,'All Products'!D:D,'All Products'!J:J,FALSE)</f>
        <v>Manufactured</v>
      </c>
      <c r="Q293" s="397">
        <f>_xlfn.XLOOKUP(E293,'All Products'!D:D,'All Products'!K:K,FALSE)</f>
        <v>49081133849</v>
      </c>
      <c r="R293" s="397" t="str">
        <f>_xlfn.XLOOKUP(E293,'All Products'!D:D,'All Products'!L:L,FALSE)</f>
        <v>-</v>
      </c>
      <c r="S293" s="397">
        <f>_xlfn.XLOOKUP(E293,'All Products'!D:D,'All Products'!M:M,FALSE)</f>
        <v>40049081133847</v>
      </c>
      <c r="T293" s="384">
        <f>_xlfn.XLOOKUP(E293,'All Products'!D:D,'All Products'!N:N,FALSE)</f>
        <v>1.4570000000000001</v>
      </c>
      <c r="U293" s="397" t="str">
        <f>_xlfn.XLOOKUP(E293,'All Products'!D:D,'All Products'!O:O,FALSE)</f>
        <v>-</v>
      </c>
      <c r="V293" s="384">
        <f>_xlfn.XLOOKUP(E293,'All Products'!D:D,'All Products'!P:P,FALSE)</f>
        <v>7.96</v>
      </c>
      <c r="W293" s="384">
        <f>_xlfn.XLOOKUP(E293,'All Products'!D:D,'All Products'!Q:Q,FALSE)</f>
        <v>0.5</v>
      </c>
    </row>
    <row r="294" spans="1:23" ht="15" customHeight="1">
      <c r="A294" s="101" t="str">
        <f>IF(K294&gt;0,COUNT($A$7:A293)
+COUNT('DWV PVC'!$A$9:$A$316)
+COUNT('DWV ABS'!$A$8:$A$116)+1,"")</f>
        <v/>
      </c>
      <c r="B294" s="610"/>
      <c r="C294" s="611"/>
      <c r="D294" s="369" t="str">
        <f>_xlfn.XLOOKUP(E294,'All Products'!D:D,'All Products'!C:C,FALSE)</f>
        <v>437-490</v>
      </c>
      <c r="E294" s="51">
        <v>100022901</v>
      </c>
      <c r="F294" s="376" t="str">
        <f>_xlfn.XLOOKUP(E294,'All Products'!D:D,'All Products'!E:E,FALSE)</f>
        <v>5X4 REDUCER BUSHING SPGX SLIP</v>
      </c>
      <c r="G294" s="232">
        <f>_xlfn.XLOOKUP(E294,'All Products'!D:D,'All Products'!F:F,FALSE)</f>
        <v>5</v>
      </c>
      <c r="H294" s="387">
        <f>_xlfn.XLOOKUP(E294,'All Products'!D:D,'All Products'!G:G,FALSE)</f>
        <v>750</v>
      </c>
      <c r="I294" s="394">
        <f>_xlfn.XLOOKUP(E294,'All Products'!D:D,'All Products'!H:H,FALSE)</f>
        <v>52.94</v>
      </c>
      <c r="J294" s="183">
        <f>IFERROR(ROUND(I294*Order_Quote!$L$4,2),0)</f>
        <v>52.94</v>
      </c>
      <c r="K294" s="73"/>
      <c r="L294" s="76"/>
      <c r="M294" s="114">
        <f t="shared" si="27"/>
        <v>0</v>
      </c>
      <c r="O294" s="384" t="str">
        <f>_xlfn.XLOOKUP(E294,'All Products'!D:D,'All Products'!I:I,FALSE)</f>
        <v>In Stock</v>
      </c>
      <c r="P294" s="384" t="str">
        <f>_xlfn.XLOOKUP(E294,'All Products'!D:D,'All Products'!J:J,FALSE)</f>
        <v>Manufactured</v>
      </c>
      <c r="Q294" s="397">
        <f>_xlfn.XLOOKUP(E294,'All Products'!D:D,'All Products'!K:K,FALSE)</f>
        <v>49081133825</v>
      </c>
      <c r="R294" s="397" t="str">
        <f>_xlfn.XLOOKUP(E294,'All Products'!D:D,'All Products'!L:L,FALSE)</f>
        <v>-</v>
      </c>
      <c r="S294" s="397">
        <f>_xlfn.XLOOKUP(E294,'All Products'!D:D,'All Products'!M:M,FALSE)</f>
        <v>40049081133823</v>
      </c>
      <c r="T294" s="384">
        <f>_xlfn.XLOOKUP(E294,'All Products'!D:D,'All Products'!N:N,FALSE)</f>
        <v>2.9649999999999999</v>
      </c>
      <c r="U294" s="397" t="str">
        <f>_xlfn.XLOOKUP(E294,'All Products'!D:D,'All Products'!O:O,FALSE)</f>
        <v>-</v>
      </c>
      <c r="V294" s="384">
        <f>_xlfn.XLOOKUP(E294,'All Products'!D:D,'All Products'!P:P,FALSE)</f>
        <v>7.43</v>
      </c>
      <c r="W294" s="384">
        <f>_xlfn.XLOOKUP(E294,'All Products'!D:D,'All Products'!Q:Q,FALSE)</f>
        <v>0.5</v>
      </c>
    </row>
    <row r="295" spans="1:23" ht="15" customHeight="1">
      <c r="A295" s="101" t="str">
        <f>IF(K295&gt;0,COUNT($A$7:A294)
+COUNT('DWV PVC'!$A$9:$A$316)
+COUNT('DWV ABS'!$A$8:$A$116)+1,"")</f>
        <v/>
      </c>
      <c r="B295" s="610"/>
      <c r="C295" s="611"/>
      <c r="D295" s="369" t="str">
        <f>_xlfn.XLOOKUP(E295,'All Products'!D:D,'All Products'!C:C,FALSE)</f>
        <v>437-528</v>
      </c>
      <c r="E295" s="51">
        <v>100022903</v>
      </c>
      <c r="F295" s="376" t="str">
        <f>_xlfn.XLOOKUP(E295,'All Products'!D:D,'All Products'!E:E,FALSE)</f>
        <v>6X2 REDUCER BUSHING SPGX SLIP</v>
      </c>
      <c r="G295" s="232">
        <f>_xlfn.XLOOKUP(E295,'All Products'!D:D,'All Products'!F:F,FALSE)</f>
        <v>4</v>
      </c>
      <c r="H295" s="387">
        <f>_xlfn.XLOOKUP(E295,'All Products'!D:D,'All Products'!G:G,FALSE)</f>
        <v>480</v>
      </c>
      <c r="I295" s="394">
        <f>_xlfn.XLOOKUP(E295,'All Products'!D:D,'All Products'!H:H,FALSE)</f>
        <v>93.24</v>
      </c>
      <c r="J295" s="183">
        <f>IFERROR(ROUND(I295*Order_Quote!$L$4,2),0)</f>
        <v>93.24</v>
      </c>
      <c r="K295" s="73"/>
      <c r="L295" s="76"/>
      <c r="M295" s="114">
        <f t="shared" si="27"/>
        <v>0</v>
      </c>
      <c r="O295" s="384" t="str">
        <f>_xlfn.XLOOKUP(E295,'All Products'!D:D,'All Products'!I:I,FALSE)</f>
        <v>In Stock</v>
      </c>
      <c r="P295" s="384" t="str">
        <f>_xlfn.XLOOKUP(E295,'All Products'!D:D,'All Products'!J:J,FALSE)</f>
        <v>Manufactured</v>
      </c>
      <c r="Q295" s="397">
        <f>_xlfn.XLOOKUP(E295,'All Products'!D:D,'All Products'!K:K,FALSE)</f>
        <v>49081133948</v>
      </c>
      <c r="R295" s="397" t="str">
        <f>_xlfn.XLOOKUP(E295,'All Products'!D:D,'All Products'!L:L,FALSE)</f>
        <v>-</v>
      </c>
      <c r="S295" s="397">
        <f>_xlfn.XLOOKUP(E295,'All Products'!D:D,'All Products'!M:M,FALSE)</f>
        <v>40049081133946</v>
      </c>
      <c r="T295" s="384">
        <f>_xlfn.XLOOKUP(E295,'All Products'!D:D,'All Products'!N:N,FALSE)</f>
        <v>2.1749999999999998</v>
      </c>
      <c r="U295" s="397" t="str">
        <f>_xlfn.XLOOKUP(E295,'All Products'!D:D,'All Products'!O:O,FALSE)</f>
        <v>-</v>
      </c>
      <c r="V295" s="384">
        <f>_xlfn.XLOOKUP(E295,'All Products'!D:D,'All Products'!P:P,FALSE)</f>
        <v>9.32</v>
      </c>
      <c r="W295" s="384">
        <f>_xlfn.XLOOKUP(E295,'All Products'!D:D,'All Products'!Q:Q,FALSE)</f>
        <v>0.65</v>
      </c>
    </row>
    <row r="296" spans="1:23" ht="15" customHeight="1">
      <c r="A296" s="101" t="str">
        <f>IF(K296&gt;0,COUNT($A$7:A295)
+COUNT('DWV PVC'!$A$9:$A$316)
+COUNT('DWV ABS'!$A$8:$A$116)+1,"")</f>
        <v/>
      </c>
      <c r="B296" s="610"/>
      <c r="C296" s="611"/>
      <c r="D296" s="369" t="str">
        <f>_xlfn.XLOOKUP(E296,'All Products'!D:D,'All Products'!C:C,FALSE)</f>
        <v>437-530</v>
      </c>
      <c r="E296" s="51">
        <v>100022905</v>
      </c>
      <c r="F296" s="376" t="str">
        <f>_xlfn.XLOOKUP(E296,'All Products'!D:D,'All Products'!E:E,FALSE)</f>
        <v>6X3 REDUCER BUSHING SPGX SLIP</v>
      </c>
      <c r="G296" s="232">
        <f>_xlfn.XLOOKUP(E296,'All Products'!D:D,'All Products'!F:F,FALSE)</f>
        <v>4</v>
      </c>
      <c r="H296" s="387">
        <f>_xlfn.XLOOKUP(E296,'All Products'!D:D,'All Products'!G:G,FALSE)</f>
        <v>480</v>
      </c>
      <c r="I296" s="394">
        <f>_xlfn.XLOOKUP(E296,'All Products'!D:D,'All Products'!H:H,FALSE)</f>
        <v>93.24</v>
      </c>
      <c r="J296" s="183">
        <f>IFERROR(ROUND(I296*Order_Quote!$L$4,2),0)</f>
        <v>93.24</v>
      </c>
      <c r="K296" s="73"/>
      <c r="L296" s="76"/>
      <c r="M296" s="114">
        <f t="shared" si="27"/>
        <v>0</v>
      </c>
      <c r="O296" s="384" t="str">
        <f>_xlfn.XLOOKUP(E296,'All Products'!D:D,'All Products'!I:I,FALSE)</f>
        <v>In Stock</v>
      </c>
      <c r="P296" s="384" t="str">
        <f>_xlfn.XLOOKUP(E296,'All Products'!D:D,'All Products'!J:J,FALSE)</f>
        <v>Manufactured</v>
      </c>
      <c r="Q296" s="397">
        <f>_xlfn.XLOOKUP(E296,'All Products'!D:D,'All Products'!K:K,FALSE)</f>
        <v>49081133924</v>
      </c>
      <c r="R296" s="397" t="str">
        <f>_xlfn.XLOOKUP(E296,'All Products'!D:D,'All Products'!L:L,FALSE)</f>
        <v>-</v>
      </c>
      <c r="S296" s="397">
        <f>_xlfn.XLOOKUP(E296,'All Products'!D:D,'All Products'!M:M,FALSE)</f>
        <v>40049081133922</v>
      </c>
      <c r="T296" s="384">
        <f>_xlfn.XLOOKUP(E296,'All Products'!D:D,'All Products'!N:N,FALSE)</f>
        <v>2.0550000000000002</v>
      </c>
      <c r="U296" s="397" t="str">
        <f>_xlfn.XLOOKUP(E296,'All Products'!D:D,'All Products'!O:O,FALSE)</f>
        <v>-</v>
      </c>
      <c r="V296" s="384">
        <f>_xlfn.XLOOKUP(E296,'All Products'!D:D,'All Products'!P:P,FALSE)</f>
        <v>9.0299999999999994</v>
      </c>
      <c r="W296" s="384">
        <f>_xlfn.XLOOKUP(E296,'All Products'!D:D,'All Products'!Q:Q,FALSE)</f>
        <v>0.65</v>
      </c>
    </row>
    <row r="297" spans="1:23" ht="15" customHeight="1">
      <c r="A297" s="101" t="str">
        <f>IF(K297&gt;0,COUNT($A$7:A296)
+COUNT('DWV PVC'!$A$9:$A$316)
+COUNT('DWV ABS'!$A$8:$A$116)+1,"")</f>
        <v/>
      </c>
      <c r="B297" s="610"/>
      <c r="C297" s="611"/>
      <c r="D297" s="369" t="str">
        <f>_xlfn.XLOOKUP(E297,'All Products'!D:D,'All Products'!C:C,FALSE)</f>
        <v>437-532</v>
      </c>
      <c r="E297" s="51">
        <v>100022907</v>
      </c>
      <c r="F297" s="376" t="str">
        <f>_xlfn.XLOOKUP(E297,'All Products'!D:D,'All Products'!E:E,FALSE)</f>
        <v>6X4 REDUCER BUSHING SPGX SLIP</v>
      </c>
      <c r="G297" s="232">
        <f>_xlfn.XLOOKUP(E297,'All Products'!D:D,'All Products'!F:F,FALSE)</f>
        <v>4</v>
      </c>
      <c r="H297" s="387">
        <f>_xlfn.XLOOKUP(E297,'All Products'!D:D,'All Products'!G:G,FALSE)</f>
        <v>480</v>
      </c>
      <c r="I297" s="394">
        <f>_xlfn.XLOOKUP(E297,'All Products'!D:D,'All Products'!H:H,FALSE)</f>
        <v>93.24</v>
      </c>
      <c r="J297" s="183">
        <f>IFERROR(ROUND(I297*Order_Quote!$L$4,2),0)</f>
        <v>93.24</v>
      </c>
      <c r="K297" s="73"/>
      <c r="L297" s="76"/>
      <c r="M297" s="114">
        <f t="shared" si="27"/>
        <v>0</v>
      </c>
      <c r="O297" s="384" t="str">
        <f>_xlfn.XLOOKUP(E297,'All Products'!D:D,'All Products'!I:I,FALSE)</f>
        <v>In Stock</v>
      </c>
      <c r="P297" s="384" t="str">
        <f>_xlfn.XLOOKUP(E297,'All Products'!D:D,'All Products'!J:J,FALSE)</f>
        <v>Manufactured</v>
      </c>
      <c r="Q297" s="397">
        <f>_xlfn.XLOOKUP(E297,'All Products'!D:D,'All Products'!K:K,FALSE)</f>
        <v>49081133900</v>
      </c>
      <c r="R297" s="397" t="str">
        <f>_xlfn.XLOOKUP(E297,'All Products'!D:D,'All Products'!L:L,FALSE)</f>
        <v>-</v>
      </c>
      <c r="S297" s="397">
        <f>_xlfn.XLOOKUP(E297,'All Products'!D:D,'All Products'!M:M,FALSE)</f>
        <v>40049081133908</v>
      </c>
      <c r="T297" s="384">
        <f>_xlfn.XLOOKUP(E297,'All Products'!D:D,'All Products'!N:N,FALSE)</f>
        <v>1.7490000000000001</v>
      </c>
      <c r="U297" s="397" t="str">
        <f>_xlfn.XLOOKUP(E297,'All Products'!D:D,'All Products'!O:O,FALSE)</f>
        <v>-</v>
      </c>
      <c r="V297" s="384">
        <f>_xlfn.XLOOKUP(E297,'All Products'!D:D,'All Products'!P:P,FALSE)</f>
        <v>7.74</v>
      </c>
      <c r="W297" s="384">
        <f>_xlfn.XLOOKUP(E297,'All Products'!D:D,'All Products'!Q:Q,FALSE)</f>
        <v>0.65</v>
      </c>
    </row>
    <row r="298" spans="1:23" ht="15" customHeight="1">
      <c r="A298" s="101" t="str">
        <f>IF(K298&gt;0,COUNT($A$7:A297)
+COUNT('DWV PVC'!$A$9:$A$316)
+COUNT('DWV ABS'!$A$8:$A$116)+1,"")</f>
        <v/>
      </c>
      <c r="B298" s="610"/>
      <c r="C298" s="611"/>
      <c r="D298" s="369" t="str">
        <f>_xlfn.XLOOKUP(E298,'All Products'!D:D,'All Products'!C:C,FALSE)</f>
        <v>437-534</v>
      </c>
      <c r="E298" s="51">
        <v>100022909</v>
      </c>
      <c r="F298" s="376" t="str">
        <f>_xlfn.XLOOKUP(E298,'All Products'!D:D,'All Products'!E:E,FALSE)</f>
        <v>6X5 REDUCER BUSHING SPGX SLIP</v>
      </c>
      <c r="G298" s="232">
        <f>_xlfn.XLOOKUP(E298,'All Products'!D:D,'All Products'!F:F,FALSE)</f>
        <v>4</v>
      </c>
      <c r="H298" s="387">
        <f>_xlfn.XLOOKUP(E298,'All Products'!D:D,'All Products'!G:G,FALSE)</f>
        <v>480</v>
      </c>
      <c r="I298" s="394">
        <f>_xlfn.XLOOKUP(E298,'All Products'!D:D,'All Products'!H:H,FALSE)</f>
        <v>93.24</v>
      </c>
      <c r="J298" s="183">
        <f>IFERROR(ROUND(I298*Order_Quote!$L$4,2),0)</f>
        <v>93.24</v>
      </c>
      <c r="K298" s="73"/>
      <c r="L298" s="76"/>
      <c r="M298" s="114">
        <f t="shared" si="27"/>
        <v>0</v>
      </c>
      <c r="O298" s="384" t="str">
        <f>_xlfn.XLOOKUP(E298,'All Products'!D:D,'All Products'!I:I,FALSE)</f>
        <v>In Stock</v>
      </c>
      <c r="P298" s="384" t="str">
        <f>_xlfn.XLOOKUP(E298,'All Products'!D:D,'All Products'!J:J,FALSE)</f>
        <v>Manufactured</v>
      </c>
      <c r="Q298" s="397">
        <f>_xlfn.XLOOKUP(E298,'All Products'!D:D,'All Products'!K:K,FALSE)</f>
        <v>49081133887</v>
      </c>
      <c r="R298" s="397" t="str">
        <f>_xlfn.XLOOKUP(E298,'All Products'!D:D,'All Products'!L:L,FALSE)</f>
        <v>-</v>
      </c>
      <c r="S298" s="397">
        <f>_xlfn.XLOOKUP(E298,'All Products'!D:D,'All Products'!M:M,FALSE)</f>
        <v>40049081133885</v>
      </c>
      <c r="T298" s="384">
        <f>_xlfn.XLOOKUP(E298,'All Products'!D:D,'All Products'!N:N,FALSE)</f>
        <v>1.913</v>
      </c>
      <c r="U298" s="397" t="str">
        <f>_xlfn.XLOOKUP(E298,'All Products'!D:D,'All Products'!O:O,FALSE)</f>
        <v>-</v>
      </c>
      <c r="V298" s="384">
        <f>_xlfn.XLOOKUP(E298,'All Products'!D:D,'All Products'!P:P,FALSE)</f>
        <v>7.72</v>
      </c>
      <c r="W298" s="384">
        <f>_xlfn.XLOOKUP(E298,'All Products'!D:D,'All Products'!Q:Q,FALSE)</f>
        <v>0.65</v>
      </c>
    </row>
    <row r="299" spans="1:23" ht="15" customHeight="1">
      <c r="A299" s="101" t="str">
        <f>IF(K299&gt;0,COUNT($A$7:A298)
+COUNT('DWV PVC'!$A$9:$A$316)
+COUNT('DWV ABS'!$A$8:$A$116)+1,"")</f>
        <v/>
      </c>
      <c r="B299" s="610"/>
      <c r="C299" s="611"/>
      <c r="D299" s="369" t="str">
        <f>_xlfn.XLOOKUP(E299,'All Products'!D:D,'All Products'!C:C,FALSE)</f>
        <v>437-578</v>
      </c>
      <c r="E299" s="51">
        <v>100022911</v>
      </c>
      <c r="F299" s="376" t="str">
        <f>_xlfn.XLOOKUP(E299,'All Products'!D:D,'All Products'!E:E,FALSE)</f>
        <v>8X2 REDUCER BUSHING SPGX SLIP</v>
      </c>
      <c r="G299" s="232">
        <f>_xlfn.XLOOKUP(E299,'All Products'!D:D,'All Products'!F:F,FALSE)</f>
        <v>2</v>
      </c>
      <c r="H299" s="387">
        <f>_xlfn.XLOOKUP(E299,'All Products'!D:D,'All Products'!G:G,FALSE)</f>
        <v>180</v>
      </c>
      <c r="I299" s="394">
        <f>_xlfn.XLOOKUP(E299,'All Products'!D:D,'All Products'!H:H,FALSE)</f>
        <v>324.99</v>
      </c>
      <c r="J299" s="183">
        <f>IFERROR(ROUND(I299*Order_Quote!$L$4,2),0)</f>
        <v>324.99</v>
      </c>
      <c r="K299" s="73"/>
      <c r="L299" s="76"/>
      <c r="M299" s="114">
        <f t="shared" si="27"/>
        <v>0</v>
      </c>
      <c r="O299" s="384" t="str">
        <f>_xlfn.XLOOKUP(E299,'All Products'!D:D,'All Products'!I:I,FALSE)</f>
        <v>In Stock</v>
      </c>
      <c r="P299" s="384" t="str">
        <f>_xlfn.XLOOKUP(E299,'All Products'!D:D,'All Products'!J:J,FALSE)</f>
        <v>Manufactured</v>
      </c>
      <c r="Q299" s="397">
        <f>_xlfn.XLOOKUP(E299,'All Products'!D:D,'All Products'!K:K,FALSE)</f>
        <v>49081134006</v>
      </c>
      <c r="R299" s="397" t="str">
        <f>_xlfn.XLOOKUP(E299,'All Products'!D:D,'All Products'!L:L,FALSE)</f>
        <v>-</v>
      </c>
      <c r="S299" s="397">
        <f>_xlfn.XLOOKUP(E299,'All Products'!D:D,'All Products'!M:M,FALSE)</f>
        <v>40049081134004</v>
      </c>
      <c r="T299" s="384">
        <f>_xlfn.XLOOKUP(E299,'All Products'!D:D,'All Products'!N:N,FALSE)</f>
        <v>4.1050000000000004</v>
      </c>
      <c r="U299" s="397" t="str">
        <f>_xlfn.XLOOKUP(E299,'All Products'!D:D,'All Products'!O:O,FALSE)</f>
        <v>-</v>
      </c>
      <c r="V299" s="384">
        <f>_xlfn.XLOOKUP(E299,'All Products'!D:D,'All Products'!P:P,FALSE)</f>
        <v>8.2899999999999991</v>
      </c>
      <c r="W299" s="384">
        <f>_xlfn.XLOOKUP(E299,'All Products'!D:D,'All Products'!Q:Q,FALSE)</f>
        <v>0.8</v>
      </c>
    </row>
    <row r="300" spans="1:23" ht="15" customHeight="1">
      <c r="A300" s="101" t="str">
        <f>IF(K300&gt;0,COUNT($A$7:A299)
+COUNT('DWV PVC'!$A$9:$A$316)
+COUNT('DWV ABS'!$A$8:$A$116)+1,"")</f>
        <v/>
      </c>
      <c r="B300" s="610"/>
      <c r="C300" s="611"/>
      <c r="D300" s="369" t="str">
        <f>_xlfn.XLOOKUP(E300,'All Products'!D:D,'All Products'!C:C,FALSE)</f>
        <v>437-582</v>
      </c>
      <c r="E300" s="51">
        <v>100022916</v>
      </c>
      <c r="F300" s="376" t="str">
        <f>_xlfn.XLOOKUP(E300,'All Products'!D:D,'All Products'!E:E,FALSE)</f>
        <v>8X4 REDUCER BUSHING SPGX SLIP</v>
      </c>
      <c r="G300" s="232">
        <f>_xlfn.XLOOKUP(E300,'All Products'!D:D,'All Products'!F:F,FALSE)</f>
        <v>2</v>
      </c>
      <c r="H300" s="387">
        <f>_xlfn.XLOOKUP(E300,'All Products'!D:D,'All Products'!G:G,FALSE)</f>
        <v>150</v>
      </c>
      <c r="I300" s="394">
        <f>_xlfn.XLOOKUP(E300,'All Products'!D:D,'All Products'!H:H,FALSE)</f>
        <v>324.94</v>
      </c>
      <c r="J300" s="183">
        <f>IFERROR(ROUND(I300*Order_Quote!$L$4,2),0)</f>
        <v>324.94</v>
      </c>
      <c r="K300" s="73"/>
      <c r="L300" s="76"/>
      <c r="M300" s="114">
        <f t="shared" si="27"/>
        <v>0</v>
      </c>
      <c r="O300" s="384" t="str">
        <f>_xlfn.XLOOKUP(E300,'All Products'!D:D,'All Products'!I:I,FALSE)</f>
        <v>In Stock</v>
      </c>
      <c r="P300" s="384" t="str">
        <f>_xlfn.XLOOKUP(E300,'All Products'!D:D,'All Products'!J:J,FALSE)</f>
        <v>Manufactured</v>
      </c>
      <c r="Q300" s="397">
        <f>_xlfn.XLOOKUP(E300,'All Products'!D:D,'All Products'!K:K,FALSE)</f>
        <v>49081133986</v>
      </c>
      <c r="R300" s="397" t="str">
        <f>_xlfn.XLOOKUP(E300,'All Products'!D:D,'All Products'!L:L,FALSE)</f>
        <v>-</v>
      </c>
      <c r="S300" s="397">
        <f>_xlfn.XLOOKUP(E300,'All Products'!D:D,'All Products'!M:M,FALSE)</f>
        <v>40049081133984</v>
      </c>
      <c r="T300" s="384">
        <f>_xlfn.XLOOKUP(E300,'All Products'!D:D,'All Products'!N:N,FALSE)</f>
        <v>3.8740000000000001</v>
      </c>
      <c r="U300" s="397" t="str">
        <f>_xlfn.XLOOKUP(E300,'All Products'!D:D,'All Products'!O:O,FALSE)</f>
        <v>-</v>
      </c>
      <c r="V300" s="384">
        <f>_xlfn.XLOOKUP(E300,'All Products'!D:D,'All Products'!P:P,FALSE)</f>
        <v>8.52</v>
      </c>
      <c r="W300" s="384">
        <f>_xlfn.XLOOKUP(E300,'All Products'!D:D,'All Products'!Q:Q,FALSE)</f>
        <v>1.1000000000000001</v>
      </c>
    </row>
    <row r="301" spans="1:23" ht="15" customHeight="1">
      <c r="A301" s="101" t="str">
        <f>IF(K301&gt;0,COUNT($A$7:A300)
+COUNT('DWV PVC'!$A$9:$A$316)
+COUNT('DWV ABS'!$A$8:$A$116)+1,"")</f>
        <v/>
      </c>
      <c r="B301" s="612"/>
      <c r="C301" s="613"/>
      <c r="D301" s="369" t="str">
        <f>_xlfn.XLOOKUP(E301,'All Products'!D:D,'All Products'!C:C,FALSE)</f>
        <v>437-585</v>
      </c>
      <c r="E301" s="51">
        <v>100022920</v>
      </c>
      <c r="F301" s="376" t="str">
        <f>_xlfn.XLOOKUP(E301,'All Products'!D:D,'All Products'!E:E,FALSE)</f>
        <v>8X6 REDUCER BUSHING SPGX SLIP</v>
      </c>
      <c r="G301" s="232">
        <f>_xlfn.XLOOKUP(E301,'All Products'!D:D,'All Products'!F:F,FALSE)</f>
        <v>2</v>
      </c>
      <c r="H301" s="387">
        <f>_xlfn.XLOOKUP(E301,'All Products'!D:D,'All Products'!G:G,FALSE)</f>
        <v>150</v>
      </c>
      <c r="I301" s="394">
        <f>_xlfn.XLOOKUP(E301,'All Products'!D:D,'All Products'!H:H,FALSE)</f>
        <v>324.94</v>
      </c>
      <c r="J301" s="183">
        <f>IFERROR(ROUND(I301*Order_Quote!$L$4,2),0)</f>
        <v>324.94</v>
      </c>
      <c r="K301" s="73"/>
      <c r="L301" s="76"/>
      <c r="M301" s="114">
        <f t="shared" si="27"/>
        <v>0</v>
      </c>
      <c r="O301" s="384" t="str">
        <f>_xlfn.XLOOKUP(E301,'All Products'!D:D,'All Products'!I:I,FALSE)</f>
        <v>In Stock</v>
      </c>
      <c r="P301" s="384" t="str">
        <f>_xlfn.XLOOKUP(E301,'All Products'!D:D,'All Products'!J:J,FALSE)</f>
        <v>Manufactured</v>
      </c>
      <c r="Q301" s="397">
        <f>_xlfn.XLOOKUP(E301,'All Products'!D:D,'All Products'!K:K,FALSE)</f>
        <v>49081133962</v>
      </c>
      <c r="R301" s="397" t="str">
        <f>_xlfn.XLOOKUP(E301,'All Products'!D:D,'All Products'!L:L,FALSE)</f>
        <v>-</v>
      </c>
      <c r="S301" s="397">
        <f>_xlfn.XLOOKUP(E301,'All Products'!D:D,'All Products'!M:M,FALSE)</f>
        <v>40049081133960</v>
      </c>
      <c r="T301" s="384">
        <f>_xlfn.XLOOKUP(E301,'All Products'!D:D,'All Products'!N:N,FALSE)</f>
        <v>3.984</v>
      </c>
      <c r="U301" s="397" t="str">
        <f>_xlfn.XLOOKUP(E301,'All Products'!D:D,'All Products'!O:O,FALSE)</f>
        <v>-</v>
      </c>
      <c r="V301" s="384">
        <f>_xlfn.XLOOKUP(E301,'All Products'!D:D,'All Products'!P:P,FALSE)</f>
        <v>8.6999999999999993</v>
      </c>
      <c r="W301" s="384">
        <f>_xlfn.XLOOKUP(E301,'All Products'!D:D,'All Products'!Q:Q,FALSE)</f>
        <v>1.1000000000000001</v>
      </c>
    </row>
    <row r="302" spans="1:23" ht="15" customHeight="1">
      <c r="A302" s="101" t="str">
        <f>IF(K302&gt;0,COUNT($A$7:A301)
+COUNT('DWV PVC'!$A$9:$A$316)
+COUNT('DWV ABS'!$A$8:$A$116)+1,"")</f>
        <v/>
      </c>
      <c r="B302" s="608"/>
      <c r="C302" s="609"/>
      <c r="D302" s="369" t="str">
        <f>_xlfn.XLOOKUP(E302,'All Products'!D:D,'All Products'!C:C,FALSE)</f>
        <v>438-071</v>
      </c>
      <c r="E302" s="51">
        <v>100022921</v>
      </c>
      <c r="F302" s="376" t="str">
        <f>_xlfn.XLOOKUP(E302,'All Products'!D:D,'All Products'!E:E,FALSE)</f>
        <v>1/2X1/8 REDUCER BUSHING SPGX FIPT</v>
      </c>
      <c r="G302" s="232">
        <f>_xlfn.XLOOKUP(E302,'All Products'!D:D,'All Products'!F:F,FALSE)</f>
        <v>250</v>
      </c>
      <c r="H302" s="387">
        <f>_xlfn.XLOOKUP(E302,'All Products'!D:D,'All Products'!G:G,FALSE)</f>
        <v>67500</v>
      </c>
      <c r="I302" s="394">
        <f>_xlfn.XLOOKUP(E302,'All Products'!D:D,'All Products'!H:H,FALSE)</f>
        <v>3.48</v>
      </c>
      <c r="J302" s="183">
        <f>IFERROR(ROUND(I302*Order_Quote!$L$4,2),0)</f>
        <v>3.48</v>
      </c>
      <c r="K302" s="73"/>
      <c r="L302" s="76"/>
      <c r="M302" s="114">
        <f t="shared" si="27"/>
        <v>0</v>
      </c>
      <c r="O302" s="384" t="str">
        <f>_xlfn.XLOOKUP(E302,'All Products'!D:D,'All Products'!I:I,FALSE)</f>
        <v>Within 3 Weeks</v>
      </c>
      <c r="P302" s="384" t="str">
        <f>_xlfn.XLOOKUP(E302,'All Products'!D:D,'All Products'!J:J,FALSE)</f>
        <v>Manufactured</v>
      </c>
      <c r="Q302" s="397">
        <f>_xlfn.XLOOKUP(E302,'All Products'!D:D,'All Products'!K:K,FALSE)</f>
        <v>49081134303</v>
      </c>
      <c r="R302" s="397">
        <f>_xlfn.XLOOKUP(E302,'All Products'!D:D,'All Products'!L:L,FALSE)</f>
        <v>49081634308</v>
      </c>
      <c r="S302" s="397">
        <f>_xlfn.XLOOKUP(E302,'All Products'!D:D,'All Products'!M:M,FALSE)</f>
        <v>40049081134301</v>
      </c>
      <c r="T302" s="384">
        <f>_xlfn.XLOOKUP(E302,'All Products'!D:D,'All Products'!N:N,FALSE)</f>
        <v>2.1999999999999999E-2</v>
      </c>
      <c r="U302" s="397">
        <f>_xlfn.XLOOKUP(E302,'All Products'!D:D,'All Products'!O:O,FALSE)</f>
        <v>10</v>
      </c>
      <c r="V302" s="384">
        <f>_xlfn.XLOOKUP(E302,'All Products'!D:D,'All Products'!P:P,FALSE)</f>
        <v>6.9</v>
      </c>
      <c r="W302" s="384">
        <f>_xlfn.XLOOKUP(E302,'All Products'!D:D,'All Products'!Q:Q,FALSE)</f>
        <v>0.31</v>
      </c>
    </row>
    <row r="303" spans="1:23" ht="15" customHeight="1">
      <c r="A303" s="101" t="str">
        <f>IF(K303&gt;0,COUNT($A$7:A302)
+COUNT('DWV PVC'!$A$9:$A$316)
+COUNT('DWV ABS'!$A$8:$A$116)+1,"")</f>
        <v/>
      </c>
      <c r="B303" s="610"/>
      <c r="C303" s="611"/>
      <c r="D303" s="369" t="str">
        <f>_xlfn.XLOOKUP(E303,'All Products'!D:D,'All Products'!C:C,FALSE)</f>
        <v>438-072</v>
      </c>
      <c r="E303" s="51">
        <v>100022923</v>
      </c>
      <c r="F303" s="376" t="str">
        <f>_xlfn.XLOOKUP(E303,'All Products'!D:D,'All Products'!E:E,FALSE)</f>
        <v>1/2X1/4 REDUCER BUSHING SPGX FIPT</v>
      </c>
      <c r="G303" s="232">
        <f>_xlfn.XLOOKUP(E303,'All Products'!D:D,'All Products'!F:F,FALSE)</f>
        <v>250</v>
      </c>
      <c r="H303" s="387">
        <f>_xlfn.XLOOKUP(E303,'All Products'!D:D,'All Products'!G:G,FALSE)</f>
        <v>67500</v>
      </c>
      <c r="I303" s="394">
        <f>_xlfn.XLOOKUP(E303,'All Products'!D:D,'All Products'!H:H,FALSE)</f>
        <v>3.48</v>
      </c>
      <c r="J303" s="183">
        <f>IFERROR(ROUND(I303*Order_Quote!$L$4,2),0)</f>
        <v>3.48</v>
      </c>
      <c r="K303" s="73"/>
      <c r="L303" s="76"/>
      <c r="M303" s="114">
        <f t="shared" si="27"/>
        <v>0</v>
      </c>
      <c r="O303" s="384" t="str">
        <f>_xlfn.XLOOKUP(E303,'All Products'!D:D,'All Products'!I:I,FALSE)</f>
        <v>In Stock</v>
      </c>
      <c r="P303" s="384" t="str">
        <f>_xlfn.XLOOKUP(E303,'All Products'!D:D,'All Products'!J:J,FALSE)</f>
        <v>Manufactured</v>
      </c>
      <c r="Q303" s="397">
        <f>_xlfn.XLOOKUP(E303,'All Products'!D:D,'All Products'!K:K,FALSE)</f>
        <v>49081134280</v>
      </c>
      <c r="R303" s="397">
        <f>_xlfn.XLOOKUP(E303,'All Products'!D:D,'All Products'!L:L,FALSE)</f>
        <v>49081634285</v>
      </c>
      <c r="S303" s="397">
        <f>_xlfn.XLOOKUP(E303,'All Products'!D:D,'All Products'!M:M,FALSE)</f>
        <v>40049081134288</v>
      </c>
      <c r="T303" s="384">
        <f>_xlfn.XLOOKUP(E303,'All Products'!D:D,'All Products'!N:N,FALSE)</f>
        <v>2.1000000000000001E-2</v>
      </c>
      <c r="U303" s="397">
        <f>_xlfn.XLOOKUP(E303,'All Products'!D:D,'All Products'!O:O,FALSE)</f>
        <v>10</v>
      </c>
      <c r="V303" s="384">
        <f>_xlfn.XLOOKUP(E303,'All Products'!D:D,'All Products'!P:P,FALSE)</f>
        <v>5.5</v>
      </c>
      <c r="W303" s="384">
        <f>_xlfn.XLOOKUP(E303,'All Products'!D:D,'All Products'!Q:Q,FALSE)</f>
        <v>0.31</v>
      </c>
    </row>
    <row r="304" spans="1:23" ht="15" customHeight="1">
      <c r="A304" s="101" t="str">
        <f>IF(K304&gt;0,COUNT($A$7:A303)
+COUNT('DWV PVC'!$A$9:$A$316)
+COUNT('DWV ABS'!$A$8:$A$116)+1,"")</f>
        <v/>
      </c>
      <c r="B304" s="610"/>
      <c r="C304" s="611"/>
      <c r="D304" s="369" t="str">
        <f>_xlfn.XLOOKUP(E304,'All Products'!D:D,'All Products'!C:C,FALSE)</f>
        <v>438-073</v>
      </c>
      <c r="E304" s="51">
        <v>100022924</v>
      </c>
      <c r="F304" s="376" t="str">
        <f>_xlfn.XLOOKUP(E304,'All Products'!D:D,'All Products'!E:E,FALSE)</f>
        <v>1/2X3/8 REDUCER BUSHING SPGX FIPT</v>
      </c>
      <c r="G304" s="232">
        <f>_xlfn.XLOOKUP(E304,'All Products'!D:D,'All Products'!F:F,FALSE)</f>
        <v>250</v>
      </c>
      <c r="H304" s="387">
        <f>_xlfn.XLOOKUP(E304,'All Products'!D:D,'All Products'!G:G,FALSE)</f>
        <v>67500</v>
      </c>
      <c r="I304" s="394">
        <f>_xlfn.XLOOKUP(E304,'All Products'!D:D,'All Products'!H:H,FALSE)</f>
        <v>3.48</v>
      </c>
      <c r="J304" s="183">
        <f>IFERROR(ROUND(I304*Order_Quote!$L$4,2),0)</f>
        <v>3.48</v>
      </c>
      <c r="K304" s="73"/>
      <c r="L304" s="76"/>
      <c r="M304" s="114">
        <f t="shared" si="27"/>
        <v>0</v>
      </c>
      <c r="O304" s="384" t="str">
        <f>_xlfn.XLOOKUP(E304,'All Products'!D:D,'All Products'!I:I,FALSE)</f>
        <v>Within 3 Weeks</v>
      </c>
      <c r="P304" s="384" t="str">
        <f>_xlfn.XLOOKUP(E304,'All Products'!D:D,'All Products'!J:J,FALSE)</f>
        <v>Manufactured</v>
      </c>
      <c r="Q304" s="397">
        <f>_xlfn.XLOOKUP(E304,'All Products'!D:D,'All Products'!K:K,FALSE)</f>
        <v>49081134266</v>
      </c>
      <c r="R304" s="397">
        <f>_xlfn.XLOOKUP(E304,'All Products'!D:D,'All Products'!L:L,FALSE)</f>
        <v>49081634261</v>
      </c>
      <c r="S304" s="397">
        <f>_xlfn.XLOOKUP(E304,'All Products'!D:D,'All Products'!M:M,FALSE)</f>
        <v>40049081134264</v>
      </c>
      <c r="T304" s="384">
        <f>_xlfn.XLOOKUP(E304,'All Products'!D:D,'All Products'!N:N,FALSE)</f>
        <v>1.7999999999999999E-2</v>
      </c>
      <c r="U304" s="397">
        <f>_xlfn.XLOOKUP(E304,'All Products'!D:D,'All Products'!O:O,FALSE)</f>
        <v>10</v>
      </c>
      <c r="V304" s="384">
        <f>_xlfn.XLOOKUP(E304,'All Products'!D:D,'All Products'!P:P,FALSE)</f>
        <v>4.68</v>
      </c>
      <c r="W304" s="384">
        <f>_xlfn.XLOOKUP(E304,'All Products'!D:D,'All Products'!Q:Q,FALSE)</f>
        <v>0.31</v>
      </c>
    </row>
    <row r="305" spans="1:23" ht="15" customHeight="1">
      <c r="A305" s="101" t="str">
        <f>IF(K305&gt;0,COUNT($A$7:A304)
+COUNT('DWV PVC'!$A$9:$A$316)
+COUNT('DWV ABS'!$A$8:$A$116)+1,"")</f>
        <v/>
      </c>
      <c r="B305" s="610"/>
      <c r="C305" s="611"/>
      <c r="D305" s="369" t="str">
        <f>_xlfn.XLOOKUP(E305,'All Products'!D:D,'All Products'!C:C,FALSE)</f>
        <v>438-098</v>
      </c>
      <c r="E305" s="51">
        <v>100022926</v>
      </c>
      <c r="F305" s="376" t="str">
        <f>_xlfn.XLOOKUP(E305,'All Products'!D:D,'All Products'!E:E,FALSE)</f>
        <v>3/4X1/4 REDUCER BUSHING SPGX FIPT</v>
      </c>
      <c r="G305" s="232">
        <f>_xlfn.XLOOKUP(E305,'All Products'!D:D,'All Products'!F:F,FALSE)</f>
        <v>250</v>
      </c>
      <c r="H305" s="387">
        <f>_xlfn.XLOOKUP(E305,'All Products'!D:D,'All Products'!G:G,FALSE)</f>
        <v>37500</v>
      </c>
      <c r="I305" s="394">
        <f>_xlfn.XLOOKUP(E305,'All Products'!D:D,'All Products'!H:H,FALSE)</f>
        <v>3.48</v>
      </c>
      <c r="J305" s="183">
        <f>IFERROR(ROUND(I305*Order_Quote!$L$4,2),0)</f>
        <v>3.48</v>
      </c>
      <c r="K305" s="73"/>
      <c r="L305" s="76"/>
      <c r="M305" s="114">
        <f t="shared" si="27"/>
        <v>0</v>
      </c>
      <c r="O305" s="384" t="str">
        <f>_xlfn.XLOOKUP(E305,'All Products'!D:D,'All Products'!I:I,FALSE)</f>
        <v>In Stock</v>
      </c>
      <c r="P305" s="384" t="str">
        <f>_xlfn.XLOOKUP(E305,'All Products'!D:D,'All Products'!J:J,FALSE)</f>
        <v>Manufactured</v>
      </c>
      <c r="Q305" s="397">
        <f>_xlfn.XLOOKUP(E305,'All Products'!D:D,'All Products'!K:K,FALSE)</f>
        <v>49081134402</v>
      </c>
      <c r="R305" s="397">
        <f>_xlfn.XLOOKUP(E305,'All Products'!D:D,'All Products'!L:L,FALSE)</f>
        <v>49081634407</v>
      </c>
      <c r="S305" s="397">
        <f>_xlfn.XLOOKUP(E305,'All Products'!D:D,'All Products'!M:M,FALSE)</f>
        <v>40049081134400</v>
      </c>
      <c r="T305" s="384">
        <f>_xlfn.XLOOKUP(E305,'All Products'!D:D,'All Products'!N:N,FALSE)</f>
        <v>3.6999999999999998E-2</v>
      </c>
      <c r="U305" s="397">
        <f>_xlfn.XLOOKUP(E305,'All Products'!D:D,'All Products'!O:O,FALSE)</f>
        <v>10</v>
      </c>
      <c r="V305" s="384">
        <f>_xlfn.XLOOKUP(E305,'All Products'!D:D,'All Products'!P:P,FALSE)</f>
        <v>9.23</v>
      </c>
      <c r="W305" s="384">
        <f>_xlfn.XLOOKUP(E305,'All Products'!D:D,'All Products'!Q:Q,FALSE)</f>
        <v>0.5</v>
      </c>
    </row>
    <row r="306" spans="1:23" ht="15" customHeight="1">
      <c r="A306" s="101" t="str">
        <f>IF(K306&gt;0,COUNT($A$7:A305)
+COUNT('DWV PVC'!$A$9:$A$316)
+COUNT('DWV ABS'!$A$8:$A$116)+1,"")</f>
        <v/>
      </c>
      <c r="B306" s="610"/>
      <c r="C306" s="611"/>
      <c r="D306" s="369" t="str">
        <f>_xlfn.XLOOKUP(E306,'All Products'!D:D,'All Products'!C:C,FALSE)</f>
        <v>438-101</v>
      </c>
      <c r="E306" s="51">
        <v>100022930</v>
      </c>
      <c r="F306" s="376" t="str">
        <f>_xlfn.XLOOKUP(E306,'All Products'!D:D,'All Products'!E:E,FALSE)</f>
        <v>3/4X1/2 REDUCER BUSHING SPGX FIPT</v>
      </c>
      <c r="G306" s="232">
        <f>_xlfn.XLOOKUP(E306,'All Products'!D:D,'All Products'!F:F,FALSE)</f>
        <v>500</v>
      </c>
      <c r="H306" s="387">
        <f>_xlfn.XLOOKUP(E306,'All Products'!D:D,'All Products'!G:G,FALSE)</f>
        <v>45000</v>
      </c>
      <c r="I306" s="394">
        <f>_xlfn.XLOOKUP(E306,'All Products'!D:D,'All Products'!H:H,FALSE)</f>
        <v>2.65</v>
      </c>
      <c r="J306" s="183">
        <f>IFERROR(ROUND(I306*Order_Quote!$L$4,2),0)</f>
        <v>2.65</v>
      </c>
      <c r="K306" s="73"/>
      <c r="L306" s="76"/>
      <c r="M306" s="114">
        <f t="shared" si="27"/>
        <v>0</v>
      </c>
      <c r="O306" s="384" t="str">
        <f>_xlfn.XLOOKUP(E306,'All Products'!D:D,'All Products'!I:I,FALSE)</f>
        <v>In Stock</v>
      </c>
      <c r="P306" s="384" t="str">
        <f>_xlfn.XLOOKUP(E306,'All Products'!D:D,'All Products'!J:J,FALSE)</f>
        <v>Manufactured</v>
      </c>
      <c r="Q306" s="397">
        <f>_xlfn.XLOOKUP(E306,'All Products'!D:D,'All Products'!K:K,FALSE)</f>
        <v>49081134365</v>
      </c>
      <c r="R306" s="397">
        <f>_xlfn.XLOOKUP(E306,'All Products'!D:D,'All Products'!L:L,FALSE)</f>
        <v>49081634360</v>
      </c>
      <c r="S306" s="397">
        <f>_xlfn.XLOOKUP(E306,'All Products'!D:D,'All Products'!M:M,FALSE)</f>
        <v>40049081134363</v>
      </c>
      <c r="T306" s="384">
        <f>_xlfn.XLOOKUP(E306,'All Products'!D:D,'All Products'!N:N,FALSE)</f>
        <v>2.8000000000000001E-2</v>
      </c>
      <c r="U306" s="397">
        <f>_xlfn.XLOOKUP(E306,'All Products'!D:D,'All Products'!O:O,FALSE)</f>
        <v>10</v>
      </c>
      <c r="V306" s="384">
        <f>_xlfn.XLOOKUP(E306,'All Products'!D:D,'All Products'!P:P,FALSE)</f>
        <v>15.36</v>
      </c>
      <c r="W306" s="384">
        <f>_xlfn.XLOOKUP(E306,'All Products'!D:D,'All Products'!Q:Q,FALSE)</f>
        <v>0.8</v>
      </c>
    </row>
    <row r="307" spans="1:23" ht="15" customHeight="1">
      <c r="A307" s="101" t="str">
        <f>IF(K307&gt;0,COUNT($A$7:A306)
+COUNT('DWV PVC'!$A$9:$A$316)
+COUNT('DWV ABS'!$A$8:$A$116)+1,"")</f>
        <v/>
      </c>
      <c r="B307" s="610"/>
      <c r="C307" s="611"/>
      <c r="D307" s="369" t="str">
        <f>_xlfn.XLOOKUP(E307,'All Products'!D:D,'All Products'!C:C,FALSE)</f>
        <v>438-128</v>
      </c>
      <c r="E307" s="51">
        <v>100022931</v>
      </c>
      <c r="F307" s="376" t="str">
        <f>_xlfn.XLOOKUP(E307,'All Products'!D:D,'All Products'!E:E,FALSE)</f>
        <v>1X1/4 REDUCER BUSHING SPGX FIPT</v>
      </c>
      <c r="G307" s="232">
        <f>_xlfn.XLOOKUP(E307,'All Products'!D:D,'All Products'!F:F,FALSE)</f>
        <v>250</v>
      </c>
      <c r="H307" s="387">
        <f>_xlfn.XLOOKUP(E307,'All Products'!D:D,'All Products'!G:G,FALSE)</f>
        <v>37500</v>
      </c>
      <c r="I307" s="394">
        <f>_xlfn.XLOOKUP(E307,'All Products'!D:D,'All Products'!H:H,FALSE)</f>
        <v>4.25</v>
      </c>
      <c r="J307" s="183">
        <f>IFERROR(ROUND(I307*Order_Quote!$L$4,2),0)</f>
        <v>4.25</v>
      </c>
      <c r="K307" s="73"/>
      <c r="L307" s="76"/>
      <c r="M307" s="114">
        <f t="shared" ref="M307:M348" si="29">K307/G307</f>
        <v>0</v>
      </c>
      <c r="O307" s="384" t="str">
        <f>_xlfn.XLOOKUP(E307,'All Products'!D:D,'All Products'!I:I,FALSE)</f>
        <v>In Stock</v>
      </c>
      <c r="P307" s="384" t="str">
        <f>_xlfn.XLOOKUP(E307,'All Products'!D:D,'All Products'!J:J,FALSE)</f>
        <v>Manufactured</v>
      </c>
      <c r="Q307" s="397">
        <f>_xlfn.XLOOKUP(E307,'All Products'!D:D,'All Products'!K:K,FALSE)</f>
        <v>49081134495</v>
      </c>
      <c r="R307" s="397">
        <f>_xlfn.XLOOKUP(E307,'All Products'!D:D,'All Products'!L:L,FALSE)</f>
        <v>49081634490</v>
      </c>
      <c r="S307" s="397">
        <f>_xlfn.XLOOKUP(E307,'All Products'!D:D,'All Products'!M:M,FALSE)</f>
        <v>40049081134493</v>
      </c>
      <c r="T307" s="384">
        <f>_xlfn.XLOOKUP(E307,'All Products'!D:D,'All Products'!N:N,FALSE)</f>
        <v>0.05</v>
      </c>
      <c r="U307" s="397">
        <f>_xlfn.XLOOKUP(E307,'All Products'!D:D,'All Products'!O:O,FALSE)</f>
        <v>10</v>
      </c>
      <c r="V307" s="384">
        <f>_xlfn.XLOOKUP(E307,'All Products'!D:D,'All Products'!P:P,FALSE)</f>
        <v>15.44</v>
      </c>
      <c r="W307" s="384">
        <f>_xlfn.XLOOKUP(E307,'All Products'!D:D,'All Products'!Q:Q,FALSE)</f>
        <v>0.5</v>
      </c>
    </row>
    <row r="308" spans="1:23" ht="15" customHeight="1">
      <c r="A308" s="101" t="str">
        <f>IF(K308&gt;0,COUNT($A$7:A307)
+COUNT('DWV PVC'!$A$9:$A$316)
+COUNT('DWV ABS'!$A$8:$A$116)+1,"")</f>
        <v/>
      </c>
      <c r="B308" s="610"/>
      <c r="C308" s="611"/>
      <c r="D308" s="369" t="str">
        <f>_xlfn.XLOOKUP(E308,'All Products'!D:D,'All Products'!C:C,FALSE)</f>
        <v>438-130</v>
      </c>
      <c r="E308" s="51">
        <v>100022934</v>
      </c>
      <c r="F308" s="376" t="str">
        <f>_xlfn.XLOOKUP(E308,'All Products'!D:D,'All Products'!E:E,FALSE)</f>
        <v>1X1/2 REDUCER BUSHING SPGX FIPT</v>
      </c>
      <c r="G308" s="232">
        <f>_xlfn.XLOOKUP(E308,'All Products'!D:D,'All Products'!F:F,FALSE)</f>
        <v>250</v>
      </c>
      <c r="H308" s="387">
        <f>_xlfn.XLOOKUP(E308,'All Products'!D:D,'All Products'!G:G,FALSE)</f>
        <v>30000</v>
      </c>
      <c r="I308" s="394">
        <f>_xlfn.XLOOKUP(E308,'All Products'!D:D,'All Products'!H:H,FALSE)</f>
        <v>4.25</v>
      </c>
      <c r="J308" s="183">
        <f>IFERROR(ROUND(I308*Order_Quote!$L$4,2),0)</f>
        <v>4.25</v>
      </c>
      <c r="K308" s="73"/>
      <c r="L308" s="76"/>
      <c r="M308" s="114">
        <f t="shared" si="29"/>
        <v>0</v>
      </c>
      <c r="O308" s="384" t="str">
        <f>_xlfn.XLOOKUP(E308,'All Products'!D:D,'All Products'!I:I,FALSE)</f>
        <v>In Stock</v>
      </c>
      <c r="P308" s="384" t="str">
        <f>_xlfn.XLOOKUP(E308,'All Products'!D:D,'All Products'!J:J,FALSE)</f>
        <v>Manufactured</v>
      </c>
      <c r="Q308" s="397">
        <f>_xlfn.XLOOKUP(E308,'All Products'!D:D,'All Products'!K:K,FALSE)</f>
        <v>49081134488</v>
      </c>
      <c r="R308" s="397">
        <f>_xlfn.XLOOKUP(E308,'All Products'!D:D,'All Products'!L:L,FALSE)</f>
        <v>49081634483</v>
      </c>
      <c r="S308" s="397">
        <f>_xlfn.XLOOKUP(E308,'All Products'!D:D,'All Products'!M:M,FALSE)</f>
        <v>40049081134486</v>
      </c>
      <c r="T308" s="384">
        <f>_xlfn.XLOOKUP(E308,'All Products'!D:D,'All Products'!N:N,FALSE)</f>
        <v>5.1999999999999998E-2</v>
      </c>
      <c r="U308" s="397">
        <f>_xlfn.XLOOKUP(E308,'All Products'!D:D,'All Products'!O:O,FALSE)</f>
        <v>10</v>
      </c>
      <c r="V308" s="384">
        <f>_xlfn.XLOOKUP(E308,'All Products'!D:D,'All Products'!P:P,FALSE)</f>
        <v>13.72</v>
      </c>
      <c r="W308" s="384">
        <f>_xlfn.XLOOKUP(E308,'All Products'!D:D,'All Products'!Q:Q,FALSE)</f>
        <v>0.65</v>
      </c>
    </row>
    <row r="309" spans="1:23" ht="15" customHeight="1">
      <c r="A309" s="101" t="str">
        <f>IF(K309&gt;0,COUNT($A$7:A308)
+COUNT('DWV PVC'!$A$9:$A$316)
+COUNT('DWV ABS'!$A$8:$A$116)+1,"")</f>
        <v/>
      </c>
      <c r="B309" s="610"/>
      <c r="C309" s="611"/>
      <c r="D309" s="369" t="str">
        <f>_xlfn.XLOOKUP(E309,'All Products'!D:D,'All Products'!C:C,FALSE)</f>
        <v>438-131</v>
      </c>
      <c r="E309" s="51">
        <v>100022936</v>
      </c>
      <c r="F309" s="376" t="str">
        <f>_xlfn.XLOOKUP(E309,'All Products'!D:D,'All Products'!E:E,FALSE)</f>
        <v>1X3/4 REDUCER BUSHING SPGX FIPT</v>
      </c>
      <c r="G309" s="232">
        <f>_xlfn.XLOOKUP(E309,'All Products'!D:D,'All Products'!F:F,FALSE)</f>
        <v>250</v>
      </c>
      <c r="H309" s="387">
        <f>_xlfn.XLOOKUP(E309,'All Products'!D:D,'All Products'!G:G,FALSE)</f>
        <v>30000</v>
      </c>
      <c r="I309" s="394">
        <f>_xlfn.XLOOKUP(E309,'All Products'!D:D,'All Products'!H:H,FALSE)</f>
        <v>4.25</v>
      </c>
      <c r="J309" s="183">
        <f>IFERROR(ROUND(I309*Order_Quote!$L$4,2),0)</f>
        <v>4.25</v>
      </c>
      <c r="K309" s="73"/>
      <c r="L309" s="76"/>
      <c r="M309" s="114">
        <f t="shared" si="29"/>
        <v>0</v>
      </c>
      <c r="O309" s="384" t="str">
        <f>_xlfn.XLOOKUP(E309,'All Products'!D:D,'All Products'!I:I,FALSE)</f>
        <v>In Stock</v>
      </c>
      <c r="P309" s="384" t="str">
        <f>_xlfn.XLOOKUP(E309,'All Products'!D:D,'All Products'!J:J,FALSE)</f>
        <v>Manufactured</v>
      </c>
      <c r="Q309" s="397">
        <f>_xlfn.XLOOKUP(E309,'All Products'!D:D,'All Products'!K:K,FALSE)</f>
        <v>49081134464</v>
      </c>
      <c r="R309" s="397">
        <f>_xlfn.XLOOKUP(E309,'All Products'!D:D,'All Products'!L:L,FALSE)</f>
        <v>49081634469</v>
      </c>
      <c r="S309" s="397">
        <f>_xlfn.XLOOKUP(E309,'All Products'!D:D,'All Products'!M:M,FALSE)</f>
        <v>40049081134462</v>
      </c>
      <c r="T309" s="384">
        <f>_xlfn.XLOOKUP(E309,'All Products'!D:D,'All Products'!N:N,FALSE)</f>
        <v>4.1000000000000002E-2</v>
      </c>
      <c r="U309" s="397">
        <f>_xlfn.XLOOKUP(E309,'All Products'!D:D,'All Products'!O:O,FALSE)</f>
        <v>10</v>
      </c>
      <c r="V309" s="384">
        <f>_xlfn.XLOOKUP(E309,'All Products'!D:D,'All Products'!P:P,FALSE)</f>
        <v>11.31</v>
      </c>
      <c r="W309" s="384">
        <f>_xlfn.XLOOKUP(E309,'All Products'!D:D,'All Products'!Q:Q,FALSE)</f>
        <v>0.65</v>
      </c>
    </row>
    <row r="310" spans="1:23" ht="15" customHeight="1">
      <c r="A310" s="101" t="str">
        <f>IF(K310&gt;0,COUNT($A$7:A309)
+COUNT('DWV PVC'!$A$9:$A$316)
+COUNT('DWV ABS'!$A$8:$A$116)+1,"")</f>
        <v/>
      </c>
      <c r="B310" s="610"/>
      <c r="C310" s="611"/>
      <c r="D310" s="369" t="str">
        <f>_xlfn.XLOOKUP(E310,'All Products'!D:D,'All Products'!C:C,FALSE)</f>
        <v>438-166</v>
      </c>
      <c r="E310" s="51">
        <v>100022938</v>
      </c>
      <c r="F310" s="376" t="str">
        <f>_xlfn.XLOOKUP(E310,'All Products'!D:D,'All Products'!E:E,FALSE)</f>
        <v>1-1/4X1/2 RED BUSHING SPGX FIPT</v>
      </c>
      <c r="G310" s="232">
        <f>_xlfn.XLOOKUP(E310,'All Products'!D:D,'All Products'!F:F,FALSE)</f>
        <v>150</v>
      </c>
      <c r="H310" s="387">
        <f>_xlfn.XLOOKUP(E310,'All Products'!D:D,'All Products'!G:G,FALSE)</f>
        <v>18000</v>
      </c>
      <c r="I310" s="394">
        <f>_xlfn.XLOOKUP(E310,'All Products'!D:D,'All Products'!H:H,FALSE)</f>
        <v>6.53</v>
      </c>
      <c r="J310" s="183">
        <f>IFERROR(ROUND(I310*Order_Quote!$L$4,2),0)</f>
        <v>6.53</v>
      </c>
      <c r="K310" s="73"/>
      <c r="L310" s="76"/>
      <c r="M310" s="114">
        <f t="shared" si="29"/>
        <v>0</v>
      </c>
      <c r="O310" s="384" t="str">
        <f>_xlfn.XLOOKUP(E310,'All Products'!D:D,'All Products'!I:I,FALSE)</f>
        <v>Within 3 Weeks</v>
      </c>
      <c r="P310" s="384" t="str">
        <f>_xlfn.XLOOKUP(E310,'All Products'!D:D,'All Products'!J:J,FALSE)</f>
        <v>Manufactured</v>
      </c>
      <c r="Q310" s="397">
        <f>_xlfn.XLOOKUP(E310,'All Products'!D:D,'All Products'!K:K,FALSE)</f>
        <v>49081134587</v>
      </c>
      <c r="R310" s="397">
        <f>_xlfn.XLOOKUP(E310,'All Products'!D:D,'All Products'!L:L,FALSE)</f>
        <v>49081634582</v>
      </c>
      <c r="S310" s="397">
        <f>_xlfn.XLOOKUP(E310,'All Products'!D:D,'All Products'!M:M,FALSE)</f>
        <v>40049081134585</v>
      </c>
      <c r="T310" s="384">
        <f>_xlfn.XLOOKUP(E310,'All Products'!D:D,'All Products'!N:N,FALSE)</f>
        <v>0.08</v>
      </c>
      <c r="U310" s="397">
        <f>_xlfn.XLOOKUP(E310,'All Products'!D:D,'All Products'!O:O,FALSE)</f>
        <v>10</v>
      </c>
      <c r="V310" s="384">
        <f>_xlfn.XLOOKUP(E310,'All Products'!D:D,'All Products'!P:P,FALSE)</f>
        <v>12.85</v>
      </c>
      <c r="W310" s="384">
        <f>_xlfn.XLOOKUP(E310,'All Products'!D:D,'All Products'!Q:Q,FALSE)</f>
        <v>0.65</v>
      </c>
    </row>
    <row r="311" spans="1:23" ht="15" customHeight="1">
      <c r="A311" s="101" t="str">
        <f>IF(K311&gt;0,COUNT($A$7:A310)
+COUNT('DWV PVC'!$A$9:$A$316)
+COUNT('DWV ABS'!$A$8:$A$116)+1,"")</f>
        <v/>
      </c>
      <c r="B311" s="610"/>
      <c r="C311" s="611"/>
      <c r="D311" s="369" t="str">
        <f>_xlfn.XLOOKUP(E311,'All Products'!D:D,'All Products'!C:C,FALSE)</f>
        <v>438-167</v>
      </c>
      <c r="E311" s="51">
        <v>100022940</v>
      </c>
      <c r="F311" s="376" t="str">
        <f>_xlfn.XLOOKUP(E311,'All Products'!D:D,'All Products'!E:E,FALSE)</f>
        <v>1-1/4X3/4 RED BUSHING SPGX FIPT</v>
      </c>
      <c r="G311" s="232">
        <f>_xlfn.XLOOKUP(E311,'All Products'!D:D,'All Products'!F:F,FALSE)</f>
        <v>150</v>
      </c>
      <c r="H311" s="387">
        <f>_xlfn.XLOOKUP(E311,'All Products'!D:D,'All Products'!G:G,FALSE)</f>
        <v>18000</v>
      </c>
      <c r="I311" s="394">
        <f>_xlfn.XLOOKUP(E311,'All Products'!D:D,'All Products'!H:H,FALSE)</f>
        <v>6.53</v>
      </c>
      <c r="J311" s="183">
        <f>IFERROR(ROUND(I311*Order_Quote!$L$4,2),0)</f>
        <v>6.53</v>
      </c>
      <c r="K311" s="73"/>
      <c r="L311" s="76"/>
      <c r="M311" s="114">
        <f t="shared" si="29"/>
        <v>0</v>
      </c>
      <c r="O311" s="384" t="str">
        <f>_xlfn.XLOOKUP(E311,'All Products'!D:D,'All Products'!I:I,FALSE)</f>
        <v>In Stock</v>
      </c>
      <c r="P311" s="384" t="str">
        <f>_xlfn.XLOOKUP(E311,'All Products'!D:D,'All Products'!J:J,FALSE)</f>
        <v>Manufactured</v>
      </c>
      <c r="Q311" s="397">
        <f>_xlfn.XLOOKUP(E311,'All Products'!D:D,'All Products'!K:K,FALSE)</f>
        <v>49081134563</v>
      </c>
      <c r="R311" s="397">
        <f>_xlfn.XLOOKUP(E311,'All Products'!D:D,'All Products'!L:L,FALSE)</f>
        <v>49081634568</v>
      </c>
      <c r="S311" s="397">
        <f>_xlfn.XLOOKUP(E311,'All Products'!D:D,'All Products'!M:M,FALSE)</f>
        <v>40049081134561</v>
      </c>
      <c r="T311" s="384">
        <f>_xlfn.XLOOKUP(E311,'All Products'!D:D,'All Products'!N:N,FALSE)</f>
        <v>7.8E-2</v>
      </c>
      <c r="U311" s="397">
        <f>_xlfn.XLOOKUP(E311,'All Products'!D:D,'All Products'!O:O,FALSE)</f>
        <v>10</v>
      </c>
      <c r="V311" s="384">
        <f>_xlfn.XLOOKUP(E311,'All Products'!D:D,'All Products'!P:P,FALSE)</f>
        <v>12.39</v>
      </c>
      <c r="W311" s="384">
        <f>_xlfn.XLOOKUP(E311,'All Products'!D:D,'All Products'!Q:Q,FALSE)</f>
        <v>0.65</v>
      </c>
    </row>
    <row r="312" spans="1:23" ht="15" customHeight="1">
      <c r="A312" s="101" t="str">
        <f>IF(K312&gt;0,COUNT($A$7:A311)
+COUNT('DWV PVC'!$A$9:$A$316)
+COUNT('DWV ABS'!$A$8:$A$116)+1,"")</f>
        <v/>
      </c>
      <c r="B312" s="610"/>
      <c r="C312" s="611"/>
      <c r="D312" s="369" t="str">
        <f>_xlfn.XLOOKUP(E312,'All Products'!D:D,'All Products'!C:C,FALSE)</f>
        <v>438-168</v>
      </c>
      <c r="E312" s="51">
        <v>100022942</v>
      </c>
      <c r="F312" s="376" t="str">
        <f>_xlfn.XLOOKUP(E312,'All Products'!D:D,'All Products'!E:E,FALSE)</f>
        <v>1-1/4X1 RED BUSHING SPGX FIPT</v>
      </c>
      <c r="G312" s="232">
        <f>_xlfn.XLOOKUP(E312,'All Products'!D:D,'All Products'!F:F,FALSE)</f>
        <v>150</v>
      </c>
      <c r="H312" s="387">
        <f>_xlfn.XLOOKUP(E312,'All Products'!D:D,'All Products'!G:G,FALSE)</f>
        <v>13500</v>
      </c>
      <c r="I312" s="394">
        <f>_xlfn.XLOOKUP(E312,'All Products'!D:D,'All Products'!H:H,FALSE)</f>
        <v>6.53</v>
      </c>
      <c r="J312" s="183">
        <f>IFERROR(ROUND(I312*Order_Quote!$L$4,2),0)</f>
        <v>6.53</v>
      </c>
      <c r="K312" s="73"/>
      <c r="L312" s="76"/>
      <c r="M312" s="114">
        <f t="shared" si="29"/>
        <v>0</v>
      </c>
      <c r="O312" s="384" t="str">
        <f>_xlfn.XLOOKUP(E312,'All Products'!D:D,'All Products'!I:I,FALSE)</f>
        <v>In Stock</v>
      </c>
      <c r="P312" s="384" t="str">
        <f>_xlfn.XLOOKUP(E312,'All Products'!D:D,'All Products'!J:J,FALSE)</f>
        <v>Manufactured</v>
      </c>
      <c r="Q312" s="397">
        <f>_xlfn.XLOOKUP(E312,'All Products'!D:D,'All Products'!K:K,FALSE)</f>
        <v>49081134549</v>
      </c>
      <c r="R312" s="397">
        <f>_xlfn.XLOOKUP(E312,'All Products'!D:D,'All Products'!L:L,FALSE)</f>
        <v>49081634544</v>
      </c>
      <c r="S312" s="397">
        <f>_xlfn.XLOOKUP(E312,'All Products'!D:D,'All Products'!M:M,FALSE)</f>
        <v>40049081134547</v>
      </c>
      <c r="T312" s="384">
        <f>_xlfn.XLOOKUP(E312,'All Products'!D:D,'All Products'!N:N,FALSE)</f>
        <v>6.7000000000000004E-2</v>
      </c>
      <c r="U312" s="397">
        <f>_xlfn.XLOOKUP(E312,'All Products'!D:D,'All Products'!O:O,FALSE)</f>
        <v>10</v>
      </c>
      <c r="V312" s="384">
        <f>_xlfn.XLOOKUP(E312,'All Products'!D:D,'All Products'!P:P,FALSE)</f>
        <v>11.16</v>
      </c>
      <c r="W312" s="384">
        <f>_xlfn.XLOOKUP(E312,'All Products'!D:D,'All Products'!Q:Q,FALSE)</f>
        <v>0.8</v>
      </c>
    </row>
    <row r="313" spans="1:23" ht="15" customHeight="1">
      <c r="A313" s="101" t="str">
        <f>IF(K313&gt;0,COUNT($A$7:A312)
+COUNT('DWV PVC'!$A$9:$A$316)
+COUNT('DWV ABS'!$A$8:$A$116)+1,"")</f>
        <v/>
      </c>
      <c r="B313" s="610"/>
      <c r="C313" s="611"/>
      <c r="D313" s="369" t="str">
        <f>_xlfn.XLOOKUP(E313,'All Products'!D:D,'All Products'!C:C,FALSE)</f>
        <v>438-209</v>
      </c>
      <c r="E313" s="51">
        <v>100022944</v>
      </c>
      <c r="F313" s="376" t="str">
        <f>_xlfn.XLOOKUP(E313,'All Products'!D:D,'All Products'!E:E,FALSE)</f>
        <v>1-1/2X1/2 RED BUSHING SPGX FIPT</v>
      </c>
      <c r="G313" s="232">
        <f>_xlfn.XLOOKUP(E313,'All Products'!D:D,'All Products'!F:F,FALSE)</f>
        <v>100</v>
      </c>
      <c r="H313" s="387">
        <f>_xlfn.XLOOKUP(E313,'All Products'!D:D,'All Products'!G:G,FALSE)</f>
        <v>12000</v>
      </c>
      <c r="I313" s="394">
        <f>_xlfn.XLOOKUP(E313,'All Products'!D:D,'All Products'!H:H,FALSE)</f>
        <v>7.54</v>
      </c>
      <c r="J313" s="183">
        <f>IFERROR(ROUND(I313*Order_Quote!$L$4,2),0)</f>
        <v>7.54</v>
      </c>
      <c r="K313" s="73"/>
      <c r="L313" s="76"/>
      <c r="M313" s="114">
        <f t="shared" si="29"/>
        <v>0</v>
      </c>
      <c r="O313" s="384" t="str">
        <f>_xlfn.XLOOKUP(E313,'All Products'!D:D,'All Products'!I:I,FALSE)</f>
        <v>In Stock</v>
      </c>
      <c r="P313" s="384" t="str">
        <f>_xlfn.XLOOKUP(E313,'All Products'!D:D,'All Products'!J:J,FALSE)</f>
        <v>Manufactured</v>
      </c>
      <c r="Q313" s="397">
        <f>_xlfn.XLOOKUP(E313,'All Products'!D:D,'All Products'!K:K,FALSE)</f>
        <v>49081134723</v>
      </c>
      <c r="R313" s="397">
        <f>_xlfn.XLOOKUP(E313,'All Products'!D:D,'All Products'!L:L,FALSE)</f>
        <v>49081634728</v>
      </c>
      <c r="S313" s="397">
        <f>_xlfn.XLOOKUP(E313,'All Products'!D:D,'All Products'!M:M,FALSE)</f>
        <v>40049081134721</v>
      </c>
      <c r="T313" s="384">
        <f>_xlfn.XLOOKUP(E313,'All Products'!D:D,'All Products'!N:N,FALSE)</f>
        <v>0.108</v>
      </c>
      <c r="U313" s="397">
        <f>_xlfn.XLOOKUP(E313,'All Products'!D:D,'All Products'!O:O,FALSE)</f>
        <v>5</v>
      </c>
      <c r="V313" s="384">
        <f>_xlfn.XLOOKUP(E313,'All Products'!D:D,'All Products'!P:P,FALSE)</f>
        <v>10.76</v>
      </c>
      <c r="W313" s="384">
        <f>_xlfn.XLOOKUP(E313,'All Products'!D:D,'All Products'!Q:Q,FALSE)</f>
        <v>0.65</v>
      </c>
    </row>
    <row r="314" spans="1:23" ht="15" customHeight="1">
      <c r="A314" s="101" t="str">
        <f>IF(K314&gt;0,COUNT($A$7:A313)
+COUNT('DWV PVC'!$A$9:$A$316)
+COUNT('DWV ABS'!$A$8:$A$116)+1,"")</f>
        <v/>
      </c>
      <c r="B314" s="610"/>
      <c r="C314" s="611"/>
      <c r="D314" s="369" t="str">
        <f>_xlfn.XLOOKUP(E314,'All Products'!D:D,'All Products'!C:C,FALSE)</f>
        <v>438-210</v>
      </c>
      <c r="E314" s="51">
        <v>100022946</v>
      </c>
      <c r="F314" s="376" t="str">
        <f>_xlfn.XLOOKUP(E314,'All Products'!D:D,'All Products'!E:E,FALSE)</f>
        <v>1-1/2X3/4 RED BUSHING SPGX FIPT</v>
      </c>
      <c r="G314" s="232">
        <f>_xlfn.XLOOKUP(E314,'All Products'!D:D,'All Products'!F:F,FALSE)</f>
        <v>100</v>
      </c>
      <c r="H314" s="387">
        <f>_xlfn.XLOOKUP(E314,'All Products'!D:D,'All Products'!G:G,FALSE)</f>
        <v>12000</v>
      </c>
      <c r="I314" s="394">
        <f>_xlfn.XLOOKUP(E314,'All Products'!D:D,'All Products'!H:H,FALSE)</f>
        <v>7.54</v>
      </c>
      <c r="J314" s="183">
        <f>IFERROR(ROUND(I314*Order_Quote!$L$4,2),0)</f>
        <v>7.54</v>
      </c>
      <c r="K314" s="73"/>
      <c r="L314" s="76"/>
      <c r="M314" s="114">
        <f t="shared" si="29"/>
        <v>0</v>
      </c>
      <c r="O314" s="384" t="str">
        <f>_xlfn.XLOOKUP(E314,'All Products'!D:D,'All Products'!I:I,FALSE)</f>
        <v>In Stock</v>
      </c>
      <c r="P314" s="384" t="str">
        <f>_xlfn.XLOOKUP(E314,'All Products'!D:D,'All Products'!J:J,FALSE)</f>
        <v>Manufactured</v>
      </c>
      <c r="Q314" s="397">
        <f>_xlfn.XLOOKUP(E314,'All Products'!D:D,'All Products'!K:K,FALSE)</f>
        <v>49081134709</v>
      </c>
      <c r="R314" s="397">
        <f>_xlfn.XLOOKUP(E314,'All Products'!D:D,'All Products'!L:L,FALSE)</f>
        <v>49081634704</v>
      </c>
      <c r="S314" s="397">
        <f>_xlfn.XLOOKUP(E314,'All Products'!D:D,'All Products'!M:M,FALSE)</f>
        <v>40049081134707</v>
      </c>
      <c r="T314" s="384">
        <f>_xlfn.XLOOKUP(E314,'All Products'!D:D,'All Products'!N:N,FALSE)</f>
        <v>0.108</v>
      </c>
      <c r="U314" s="397">
        <f>_xlfn.XLOOKUP(E314,'All Products'!D:D,'All Products'!O:O,FALSE)</f>
        <v>5</v>
      </c>
      <c r="V314" s="384">
        <f>_xlfn.XLOOKUP(E314,'All Products'!D:D,'All Products'!P:P,FALSE)</f>
        <v>10.3</v>
      </c>
      <c r="W314" s="384">
        <f>_xlfn.XLOOKUP(E314,'All Products'!D:D,'All Products'!Q:Q,FALSE)</f>
        <v>0.65</v>
      </c>
    </row>
    <row r="315" spans="1:23" ht="15" customHeight="1">
      <c r="A315" s="101" t="str">
        <f>IF(K315&gt;0,COUNT($A$7:A314)
+COUNT('DWV PVC'!$A$9:$A$316)
+COUNT('DWV ABS'!$A$8:$A$116)+1,"")</f>
        <v/>
      </c>
      <c r="B315" s="610"/>
      <c r="C315" s="611"/>
      <c r="D315" s="369" t="str">
        <f>_xlfn.XLOOKUP(E315,'All Products'!D:D,'All Products'!C:C,FALSE)</f>
        <v>438-211</v>
      </c>
      <c r="E315" s="51">
        <v>100022948</v>
      </c>
      <c r="F315" s="376" t="str">
        <f>_xlfn.XLOOKUP(E315,'All Products'!D:D,'All Products'!E:E,FALSE)</f>
        <v>1-1/2X1 REDUCER BUSHING SPGX FIPT</v>
      </c>
      <c r="G315" s="232">
        <f>_xlfn.XLOOKUP(E315,'All Products'!D:D,'All Products'!F:F,FALSE)</f>
        <v>100</v>
      </c>
      <c r="H315" s="387">
        <f>_xlfn.XLOOKUP(E315,'All Products'!D:D,'All Products'!G:G,FALSE)</f>
        <v>12000</v>
      </c>
      <c r="I315" s="394">
        <f>_xlfn.XLOOKUP(E315,'All Products'!D:D,'All Products'!H:H,FALSE)</f>
        <v>7.54</v>
      </c>
      <c r="J315" s="183">
        <f>IFERROR(ROUND(I315*Order_Quote!$L$4,2),0)</f>
        <v>7.54</v>
      </c>
      <c r="K315" s="73"/>
      <c r="L315" s="76"/>
      <c r="M315" s="114">
        <f t="shared" si="29"/>
        <v>0</v>
      </c>
      <c r="O315" s="384" t="str">
        <f>_xlfn.XLOOKUP(E315,'All Products'!D:D,'All Products'!I:I,FALSE)</f>
        <v>In Stock</v>
      </c>
      <c r="P315" s="384" t="str">
        <f>_xlfn.XLOOKUP(E315,'All Products'!D:D,'All Products'!J:J,FALSE)</f>
        <v>Manufactured</v>
      </c>
      <c r="Q315" s="397">
        <f>_xlfn.XLOOKUP(E315,'All Products'!D:D,'All Products'!K:K,FALSE)</f>
        <v>49081134686</v>
      </c>
      <c r="R315" s="397">
        <f>_xlfn.XLOOKUP(E315,'All Products'!D:D,'All Products'!L:L,FALSE)</f>
        <v>49081634681</v>
      </c>
      <c r="S315" s="397">
        <f>_xlfn.XLOOKUP(E315,'All Products'!D:D,'All Products'!M:M,FALSE)</f>
        <v>40049081134684</v>
      </c>
      <c r="T315" s="384">
        <f>_xlfn.XLOOKUP(E315,'All Products'!D:D,'All Products'!N:N,FALSE)</f>
        <v>0.11</v>
      </c>
      <c r="U315" s="397">
        <f>_xlfn.XLOOKUP(E315,'All Products'!D:D,'All Products'!O:O,FALSE)</f>
        <v>5</v>
      </c>
      <c r="V315" s="384">
        <f>_xlfn.XLOOKUP(E315,'All Products'!D:D,'All Products'!P:P,FALSE)</f>
        <v>10.75</v>
      </c>
      <c r="W315" s="384">
        <f>_xlfn.XLOOKUP(E315,'All Products'!D:D,'All Products'!Q:Q,FALSE)</f>
        <v>0.65</v>
      </c>
    </row>
    <row r="316" spans="1:23" ht="15" customHeight="1">
      <c r="A316" s="101" t="str">
        <f>IF(K316&gt;0,COUNT($A$7:A315)
+COUNT('DWV PVC'!$A$9:$A$316)
+COUNT('DWV ABS'!$A$8:$A$116)+1,"")</f>
        <v/>
      </c>
      <c r="B316" s="610"/>
      <c r="C316" s="611"/>
      <c r="D316" s="369" t="str">
        <f>_xlfn.XLOOKUP(E316,'All Products'!D:D,'All Products'!C:C,FALSE)</f>
        <v>438-212</v>
      </c>
      <c r="E316" s="51">
        <v>100022950</v>
      </c>
      <c r="F316" s="376" t="str">
        <f>_xlfn.XLOOKUP(E316,'All Products'!D:D,'All Products'!E:E,FALSE)</f>
        <v>1-1/2X1-1/4 RED BUSHING SPGX FIPT</v>
      </c>
      <c r="G316" s="232">
        <f>_xlfn.XLOOKUP(E316,'All Products'!D:D,'All Products'!F:F,FALSE)</f>
        <v>100</v>
      </c>
      <c r="H316" s="387">
        <f>_xlfn.XLOOKUP(E316,'All Products'!D:D,'All Products'!G:G,FALSE)</f>
        <v>12000</v>
      </c>
      <c r="I316" s="394">
        <f>_xlfn.XLOOKUP(E316,'All Products'!D:D,'All Products'!H:H,FALSE)</f>
        <v>7.54</v>
      </c>
      <c r="J316" s="183">
        <f>IFERROR(ROUND(I316*Order_Quote!$L$4,2),0)</f>
        <v>7.54</v>
      </c>
      <c r="K316" s="73"/>
      <c r="L316" s="76"/>
      <c r="M316" s="114">
        <f t="shared" si="29"/>
        <v>0</v>
      </c>
      <c r="O316" s="384" t="str">
        <f>_xlfn.XLOOKUP(E316,'All Products'!D:D,'All Products'!I:I,FALSE)</f>
        <v>In Stock</v>
      </c>
      <c r="P316" s="384" t="str">
        <f>_xlfn.XLOOKUP(E316,'All Products'!D:D,'All Products'!J:J,FALSE)</f>
        <v>Manufactured</v>
      </c>
      <c r="Q316" s="397">
        <f>_xlfn.XLOOKUP(E316,'All Products'!D:D,'All Products'!K:K,FALSE)</f>
        <v>49081134662</v>
      </c>
      <c r="R316" s="397">
        <f>_xlfn.XLOOKUP(E316,'All Products'!D:D,'All Products'!L:L,FALSE)</f>
        <v>49081634667</v>
      </c>
      <c r="S316" s="397">
        <f>_xlfn.XLOOKUP(E316,'All Products'!D:D,'All Products'!M:M,FALSE)</f>
        <v>40049081134660</v>
      </c>
      <c r="T316" s="384">
        <f>_xlfn.XLOOKUP(E316,'All Products'!D:D,'All Products'!N:N,FALSE)</f>
        <v>7.2999999999999995E-2</v>
      </c>
      <c r="U316" s="397">
        <f>_xlfn.XLOOKUP(E316,'All Products'!D:D,'All Products'!O:O,FALSE)</f>
        <v>5</v>
      </c>
      <c r="V316" s="384">
        <f>_xlfn.XLOOKUP(E316,'All Products'!D:D,'All Products'!P:P,FALSE)</f>
        <v>7.22</v>
      </c>
      <c r="W316" s="384">
        <f>_xlfn.XLOOKUP(E316,'All Products'!D:D,'All Products'!Q:Q,FALSE)</f>
        <v>0.65</v>
      </c>
    </row>
    <row r="317" spans="1:23" ht="15" customHeight="1">
      <c r="A317" s="101" t="str">
        <f>IF(K317&gt;0,COUNT($A$7:A316)
+COUNT('DWV PVC'!$A$9:$A$316)
+COUNT('DWV ABS'!$A$8:$A$116)+1,"")</f>
        <v/>
      </c>
      <c r="B317" s="610"/>
      <c r="C317" s="611"/>
      <c r="D317" s="369" t="str">
        <f>_xlfn.XLOOKUP(E317,'All Products'!D:D,'All Products'!C:C,FALSE)</f>
        <v>438-247</v>
      </c>
      <c r="E317" s="51">
        <v>100022952</v>
      </c>
      <c r="F317" s="376" t="str">
        <f>_xlfn.XLOOKUP(E317,'All Products'!D:D,'All Products'!E:E,FALSE)</f>
        <v>2X1/2 REDUCER BUSHING SPGX FIPT</v>
      </c>
      <c r="G317" s="232">
        <f>_xlfn.XLOOKUP(E317,'All Products'!D:D,'All Products'!F:F,FALSE)</f>
        <v>50</v>
      </c>
      <c r="H317" s="387">
        <f>_xlfn.XLOOKUP(E317,'All Products'!D:D,'All Products'!G:G,FALSE)</f>
        <v>7500</v>
      </c>
      <c r="I317" s="394">
        <f>_xlfn.XLOOKUP(E317,'All Products'!D:D,'All Products'!H:H,FALSE)</f>
        <v>10.09</v>
      </c>
      <c r="J317" s="183">
        <f>IFERROR(ROUND(I317*Order_Quote!$L$4,2),0)</f>
        <v>10.09</v>
      </c>
      <c r="K317" s="73"/>
      <c r="L317" s="76"/>
      <c r="M317" s="114">
        <f t="shared" si="29"/>
        <v>0</v>
      </c>
      <c r="O317" s="384" t="str">
        <f>_xlfn.XLOOKUP(E317,'All Products'!D:D,'All Products'!I:I,FALSE)</f>
        <v>In Stock</v>
      </c>
      <c r="P317" s="384" t="str">
        <f>_xlfn.XLOOKUP(E317,'All Products'!D:D,'All Products'!J:J,FALSE)</f>
        <v>Manufactured</v>
      </c>
      <c r="Q317" s="397">
        <f>_xlfn.XLOOKUP(E317,'All Products'!D:D,'All Products'!K:K,FALSE)</f>
        <v>49081134846</v>
      </c>
      <c r="R317" s="397">
        <f>_xlfn.XLOOKUP(E317,'All Products'!D:D,'All Products'!L:L,FALSE)</f>
        <v>49081634841</v>
      </c>
      <c r="S317" s="397">
        <f>_xlfn.XLOOKUP(E317,'All Products'!D:D,'All Products'!M:M,FALSE)</f>
        <v>40049081134844</v>
      </c>
      <c r="T317" s="384">
        <f>_xlfn.XLOOKUP(E317,'All Products'!D:D,'All Products'!N:N,FALSE)</f>
        <v>0.16</v>
      </c>
      <c r="U317" s="397">
        <f>_xlfn.XLOOKUP(E317,'All Products'!D:D,'All Products'!O:O,FALSE)</f>
        <v>5</v>
      </c>
      <c r="V317" s="384">
        <f>_xlfn.XLOOKUP(E317,'All Products'!D:D,'All Products'!P:P,FALSE)</f>
        <v>8.4</v>
      </c>
      <c r="W317" s="384">
        <f>_xlfn.XLOOKUP(E317,'All Products'!D:D,'All Products'!Q:Q,FALSE)</f>
        <v>0.5</v>
      </c>
    </row>
    <row r="318" spans="1:23" ht="15" customHeight="1">
      <c r="A318" s="101" t="str">
        <f>IF(K318&gt;0,COUNT($A$7:A317)
+COUNT('DWV PVC'!$A$9:$A$316)
+COUNT('DWV ABS'!$A$8:$A$116)+1,"")</f>
        <v/>
      </c>
      <c r="B318" s="610"/>
      <c r="C318" s="611"/>
      <c r="D318" s="369" t="str">
        <f>_xlfn.XLOOKUP(E318,'All Products'!D:D,'All Products'!C:C,FALSE)</f>
        <v>438-248</v>
      </c>
      <c r="E318" s="51">
        <v>100022954</v>
      </c>
      <c r="F318" s="376" t="str">
        <f>_xlfn.XLOOKUP(E318,'All Products'!D:D,'All Products'!E:E,FALSE)</f>
        <v>2X3/4 REDUCER BUSHING SPGX FIPT</v>
      </c>
      <c r="G318" s="232">
        <f>_xlfn.XLOOKUP(E318,'All Products'!D:D,'All Products'!F:F,FALSE)</f>
        <v>50</v>
      </c>
      <c r="H318" s="387">
        <f>_xlfn.XLOOKUP(E318,'All Products'!D:D,'All Products'!G:G,FALSE)</f>
        <v>7500</v>
      </c>
      <c r="I318" s="394">
        <f>_xlfn.XLOOKUP(E318,'All Products'!D:D,'All Products'!H:H,FALSE)</f>
        <v>10.09</v>
      </c>
      <c r="J318" s="183">
        <f>IFERROR(ROUND(I318*Order_Quote!$L$4,2),0)</f>
        <v>10.09</v>
      </c>
      <c r="K318" s="73"/>
      <c r="L318" s="76"/>
      <c r="M318" s="114">
        <f t="shared" si="29"/>
        <v>0</v>
      </c>
      <c r="O318" s="384" t="str">
        <f>_xlfn.XLOOKUP(E318,'All Products'!D:D,'All Products'!I:I,FALSE)</f>
        <v>In Stock</v>
      </c>
      <c r="P318" s="384" t="str">
        <f>_xlfn.XLOOKUP(E318,'All Products'!D:D,'All Products'!J:J,FALSE)</f>
        <v>Manufactured</v>
      </c>
      <c r="Q318" s="397">
        <f>_xlfn.XLOOKUP(E318,'All Products'!D:D,'All Products'!K:K,FALSE)</f>
        <v>49081134822</v>
      </c>
      <c r="R318" s="397">
        <f>_xlfn.XLOOKUP(E318,'All Products'!D:D,'All Products'!L:L,FALSE)</f>
        <v>49081634827</v>
      </c>
      <c r="S318" s="397">
        <f>_xlfn.XLOOKUP(E318,'All Products'!D:D,'All Products'!M:M,FALSE)</f>
        <v>40049081134820</v>
      </c>
      <c r="T318" s="384">
        <f>_xlfn.XLOOKUP(E318,'All Products'!D:D,'All Products'!N:N,FALSE)</f>
        <v>0.152</v>
      </c>
      <c r="U318" s="397">
        <f>_xlfn.XLOOKUP(E318,'All Products'!D:D,'All Products'!O:O,FALSE)</f>
        <v>5</v>
      </c>
      <c r="V318" s="384">
        <f>_xlfn.XLOOKUP(E318,'All Products'!D:D,'All Products'!P:P,FALSE)</f>
        <v>7.55</v>
      </c>
      <c r="W318" s="384">
        <f>_xlfn.XLOOKUP(E318,'All Products'!D:D,'All Products'!Q:Q,FALSE)</f>
        <v>0.5</v>
      </c>
    </row>
    <row r="319" spans="1:23" ht="15" customHeight="1">
      <c r="A319" s="101" t="str">
        <f>IF(K319&gt;0,COUNT($A$7:A318)
+COUNT('DWV PVC'!$A$9:$A$316)
+COUNT('DWV ABS'!$A$8:$A$116)+1,"")</f>
        <v/>
      </c>
      <c r="B319" s="610"/>
      <c r="C319" s="611"/>
      <c r="D319" s="369" t="str">
        <f>_xlfn.XLOOKUP(E319,'All Products'!D:D,'All Products'!C:C,FALSE)</f>
        <v>438-249</v>
      </c>
      <c r="E319" s="51">
        <v>100022956</v>
      </c>
      <c r="F319" s="376" t="str">
        <f>_xlfn.XLOOKUP(E319,'All Products'!D:D,'All Products'!E:E,FALSE)</f>
        <v>2X1 REDUCER BUSHING SPGX FIPT</v>
      </c>
      <c r="G319" s="232">
        <f>_xlfn.XLOOKUP(E319,'All Products'!D:D,'All Products'!F:F,FALSE)</f>
        <v>50</v>
      </c>
      <c r="H319" s="387">
        <f>_xlfn.XLOOKUP(E319,'All Products'!D:D,'All Products'!G:G,FALSE)</f>
        <v>7500</v>
      </c>
      <c r="I319" s="394">
        <f>_xlfn.XLOOKUP(E319,'All Products'!D:D,'All Products'!H:H,FALSE)</f>
        <v>10.09</v>
      </c>
      <c r="J319" s="183">
        <f>IFERROR(ROUND(I319*Order_Quote!$L$4,2),0)</f>
        <v>10.09</v>
      </c>
      <c r="K319" s="73"/>
      <c r="L319" s="76"/>
      <c r="M319" s="114">
        <f t="shared" si="29"/>
        <v>0</v>
      </c>
      <c r="O319" s="384" t="str">
        <f>_xlfn.XLOOKUP(E319,'All Products'!D:D,'All Products'!I:I,FALSE)</f>
        <v>In Stock</v>
      </c>
      <c r="P319" s="384" t="str">
        <f>_xlfn.XLOOKUP(E319,'All Products'!D:D,'All Products'!J:J,FALSE)</f>
        <v>Manufactured</v>
      </c>
      <c r="Q319" s="397">
        <f>_xlfn.XLOOKUP(E319,'All Products'!D:D,'All Products'!K:K,FALSE)</f>
        <v>49081134808</v>
      </c>
      <c r="R319" s="397">
        <f>_xlfn.XLOOKUP(E319,'All Products'!D:D,'All Products'!L:L,FALSE)</f>
        <v>49081634803</v>
      </c>
      <c r="S319" s="397">
        <f>_xlfn.XLOOKUP(E319,'All Products'!D:D,'All Products'!M:M,FALSE)</f>
        <v>40049081134806</v>
      </c>
      <c r="T319" s="384">
        <f>_xlfn.XLOOKUP(E319,'All Products'!D:D,'All Products'!N:N,FALSE)</f>
        <v>0.16300000000000001</v>
      </c>
      <c r="U319" s="397">
        <f>_xlfn.XLOOKUP(E319,'All Products'!D:D,'All Products'!O:O,FALSE)</f>
        <v>5</v>
      </c>
      <c r="V319" s="384">
        <f>_xlfn.XLOOKUP(E319,'All Products'!D:D,'All Products'!P:P,FALSE)</f>
        <v>8.84</v>
      </c>
      <c r="W319" s="384">
        <f>_xlfn.XLOOKUP(E319,'All Products'!D:D,'All Products'!Q:Q,FALSE)</f>
        <v>0.5</v>
      </c>
    </row>
    <row r="320" spans="1:23" ht="15" customHeight="1">
      <c r="A320" s="101" t="str">
        <f>IF(K320&gt;0,COUNT($A$7:A319)
+COUNT('DWV PVC'!$A$9:$A$316)
+COUNT('DWV ABS'!$A$8:$A$116)+1,"")</f>
        <v/>
      </c>
      <c r="B320" s="610"/>
      <c r="C320" s="611"/>
      <c r="D320" s="369" t="str">
        <f>_xlfn.XLOOKUP(E320,'All Products'!D:D,'All Products'!C:C,FALSE)</f>
        <v>438-250</v>
      </c>
      <c r="E320" s="51">
        <v>100022958</v>
      </c>
      <c r="F320" s="376" t="str">
        <f>_xlfn.XLOOKUP(E320,'All Products'!D:D,'All Products'!E:E,FALSE)</f>
        <v>2X1-1/4 REDUCER BUSHING SPGX FIPT</v>
      </c>
      <c r="G320" s="232">
        <f>_xlfn.XLOOKUP(E320,'All Products'!D:D,'All Products'!F:F,FALSE)</f>
        <v>50</v>
      </c>
      <c r="H320" s="387">
        <f>_xlfn.XLOOKUP(E320,'All Products'!D:D,'All Products'!G:G,FALSE)</f>
        <v>7500</v>
      </c>
      <c r="I320" s="394">
        <f>_xlfn.XLOOKUP(E320,'All Products'!D:D,'All Products'!H:H,FALSE)</f>
        <v>10.09</v>
      </c>
      <c r="J320" s="183">
        <f>IFERROR(ROUND(I320*Order_Quote!$L$4,2),0)</f>
        <v>10.09</v>
      </c>
      <c r="K320" s="73"/>
      <c r="L320" s="76"/>
      <c r="M320" s="114">
        <f t="shared" si="29"/>
        <v>0</v>
      </c>
      <c r="O320" s="384" t="str">
        <f>_xlfn.XLOOKUP(E320,'All Products'!D:D,'All Products'!I:I,FALSE)</f>
        <v>In Stock</v>
      </c>
      <c r="P320" s="384" t="str">
        <f>_xlfn.XLOOKUP(E320,'All Products'!D:D,'All Products'!J:J,FALSE)</f>
        <v>Manufactured</v>
      </c>
      <c r="Q320" s="397">
        <f>_xlfn.XLOOKUP(E320,'All Products'!D:D,'All Products'!K:K,FALSE)</f>
        <v>49081134785</v>
      </c>
      <c r="R320" s="397">
        <f>_xlfn.XLOOKUP(E320,'All Products'!D:D,'All Products'!L:L,FALSE)</f>
        <v>49081634780</v>
      </c>
      <c r="S320" s="397">
        <f>_xlfn.XLOOKUP(E320,'All Products'!D:D,'All Products'!M:M,FALSE)</f>
        <v>40049081134783</v>
      </c>
      <c r="T320" s="384">
        <f>_xlfn.XLOOKUP(E320,'All Products'!D:D,'All Products'!N:N,FALSE)</f>
        <v>0.16800000000000001</v>
      </c>
      <c r="U320" s="397">
        <f>_xlfn.XLOOKUP(E320,'All Products'!D:D,'All Products'!O:O,FALSE)</f>
        <v>5</v>
      </c>
      <c r="V320" s="384">
        <f>_xlfn.XLOOKUP(E320,'All Products'!D:D,'All Products'!P:P,FALSE)</f>
        <v>9.0030000000000001</v>
      </c>
      <c r="W320" s="384">
        <f>_xlfn.XLOOKUP(E320,'All Products'!D:D,'All Products'!Q:Q,FALSE)</f>
        <v>0.5</v>
      </c>
    </row>
    <row r="321" spans="1:23" ht="15" customHeight="1">
      <c r="A321" s="101" t="str">
        <f>IF(K321&gt;0,COUNT($A$7:A320)
+COUNT('DWV PVC'!$A$9:$A$316)
+COUNT('DWV ABS'!$A$8:$A$116)+1,"")</f>
        <v/>
      </c>
      <c r="B321" s="610"/>
      <c r="C321" s="611"/>
      <c r="D321" s="369" t="str">
        <f>_xlfn.XLOOKUP(E321,'All Products'!D:D,'All Products'!C:C,FALSE)</f>
        <v>438-251</v>
      </c>
      <c r="E321" s="51">
        <v>100022960</v>
      </c>
      <c r="F321" s="376" t="str">
        <f>_xlfn.XLOOKUP(E321,'All Products'!D:D,'All Products'!E:E,FALSE)</f>
        <v>2X1-1/2 REDUCER BUSHING SPGX FIPT</v>
      </c>
      <c r="G321" s="232">
        <f>_xlfn.XLOOKUP(E321,'All Products'!D:D,'All Products'!F:F,FALSE)</f>
        <v>50</v>
      </c>
      <c r="H321" s="387">
        <f>_xlfn.XLOOKUP(E321,'All Products'!D:D,'All Products'!G:G,FALSE)</f>
        <v>7500</v>
      </c>
      <c r="I321" s="394">
        <f>_xlfn.XLOOKUP(E321,'All Products'!D:D,'All Products'!H:H,FALSE)</f>
        <v>10.09</v>
      </c>
      <c r="J321" s="183">
        <f>IFERROR(ROUND(I321*Order_Quote!$L$4,2),0)</f>
        <v>10.09</v>
      </c>
      <c r="K321" s="73"/>
      <c r="L321" s="76"/>
      <c r="M321" s="114">
        <f t="shared" si="29"/>
        <v>0</v>
      </c>
      <c r="O321" s="384" t="str">
        <f>_xlfn.XLOOKUP(E321,'All Products'!D:D,'All Products'!I:I,FALSE)</f>
        <v>In Stock</v>
      </c>
      <c r="P321" s="384" t="str">
        <f>_xlfn.XLOOKUP(E321,'All Products'!D:D,'All Products'!J:J,FALSE)</f>
        <v>Manufactured</v>
      </c>
      <c r="Q321" s="397">
        <f>_xlfn.XLOOKUP(E321,'All Products'!D:D,'All Products'!K:K,FALSE)</f>
        <v>49081134761</v>
      </c>
      <c r="R321" s="397">
        <f>_xlfn.XLOOKUP(E321,'All Products'!D:D,'All Products'!L:L,FALSE)</f>
        <v>49081634766</v>
      </c>
      <c r="S321" s="397">
        <f>_xlfn.XLOOKUP(E321,'All Products'!D:D,'All Products'!M:M,FALSE)</f>
        <v>40049081134769</v>
      </c>
      <c r="T321" s="384">
        <f>_xlfn.XLOOKUP(E321,'All Products'!D:D,'All Products'!N:N,FALSE)</f>
        <v>0.13600000000000001</v>
      </c>
      <c r="U321" s="397">
        <f>_xlfn.XLOOKUP(E321,'All Products'!D:D,'All Products'!O:O,FALSE)</f>
        <v>5</v>
      </c>
      <c r="V321" s="384">
        <f>_xlfn.XLOOKUP(E321,'All Products'!D:D,'All Products'!P:P,FALSE)</f>
        <v>6.75</v>
      </c>
      <c r="W321" s="384">
        <f>_xlfn.XLOOKUP(E321,'All Products'!D:D,'All Products'!Q:Q,FALSE)</f>
        <v>0.5</v>
      </c>
    </row>
    <row r="322" spans="1:23" ht="15" customHeight="1">
      <c r="B322" s="610"/>
      <c r="C322" s="611"/>
      <c r="D322" s="369" t="str">
        <f>_xlfn.XLOOKUP(E322,'All Products'!D:D,'All Products'!C:C,FALSE)</f>
        <v>438-290</v>
      </c>
      <c r="E322" s="51">
        <v>100022966</v>
      </c>
      <c r="F322" s="376" t="str">
        <f>_xlfn.XLOOKUP(E322,'All Products'!D:D,'All Products'!E:E,FALSE)</f>
        <v>2-1/2 X 1-1/4" REDUCER BUSHING SPGX FIPT</v>
      </c>
      <c r="G322" s="232">
        <f>_xlfn.XLOOKUP(E322,'All Products'!D:D,'All Products'!F:F,FALSE)</f>
        <v>25</v>
      </c>
      <c r="H322" s="387">
        <f>_xlfn.XLOOKUP(E322,'All Products'!D:D,'All Products'!G:G,FALSE)</f>
        <v>2250</v>
      </c>
      <c r="I322" s="394">
        <f>_xlfn.XLOOKUP(E322,'All Products'!D:D,'All Products'!H:H,FALSE)</f>
        <v>14.57</v>
      </c>
      <c r="J322" s="183">
        <f>IFERROR(ROUND(I322*Order_Quote!$L$4,2),0)</f>
        <v>14.57</v>
      </c>
      <c r="K322" s="73"/>
      <c r="L322" s="76"/>
      <c r="M322" s="114">
        <f t="shared" ref="M322:M327" si="30">K322/G322</f>
        <v>0</v>
      </c>
      <c r="O322" s="384" t="str">
        <f>_xlfn.XLOOKUP(E322,'All Products'!D:D,'All Products'!I:I,FALSE)</f>
        <v>Within 3 Weeks</v>
      </c>
      <c r="P322" s="384" t="str">
        <f>_xlfn.XLOOKUP(E322,'All Products'!D:D,'All Products'!J:J,FALSE)</f>
        <v>Manufactured</v>
      </c>
      <c r="Q322" s="397">
        <f>_xlfn.XLOOKUP(E322,'All Products'!D:D,'All Products'!K:K,FALSE)</f>
        <v>49081134921</v>
      </c>
      <c r="R322" s="397">
        <f>_xlfn.XLOOKUP(E322,'All Products'!D:D,'All Products'!L:L,FALSE)</f>
        <v>49081634926</v>
      </c>
      <c r="S322" s="397">
        <f>_xlfn.XLOOKUP(E322,'All Products'!D:D,'All Products'!M:M,FALSE)</f>
        <v>40049081134929</v>
      </c>
      <c r="T322" s="384">
        <f>_xlfn.XLOOKUP(E322,'All Products'!D:D,'All Products'!N:N,FALSE)</f>
        <v>0.32500000000000001</v>
      </c>
      <c r="U322" s="397">
        <f>_xlfn.XLOOKUP(E322,'All Products'!D:D,'All Products'!O:O,FALSE)</f>
        <v>5</v>
      </c>
      <c r="V322" s="384">
        <f>_xlfn.XLOOKUP(E322,'All Products'!D:D,'All Products'!P:P,FALSE)</f>
        <v>8.1199999999999992</v>
      </c>
      <c r="W322" s="384">
        <f>_xlfn.XLOOKUP(E322,'All Products'!D:D,'All Products'!Q:Q,FALSE)</f>
        <v>0.43</v>
      </c>
    </row>
    <row r="323" spans="1:23" ht="15" customHeight="1">
      <c r="A323" s="101" t="str">
        <f>IF(K323&gt;0,COUNT($A$7:A321)
+COUNT('DWV PVC'!$A$9:$A$316)
+COUNT('DWV ABS'!$A$8:$A$116)+1,"")</f>
        <v/>
      </c>
      <c r="B323" s="610"/>
      <c r="C323" s="611"/>
      <c r="D323" s="369" t="str">
        <f>_xlfn.XLOOKUP(E323,'All Products'!D:D,'All Products'!C:C,FALSE)</f>
        <v>438-335</v>
      </c>
      <c r="E323" s="51">
        <v>100022974</v>
      </c>
      <c r="F323" s="376" t="str">
        <f>_xlfn.XLOOKUP(E323,'All Products'!D:D,'All Products'!E:E,FALSE)</f>
        <v>3X1 REDUCER BUSHING SPGX FIPT</v>
      </c>
      <c r="G323" s="232">
        <f>_xlfn.XLOOKUP(E323,'All Products'!D:D,'All Products'!F:F,FALSE)</f>
        <v>25</v>
      </c>
      <c r="H323" s="387">
        <f>_xlfn.XLOOKUP(E323,'All Products'!D:D,'All Products'!G:G,FALSE)</f>
        <v>3000</v>
      </c>
      <c r="I323" s="394">
        <f>_xlfn.XLOOKUP(E323,'All Products'!D:D,'All Products'!H:H,FALSE)</f>
        <v>16.82</v>
      </c>
      <c r="J323" s="183">
        <f>IFERROR(ROUND(I323*Order_Quote!$L$4,2),0)</f>
        <v>16.82</v>
      </c>
      <c r="K323" s="73"/>
      <c r="L323" s="76"/>
      <c r="M323" s="114">
        <f t="shared" si="30"/>
        <v>0</v>
      </c>
      <c r="O323" s="384" t="str">
        <f>_xlfn.XLOOKUP(E323,'All Products'!D:D,'All Products'!I:I,FALSE)</f>
        <v>In Stock</v>
      </c>
      <c r="P323" s="384" t="str">
        <f>_xlfn.XLOOKUP(E323,'All Products'!D:D,'All Products'!J:J,FALSE)</f>
        <v>Manufactured</v>
      </c>
      <c r="Q323" s="397">
        <f>_xlfn.XLOOKUP(E323,'All Products'!D:D,'All Products'!K:K,FALSE)</f>
        <v>49081135126</v>
      </c>
      <c r="R323" s="397">
        <f>_xlfn.XLOOKUP(E323,'All Products'!D:D,'All Products'!L:L,FALSE)</f>
        <v>49081635121</v>
      </c>
      <c r="S323" s="397">
        <f>_xlfn.XLOOKUP(E323,'All Products'!D:D,'All Products'!M:M,FALSE)</f>
        <v>40049081135124</v>
      </c>
      <c r="T323" s="384">
        <f>_xlfn.XLOOKUP(E323,'All Products'!D:D,'All Products'!N:N,FALSE)</f>
        <v>0.63</v>
      </c>
      <c r="U323" s="397">
        <f>_xlfn.XLOOKUP(E323,'All Products'!D:D,'All Products'!O:O,FALSE)</f>
        <v>5</v>
      </c>
      <c r="V323" s="384">
        <f>_xlfn.XLOOKUP(E323,'All Products'!D:D,'All Products'!P:P,FALSE)</f>
        <v>16.66</v>
      </c>
      <c r="W323" s="384">
        <f>_xlfn.XLOOKUP(E323,'All Products'!D:D,'All Products'!Q:Q,FALSE)</f>
        <v>0.65</v>
      </c>
    </row>
    <row r="324" spans="1:23" ht="15" customHeight="1">
      <c r="B324" s="610"/>
      <c r="C324" s="611"/>
      <c r="D324" s="369" t="str">
        <f>_xlfn.XLOOKUP(E324,'All Products'!D:D,'All Products'!C:C,FALSE)</f>
        <v>438-336</v>
      </c>
      <c r="E324" s="51">
        <v>100022975</v>
      </c>
      <c r="F324" s="376" t="str">
        <f>_xlfn.XLOOKUP(E324,'All Products'!D:D,'All Products'!E:E,FALSE)</f>
        <v>3 X 1-1/4" REDUCER BUSHING SPGX FIPT</v>
      </c>
      <c r="G324" s="232">
        <f>_xlfn.XLOOKUP(E324,'All Products'!D:D,'All Products'!F:F,FALSE)</f>
        <v>25</v>
      </c>
      <c r="H324" s="387">
        <f>_xlfn.XLOOKUP(E324,'All Products'!D:D,'All Products'!G:G,FALSE)</f>
        <v>11250</v>
      </c>
      <c r="I324" s="394">
        <f>_xlfn.XLOOKUP(E324,'All Products'!D:D,'All Products'!H:H,FALSE)</f>
        <v>16.010000000000002</v>
      </c>
      <c r="J324" s="183">
        <f>IFERROR(ROUND(I324*Order_Quote!$L$4,2),0)</f>
        <v>16.010000000000002</v>
      </c>
      <c r="K324" s="73"/>
      <c r="L324" s="76"/>
      <c r="M324" s="114">
        <f t="shared" si="30"/>
        <v>0</v>
      </c>
      <c r="O324" s="384" t="str">
        <f>_xlfn.XLOOKUP(E324,'All Products'!D:D,'All Products'!I:I,FALSE)</f>
        <v>Within 3 Weeks</v>
      </c>
      <c r="P324" s="384" t="str">
        <f>_xlfn.XLOOKUP(E324,'All Products'!D:D,'All Products'!J:J,FALSE)</f>
        <v>Manufactured</v>
      </c>
      <c r="Q324" s="397">
        <f>_xlfn.XLOOKUP(E324,'All Products'!D:D,'All Products'!K:K,FALSE)</f>
        <v>49081135102</v>
      </c>
      <c r="R324" s="397">
        <f>_xlfn.XLOOKUP(E324,'All Products'!D:D,'All Products'!L:L,FALSE)</f>
        <v>49081635107</v>
      </c>
      <c r="S324" s="397">
        <f>_xlfn.XLOOKUP(E324,'All Products'!D:D,'All Products'!M:M,FALSE)</f>
        <v>40049081135100</v>
      </c>
      <c r="T324" s="384">
        <f>_xlfn.XLOOKUP(E324,'All Products'!D:D,'All Products'!N:N,FALSE)</f>
        <v>0.45</v>
      </c>
      <c r="U324" s="397">
        <f>_xlfn.XLOOKUP(E324,'All Products'!D:D,'All Products'!O:O,FALSE)</f>
        <v>5</v>
      </c>
      <c r="V324" s="384">
        <f>_xlfn.XLOOKUP(E324,'All Products'!D:D,'All Products'!P:P,FALSE)</f>
        <v>11.25</v>
      </c>
      <c r="W324" s="384">
        <f>_xlfn.XLOOKUP(E324,'All Products'!D:D,'All Products'!Q:Q,FALSE)</f>
        <v>0.87</v>
      </c>
    </row>
    <row r="325" spans="1:23" ht="15" customHeight="1">
      <c r="A325" s="101" t="str">
        <f>IF(K325&gt;0,COUNT($A$7:A323)
+COUNT('DWV PVC'!$A$9:$A$316)
+COUNT('DWV ABS'!$A$8:$A$116)+1,"")</f>
        <v/>
      </c>
      <c r="B325" s="610"/>
      <c r="C325" s="611"/>
      <c r="D325" s="369" t="str">
        <f>_xlfn.XLOOKUP(E325,'All Products'!D:D,'All Products'!C:C,FALSE)</f>
        <v>438-338</v>
      </c>
      <c r="E325" s="51">
        <v>100022978</v>
      </c>
      <c r="F325" s="376" t="str">
        <f>_xlfn.XLOOKUP(E325,'All Products'!D:D,'All Products'!E:E,FALSE)</f>
        <v>3X2 REDUCER BUSHING SPGX FIPT</v>
      </c>
      <c r="G325" s="232">
        <f>_xlfn.XLOOKUP(E325,'All Products'!D:D,'All Products'!F:F,FALSE)</f>
        <v>25</v>
      </c>
      <c r="H325" s="387">
        <f>_xlfn.XLOOKUP(E325,'All Products'!D:D,'All Products'!G:G,FALSE)</f>
        <v>3000</v>
      </c>
      <c r="I325" s="394">
        <f>_xlfn.XLOOKUP(E325,'All Products'!D:D,'All Products'!H:H,FALSE)</f>
        <v>16.82</v>
      </c>
      <c r="J325" s="183">
        <f>IFERROR(ROUND(I325*Order_Quote!$L$4,2),0)</f>
        <v>16.82</v>
      </c>
      <c r="K325" s="73"/>
      <c r="L325" s="76"/>
      <c r="M325" s="114">
        <f t="shared" si="30"/>
        <v>0</v>
      </c>
      <c r="O325" s="384" t="str">
        <f>_xlfn.XLOOKUP(E325,'All Products'!D:D,'All Products'!I:I,FALSE)</f>
        <v>In Stock</v>
      </c>
      <c r="P325" s="384" t="str">
        <f>_xlfn.XLOOKUP(E325,'All Products'!D:D,'All Products'!J:J,FALSE)</f>
        <v>Manufactured</v>
      </c>
      <c r="Q325" s="397">
        <f>_xlfn.XLOOKUP(E325,'All Products'!D:D,'All Products'!K:K,FALSE)</f>
        <v>49081135065</v>
      </c>
      <c r="R325" s="397">
        <f>_xlfn.XLOOKUP(E325,'All Products'!D:D,'All Products'!L:L,FALSE)</f>
        <v>49081635060</v>
      </c>
      <c r="S325" s="397">
        <f>_xlfn.XLOOKUP(E325,'All Products'!D:D,'All Products'!M:M,FALSE)</f>
        <v>40049081135063</v>
      </c>
      <c r="T325" s="384">
        <f>_xlfn.XLOOKUP(E325,'All Products'!D:D,'All Products'!N:N,FALSE)</f>
        <v>0.56999999999999995</v>
      </c>
      <c r="U325" s="397">
        <f>_xlfn.XLOOKUP(E325,'All Products'!D:D,'All Products'!O:O,FALSE)</f>
        <v>5</v>
      </c>
      <c r="V325" s="384">
        <f>_xlfn.XLOOKUP(E325,'All Products'!D:D,'All Products'!P:P,FALSE)</f>
        <v>15</v>
      </c>
      <c r="W325" s="384">
        <f>_xlfn.XLOOKUP(E325,'All Products'!D:D,'All Products'!Q:Q,FALSE)</f>
        <v>0.65</v>
      </c>
    </row>
    <row r="326" spans="1:23" ht="15" customHeight="1">
      <c r="A326" s="101" t="str">
        <f>IF(K326&gt;0,COUNT($A$7:A325)
+COUNT('DWV PVC'!$A$9:$A$316)
+COUNT('DWV ABS'!$A$8:$A$116)+1,"")</f>
        <v/>
      </c>
      <c r="B326" s="610"/>
      <c r="C326" s="611"/>
      <c r="D326" s="369" t="str">
        <f>_xlfn.XLOOKUP(E326,'All Products'!D:D,'All Products'!C:C,FALSE)</f>
        <v>438-417</v>
      </c>
      <c r="E326" s="51">
        <v>100022983</v>
      </c>
      <c r="F326" s="376" t="str">
        <f>_xlfn.XLOOKUP(E326,'All Products'!D:D,'All Products'!E:E,FALSE)</f>
        <v>4X1 REDUCER BUSHING SPGX FIPT</v>
      </c>
      <c r="G326" s="232">
        <f>_xlfn.XLOOKUP(E326,'All Products'!D:D,'All Products'!F:F,FALSE)</f>
        <v>10</v>
      </c>
      <c r="H326" s="387">
        <f>_xlfn.XLOOKUP(E326,'All Products'!D:D,'All Products'!G:G,FALSE)</f>
        <v>1500</v>
      </c>
      <c r="I326" s="394">
        <f>_xlfn.XLOOKUP(E326,'All Products'!D:D,'All Products'!H:H,FALSE)</f>
        <v>37.56</v>
      </c>
      <c r="J326" s="183">
        <f>IFERROR(ROUND(I326*Order_Quote!$L$4,2),0)</f>
        <v>37.56</v>
      </c>
      <c r="K326" s="73"/>
      <c r="L326" s="76"/>
      <c r="M326" s="114">
        <f t="shared" si="30"/>
        <v>0</v>
      </c>
      <c r="O326" s="384" t="str">
        <f>_xlfn.XLOOKUP(E326,'All Products'!D:D,'All Products'!I:I,FALSE)</f>
        <v>In Stock</v>
      </c>
      <c r="P326" s="384" t="str">
        <f>_xlfn.XLOOKUP(E326,'All Products'!D:D,'All Products'!J:J,FALSE)</f>
        <v>Manufactured</v>
      </c>
      <c r="Q326" s="397">
        <f>_xlfn.XLOOKUP(E326,'All Products'!D:D,'All Products'!K:K,FALSE)</f>
        <v>49081135232</v>
      </c>
      <c r="R326" s="397" t="str">
        <f>_xlfn.XLOOKUP(E326,'All Products'!D:D,'All Products'!L:L,FALSE)</f>
        <v>-</v>
      </c>
      <c r="S326" s="397">
        <f>_xlfn.XLOOKUP(E326,'All Products'!D:D,'All Products'!M:M,FALSE)</f>
        <v>40049081135230</v>
      </c>
      <c r="T326" s="384">
        <f>_xlfn.XLOOKUP(E326,'All Products'!D:D,'All Products'!N:N,FALSE)</f>
        <v>0.63600000000000001</v>
      </c>
      <c r="U326" s="397" t="str">
        <f>_xlfn.XLOOKUP(E326,'All Products'!D:D,'All Products'!O:O,FALSE)</f>
        <v>-</v>
      </c>
      <c r="V326" s="384">
        <f>_xlfn.XLOOKUP(E326,'All Products'!D:D,'All Products'!P:P,FALSE)</f>
        <v>7.08</v>
      </c>
      <c r="W326" s="384">
        <f>_xlfn.XLOOKUP(E326,'All Products'!D:D,'All Products'!Q:Q,FALSE)</f>
        <v>0.5</v>
      </c>
    </row>
    <row r="327" spans="1:23" ht="15" customHeight="1">
      <c r="B327" s="610"/>
      <c r="C327" s="611"/>
      <c r="D327" s="369" t="str">
        <f>_xlfn.XLOOKUP(E327,'All Products'!D:D,'All Products'!C:C,FALSE)</f>
        <v>438-418</v>
      </c>
      <c r="E327" s="51">
        <v>100022984</v>
      </c>
      <c r="F327" s="376" t="str">
        <f>_xlfn.XLOOKUP(E327,'All Products'!D:D,'All Products'!E:E,FALSE)</f>
        <v>4 X 1-1/4" REDUCER BUSHING SPGX FIPT</v>
      </c>
      <c r="G327" s="232">
        <f>_xlfn.XLOOKUP(E327,'All Products'!D:D,'All Products'!F:F,FALSE)</f>
        <v>10</v>
      </c>
      <c r="H327" s="387">
        <f>_xlfn.XLOOKUP(E327,'All Products'!D:D,'All Products'!G:G,FALSE)</f>
        <v>900</v>
      </c>
      <c r="I327" s="394">
        <f>_xlfn.XLOOKUP(E327,'All Products'!D:D,'All Products'!H:H,FALSE)</f>
        <v>35.770000000000003</v>
      </c>
      <c r="J327" s="183">
        <f>IFERROR(ROUND(I327*Order_Quote!$L$4,2),0)</f>
        <v>35.770000000000003</v>
      </c>
      <c r="K327" s="73"/>
      <c r="L327" s="76"/>
      <c r="M327" s="114">
        <f t="shared" si="30"/>
        <v>0</v>
      </c>
      <c r="O327" s="384" t="str">
        <f>_xlfn.XLOOKUP(E327,'All Products'!D:D,'All Products'!I:I,FALSE)</f>
        <v>Within 3 Weeks</v>
      </c>
      <c r="P327" s="384" t="str">
        <f>_xlfn.XLOOKUP(E327,'All Products'!D:D,'All Products'!J:J,FALSE)</f>
        <v>Manufactured</v>
      </c>
      <c r="Q327" s="397">
        <f>_xlfn.XLOOKUP(E327,'All Products'!D:D,'All Products'!K:K,FALSE)</f>
        <v>49081135256</v>
      </c>
      <c r="R327" s="397" t="str">
        <f>_xlfn.XLOOKUP(E327,'All Products'!D:D,'All Products'!L:L,FALSE)</f>
        <v>-</v>
      </c>
      <c r="S327" s="397">
        <f>_xlfn.XLOOKUP(E327,'All Products'!D:D,'All Products'!M:M,FALSE)</f>
        <v>40049081135254</v>
      </c>
      <c r="T327" s="384">
        <f>_xlfn.XLOOKUP(E327,'All Products'!D:D,'All Products'!N:N,FALSE)</f>
        <v>0.626</v>
      </c>
      <c r="U327" s="397" t="str">
        <f>_xlfn.XLOOKUP(E327,'All Products'!D:D,'All Products'!O:O,FALSE)</f>
        <v>-</v>
      </c>
      <c r="V327" s="384">
        <f>_xlfn.XLOOKUP(E327,'All Products'!D:D,'All Products'!P:P,FALSE)</f>
        <v>7.18</v>
      </c>
      <c r="W327" s="384">
        <f>_xlfn.XLOOKUP(E327,'All Products'!D:D,'All Products'!Q:Q,FALSE)</f>
        <v>0.43</v>
      </c>
    </row>
    <row r="328" spans="1:23" ht="15" customHeight="1">
      <c r="A328" s="101" t="str">
        <f>IF(K328&gt;0,COUNT($A$7:A326)
+COUNT('DWV PVC'!$A$9:$A$316)
+COUNT('DWV ABS'!$A$8:$A$116)+1,"")</f>
        <v/>
      </c>
      <c r="B328" s="610"/>
      <c r="C328" s="611"/>
      <c r="D328" s="369" t="str">
        <f>_xlfn.XLOOKUP(E328,'All Products'!D:D,'All Products'!C:C,FALSE)</f>
        <v>438-420</v>
      </c>
      <c r="E328" s="51">
        <v>100022987</v>
      </c>
      <c r="F328" s="376" t="str">
        <f>_xlfn.XLOOKUP(E328,'All Products'!D:D,'All Products'!E:E,FALSE)</f>
        <v>4X2 REDUCER BUSHING SPGX FIPT</v>
      </c>
      <c r="G328" s="232">
        <f>_xlfn.XLOOKUP(E328,'All Products'!D:D,'All Products'!F:F,FALSE)</f>
        <v>10</v>
      </c>
      <c r="H328" s="387">
        <f>_xlfn.XLOOKUP(E328,'All Products'!D:D,'All Products'!G:G,FALSE)</f>
        <v>1500</v>
      </c>
      <c r="I328" s="394">
        <f>_xlfn.XLOOKUP(E328,'All Products'!D:D,'All Products'!H:H,FALSE)</f>
        <v>37.56</v>
      </c>
      <c r="J328" s="183">
        <f>IFERROR(ROUND(I328*Order_Quote!$L$4,2),0)</f>
        <v>37.56</v>
      </c>
      <c r="K328" s="73"/>
      <c r="L328" s="76"/>
      <c r="M328" s="114">
        <f t="shared" si="29"/>
        <v>0</v>
      </c>
      <c r="O328" s="384" t="str">
        <f>_xlfn.XLOOKUP(E328,'All Products'!D:D,'All Products'!I:I,FALSE)</f>
        <v>In Stock</v>
      </c>
      <c r="P328" s="384" t="str">
        <f>_xlfn.XLOOKUP(E328,'All Products'!D:D,'All Products'!J:J,FALSE)</f>
        <v>Manufactured</v>
      </c>
      <c r="Q328" s="397">
        <f>_xlfn.XLOOKUP(E328,'All Products'!D:D,'All Products'!K:K,FALSE)</f>
        <v>49081135263</v>
      </c>
      <c r="R328" s="397" t="str">
        <f>_xlfn.XLOOKUP(E328,'All Products'!D:D,'All Products'!L:L,FALSE)</f>
        <v>-</v>
      </c>
      <c r="S328" s="397">
        <f>_xlfn.XLOOKUP(E328,'All Products'!D:D,'All Products'!M:M,FALSE)</f>
        <v>40049081135261</v>
      </c>
      <c r="T328" s="384">
        <f>_xlfn.XLOOKUP(E328,'All Products'!D:D,'All Products'!N:N,FALSE)</f>
        <v>0.61899999999999999</v>
      </c>
      <c r="U328" s="397" t="str">
        <f>_xlfn.XLOOKUP(E328,'All Products'!D:D,'All Products'!O:O,FALSE)</f>
        <v>-</v>
      </c>
      <c r="V328" s="384">
        <f>_xlfn.XLOOKUP(E328,'All Products'!D:D,'All Products'!P:P,FALSE)</f>
        <v>6.89</v>
      </c>
      <c r="W328" s="384">
        <f>_xlfn.XLOOKUP(E328,'All Products'!D:D,'All Products'!Q:Q,FALSE)</f>
        <v>0.5</v>
      </c>
    </row>
    <row r="329" spans="1:23" ht="15" customHeight="1">
      <c r="A329" s="101" t="str">
        <f>IF(K329&gt;0,COUNT($A$7:A328)
+COUNT('DWV PVC'!$A$9:$A$316)
+COUNT('DWV ABS'!$A$8:$A$116)+1,"")</f>
        <v/>
      </c>
      <c r="B329" s="612"/>
      <c r="C329" s="613"/>
      <c r="D329" s="369" t="str">
        <f>_xlfn.XLOOKUP(E329,'All Products'!D:D,'All Products'!C:C,FALSE)</f>
        <v>438-422</v>
      </c>
      <c r="E329" s="51">
        <v>100022991</v>
      </c>
      <c r="F329" s="376" t="str">
        <f>_xlfn.XLOOKUP(E329,'All Products'!D:D,'All Products'!E:E,FALSE)</f>
        <v>4X3 REDUCER BUSHING SPGX FIPT</v>
      </c>
      <c r="G329" s="232">
        <f>_xlfn.XLOOKUP(E329,'All Products'!D:D,'All Products'!F:F,FALSE)</f>
        <v>10</v>
      </c>
      <c r="H329" s="387">
        <f>_xlfn.XLOOKUP(E329,'All Products'!D:D,'All Products'!G:G,FALSE)</f>
        <v>1500</v>
      </c>
      <c r="I329" s="394">
        <f>_xlfn.XLOOKUP(E329,'All Products'!D:D,'All Products'!H:H,FALSE)</f>
        <v>37.56</v>
      </c>
      <c r="J329" s="183">
        <f>IFERROR(ROUND(I329*Order_Quote!$L$4,2),0)</f>
        <v>37.56</v>
      </c>
      <c r="K329" s="73"/>
      <c r="L329" s="76"/>
      <c r="M329" s="114">
        <f t="shared" si="29"/>
        <v>0</v>
      </c>
      <c r="O329" s="384" t="str">
        <f>_xlfn.XLOOKUP(E329,'All Products'!D:D,'All Products'!I:I,FALSE)</f>
        <v>Within 3 Weeks</v>
      </c>
      <c r="P329" s="384" t="str">
        <f>_xlfn.XLOOKUP(E329,'All Products'!D:D,'All Products'!J:J,FALSE)</f>
        <v>Manufactured</v>
      </c>
      <c r="Q329" s="397">
        <f>_xlfn.XLOOKUP(E329,'All Products'!D:D,'All Products'!K:K,FALSE)</f>
        <v>49081135225</v>
      </c>
      <c r="R329" s="397" t="str">
        <f>_xlfn.XLOOKUP(E329,'All Products'!D:D,'All Products'!L:L,FALSE)</f>
        <v>-</v>
      </c>
      <c r="S329" s="397">
        <f>_xlfn.XLOOKUP(E329,'All Products'!D:D,'All Products'!M:M,FALSE)</f>
        <v>40049081135223</v>
      </c>
      <c r="T329" s="384">
        <f>_xlfn.XLOOKUP(E329,'All Products'!D:D,'All Products'!N:N,FALSE)</f>
        <v>0.747</v>
      </c>
      <c r="U329" s="397" t="str">
        <f>_xlfn.XLOOKUP(E329,'All Products'!D:D,'All Products'!O:O,FALSE)</f>
        <v>-</v>
      </c>
      <c r="V329" s="384">
        <f>_xlfn.XLOOKUP(E329,'All Products'!D:D,'All Products'!P:P,FALSE)</f>
        <v>8.1</v>
      </c>
      <c r="W329" s="384">
        <f>_xlfn.XLOOKUP(E329,'All Products'!D:D,'All Products'!Q:Q,FALSE)</f>
        <v>0.5</v>
      </c>
    </row>
    <row r="330" spans="1:23" ht="15" customHeight="1">
      <c r="A330" s="101" t="str">
        <f>IF(K330&gt;0,COUNT($A$7:A329)
+COUNT('DWV PVC'!$A$9:$A$316)
+COUNT('DWV ABS'!$A$8:$A$116)+1,"")</f>
        <v/>
      </c>
      <c r="B330" s="608"/>
      <c r="C330" s="609"/>
      <c r="D330" s="369" t="str">
        <f>_xlfn.XLOOKUP(E330,'All Products'!D:D,'All Products'!C:C,FALSE)</f>
        <v>439-072</v>
      </c>
      <c r="E330" s="51">
        <v>100022997</v>
      </c>
      <c r="F330" s="376" t="str">
        <f>_xlfn.XLOOKUP(E330,'All Products'!D:D,'All Products'!E:E,FALSE)</f>
        <v>1/2X1/4 REDUCER BUSHING MIPTXFIPT</v>
      </c>
      <c r="G330" s="232">
        <f>_xlfn.XLOOKUP(E330,'All Products'!D:D,'All Products'!F:F,FALSE)</f>
        <v>500</v>
      </c>
      <c r="H330" s="387">
        <f>_xlfn.XLOOKUP(E330,'All Products'!D:D,'All Products'!G:G,FALSE)</f>
        <v>75000</v>
      </c>
      <c r="I330" s="394">
        <f>_xlfn.XLOOKUP(E330,'All Products'!D:D,'All Products'!H:H,FALSE)</f>
        <v>7.54</v>
      </c>
      <c r="J330" s="183">
        <f>IFERROR(ROUND(I330*Order_Quote!$L$4,2),0)</f>
        <v>7.54</v>
      </c>
      <c r="K330" s="73"/>
      <c r="L330" s="76"/>
      <c r="M330" s="114">
        <f t="shared" si="29"/>
        <v>0</v>
      </c>
      <c r="O330" s="384" t="str">
        <f>_xlfn.XLOOKUP(E330,'All Products'!D:D,'All Products'!I:I,FALSE)</f>
        <v>Within 3 Weeks</v>
      </c>
      <c r="P330" s="384" t="str">
        <f>_xlfn.XLOOKUP(E330,'All Products'!D:D,'All Products'!J:J,FALSE)</f>
        <v>Manufactured</v>
      </c>
      <c r="Q330" s="397">
        <f>_xlfn.XLOOKUP(E330,'All Products'!D:D,'All Products'!K:K,FALSE)</f>
        <v>49081135522</v>
      </c>
      <c r="R330" s="397">
        <f>_xlfn.XLOOKUP(E330,'All Products'!D:D,'All Products'!L:L,FALSE)</f>
        <v>49081635527</v>
      </c>
      <c r="S330" s="397">
        <f>_xlfn.XLOOKUP(E330,'All Products'!D:D,'All Products'!M:M,FALSE)</f>
        <v>40049081135520</v>
      </c>
      <c r="T330" s="384">
        <f>_xlfn.XLOOKUP(E330,'All Products'!D:D,'All Products'!N:N,FALSE)</f>
        <v>2.1000000000000001E-2</v>
      </c>
      <c r="U330" s="397">
        <f>_xlfn.XLOOKUP(E330,'All Products'!D:D,'All Products'!O:O,FALSE)</f>
        <v>10</v>
      </c>
      <c r="V330" s="384">
        <f>_xlfn.XLOOKUP(E330,'All Products'!D:D,'All Products'!P:P,FALSE)</f>
        <v>10.8</v>
      </c>
      <c r="W330" s="384">
        <f>_xlfn.XLOOKUP(E330,'All Products'!D:D,'All Products'!Q:Q,FALSE)</f>
        <v>0.5</v>
      </c>
    </row>
    <row r="331" spans="1:23" ht="15" customHeight="1">
      <c r="A331" s="101" t="str">
        <f>IF(K331&gt;0,COUNT($A$7:A330)
+COUNT('DWV PVC'!$A$9:$A$316)
+COUNT('DWV ABS'!$A$8:$A$116)+1,"")</f>
        <v/>
      </c>
      <c r="B331" s="610"/>
      <c r="C331" s="611"/>
      <c r="D331" s="369" t="str">
        <f>_xlfn.XLOOKUP(E331,'All Products'!D:D,'All Products'!C:C,FALSE)</f>
        <v>439-073</v>
      </c>
      <c r="E331" s="51">
        <v>100022999</v>
      </c>
      <c r="F331" s="376" t="str">
        <f>_xlfn.XLOOKUP(E331,'All Products'!D:D,'All Products'!E:E,FALSE)</f>
        <v>1/2X3/8 REDUCER BUSHING MIPTXFIPT</v>
      </c>
      <c r="G331" s="232">
        <f>_xlfn.XLOOKUP(E331,'All Products'!D:D,'All Products'!F:F,FALSE)</f>
        <v>500</v>
      </c>
      <c r="H331" s="387">
        <f>_xlfn.XLOOKUP(E331,'All Products'!D:D,'All Products'!G:G,FALSE)</f>
        <v>75000</v>
      </c>
      <c r="I331" s="394">
        <f>_xlfn.XLOOKUP(E331,'All Products'!D:D,'All Products'!H:H,FALSE)</f>
        <v>7.54</v>
      </c>
      <c r="J331" s="183">
        <f>IFERROR(ROUND(I331*Order_Quote!$L$4,2),0)</f>
        <v>7.54</v>
      </c>
      <c r="K331" s="73"/>
      <c r="L331" s="76"/>
      <c r="M331" s="114">
        <f t="shared" si="29"/>
        <v>0</v>
      </c>
      <c r="O331" s="384" t="str">
        <f>_xlfn.XLOOKUP(E331,'All Products'!D:D,'All Products'!I:I,FALSE)</f>
        <v>Within 3 Weeks</v>
      </c>
      <c r="P331" s="384" t="str">
        <f>_xlfn.XLOOKUP(E331,'All Products'!D:D,'All Products'!J:J,FALSE)</f>
        <v>Manufactured</v>
      </c>
      <c r="Q331" s="397">
        <f>_xlfn.XLOOKUP(E331,'All Products'!D:D,'All Products'!K:K,FALSE)</f>
        <v>49081135508</v>
      </c>
      <c r="R331" s="397">
        <f>_xlfn.XLOOKUP(E331,'All Products'!D:D,'All Products'!L:L,FALSE)</f>
        <v>49081635503</v>
      </c>
      <c r="S331" s="397">
        <f>_xlfn.XLOOKUP(E331,'All Products'!D:D,'All Products'!M:M,FALSE)</f>
        <v>40049081135506</v>
      </c>
      <c r="T331" s="384">
        <f>_xlfn.XLOOKUP(E331,'All Products'!D:D,'All Products'!N:N,FALSE)</f>
        <v>1.6E-2</v>
      </c>
      <c r="U331" s="397">
        <f>_xlfn.XLOOKUP(E331,'All Products'!D:D,'All Products'!O:O,FALSE)</f>
        <v>10</v>
      </c>
      <c r="V331" s="384">
        <f>_xlfn.XLOOKUP(E331,'All Products'!D:D,'All Products'!P:P,FALSE)</f>
        <v>8.4700000000000006</v>
      </c>
      <c r="W331" s="384">
        <f>_xlfn.XLOOKUP(E331,'All Products'!D:D,'All Products'!Q:Q,FALSE)</f>
        <v>0.5</v>
      </c>
    </row>
    <row r="332" spans="1:23" ht="15" customHeight="1">
      <c r="A332" s="101" t="str">
        <f>IF(K332&gt;0,COUNT($A$7:A331)
+COUNT('DWV PVC'!$A$9:$A$316)
+COUNT('DWV ABS'!$A$8:$A$116)+1,"")</f>
        <v/>
      </c>
      <c r="B332" s="610"/>
      <c r="C332" s="611"/>
      <c r="D332" s="369" t="str">
        <f>_xlfn.XLOOKUP(E332,'All Products'!D:D,'All Products'!C:C,FALSE)</f>
        <v>439-101</v>
      </c>
      <c r="E332" s="51">
        <v>100023005</v>
      </c>
      <c r="F332" s="376" t="str">
        <f>_xlfn.XLOOKUP(E332,'All Products'!D:D,'All Products'!E:E,FALSE)</f>
        <v>3/4X1/2 RED BUSHING MIPT X FIPT</v>
      </c>
      <c r="G332" s="232">
        <f>_xlfn.XLOOKUP(E332,'All Products'!D:D,'All Products'!F:F,FALSE)</f>
        <v>500</v>
      </c>
      <c r="H332" s="387">
        <f>_xlfn.XLOOKUP(E332,'All Products'!D:D,'All Products'!G:G,FALSE)</f>
        <v>60000</v>
      </c>
      <c r="I332" s="394">
        <f>_xlfn.XLOOKUP(E332,'All Products'!D:D,'All Products'!H:H,FALSE)</f>
        <v>4.67</v>
      </c>
      <c r="J332" s="183">
        <f>IFERROR(ROUND(I332*Order_Quote!$L$4,2),0)</f>
        <v>4.67</v>
      </c>
      <c r="K332" s="73"/>
      <c r="L332" s="76"/>
      <c r="M332" s="114">
        <f t="shared" si="29"/>
        <v>0</v>
      </c>
      <c r="O332" s="384" t="str">
        <f>_xlfn.XLOOKUP(E332,'All Products'!D:D,'All Products'!I:I,FALSE)</f>
        <v>In Stock</v>
      </c>
      <c r="P332" s="384" t="str">
        <f>_xlfn.XLOOKUP(E332,'All Products'!D:D,'All Products'!J:J,FALSE)</f>
        <v>Manufactured</v>
      </c>
      <c r="Q332" s="397">
        <f>_xlfn.XLOOKUP(E332,'All Products'!D:D,'All Products'!K:K,FALSE)</f>
        <v>49081135584</v>
      </c>
      <c r="R332" s="397">
        <f>_xlfn.XLOOKUP(E332,'All Products'!D:D,'All Products'!L:L,FALSE)</f>
        <v>49081635589</v>
      </c>
      <c r="S332" s="397">
        <f>_xlfn.XLOOKUP(E332,'All Products'!D:D,'All Products'!M:M,FALSE)</f>
        <v>40049081135582</v>
      </c>
      <c r="T332" s="384">
        <f>_xlfn.XLOOKUP(E332,'All Products'!D:D,'All Products'!N:N,FALSE)</f>
        <v>2.1000000000000001E-2</v>
      </c>
      <c r="U332" s="397">
        <f>_xlfn.XLOOKUP(E332,'All Products'!D:D,'All Products'!O:O,FALSE)</f>
        <v>10</v>
      </c>
      <c r="V332" s="384">
        <f>_xlfn.XLOOKUP(E332,'All Products'!D:D,'All Products'!P:P,FALSE)</f>
        <v>11.55</v>
      </c>
      <c r="W332" s="384">
        <f>_xlfn.XLOOKUP(E332,'All Products'!D:D,'All Products'!Q:Q,FALSE)</f>
        <v>0.65</v>
      </c>
    </row>
    <row r="333" spans="1:23" ht="15" customHeight="1">
      <c r="A333" s="101" t="str">
        <f>IF(K333&gt;0,COUNT($A$7:A332)
+COUNT('DWV PVC'!$A$9:$A$316)
+COUNT('DWV ABS'!$A$8:$A$116)+1,"")</f>
        <v/>
      </c>
      <c r="B333" s="610"/>
      <c r="C333" s="611"/>
      <c r="D333" s="369" t="str">
        <f>_xlfn.XLOOKUP(E333,'All Products'!D:D,'All Products'!C:C,FALSE)</f>
        <v>439-130</v>
      </c>
      <c r="E333" s="51">
        <v>100023009</v>
      </c>
      <c r="F333" s="376" t="str">
        <f>_xlfn.XLOOKUP(E333,'All Products'!D:D,'All Products'!E:E,FALSE)</f>
        <v>1X1/2 REDUCER BUSHING MIPT X FIPT</v>
      </c>
      <c r="G333" s="232">
        <f>_xlfn.XLOOKUP(E333,'All Products'!D:D,'All Products'!F:F,FALSE)</f>
        <v>250</v>
      </c>
      <c r="H333" s="387">
        <f>_xlfn.XLOOKUP(E333,'All Products'!D:D,'All Products'!G:G,FALSE)</f>
        <v>30000</v>
      </c>
      <c r="I333" s="394">
        <f>_xlfn.XLOOKUP(E333,'All Products'!D:D,'All Products'!H:H,FALSE)</f>
        <v>6.53</v>
      </c>
      <c r="J333" s="183">
        <f>IFERROR(ROUND(I333*Order_Quote!$L$4,2),0)</f>
        <v>6.53</v>
      </c>
      <c r="K333" s="73"/>
      <c r="L333" s="76"/>
      <c r="M333" s="114">
        <f t="shared" si="29"/>
        <v>0</v>
      </c>
      <c r="O333" s="384" t="str">
        <f>_xlfn.XLOOKUP(E333,'All Products'!D:D,'All Products'!I:I,FALSE)</f>
        <v>In Stock</v>
      </c>
      <c r="P333" s="384" t="str">
        <f>_xlfn.XLOOKUP(E333,'All Products'!D:D,'All Products'!J:J,FALSE)</f>
        <v>Manufactured</v>
      </c>
      <c r="Q333" s="397">
        <f>_xlfn.XLOOKUP(E333,'All Products'!D:D,'All Products'!K:K,FALSE)</f>
        <v>49081135706</v>
      </c>
      <c r="R333" s="397">
        <f>_xlfn.XLOOKUP(E333,'All Products'!D:D,'All Products'!L:L,FALSE)</f>
        <v>49081635701</v>
      </c>
      <c r="S333" s="397">
        <f>_xlfn.XLOOKUP(E333,'All Products'!D:D,'All Products'!M:M,FALSE)</f>
        <v>40049081135704</v>
      </c>
      <c r="T333" s="384">
        <f>_xlfn.XLOOKUP(E333,'All Products'!D:D,'All Products'!N:N,FALSE)</f>
        <v>4.7E-2</v>
      </c>
      <c r="U333" s="397">
        <f>_xlfn.XLOOKUP(E333,'All Products'!D:D,'All Products'!O:O,FALSE)</f>
        <v>10</v>
      </c>
      <c r="V333" s="384">
        <f>_xlfn.XLOOKUP(E333,'All Products'!D:D,'All Products'!P:P,FALSE)</f>
        <v>12.68</v>
      </c>
      <c r="W333" s="384">
        <f>_xlfn.XLOOKUP(E333,'All Products'!D:D,'All Products'!Q:Q,FALSE)</f>
        <v>0.65</v>
      </c>
    </row>
    <row r="334" spans="1:23" ht="15" customHeight="1">
      <c r="A334" s="101" t="str">
        <f>IF(K334&gt;0,COUNT($A$7:A333)
+COUNT('DWV PVC'!$A$9:$A$316)
+COUNT('DWV ABS'!$A$8:$A$116)+1,"")</f>
        <v/>
      </c>
      <c r="B334" s="610"/>
      <c r="C334" s="611"/>
      <c r="D334" s="369" t="str">
        <f>_xlfn.XLOOKUP(E334,'All Products'!D:D,'All Products'!C:C,FALSE)</f>
        <v>439-131</v>
      </c>
      <c r="E334" s="51">
        <v>100023011</v>
      </c>
      <c r="F334" s="376" t="str">
        <f>_xlfn.XLOOKUP(E334,'All Products'!D:D,'All Products'!E:E,FALSE)</f>
        <v>1X3/4 REDUCER BUSHING MIPT X FIPT</v>
      </c>
      <c r="G334" s="232">
        <f>_xlfn.XLOOKUP(E334,'All Products'!D:D,'All Products'!F:F,FALSE)</f>
        <v>250</v>
      </c>
      <c r="H334" s="387">
        <f>_xlfn.XLOOKUP(E334,'All Products'!D:D,'All Products'!G:G,FALSE)</f>
        <v>30000</v>
      </c>
      <c r="I334" s="394">
        <f>_xlfn.XLOOKUP(E334,'All Products'!D:D,'All Products'!H:H,FALSE)</f>
        <v>6.53</v>
      </c>
      <c r="J334" s="183">
        <f>IFERROR(ROUND(I334*Order_Quote!$L$4,2),0)</f>
        <v>6.53</v>
      </c>
      <c r="K334" s="73"/>
      <c r="L334" s="76"/>
      <c r="M334" s="114">
        <f t="shared" si="29"/>
        <v>0</v>
      </c>
      <c r="O334" s="384" t="str">
        <f>_xlfn.XLOOKUP(E334,'All Products'!D:D,'All Products'!I:I,FALSE)</f>
        <v>In Stock</v>
      </c>
      <c r="P334" s="384" t="str">
        <f>_xlfn.XLOOKUP(E334,'All Products'!D:D,'All Products'!J:J,FALSE)</f>
        <v>Manufactured</v>
      </c>
      <c r="Q334" s="397">
        <f>_xlfn.XLOOKUP(E334,'All Products'!D:D,'All Products'!K:K,FALSE)</f>
        <v>49081135683</v>
      </c>
      <c r="R334" s="397">
        <f>_xlfn.XLOOKUP(E334,'All Products'!D:D,'All Products'!L:L,FALSE)</f>
        <v>49081635688</v>
      </c>
      <c r="S334" s="397">
        <f>_xlfn.XLOOKUP(E334,'All Products'!D:D,'All Products'!M:M,FALSE)</f>
        <v>40049081135681</v>
      </c>
      <c r="T334" s="384">
        <f>_xlfn.XLOOKUP(E334,'All Products'!D:D,'All Products'!N:N,FALSE)</f>
        <v>3.5999999999999997E-2</v>
      </c>
      <c r="U334" s="397">
        <f>_xlfn.XLOOKUP(E334,'All Products'!D:D,'All Products'!O:O,FALSE)</f>
        <v>10</v>
      </c>
      <c r="V334" s="384">
        <f>_xlfn.XLOOKUP(E334,'All Products'!D:D,'All Products'!P:P,FALSE)</f>
        <v>10.25</v>
      </c>
      <c r="W334" s="384">
        <f>_xlfn.XLOOKUP(E334,'All Products'!D:D,'All Products'!Q:Q,FALSE)</f>
        <v>0.65</v>
      </c>
    </row>
    <row r="335" spans="1:23" ht="15" customHeight="1">
      <c r="B335" s="610"/>
      <c r="C335" s="611"/>
      <c r="D335" s="369" t="str">
        <f>_xlfn.XLOOKUP(E335,'All Products'!D:D,'All Products'!C:C,FALSE)</f>
        <v>439-166</v>
      </c>
      <c r="E335" s="51">
        <v>100023013</v>
      </c>
      <c r="F335" s="376" t="str">
        <f>_xlfn.XLOOKUP(E335,'All Products'!D:D,'All Products'!E:E,FALSE)</f>
        <v>1-1/4 X 1/2" REDUCER BUSHING MIPT X FIPT</v>
      </c>
      <c r="G335" s="232">
        <f>_xlfn.XLOOKUP(E335,'All Products'!D:D,'All Products'!F:F,FALSE)</f>
        <v>150</v>
      </c>
      <c r="H335" s="387">
        <f>_xlfn.XLOOKUP(E335,'All Products'!D:D,'All Products'!G:G,FALSE)</f>
        <v>11250</v>
      </c>
      <c r="I335" s="394">
        <f>_xlfn.XLOOKUP(E335,'All Products'!D:D,'All Products'!H:H,FALSE)</f>
        <v>9.27</v>
      </c>
      <c r="J335" s="183">
        <f>IFERROR(ROUND(I335*Order_Quote!$L$4,2),0)</f>
        <v>9.27</v>
      </c>
      <c r="K335" s="73"/>
      <c r="L335" s="76"/>
      <c r="M335" s="114">
        <f t="shared" ref="M335" si="31">K335/G335</f>
        <v>0</v>
      </c>
      <c r="O335" s="384" t="str">
        <f>_xlfn.XLOOKUP(E335,'All Products'!D:D,'All Products'!I:I,FALSE)</f>
        <v>In Stock</v>
      </c>
      <c r="P335" s="384" t="str">
        <f>_xlfn.XLOOKUP(E335,'All Products'!D:D,'All Products'!J:J,FALSE)</f>
        <v>Manufactured</v>
      </c>
      <c r="Q335" s="397">
        <f>_xlfn.XLOOKUP(E335,'All Products'!D:D,'All Products'!K:K,FALSE)</f>
        <v>49081135805</v>
      </c>
      <c r="R335" s="397">
        <f>_xlfn.XLOOKUP(E335,'All Products'!D:D,'All Products'!L:L,FALSE)</f>
        <v>49081635800</v>
      </c>
      <c r="S335" s="397">
        <f>_xlfn.XLOOKUP(E335,'All Products'!D:D,'All Products'!M:M,FALSE)</f>
        <v>40049081135803</v>
      </c>
      <c r="T335" s="384">
        <f>_xlfn.XLOOKUP(E335,'All Products'!D:D,'All Products'!N:N,FALSE)</f>
        <v>7.4999999999999997E-2</v>
      </c>
      <c r="U335" s="397">
        <f>_xlfn.XLOOKUP(E335,'All Products'!D:D,'All Products'!O:O,FALSE)</f>
        <v>5</v>
      </c>
      <c r="V335" s="384">
        <f>_xlfn.XLOOKUP(E335,'All Products'!D:D,'All Products'!P:P,FALSE)</f>
        <v>12.45</v>
      </c>
      <c r="W335" s="384">
        <f>_xlfn.XLOOKUP(E335,'All Products'!D:D,'All Products'!Q:Q,FALSE)</f>
        <v>0.57999999999999996</v>
      </c>
    </row>
    <row r="336" spans="1:23" ht="15" customHeight="1">
      <c r="A336" s="101" t="str">
        <f>IF(K336&gt;0,COUNT($A$7:A334)
+COUNT('DWV PVC'!$A$9:$A$316)
+COUNT('DWV ABS'!$A$8:$A$116)+1,"")</f>
        <v/>
      </c>
      <c r="B336" s="610"/>
      <c r="C336" s="611"/>
      <c r="D336" s="369" t="str">
        <f>_xlfn.XLOOKUP(E336,'All Products'!D:D,'All Products'!C:C,FALSE)</f>
        <v>439-167</v>
      </c>
      <c r="E336" s="51">
        <v>100023015</v>
      </c>
      <c r="F336" s="376" t="str">
        <f>_xlfn.XLOOKUP(E336,'All Products'!D:D,'All Products'!E:E,FALSE)</f>
        <v>1-1/4X3/4 RED BUSHING MIPT X FIPT</v>
      </c>
      <c r="G336" s="232">
        <f>_xlfn.XLOOKUP(E336,'All Products'!D:D,'All Products'!F:F,FALSE)</f>
        <v>150</v>
      </c>
      <c r="H336" s="387">
        <f>_xlfn.XLOOKUP(E336,'All Products'!D:D,'All Products'!G:G,FALSE)</f>
        <v>18000</v>
      </c>
      <c r="I336" s="394">
        <f>_xlfn.XLOOKUP(E336,'All Products'!D:D,'All Products'!H:H,FALSE)</f>
        <v>9.73</v>
      </c>
      <c r="J336" s="183">
        <f>IFERROR(ROUND(I336*Order_Quote!$L$4,2),0)</f>
        <v>9.73</v>
      </c>
      <c r="K336" s="73"/>
      <c r="L336" s="76"/>
      <c r="M336" s="114">
        <f t="shared" si="29"/>
        <v>0</v>
      </c>
      <c r="O336" s="384" t="str">
        <f>_xlfn.XLOOKUP(E336,'All Products'!D:D,'All Products'!I:I,FALSE)</f>
        <v>Within 3 Weeks</v>
      </c>
      <c r="P336" s="384" t="str">
        <f>_xlfn.XLOOKUP(E336,'All Products'!D:D,'All Products'!J:J,FALSE)</f>
        <v>Manufactured</v>
      </c>
      <c r="Q336" s="397">
        <f>_xlfn.XLOOKUP(E336,'All Products'!D:D,'All Products'!K:K,FALSE)</f>
        <v>49081135782</v>
      </c>
      <c r="R336" s="397">
        <f>_xlfn.XLOOKUP(E336,'All Products'!D:D,'All Products'!L:L,FALSE)</f>
        <v>49081635787</v>
      </c>
      <c r="S336" s="397">
        <f>_xlfn.XLOOKUP(E336,'All Products'!D:D,'All Products'!M:M,FALSE)</f>
        <v>40049081135780</v>
      </c>
      <c r="T336" s="384">
        <f>_xlfn.XLOOKUP(E336,'All Products'!D:D,'All Products'!N:N,FALSE)</f>
        <v>6.8000000000000005E-2</v>
      </c>
      <c r="U336" s="397">
        <f>_xlfn.XLOOKUP(E336,'All Products'!D:D,'All Products'!O:O,FALSE)</f>
        <v>5</v>
      </c>
      <c r="V336" s="384">
        <f>_xlfn.XLOOKUP(E336,'All Products'!D:D,'All Products'!P:P,FALSE)</f>
        <v>13.6</v>
      </c>
      <c r="W336" s="384">
        <f>_xlfn.XLOOKUP(E336,'All Products'!D:D,'All Products'!Q:Q,FALSE)</f>
        <v>0.65</v>
      </c>
    </row>
    <row r="337" spans="1:23" ht="15" customHeight="1">
      <c r="A337" s="101" t="str">
        <f>IF(K337&gt;0,COUNT($A$7:A336)
+COUNT('DWV PVC'!$A$9:$A$316)
+COUNT('DWV ABS'!$A$8:$A$116)+1,"")</f>
        <v/>
      </c>
      <c r="B337" s="610"/>
      <c r="C337" s="611"/>
      <c r="D337" s="369" t="str">
        <f>_xlfn.XLOOKUP(E337,'All Products'!D:D,'All Products'!C:C,FALSE)</f>
        <v>439-168</v>
      </c>
      <c r="E337" s="51">
        <v>100023017</v>
      </c>
      <c r="F337" s="376" t="str">
        <f>_xlfn.XLOOKUP(E337,'All Products'!D:D,'All Products'!E:E,FALSE)</f>
        <v>1-1/4X1 REDUCER BUSHING MIPTXFIPT</v>
      </c>
      <c r="G337" s="232">
        <f>_xlfn.XLOOKUP(E337,'All Products'!D:D,'All Products'!F:F,FALSE)</f>
        <v>150</v>
      </c>
      <c r="H337" s="387">
        <f>_xlfn.XLOOKUP(E337,'All Products'!D:D,'All Products'!G:G,FALSE)</f>
        <v>18000</v>
      </c>
      <c r="I337" s="394">
        <f>_xlfn.XLOOKUP(E337,'All Products'!D:D,'All Products'!H:H,FALSE)</f>
        <v>9.73</v>
      </c>
      <c r="J337" s="183">
        <f>IFERROR(ROUND(I337*Order_Quote!$L$4,2),0)</f>
        <v>9.73</v>
      </c>
      <c r="K337" s="73"/>
      <c r="L337" s="76"/>
      <c r="M337" s="114">
        <f t="shared" si="29"/>
        <v>0</v>
      </c>
      <c r="O337" s="384" t="str">
        <f>_xlfn.XLOOKUP(E337,'All Products'!D:D,'All Products'!I:I,FALSE)</f>
        <v>In Stock</v>
      </c>
      <c r="P337" s="384" t="str">
        <f>_xlfn.XLOOKUP(E337,'All Products'!D:D,'All Products'!J:J,FALSE)</f>
        <v>Manufactured</v>
      </c>
      <c r="Q337" s="397">
        <f>_xlfn.XLOOKUP(E337,'All Products'!D:D,'All Products'!K:K,FALSE)</f>
        <v>49081135768</v>
      </c>
      <c r="R337" s="397">
        <f>_xlfn.XLOOKUP(E337,'All Products'!D:D,'All Products'!L:L,FALSE)</f>
        <v>49081635763</v>
      </c>
      <c r="S337" s="397">
        <f>_xlfn.XLOOKUP(E337,'All Products'!D:D,'All Products'!M:M,FALSE)</f>
        <v>40049081135766</v>
      </c>
      <c r="T337" s="384">
        <f>_xlfn.XLOOKUP(E337,'All Products'!D:D,'All Products'!N:N,FALSE)</f>
        <v>5.3999999999999999E-2</v>
      </c>
      <c r="U337" s="397">
        <f>_xlfn.XLOOKUP(E337,'All Products'!D:D,'All Products'!O:O,FALSE)</f>
        <v>5</v>
      </c>
      <c r="V337" s="384">
        <f>_xlfn.XLOOKUP(E337,'All Products'!D:D,'All Products'!P:P,FALSE)</f>
        <v>9.4600000000000009</v>
      </c>
      <c r="W337" s="384">
        <f>_xlfn.XLOOKUP(E337,'All Products'!D:D,'All Products'!Q:Q,FALSE)</f>
        <v>0.65</v>
      </c>
    </row>
    <row r="338" spans="1:23" ht="15" customHeight="1">
      <c r="A338" s="101" t="str">
        <f>IF(K338&gt;0,COUNT($A$7:A337)
+COUNT('DWV PVC'!$A$9:$A$316)
+COUNT('DWV ABS'!$A$8:$A$116)+1,"")</f>
        <v/>
      </c>
      <c r="B338" s="610"/>
      <c r="C338" s="611"/>
      <c r="D338" s="369" t="str">
        <f>_xlfn.XLOOKUP(E338,'All Products'!D:D,'All Products'!C:C,FALSE)</f>
        <v>439-209</v>
      </c>
      <c r="E338" s="51">
        <v>100023019</v>
      </c>
      <c r="F338" s="376" t="str">
        <f>_xlfn.XLOOKUP(E338,'All Products'!D:D,'All Products'!E:E,FALSE)</f>
        <v>1-1/2X1/2 RED BUSHING MIPTXFIPT</v>
      </c>
      <c r="G338" s="232">
        <f>_xlfn.XLOOKUP(E338,'All Products'!D:D,'All Products'!F:F,FALSE)</f>
        <v>100</v>
      </c>
      <c r="H338" s="387">
        <f>_xlfn.XLOOKUP(E338,'All Products'!D:D,'All Products'!G:G,FALSE)</f>
        <v>15000</v>
      </c>
      <c r="I338" s="394">
        <f>_xlfn.XLOOKUP(E338,'All Products'!D:D,'All Products'!H:H,FALSE)</f>
        <v>11.75</v>
      </c>
      <c r="J338" s="183">
        <f>IFERROR(ROUND(I338*Order_Quote!$L$4,2),0)</f>
        <v>11.75</v>
      </c>
      <c r="K338" s="73"/>
      <c r="L338" s="76"/>
      <c r="M338" s="114">
        <f t="shared" si="29"/>
        <v>0</v>
      </c>
      <c r="O338" s="384" t="str">
        <f>_xlfn.XLOOKUP(E338,'All Products'!D:D,'All Products'!I:I,FALSE)</f>
        <v>Within 3 Weeks</v>
      </c>
      <c r="P338" s="384" t="str">
        <f>_xlfn.XLOOKUP(E338,'All Products'!D:D,'All Products'!J:J,FALSE)</f>
        <v>Manufactured</v>
      </c>
      <c r="Q338" s="397">
        <f>_xlfn.XLOOKUP(E338,'All Products'!D:D,'All Products'!K:K,FALSE)</f>
        <v>49081135942</v>
      </c>
      <c r="R338" s="397">
        <f>_xlfn.XLOOKUP(E338,'All Products'!D:D,'All Products'!L:L,FALSE)</f>
        <v>49081635947</v>
      </c>
      <c r="S338" s="397">
        <f>_xlfn.XLOOKUP(E338,'All Products'!D:D,'All Products'!M:M,FALSE)</f>
        <v>40049081135940</v>
      </c>
      <c r="T338" s="384">
        <f>_xlfn.XLOOKUP(E338,'All Products'!D:D,'All Products'!N:N,FALSE)</f>
        <v>9.5000000000000001E-2</v>
      </c>
      <c r="U338" s="397">
        <f>_xlfn.XLOOKUP(E338,'All Products'!D:D,'All Products'!O:O,FALSE)</f>
        <v>10</v>
      </c>
      <c r="V338" s="384">
        <f>_xlfn.XLOOKUP(E338,'All Products'!D:D,'All Products'!P:P,FALSE)</f>
        <v>10.27</v>
      </c>
      <c r="W338" s="384">
        <f>_xlfn.XLOOKUP(E338,'All Products'!D:D,'All Products'!Q:Q,FALSE)</f>
        <v>0.5</v>
      </c>
    </row>
    <row r="339" spans="1:23" ht="15" customHeight="1">
      <c r="A339" s="101" t="str">
        <f>IF(K339&gt;0,COUNT($A$7:A338)
+COUNT('DWV PVC'!$A$9:$A$316)
+COUNT('DWV ABS'!$A$8:$A$116)+1,"")</f>
        <v/>
      </c>
      <c r="B339" s="610"/>
      <c r="C339" s="611"/>
      <c r="D339" s="369" t="str">
        <f>_xlfn.XLOOKUP(E339,'All Products'!D:D,'All Products'!C:C,FALSE)</f>
        <v>439-210</v>
      </c>
      <c r="E339" s="51">
        <v>100023021</v>
      </c>
      <c r="F339" s="376" t="str">
        <f>_xlfn.XLOOKUP(E339,'All Products'!D:D,'All Products'!E:E,FALSE)</f>
        <v>1-1/2X3/4 RED BUSHING MIPT X FIPT</v>
      </c>
      <c r="G339" s="232">
        <f>_xlfn.XLOOKUP(E339,'All Products'!D:D,'All Products'!F:F,FALSE)</f>
        <v>100</v>
      </c>
      <c r="H339" s="387">
        <f>_xlfn.XLOOKUP(E339,'All Products'!D:D,'All Products'!G:G,FALSE)</f>
        <v>15000</v>
      </c>
      <c r="I339" s="394">
        <f>_xlfn.XLOOKUP(E339,'All Products'!D:D,'All Products'!H:H,FALSE)</f>
        <v>11.75</v>
      </c>
      <c r="J339" s="183">
        <f>IFERROR(ROUND(I339*Order_Quote!$L$4,2),0)</f>
        <v>11.75</v>
      </c>
      <c r="K339" s="73"/>
      <c r="L339" s="76"/>
      <c r="M339" s="114">
        <f t="shared" si="29"/>
        <v>0</v>
      </c>
      <c r="O339" s="384" t="str">
        <f>_xlfn.XLOOKUP(E339,'All Products'!D:D,'All Products'!I:I,FALSE)</f>
        <v>In Stock</v>
      </c>
      <c r="P339" s="384" t="str">
        <f>_xlfn.XLOOKUP(E339,'All Products'!D:D,'All Products'!J:J,FALSE)</f>
        <v>Manufactured</v>
      </c>
      <c r="Q339" s="397">
        <f>_xlfn.XLOOKUP(E339,'All Products'!D:D,'All Products'!K:K,FALSE)</f>
        <v>49081135928</v>
      </c>
      <c r="R339" s="397">
        <f>_xlfn.XLOOKUP(E339,'All Products'!D:D,'All Products'!L:L,FALSE)</f>
        <v>49081635923</v>
      </c>
      <c r="S339" s="397">
        <f>_xlfn.XLOOKUP(E339,'All Products'!D:D,'All Products'!M:M,FALSE)</f>
        <v>40049081135926</v>
      </c>
      <c r="T339" s="384">
        <f>_xlfn.XLOOKUP(E339,'All Products'!D:D,'All Products'!N:N,FALSE)</f>
        <v>9.4E-2</v>
      </c>
      <c r="U339" s="397">
        <f>_xlfn.XLOOKUP(E339,'All Products'!D:D,'All Products'!O:O,FALSE)</f>
        <v>10</v>
      </c>
      <c r="V339" s="384">
        <f>_xlfn.XLOOKUP(E339,'All Products'!D:D,'All Products'!P:P,FALSE)</f>
        <v>10.24</v>
      </c>
      <c r="W339" s="384">
        <f>_xlfn.XLOOKUP(E339,'All Products'!D:D,'All Products'!Q:Q,FALSE)</f>
        <v>0.5</v>
      </c>
    </row>
    <row r="340" spans="1:23" ht="15" customHeight="1">
      <c r="A340" s="101" t="str">
        <f>IF(K340&gt;0,COUNT($A$7:A339)
+COUNT('DWV PVC'!$A$9:$A$316)
+COUNT('DWV ABS'!$A$8:$A$116)+1,"")</f>
        <v/>
      </c>
      <c r="B340" s="610"/>
      <c r="C340" s="611"/>
      <c r="D340" s="369" t="str">
        <f>_xlfn.XLOOKUP(E340,'All Products'!D:D,'All Products'!C:C,FALSE)</f>
        <v>439-211</v>
      </c>
      <c r="E340" s="51">
        <v>100023023</v>
      </c>
      <c r="F340" s="376" t="str">
        <f>_xlfn.XLOOKUP(E340,'All Products'!D:D,'All Products'!E:E,FALSE)</f>
        <v>1-1/2X1 RED BUSHING MIPT X FIPT</v>
      </c>
      <c r="G340" s="232">
        <f>_xlfn.XLOOKUP(E340,'All Products'!D:D,'All Products'!F:F,FALSE)</f>
        <v>100</v>
      </c>
      <c r="H340" s="387">
        <f>_xlfn.XLOOKUP(E340,'All Products'!D:D,'All Products'!G:G,FALSE)</f>
        <v>15000</v>
      </c>
      <c r="I340" s="394">
        <f>_xlfn.XLOOKUP(E340,'All Products'!D:D,'All Products'!H:H,FALSE)</f>
        <v>11.75</v>
      </c>
      <c r="J340" s="183">
        <f>IFERROR(ROUND(I340*Order_Quote!$L$4,2),0)</f>
        <v>11.75</v>
      </c>
      <c r="K340" s="73"/>
      <c r="L340" s="76"/>
      <c r="M340" s="114">
        <f t="shared" si="29"/>
        <v>0</v>
      </c>
      <c r="O340" s="384" t="str">
        <f>_xlfn.XLOOKUP(E340,'All Products'!D:D,'All Products'!I:I,FALSE)</f>
        <v>In Stock</v>
      </c>
      <c r="P340" s="384" t="str">
        <f>_xlfn.XLOOKUP(E340,'All Products'!D:D,'All Products'!J:J,FALSE)</f>
        <v>Manufactured</v>
      </c>
      <c r="Q340" s="397">
        <f>_xlfn.XLOOKUP(E340,'All Products'!D:D,'All Products'!K:K,FALSE)</f>
        <v>49081135904</v>
      </c>
      <c r="R340" s="397">
        <f>_xlfn.XLOOKUP(E340,'All Products'!D:D,'All Products'!L:L,FALSE)</f>
        <v>49081635909</v>
      </c>
      <c r="S340" s="397">
        <f>_xlfn.XLOOKUP(E340,'All Products'!D:D,'All Products'!M:M,FALSE)</f>
        <v>40049081135902</v>
      </c>
      <c r="T340" s="384">
        <f>_xlfn.XLOOKUP(E340,'All Products'!D:D,'All Products'!N:N,FALSE)</f>
        <v>9.4E-2</v>
      </c>
      <c r="U340" s="397">
        <f>_xlfn.XLOOKUP(E340,'All Products'!D:D,'All Products'!O:O,FALSE)</f>
        <v>10</v>
      </c>
      <c r="V340" s="384">
        <f>_xlfn.XLOOKUP(E340,'All Products'!D:D,'All Products'!P:P,FALSE)</f>
        <v>9.52</v>
      </c>
      <c r="W340" s="384">
        <f>_xlfn.XLOOKUP(E340,'All Products'!D:D,'All Products'!Q:Q,FALSE)</f>
        <v>0.5</v>
      </c>
    </row>
    <row r="341" spans="1:23" ht="15" customHeight="1">
      <c r="A341" s="101" t="str">
        <f>IF(K341&gt;0,COUNT($A$7:A340)
+COUNT('DWV PVC'!$A$9:$A$316)
+COUNT('DWV ABS'!$A$8:$A$116)+1,"")</f>
        <v/>
      </c>
      <c r="B341" s="610"/>
      <c r="C341" s="611"/>
      <c r="D341" s="369" t="str">
        <f>_xlfn.XLOOKUP(E341,'All Products'!D:D,'All Products'!C:C,FALSE)</f>
        <v>439-212</v>
      </c>
      <c r="E341" s="51">
        <v>100023025</v>
      </c>
      <c r="F341" s="376" t="str">
        <f>_xlfn.XLOOKUP(E341,'All Products'!D:D,'All Products'!E:E,FALSE)</f>
        <v>1-1/2X1-1/4 RED BUSHING MIPTXFIPT</v>
      </c>
      <c r="G341" s="232">
        <f>_xlfn.XLOOKUP(E341,'All Products'!D:D,'All Products'!F:F,FALSE)</f>
        <v>100</v>
      </c>
      <c r="H341" s="387">
        <f>_xlfn.XLOOKUP(E341,'All Products'!D:D,'All Products'!G:G,FALSE)</f>
        <v>15000</v>
      </c>
      <c r="I341" s="394">
        <f>_xlfn.XLOOKUP(E341,'All Products'!D:D,'All Products'!H:H,FALSE)</f>
        <v>11.75</v>
      </c>
      <c r="J341" s="183">
        <f>IFERROR(ROUND(I341*Order_Quote!$L$4,2),0)</f>
        <v>11.75</v>
      </c>
      <c r="K341" s="73"/>
      <c r="L341" s="76"/>
      <c r="M341" s="114">
        <f t="shared" si="29"/>
        <v>0</v>
      </c>
      <c r="O341" s="384" t="str">
        <f>_xlfn.XLOOKUP(E341,'All Products'!D:D,'All Products'!I:I,FALSE)</f>
        <v>Within 3 Weeks</v>
      </c>
      <c r="P341" s="384" t="str">
        <f>_xlfn.XLOOKUP(E341,'All Products'!D:D,'All Products'!J:J,FALSE)</f>
        <v>Manufactured</v>
      </c>
      <c r="Q341" s="397">
        <f>_xlfn.XLOOKUP(E341,'All Products'!D:D,'All Products'!K:K,FALSE)</f>
        <v>49081135881</v>
      </c>
      <c r="R341" s="397">
        <f>_xlfn.XLOOKUP(E341,'All Products'!D:D,'All Products'!L:L,FALSE)</f>
        <v>49081635886</v>
      </c>
      <c r="S341" s="397">
        <f>_xlfn.XLOOKUP(E341,'All Products'!D:D,'All Products'!M:M,FALSE)</f>
        <v>40049081135889</v>
      </c>
      <c r="T341" s="384">
        <f>_xlfn.XLOOKUP(E341,'All Products'!D:D,'All Products'!N:N,FALSE)</f>
        <v>0.06</v>
      </c>
      <c r="U341" s="397">
        <f>_xlfn.XLOOKUP(E341,'All Products'!D:D,'All Products'!O:O,FALSE)</f>
        <v>10</v>
      </c>
      <c r="V341" s="384">
        <f>_xlfn.XLOOKUP(E341,'All Products'!D:D,'All Products'!P:P,FALSE)</f>
        <v>7.06</v>
      </c>
      <c r="W341" s="384">
        <f>_xlfn.XLOOKUP(E341,'All Products'!D:D,'All Products'!Q:Q,FALSE)</f>
        <v>0.5</v>
      </c>
    </row>
    <row r="342" spans="1:23" ht="15" customHeight="1">
      <c r="A342" s="101" t="str">
        <f>IF(K342&gt;0,COUNT($A$7:A341)
+COUNT('DWV PVC'!$A$9:$A$316)
+COUNT('DWV ABS'!$A$8:$A$116)+1,"")</f>
        <v/>
      </c>
      <c r="B342" s="612"/>
      <c r="C342" s="613"/>
      <c r="D342" s="369" t="str">
        <f>_xlfn.XLOOKUP(E342,'All Products'!D:D,'All Products'!C:C,FALSE)</f>
        <v>439-251</v>
      </c>
      <c r="E342" s="51">
        <v>100023027</v>
      </c>
      <c r="F342" s="376" t="str">
        <f>_xlfn.XLOOKUP(E342,'All Products'!D:D,'All Products'!E:E,FALSE)</f>
        <v>2X1-1/2 REDUCER BUSHING MIPTXFIPT</v>
      </c>
      <c r="G342" s="232">
        <f>_xlfn.XLOOKUP(E342,'All Products'!D:D,'All Products'!F:F,FALSE)</f>
        <v>50</v>
      </c>
      <c r="H342" s="387">
        <f>_xlfn.XLOOKUP(E342,'All Products'!D:D,'All Products'!G:G,FALSE)</f>
        <v>6000</v>
      </c>
      <c r="I342" s="394">
        <f>_xlfn.XLOOKUP(E342,'All Products'!D:D,'All Products'!H:H,FALSE)</f>
        <v>12.56</v>
      </c>
      <c r="J342" s="183">
        <f>IFERROR(ROUND(I342*Order_Quote!$L$4,2),0)</f>
        <v>12.56</v>
      </c>
      <c r="K342" s="73"/>
      <c r="L342" s="76"/>
      <c r="M342" s="114">
        <f t="shared" si="29"/>
        <v>0</v>
      </c>
      <c r="O342" s="384" t="str">
        <f>_xlfn.XLOOKUP(E342,'All Products'!D:D,'All Products'!I:I,FALSE)</f>
        <v>In Stock</v>
      </c>
      <c r="P342" s="384" t="str">
        <f>_xlfn.XLOOKUP(E342,'All Products'!D:D,'All Products'!J:J,FALSE)</f>
        <v>Manufactured</v>
      </c>
      <c r="Q342" s="397">
        <f>_xlfn.XLOOKUP(E342,'All Products'!D:D,'All Products'!K:K,FALSE)</f>
        <v>49081135980</v>
      </c>
      <c r="R342" s="397">
        <f>_xlfn.XLOOKUP(E342,'All Products'!D:D,'All Products'!L:L,FALSE)</f>
        <v>49081635985</v>
      </c>
      <c r="S342" s="397">
        <f>_xlfn.XLOOKUP(E342,'All Products'!D:D,'All Products'!M:M,FALSE)</f>
        <v>40049081135988</v>
      </c>
      <c r="T342" s="384">
        <f>_xlfn.XLOOKUP(E342,'All Products'!D:D,'All Products'!N:N,FALSE)</f>
        <v>0.115</v>
      </c>
      <c r="U342" s="397">
        <f>_xlfn.XLOOKUP(E342,'All Products'!D:D,'All Products'!O:O,FALSE)</f>
        <v>5</v>
      </c>
      <c r="V342" s="384">
        <f>_xlfn.XLOOKUP(E342,'All Products'!D:D,'All Products'!P:P,FALSE)</f>
        <v>6.76</v>
      </c>
      <c r="W342" s="384">
        <f>_xlfn.XLOOKUP(E342,'All Products'!D:D,'All Products'!Q:Q,FALSE)</f>
        <v>0.65</v>
      </c>
    </row>
    <row r="343" spans="1:23" ht="15" customHeight="1">
      <c r="A343" s="101" t="str">
        <f>IF(K343&gt;0,COUNT($A$7:A342)
+COUNT('DWV PVC'!$A$9:$A$316)
+COUNT('DWV ABS'!$A$8:$A$116)+1,"")</f>
        <v/>
      </c>
      <c r="B343" s="608"/>
      <c r="C343" s="609"/>
      <c r="D343" s="369" t="str">
        <f>_xlfn.XLOOKUP(E343,'All Products'!D:D,'All Products'!C:C,FALSE)</f>
        <v>447-005</v>
      </c>
      <c r="E343" s="51">
        <v>100023029</v>
      </c>
      <c r="F343" s="376" t="str">
        <f>_xlfn.XLOOKUP(E343,'All Products'!D:D,'All Products'!E:E,FALSE)</f>
        <v>1/2 CAP SLIP</v>
      </c>
      <c r="G343" s="232">
        <f>_xlfn.XLOOKUP(E343,'All Products'!D:D,'All Products'!F:F,FALSE)</f>
        <v>250</v>
      </c>
      <c r="H343" s="387">
        <f>_xlfn.XLOOKUP(E343,'All Products'!D:D,'All Products'!G:G,FALSE)</f>
        <v>37500</v>
      </c>
      <c r="I343" s="394">
        <f>_xlfn.XLOOKUP(E343,'All Products'!D:D,'All Products'!H:H,FALSE)</f>
        <v>1.42</v>
      </c>
      <c r="J343" s="183">
        <f>IFERROR(ROUND(I343*Order_Quote!$L$4,2),0)</f>
        <v>1.42</v>
      </c>
      <c r="K343" s="73"/>
      <c r="L343" s="76"/>
      <c r="M343" s="114">
        <f t="shared" si="29"/>
        <v>0</v>
      </c>
      <c r="O343" s="384" t="str">
        <f>_xlfn.XLOOKUP(E343,'All Products'!D:D,'All Products'!I:I,FALSE)</f>
        <v>In Stock</v>
      </c>
      <c r="P343" s="384" t="str">
        <f>_xlfn.XLOOKUP(E343,'All Products'!D:D,'All Products'!J:J,FALSE)</f>
        <v>Manufactured</v>
      </c>
      <c r="Q343" s="397">
        <f>_xlfn.XLOOKUP(E343,'All Products'!D:D,'All Products'!K:K,FALSE)</f>
        <v>49081136789</v>
      </c>
      <c r="R343" s="397">
        <f>_xlfn.XLOOKUP(E343,'All Products'!D:D,'All Products'!L:L,FALSE)</f>
        <v>49081636784</v>
      </c>
      <c r="S343" s="397">
        <f>_xlfn.XLOOKUP(E343,'All Products'!D:D,'All Products'!M:M,FALSE)</f>
        <v>40049081136787</v>
      </c>
      <c r="T343" s="384">
        <f>_xlfn.XLOOKUP(E343,'All Products'!D:D,'All Products'!N:N,FALSE)</f>
        <v>2.3E-2</v>
      </c>
      <c r="U343" s="397">
        <f>_xlfn.XLOOKUP(E343,'All Products'!D:D,'All Products'!O:O,FALSE)</f>
        <v>10</v>
      </c>
      <c r="V343" s="384">
        <f>_xlfn.XLOOKUP(E343,'All Products'!D:D,'All Products'!P:P,FALSE)</f>
        <v>7.82</v>
      </c>
      <c r="W343" s="384">
        <f>_xlfn.XLOOKUP(E343,'All Products'!D:D,'All Products'!Q:Q,FALSE)</f>
        <v>0.5</v>
      </c>
    </row>
    <row r="344" spans="1:23" ht="15" customHeight="1">
      <c r="A344" s="101" t="str">
        <f>IF(K344&gt;0,COUNT($A$7:A343)
+COUNT('DWV PVC'!$A$9:$A$316)
+COUNT('DWV ABS'!$A$8:$A$116)+1,"")</f>
        <v/>
      </c>
      <c r="B344" s="610"/>
      <c r="C344" s="611"/>
      <c r="D344" s="369" t="str">
        <f>_xlfn.XLOOKUP(E344,'All Products'!D:D,'All Products'!C:C,FALSE)</f>
        <v>447-007</v>
      </c>
      <c r="E344" s="51">
        <v>100023031</v>
      </c>
      <c r="F344" s="376" t="str">
        <f>_xlfn.XLOOKUP(E344,'All Products'!D:D,'All Products'!E:E,FALSE)</f>
        <v>3/4 CAP SLIP</v>
      </c>
      <c r="G344" s="232">
        <f>_xlfn.XLOOKUP(E344,'All Products'!D:D,'All Products'!F:F,FALSE)</f>
        <v>250</v>
      </c>
      <c r="H344" s="387">
        <f>_xlfn.XLOOKUP(E344,'All Products'!D:D,'All Products'!G:G,FALSE)</f>
        <v>30000</v>
      </c>
      <c r="I344" s="394">
        <f>_xlfn.XLOOKUP(E344,'All Products'!D:D,'All Products'!H:H,FALSE)</f>
        <v>1.67</v>
      </c>
      <c r="J344" s="183">
        <f>IFERROR(ROUND(I344*Order_Quote!$L$4,2),0)</f>
        <v>1.67</v>
      </c>
      <c r="K344" s="73"/>
      <c r="L344" s="76"/>
      <c r="M344" s="114">
        <f t="shared" si="29"/>
        <v>0</v>
      </c>
      <c r="O344" s="384" t="str">
        <f>_xlfn.XLOOKUP(E344,'All Products'!D:D,'All Products'!I:I,FALSE)</f>
        <v>In Stock</v>
      </c>
      <c r="P344" s="384" t="str">
        <f>_xlfn.XLOOKUP(E344,'All Products'!D:D,'All Products'!J:J,FALSE)</f>
        <v>Manufactured</v>
      </c>
      <c r="Q344" s="397">
        <f>_xlfn.XLOOKUP(E344,'All Products'!D:D,'All Products'!K:K,FALSE)</f>
        <v>49081136802</v>
      </c>
      <c r="R344" s="397">
        <f>_xlfn.XLOOKUP(E344,'All Products'!D:D,'All Products'!L:L,FALSE)</f>
        <v>49081636807</v>
      </c>
      <c r="S344" s="397">
        <f>_xlfn.XLOOKUP(E344,'All Products'!D:D,'All Products'!M:M,FALSE)</f>
        <v>40049081136800</v>
      </c>
      <c r="T344" s="384">
        <f>_xlfn.XLOOKUP(E344,'All Products'!D:D,'All Products'!N:N,FALSE)</f>
        <v>3.6999999999999998E-2</v>
      </c>
      <c r="U344" s="397">
        <f>_xlfn.XLOOKUP(E344,'All Products'!D:D,'All Products'!O:O,FALSE)</f>
        <v>10</v>
      </c>
      <c r="V344" s="384">
        <f>_xlfn.XLOOKUP(E344,'All Products'!D:D,'All Products'!P:P,FALSE)</f>
        <v>11.19</v>
      </c>
      <c r="W344" s="384">
        <f>_xlfn.XLOOKUP(E344,'All Products'!D:D,'All Products'!Q:Q,FALSE)</f>
        <v>0.65</v>
      </c>
    </row>
    <row r="345" spans="1:23" ht="15" customHeight="1">
      <c r="A345" s="101" t="str">
        <f>IF(K345&gt;0,COUNT($A$7:A344)
+COUNT('DWV PVC'!$A$9:$A$316)
+COUNT('DWV ABS'!$A$8:$A$116)+1,"")</f>
        <v/>
      </c>
      <c r="B345" s="610"/>
      <c r="C345" s="611"/>
      <c r="D345" s="369" t="str">
        <f>_xlfn.XLOOKUP(E345,'All Products'!D:D,'All Products'!C:C,FALSE)</f>
        <v>447-010</v>
      </c>
      <c r="E345" s="51">
        <v>100023033</v>
      </c>
      <c r="F345" s="376" t="str">
        <f>_xlfn.XLOOKUP(E345,'All Products'!D:D,'All Products'!E:E,FALSE)</f>
        <v>1 CAP SLIP</v>
      </c>
      <c r="G345" s="232">
        <f>_xlfn.XLOOKUP(E345,'All Products'!D:D,'All Products'!F:F,FALSE)</f>
        <v>250</v>
      </c>
      <c r="H345" s="387">
        <f>_xlfn.XLOOKUP(E345,'All Products'!D:D,'All Products'!G:G,FALSE)</f>
        <v>22500</v>
      </c>
      <c r="I345" s="394">
        <f>_xlfn.XLOOKUP(E345,'All Products'!D:D,'All Products'!H:H,FALSE)</f>
        <v>2.65</v>
      </c>
      <c r="J345" s="183">
        <f>IFERROR(ROUND(I345*Order_Quote!$L$4,2),0)</f>
        <v>2.65</v>
      </c>
      <c r="K345" s="73"/>
      <c r="L345" s="76"/>
      <c r="M345" s="114">
        <f t="shared" si="29"/>
        <v>0</v>
      </c>
      <c r="O345" s="384" t="str">
        <f>_xlfn.XLOOKUP(E345,'All Products'!D:D,'All Products'!I:I,FALSE)</f>
        <v>In Stock</v>
      </c>
      <c r="P345" s="384" t="str">
        <f>_xlfn.XLOOKUP(E345,'All Products'!D:D,'All Products'!J:J,FALSE)</f>
        <v>Manufactured</v>
      </c>
      <c r="Q345" s="397">
        <f>_xlfn.XLOOKUP(E345,'All Products'!D:D,'All Products'!K:K,FALSE)</f>
        <v>49081136826</v>
      </c>
      <c r="R345" s="397">
        <f>_xlfn.XLOOKUP(E345,'All Products'!D:D,'All Products'!L:L,FALSE)</f>
        <v>49081636821</v>
      </c>
      <c r="S345" s="397">
        <f>_xlfn.XLOOKUP(E345,'All Products'!D:D,'All Products'!M:M,FALSE)</f>
        <v>40049081136824</v>
      </c>
      <c r="T345" s="384">
        <f>_xlfn.XLOOKUP(E345,'All Products'!D:D,'All Products'!N:N,FALSE)</f>
        <v>6.9000000000000006E-2</v>
      </c>
      <c r="U345" s="397">
        <f>_xlfn.XLOOKUP(E345,'All Products'!D:D,'All Products'!O:O,FALSE)</f>
        <v>10</v>
      </c>
      <c r="V345" s="384">
        <f>_xlfn.XLOOKUP(E345,'All Products'!D:D,'All Products'!P:P,FALSE)</f>
        <v>18.5</v>
      </c>
      <c r="W345" s="384">
        <f>_xlfn.XLOOKUP(E345,'All Products'!D:D,'All Products'!Q:Q,FALSE)</f>
        <v>0.8</v>
      </c>
    </row>
    <row r="346" spans="1:23" ht="15" customHeight="1">
      <c r="A346" s="101" t="str">
        <f>IF(K346&gt;0,COUNT($A$7:A345)
+COUNT('DWV PVC'!$A$9:$A$316)
+COUNT('DWV ABS'!$A$8:$A$116)+1,"")</f>
        <v/>
      </c>
      <c r="B346" s="610"/>
      <c r="C346" s="611"/>
      <c r="D346" s="369" t="str">
        <f>_xlfn.XLOOKUP(E346,'All Products'!D:D,'All Products'!C:C,FALSE)</f>
        <v>447-012</v>
      </c>
      <c r="E346" s="51">
        <v>100023035</v>
      </c>
      <c r="F346" s="376" t="str">
        <f>_xlfn.XLOOKUP(E346,'All Products'!D:D,'All Products'!E:E,FALSE)</f>
        <v>1-1/4 CAP SLIP</v>
      </c>
      <c r="G346" s="232">
        <f>_xlfn.XLOOKUP(E346,'All Products'!D:D,'All Products'!F:F,FALSE)</f>
        <v>125</v>
      </c>
      <c r="H346" s="387">
        <f>_xlfn.XLOOKUP(E346,'All Products'!D:D,'All Products'!G:G,FALSE)</f>
        <v>11250</v>
      </c>
      <c r="I346" s="394">
        <f>_xlfn.XLOOKUP(E346,'All Products'!D:D,'All Products'!H:H,FALSE)</f>
        <v>3.73</v>
      </c>
      <c r="J346" s="183">
        <f>IFERROR(ROUND(I346*Order_Quote!$L$4,2),0)</f>
        <v>3.73</v>
      </c>
      <c r="K346" s="73"/>
      <c r="L346" s="76"/>
      <c r="M346" s="114">
        <f t="shared" si="29"/>
        <v>0</v>
      </c>
      <c r="O346" s="384" t="str">
        <f>_xlfn.XLOOKUP(E346,'All Products'!D:D,'All Products'!I:I,FALSE)</f>
        <v>In Stock</v>
      </c>
      <c r="P346" s="384" t="str">
        <f>_xlfn.XLOOKUP(E346,'All Products'!D:D,'All Products'!J:J,FALSE)</f>
        <v>Manufactured</v>
      </c>
      <c r="Q346" s="397">
        <f>_xlfn.XLOOKUP(E346,'All Products'!D:D,'All Products'!K:K,FALSE)</f>
        <v>49081136840</v>
      </c>
      <c r="R346" s="397">
        <f>_xlfn.XLOOKUP(E346,'All Products'!D:D,'All Products'!L:L,FALSE)</f>
        <v>49081636845</v>
      </c>
      <c r="S346" s="397">
        <f>_xlfn.XLOOKUP(E346,'All Products'!D:D,'All Products'!M:M,FALSE)</f>
        <v>40049081136848</v>
      </c>
      <c r="T346" s="384">
        <f>_xlfn.XLOOKUP(E346,'All Products'!D:D,'All Products'!N:N,FALSE)</f>
        <v>0.10299999999999999</v>
      </c>
      <c r="U346" s="397">
        <f>_xlfn.XLOOKUP(E346,'All Products'!D:D,'All Products'!O:O,FALSE)</f>
        <v>5</v>
      </c>
      <c r="V346" s="384">
        <f>_xlfn.XLOOKUP(E346,'All Products'!D:D,'All Products'!P:P,FALSE)</f>
        <v>13.62</v>
      </c>
      <c r="W346" s="384">
        <f>_xlfn.XLOOKUP(E346,'All Products'!D:D,'All Products'!Q:Q,FALSE)</f>
        <v>0.8</v>
      </c>
    </row>
    <row r="347" spans="1:23" ht="15" customHeight="1">
      <c r="A347" s="101" t="str">
        <f>IF(K347&gt;0,COUNT($A$7:A346)
+COUNT('DWV PVC'!$A$9:$A$316)
+COUNT('DWV ABS'!$A$8:$A$116)+1,"")</f>
        <v/>
      </c>
      <c r="B347" s="610"/>
      <c r="C347" s="611"/>
      <c r="D347" s="369" t="str">
        <f>_xlfn.XLOOKUP(E347,'All Products'!D:D,'All Products'!C:C,FALSE)</f>
        <v>447-015</v>
      </c>
      <c r="E347" s="51">
        <v>100023037</v>
      </c>
      <c r="F347" s="376" t="str">
        <f>_xlfn.XLOOKUP(E347,'All Products'!D:D,'All Products'!E:E,FALSE)</f>
        <v>1-1/2 CAP SLIP</v>
      </c>
      <c r="G347" s="232">
        <f>_xlfn.XLOOKUP(E347,'All Products'!D:D,'All Products'!F:F,FALSE)</f>
        <v>50</v>
      </c>
      <c r="H347" s="387">
        <f>_xlfn.XLOOKUP(E347,'All Products'!D:D,'All Products'!G:G,FALSE)</f>
        <v>7500</v>
      </c>
      <c r="I347" s="394">
        <f>_xlfn.XLOOKUP(E347,'All Products'!D:D,'All Products'!H:H,FALSE)</f>
        <v>4.07</v>
      </c>
      <c r="J347" s="183">
        <f>IFERROR(ROUND(I347*Order_Quote!$L$4,2),0)</f>
        <v>4.07</v>
      </c>
      <c r="K347" s="73"/>
      <c r="L347" s="76"/>
      <c r="M347" s="114">
        <f t="shared" si="29"/>
        <v>0</v>
      </c>
      <c r="O347" s="384" t="str">
        <f>_xlfn.XLOOKUP(E347,'All Products'!D:D,'All Products'!I:I,FALSE)</f>
        <v>In Stock</v>
      </c>
      <c r="P347" s="384" t="str">
        <f>_xlfn.XLOOKUP(E347,'All Products'!D:D,'All Products'!J:J,FALSE)</f>
        <v>Manufactured</v>
      </c>
      <c r="Q347" s="397">
        <f>_xlfn.XLOOKUP(E347,'All Products'!D:D,'All Products'!K:K,FALSE)</f>
        <v>49081136864</v>
      </c>
      <c r="R347" s="397">
        <f>_xlfn.XLOOKUP(E347,'All Products'!D:D,'All Products'!L:L,FALSE)</f>
        <v>49081636869</v>
      </c>
      <c r="S347" s="397">
        <f>_xlfn.XLOOKUP(E347,'All Products'!D:D,'All Products'!M:M,FALSE)</f>
        <v>40049081136862</v>
      </c>
      <c r="T347" s="384">
        <f>_xlfn.XLOOKUP(E347,'All Products'!D:D,'All Products'!N:N,FALSE)</f>
        <v>0.12</v>
      </c>
      <c r="U347" s="397">
        <f>_xlfn.XLOOKUP(E347,'All Products'!D:D,'All Products'!O:O,FALSE)</f>
        <v>5</v>
      </c>
      <c r="V347" s="384">
        <f>_xlfn.XLOOKUP(E347,'All Products'!D:D,'All Products'!P:P,FALSE)</f>
        <v>6.79</v>
      </c>
      <c r="W347" s="384">
        <f>_xlfn.XLOOKUP(E347,'All Products'!D:D,'All Products'!Q:Q,FALSE)</f>
        <v>0.5</v>
      </c>
    </row>
    <row r="348" spans="1:23" ht="15" customHeight="1">
      <c r="A348" s="101" t="str">
        <f>IF(K348&gt;0,COUNT($A$7:A347)
+COUNT('DWV PVC'!$A$9:$A$316)
+COUNT('DWV ABS'!$A$8:$A$116)+1,"")</f>
        <v/>
      </c>
      <c r="B348" s="610"/>
      <c r="C348" s="611"/>
      <c r="D348" s="369" t="str">
        <f>_xlfn.XLOOKUP(E348,'All Products'!D:D,'All Products'!C:C,FALSE)</f>
        <v>447-020</v>
      </c>
      <c r="E348" s="51">
        <v>100023039</v>
      </c>
      <c r="F348" s="376" t="str">
        <f>_xlfn.XLOOKUP(E348,'All Products'!D:D,'All Products'!E:E,FALSE)</f>
        <v>2 CAP SLIP</v>
      </c>
      <c r="G348" s="232">
        <f>_xlfn.XLOOKUP(E348,'All Products'!D:D,'All Products'!F:F,FALSE)</f>
        <v>50</v>
      </c>
      <c r="H348" s="387">
        <f>_xlfn.XLOOKUP(E348,'All Products'!D:D,'All Products'!G:G,FALSE)</f>
        <v>6000</v>
      </c>
      <c r="I348" s="394">
        <f>_xlfn.XLOOKUP(E348,'All Products'!D:D,'All Products'!H:H,FALSE)</f>
        <v>4.92</v>
      </c>
      <c r="J348" s="183">
        <f>IFERROR(ROUND(I348*Order_Quote!$L$4,2),0)</f>
        <v>4.92</v>
      </c>
      <c r="K348" s="73"/>
      <c r="L348" s="76"/>
      <c r="M348" s="114">
        <f t="shared" si="29"/>
        <v>0</v>
      </c>
      <c r="O348" s="384" t="str">
        <f>_xlfn.XLOOKUP(E348,'All Products'!D:D,'All Products'!I:I,FALSE)</f>
        <v>In Stock</v>
      </c>
      <c r="P348" s="384" t="str">
        <f>_xlfn.XLOOKUP(E348,'All Products'!D:D,'All Products'!J:J,FALSE)</f>
        <v>Manufactured</v>
      </c>
      <c r="Q348" s="397">
        <f>_xlfn.XLOOKUP(E348,'All Products'!D:D,'All Products'!K:K,FALSE)</f>
        <v>49081136888</v>
      </c>
      <c r="R348" s="397">
        <f>_xlfn.XLOOKUP(E348,'All Products'!D:D,'All Products'!L:L,FALSE)</f>
        <v>49081636883</v>
      </c>
      <c r="S348" s="397">
        <f>_xlfn.XLOOKUP(E348,'All Products'!D:D,'All Products'!M:M,FALSE)</f>
        <v>40049081136886</v>
      </c>
      <c r="T348" s="384">
        <f>_xlfn.XLOOKUP(E348,'All Products'!D:D,'All Products'!N:N,FALSE)</f>
        <v>0.17599999999999999</v>
      </c>
      <c r="U348" s="397">
        <f>_xlfn.XLOOKUP(E348,'All Products'!D:D,'All Products'!O:O,FALSE)</f>
        <v>5</v>
      </c>
      <c r="V348" s="384">
        <f>_xlfn.XLOOKUP(E348,'All Products'!D:D,'All Products'!P:P,FALSE)</f>
        <v>9.82</v>
      </c>
      <c r="W348" s="384">
        <f>_xlfn.XLOOKUP(E348,'All Products'!D:D,'All Products'!Q:Q,FALSE)</f>
        <v>0.65</v>
      </c>
    </row>
    <row r="349" spans="1:23" ht="15" customHeight="1">
      <c r="A349" s="101" t="str">
        <f>IF(K349&gt;0,COUNT($A$7:A348)
+COUNT('DWV PVC'!$A$9:$A$316)
+COUNT('DWV ABS'!$A$8:$A$116)+1,"")</f>
        <v/>
      </c>
      <c r="B349" s="610"/>
      <c r="C349" s="611"/>
      <c r="D349" s="369" t="str">
        <f>_xlfn.XLOOKUP(E349,'All Products'!D:D,'All Products'!C:C,FALSE)</f>
        <v>447-025</v>
      </c>
      <c r="E349" s="51">
        <v>100023041</v>
      </c>
      <c r="F349" s="376" t="str">
        <f>_xlfn.XLOOKUP(E349,'All Products'!D:D,'All Products'!E:E,FALSE)</f>
        <v>2-1/2 CAP SLIP</v>
      </c>
      <c r="G349" s="232">
        <f>_xlfn.XLOOKUP(E349,'All Products'!D:D,'All Products'!F:F,FALSE)</f>
        <v>25</v>
      </c>
      <c r="H349" s="387">
        <f>_xlfn.XLOOKUP(E349,'All Products'!D:D,'All Products'!G:G,FALSE)</f>
        <v>3000</v>
      </c>
      <c r="I349" s="394">
        <f>_xlfn.XLOOKUP(E349,'All Products'!D:D,'All Products'!H:H,FALSE)</f>
        <v>15.6</v>
      </c>
      <c r="J349" s="183">
        <f>IFERROR(ROUND(I349*Order_Quote!$L$4,2),0)</f>
        <v>15.6</v>
      </c>
      <c r="K349" s="73"/>
      <c r="L349" s="76"/>
      <c r="M349" s="114">
        <f t="shared" ref="M349:M397" si="32">K349/G349</f>
        <v>0</v>
      </c>
      <c r="O349" s="384" t="str">
        <f>_xlfn.XLOOKUP(E349,'All Products'!D:D,'All Products'!I:I,FALSE)</f>
        <v>In Stock</v>
      </c>
      <c r="P349" s="384" t="str">
        <f>_xlfn.XLOOKUP(E349,'All Products'!D:D,'All Products'!J:J,FALSE)</f>
        <v>Manufactured</v>
      </c>
      <c r="Q349" s="397">
        <f>_xlfn.XLOOKUP(E349,'All Products'!D:D,'All Products'!K:K,FALSE)</f>
        <v>49081136901</v>
      </c>
      <c r="R349" s="397" t="str">
        <f>_xlfn.XLOOKUP(E349,'All Products'!D:D,'All Products'!L:L,FALSE)</f>
        <v>-</v>
      </c>
      <c r="S349" s="397">
        <f>_xlfn.XLOOKUP(E349,'All Products'!D:D,'All Products'!M:M,FALSE)</f>
        <v>40049081136909</v>
      </c>
      <c r="T349" s="384">
        <f>_xlfn.XLOOKUP(E349,'All Products'!D:D,'All Products'!N:N,FALSE)</f>
        <v>0.35499999999999998</v>
      </c>
      <c r="U349" s="397" t="str">
        <f>_xlfn.XLOOKUP(E349,'All Products'!D:D,'All Products'!O:O,FALSE)</f>
        <v>-</v>
      </c>
      <c r="V349" s="384">
        <f>_xlfn.XLOOKUP(E349,'All Products'!D:D,'All Products'!P:P,FALSE)</f>
        <v>9.3699999999999992</v>
      </c>
      <c r="W349" s="384">
        <f>_xlfn.XLOOKUP(E349,'All Products'!D:D,'All Products'!Q:Q,FALSE)</f>
        <v>0.65</v>
      </c>
    </row>
    <row r="350" spans="1:23" ht="15" customHeight="1">
      <c r="A350" s="101" t="str">
        <f>IF(K350&gt;0,COUNT($A$7:A349)
+COUNT('DWV PVC'!$A$9:$A$316)
+COUNT('DWV ABS'!$A$8:$A$116)+1,"")</f>
        <v/>
      </c>
      <c r="B350" s="610"/>
      <c r="C350" s="611"/>
      <c r="D350" s="369" t="str">
        <f>_xlfn.XLOOKUP(E350,'All Products'!D:D,'All Products'!C:C,FALSE)</f>
        <v>447-030</v>
      </c>
      <c r="E350" s="51">
        <v>100023043</v>
      </c>
      <c r="F350" s="376" t="str">
        <f>_xlfn.XLOOKUP(E350,'All Products'!D:D,'All Products'!E:E,FALSE)</f>
        <v>3 CAP SLIP</v>
      </c>
      <c r="G350" s="232">
        <f>_xlfn.XLOOKUP(E350,'All Products'!D:D,'All Products'!F:F,FALSE)</f>
        <v>15</v>
      </c>
      <c r="H350" s="387">
        <f>_xlfn.XLOOKUP(E350,'All Products'!D:D,'All Products'!G:G,FALSE)</f>
        <v>2250</v>
      </c>
      <c r="I350" s="394">
        <f>_xlfn.XLOOKUP(E350,'All Products'!D:D,'All Products'!H:H,FALSE)</f>
        <v>17.02</v>
      </c>
      <c r="J350" s="183">
        <f>IFERROR(ROUND(I350*Order_Quote!$L$4,2),0)</f>
        <v>17.02</v>
      </c>
      <c r="K350" s="73"/>
      <c r="L350" s="76"/>
      <c r="M350" s="114">
        <f t="shared" si="32"/>
        <v>0</v>
      </c>
      <c r="O350" s="384" t="str">
        <f>_xlfn.XLOOKUP(E350,'All Products'!D:D,'All Products'!I:I,FALSE)</f>
        <v>In Stock</v>
      </c>
      <c r="P350" s="384" t="str">
        <f>_xlfn.XLOOKUP(E350,'All Products'!D:D,'All Products'!J:J,FALSE)</f>
        <v>Manufactured</v>
      </c>
      <c r="Q350" s="397">
        <f>_xlfn.XLOOKUP(E350,'All Products'!D:D,'All Products'!K:K,FALSE)</f>
        <v>49081136925</v>
      </c>
      <c r="R350" s="397" t="str">
        <f>_xlfn.XLOOKUP(E350,'All Products'!D:D,'All Products'!L:L,FALSE)</f>
        <v>-</v>
      </c>
      <c r="S350" s="397">
        <f>_xlfn.XLOOKUP(E350,'All Products'!D:D,'All Products'!M:M,FALSE)</f>
        <v>40049081136923</v>
      </c>
      <c r="T350" s="384">
        <f>_xlfn.XLOOKUP(E350,'All Products'!D:D,'All Products'!N:N,FALSE)</f>
        <v>0.504</v>
      </c>
      <c r="U350" s="397" t="str">
        <f>_xlfn.XLOOKUP(E350,'All Products'!D:D,'All Products'!O:O,FALSE)</f>
        <v>-</v>
      </c>
      <c r="V350" s="384">
        <f>_xlfn.XLOOKUP(E350,'All Products'!D:D,'All Products'!P:P,FALSE)</f>
        <v>7.99</v>
      </c>
      <c r="W350" s="384">
        <f>_xlfn.XLOOKUP(E350,'All Products'!D:D,'All Products'!Q:Q,FALSE)</f>
        <v>0.5</v>
      </c>
    </row>
    <row r="351" spans="1:23" ht="15" customHeight="1">
      <c r="A351" s="101" t="str">
        <f>IF(K351&gt;0,COUNT($A$7:A350)
+COUNT('DWV PVC'!$A$9:$A$316)
+COUNT('DWV ABS'!$A$8:$A$116)+1,"")</f>
        <v/>
      </c>
      <c r="B351" s="610"/>
      <c r="C351" s="611"/>
      <c r="D351" s="369" t="str">
        <f>_xlfn.XLOOKUP(E351,'All Products'!D:D,'All Products'!C:C,FALSE)</f>
        <v>447-040</v>
      </c>
      <c r="E351" s="51">
        <v>100023045</v>
      </c>
      <c r="F351" s="376" t="str">
        <f>_xlfn.XLOOKUP(E351,'All Products'!D:D,'All Products'!E:E,FALSE)</f>
        <v>4 CAP SLIP</v>
      </c>
      <c r="G351" s="232">
        <f>_xlfn.XLOOKUP(E351,'All Products'!D:D,'All Products'!F:F,FALSE)</f>
        <v>9</v>
      </c>
      <c r="H351" s="387">
        <f>_xlfn.XLOOKUP(E351,'All Products'!D:D,'All Products'!G:G,FALSE)</f>
        <v>1350</v>
      </c>
      <c r="I351" s="394">
        <f>_xlfn.XLOOKUP(E351,'All Products'!D:D,'All Products'!H:H,FALSE)</f>
        <v>38.71</v>
      </c>
      <c r="J351" s="183">
        <f>IFERROR(ROUND(I351*Order_Quote!$L$4,2),0)</f>
        <v>38.71</v>
      </c>
      <c r="K351" s="73"/>
      <c r="L351" s="76"/>
      <c r="M351" s="114">
        <f t="shared" si="32"/>
        <v>0</v>
      </c>
      <c r="O351" s="384" t="str">
        <f>_xlfn.XLOOKUP(E351,'All Products'!D:D,'All Products'!I:I,FALSE)</f>
        <v>In Stock</v>
      </c>
      <c r="P351" s="384" t="str">
        <f>_xlfn.XLOOKUP(E351,'All Products'!D:D,'All Products'!J:J,FALSE)</f>
        <v>Manufactured</v>
      </c>
      <c r="Q351" s="397">
        <f>_xlfn.XLOOKUP(E351,'All Products'!D:D,'All Products'!K:K,FALSE)</f>
        <v>49081136949</v>
      </c>
      <c r="R351" s="397" t="str">
        <f>_xlfn.XLOOKUP(E351,'All Products'!D:D,'All Products'!L:L,FALSE)</f>
        <v>-</v>
      </c>
      <c r="S351" s="397">
        <f>_xlfn.XLOOKUP(E351,'All Products'!D:D,'All Products'!M:M,FALSE)</f>
        <v>40049081136947</v>
      </c>
      <c r="T351" s="384">
        <f>_xlfn.XLOOKUP(E351,'All Products'!D:D,'All Products'!N:N,FALSE)</f>
        <v>0.78400000000000003</v>
      </c>
      <c r="U351" s="397" t="str">
        <f>_xlfn.XLOOKUP(E351,'All Products'!D:D,'All Products'!O:O,FALSE)</f>
        <v>-</v>
      </c>
      <c r="V351" s="384">
        <f>_xlfn.XLOOKUP(E351,'All Products'!D:D,'All Products'!P:P,FALSE)</f>
        <v>7.82</v>
      </c>
      <c r="W351" s="384">
        <f>_xlfn.XLOOKUP(E351,'All Products'!D:D,'All Products'!Q:Q,FALSE)</f>
        <v>0.5</v>
      </c>
    </row>
    <row r="352" spans="1:23" ht="15" customHeight="1">
      <c r="A352" s="101" t="str">
        <f>IF(K352&gt;0,COUNT($A$7:A351)
+COUNT('DWV PVC'!$A$9:$A$316)
+COUNT('DWV ABS'!$A$8:$A$116)+1,"")</f>
        <v/>
      </c>
      <c r="B352" s="610"/>
      <c r="C352" s="611"/>
      <c r="D352" s="369" t="str">
        <f>_xlfn.XLOOKUP(E352,'All Products'!D:D,'All Products'!C:C,FALSE)</f>
        <v>447-050</v>
      </c>
      <c r="E352" s="51">
        <v>100027429</v>
      </c>
      <c r="F352" s="376" t="str">
        <f>_xlfn.XLOOKUP(E352,'All Products'!D:D,'All Products'!E:E,FALSE)</f>
        <v>5 CAP SLIP</v>
      </c>
      <c r="G352" s="232">
        <f>_xlfn.XLOOKUP(E352,'All Products'!D:D,'All Products'!F:F,FALSE)</f>
        <v>5</v>
      </c>
      <c r="H352" s="387">
        <f>_xlfn.XLOOKUP(E352,'All Products'!D:D,'All Products'!G:G,FALSE)</f>
        <v>450</v>
      </c>
      <c r="I352" s="394">
        <f>_xlfn.XLOOKUP(E352,'All Products'!D:D,'All Products'!H:H,FALSE)</f>
        <v>65.09</v>
      </c>
      <c r="J352" s="183">
        <f>IFERROR(ROUND(I352*Order_Quote!$L$4,2),0)</f>
        <v>65.09</v>
      </c>
      <c r="K352" s="73"/>
      <c r="L352" s="76"/>
      <c r="M352" s="114">
        <f t="shared" si="32"/>
        <v>0</v>
      </c>
      <c r="O352" s="384" t="str">
        <f>_xlfn.XLOOKUP(E352,'All Products'!D:D,'All Products'!I:I,FALSE)</f>
        <v>In Stock</v>
      </c>
      <c r="P352" s="384" t="str">
        <f>_xlfn.XLOOKUP(E352,'All Products'!D:D,'All Products'!J:J,FALSE)</f>
        <v>Manufactured</v>
      </c>
      <c r="Q352" s="397">
        <f>_xlfn.XLOOKUP(E352,'All Products'!D:D,'All Products'!K:K,FALSE)</f>
        <v>49081136963</v>
      </c>
      <c r="R352" s="397" t="str">
        <f>_xlfn.XLOOKUP(E352,'All Products'!D:D,'All Products'!L:L,FALSE)</f>
        <v>-</v>
      </c>
      <c r="S352" s="397">
        <f>_xlfn.XLOOKUP(E352,'All Products'!D:D,'All Products'!M:M,FALSE)</f>
        <v>40049081136961</v>
      </c>
      <c r="T352" s="384">
        <f>_xlfn.XLOOKUP(E352,'All Products'!D:D,'All Products'!N:N,FALSE)</f>
        <v>1.74</v>
      </c>
      <c r="U352" s="397" t="str">
        <f>_xlfn.XLOOKUP(E352,'All Products'!D:D,'All Products'!O:O,FALSE)</f>
        <v>-</v>
      </c>
      <c r="V352" s="384">
        <f>_xlfn.XLOOKUP(E352,'All Products'!D:D,'All Products'!P:P,FALSE)</f>
        <v>8.92</v>
      </c>
      <c r="W352" s="384">
        <f>_xlfn.XLOOKUP(E352,'All Products'!D:D,'All Products'!Q:Q,FALSE)</f>
        <v>0.8</v>
      </c>
    </row>
    <row r="353" spans="1:23" ht="15" customHeight="1">
      <c r="A353" s="101" t="str">
        <f>IF(K353&gt;0,COUNT($A$7:A352)
+COUNT('DWV PVC'!$A$9:$A$316)
+COUNT('DWV ABS'!$A$8:$A$116)+1,"")</f>
        <v/>
      </c>
      <c r="B353" s="610"/>
      <c r="C353" s="611"/>
      <c r="D353" s="369" t="str">
        <f>_xlfn.XLOOKUP(E353,'All Products'!D:D,'All Products'!C:C,FALSE)</f>
        <v>447-060</v>
      </c>
      <c r="E353" s="51">
        <v>100023047</v>
      </c>
      <c r="F353" s="376" t="str">
        <f>_xlfn.XLOOKUP(E353,'All Products'!D:D,'All Products'!E:E,FALSE)</f>
        <v>6 CAP SLIP</v>
      </c>
      <c r="G353" s="232">
        <f>_xlfn.XLOOKUP(E353,'All Products'!D:D,'All Products'!F:F,FALSE)</f>
        <v>3</v>
      </c>
      <c r="H353" s="387">
        <f>_xlfn.XLOOKUP(E353,'All Products'!D:D,'All Products'!G:G,FALSE)</f>
        <v>360</v>
      </c>
      <c r="I353" s="394">
        <f>_xlfn.XLOOKUP(E353,'All Products'!D:D,'All Products'!H:H,FALSE)</f>
        <v>92.88</v>
      </c>
      <c r="J353" s="183">
        <f>IFERROR(ROUND(I353*Order_Quote!$L$4,2),0)</f>
        <v>92.88</v>
      </c>
      <c r="K353" s="73"/>
      <c r="L353" s="76"/>
      <c r="M353" s="114">
        <f t="shared" si="32"/>
        <v>0</v>
      </c>
      <c r="O353" s="384" t="str">
        <f>_xlfn.XLOOKUP(E353,'All Products'!D:D,'All Products'!I:I,FALSE)</f>
        <v>In Stock</v>
      </c>
      <c r="P353" s="384" t="str">
        <f>_xlfn.XLOOKUP(E353,'All Products'!D:D,'All Products'!J:J,FALSE)</f>
        <v>Manufactured</v>
      </c>
      <c r="Q353" s="397">
        <f>_xlfn.XLOOKUP(E353,'All Products'!D:D,'All Products'!K:K,FALSE)</f>
        <v>49081136987</v>
      </c>
      <c r="R353" s="397" t="str">
        <f>_xlfn.XLOOKUP(E353,'All Products'!D:D,'All Products'!L:L,FALSE)</f>
        <v>-</v>
      </c>
      <c r="S353" s="397">
        <f>_xlfn.XLOOKUP(E353,'All Products'!D:D,'All Products'!M:M,FALSE)</f>
        <v>40049081136985</v>
      </c>
      <c r="T353" s="384">
        <f>_xlfn.XLOOKUP(E353,'All Products'!D:D,'All Products'!N:N,FALSE)</f>
        <v>2.2949999999999999</v>
      </c>
      <c r="U353" s="397" t="str">
        <f>_xlfn.XLOOKUP(E353,'All Products'!D:D,'All Products'!O:O,FALSE)</f>
        <v>-</v>
      </c>
      <c r="V353" s="384">
        <f>_xlfn.XLOOKUP(E353,'All Products'!D:D,'All Products'!P:P,FALSE)</f>
        <v>9.4</v>
      </c>
      <c r="W353" s="384">
        <f>_xlfn.XLOOKUP(E353,'All Products'!D:D,'All Products'!Q:Q,FALSE)</f>
        <v>0.65</v>
      </c>
    </row>
    <row r="354" spans="1:23" ht="15" customHeight="1">
      <c r="A354" s="101" t="str">
        <f>IF(K354&gt;0,COUNT($A$7:A353)
+COUNT('DWV PVC'!$A$9:$A$316)
+COUNT('DWV ABS'!$A$8:$A$116)+1,"")</f>
        <v/>
      </c>
      <c r="B354" s="612"/>
      <c r="C354" s="613"/>
      <c r="D354" s="369" t="str">
        <f>_xlfn.XLOOKUP(E354,'All Products'!D:D,'All Products'!C:C,FALSE)</f>
        <v>447-080</v>
      </c>
      <c r="E354" s="51">
        <v>100023049</v>
      </c>
      <c r="F354" s="376" t="str">
        <f>_xlfn.XLOOKUP(E354,'All Products'!D:D,'All Products'!E:E,FALSE)</f>
        <v>8 CAP SLIP</v>
      </c>
      <c r="G354" s="232">
        <f>_xlfn.XLOOKUP(E354,'All Products'!D:D,'All Products'!F:F,FALSE)</f>
        <v>2</v>
      </c>
      <c r="H354" s="387">
        <f>_xlfn.XLOOKUP(E354,'All Products'!D:D,'All Products'!G:G,FALSE)</f>
        <v>120</v>
      </c>
      <c r="I354" s="394">
        <f>_xlfn.XLOOKUP(E354,'All Products'!D:D,'All Products'!H:H,FALSE)</f>
        <v>233.25</v>
      </c>
      <c r="J354" s="183">
        <f>IFERROR(ROUND(I354*Order_Quote!$L$4,2),0)</f>
        <v>233.25</v>
      </c>
      <c r="K354" s="73"/>
      <c r="L354" s="76"/>
      <c r="M354" s="114">
        <f t="shared" si="32"/>
        <v>0</v>
      </c>
      <c r="O354" s="384" t="str">
        <f>_xlfn.XLOOKUP(E354,'All Products'!D:D,'All Products'!I:I,FALSE)</f>
        <v>In Stock</v>
      </c>
      <c r="P354" s="384" t="str">
        <f>_xlfn.XLOOKUP(E354,'All Products'!D:D,'All Products'!J:J,FALSE)</f>
        <v>Manufactured</v>
      </c>
      <c r="Q354" s="397">
        <f>_xlfn.XLOOKUP(E354,'All Products'!D:D,'All Products'!K:K,FALSE)</f>
        <v>49081137007</v>
      </c>
      <c r="R354" s="397" t="str">
        <f>_xlfn.XLOOKUP(E354,'All Products'!D:D,'All Products'!L:L,FALSE)</f>
        <v>-</v>
      </c>
      <c r="S354" s="397">
        <f>_xlfn.XLOOKUP(E354,'All Products'!D:D,'All Products'!M:M,FALSE)</f>
        <v>40049081137005</v>
      </c>
      <c r="T354" s="384">
        <f>_xlfn.XLOOKUP(E354,'All Products'!D:D,'All Products'!N:N,FALSE)</f>
        <v>4.766</v>
      </c>
      <c r="U354" s="397" t="str">
        <f>_xlfn.XLOOKUP(E354,'All Products'!D:D,'All Products'!O:O,FALSE)</f>
        <v>-</v>
      </c>
      <c r="V354" s="384">
        <f>_xlfn.XLOOKUP(E354,'All Products'!D:D,'All Products'!P:P,FALSE)</f>
        <v>10.16</v>
      </c>
      <c r="W354" s="384">
        <f>_xlfn.XLOOKUP(E354,'All Products'!D:D,'All Products'!Q:Q,FALSE)</f>
        <v>1.25</v>
      </c>
    </row>
    <row r="355" spans="1:23" ht="15" customHeight="1">
      <c r="A355" s="101" t="str">
        <f>IF(K355&gt;0,COUNT($A$7:A354)
+COUNT('DWV PVC'!$A$9:$A$316)
+COUNT('DWV ABS'!$A$8:$A$116)+1,"")</f>
        <v/>
      </c>
      <c r="B355" s="608"/>
      <c r="C355" s="609"/>
      <c r="D355" s="369" t="str">
        <f>_xlfn.XLOOKUP(E355,'All Products'!D:D,'All Products'!C:C,FALSE)</f>
        <v>448-005</v>
      </c>
      <c r="E355" s="51">
        <v>100023051</v>
      </c>
      <c r="F355" s="376" t="str">
        <f>_xlfn.XLOOKUP(E355,'All Products'!D:D,'All Products'!E:E,FALSE)</f>
        <v>1/2 CAP FIPT</v>
      </c>
      <c r="G355" s="232">
        <f>_xlfn.XLOOKUP(E355,'All Products'!D:D,'All Products'!F:F,FALSE)</f>
        <v>250</v>
      </c>
      <c r="H355" s="387">
        <f>_xlfn.XLOOKUP(E355,'All Products'!D:D,'All Products'!G:G,FALSE)</f>
        <v>37500</v>
      </c>
      <c r="I355" s="394">
        <f>_xlfn.XLOOKUP(E355,'All Products'!D:D,'All Products'!H:H,FALSE)</f>
        <v>3.02</v>
      </c>
      <c r="J355" s="183">
        <f>IFERROR(ROUND(I355*Order_Quote!$L$4,2),0)</f>
        <v>3.02</v>
      </c>
      <c r="K355" s="73"/>
      <c r="L355" s="76"/>
      <c r="M355" s="114">
        <f t="shared" si="32"/>
        <v>0</v>
      </c>
      <c r="O355" s="384" t="str">
        <f>_xlfn.XLOOKUP(E355,'All Products'!D:D,'All Products'!I:I,FALSE)</f>
        <v>In Stock</v>
      </c>
      <c r="P355" s="384" t="str">
        <f>_xlfn.XLOOKUP(E355,'All Products'!D:D,'All Products'!J:J,FALSE)</f>
        <v>Manufactured</v>
      </c>
      <c r="Q355" s="397">
        <f>_xlfn.XLOOKUP(E355,'All Products'!D:D,'All Products'!K:K,FALSE)</f>
        <v>49081137168</v>
      </c>
      <c r="R355" s="397">
        <f>_xlfn.XLOOKUP(E355,'All Products'!D:D,'All Products'!L:L,FALSE)</f>
        <v>49081637163</v>
      </c>
      <c r="S355" s="397">
        <f>_xlfn.XLOOKUP(E355,'All Products'!D:D,'All Products'!M:M,FALSE)</f>
        <v>40049081137166</v>
      </c>
      <c r="T355" s="384">
        <f>_xlfn.XLOOKUP(E355,'All Products'!D:D,'All Products'!N:N,FALSE)</f>
        <v>2.9000000000000001E-2</v>
      </c>
      <c r="U355" s="397">
        <f>_xlfn.XLOOKUP(E355,'All Products'!D:D,'All Products'!O:O,FALSE)</f>
        <v>10</v>
      </c>
      <c r="V355" s="384">
        <f>_xlfn.XLOOKUP(E355,'All Products'!D:D,'All Products'!P:P,FALSE)</f>
        <v>8.2100000000000009</v>
      </c>
      <c r="W355" s="384">
        <f>_xlfn.XLOOKUP(E355,'All Products'!D:D,'All Products'!Q:Q,FALSE)</f>
        <v>0.5</v>
      </c>
    </row>
    <row r="356" spans="1:23" ht="15" customHeight="1">
      <c r="A356" s="101" t="str">
        <f>IF(K356&gt;0,COUNT($A$7:A355)
+COUNT('DWV PVC'!$A$9:$A$316)
+COUNT('DWV ABS'!$A$8:$A$116)+1,"")</f>
        <v/>
      </c>
      <c r="B356" s="610"/>
      <c r="C356" s="611"/>
      <c r="D356" s="369" t="str">
        <f>_xlfn.XLOOKUP(E356,'All Products'!D:D,'All Products'!C:C,FALSE)</f>
        <v>448-007</v>
      </c>
      <c r="E356" s="51">
        <v>100023053</v>
      </c>
      <c r="F356" s="376" t="str">
        <f>_xlfn.XLOOKUP(E356,'All Products'!D:D,'All Products'!E:E,FALSE)</f>
        <v>3/4 CAP FIPT</v>
      </c>
      <c r="G356" s="232">
        <f>_xlfn.XLOOKUP(E356,'All Products'!D:D,'All Products'!F:F,FALSE)</f>
        <v>250</v>
      </c>
      <c r="H356" s="387">
        <f>_xlfn.XLOOKUP(E356,'All Products'!D:D,'All Products'!G:G,FALSE)</f>
        <v>30000</v>
      </c>
      <c r="I356" s="394">
        <f>_xlfn.XLOOKUP(E356,'All Products'!D:D,'All Products'!H:H,FALSE)</f>
        <v>3.48</v>
      </c>
      <c r="J356" s="183">
        <f>IFERROR(ROUND(I356*Order_Quote!$L$4,2),0)</f>
        <v>3.48</v>
      </c>
      <c r="K356" s="73"/>
      <c r="L356" s="76"/>
      <c r="M356" s="114">
        <f t="shared" si="32"/>
        <v>0</v>
      </c>
      <c r="O356" s="384" t="str">
        <f>_xlfn.XLOOKUP(E356,'All Products'!D:D,'All Products'!I:I,FALSE)</f>
        <v>In Stock</v>
      </c>
      <c r="P356" s="384" t="str">
        <f>_xlfn.XLOOKUP(E356,'All Products'!D:D,'All Products'!J:J,FALSE)</f>
        <v>Manufactured</v>
      </c>
      <c r="Q356" s="397">
        <f>_xlfn.XLOOKUP(E356,'All Products'!D:D,'All Products'!K:K,FALSE)</f>
        <v>49081137182</v>
      </c>
      <c r="R356" s="397">
        <f>_xlfn.XLOOKUP(E356,'All Products'!D:D,'All Products'!L:L,FALSE)</f>
        <v>49081637187</v>
      </c>
      <c r="S356" s="397">
        <f>_xlfn.XLOOKUP(E356,'All Products'!D:D,'All Products'!M:M,FALSE)</f>
        <v>40049081137180</v>
      </c>
      <c r="T356" s="384">
        <f>_xlfn.XLOOKUP(E356,'All Products'!D:D,'All Products'!N:N,FALSE)</f>
        <v>0.04</v>
      </c>
      <c r="U356" s="397">
        <f>_xlfn.XLOOKUP(E356,'All Products'!D:D,'All Products'!O:O,FALSE)</f>
        <v>10</v>
      </c>
      <c r="V356" s="384">
        <f>_xlfn.XLOOKUP(E356,'All Products'!D:D,'All Products'!P:P,FALSE)</f>
        <v>10.8</v>
      </c>
      <c r="W356" s="384">
        <f>_xlfn.XLOOKUP(E356,'All Products'!D:D,'All Products'!Q:Q,FALSE)</f>
        <v>0.65</v>
      </c>
    </row>
    <row r="357" spans="1:23" ht="15" customHeight="1">
      <c r="A357" s="101" t="str">
        <f>IF(K357&gt;0,COUNT($A$7:A356)
+COUNT('DWV PVC'!$A$9:$A$316)
+COUNT('DWV ABS'!$A$8:$A$116)+1,"")</f>
        <v/>
      </c>
      <c r="B357" s="610"/>
      <c r="C357" s="611"/>
      <c r="D357" s="369" t="str">
        <f>_xlfn.XLOOKUP(E357,'All Products'!D:D,'All Products'!C:C,FALSE)</f>
        <v>448-010</v>
      </c>
      <c r="E357" s="51">
        <v>100023055</v>
      </c>
      <c r="F357" s="376" t="str">
        <f>_xlfn.XLOOKUP(E357,'All Products'!D:D,'All Products'!E:E,FALSE)</f>
        <v>1 CAP FIPT</v>
      </c>
      <c r="G357" s="232">
        <f>_xlfn.XLOOKUP(E357,'All Products'!D:D,'All Products'!F:F,FALSE)</f>
        <v>250</v>
      </c>
      <c r="H357" s="387">
        <f>_xlfn.XLOOKUP(E357,'All Products'!D:D,'All Products'!G:G,FALSE)</f>
        <v>22500</v>
      </c>
      <c r="I357" s="394">
        <f>_xlfn.XLOOKUP(E357,'All Products'!D:D,'All Products'!H:H,FALSE)</f>
        <v>5.27</v>
      </c>
      <c r="J357" s="183">
        <f>IFERROR(ROUND(I357*Order_Quote!$L$4,2),0)</f>
        <v>5.27</v>
      </c>
      <c r="K357" s="73"/>
      <c r="L357" s="76"/>
      <c r="M357" s="114">
        <f t="shared" si="32"/>
        <v>0</v>
      </c>
      <c r="O357" s="384" t="str">
        <f>_xlfn.XLOOKUP(E357,'All Products'!D:D,'All Products'!I:I,FALSE)</f>
        <v>In Stock</v>
      </c>
      <c r="P357" s="384" t="str">
        <f>_xlfn.XLOOKUP(E357,'All Products'!D:D,'All Products'!J:J,FALSE)</f>
        <v>Manufactured</v>
      </c>
      <c r="Q357" s="397" t="str">
        <f>_xlfn.XLOOKUP(E357,'All Products'!D:D,'All Products'!K:K,FALSE)</f>
        <v>-</v>
      </c>
      <c r="R357" s="397">
        <f>_xlfn.XLOOKUP(E357,'All Products'!D:D,'All Products'!L:L,FALSE)</f>
        <v>49081637200</v>
      </c>
      <c r="S357" s="397" t="str">
        <f>_xlfn.XLOOKUP(E357,'All Products'!D:D,'All Products'!M:M,FALSE)</f>
        <v>-</v>
      </c>
      <c r="T357" s="384">
        <f>_xlfn.XLOOKUP(E357,'All Products'!D:D,'All Products'!N:N,FALSE)</f>
        <v>7.5999999999999998E-2</v>
      </c>
      <c r="U357" s="397">
        <f>_xlfn.XLOOKUP(E357,'All Products'!D:D,'All Products'!O:O,FALSE)</f>
        <v>10</v>
      </c>
      <c r="V357" s="384">
        <f>_xlfn.XLOOKUP(E357,'All Products'!D:D,'All Products'!P:P,FALSE)</f>
        <v>20.21</v>
      </c>
      <c r="W357" s="384">
        <f>_xlfn.XLOOKUP(E357,'All Products'!D:D,'All Products'!Q:Q,FALSE)</f>
        <v>0.8</v>
      </c>
    </row>
    <row r="358" spans="1:23" ht="15" customHeight="1">
      <c r="A358" s="101" t="str">
        <f>IF(K358&gt;0,COUNT($A$7:A357)
+COUNT('DWV PVC'!$A$9:$A$316)
+COUNT('DWV ABS'!$A$8:$A$116)+1,"")</f>
        <v/>
      </c>
      <c r="B358" s="610"/>
      <c r="C358" s="611"/>
      <c r="D358" s="369" t="str">
        <f>_xlfn.XLOOKUP(E358,'All Products'!D:D,'All Products'!C:C,FALSE)</f>
        <v>448-012</v>
      </c>
      <c r="E358" s="51">
        <v>100023057</v>
      </c>
      <c r="F358" s="376" t="str">
        <f>_xlfn.XLOOKUP(E358,'All Products'!D:D,'All Products'!E:E,FALSE)</f>
        <v>1-1/4 CAP FIPT</v>
      </c>
      <c r="G358" s="232">
        <f>_xlfn.XLOOKUP(E358,'All Products'!D:D,'All Products'!F:F,FALSE)</f>
        <v>125</v>
      </c>
      <c r="H358" s="387">
        <f>_xlfn.XLOOKUP(E358,'All Products'!D:D,'All Products'!G:G,FALSE)</f>
        <v>11250</v>
      </c>
      <c r="I358" s="394">
        <f>_xlfn.XLOOKUP(E358,'All Products'!D:D,'All Products'!H:H,FALSE)</f>
        <v>6.26</v>
      </c>
      <c r="J358" s="183">
        <f>IFERROR(ROUND(I358*Order_Quote!$L$4,2),0)</f>
        <v>6.26</v>
      </c>
      <c r="K358" s="73"/>
      <c r="L358" s="76"/>
      <c r="M358" s="114">
        <f t="shared" si="32"/>
        <v>0</v>
      </c>
      <c r="O358" s="384" t="str">
        <f>_xlfn.XLOOKUP(E358,'All Products'!D:D,'All Products'!I:I,FALSE)</f>
        <v>In Stock</v>
      </c>
      <c r="P358" s="384" t="str">
        <f>_xlfn.XLOOKUP(E358,'All Products'!D:D,'All Products'!J:J,FALSE)</f>
        <v>Manufactured</v>
      </c>
      <c r="Q358" s="397">
        <f>_xlfn.XLOOKUP(E358,'All Products'!D:D,'All Products'!K:K,FALSE)</f>
        <v>49081137229</v>
      </c>
      <c r="R358" s="397">
        <f>_xlfn.XLOOKUP(E358,'All Products'!D:D,'All Products'!L:L,FALSE)</f>
        <v>49081637224</v>
      </c>
      <c r="S358" s="397">
        <f>_xlfn.XLOOKUP(E358,'All Products'!D:D,'All Products'!M:M,FALSE)</f>
        <v>40049081137227</v>
      </c>
      <c r="T358" s="384">
        <f>_xlfn.XLOOKUP(E358,'All Products'!D:D,'All Products'!N:N,FALSE)</f>
        <v>8.5999999999999993E-2</v>
      </c>
      <c r="U358" s="397">
        <f>_xlfn.XLOOKUP(E358,'All Products'!D:D,'All Products'!O:O,FALSE)</f>
        <v>5</v>
      </c>
      <c r="V358" s="384">
        <f>_xlfn.XLOOKUP(E358,'All Products'!D:D,'All Products'!P:P,FALSE)</f>
        <v>11.54</v>
      </c>
      <c r="W358" s="384">
        <f>_xlfn.XLOOKUP(E358,'All Products'!D:D,'All Products'!Q:Q,FALSE)</f>
        <v>0.8</v>
      </c>
    </row>
    <row r="359" spans="1:23" ht="15" customHeight="1">
      <c r="A359" s="101" t="str">
        <f>IF(K359&gt;0,COUNT($A$7:A358)
+COUNT('DWV PVC'!$A$9:$A$316)
+COUNT('DWV ABS'!$A$8:$A$116)+1,"")</f>
        <v/>
      </c>
      <c r="B359" s="610"/>
      <c r="C359" s="611"/>
      <c r="D359" s="369" t="str">
        <f>_xlfn.XLOOKUP(E359,'All Products'!D:D,'All Products'!C:C,FALSE)</f>
        <v>448-015</v>
      </c>
      <c r="E359" s="51">
        <v>100023059</v>
      </c>
      <c r="F359" s="376" t="str">
        <f>_xlfn.XLOOKUP(E359,'All Products'!D:D,'All Products'!E:E,FALSE)</f>
        <v>1-1/2 CAP FIPT</v>
      </c>
      <c r="G359" s="232">
        <f>_xlfn.XLOOKUP(E359,'All Products'!D:D,'All Products'!F:F,FALSE)</f>
        <v>50</v>
      </c>
      <c r="H359" s="387">
        <f>_xlfn.XLOOKUP(E359,'All Products'!D:D,'All Products'!G:G,FALSE)</f>
        <v>7500</v>
      </c>
      <c r="I359" s="394">
        <f>_xlfn.XLOOKUP(E359,'All Products'!D:D,'All Products'!H:H,FALSE)</f>
        <v>6.53</v>
      </c>
      <c r="J359" s="183">
        <f>IFERROR(ROUND(I359*Order_Quote!$L$4,2),0)</f>
        <v>6.53</v>
      </c>
      <c r="K359" s="73"/>
      <c r="L359" s="76"/>
      <c r="M359" s="114">
        <f t="shared" si="32"/>
        <v>0</v>
      </c>
      <c r="O359" s="384" t="str">
        <f>_xlfn.XLOOKUP(E359,'All Products'!D:D,'All Products'!I:I,FALSE)</f>
        <v>Within 3 Weeks</v>
      </c>
      <c r="P359" s="384" t="str">
        <f>_xlfn.XLOOKUP(E359,'All Products'!D:D,'All Products'!J:J,FALSE)</f>
        <v>Manufactured</v>
      </c>
      <c r="Q359" s="397">
        <f>_xlfn.XLOOKUP(E359,'All Products'!D:D,'All Products'!K:K,FALSE)</f>
        <v>49081137243</v>
      </c>
      <c r="R359" s="397">
        <f>_xlfn.XLOOKUP(E359,'All Products'!D:D,'All Products'!L:L,FALSE)</f>
        <v>49081637248</v>
      </c>
      <c r="S359" s="397">
        <f>_xlfn.XLOOKUP(E359,'All Products'!D:D,'All Products'!M:M,FALSE)</f>
        <v>40049081137241</v>
      </c>
      <c r="T359" s="384">
        <f>_xlfn.XLOOKUP(E359,'All Products'!D:D,'All Products'!N:N,FALSE)</f>
        <v>0.11799999999999999</v>
      </c>
      <c r="U359" s="397">
        <f>_xlfn.XLOOKUP(E359,'All Products'!D:D,'All Products'!O:O,FALSE)</f>
        <v>5</v>
      </c>
      <c r="V359" s="384">
        <f>_xlfn.XLOOKUP(E359,'All Products'!D:D,'All Products'!P:P,FALSE)</f>
        <v>8.4700000000000006</v>
      </c>
      <c r="W359" s="384">
        <f>_xlfn.XLOOKUP(E359,'All Products'!D:D,'All Products'!Q:Q,FALSE)</f>
        <v>0.5</v>
      </c>
    </row>
    <row r="360" spans="1:23" ht="15" customHeight="1">
      <c r="A360" s="101" t="str">
        <f>IF(K360&gt;0,COUNT($A$7:A359)
+COUNT('DWV PVC'!$A$9:$A$316)
+COUNT('DWV ABS'!$A$8:$A$116)+1,"")</f>
        <v/>
      </c>
      <c r="B360" s="610"/>
      <c r="C360" s="611"/>
      <c r="D360" s="369" t="str">
        <f>_xlfn.XLOOKUP(E360,'All Products'!D:D,'All Products'!C:C,FALSE)</f>
        <v>448-020</v>
      </c>
      <c r="E360" s="51">
        <v>100023061</v>
      </c>
      <c r="F360" s="376" t="str">
        <f>_xlfn.XLOOKUP(E360,'All Products'!D:D,'All Products'!E:E,FALSE)</f>
        <v>2 CAP FIPT</v>
      </c>
      <c r="G360" s="232">
        <f>_xlfn.XLOOKUP(E360,'All Products'!D:D,'All Products'!F:F,FALSE)</f>
        <v>50</v>
      </c>
      <c r="H360" s="387">
        <f>_xlfn.XLOOKUP(E360,'All Products'!D:D,'All Products'!G:G,FALSE)</f>
        <v>6000</v>
      </c>
      <c r="I360" s="394">
        <f>_xlfn.XLOOKUP(E360,'All Products'!D:D,'All Products'!H:H,FALSE)</f>
        <v>11.57</v>
      </c>
      <c r="J360" s="183">
        <f>IFERROR(ROUND(I360*Order_Quote!$L$4,2),0)</f>
        <v>11.57</v>
      </c>
      <c r="K360" s="73"/>
      <c r="L360" s="76"/>
      <c r="M360" s="114">
        <f t="shared" si="32"/>
        <v>0</v>
      </c>
      <c r="O360" s="384" t="str">
        <f>_xlfn.XLOOKUP(E360,'All Products'!D:D,'All Products'!I:I,FALSE)</f>
        <v>In Stock</v>
      </c>
      <c r="P360" s="384" t="str">
        <f>_xlfn.XLOOKUP(E360,'All Products'!D:D,'All Products'!J:J,FALSE)</f>
        <v>Manufactured</v>
      </c>
      <c r="Q360" s="397">
        <f>_xlfn.XLOOKUP(E360,'All Products'!D:D,'All Products'!K:K,FALSE)</f>
        <v>49081137267</v>
      </c>
      <c r="R360" s="397">
        <f>_xlfn.XLOOKUP(E360,'All Products'!D:D,'All Products'!L:L,FALSE)</f>
        <v>49081637262</v>
      </c>
      <c r="S360" s="397">
        <f>_xlfn.XLOOKUP(E360,'All Products'!D:D,'All Products'!M:M,FALSE)</f>
        <v>40049081137265</v>
      </c>
      <c r="T360" s="384">
        <f>_xlfn.XLOOKUP(E360,'All Products'!D:D,'All Products'!N:N,FALSE)</f>
        <v>0.188</v>
      </c>
      <c r="U360" s="397">
        <f>_xlfn.XLOOKUP(E360,'All Products'!D:D,'All Products'!O:O,FALSE)</f>
        <v>5</v>
      </c>
      <c r="V360" s="384">
        <f>_xlfn.XLOOKUP(E360,'All Products'!D:D,'All Products'!P:P,FALSE)</f>
        <v>10.220000000000001</v>
      </c>
      <c r="W360" s="384">
        <f>_xlfn.XLOOKUP(E360,'All Products'!D:D,'All Products'!Q:Q,FALSE)</f>
        <v>0.65</v>
      </c>
    </row>
    <row r="361" spans="1:23" ht="15" customHeight="1">
      <c r="A361" s="101" t="str">
        <f>IF(K361&gt;0,COUNT($A$7:A360)
+COUNT('DWV PVC'!$A$9:$A$316)
+COUNT('DWV ABS'!$A$8:$A$116)+1,"")</f>
        <v/>
      </c>
      <c r="B361" s="610"/>
      <c r="C361" s="611"/>
      <c r="D361" s="369" t="str">
        <f>_xlfn.XLOOKUP(E361,'All Products'!D:D,'All Products'!C:C,FALSE)</f>
        <v>448-025</v>
      </c>
      <c r="E361" s="51">
        <v>100023063</v>
      </c>
      <c r="F361" s="376" t="str">
        <f>_xlfn.XLOOKUP(E361,'All Products'!D:D,'All Products'!E:E,FALSE)</f>
        <v>2-1/2 CAP FIPT</v>
      </c>
      <c r="G361" s="232">
        <f>_xlfn.XLOOKUP(E361,'All Products'!D:D,'All Products'!F:F,FALSE)</f>
        <v>25</v>
      </c>
      <c r="H361" s="387">
        <f>_xlfn.XLOOKUP(E361,'All Products'!D:D,'All Products'!G:G,FALSE)</f>
        <v>3000</v>
      </c>
      <c r="I361" s="394">
        <f>_xlfn.XLOOKUP(E361,'All Products'!D:D,'All Products'!H:H,FALSE)</f>
        <v>17.02</v>
      </c>
      <c r="J361" s="183">
        <f>IFERROR(ROUND(I361*Order_Quote!$L$4,2),0)</f>
        <v>17.02</v>
      </c>
      <c r="K361" s="73"/>
      <c r="L361" s="76"/>
      <c r="M361" s="114">
        <f t="shared" si="32"/>
        <v>0</v>
      </c>
      <c r="O361" s="384" t="str">
        <f>_xlfn.XLOOKUP(E361,'All Products'!D:D,'All Products'!I:I,FALSE)</f>
        <v>In Stock</v>
      </c>
      <c r="P361" s="384" t="str">
        <f>_xlfn.XLOOKUP(E361,'All Products'!D:D,'All Products'!J:J,FALSE)</f>
        <v>Manufactured</v>
      </c>
      <c r="Q361" s="397">
        <f>_xlfn.XLOOKUP(E361,'All Products'!D:D,'All Products'!K:K,FALSE)</f>
        <v>49081137281</v>
      </c>
      <c r="R361" s="397" t="str">
        <f>_xlfn.XLOOKUP(E361,'All Products'!D:D,'All Products'!L:L,FALSE)</f>
        <v>-</v>
      </c>
      <c r="S361" s="397">
        <f>_xlfn.XLOOKUP(E361,'All Products'!D:D,'All Products'!M:M,FALSE)</f>
        <v>40049081137289</v>
      </c>
      <c r="T361" s="384">
        <f>_xlfn.XLOOKUP(E361,'All Products'!D:D,'All Products'!N:N,FALSE)</f>
        <v>0.44400000000000001</v>
      </c>
      <c r="U361" s="397" t="str">
        <f>_xlfn.XLOOKUP(E361,'All Products'!D:D,'All Products'!O:O,FALSE)</f>
        <v>-</v>
      </c>
      <c r="V361" s="384">
        <f>_xlfn.XLOOKUP(E361,'All Products'!D:D,'All Products'!P:P,FALSE)</f>
        <v>12.06</v>
      </c>
      <c r="W361" s="384">
        <f>_xlfn.XLOOKUP(E361,'All Products'!D:D,'All Products'!Q:Q,FALSE)</f>
        <v>0.65</v>
      </c>
    </row>
    <row r="362" spans="1:23" ht="15" customHeight="1">
      <c r="A362" s="101" t="str">
        <f>IF(K362&gt;0,COUNT($A$7:A361)
+COUNT('DWV PVC'!$A$9:$A$316)
+COUNT('DWV ABS'!$A$8:$A$116)+1,"")</f>
        <v/>
      </c>
      <c r="B362" s="610"/>
      <c r="C362" s="611"/>
      <c r="D362" s="369" t="str">
        <f>_xlfn.XLOOKUP(E362,'All Products'!D:D,'All Products'!C:C,FALSE)</f>
        <v>448-030</v>
      </c>
      <c r="E362" s="51">
        <v>100023065</v>
      </c>
      <c r="F362" s="376" t="str">
        <f>_xlfn.XLOOKUP(E362,'All Products'!D:D,'All Products'!E:E,FALSE)</f>
        <v>3 CAP FIPT</v>
      </c>
      <c r="G362" s="232">
        <f>_xlfn.XLOOKUP(E362,'All Products'!D:D,'All Products'!F:F,FALSE)</f>
        <v>15</v>
      </c>
      <c r="H362" s="387">
        <f>_xlfn.XLOOKUP(E362,'All Products'!D:D,'All Products'!G:G,FALSE)</f>
        <v>2250</v>
      </c>
      <c r="I362" s="394">
        <f>_xlfn.XLOOKUP(E362,'All Products'!D:D,'All Products'!H:H,FALSE)</f>
        <v>22.25</v>
      </c>
      <c r="J362" s="183">
        <f>IFERROR(ROUND(I362*Order_Quote!$L$4,2),0)</f>
        <v>22.25</v>
      </c>
      <c r="K362" s="73"/>
      <c r="L362" s="76"/>
      <c r="M362" s="114">
        <f t="shared" si="32"/>
        <v>0</v>
      </c>
      <c r="O362" s="384" t="str">
        <f>_xlfn.XLOOKUP(E362,'All Products'!D:D,'All Products'!I:I,FALSE)</f>
        <v>In Stock</v>
      </c>
      <c r="P362" s="384" t="str">
        <f>_xlfn.XLOOKUP(E362,'All Products'!D:D,'All Products'!J:J,FALSE)</f>
        <v>Manufactured</v>
      </c>
      <c r="Q362" s="397">
        <f>_xlfn.XLOOKUP(E362,'All Products'!D:D,'All Products'!K:K,FALSE)</f>
        <v>49081137304</v>
      </c>
      <c r="R362" s="397" t="str">
        <f>_xlfn.XLOOKUP(E362,'All Products'!D:D,'All Products'!L:L,FALSE)</f>
        <v>-</v>
      </c>
      <c r="S362" s="397">
        <f>_xlfn.XLOOKUP(E362,'All Products'!D:D,'All Products'!M:M,FALSE)</f>
        <v>40049081137302</v>
      </c>
      <c r="T362" s="384">
        <f>_xlfn.XLOOKUP(E362,'All Products'!D:D,'All Products'!N:N,FALSE)</f>
        <v>0.60399999999999998</v>
      </c>
      <c r="U362" s="397" t="str">
        <f>_xlfn.XLOOKUP(E362,'All Products'!D:D,'All Products'!O:O,FALSE)</f>
        <v>-</v>
      </c>
      <c r="V362" s="384">
        <f>_xlfn.XLOOKUP(E362,'All Products'!D:D,'All Products'!P:P,FALSE)</f>
        <v>9.68</v>
      </c>
      <c r="W362" s="384">
        <f>_xlfn.XLOOKUP(E362,'All Products'!D:D,'All Products'!Q:Q,FALSE)</f>
        <v>0.5</v>
      </c>
    </row>
    <row r="363" spans="1:23" ht="15" customHeight="1">
      <c r="A363" s="101" t="str">
        <f>IF(K363&gt;0,COUNT($A$7:A362)
+COUNT('DWV PVC'!$A$9:$A$316)
+COUNT('DWV ABS'!$A$8:$A$116)+1,"")</f>
        <v/>
      </c>
      <c r="B363" s="612"/>
      <c r="C363" s="613"/>
      <c r="D363" s="369" t="str">
        <f>_xlfn.XLOOKUP(E363,'All Products'!D:D,'All Products'!C:C,FALSE)</f>
        <v>448-040</v>
      </c>
      <c r="E363" s="51">
        <v>100023067</v>
      </c>
      <c r="F363" s="376" t="str">
        <f>_xlfn.XLOOKUP(E363,'All Products'!D:D,'All Products'!E:E,FALSE)</f>
        <v>4 CAP FIPT</v>
      </c>
      <c r="G363" s="232">
        <f>_xlfn.XLOOKUP(E363,'All Products'!D:D,'All Products'!F:F,FALSE)</f>
        <v>9</v>
      </c>
      <c r="H363" s="387">
        <f>_xlfn.XLOOKUP(E363,'All Products'!D:D,'All Products'!G:G,FALSE)</f>
        <v>1350</v>
      </c>
      <c r="I363" s="394">
        <f>_xlfn.XLOOKUP(E363,'All Products'!D:D,'All Products'!H:H,FALSE)</f>
        <v>39.08</v>
      </c>
      <c r="J363" s="183">
        <f>IFERROR(ROUND(I363*Order_Quote!$L$4,2),0)</f>
        <v>39.08</v>
      </c>
      <c r="K363" s="73"/>
      <c r="L363" s="76"/>
      <c r="M363" s="114">
        <f t="shared" si="32"/>
        <v>0</v>
      </c>
      <c r="O363" s="384" t="str">
        <f>_xlfn.XLOOKUP(E363,'All Products'!D:D,'All Products'!I:I,FALSE)</f>
        <v>Within 3 Weeks</v>
      </c>
      <c r="P363" s="384" t="str">
        <f>_xlfn.XLOOKUP(E363,'All Products'!D:D,'All Products'!J:J,FALSE)</f>
        <v>Manufactured</v>
      </c>
      <c r="Q363" s="397">
        <f>_xlfn.XLOOKUP(E363,'All Products'!D:D,'All Products'!K:K,FALSE)</f>
        <v>49081137328</v>
      </c>
      <c r="R363" s="397" t="str">
        <f>_xlfn.XLOOKUP(E363,'All Products'!D:D,'All Products'!L:L,FALSE)</f>
        <v>-</v>
      </c>
      <c r="S363" s="397">
        <f>_xlfn.XLOOKUP(E363,'All Products'!D:D,'All Products'!M:M,FALSE)</f>
        <v>40049081137326</v>
      </c>
      <c r="T363" s="384">
        <f>_xlfn.XLOOKUP(E363,'All Products'!D:D,'All Products'!N:N,FALSE)</f>
        <v>0.93400000000000005</v>
      </c>
      <c r="U363" s="397" t="str">
        <f>_xlfn.XLOOKUP(E363,'All Products'!D:D,'All Products'!O:O,FALSE)</f>
        <v>-</v>
      </c>
      <c r="V363" s="384">
        <f>_xlfn.XLOOKUP(E363,'All Products'!D:D,'All Products'!P:P,FALSE)</f>
        <v>9.39</v>
      </c>
      <c r="W363" s="384">
        <f>_xlfn.XLOOKUP(E363,'All Products'!D:D,'All Products'!Q:Q,FALSE)</f>
        <v>0.5</v>
      </c>
    </row>
    <row r="364" spans="1:23" ht="15" customHeight="1">
      <c r="A364" s="101" t="str">
        <f>IF(K364&gt;0,COUNT($A$7:A363)
+COUNT('DWV PVC'!$A$9:$A$316)
+COUNT('DWV ABS'!$A$8:$A$116)+1,"")</f>
        <v/>
      </c>
      <c r="B364" s="608"/>
      <c r="C364" s="609"/>
      <c r="D364" s="369" t="str">
        <f>_xlfn.XLOOKUP(E364,'All Products'!D:D,'All Products'!C:C,FALSE)</f>
        <v>449-005</v>
      </c>
      <c r="E364" s="51">
        <v>100023069</v>
      </c>
      <c r="F364" s="376" t="str">
        <f>_xlfn.XLOOKUP(E364,'All Products'!D:D,'All Products'!E:E,FALSE)</f>
        <v>1/2 SPIGOT PLUG</v>
      </c>
      <c r="G364" s="232">
        <f>_xlfn.XLOOKUP(E364,'All Products'!D:D,'All Products'!F:F,FALSE)</f>
        <v>250</v>
      </c>
      <c r="H364" s="387">
        <f>_xlfn.XLOOKUP(E364,'All Products'!D:D,'All Products'!G:G,FALSE)</f>
        <v>67500</v>
      </c>
      <c r="I364" s="394">
        <f>_xlfn.XLOOKUP(E364,'All Products'!D:D,'All Products'!H:H,FALSE)</f>
        <v>3.48</v>
      </c>
      <c r="J364" s="183">
        <f>IFERROR(ROUND(I364*Order_Quote!$L$4,2),0)</f>
        <v>3.48</v>
      </c>
      <c r="K364" s="73"/>
      <c r="L364" s="76"/>
      <c r="M364" s="114">
        <f t="shared" si="32"/>
        <v>0</v>
      </c>
      <c r="O364" s="384" t="str">
        <f>_xlfn.XLOOKUP(E364,'All Products'!D:D,'All Products'!I:I,FALSE)</f>
        <v>In Stock</v>
      </c>
      <c r="P364" s="384" t="str">
        <f>_xlfn.XLOOKUP(E364,'All Products'!D:D,'All Products'!J:J,FALSE)</f>
        <v>Manufactured</v>
      </c>
      <c r="Q364" s="397">
        <f>_xlfn.XLOOKUP(E364,'All Products'!D:D,'All Products'!K:K,FALSE)</f>
        <v>49081142865</v>
      </c>
      <c r="R364" s="397">
        <f>_xlfn.XLOOKUP(E364,'All Products'!D:D,'All Products'!L:L,FALSE)</f>
        <v>49081642860</v>
      </c>
      <c r="S364" s="397">
        <f>_xlfn.XLOOKUP(E364,'All Products'!D:D,'All Products'!M:M,FALSE)</f>
        <v>40049081142863</v>
      </c>
      <c r="T364" s="384">
        <f>_xlfn.XLOOKUP(E364,'All Products'!D:D,'All Products'!N:N,FALSE)</f>
        <v>2.1999999999999999E-2</v>
      </c>
      <c r="U364" s="397">
        <f>_xlfn.XLOOKUP(E364,'All Products'!D:D,'All Products'!O:O,FALSE)</f>
        <v>10</v>
      </c>
      <c r="V364" s="384">
        <f>_xlfn.XLOOKUP(E364,'All Products'!D:D,'All Products'!P:P,FALSE)</f>
        <v>6.3</v>
      </c>
      <c r="W364" s="384">
        <f>_xlfn.XLOOKUP(E364,'All Products'!D:D,'All Products'!Q:Q,FALSE)</f>
        <v>0.31</v>
      </c>
    </row>
    <row r="365" spans="1:23" ht="15" customHeight="1">
      <c r="A365" s="101" t="str">
        <f>IF(K365&gt;0,COUNT($A$7:A364)
+COUNT('DWV PVC'!$A$9:$A$316)
+COUNT('DWV ABS'!$A$8:$A$116)+1,"")</f>
        <v/>
      </c>
      <c r="B365" s="610"/>
      <c r="C365" s="611"/>
      <c r="D365" s="369" t="str">
        <f>_xlfn.XLOOKUP(E365,'All Products'!D:D,'All Products'!C:C,FALSE)</f>
        <v>449-007</v>
      </c>
      <c r="E365" s="51">
        <v>100023071</v>
      </c>
      <c r="F365" s="376" t="str">
        <f>_xlfn.XLOOKUP(E365,'All Products'!D:D,'All Products'!E:E,FALSE)</f>
        <v>3/4 SPIGOT PLUG</v>
      </c>
      <c r="G365" s="232">
        <f>_xlfn.XLOOKUP(E365,'All Products'!D:D,'All Products'!F:F,FALSE)</f>
        <v>250</v>
      </c>
      <c r="H365" s="387">
        <f>_xlfn.XLOOKUP(E365,'All Products'!D:D,'All Products'!G:G,FALSE)</f>
        <v>37500</v>
      </c>
      <c r="I365" s="394">
        <f>_xlfn.XLOOKUP(E365,'All Products'!D:D,'All Products'!H:H,FALSE)</f>
        <v>4.07</v>
      </c>
      <c r="J365" s="183">
        <f>IFERROR(ROUND(I365*Order_Quote!$L$4,2),0)</f>
        <v>4.07</v>
      </c>
      <c r="K365" s="73"/>
      <c r="L365" s="76"/>
      <c r="M365" s="114">
        <f t="shared" si="32"/>
        <v>0</v>
      </c>
      <c r="O365" s="384" t="str">
        <f>_xlfn.XLOOKUP(E365,'All Products'!D:D,'All Products'!I:I,FALSE)</f>
        <v>In Stock</v>
      </c>
      <c r="P365" s="384" t="str">
        <f>_xlfn.XLOOKUP(E365,'All Products'!D:D,'All Products'!J:J,FALSE)</f>
        <v>Manufactured</v>
      </c>
      <c r="Q365" s="397">
        <f>_xlfn.XLOOKUP(E365,'All Products'!D:D,'All Products'!K:K,FALSE)</f>
        <v>49081142889</v>
      </c>
      <c r="R365" s="397">
        <f>_xlfn.XLOOKUP(E365,'All Products'!D:D,'All Products'!L:L,FALSE)</f>
        <v>49081642884</v>
      </c>
      <c r="S365" s="397">
        <f>_xlfn.XLOOKUP(E365,'All Products'!D:D,'All Products'!M:M,FALSE)</f>
        <v>40049081142887</v>
      </c>
      <c r="T365" s="384">
        <f>_xlfn.XLOOKUP(E365,'All Products'!D:D,'All Products'!N:N,FALSE)</f>
        <v>3.5000000000000003E-2</v>
      </c>
      <c r="U365" s="397">
        <f>_xlfn.XLOOKUP(E365,'All Products'!D:D,'All Products'!O:O,FALSE)</f>
        <v>10</v>
      </c>
      <c r="V365" s="384">
        <f>_xlfn.XLOOKUP(E365,'All Products'!D:D,'All Products'!P:P,FALSE)</f>
        <v>9.61</v>
      </c>
      <c r="W365" s="384">
        <f>_xlfn.XLOOKUP(E365,'All Products'!D:D,'All Products'!Q:Q,FALSE)</f>
        <v>0.5</v>
      </c>
    </row>
    <row r="366" spans="1:23" ht="15" customHeight="1">
      <c r="A366" s="101" t="str">
        <f>IF(K366&gt;0,COUNT($A$7:A365)
+COUNT('DWV PVC'!$A$9:$A$316)
+COUNT('DWV ABS'!$A$8:$A$116)+1,"")</f>
        <v/>
      </c>
      <c r="B366" s="610"/>
      <c r="C366" s="611"/>
      <c r="D366" s="369" t="str">
        <f>_xlfn.XLOOKUP(E366,'All Products'!D:D,'All Products'!C:C,FALSE)</f>
        <v>449-010</v>
      </c>
      <c r="E366" s="51">
        <v>100023073</v>
      </c>
      <c r="F366" s="376" t="str">
        <f>_xlfn.XLOOKUP(E366,'All Products'!D:D,'All Products'!E:E,FALSE)</f>
        <v>1 SPIGOT PLUG</v>
      </c>
      <c r="G366" s="232">
        <f>_xlfn.XLOOKUP(E366,'All Products'!D:D,'All Products'!F:F,FALSE)</f>
        <v>250</v>
      </c>
      <c r="H366" s="387">
        <f>_xlfn.XLOOKUP(E366,'All Products'!D:D,'All Products'!G:G,FALSE)</f>
        <v>22500</v>
      </c>
      <c r="I366" s="394">
        <f>_xlfn.XLOOKUP(E366,'All Products'!D:D,'All Products'!H:H,FALSE)</f>
        <v>4.92</v>
      </c>
      <c r="J366" s="183">
        <f>IFERROR(ROUND(I366*Order_Quote!$L$4,2),0)</f>
        <v>4.92</v>
      </c>
      <c r="K366" s="73"/>
      <c r="L366" s="76"/>
      <c r="M366" s="114">
        <f t="shared" si="32"/>
        <v>0</v>
      </c>
      <c r="O366" s="384" t="str">
        <f>_xlfn.XLOOKUP(E366,'All Products'!D:D,'All Products'!I:I,FALSE)</f>
        <v>In Stock</v>
      </c>
      <c r="P366" s="384" t="str">
        <f>_xlfn.XLOOKUP(E366,'All Products'!D:D,'All Products'!J:J,FALSE)</f>
        <v>Manufactured</v>
      </c>
      <c r="Q366" s="397">
        <f>_xlfn.XLOOKUP(E366,'All Products'!D:D,'All Products'!K:K,FALSE)</f>
        <v>49081142902</v>
      </c>
      <c r="R366" s="397">
        <f>_xlfn.XLOOKUP(E366,'All Products'!D:D,'All Products'!L:L,FALSE)</f>
        <v>49081642907</v>
      </c>
      <c r="S366" s="397">
        <f>_xlfn.XLOOKUP(E366,'All Products'!D:D,'All Products'!M:M,FALSE)</f>
        <v>40049081142900</v>
      </c>
      <c r="T366" s="384">
        <f>_xlfn.XLOOKUP(E366,'All Products'!D:D,'All Products'!N:N,FALSE)</f>
        <v>5.7000000000000002E-2</v>
      </c>
      <c r="U366" s="397">
        <f>_xlfn.XLOOKUP(E366,'All Products'!D:D,'All Products'!O:O,FALSE)</f>
        <v>10</v>
      </c>
      <c r="V366" s="384">
        <f>_xlfn.XLOOKUP(E366,'All Products'!D:D,'All Products'!P:P,FALSE)</f>
        <v>15.79</v>
      </c>
      <c r="W366" s="384">
        <f>_xlfn.XLOOKUP(E366,'All Products'!D:D,'All Products'!Q:Q,FALSE)</f>
        <v>0.8</v>
      </c>
    </row>
    <row r="367" spans="1:23" ht="15" customHeight="1">
      <c r="B367" s="610"/>
      <c r="C367" s="611"/>
      <c r="D367" s="369" t="str">
        <f>_xlfn.XLOOKUP(E367,'All Products'!D:D,'All Products'!C:C,FALSE)</f>
        <v>449-012</v>
      </c>
      <c r="E367" s="51">
        <v>100023075</v>
      </c>
      <c r="F367" s="376" t="str">
        <f>_xlfn.XLOOKUP(E367,'All Products'!D:D,'All Products'!E:E,FALSE)</f>
        <v>1-1/4" SPIGOT PLUG</v>
      </c>
      <c r="G367" s="232">
        <f>_xlfn.XLOOKUP(E367,'All Products'!D:D,'All Products'!F:F,FALSE)</f>
        <v>125</v>
      </c>
      <c r="H367" s="387">
        <f>_xlfn.XLOOKUP(E367,'All Products'!D:D,'All Products'!G:G,FALSE)</f>
        <v>9375</v>
      </c>
      <c r="I367" s="394">
        <f>_xlfn.XLOOKUP(E367,'All Products'!D:D,'All Products'!H:H,FALSE)</f>
        <v>6.23</v>
      </c>
      <c r="J367" s="183">
        <f>IFERROR(ROUND(I367*Order_Quote!$L$4,2),0)</f>
        <v>6.23</v>
      </c>
      <c r="K367" s="73"/>
      <c r="L367" s="76"/>
      <c r="M367" s="114">
        <f t="shared" ref="M367" si="33">K367/G367</f>
        <v>0</v>
      </c>
      <c r="O367" s="384" t="str">
        <f>_xlfn.XLOOKUP(E367,'All Products'!D:D,'All Products'!I:I,FALSE)</f>
        <v>In Stock</v>
      </c>
      <c r="P367" s="384" t="str">
        <f>_xlfn.XLOOKUP(E367,'All Products'!D:D,'All Products'!J:J,FALSE)</f>
        <v>Manufactured</v>
      </c>
      <c r="Q367" s="397">
        <f>_xlfn.XLOOKUP(E367,'All Products'!D:D,'All Products'!K:K,FALSE)</f>
        <v>49081142926</v>
      </c>
      <c r="R367" s="397">
        <f>_xlfn.XLOOKUP(E367,'All Products'!D:D,'All Products'!L:L,FALSE)</f>
        <v>49081642921</v>
      </c>
      <c r="S367" s="397">
        <f>_xlfn.XLOOKUP(E367,'All Products'!D:D,'All Products'!M:M,FALSE)</f>
        <v>40049081142924</v>
      </c>
      <c r="T367" s="384">
        <f>_xlfn.XLOOKUP(E367,'All Products'!D:D,'All Products'!N:N,FALSE)</f>
        <v>8.6999999999999994E-2</v>
      </c>
      <c r="U367" s="397">
        <f>_xlfn.XLOOKUP(E367,'All Products'!D:D,'All Products'!O:O,FALSE)</f>
        <v>5</v>
      </c>
      <c r="V367" s="384">
        <f>_xlfn.XLOOKUP(E367,'All Products'!D:D,'All Products'!P:P,FALSE)</f>
        <v>11.87</v>
      </c>
      <c r="W367" s="384">
        <f>_xlfn.XLOOKUP(E367,'All Products'!D:D,'All Products'!Q:Q,FALSE)</f>
        <v>0.57999999999999996</v>
      </c>
    </row>
    <row r="368" spans="1:23" ht="15" customHeight="1">
      <c r="A368" s="101" t="str">
        <f>IF(K368&gt;0,COUNT($A$7:A366)
+COUNT('DWV PVC'!$A$9:$A$316)
+COUNT('DWV ABS'!$A$8:$A$116)+1,"")</f>
        <v/>
      </c>
      <c r="B368" s="610"/>
      <c r="C368" s="611"/>
      <c r="D368" s="369" t="str">
        <f>_xlfn.XLOOKUP(E368,'All Products'!D:D,'All Products'!C:C,FALSE)</f>
        <v>449-015</v>
      </c>
      <c r="E368" s="51">
        <v>100023077</v>
      </c>
      <c r="F368" s="376" t="str">
        <f>_xlfn.XLOOKUP(E368,'All Products'!D:D,'All Products'!E:E,FALSE)</f>
        <v>1-1/2 SPIGOT PLUG</v>
      </c>
      <c r="G368" s="232">
        <f>_xlfn.XLOOKUP(E368,'All Products'!D:D,'All Products'!F:F,FALSE)</f>
        <v>50</v>
      </c>
      <c r="H368" s="387">
        <f>_xlfn.XLOOKUP(E368,'All Products'!D:D,'All Products'!G:G,FALSE)</f>
        <v>7500</v>
      </c>
      <c r="I368" s="394">
        <f>_xlfn.XLOOKUP(E368,'All Products'!D:D,'All Products'!H:H,FALSE)</f>
        <v>8.34</v>
      </c>
      <c r="J368" s="183">
        <f>IFERROR(ROUND(I368*Order_Quote!$L$4,2),0)</f>
        <v>8.34</v>
      </c>
      <c r="K368" s="73"/>
      <c r="L368" s="76"/>
      <c r="M368" s="114">
        <f t="shared" si="32"/>
        <v>0</v>
      </c>
      <c r="O368" s="384" t="str">
        <f>_xlfn.XLOOKUP(E368,'All Products'!D:D,'All Products'!I:I,FALSE)</f>
        <v>In Stock</v>
      </c>
      <c r="P368" s="384" t="str">
        <f>_xlfn.XLOOKUP(E368,'All Products'!D:D,'All Products'!J:J,FALSE)</f>
        <v>Manufactured</v>
      </c>
      <c r="Q368" s="397">
        <f>_xlfn.XLOOKUP(E368,'All Products'!D:D,'All Products'!K:K,FALSE)</f>
        <v>49081142940</v>
      </c>
      <c r="R368" s="397">
        <f>_xlfn.XLOOKUP(E368,'All Products'!D:D,'All Products'!L:L,FALSE)</f>
        <v>49081642945</v>
      </c>
      <c r="S368" s="397">
        <f>_xlfn.XLOOKUP(E368,'All Products'!D:D,'All Products'!M:M,FALSE)</f>
        <v>40049081142948</v>
      </c>
      <c r="T368" s="384">
        <f>_xlfn.XLOOKUP(E368,'All Products'!D:D,'All Products'!N:N,FALSE)</f>
        <v>0.122</v>
      </c>
      <c r="U368" s="397">
        <f>_xlfn.XLOOKUP(E368,'All Products'!D:D,'All Products'!O:O,FALSE)</f>
        <v>5</v>
      </c>
      <c r="V368" s="384">
        <f>_xlfn.XLOOKUP(E368,'All Products'!D:D,'All Products'!P:P,FALSE)</f>
        <v>7.14</v>
      </c>
      <c r="W368" s="384">
        <f>_xlfn.XLOOKUP(E368,'All Products'!D:D,'All Products'!Q:Q,FALSE)</f>
        <v>0.5</v>
      </c>
    </row>
    <row r="369" spans="1:23" ht="15" customHeight="1">
      <c r="A369" s="101" t="str">
        <f>IF(K369&gt;0,COUNT($A$7:A368)
+COUNT('DWV PVC'!$A$9:$A$316)
+COUNT('DWV ABS'!$A$8:$A$116)+1,"")</f>
        <v/>
      </c>
      <c r="B369" s="610"/>
      <c r="C369" s="611"/>
      <c r="D369" s="369" t="str">
        <f>_xlfn.XLOOKUP(E369,'All Products'!D:D,'All Products'!C:C,FALSE)</f>
        <v>449-020</v>
      </c>
      <c r="E369" s="51">
        <v>100023079</v>
      </c>
      <c r="F369" s="376" t="str">
        <f>_xlfn.XLOOKUP(E369,'All Products'!D:D,'All Products'!E:E,FALSE)</f>
        <v>2 SPIGOT PLUG</v>
      </c>
      <c r="G369" s="232">
        <f>_xlfn.XLOOKUP(E369,'All Products'!D:D,'All Products'!F:F,FALSE)</f>
        <v>50</v>
      </c>
      <c r="H369" s="387">
        <f>_xlfn.XLOOKUP(E369,'All Products'!D:D,'All Products'!G:G,FALSE)</f>
        <v>7500</v>
      </c>
      <c r="I369" s="394">
        <f>_xlfn.XLOOKUP(E369,'All Products'!D:D,'All Products'!H:H,FALSE)</f>
        <v>10.3</v>
      </c>
      <c r="J369" s="183">
        <f>IFERROR(ROUND(I369*Order_Quote!$L$4,2),0)</f>
        <v>10.3</v>
      </c>
      <c r="K369" s="73"/>
      <c r="L369" s="76"/>
      <c r="M369" s="114">
        <f t="shared" si="32"/>
        <v>0</v>
      </c>
      <c r="O369" s="384" t="str">
        <f>_xlfn.XLOOKUP(E369,'All Products'!D:D,'All Products'!I:I,FALSE)</f>
        <v>In Stock</v>
      </c>
      <c r="P369" s="384" t="str">
        <f>_xlfn.XLOOKUP(E369,'All Products'!D:D,'All Products'!J:J,FALSE)</f>
        <v>Manufactured</v>
      </c>
      <c r="Q369" s="397">
        <f>_xlfn.XLOOKUP(E369,'All Products'!D:D,'All Products'!K:K,FALSE)</f>
        <v>49081142964</v>
      </c>
      <c r="R369" s="397">
        <f>_xlfn.XLOOKUP(E369,'All Products'!D:D,'All Products'!L:L,FALSE)</f>
        <v>49081642969</v>
      </c>
      <c r="S369" s="397">
        <f>_xlfn.XLOOKUP(E369,'All Products'!D:D,'All Products'!M:M,FALSE)</f>
        <v>40049081142962</v>
      </c>
      <c r="T369" s="384">
        <f>_xlfn.XLOOKUP(E369,'All Products'!D:D,'All Products'!N:N,FALSE)</f>
        <v>0.13500000000000001</v>
      </c>
      <c r="U369" s="397">
        <f>_xlfn.XLOOKUP(E369,'All Products'!D:D,'All Products'!O:O,FALSE)</f>
        <v>5</v>
      </c>
      <c r="V369" s="384">
        <f>_xlfn.XLOOKUP(E369,'All Products'!D:D,'All Products'!P:P,FALSE)</f>
        <v>9.9700000000000006</v>
      </c>
      <c r="W369" s="384">
        <f>_xlfn.XLOOKUP(E369,'All Products'!D:D,'All Products'!Q:Q,FALSE)</f>
        <v>0.5</v>
      </c>
    </row>
    <row r="370" spans="1:23" ht="15" customHeight="1">
      <c r="A370" s="101" t="str">
        <f>IF(K370&gt;0,COUNT($A$7:A369)
+COUNT('DWV PVC'!$A$9:$A$316)
+COUNT('DWV ABS'!$A$8:$A$116)+1,"")</f>
        <v/>
      </c>
      <c r="B370" s="612"/>
      <c r="C370" s="613"/>
      <c r="D370" s="369" t="str">
        <f>_xlfn.XLOOKUP(E370,'All Products'!D:D,'All Products'!C:C,FALSE)</f>
        <v>449-040</v>
      </c>
      <c r="E370" s="51">
        <v>100023084</v>
      </c>
      <c r="F370" s="376" t="str">
        <f>_xlfn.XLOOKUP(E370,'All Products'!D:D,'All Products'!E:E,FALSE)</f>
        <v>4 SPIGOT PLUG</v>
      </c>
      <c r="G370" s="232">
        <f>_xlfn.XLOOKUP(E370,'All Products'!D:D,'All Products'!F:F,FALSE)</f>
        <v>10</v>
      </c>
      <c r="H370" s="387">
        <f>_xlfn.XLOOKUP(E370,'All Products'!D:D,'All Products'!G:G,FALSE)</f>
        <v>1500</v>
      </c>
      <c r="I370" s="394">
        <f>_xlfn.XLOOKUP(E370,'All Products'!D:D,'All Products'!H:H,FALSE)</f>
        <v>52.69</v>
      </c>
      <c r="J370" s="183">
        <f>IFERROR(ROUND(I370*Order_Quote!$L$4,2),0)</f>
        <v>52.69</v>
      </c>
      <c r="K370" s="73"/>
      <c r="L370" s="76"/>
      <c r="M370" s="114">
        <f t="shared" si="32"/>
        <v>0</v>
      </c>
      <c r="O370" s="384" t="str">
        <f>_xlfn.XLOOKUP(E370,'All Products'!D:D,'All Products'!I:I,FALSE)</f>
        <v>In Stock</v>
      </c>
      <c r="P370" s="384" t="str">
        <f>_xlfn.XLOOKUP(E370,'All Products'!D:D,'All Products'!J:J,FALSE)</f>
        <v>Manufactured</v>
      </c>
      <c r="Q370" s="397">
        <f>_xlfn.XLOOKUP(E370,'All Products'!D:D,'All Products'!K:K,FALSE)</f>
        <v>49081143022</v>
      </c>
      <c r="R370" s="397" t="str">
        <f>_xlfn.XLOOKUP(E370,'All Products'!D:D,'All Products'!L:L,FALSE)</f>
        <v>-</v>
      </c>
      <c r="S370" s="397">
        <f>_xlfn.XLOOKUP(E370,'All Products'!D:D,'All Products'!M:M,FALSE)</f>
        <v>40049081143020</v>
      </c>
      <c r="T370" s="384">
        <f>_xlfn.XLOOKUP(E370,'All Products'!D:D,'All Products'!N:N,FALSE)</f>
        <v>0.72899999999999998</v>
      </c>
      <c r="U370" s="397" t="str">
        <f>_xlfn.XLOOKUP(E370,'All Products'!D:D,'All Products'!O:O,FALSE)</f>
        <v>-</v>
      </c>
      <c r="V370" s="384">
        <f>_xlfn.XLOOKUP(E370,'All Products'!D:D,'All Products'!P:P,FALSE)</f>
        <v>7.37</v>
      </c>
      <c r="W370" s="384">
        <f>_xlfn.XLOOKUP(E370,'All Products'!D:D,'All Products'!Q:Q,FALSE)</f>
        <v>0.5</v>
      </c>
    </row>
    <row r="371" spans="1:23" ht="15" customHeight="1">
      <c r="A371" s="101" t="str">
        <f>IF(K371&gt;0,COUNT($A$7:A370)
+COUNT('DWV PVC'!$A$9:$A$316)
+COUNT('DWV ABS'!$A$8:$A$116)+1,"")</f>
        <v/>
      </c>
      <c r="B371" s="608"/>
      <c r="C371" s="609"/>
      <c r="D371" s="369" t="str">
        <f>_xlfn.XLOOKUP(E371,'All Products'!D:D,'All Products'!C:C,FALSE)</f>
        <v>450-002</v>
      </c>
      <c r="E371" s="51">
        <v>100023086</v>
      </c>
      <c r="F371" s="376" t="str">
        <f>_xlfn.XLOOKUP(E371,'All Products'!D:D,'All Products'!E:E,FALSE)</f>
        <v>1/4 PLUG MIPT</v>
      </c>
      <c r="G371" s="232">
        <f>_xlfn.XLOOKUP(E371,'All Products'!D:D,'All Products'!F:F,FALSE)</f>
        <v>500</v>
      </c>
      <c r="H371" s="387">
        <f>_xlfn.XLOOKUP(E371,'All Products'!D:D,'All Products'!G:G,FALSE)</f>
        <v>75000</v>
      </c>
      <c r="I371" s="394">
        <f>_xlfn.XLOOKUP(E371,'All Products'!D:D,'All Products'!H:H,FALSE)</f>
        <v>2.93</v>
      </c>
      <c r="J371" s="183">
        <f>IFERROR(ROUND(I371*Order_Quote!$L$4,2),0)</f>
        <v>2.93</v>
      </c>
      <c r="K371" s="73"/>
      <c r="L371" s="76"/>
      <c r="M371" s="114">
        <f t="shared" si="32"/>
        <v>0</v>
      </c>
      <c r="O371" s="384" t="str">
        <f>_xlfn.XLOOKUP(E371,'All Products'!D:D,'All Products'!I:I,FALSE)</f>
        <v>Within 3 Weeks</v>
      </c>
      <c r="P371" s="384" t="str">
        <f>_xlfn.XLOOKUP(E371,'All Products'!D:D,'All Products'!J:J,FALSE)</f>
        <v>Manufactured</v>
      </c>
      <c r="Q371" s="397">
        <f>_xlfn.XLOOKUP(E371,'All Products'!D:D,'All Products'!K:K,FALSE)</f>
        <v>49081143114</v>
      </c>
      <c r="R371" s="397">
        <f>_xlfn.XLOOKUP(E371,'All Products'!D:D,'All Products'!L:L,FALSE)</f>
        <v>49081643119</v>
      </c>
      <c r="S371" s="397">
        <f>_xlfn.XLOOKUP(E371,'All Products'!D:D,'All Products'!M:M,FALSE)</f>
        <v>40049081143112</v>
      </c>
      <c r="T371" s="384">
        <f>_xlfn.XLOOKUP(E371,'All Products'!D:D,'All Products'!N:N,FALSE)</f>
        <v>1.7000000000000001E-2</v>
      </c>
      <c r="U371" s="397">
        <f>_xlfn.XLOOKUP(E371,'All Products'!D:D,'All Products'!O:O,FALSE)</f>
        <v>10</v>
      </c>
      <c r="V371" s="384">
        <f>_xlfn.XLOOKUP(E371,'All Products'!D:D,'All Products'!P:P,FALSE)</f>
        <v>8.81</v>
      </c>
      <c r="W371" s="384">
        <f>_xlfn.XLOOKUP(E371,'All Products'!D:D,'All Products'!Q:Q,FALSE)</f>
        <v>0.5</v>
      </c>
    </row>
    <row r="372" spans="1:23" ht="15" customHeight="1">
      <c r="A372" s="101" t="str">
        <f>IF(K372&gt;0,COUNT($A$7:A371)
+COUNT('DWV PVC'!$A$9:$A$316)
+COUNT('DWV ABS'!$A$8:$A$116)+1,"")</f>
        <v/>
      </c>
      <c r="B372" s="610"/>
      <c r="C372" s="611"/>
      <c r="D372" s="369" t="str">
        <f>_xlfn.XLOOKUP(E372,'All Products'!D:D,'All Products'!C:C,FALSE)</f>
        <v>450-005</v>
      </c>
      <c r="E372" s="51">
        <v>100023088</v>
      </c>
      <c r="F372" s="376" t="str">
        <f>_xlfn.XLOOKUP(E372,'All Products'!D:D,'All Products'!E:E,FALSE)</f>
        <v>1/2 PLUG MIPT</v>
      </c>
      <c r="G372" s="232">
        <f>_xlfn.XLOOKUP(E372,'All Products'!D:D,'All Products'!F:F,FALSE)</f>
        <v>250</v>
      </c>
      <c r="H372" s="387">
        <f>_xlfn.XLOOKUP(E372,'All Products'!D:D,'All Products'!G:G,FALSE)</f>
        <v>67500</v>
      </c>
      <c r="I372" s="394">
        <f>_xlfn.XLOOKUP(E372,'All Products'!D:D,'All Products'!H:H,FALSE)</f>
        <v>4.32</v>
      </c>
      <c r="J372" s="183">
        <f>IFERROR(ROUND(I372*Order_Quote!$L$4,2),0)</f>
        <v>4.32</v>
      </c>
      <c r="K372" s="73"/>
      <c r="L372" s="76"/>
      <c r="M372" s="114">
        <f t="shared" si="32"/>
        <v>0</v>
      </c>
      <c r="O372" s="384" t="str">
        <f>_xlfn.XLOOKUP(E372,'All Products'!D:D,'All Products'!I:I,FALSE)</f>
        <v>In Stock</v>
      </c>
      <c r="P372" s="384" t="str">
        <f>_xlfn.XLOOKUP(E372,'All Products'!D:D,'All Products'!J:J,FALSE)</f>
        <v>Manufactured</v>
      </c>
      <c r="Q372" s="397">
        <f>_xlfn.XLOOKUP(E372,'All Products'!D:D,'All Products'!K:K,FALSE)</f>
        <v>49081143145</v>
      </c>
      <c r="R372" s="397">
        <f>_xlfn.XLOOKUP(E372,'All Products'!D:D,'All Products'!L:L,FALSE)</f>
        <v>49081643140</v>
      </c>
      <c r="S372" s="397">
        <f>_xlfn.XLOOKUP(E372,'All Products'!D:D,'All Products'!M:M,FALSE)</f>
        <v>40049081143143</v>
      </c>
      <c r="T372" s="384">
        <f>_xlfn.XLOOKUP(E372,'All Products'!D:D,'All Products'!N:N,FALSE)</f>
        <v>2.1999999999999999E-2</v>
      </c>
      <c r="U372" s="397">
        <f>_xlfn.XLOOKUP(E372,'All Products'!D:D,'All Products'!O:O,FALSE)</f>
        <v>10</v>
      </c>
      <c r="V372" s="384">
        <f>_xlfn.XLOOKUP(E372,'All Products'!D:D,'All Products'!P:P,FALSE)</f>
        <v>6.41</v>
      </c>
      <c r="W372" s="384">
        <f>_xlfn.XLOOKUP(E372,'All Products'!D:D,'All Products'!Q:Q,FALSE)</f>
        <v>0.31</v>
      </c>
    </row>
    <row r="373" spans="1:23" ht="15" customHeight="1">
      <c r="A373" s="101" t="str">
        <f>IF(K373&gt;0,COUNT($A$7:A372)
+COUNT('DWV PVC'!$A$9:$A$316)
+COUNT('DWV ABS'!$A$8:$A$116)+1,"")</f>
        <v/>
      </c>
      <c r="B373" s="610"/>
      <c r="C373" s="611"/>
      <c r="D373" s="369" t="str">
        <f>_xlfn.XLOOKUP(E373,'All Products'!D:D,'All Products'!C:C,FALSE)</f>
        <v>450-007</v>
      </c>
      <c r="E373" s="51">
        <v>100023090</v>
      </c>
      <c r="F373" s="376" t="str">
        <f>_xlfn.XLOOKUP(E373,'All Products'!D:D,'All Products'!E:E,FALSE)</f>
        <v>3/4 PLUG MIPT</v>
      </c>
      <c r="G373" s="232">
        <f>_xlfn.XLOOKUP(E373,'All Products'!D:D,'All Products'!F:F,FALSE)</f>
        <v>500</v>
      </c>
      <c r="H373" s="387">
        <f>_xlfn.XLOOKUP(E373,'All Products'!D:D,'All Products'!G:G,FALSE)</f>
        <v>45000</v>
      </c>
      <c r="I373" s="394">
        <f>_xlfn.XLOOKUP(E373,'All Products'!D:D,'All Products'!H:H,FALSE)</f>
        <v>4.62</v>
      </c>
      <c r="J373" s="183">
        <f>IFERROR(ROUND(I373*Order_Quote!$L$4,2),0)</f>
        <v>4.62</v>
      </c>
      <c r="K373" s="73"/>
      <c r="L373" s="76"/>
      <c r="M373" s="114">
        <f t="shared" si="32"/>
        <v>0</v>
      </c>
      <c r="O373" s="384" t="str">
        <f>_xlfn.XLOOKUP(E373,'All Products'!D:D,'All Products'!I:I,FALSE)</f>
        <v>In Stock</v>
      </c>
      <c r="P373" s="384" t="str">
        <f>_xlfn.XLOOKUP(E373,'All Products'!D:D,'All Products'!J:J,FALSE)</f>
        <v>Manufactured</v>
      </c>
      <c r="Q373" s="397">
        <f>_xlfn.XLOOKUP(E373,'All Products'!D:D,'All Products'!K:K,FALSE)</f>
        <v>49081143169</v>
      </c>
      <c r="R373" s="397">
        <f>_xlfn.XLOOKUP(E373,'All Products'!D:D,'All Products'!L:L,FALSE)</f>
        <v>49081643164</v>
      </c>
      <c r="S373" s="397">
        <f>_xlfn.XLOOKUP(E373,'All Products'!D:D,'All Products'!M:M,FALSE)</f>
        <v>40049081143167</v>
      </c>
      <c r="T373" s="384">
        <f>_xlfn.XLOOKUP(E373,'All Products'!D:D,'All Products'!N:N,FALSE)</f>
        <v>2.7E-2</v>
      </c>
      <c r="U373" s="397">
        <f>_xlfn.XLOOKUP(E373,'All Products'!D:D,'All Products'!O:O,FALSE)</f>
        <v>10</v>
      </c>
      <c r="V373" s="384">
        <f>_xlfn.XLOOKUP(E373,'All Products'!D:D,'All Products'!P:P,FALSE)</f>
        <v>15.34</v>
      </c>
      <c r="W373" s="384">
        <f>_xlfn.XLOOKUP(E373,'All Products'!D:D,'All Products'!Q:Q,FALSE)</f>
        <v>0.8</v>
      </c>
    </row>
    <row r="374" spans="1:23" ht="15" customHeight="1">
      <c r="A374" s="101" t="str">
        <f>IF(K374&gt;0,COUNT($A$7:A373)
+COUNT('DWV PVC'!$A$9:$A$316)
+COUNT('DWV ABS'!$A$8:$A$116)+1,"")</f>
        <v/>
      </c>
      <c r="B374" s="610"/>
      <c r="C374" s="611"/>
      <c r="D374" s="369" t="str">
        <f>_xlfn.XLOOKUP(E374,'All Products'!D:D,'All Products'!C:C,FALSE)</f>
        <v>450-010</v>
      </c>
      <c r="E374" s="51">
        <v>100023092</v>
      </c>
      <c r="F374" s="376" t="str">
        <f>_xlfn.XLOOKUP(E374,'All Products'!D:D,'All Products'!E:E,FALSE)</f>
        <v>1 PLUG MIPT</v>
      </c>
      <c r="G374" s="232">
        <f>_xlfn.XLOOKUP(E374,'All Products'!D:D,'All Products'!F:F,FALSE)</f>
        <v>250</v>
      </c>
      <c r="H374" s="387">
        <f>_xlfn.XLOOKUP(E374,'All Products'!D:D,'All Products'!G:G,FALSE)</f>
        <v>30000</v>
      </c>
      <c r="I374" s="394">
        <f>_xlfn.XLOOKUP(E374,'All Products'!D:D,'All Products'!H:H,FALSE)</f>
        <v>7.54</v>
      </c>
      <c r="J374" s="183">
        <f>IFERROR(ROUND(I374*Order_Quote!$L$4,2),0)</f>
        <v>7.54</v>
      </c>
      <c r="K374" s="73"/>
      <c r="L374" s="76"/>
      <c r="M374" s="114">
        <f t="shared" si="32"/>
        <v>0</v>
      </c>
      <c r="O374" s="384" t="str">
        <f>_xlfn.XLOOKUP(E374,'All Products'!D:D,'All Products'!I:I,FALSE)</f>
        <v>In Stock</v>
      </c>
      <c r="P374" s="384" t="str">
        <f>_xlfn.XLOOKUP(E374,'All Products'!D:D,'All Products'!J:J,FALSE)</f>
        <v>Manufactured</v>
      </c>
      <c r="Q374" s="397">
        <f>_xlfn.XLOOKUP(E374,'All Products'!D:D,'All Products'!K:K,FALSE)</f>
        <v>49081143183</v>
      </c>
      <c r="R374" s="397">
        <f>_xlfn.XLOOKUP(E374,'All Products'!D:D,'All Products'!L:L,FALSE)</f>
        <v>49081643188</v>
      </c>
      <c r="S374" s="397">
        <f>_xlfn.XLOOKUP(E374,'All Products'!D:D,'All Products'!M:M,FALSE)</f>
        <v>40049081143181</v>
      </c>
      <c r="T374" s="384">
        <f>_xlfn.XLOOKUP(E374,'All Products'!D:D,'All Products'!N:N,FALSE)</f>
        <v>0.05</v>
      </c>
      <c r="U374" s="397">
        <f>_xlfn.XLOOKUP(E374,'All Products'!D:D,'All Products'!O:O,FALSE)</f>
        <v>10</v>
      </c>
      <c r="V374" s="384">
        <f>_xlfn.XLOOKUP(E374,'All Products'!D:D,'All Products'!P:P,FALSE)</f>
        <v>13.25</v>
      </c>
      <c r="W374" s="384">
        <f>_xlfn.XLOOKUP(E374,'All Products'!D:D,'All Products'!Q:Q,FALSE)</f>
        <v>0.65</v>
      </c>
    </row>
    <row r="375" spans="1:23" ht="15" customHeight="1">
      <c r="A375" s="101" t="str">
        <f>IF(K375&gt;0,COUNT($A$7:A374)
+COUNT('DWV PVC'!$A$9:$A$316)
+COUNT('DWV ABS'!$A$8:$A$116)+1,"")</f>
        <v/>
      </c>
      <c r="B375" s="610"/>
      <c r="C375" s="611"/>
      <c r="D375" s="369" t="str">
        <f>_xlfn.XLOOKUP(E375,'All Products'!D:D,'All Products'!C:C,FALSE)</f>
        <v>450-012</v>
      </c>
      <c r="E375" s="51">
        <v>100023094</v>
      </c>
      <c r="F375" s="376" t="str">
        <f>_xlfn.XLOOKUP(E375,'All Products'!D:D,'All Products'!E:E,FALSE)</f>
        <v>1-1/4 PLUG MIPT</v>
      </c>
      <c r="G375" s="232">
        <f>_xlfn.XLOOKUP(E375,'All Products'!D:D,'All Products'!F:F,FALSE)</f>
        <v>125</v>
      </c>
      <c r="H375" s="387">
        <f>_xlfn.XLOOKUP(E375,'All Products'!D:D,'All Products'!G:G,FALSE)</f>
        <v>18750</v>
      </c>
      <c r="I375" s="394">
        <f>_xlfn.XLOOKUP(E375,'All Products'!D:D,'All Products'!H:H,FALSE)</f>
        <v>7.94</v>
      </c>
      <c r="J375" s="183">
        <f>IFERROR(ROUND(I375*Order_Quote!$L$4,2),0)</f>
        <v>7.94</v>
      </c>
      <c r="K375" s="73"/>
      <c r="L375" s="76"/>
      <c r="M375" s="114">
        <f t="shared" si="32"/>
        <v>0</v>
      </c>
      <c r="O375" s="384" t="str">
        <f>_xlfn.XLOOKUP(E375,'All Products'!D:D,'All Products'!I:I,FALSE)</f>
        <v>In Stock</v>
      </c>
      <c r="P375" s="384" t="str">
        <f>_xlfn.XLOOKUP(E375,'All Products'!D:D,'All Products'!J:J,FALSE)</f>
        <v>Manufactured</v>
      </c>
      <c r="Q375" s="397">
        <f>_xlfn.XLOOKUP(E375,'All Products'!D:D,'All Products'!K:K,FALSE)</f>
        <v>49081143206</v>
      </c>
      <c r="R375" s="397">
        <f>_xlfn.XLOOKUP(E375,'All Products'!D:D,'All Products'!L:L,FALSE)</f>
        <v>49081643201</v>
      </c>
      <c r="S375" s="397">
        <f>_xlfn.XLOOKUP(E375,'All Products'!D:D,'All Products'!M:M,FALSE)</f>
        <v>40049081143204</v>
      </c>
      <c r="T375" s="384">
        <f>_xlfn.XLOOKUP(E375,'All Products'!D:D,'All Products'!N:N,FALSE)</f>
        <v>7.4999999999999997E-2</v>
      </c>
      <c r="U375" s="397">
        <f>_xlfn.XLOOKUP(E375,'All Products'!D:D,'All Products'!O:O,FALSE)</f>
        <v>5</v>
      </c>
      <c r="V375" s="384">
        <f>_xlfn.XLOOKUP(E375,'All Products'!D:D,'All Products'!P:P,FALSE)</f>
        <v>10.5</v>
      </c>
      <c r="W375" s="384">
        <f>_xlfn.XLOOKUP(E375,'All Products'!D:D,'All Products'!Q:Q,FALSE)</f>
        <v>0.5</v>
      </c>
    </row>
    <row r="376" spans="1:23" ht="15" customHeight="1">
      <c r="A376" s="101" t="str">
        <f>IF(K376&gt;0,COUNT($A$7:A375)
+COUNT('DWV PVC'!$A$9:$A$316)
+COUNT('DWV ABS'!$A$8:$A$116)+1,"")</f>
        <v/>
      </c>
      <c r="B376" s="610"/>
      <c r="C376" s="611"/>
      <c r="D376" s="369" t="str">
        <f>_xlfn.XLOOKUP(E376,'All Products'!D:D,'All Products'!C:C,FALSE)</f>
        <v>450-015</v>
      </c>
      <c r="E376" s="51">
        <v>100027431</v>
      </c>
      <c r="F376" s="376" t="str">
        <f>_xlfn.XLOOKUP(E376,'All Products'!D:D,'All Products'!E:E,FALSE)</f>
        <v>1-1/2 PLUG MIPT</v>
      </c>
      <c r="G376" s="232">
        <f>_xlfn.XLOOKUP(E376,'All Products'!D:D,'All Products'!F:F,FALSE)</f>
        <v>125</v>
      </c>
      <c r="H376" s="387">
        <f>_xlfn.XLOOKUP(E376,'All Products'!D:D,'All Products'!G:G,FALSE)</f>
        <v>11250</v>
      </c>
      <c r="I376" s="394">
        <f>_xlfn.XLOOKUP(E376,'All Products'!D:D,'All Products'!H:H,FALSE)</f>
        <v>8.5</v>
      </c>
      <c r="J376" s="183">
        <f>IFERROR(ROUND(I376*Order_Quote!$L$4,2),0)</f>
        <v>8.5</v>
      </c>
      <c r="K376" s="73"/>
      <c r="L376" s="76"/>
      <c r="M376" s="114">
        <f t="shared" si="32"/>
        <v>0</v>
      </c>
      <c r="O376" s="384" t="str">
        <f>_xlfn.XLOOKUP(E376,'All Products'!D:D,'All Products'!I:I,FALSE)</f>
        <v>In Stock</v>
      </c>
      <c r="P376" s="384" t="str">
        <f>_xlfn.XLOOKUP(E376,'All Products'!D:D,'All Products'!J:J,FALSE)</f>
        <v>Manufactured</v>
      </c>
      <c r="Q376" s="397" t="str">
        <f>_xlfn.XLOOKUP(E376,'All Products'!D:D,'All Products'!K:K,FALSE)</f>
        <v>-</v>
      </c>
      <c r="R376" s="397">
        <f>_xlfn.XLOOKUP(E376,'All Products'!D:D,'All Products'!L:L,FALSE)</f>
        <v>49081643225</v>
      </c>
      <c r="S376" s="397">
        <f>_xlfn.XLOOKUP(E376,'All Products'!D:D,'All Products'!M:M,FALSE)</f>
        <v>40049081143228</v>
      </c>
      <c r="T376" s="384">
        <f>_xlfn.XLOOKUP(E376,'All Products'!D:D,'All Products'!N:N,FALSE)</f>
        <v>0.126</v>
      </c>
      <c r="U376" s="397">
        <f>_xlfn.XLOOKUP(E376,'All Products'!D:D,'All Products'!O:O,FALSE)</f>
        <v>5</v>
      </c>
      <c r="V376" s="384">
        <f>_xlfn.XLOOKUP(E376,'All Products'!D:D,'All Products'!P:P,FALSE)</f>
        <v>17.149999999999999</v>
      </c>
      <c r="W376" s="384">
        <f>_xlfn.XLOOKUP(E376,'All Products'!D:D,'All Products'!Q:Q,FALSE)</f>
        <v>0.8</v>
      </c>
    </row>
    <row r="377" spans="1:23" ht="15" customHeight="1">
      <c r="A377" s="101" t="str">
        <f>IF(K377&gt;0,COUNT($A$7:A376)
+COUNT('DWV PVC'!$A$9:$A$316)
+COUNT('DWV ABS'!$A$8:$A$116)+1,"")</f>
        <v/>
      </c>
      <c r="B377" s="610"/>
      <c r="C377" s="611"/>
      <c r="D377" s="369" t="str">
        <f>_xlfn.XLOOKUP(E377,'All Products'!D:D,'All Products'!C:C,FALSE)</f>
        <v>450-020</v>
      </c>
      <c r="E377" s="51">
        <v>100023096</v>
      </c>
      <c r="F377" s="376" t="str">
        <f>_xlfn.XLOOKUP(E377,'All Products'!D:D,'All Products'!E:E,FALSE)</f>
        <v>2 PLUG MIPT</v>
      </c>
      <c r="G377" s="232">
        <f>_xlfn.XLOOKUP(E377,'All Products'!D:D,'All Products'!F:F,FALSE)</f>
        <v>50</v>
      </c>
      <c r="H377" s="387">
        <f>_xlfn.XLOOKUP(E377,'All Products'!D:D,'All Products'!G:G,FALSE)</f>
        <v>7500</v>
      </c>
      <c r="I377" s="394">
        <f>_xlfn.XLOOKUP(E377,'All Products'!D:D,'All Products'!H:H,FALSE)</f>
        <v>10.98</v>
      </c>
      <c r="J377" s="183">
        <f>IFERROR(ROUND(I377*Order_Quote!$L$4,2),0)</f>
        <v>10.98</v>
      </c>
      <c r="K377" s="73"/>
      <c r="L377" s="76"/>
      <c r="M377" s="114">
        <f t="shared" si="32"/>
        <v>0</v>
      </c>
      <c r="O377" s="384" t="str">
        <f>_xlfn.XLOOKUP(E377,'All Products'!D:D,'All Products'!I:I,FALSE)</f>
        <v>In Stock</v>
      </c>
      <c r="P377" s="384" t="str">
        <f>_xlfn.XLOOKUP(E377,'All Products'!D:D,'All Products'!J:J,FALSE)</f>
        <v>Manufactured</v>
      </c>
      <c r="Q377" s="397">
        <f>_xlfn.XLOOKUP(E377,'All Products'!D:D,'All Products'!K:K,FALSE)</f>
        <v>49081143244</v>
      </c>
      <c r="R377" s="397">
        <f>_xlfn.XLOOKUP(E377,'All Products'!D:D,'All Products'!L:L,FALSE)</f>
        <v>49081643249</v>
      </c>
      <c r="S377" s="397">
        <f>_xlfn.XLOOKUP(E377,'All Products'!D:D,'All Products'!M:M,FALSE)</f>
        <v>40049081143242</v>
      </c>
      <c r="T377" s="384">
        <f>_xlfn.XLOOKUP(E377,'All Products'!D:D,'All Products'!N:N,FALSE)</f>
        <v>0.152</v>
      </c>
      <c r="U377" s="397">
        <f>_xlfn.XLOOKUP(E377,'All Products'!D:D,'All Products'!O:O,FALSE)</f>
        <v>5</v>
      </c>
      <c r="V377" s="384">
        <f>_xlfn.XLOOKUP(E377,'All Products'!D:D,'All Products'!P:P,FALSE)</f>
        <v>8.58</v>
      </c>
      <c r="W377" s="384">
        <f>_xlfn.XLOOKUP(E377,'All Products'!D:D,'All Products'!Q:Q,FALSE)</f>
        <v>0.5</v>
      </c>
    </row>
    <row r="378" spans="1:23" ht="15" customHeight="1">
      <c r="A378" s="101" t="str">
        <f>IF(K378&gt;0,COUNT($A$7:A377)
+COUNT('DWV PVC'!$A$9:$A$316)
+COUNT('DWV ABS'!$A$8:$A$116)+1,"")</f>
        <v/>
      </c>
      <c r="B378" s="612"/>
      <c r="C378" s="613"/>
      <c r="D378" s="369" t="str">
        <f>_xlfn.XLOOKUP(E378,'All Products'!D:D,'All Products'!C:C,FALSE)</f>
        <v>450-030</v>
      </c>
      <c r="E378" s="51">
        <v>100023100</v>
      </c>
      <c r="F378" s="376" t="str">
        <f>_xlfn.XLOOKUP(E378,'All Products'!D:D,'All Products'!E:E,FALSE)</f>
        <v>3 PLUG MIPT</v>
      </c>
      <c r="G378" s="232">
        <f>_xlfn.XLOOKUP(E378,'All Products'!D:D,'All Products'!F:F,FALSE)</f>
        <v>25</v>
      </c>
      <c r="H378" s="387">
        <f>_xlfn.XLOOKUP(E378,'All Products'!D:D,'All Products'!G:G,FALSE)</f>
        <v>3000</v>
      </c>
      <c r="I378" s="394">
        <f>_xlfn.XLOOKUP(E378,'All Products'!D:D,'All Products'!H:H,FALSE)</f>
        <v>23.1</v>
      </c>
      <c r="J378" s="183">
        <f>IFERROR(ROUND(I378*Order_Quote!$L$4,2),0)</f>
        <v>23.1</v>
      </c>
      <c r="K378" s="73"/>
      <c r="L378" s="76"/>
      <c r="M378" s="114">
        <f t="shared" si="32"/>
        <v>0</v>
      </c>
      <c r="O378" s="384" t="str">
        <f>_xlfn.XLOOKUP(E378,'All Products'!D:D,'All Products'!I:I,FALSE)</f>
        <v>In Stock</v>
      </c>
      <c r="P378" s="384" t="str">
        <f>_xlfn.XLOOKUP(E378,'All Products'!D:D,'All Products'!J:J,FALSE)</f>
        <v>Manufactured</v>
      </c>
      <c r="Q378" s="397">
        <f>_xlfn.XLOOKUP(E378,'All Products'!D:D,'All Products'!K:K,FALSE)</f>
        <v>49081143282</v>
      </c>
      <c r="R378" s="397">
        <f>_xlfn.XLOOKUP(E378,'All Products'!D:D,'All Products'!L:L,FALSE)</f>
        <v>49081643287</v>
      </c>
      <c r="S378" s="397">
        <f>_xlfn.XLOOKUP(E378,'All Products'!D:D,'All Products'!M:M,FALSE)</f>
        <v>40049081143280</v>
      </c>
      <c r="T378" s="384">
        <f>_xlfn.XLOOKUP(E378,'All Products'!D:D,'All Products'!N:N,FALSE)</f>
        <v>0.432</v>
      </c>
      <c r="U378" s="397">
        <f>_xlfn.XLOOKUP(E378,'All Products'!D:D,'All Products'!O:O,FALSE)</f>
        <v>5</v>
      </c>
      <c r="V378" s="384">
        <f>_xlfn.XLOOKUP(E378,'All Products'!D:D,'All Products'!P:P,FALSE)</f>
        <v>11.58</v>
      </c>
      <c r="W378" s="384">
        <f>_xlfn.XLOOKUP(E378,'All Products'!D:D,'All Products'!Q:Q,FALSE)</f>
        <v>0.65</v>
      </c>
    </row>
    <row r="379" spans="1:23" ht="15" customHeight="1">
      <c r="A379" s="101" t="str">
        <f>IF(K379&gt;0,COUNT($A$7:A378)
+COUNT('DWV PVC'!$A$9:$A$316)
+COUNT('DWV ABS'!$A$8:$A$116)+1,"")</f>
        <v/>
      </c>
      <c r="B379" s="608"/>
      <c r="C379" s="609"/>
      <c r="D379" s="369" t="str">
        <f>_xlfn.XLOOKUP(E379,'All Products'!D:D,'All Products'!C:C,FALSE)</f>
        <v>457-005</v>
      </c>
      <c r="E379" s="51">
        <v>100023104</v>
      </c>
      <c r="F379" s="376" t="str">
        <f>_xlfn.XLOOKUP(E379,'All Products'!D:D,'All Products'!E:E,FALSE)</f>
        <v>1/2 UNION SLIP X SLIP</v>
      </c>
      <c r="G379" s="232">
        <f>_xlfn.XLOOKUP(E379,'All Products'!D:D,'All Products'!F:F,FALSE)</f>
        <v>50</v>
      </c>
      <c r="H379" s="387">
        <f>_xlfn.XLOOKUP(E379,'All Products'!D:D,'All Products'!G:G,FALSE)</f>
        <v>13500</v>
      </c>
      <c r="I379" s="394">
        <f>_xlfn.XLOOKUP(E379,'All Products'!D:D,'All Products'!H:H,FALSE)</f>
        <v>19.54</v>
      </c>
      <c r="J379" s="183">
        <f>IFERROR(ROUND(I379*Order_Quote!$L$4,2),0)</f>
        <v>19.54</v>
      </c>
      <c r="K379" s="73"/>
      <c r="L379" s="76"/>
      <c r="M379" s="114">
        <f t="shared" si="32"/>
        <v>0</v>
      </c>
      <c r="O379" s="384" t="str">
        <f>_xlfn.XLOOKUP(E379,'All Products'!D:D,'All Products'!I:I,FALSE)</f>
        <v>In Stock</v>
      </c>
      <c r="P379" s="384" t="str">
        <f>_xlfn.XLOOKUP(E379,'All Products'!D:D,'All Products'!J:J,FALSE)</f>
        <v>Manufactured</v>
      </c>
      <c r="Q379" s="397">
        <f>_xlfn.XLOOKUP(E379,'All Products'!D:D,'All Products'!K:K,FALSE)</f>
        <v>49081149642</v>
      </c>
      <c r="R379" s="397" t="str">
        <f>_xlfn.XLOOKUP(E379,'All Products'!D:D,'All Products'!L:L,FALSE)</f>
        <v>-</v>
      </c>
      <c r="S379" s="397">
        <f>_xlfn.XLOOKUP(E379,'All Products'!D:D,'All Products'!M:M,FALSE)</f>
        <v>40049081149640</v>
      </c>
      <c r="T379" s="384">
        <f>_xlfn.XLOOKUP(E379,'All Products'!D:D,'All Products'!N:N,FALSE)</f>
        <v>0.14599999999999999</v>
      </c>
      <c r="U379" s="397" t="str">
        <f>_xlfn.XLOOKUP(E379,'All Products'!D:D,'All Products'!O:O,FALSE)</f>
        <v>-</v>
      </c>
      <c r="V379" s="384">
        <f>_xlfn.XLOOKUP(E379,'All Products'!D:D,'All Products'!P:P,FALSE)</f>
        <v>3.76</v>
      </c>
      <c r="W379" s="384">
        <f>_xlfn.XLOOKUP(E379,'All Products'!D:D,'All Products'!Q:Q,FALSE)</f>
        <v>0.31</v>
      </c>
    </row>
    <row r="380" spans="1:23" ht="15" customHeight="1">
      <c r="A380" s="101" t="str">
        <f>IF(K380&gt;0,COUNT($A$7:A379)
+COUNT('DWV PVC'!$A$9:$A$316)
+COUNT('DWV ABS'!$A$8:$A$116)+1,"")</f>
        <v/>
      </c>
      <c r="B380" s="610"/>
      <c r="C380" s="611"/>
      <c r="D380" s="369" t="str">
        <f>_xlfn.XLOOKUP(E380,'All Products'!D:D,'All Products'!C:C,FALSE)</f>
        <v>457-007</v>
      </c>
      <c r="E380" s="51">
        <v>100023106</v>
      </c>
      <c r="F380" s="376" t="str">
        <f>_xlfn.XLOOKUP(E380,'All Products'!D:D,'All Products'!E:E,FALSE)</f>
        <v>3/4 UNION SLIP X SLIP</v>
      </c>
      <c r="G380" s="232">
        <f>_xlfn.XLOOKUP(E380,'All Products'!D:D,'All Products'!F:F,FALSE)</f>
        <v>50</v>
      </c>
      <c r="H380" s="387">
        <f>_xlfn.XLOOKUP(E380,'All Products'!D:D,'All Products'!G:G,FALSE)</f>
        <v>7500</v>
      </c>
      <c r="I380" s="394">
        <f>_xlfn.XLOOKUP(E380,'All Products'!D:D,'All Products'!H:H,FALSE)</f>
        <v>22.18</v>
      </c>
      <c r="J380" s="183">
        <f>IFERROR(ROUND(I380*Order_Quote!$L$4,2),0)</f>
        <v>22.18</v>
      </c>
      <c r="K380" s="73"/>
      <c r="L380" s="76"/>
      <c r="M380" s="114">
        <f t="shared" si="32"/>
        <v>0</v>
      </c>
      <c r="O380" s="384" t="str">
        <f>_xlfn.XLOOKUP(E380,'All Products'!D:D,'All Products'!I:I,FALSE)</f>
        <v>In Stock</v>
      </c>
      <c r="P380" s="384" t="str">
        <f>_xlfn.XLOOKUP(E380,'All Products'!D:D,'All Products'!J:J,FALSE)</f>
        <v>Manufactured</v>
      </c>
      <c r="Q380" s="397">
        <f>_xlfn.XLOOKUP(E380,'All Products'!D:D,'All Products'!K:K,FALSE)</f>
        <v>49081149666</v>
      </c>
      <c r="R380" s="397" t="str">
        <f>_xlfn.XLOOKUP(E380,'All Products'!D:D,'All Products'!L:L,FALSE)</f>
        <v>-</v>
      </c>
      <c r="S380" s="397">
        <f>_xlfn.XLOOKUP(E380,'All Products'!D:D,'All Products'!M:M,FALSE)</f>
        <v>40049081149664</v>
      </c>
      <c r="T380" s="384">
        <f>_xlfn.XLOOKUP(E380,'All Products'!D:D,'All Products'!N:N,FALSE)</f>
        <v>0.27700000000000002</v>
      </c>
      <c r="U380" s="397" t="str">
        <f>_xlfn.XLOOKUP(E380,'All Products'!D:D,'All Products'!O:O,FALSE)</f>
        <v>-</v>
      </c>
      <c r="V380" s="384">
        <f>_xlfn.XLOOKUP(E380,'All Products'!D:D,'All Products'!P:P,FALSE)</f>
        <v>4.97</v>
      </c>
      <c r="W380" s="384">
        <f>_xlfn.XLOOKUP(E380,'All Products'!D:D,'All Products'!Q:Q,FALSE)</f>
        <v>0.5</v>
      </c>
    </row>
    <row r="381" spans="1:23" ht="15" customHeight="1">
      <c r="A381" s="101" t="str">
        <f>IF(K381&gt;0,COUNT($A$7:A380)
+COUNT('DWV PVC'!$A$9:$A$316)
+COUNT('DWV ABS'!$A$8:$A$116)+1,"")</f>
        <v/>
      </c>
      <c r="B381" s="610"/>
      <c r="C381" s="611"/>
      <c r="D381" s="369" t="str">
        <f>_xlfn.XLOOKUP(E381,'All Products'!D:D,'All Products'!C:C,FALSE)</f>
        <v>457-010</v>
      </c>
      <c r="E381" s="51">
        <v>100023108</v>
      </c>
      <c r="F381" s="376" t="str">
        <f>_xlfn.XLOOKUP(E381,'All Products'!D:D,'All Products'!E:E,FALSE)</f>
        <v>1 UNION SLIP X SLIP</v>
      </c>
      <c r="G381" s="232">
        <f>_xlfn.XLOOKUP(E381,'All Products'!D:D,'All Products'!F:F,FALSE)</f>
        <v>18</v>
      </c>
      <c r="H381" s="387">
        <f>_xlfn.XLOOKUP(E381,'All Products'!D:D,'All Products'!G:G,FALSE)</f>
        <v>2700</v>
      </c>
      <c r="I381" s="394">
        <f>_xlfn.XLOOKUP(E381,'All Products'!D:D,'All Products'!H:H,FALSE)</f>
        <v>22.83</v>
      </c>
      <c r="J381" s="183">
        <f>IFERROR(ROUND(I381*Order_Quote!$L$4,2),0)</f>
        <v>22.83</v>
      </c>
      <c r="K381" s="73"/>
      <c r="L381" s="76"/>
      <c r="M381" s="114">
        <f t="shared" si="32"/>
        <v>0</v>
      </c>
      <c r="O381" s="384" t="str">
        <f>_xlfn.XLOOKUP(E381,'All Products'!D:D,'All Products'!I:I,FALSE)</f>
        <v>In Stock</v>
      </c>
      <c r="P381" s="384" t="str">
        <f>_xlfn.XLOOKUP(E381,'All Products'!D:D,'All Products'!J:J,FALSE)</f>
        <v>Manufactured</v>
      </c>
      <c r="Q381" s="397">
        <f>_xlfn.XLOOKUP(E381,'All Products'!D:D,'All Products'!K:K,FALSE)</f>
        <v>49081149680</v>
      </c>
      <c r="R381" s="397" t="str">
        <f>_xlfn.XLOOKUP(E381,'All Products'!D:D,'All Products'!L:L,FALSE)</f>
        <v>-</v>
      </c>
      <c r="S381" s="397">
        <f>_xlfn.XLOOKUP(E381,'All Products'!D:D,'All Products'!M:M,FALSE)</f>
        <v>40049081149688</v>
      </c>
      <c r="T381" s="384">
        <f>_xlfn.XLOOKUP(E381,'All Products'!D:D,'All Products'!N:N,FALSE)</f>
        <v>0.29699999999999999</v>
      </c>
      <c r="U381" s="397" t="str">
        <f>_xlfn.XLOOKUP(E381,'All Products'!D:D,'All Products'!O:O,FALSE)</f>
        <v>-</v>
      </c>
      <c r="V381" s="384">
        <f>_xlfn.XLOOKUP(E381,'All Products'!D:D,'All Products'!P:P,FALSE)</f>
        <v>3.5</v>
      </c>
      <c r="W381" s="384">
        <f>_xlfn.XLOOKUP(E381,'All Products'!D:D,'All Products'!Q:Q,FALSE)</f>
        <v>0.5</v>
      </c>
    </row>
    <row r="382" spans="1:23" ht="15" customHeight="1">
      <c r="A382" s="101" t="str">
        <f>IF(K382&gt;0,COUNT($A$7:A381)
+COUNT('DWV PVC'!$A$9:$A$316)
+COUNT('DWV ABS'!$A$8:$A$116)+1,"")</f>
        <v/>
      </c>
      <c r="B382" s="610"/>
      <c r="C382" s="611"/>
      <c r="D382" s="369" t="str">
        <f>_xlfn.XLOOKUP(E382,'All Products'!D:D,'All Products'!C:C,FALSE)</f>
        <v>457-012</v>
      </c>
      <c r="E382" s="51">
        <v>100023110</v>
      </c>
      <c r="F382" s="376" t="str">
        <f>_xlfn.XLOOKUP(E382,'All Products'!D:D,'All Products'!E:E,FALSE)</f>
        <v>1-1/4 UNION SLIP X SLIP</v>
      </c>
      <c r="G382" s="232">
        <f>_xlfn.XLOOKUP(E382,'All Products'!D:D,'All Products'!F:F,FALSE)</f>
        <v>10</v>
      </c>
      <c r="H382" s="387">
        <f>_xlfn.XLOOKUP(E382,'All Products'!D:D,'All Products'!G:G,FALSE)</f>
        <v>2700</v>
      </c>
      <c r="I382" s="394">
        <f>_xlfn.XLOOKUP(E382,'All Products'!D:D,'All Products'!H:H,FALSE)</f>
        <v>73.53</v>
      </c>
      <c r="J382" s="183">
        <f>IFERROR(ROUND(I382*Order_Quote!$L$4,2),0)</f>
        <v>73.53</v>
      </c>
      <c r="K382" s="73"/>
      <c r="L382" s="76"/>
      <c r="M382" s="114">
        <f t="shared" si="32"/>
        <v>0</v>
      </c>
      <c r="O382" s="384" t="str">
        <f>_xlfn.XLOOKUP(E382,'All Products'!D:D,'All Products'!I:I,FALSE)</f>
        <v>In Stock</v>
      </c>
      <c r="P382" s="384" t="str">
        <f>_xlfn.XLOOKUP(E382,'All Products'!D:D,'All Products'!J:J,FALSE)</f>
        <v>Manufactured</v>
      </c>
      <c r="Q382" s="397">
        <f>_xlfn.XLOOKUP(E382,'All Products'!D:D,'All Products'!K:K,FALSE)</f>
        <v>49081149703</v>
      </c>
      <c r="R382" s="397" t="str">
        <f>_xlfn.XLOOKUP(E382,'All Products'!D:D,'All Products'!L:L,FALSE)</f>
        <v>-</v>
      </c>
      <c r="S382" s="397">
        <f>_xlfn.XLOOKUP(E382,'All Products'!D:D,'All Products'!M:M,FALSE)</f>
        <v>40049081149701</v>
      </c>
      <c r="T382" s="384">
        <f>_xlfn.XLOOKUP(E382,'All Products'!D:D,'All Products'!N:N,FALSE)</f>
        <v>0.51700000000000002</v>
      </c>
      <c r="U382" s="397" t="str">
        <f>_xlfn.XLOOKUP(E382,'All Products'!D:D,'All Products'!O:O,FALSE)</f>
        <v>-</v>
      </c>
      <c r="V382" s="384">
        <f>_xlfn.XLOOKUP(E382,'All Products'!D:D,'All Products'!P:P,FALSE)</f>
        <v>2.87</v>
      </c>
      <c r="W382" s="384">
        <f>_xlfn.XLOOKUP(E382,'All Products'!D:D,'All Products'!Q:Q,FALSE)</f>
        <v>0.31</v>
      </c>
    </row>
    <row r="383" spans="1:23" ht="15" customHeight="1">
      <c r="A383" s="101" t="str">
        <f>IF(K383&gt;0,COUNT($A$7:A382)
+COUNT('DWV PVC'!$A$9:$A$316)
+COUNT('DWV ABS'!$A$8:$A$116)+1,"")</f>
        <v/>
      </c>
      <c r="B383" s="610"/>
      <c r="C383" s="611"/>
      <c r="D383" s="369" t="str">
        <f>_xlfn.XLOOKUP(E383,'All Products'!D:D,'All Products'!C:C,FALSE)</f>
        <v>457-015</v>
      </c>
      <c r="E383" s="51">
        <v>100023112</v>
      </c>
      <c r="F383" s="376" t="str">
        <f>_xlfn.XLOOKUP(E383,'All Products'!D:D,'All Products'!E:E,FALSE)</f>
        <v>1-1/2 UNION SLIP X SLIP</v>
      </c>
      <c r="G383" s="232">
        <f>_xlfn.XLOOKUP(E383,'All Products'!D:D,'All Products'!F:F,FALSE)</f>
        <v>10</v>
      </c>
      <c r="H383" s="387">
        <f>_xlfn.XLOOKUP(E383,'All Products'!D:D,'All Products'!G:G,FALSE)</f>
        <v>1500</v>
      </c>
      <c r="I383" s="394">
        <f>_xlfn.XLOOKUP(E383,'All Products'!D:D,'All Products'!H:H,FALSE)</f>
        <v>76.59</v>
      </c>
      <c r="J383" s="183">
        <f>IFERROR(ROUND(I383*Order_Quote!$L$4,2),0)</f>
        <v>76.59</v>
      </c>
      <c r="K383" s="73"/>
      <c r="L383" s="76"/>
      <c r="M383" s="114">
        <f t="shared" si="32"/>
        <v>0</v>
      </c>
      <c r="O383" s="384" t="str">
        <f>_xlfn.XLOOKUP(E383,'All Products'!D:D,'All Products'!I:I,FALSE)</f>
        <v>In Stock</v>
      </c>
      <c r="P383" s="384" t="str">
        <f>_xlfn.XLOOKUP(E383,'All Products'!D:D,'All Products'!J:J,FALSE)</f>
        <v>Manufactured</v>
      </c>
      <c r="Q383" s="397">
        <f>_xlfn.XLOOKUP(E383,'All Products'!D:D,'All Products'!K:K,FALSE)</f>
        <v>49081149727</v>
      </c>
      <c r="R383" s="397" t="str">
        <f>_xlfn.XLOOKUP(E383,'All Products'!D:D,'All Products'!L:L,FALSE)</f>
        <v>-</v>
      </c>
      <c r="S383" s="397">
        <f>_xlfn.XLOOKUP(E383,'All Products'!D:D,'All Products'!M:M,FALSE)</f>
        <v>40049081149725</v>
      </c>
      <c r="T383" s="384">
        <f>_xlfn.XLOOKUP(E383,'All Products'!D:D,'All Products'!N:N,FALSE)</f>
        <v>0.79400000000000004</v>
      </c>
      <c r="U383" s="397" t="str">
        <f>_xlfn.XLOOKUP(E383,'All Products'!D:D,'All Products'!O:O,FALSE)</f>
        <v>-</v>
      </c>
      <c r="V383" s="384">
        <f>_xlfn.XLOOKUP(E383,'All Products'!D:D,'All Products'!P:P,FALSE)</f>
        <v>4.03</v>
      </c>
      <c r="W383" s="384">
        <f>_xlfn.XLOOKUP(E383,'All Products'!D:D,'All Products'!Q:Q,FALSE)</f>
        <v>0.5</v>
      </c>
    </row>
    <row r="384" spans="1:23" ht="15" customHeight="1">
      <c r="A384" s="101" t="str">
        <f>IF(K384&gt;0,COUNT($A$7:A383)
+COUNT('DWV PVC'!$A$9:$A$316)
+COUNT('DWV ABS'!$A$8:$A$116)+1,"")</f>
        <v/>
      </c>
      <c r="B384" s="610"/>
      <c r="C384" s="611"/>
      <c r="D384" s="369" t="str">
        <f>_xlfn.XLOOKUP(E384,'All Products'!D:D,'All Products'!C:C,FALSE)</f>
        <v>457-020</v>
      </c>
      <c r="E384" s="51">
        <v>100023114</v>
      </c>
      <c r="F384" s="376" t="str">
        <f>_xlfn.XLOOKUP(E384,'All Products'!D:D,'All Products'!E:E,FALSE)</f>
        <v>2 UNION SLIP X SLIP</v>
      </c>
      <c r="G384" s="232">
        <f>_xlfn.XLOOKUP(E384,'All Products'!D:D,'All Products'!F:F,FALSE)</f>
        <v>16</v>
      </c>
      <c r="H384" s="387">
        <f>_xlfn.XLOOKUP(E384,'All Products'!D:D,'All Products'!G:G,FALSE)</f>
        <v>1200</v>
      </c>
      <c r="I384" s="394">
        <f>_xlfn.XLOOKUP(E384,'All Products'!D:D,'All Products'!H:H,FALSE)</f>
        <v>103.31</v>
      </c>
      <c r="J384" s="183">
        <f>IFERROR(ROUND(I384*Order_Quote!$L$4,2),0)</f>
        <v>103.31</v>
      </c>
      <c r="K384" s="73"/>
      <c r="L384" s="76"/>
      <c r="M384" s="114">
        <f t="shared" si="32"/>
        <v>0</v>
      </c>
      <c r="O384" s="384" t="str">
        <f>_xlfn.XLOOKUP(E384,'All Products'!D:D,'All Products'!I:I,FALSE)</f>
        <v>In Stock</v>
      </c>
      <c r="P384" s="384" t="str">
        <f>_xlfn.XLOOKUP(E384,'All Products'!D:D,'All Products'!J:J,FALSE)</f>
        <v>Manufactured</v>
      </c>
      <c r="Q384" s="397">
        <f>_xlfn.XLOOKUP(E384,'All Products'!D:D,'All Products'!K:K,FALSE)</f>
        <v>49081149741</v>
      </c>
      <c r="R384" s="397" t="str">
        <f>_xlfn.XLOOKUP(E384,'All Products'!D:D,'All Products'!L:L,FALSE)</f>
        <v>-</v>
      </c>
      <c r="S384" s="397">
        <f>_xlfn.XLOOKUP(E384,'All Products'!D:D,'All Products'!M:M,FALSE)</f>
        <v>40049081149749</v>
      </c>
      <c r="T384" s="384">
        <f>_xlfn.XLOOKUP(E384,'All Products'!D:D,'All Products'!N:N,FALSE)</f>
        <v>1.1679999999999999</v>
      </c>
      <c r="U384" s="397" t="str">
        <f>_xlfn.XLOOKUP(E384,'All Products'!D:D,'All Products'!O:O,FALSE)</f>
        <v>-</v>
      </c>
      <c r="V384" s="384">
        <f>_xlfn.XLOOKUP(E384,'All Products'!D:D,'All Products'!P:P,FALSE)</f>
        <v>9.25</v>
      </c>
      <c r="W384" s="384">
        <f>_xlfn.XLOOKUP(E384,'All Products'!D:D,'All Products'!Q:Q,FALSE)</f>
        <v>1.1000000000000001</v>
      </c>
    </row>
    <row r="385" spans="1:23" ht="15" customHeight="1">
      <c r="A385" s="101" t="str">
        <f>IF(K385&gt;0,COUNT($A$7:A384)
+COUNT('DWV PVC'!$A$9:$A$316)
+COUNT('DWV ABS'!$A$8:$A$116)+1,"")</f>
        <v/>
      </c>
      <c r="B385" s="610"/>
      <c r="C385" s="611"/>
      <c r="D385" s="369" t="str">
        <f>_xlfn.XLOOKUP(E385,'All Products'!D:D,'All Products'!C:C,FALSE)</f>
        <v>457-025</v>
      </c>
      <c r="E385" s="51">
        <v>100023115</v>
      </c>
      <c r="F385" s="376" t="str">
        <f>_xlfn.XLOOKUP(E385,'All Products'!D:D,'All Products'!E:E,FALSE)</f>
        <v>2-1/2 UNION SLIP X SLIP</v>
      </c>
      <c r="G385" s="232">
        <f>_xlfn.XLOOKUP(E385,'All Products'!D:D,'All Products'!F:F,FALSE)</f>
        <v>3</v>
      </c>
      <c r="H385" s="387">
        <f>_xlfn.XLOOKUP(E385,'All Products'!D:D,'All Products'!G:G,FALSE)</f>
        <v>450</v>
      </c>
      <c r="I385" s="394">
        <f>_xlfn.XLOOKUP(E385,'All Products'!D:D,'All Products'!H:H,FALSE)</f>
        <v>144.6</v>
      </c>
      <c r="J385" s="183">
        <f>IFERROR(ROUND(I385*Order_Quote!$L$4,2),0)</f>
        <v>144.6</v>
      </c>
      <c r="K385" s="73"/>
      <c r="L385" s="76"/>
      <c r="M385" s="114">
        <f t="shared" si="32"/>
        <v>0</v>
      </c>
      <c r="O385" s="384" t="str">
        <f>_xlfn.XLOOKUP(E385,'All Products'!D:D,'All Products'!I:I,FALSE)</f>
        <v>In Stock</v>
      </c>
      <c r="P385" s="384" t="str">
        <f>_xlfn.XLOOKUP(E385,'All Products'!D:D,'All Products'!J:J,FALSE)</f>
        <v>Manufactured</v>
      </c>
      <c r="Q385" s="397">
        <f>_xlfn.XLOOKUP(E385,'All Products'!D:D,'All Products'!K:K,FALSE)</f>
        <v>49081149758</v>
      </c>
      <c r="R385" s="397" t="str">
        <f>_xlfn.XLOOKUP(E385,'All Products'!D:D,'All Products'!L:L,FALSE)</f>
        <v>-</v>
      </c>
      <c r="S385" s="397">
        <f>_xlfn.XLOOKUP(E385,'All Products'!D:D,'All Products'!M:M,FALSE)</f>
        <v>40049081149756</v>
      </c>
      <c r="T385" s="384">
        <f>_xlfn.XLOOKUP(E385,'All Products'!D:D,'All Products'!N:N,FALSE)</f>
        <v>2.0670000000000002</v>
      </c>
      <c r="U385" s="397" t="str">
        <f>_xlfn.XLOOKUP(E385,'All Products'!D:D,'All Products'!O:O,FALSE)</f>
        <v>-</v>
      </c>
      <c r="V385" s="384">
        <f>_xlfn.XLOOKUP(E385,'All Products'!D:D,'All Products'!P:P,FALSE)</f>
        <v>5.72</v>
      </c>
      <c r="W385" s="384">
        <f>_xlfn.XLOOKUP(E385,'All Products'!D:D,'All Products'!Q:Q,FALSE)</f>
        <v>0.5</v>
      </c>
    </row>
    <row r="386" spans="1:23" ht="15" customHeight="1">
      <c r="A386" s="101" t="str">
        <f>IF(K386&gt;0,COUNT($A$7:A385)
+COUNT('DWV PVC'!$A$9:$A$316)
+COUNT('DWV ABS'!$A$8:$A$116)+1,"")</f>
        <v/>
      </c>
      <c r="B386" s="610"/>
      <c r="C386" s="611"/>
      <c r="D386" s="369" t="str">
        <f>_xlfn.XLOOKUP(E386,'All Products'!D:D,'All Products'!C:C,FALSE)</f>
        <v>457-030</v>
      </c>
      <c r="E386" s="51">
        <v>100023117</v>
      </c>
      <c r="F386" s="376" t="str">
        <f>_xlfn.XLOOKUP(E386,'All Products'!D:D,'All Products'!E:E,FALSE)</f>
        <v>3 UNION SLIP X SLIP</v>
      </c>
      <c r="G386" s="232">
        <f>_xlfn.XLOOKUP(E386,'All Products'!D:D,'All Products'!F:F,FALSE)</f>
        <v>3</v>
      </c>
      <c r="H386" s="387">
        <f>_xlfn.XLOOKUP(E386,'All Products'!D:D,'All Products'!G:G,FALSE)</f>
        <v>450</v>
      </c>
      <c r="I386" s="394">
        <f>_xlfn.XLOOKUP(E386,'All Products'!D:D,'All Products'!H:H,FALSE)</f>
        <v>230.99</v>
      </c>
      <c r="J386" s="183">
        <f>IFERROR(ROUND(I386*Order_Quote!$L$4,2),0)</f>
        <v>230.99</v>
      </c>
      <c r="K386" s="73"/>
      <c r="L386" s="76"/>
      <c r="M386" s="114">
        <f t="shared" si="32"/>
        <v>0</v>
      </c>
      <c r="O386" s="384" t="str">
        <f>_xlfn.XLOOKUP(E386,'All Products'!D:D,'All Products'!I:I,FALSE)</f>
        <v>In Stock</v>
      </c>
      <c r="P386" s="384" t="str">
        <f>_xlfn.XLOOKUP(E386,'All Products'!D:D,'All Products'!J:J,FALSE)</f>
        <v>Manufactured</v>
      </c>
      <c r="Q386" s="397">
        <f>_xlfn.XLOOKUP(E386,'All Products'!D:D,'All Products'!K:K,FALSE)</f>
        <v>49081149765</v>
      </c>
      <c r="R386" s="397" t="str">
        <f>_xlfn.XLOOKUP(E386,'All Products'!D:D,'All Products'!L:L,FALSE)</f>
        <v>-</v>
      </c>
      <c r="S386" s="397">
        <f>_xlfn.XLOOKUP(E386,'All Products'!D:D,'All Products'!M:M,FALSE)</f>
        <v>40049081149763</v>
      </c>
      <c r="T386" s="384">
        <f>_xlfn.XLOOKUP(E386,'All Products'!D:D,'All Products'!N:N,FALSE)</f>
        <v>3.0169999999999999</v>
      </c>
      <c r="U386" s="397" t="str">
        <f>_xlfn.XLOOKUP(E386,'All Products'!D:D,'All Products'!O:O,FALSE)</f>
        <v>-</v>
      </c>
      <c r="V386" s="384">
        <f>_xlfn.XLOOKUP(E386,'All Products'!D:D,'All Products'!P:P,FALSE)</f>
        <v>9.07</v>
      </c>
      <c r="W386" s="384">
        <f>_xlfn.XLOOKUP(E386,'All Products'!D:D,'All Products'!Q:Q,FALSE)</f>
        <v>0.5</v>
      </c>
    </row>
    <row r="387" spans="1:23" ht="15" customHeight="1">
      <c r="A387" s="101" t="str">
        <f>IF(K387&gt;0,COUNT($A$7:A386)
+COUNT('DWV PVC'!$A$9:$A$316)
+COUNT('DWV ABS'!$A$8:$A$116)+1,"")</f>
        <v/>
      </c>
      <c r="B387" s="612"/>
      <c r="C387" s="613"/>
      <c r="D387" s="369" t="str">
        <f>_xlfn.XLOOKUP(E387,'All Products'!D:D,'All Products'!C:C,FALSE)</f>
        <v>457-040</v>
      </c>
      <c r="E387" s="51">
        <v>100027432</v>
      </c>
      <c r="F387" s="376" t="str">
        <f>_xlfn.XLOOKUP(E387,'All Products'!D:D,'All Products'!E:E,FALSE)</f>
        <v>4 UNION SLIP X SLIP</v>
      </c>
      <c r="G387" s="232">
        <f>_xlfn.XLOOKUP(E387,'All Products'!D:D,'All Products'!F:F,FALSE)</f>
        <v>2</v>
      </c>
      <c r="H387" s="387">
        <f>_xlfn.XLOOKUP(E387,'All Products'!D:D,'All Products'!G:G,FALSE)</f>
        <v>180</v>
      </c>
      <c r="I387" s="394">
        <f>_xlfn.XLOOKUP(E387,'All Products'!D:D,'All Products'!H:H,FALSE)</f>
        <v>319.85000000000002</v>
      </c>
      <c r="J387" s="183">
        <f>IFERROR(ROUND(I387*Order_Quote!$L$4,2),0)</f>
        <v>319.85000000000002</v>
      </c>
      <c r="K387" s="73"/>
      <c r="L387" s="76"/>
      <c r="M387" s="114">
        <f t="shared" si="32"/>
        <v>0</v>
      </c>
      <c r="O387" s="384" t="str">
        <f>_xlfn.XLOOKUP(E387,'All Products'!D:D,'All Products'!I:I,FALSE)</f>
        <v>In Stock</v>
      </c>
      <c r="P387" s="384" t="str">
        <f>_xlfn.XLOOKUP(E387,'All Products'!D:D,'All Products'!J:J,FALSE)</f>
        <v>Manufactured</v>
      </c>
      <c r="Q387" s="397">
        <f>_xlfn.XLOOKUP(E387,'All Products'!D:D,'All Products'!K:K,FALSE)</f>
        <v>49081149772</v>
      </c>
      <c r="R387" s="397" t="str">
        <f>_xlfn.XLOOKUP(E387,'All Products'!D:D,'All Products'!L:L,FALSE)</f>
        <v>-</v>
      </c>
      <c r="S387" s="397">
        <f>_xlfn.XLOOKUP(E387,'All Products'!D:D,'All Products'!M:M,FALSE)</f>
        <v>40049081149770</v>
      </c>
      <c r="T387" s="384">
        <f>_xlfn.XLOOKUP(E387,'All Products'!D:D,'All Products'!N:N,FALSE)</f>
        <v>7.26</v>
      </c>
      <c r="U387" s="397" t="str">
        <f>_xlfn.XLOOKUP(E387,'All Products'!D:D,'All Products'!O:O,FALSE)</f>
        <v>-</v>
      </c>
      <c r="V387" s="384">
        <f>_xlfn.XLOOKUP(E387,'All Products'!D:D,'All Products'!P:P,FALSE)</f>
        <v>14.7</v>
      </c>
      <c r="W387" s="384">
        <f>_xlfn.XLOOKUP(E387,'All Products'!D:D,'All Products'!Q:Q,FALSE)</f>
        <v>0.8</v>
      </c>
    </row>
    <row r="388" spans="1:23" ht="15" customHeight="1">
      <c r="A388" s="101" t="str">
        <f>IF(K388&gt;0,COUNT($A$7:A387)
+COUNT('DWV PVC'!$A$9:$A$316)
+COUNT('DWV ABS'!$A$8:$A$116)+1,"")</f>
        <v/>
      </c>
      <c r="B388" s="608"/>
      <c r="C388" s="609"/>
      <c r="D388" s="369" t="str">
        <f>_xlfn.XLOOKUP(E388,'All Products'!D:D,'All Products'!C:C,FALSE)</f>
        <v>458-005</v>
      </c>
      <c r="E388" s="51">
        <v>100023119</v>
      </c>
      <c r="F388" s="376" t="str">
        <f>_xlfn.XLOOKUP(E388,'All Products'!D:D,'All Products'!E:E,FALSE)</f>
        <v>1/2 UNION FIPT X FIPT</v>
      </c>
      <c r="G388" s="232">
        <f>_xlfn.XLOOKUP(E388,'All Products'!D:D,'All Products'!F:F,FALSE)</f>
        <v>50</v>
      </c>
      <c r="H388" s="387">
        <f>_xlfn.XLOOKUP(E388,'All Products'!D:D,'All Products'!G:G,FALSE)</f>
        <v>13500</v>
      </c>
      <c r="I388" s="394">
        <f>_xlfn.XLOOKUP(E388,'All Products'!D:D,'All Products'!H:H,FALSE)</f>
        <v>21.8</v>
      </c>
      <c r="J388" s="183">
        <f>IFERROR(ROUND(I388*Order_Quote!$L$4,2),0)</f>
        <v>21.8</v>
      </c>
      <c r="K388" s="73"/>
      <c r="L388" s="76"/>
      <c r="M388" s="114">
        <f t="shared" si="32"/>
        <v>0</v>
      </c>
      <c r="O388" s="384" t="str">
        <f>_xlfn.XLOOKUP(E388,'All Products'!D:D,'All Products'!I:I,FALSE)</f>
        <v>Within 4 Months</v>
      </c>
      <c r="P388" s="384" t="str">
        <f>_xlfn.XLOOKUP(E388,'All Products'!D:D,'All Products'!J:J,FALSE)</f>
        <v>Manufactured</v>
      </c>
      <c r="Q388" s="397">
        <f>_xlfn.XLOOKUP(E388,'All Products'!D:D,'All Products'!K:K,FALSE)</f>
        <v>49081149840</v>
      </c>
      <c r="R388" s="397" t="str">
        <f>_xlfn.XLOOKUP(E388,'All Products'!D:D,'All Products'!L:L,FALSE)</f>
        <v>-</v>
      </c>
      <c r="S388" s="397">
        <f>_xlfn.XLOOKUP(E388,'All Products'!D:D,'All Products'!M:M,FALSE)</f>
        <v>40049081149848</v>
      </c>
      <c r="T388" s="384">
        <f>_xlfn.XLOOKUP(E388,'All Products'!D:D,'All Products'!N:N,FALSE)</f>
        <v>0.126</v>
      </c>
      <c r="U388" s="397" t="str">
        <f>_xlfn.XLOOKUP(E388,'All Products'!D:D,'All Products'!O:O,FALSE)</f>
        <v>-</v>
      </c>
      <c r="V388" s="384">
        <f>_xlfn.XLOOKUP(E388,'All Products'!D:D,'All Products'!P:P,FALSE)</f>
        <v>8.75</v>
      </c>
      <c r="W388" s="384">
        <f>_xlfn.XLOOKUP(E388,'All Products'!D:D,'All Products'!Q:Q,FALSE)</f>
        <v>0.31</v>
      </c>
    </row>
    <row r="389" spans="1:23" ht="15" customHeight="1">
      <c r="A389" s="101" t="str">
        <f>IF(K389&gt;0,COUNT($A$7:A388)
+COUNT('DWV PVC'!$A$9:$A$316)
+COUNT('DWV ABS'!$A$8:$A$116)+1,"")</f>
        <v/>
      </c>
      <c r="B389" s="610"/>
      <c r="C389" s="611"/>
      <c r="D389" s="369" t="str">
        <f>_xlfn.XLOOKUP(E389,'All Products'!D:D,'All Products'!C:C,FALSE)</f>
        <v>458-007</v>
      </c>
      <c r="E389" s="51">
        <v>100023121</v>
      </c>
      <c r="F389" s="376" t="str">
        <f>_xlfn.XLOOKUP(E389,'All Products'!D:D,'All Products'!E:E,FALSE)</f>
        <v>3/4 UNION FIPT X FIPT</v>
      </c>
      <c r="G389" s="232">
        <f>_xlfn.XLOOKUP(E389,'All Products'!D:D,'All Products'!F:F,FALSE)</f>
        <v>50</v>
      </c>
      <c r="H389" s="387">
        <f>_xlfn.XLOOKUP(E389,'All Products'!D:D,'All Products'!G:G,FALSE)</f>
        <v>7500</v>
      </c>
      <c r="I389" s="394">
        <f>_xlfn.XLOOKUP(E389,'All Products'!D:D,'All Products'!H:H,FALSE)</f>
        <v>36.450000000000003</v>
      </c>
      <c r="J389" s="183">
        <f>IFERROR(ROUND(I389*Order_Quote!$L$4,2),0)</f>
        <v>36.450000000000003</v>
      </c>
      <c r="K389" s="73"/>
      <c r="L389" s="76"/>
      <c r="M389" s="114">
        <f t="shared" si="32"/>
        <v>0</v>
      </c>
      <c r="O389" s="384" t="str">
        <f>_xlfn.XLOOKUP(E389,'All Products'!D:D,'All Products'!I:I,FALSE)</f>
        <v>Within 4 Months</v>
      </c>
      <c r="P389" s="384" t="str">
        <f>_xlfn.XLOOKUP(E389,'All Products'!D:D,'All Products'!J:J,FALSE)</f>
        <v>Manufactured</v>
      </c>
      <c r="Q389" s="397">
        <f>_xlfn.XLOOKUP(E389,'All Products'!D:D,'All Products'!K:K,FALSE)</f>
        <v>49081149864</v>
      </c>
      <c r="R389" s="397" t="str">
        <f>_xlfn.XLOOKUP(E389,'All Products'!D:D,'All Products'!L:L,FALSE)</f>
        <v>-</v>
      </c>
      <c r="S389" s="397">
        <f>_xlfn.XLOOKUP(E389,'All Products'!D:D,'All Products'!M:M,FALSE)</f>
        <v>40049081149862</v>
      </c>
      <c r="T389" s="384">
        <f>_xlfn.XLOOKUP(E389,'All Products'!D:D,'All Products'!N:N,FALSE)</f>
        <v>0.20100000000000001</v>
      </c>
      <c r="U389" s="397" t="str">
        <f>_xlfn.XLOOKUP(E389,'All Products'!D:D,'All Products'!O:O,FALSE)</f>
        <v>-</v>
      </c>
      <c r="V389" s="384">
        <f>_xlfn.XLOOKUP(E389,'All Products'!D:D,'All Products'!P:P,FALSE)</f>
        <v>13.5</v>
      </c>
      <c r="W389" s="384">
        <f>_xlfn.XLOOKUP(E389,'All Products'!D:D,'All Products'!Q:Q,FALSE)</f>
        <v>0.5</v>
      </c>
    </row>
    <row r="390" spans="1:23" ht="15" customHeight="1">
      <c r="A390" s="101" t="str">
        <f>IF(K390&gt;0,COUNT($A$7:A389)
+COUNT('DWV PVC'!$A$9:$A$316)
+COUNT('DWV ABS'!$A$8:$A$116)+1,"")</f>
        <v/>
      </c>
      <c r="B390" s="610"/>
      <c r="C390" s="611"/>
      <c r="D390" s="369" t="str">
        <f>_xlfn.XLOOKUP(E390,'All Products'!D:D,'All Products'!C:C,FALSE)</f>
        <v>458-010</v>
      </c>
      <c r="E390" s="51">
        <v>100023123</v>
      </c>
      <c r="F390" s="376" t="str">
        <f>_xlfn.XLOOKUP(E390,'All Products'!D:D,'All Products'!E:E,FALSE)</f>
        <v>1 UNION FIPT X FIPT</v>
      </c>
      <c r="G390" s="232">
        <f>_xlfn.XLOOKUP(E390,'All Products'!D:D,'All Products'!F:F,FALSE)</f>
        <v>18</v>
      </c>
      <c r="H390" s="387">
        <f>_xlfn.XLOOKUP(E390,'All Products'!D:D,'All Products'!G:G,FALSE)</f>
        <v>2700</v>
      </c>
      <c r="I390" s="394">
        <f>_xlfn.XLOOKUP(E390,'All Products'!D:D,'All Products'!H:H,FALSE)</f>
        <v>49.8</v>
      </c>
      <c r="J390" s="183">
        <f>IFERROR(ROUND(I390*Order_Quote!$L$4,2),0)</f>
        <v>49.8</v>
      </c>
      <c r="K390" s="73"/>
      <c r="L390" s="76"/>
      <c r="M390" s="114">
        <f t="shared" si="32"/>
        <v>0</v>
      </c>
      <c r="O390" s="384" t="str">
        <f>_xlfn.XLOOKUP(E390,'All Products'!D:D,'All Products'!I:I,FALSE)</f>
        <v>In Stock</v>
      </c>
      <c r="P390" s="384" t="str">
        <f>_xlfn.XLOOKUP(E390,'All Products'!D:D,'All Products'!J:J,FALSE)</f>
        <v>Manufactured</v>
      </c>
      <c r="Q390" s="397">
        <f>_xlfn.XLOOKUP(E390,'All Products'!D:D,'All Products'!K:K,FALSE)</f>
        <v>49081149888</v>
      </c>
      <c r="R390" s="397" t="str">
        <f>_xlfn.XLOOKUP(E390,'All Products'!D:D,'All Products'!L:L,FALSE)</f>
        <v>-</v>
      </c>
      <c r="S390" s="397">
        <f>_xlfn.XLOOKUP(E390,'All Products'!D:D,'All Products'!M:M,FALSE)</f>
        <v>40049081149886</v>
      </c>
      <c r="T390" s="384">
        <f>_xlfn.XLOOKUP(E390,'All Products'!D:D,'All Products'!N:N,FALSE)</f>
        <v>0.317</v>
      </c>
      <c r="U390" s="397" t="str">
        <f>_xlfn.XLOOKUP(E390,'All Products'!D:D,'All Products'!O:O,FALSE)</f>
        <v>-</v>
      </c>
      <c r="V390" s="384">
        <f>_xlfn.XLOOKUP(E390,'All Products'!D:D,'All Products'!P:P,FALSE)</f>
        <v>6.5</v>
      </c>
      <c r="W390" s="384">
        <f>_xlfn.XLOOKUP(E390,'All Products'!D:D,'All Products'!Q:Q,FALSE)</f>
        <v>0.5</v>
      </c>
    </row>
    <row r="391" spans="1:23" ht="15" customHeight="1">
      <c r="A391" s="101" t="str">
        <f>IF(K391&gt;0,COUNT($A$7:A390)
+COUNT('DWV PVC'!$A$9:$A$316)
+COUNT('DWV ABS'!$A$8:$A$116)+1,"")</f>
        <v/>
      </c>
      <c r="B391" s="610"/>
      <c r="C391" s="611"/>
      <c r="D391" s="369" t="str">
        <f>_xlfn.XLOOKUP(E391,'All Products'!D:D,'All Products'!C:C,FALSE)</f>
        <v>458-012</v>
      </c>
      <c r="E391" s="51">
        <v>100023125</v>
      </c>
      <c r="F391" s="376" t="str">
        <f>_xlfn.XLOOKUP(E391,'All Products'!D:D,'All Products'!E:E,FALSE)</f>
        <v>1-1/4 UNION FIPT X FIPT</v>
      </c>
      <c r="G391" s="232">
        <f>_xlfn.XLOOKUP(E391,'All Products'!D:D,'All Products'!F:F,FALSE)</f>
        <v>10</v>
      </c>
      <c r="H391" s="387">
        <f>_xlfn.XLOOKUP(E391,'All Products'!D:D,'All Products'!G:G,FALSE)</f>
        <v>2700</v>
      </c>
      <c r="I391" s="394">
        <f>_xlfn.XLOOKUP(E391,'All Products'!D:D,'All Products'!H:H,FALSE)</f>
        <v>85.48</v>
      </c>
      <c r="J391" s="183">
        <f>IFERROR(ROUND(I391*Order_Quote!$L$4,2),0)</f>
        <v>85.48</v>
      </c>
      <c r="K391" s="73"/>
      <c r="L391" s="76"/>
      <c r="M391" s="114">
        <f t="shared" si="32"/>
        <v>0</v>
      </c>
      <c r="O391" s="384" t="str">
        <f>_xlfn.XLOOKUP(E391,'All Products'!D:D,'All Products'!I:I,FALSE)</f>
        <v>Within 4 Months</v>
      </c>
      <c r="P391" s="384" t="str">
        <f>_xlfn.XLOOKUP(E391,'All Products'!D:D,'All Products'!J:J,FALSE)</f>
        <v>Manufactured</v>
      </c>
      <c r="Q391" s="397">
        <f>_xlfn.XLOOKUP(E391,'All Products'!D:D,'All Products'!K:K,FALSE)</f>
        <v>49081149901</v>
      </c>
      <c r="R391" s="397" t="str">
        <f>_xlfn.XLOOKUP(E391,'All Products'!D:D,'All Products'!L:L,FALSE)</f>
        <v>-</v>
      </c>
      <c r="S391" s="397">
        <f>_xlfn.XLOOKUP(E391,'All Products'!D:D,'All Products'!M:M,FALSE)</f>
        <v>40049081149909</v>
      </c>
      <c r="T391" s="384">
        <f>_xlfn.XLOOKUP(E391,'All Products'!D:D,'All Products'!N:N,FALSE)</f>
        <v>0.75</v>
      </c>
      <c r="U391" s="397" t="str">
        <f>_xlfn.XLOOKUP(E391,'All Products'!D:D,'All Products'!O:O,FALSE)</f>
        <v>-</v>
      </c>
      <c r="V391" s="384">
        <f>_xlfn.XLOOKUP(E391,'All Products'!D:D,'All Products'!P:P,FALSE)</f>
        <v>5.21</v>
      </c>
      <c r="W391" s="384">
        <f>_xlfn.XLOOKUP(E391,'All Products'!D:D,'All Products'!Q:Q,FALSE)</f>
        <v>0.31</v>
      </c>
    </row>
    <row r="392" spans="1:23" ht="15" customHeight="1">
      <c r="A392" s="101" t="str">
        <f>IF(K392&gt;0,COUNT($A$7:A391)
+COUNT('DWV PVC'!$A$9:$A$316)
+COUNT('DWV ABS'!$A$8:$A$116)+1,"")</f>
        <v/>
      </c>
      <c r="B392" s="610"/>
      <c r="C392" s="611"/>
      <c r="D392" s="369" t="str">
        <f>_xlfn.XLOOKUP(E392,'All Products'!D:D,'All Products'!C:C,FALSE)</f>
        <v>458-015</v>
      </c>
      <c r="E392" s="51">
        <v>100023127</v>
      </c>
      <c r="F392" s="376" t="str">
        <f>_xlfn.XLOOKUP(E392,'All Products'!D:D,'All Products'!E:E,FALSE)</f>
        <v>1-1/2 UNION FIPT X FIPT</v>
      </c>
      <c r="G392" s="232">
        <f>_xlfn.XLOOKUP(E392,'All Products'!D:D,'All Products'!F:F,FALSE)</f>
        <v>10</v>
      </c>
      <c r="H392" s="387">
        <f>_xlfn.XLOOKUP(E392,'All Products'!D:D,'All Products'!G:G,FALSE)</f>
        <v>1500</v>
      </c>
      <c r="I392" s="394">
        <f>_xlfn.XLOOKUP(E392,'All Products'!D:D,'All Products'!H:H,FALSE)</f>
        <v>87.4</v>
      </c>
      <c r="J392" s="183">
        <f>IFERROR(ROUND(I392*Order_Quote!$L$4,2),0)</f>
        <v>87.4</v>
      </c>
      <c r="K392" s="73"/>
      <c r="L392" s="76"/>
      <c r="M392" s="114">
        <f t="shared" si="32"/>
        <v>0</v>
      </c>
      <c r="O392" s="384" t="str">
        <f>_xlfn.XLOOKUP(E392,'All Products'!D:D,'All Products'!I:I,FALSE)</f>
        <v>In Stock</v>
      </c>
      <c r="P392" s="384" t="str">
        <f>_xlfn.XLOOKUP(E392,'All Products'!D:D,'All Products'!J:J,FALSE)</f>
        <v>Manufactured</v>
      </c>
      <c r="Q392" s="397">
        <f>_xlfn.XLOOKUP(E392,'All Products'!D:D,'All Products'!K:K,FALSE)</f>
        <v>49081149925</v>
      </c>
      <c r="R392" s="397" t="str">
        <f>_xlfn.XLOOKUP(E392,'All Products'!D:D,'All Products'!L:L,FALSE)</f>
        <v>-</v>
      </c>
      <c r="S392" s="397">
        <f>_xlfn.XLOOKUP(E392,'All Products'!D:D,'All Products'!M:M,FALSE)</f>
        <v>40049081149923</v>
      </c>
      <c r="T392" s="384">
        <f>_xlfn.XLOOKUP(E392,'All Products'!D:D,'All Products'!N:N,FALSE)</f>
        <v>0.91500000000000004</v>
      </c>
      <c r="U392" s="397" t="str">
        <f>_xlfn.XLOOKUP(E392,'All Products'!D:D,'All Products'!O:O,FALSE)</f>
        <v>-</v>
      </c>
      <c r="V392" s="384">
        <f>_xlfn.XLOOKUP(E392,'All Products'!D:D,'All Products'!P:P,FALSE)</f>
        <v>4.37</v>
      </c>
      <c r="W392" s="384">
        <f>_xlfn.XLOOKUP(E392,'All Products'!D:D,'All Products'!Q:Q,FALSE)</f>
        <v>0.5</v>
      </c>
    </row>
    <row r="393" spans="1:23" ht="15" customHeight="1">
      <c r="A393" s="101" t="str">
        <f>IF(K393&gt;0,COUNT($A$7:A392)
+COUNT('DWV PVC'!$A$9:$A$316)
+COUNT('DWV ABS'!$A$8:$A$116)+1,"")</f>
        <v/>
      </c>
      <c r="B393" s="610"/>
      <c r="C393" s="611"/>
      <c r="D393" s="369" t="str">
        <f>_xlfn.XLOOKUP(E393,'All Products'!D:D,'All Products'!C:C,FALSE)</f>
        <v>458-020</v>
      </c>
      <c r="E393" s="51">
        <v>100023129</v>
      </c>
      <c r="F393" s="376" t="str">
        <f>_xlfn.XLOOKUP(E393,'All Products'!D:D,'All Products'!E:E,FALSE)</f>
        <v>2 UNION FIPT X FIPT</v>
      </c>
      <c r="G393" s="232">
        <f>_xlfn.XLOOKUP(E393,'All Products'!D:D,'All Products'!F:F,FALSE)</f>
        <v>16</v>
      </c>
      <c r="H393" s="387">
        <f>_xlfn.XLOOKUP(E393,'All Products'!D:D,'All Products'!G:G,FALSE)</f>
        <v>1200</v>
      </c>
      <c r="I393" s="394">
        <f>_xlfn.XLOOKUP(E393,'All Products'!D:D,'All Products'!H:H,FALSE)</f>
        <v>107.24</v>
      </c>
      <c r="J393" s="183">
        <f>IFERROR(ROUND(I393*Order_Quote!$L$4,2),0)</f>
        <v>107.24</v>
      </c>
      <c r="K393" s="73"/>
      <c r="L393" s="76"/>
      <c r="M393" s="114">
        <f t="shared" si="32"/>
        <v>0</v>
      </c>
      <c r="O393" s="384" t="str">
        <f>_xlfn.XLOOKUP(E393,'All Products'!D:D,'All Products'!I:I,FALSE)</f>
        <v>In Stock</v>
      </c>
      <c r="P393" s="384" t="str">
        <f>_xlfn.XLOOKUP(E393,'All Products'!D:D,'All Products'!J:J,FALSE)</f>
        <v>Manufactured</v>
      </c>
      <c r="Q393" s="397">
        <f>_xlfn.XLOOKUP(E393,'All Products'!D:D,'All Products'!K:K,FALSE)</f>
        <v>49081149949</v>
      </c>
      <c r="R393" s="397" t="str">
        <f>_xlfn.XLOOKUP(E393,'All Products'!D:D,'All Products'!L:L,FALSE)</f>
        <v>-</v>
      </c>
      <c r="S393" s="397">
        <f>_xlfn.XLOOKUP(E393,'All Products'!D:D,'All Products'!M:M,FALSE)</f>
        <v>40049081149947</v>
      </c>
      <c r="T393" s="384">
        <f>_xlfn.XLOOKUP(E393,'All Products'!D:D,'All Products'!N:N,FALSE)</f>
        <v>1.3720000000000001</v>
      </c>
      <c r="U393" s="397" t="str">
        <f>_xlfn.XLOOKUP(E393,'All Products'!D:D,'All Products'!O:O,FALSE)</f>
        <v>-</v>
      </c>
      <c r="V393" s="384">
        <f>_xlfn.XLOOKUP(E393,'All Products'!D:D,'All Products'!P:P,FALSE)</f>
        <v>21.86</v>
      </c>
      <c r="W393" s="384">
        <f>_xlfn.XLOOKUP(E393,'All Products'!D:D,'All Products'!Q:Q,FALSE)</f>
        <v>0.95</v>
      </c>
    </row>
    <row r="394" spans="1:23" ht="15" customHeight="1">
      <c r="A394" s="101" t="str">
        <f>IF(K394&gt;0,COUNT($A$7:A393)
+COUNT('DWV PVC'!$A$9:$A$316)
+COUNT('DWV ABS'!$A$8:$A$116)+1,"")</f>
        <v/>
      </c>
      <c r="B394" s="612"/>
      <c r="C394" s="613"/>
      <c r="D394" s="369" t="str">
        <f>_xlfn.XLOOKUP(E394,'All Products'!D:D,'All Products'!C:C,FALSE)</f>
        <v>458-030</v>
      </c>
      <c r="E394" s="51">
        <v>100023132</v>
      </c>
      <c r="F394" s="376" t="str">
        <f>_xlfn.XLOOKUP(E394,'All Products'!D:D,'All Products'!E:E,FALSE)</f>
        <v>3 UNION FIPT X FIPT</v>
      </c>
      <c r="G394" s="232">
        <f>_xlfn.XLOOKUP(E394,'All Products'!D:D,'All Products'!F:F,FALSE)</f>
        <v>3</v>
      </c>
      <c r="H394" s="387">
        <f>_xlfn.XLOOKUP(E394,'All Products'!D:D,'All Products'!G:G,FALSE)</f>
        <v>450</v>
      </c>
      <c r="I394" s="394">
        <f>_xlfn.XLOOKUP(E394,'All Products'!D:D,'All Products'!H:H,FALSE)</f>
        <v>245.2</v>
      </c>
      <c r="J394" s="183">
        <f>IFERROR(ROUND(I394*Order_Quote!$L$4,2),0)</f>
        <v>245.2</v>
      </c>
      <c r="K394" s="73"/>
      <c r="L394" s="76"/>
      <c r="M394" s="114">
        <f t="shared" si="32"/>
        <v>0</v>
      </c>
      <c r="O394" s="384" t="str">
        <f>_xlfn.XLOOKUP(E394,'All Products'!D:D,'All Products'!I:I,FALSE)</f>
        <v>In Stock</v>
      </c>
      <c r="P394" s="384" t="str">
        <f>_xlfn.XLOOKUP(E394,'All Products'!D:D,'All Products'!J:J,FALSE)</f>
        <v>Manufactured</v>
      </c>
      <c r="Q394" s="397">
        <f>_xlfn.XLOOKUP(E394,'All Products'!D:D,'All Products'!K:K,FALSE)</f>
        <v>49081194949</v>
      </c>
      <c r="R394" s="397" t="str">
        <f>_xlfn.XLOOKUP(E394,'All Products'!D:D,'All Products'!L:L,FALSE)</f>
        <v>-</v>
      </c>
      <c r="S394" s="397">
        <f>_xlfn.XLOOKUP(E394,'All Products'!D:D,'All Products'!M:M,FALSE)</f>
        <v>40049081194947</v>
      </c>
      <c r="T394" s="384">
        <f>_xlfn.XLOOKUP(E394,'All Products'!D:D,'All Products'!N:N,FALSE)</f>
        <v>3.1829999999999998</v>
      </c>
      <c r="U394" s="397" t="str">
        <f>_xlfn.XLOOKUP(E394,'All Products'!D:D,'All Products'!O:O,FALSE)</f>
        <v>-</v>
      </c>
      <c r="V394" s="384">
        <f>_xlfn.XLOOKUP(E394,'All Products'!D:D,'All Products'!P:P,FALSE)</f>
        <v>9.5299999999999994</v>
      </c>
      <c r="W394" s="384">
        <f>_xlfn.XLOOKUP(E394,'All Products'!D:D,'All Products'!Q:Q,FALSE)</f>
        <v>0.5</v>
      </c>
    </row>
    <row r="395" spans="1:23" ht="19.5" customHeight="1">
      <c r="B395" s="608"/>
      <c r="C395" s="609"/>
      <c r="D395" s="369" t="str">
        <f>_xlfn.XLOOKUP(E395,'All Products'!D:D,'All Products'!C:C,FALSE)</f>
        <v>459-012</v>
      </c>
      <c r="E395" s="232">
        <v>100023136</v>
      </c>
      <c r="F395" s="376" t="str">
        <f>_xlfn.XLOOKUP(E395,'All Products'!D:D,'All Products'!E:E,FALSE)</f>
        <v>1-1/4" UNION SLIP X FIPT</v>
      </c>
      <c r="G395" s="232">
        <f>_xlfn.XLOOKUP(E395,'All Products'!D:D,'All Products'!F:F,FALSE)</f>
        <v>10</v>
      </c>
      <c r="H395" s="387">
        <f>_xlfn.XLOOKUP(E395,'All Products'!D:D,'All Products'!G:G,FALSE)</f>
        <v>900</v>
      </c>
      <c r="I395" s="394">
        <f>_xlfn.XLOOKUP(E395,'All Products'!D:D,'All Products'!H:H,FALSE)</f>
        <v>79.39</v>
      </c>
      <c r="J395" s="183">
        <f>IFERROR(ROUND(I395*Order_Quote!$L$4,2),0)</f>
        <v>79.39</v>
      </c>
      <c r="K395" s="73"/>
      <c r="L395" s="76"/>
      <c r="M395" s="114">
        <f t="shared" ref="M395" si="34">K395/G395</f>
        <v>0</v>
      </c>
      <c r="O395" s="384" t="str">
        <f>_xlfn.XLOOKUP(E395,'All Products'!D:D,'All Products'!I:I,FALSE)</f>
        <v>Within 3 Weeks</v>
      </c>
      <c r="P395" s="384" t="str">
        <f>_xlfn.XLOOKUP(E395,'All Products'!D:D,'All Products'!J:J,FALSE)</f>
        <v>Sourced</v>
      </c>
      <c r="Q395" s="397">
        <f>_xlfn.XLOOKUP(E395,'All Products'!D:D,'All Products'!K:K,FALSE)</f>
        <v>49081140199</v>
      </c>
      <c r="R395" s="397" t="str">
        <f>_xlfn.XLOOKUP(E395,'All Products'!D:D,'All Products'!L:L,FALSE)</f>
        <v>-</v>
      </c>
      <c r="S395" s="397">
        <f>_xlfn.XLOOKUP(E395,'All Products'!D:D,'All Products'!M:M,FALSE)</f>
        <v>40049081140197</v>
      </c>
      <c r="T395" s="384">
        <f>_xlfn.XLOOKUP(E395,'All Products'!D:D,'All Products'!N:N,FALSE)</f>
        <v>0.78600000000000003</v>
      </c>
      <c r="U395" s="397" t="str">
        <f>_xlfn.XLOOKUP(E395,'All Products'!D:D,'All Products'!O:O,FALSE)</f>
        <v>-</v>
      </c>
      <c r="V395" s="384">
        <f>_xlfn.XLOOKUP(E395,'All Products'!D:D,'All Products'!P:P,FALSE)</f>
        <v>7.86</v>
      </c>
      <c r="W395" s="384">
        <f>_xlfn.XLOOKUP(E395,'All Products'!D:D,'All Products'!Q:Q,FALSE)</f>
        <v>0.43</v>
      </c>
    </row>
    <row r="396" spans="1:23" ht="18.75" customHeight="1">
      <c r="A396" s="101" t="str">
        <f>IF(K396&gt;0,COUNT($A$7:A394)
+COUNT('DWV PVC'!$A$9:$A$316)
+COUNT('DWV ABS'!$A$8:$A$116)+1,"")</f>
        <v/>
      </c>
      <c r="B396" s="610"/>
      <c r="C396" s="611"/>
      <c r="D396" s="369" t="str">
        <f>_xlfn.XLOOKUP(E396,'All Products'!D:D,'All Products'!C:C,FALSE)</f>
        <v>459-015</v>
      </c>
      <c r="E396" s="51">
        <v>100023137</v>
      </c>
      <c r="F396" s="376" t="str">
        <f>_xlfn.XLOOKUP(E396,'All Products'!D:D,'All Products'!E:E,FALSE)</f>
        <v>1-1/2 UNION SLIP X FIPT</v>
      </c>
      <c r="G396" s="232">
        <f>_xlfn.XLOOKUP(E396,'All Products'!D:D,'All Products'!F:F,FALSE)</f>
        <v>10</v>
      </c>
      <c r="H396" s="387">
        <f>_xlfn.XLOOKUP(E396,'All Products'!D:D,'All Products'!G:G,FALSE)</f>
        <v>1500</v>
      </c>
      <c r="I396" s="394">
        <f>_xlfn.XLOOKUP(E396,'All Products'!D:D,'All Products'!H:H,FALSE)</f>
        <v>82.33</v>
      </c>
      <c r="J396" s="183">
        <f>IFERROR(ROUND(I396*Order_Quote!$L$4,2),0)</f>
        <v>82.33</v>
      </c>
      <c r="K396" s="73"/>
      <c r="L396" s="76"/>
      <c r="M396" s="114">
        <f t="shared" si="32"/>
        <v>0</v>
      </c>
      <c r="O396" s="384" t="str">
        <f>_xlfn.XLOOKUP(E396,'All Products'!D:D,'All Products'!I:I,FALSE)</f>
        <v>In Stock</v>
      </c>
      <c r="P396" s="384" t="str">
        <f>_xlfn.XLOOKUP(E396,'All Products'!D:D,'All Products'!J:J,FALSE)</f>
        <v>Manufactured</v>
      </c>
      <c r="Q396" s="397">
        <f>_xlfn.XLOOKUP(E396,'All Products'!D:D,'All Products'!K:K,FALSE)</f>
        <v>49081140205</v>
      </c>
      <c r="R396" s="397" t="str">
        <f>_xlfn.XLOOKUP(E396,'All Products'!D:D,'All Products'!L:L,FALSE)</f>
        <v>-</v>
      </c>
      <c r="S396" s="397">
        <f>_xlfn.XLOOKUP(E396,'All Products'!D:D,'All Products'!M:M,FALSE)</f>
        <v>40049081140203</v>
      </c>
      <c r="T396" s="384">
        <f>_xlfn.XLOOKUP(E396,'All Products'!D:D,'All Products'!N:N,FALSE)</f>
        <v>0.79200000000000004</v>
      </c>
      <c r="U396" s="397" t="str">
        <f>_xlfn.XLOOKUP(E396,'All Products'!D:D,'All Products'!O:O,FALSE)</f>
        <v>-</v>
      </c>
      <c r="V396" s="384">
        <f>_xlfn.XLOOKUP(E396,'All Products'!D:D,'All Products'!P:P,FALSE)</f>
        <v>6.43</v>
      </c>
      <c r="W396" s="384">
        <f>_xlfn.XLOOKUP(E396,'All Products'!D:D,'All Products'!Q:Q,FALSE)</f>
        <v>0.5</v>
      </c>
    </row>
    <row r="397" spans="1:23" ht="16.5" customHeight="1">
      <c r="A397" s="101" t="str">
        <f>IF(K397&gt;0,COUNT($A$7:A396)
+COUNT('DWV PVC'!$A$9:$A$316)
+COUNT('DWV ABS'!$A$8:$A$116)+1,"")</f>
        <v/>
      </c>
      <c r="B397" s="612"/>
      <c r="C397" s="613"/>
      <c r="D397" s="369" t="str">
        <f>_xlfn.XLOOKUP(E397,'All Products'!D:D,'All Products'!C:C,FALSE)</f>
        <v>459-020</v>
      </c>
      <c r="E397" s="51">
        <v>100023138</v>
      </c>
      <c r="F397" s="376" t="str">
        <f>_xlfn.XLOOKUP(E397,'All Products'!D:D,'All Products'!E:E,FALSE)</f>
        <v>2 UNION SLIP X FIPT</v>
      </c>
      <c r="G397" s="232">
        <f>_xlfn.XLOOKUP(E397,'All Products'!D:D,'All Products'!F:F,FALSE)</f>
        <v>16</v>
      </c>
      <c r="H397" s="387">
        <f>_xlfn.XLOOKUP(E397,'All Products'!D:D,'All Products'!G:G,FALSE)</f>
        <v>1200</v>
      </c>
      <c r="I397" s="394">
        <f>_xlfn.XLOOKUP(E397,'All Products'!D:D,'All Products'!H:H,FALSE)</f>
        <v>105.59</v>
      </c>
      <c r="J397" s="183">
        <f>IFERROR(ROUND(I397*Order_Quote!$L$4,2),0)</f>
        <v>105.59</v>
      </c>
      <c r="K397" s="73"/>
      <c r="L397" s="76"/>
      <c r="M397" s="114">
        <f t="shared" si="32"/>
        <v>0</v>
      </c>
      <c r="O397" s="384" t="str">
        <f>_xlfn.XLOOKUP(E397,'All Products'!D:D,'All Products'!I:I,FALSE)</f>
        <v>In Stock</v>
      </c>
      <c r="P397" s="384" t="str">
        <f>_xlfn.XLOOKUP(E397,'All Products'!D:D,'All Products'!J:J,FALSE)</f>
        <v>Manufactured</v>
      </c>
      <c r="Q397" s="397">
        <f>_xlfn.XLOOKUP(E397,'All Products'!D:D,'All Products'!K:K,FALSE)</f>
        <v>49081140212</v>
      </c>
      <c r="R397" s="397" t="str">
        <f>_xlfn.XLOOKUP(E397,'All Products'!D:D,'All Products'!L:L,FALSE)</f>
        <v>-</v>
      </c>
      <c r="S397" s="397">
        <f>_xlfn.XLOOKUP(E397,'All Products'!D:D,'All Products'!M:M,FALSE)</f>
        <v>40049081140210</v>
      </c>
      <c r="T397" s="384">
        <f>_xlfn.XLOOKUP(E397,'All Products'!D:D,'All Products'!N:N,FALSE)</f>
        <v>1.3460000000000001</v>
      </c>
      <c r="U397" s="397" t="str">
        <f>_xlfn.XLOOKUP(E397,'All Products'!D:D,'All Products'!O:O,FALSE)</f>
        <v>-</v>
      </c>
      <c r="V397" s="384">
        <f>_xlfn.XLOOKUP(E397,'All Products'!D:D,'All Products'!P:P,FALSE)</f>
        <v>13.99</v>
      </c>
      <c r="W397" s="384">
        <f>_xlfn.XLOOKUP(E397,'All Products'!D:D,'All Products'!Q:Q,FALSE)</f>
        <v>0.95</v>
      </c>
    </row>
    <row r="398" spans="1:23" ht="15" customHeight="1">
      <c r="A398" s="101" t="str">
        <f>IF(K398&gt;0,COUNT($A$7:A397)
+COUNT('DWV PVC'!$A$9:$A$316)
+COUNT('DWV ABS'!$A$8:$A$116)+1,"")</f>
        <v/>
      </c>
      <c r="B398" s="608"/>
      <c r="C398" s="609"/>
      <c r="D398" s="369" t="str">
        <f>_xlfn.XLOOKUP(E398,'All Products'!D:D,'All Products'!C:C,FALSE)</f>
        <v>463-007</v>
      </c>
      <c r="E398" s="51">
        <v>100023144</v>
      </c>
      <c r="F398" s="376" t="str">
        <f>_xlfn.XLOOKUP(E398,'All Products'!D:D,'All Products'!E:E,FALSE)</f>
        <v>3/4 SNAP TEE SNAPXSLIP</v>
      </c>
      <c r="G398" s="232">
        <f>_xlfn.XLOOKUP(E398,'All Products'!D:D,'All Products'!F:F,FALSE)</f>
        <v>100</v>
      </c>
      <c r="H398" s="387">
        <f>_xlfn.XLOOKUP(E398,'All Products'!D:D,'All Products'!G:G,FALSE)</f>
        <v>9000</v>
      </c>
      <c r="I398" s="394">
        <f>_xlfn.XLOOKUP(E398,'All Products'!D:D,'All Products'!H:H,FALSE)</f>
        <v>3.93</v>
      </c>
      <c r="J398" s="183">
        <f>IFERROR(ROUND(I398*Order_Quote!$L$4,2),0)</f>
        <v>3.93</v>
      </c>
      <c r="K398" s="73"/>
      <c r="L398" s="76"/>
      <c r="M398" s="114">
        <f t="shared" ref="M398:M424" si="35">K398/G398</f>
        <v>0</v>
      </c>
      <c r="O398" s="384" t="str">
        <f>_xlfn.XLOOKUP(E398,'All Products'!D:D,'All Products'!I:I,FALSE)</f>
        <v>Within 3 Weeks</v>
      </c>
      <c r="P398" s="384" t="str">
        <f>_xlfn.XLOOKUP(E398,'All Products'!D:D,'All Products'!J:J,FALSE)</f>
        <v>Manufactured</v>
      </c>
      <c r="Q398" s="397">
        <f>_xlfn.XLOOKUP(E398,'All Products'!D:D,'All Products'!K:K,FALSE)</f>
        <v>49081143367</v>
      </c>
      <c r="R398" s="397">
        <f>_xlfn.XLOOKUP(E398,'All Products'!D:D,'All Products'!L:L,FALSE)</f>
        <v>49081643362</v>
      </c>
      <c r="S398" s="397">
        <f>_xlfn.XLOOKUP(E398,'All Products'!D:D,'All Products'!M:M,FALSE)</f>
        <v>40049081143365</v>
      </c>
      <c r="T398" s="384">
        <f>_xlfn.XLOOKUP(E398,'All Products'!D:D,'All Products'!N:N,FALSE)</f>
        <v>9.0999999999999998E-2</v>
      </c>
      <c r="U398" s="397">
        <f>_xlfn.XLOOKUP(E398,'All Products'!D:D,'All Products'!O:O,FALSE)</f>
        <v>10</v>
      </c>
      <c r="V398" s="384">
        <f>_xlfn.XLOOKUP(E398,'All Products'!D:D,'All Products'!P:P,FALSE)</f>
        <v>10.199999999999999</v>
      </c>
      <c r="W398" s="384">
        <f>_xlfn.XLOOKUP(E398,'All Products'!D:D,'All Products'!Q:Q,FALSE)</f>
        <v>0.8</v>
      </c>
    </row>
    <row r="399" spans="1:23" ht="15" customHeight="1">
      <c r="A399" s="101" t="str">
        <f>IF(K399&gt;0,COUNT($A$7:A398)
+COUNT('DWV PVC'!$A$9:$A$316)
+COUNT('DWV ABS'!$A$8:$A$116)+1,"")</f>
        <v/>
      </c>
      <c r="B399" s="610"/>
      <c r="C399" s="611"/>
      <c r="D399" s="369" t="str">
        <f>_xlfn.XLOOKUP(E399,'All Products'!D:D,'All Products'!C:C,FALSE)</f>
        <v>463-010</v>
      </c>
      <c r="E399" s="51">
        <v>100023146</v>
      </c>
      <c r="F399" s="376" t="str">
        <f>_xlfn.XLOOKUP(E399,'All Products'!D:D,'All Products'!E:E,FALSE)</f>
        <v>1 SNAP TEE SNAPXSLIP</v>
      </c>
      <c r="G399" s="232">
        <f>_xlfn.XLOOKUP(E399,'All Products'!D:D,'All Products'!F:F,FALSE)</f>
        <v>45</v>
      </c>
      <c r="H399" s="387">
        <f>_xlfn.XLOOKUP(E399,'All Products'!D:D,'All Products'!G:G,FALSE)</f>
        <v>5400</v>
      </c>
      <c r="I399" s="394">
        <f>_xlfn.XLOOKUP(E399,'All Products'!D:D,'All Products'!H:H,FALSE)</f>
        <v>7.57</v>
      </c>
      <c r="J399" s="183">
        <f>IFERROR(ROUND(I399*Order_Quote!$L$4,2),0)</f>
        <v>7.57</v>
      </c>
      <c r="K399" s="73"/>
      <c r="L399" s="76"/>
      <c r="M399" s="114">
        <f t="shared" si="35"/>
        <v>0</v>
      </c>
      <c r="O399" s="384" t="str">
        <f>_xlfn.XLOOKUP(E399,'All Products'!D:D,'All Products'!I:I,FALSE)</f>
        <v>Within 3 Weeks</v>
      </c>
      <c r="P399" s="384" t="str">
        <f>_xlfn.XLOOKUP(E399,'All Products'!D:D,'All Products'!J:J,FALSE)</f>
        <v>Manufactured</v>
      </c>
      <c r="Q399" s="397">
        <f>_xlfn.XLOOKUP(E399,'All Products'!D:D,'All Products'!K:K,FALSE)</f>
        <v>49081143374</v>
      </c>
      <c r="R399" s="397" t="str">
        <f>_xlfn.XLOOKUP(E399,'All Products'!D:D,'All Products'!L:L,FALSE)</f>
        <v>-</v>
      </c>
      <c r="S399" s="397">
        <f>_xlfn.XLOOKUP(E399,'All Products'!D:D,'All Products'!M:M,FALSE)</f>
        <v>40049081143372</v>
      </c>
      <c r="T399" s="384">
        <f>_xlfn.XLOOKUP(E399,'All Products'!D:D,'All Products'!N:N,FALSE)</f>
        <v>0.15</v>
      </c>
      <c r="U399" s="397" t="str">
        <f>_xlfn.XLOOKUP(E399,'All Products'!D:D,'All Products'!O:O,FALSE)</f>
        <v>-</v>
      </c>
      <c r="V399" s="384">
        <f>_xlfn.XLOOKUP(E399,'All Products'!D:D,'All Products'!P:P,FALSE)</f>
        <v>7.62</v>
      </c>
      <c r="W399" s="384">
        <f>_xlfn.XLOOKUP(E399,'All Products'!D:D,'All Products'!Q:Q,FALSE)</f>
        <v>0.65</v>
      </c>
    </row>
    <row r="400" spans="1:23" ht="15" customHeight="1">
      <c r="B400" s="610"/>
      <c r="C400" s="611"/>
      <c r="D400" s="369" t="str">
        <f>_xlfn.XLOOKUP(E400,'All Products'!D:D,'All Products'!C:C,FALSE)</f>
        <v>463-012</v>
      </c>
      <c r="E400" s="51">
        <v>100023148</v>
      </c>
      <c r="F400" s="376" t="str">
        <f>_xlfn.XLOOKUP(E400,'All Products'!D:D,'All Products'!E:E,FALSE)</f>
        <v>1-1/4" SNAP TEE SNAPXSLIP</v>
      </c>
      <c r="G400" s="232">
        <f>_xlfn.XLOOKUP(E400,'All Products'!D:D,'All Products'!F:F,FALSE)</f>
        <v>25</v>
      </c>
      <c r="H400" s="387">
        <f>_xlfn.XLOOKUP(E400,'All Products'!D:D,'All Products'!G:G,FALSE)</f>
        <v>1875</v>
      </c>
      <c r="I400" s="394">
        <f>_xlfn.XLOOKUP(E400,'All Products'!D:D,'All Products'!H:H,FALSE)</f>
        <v>11.2</v>
      </c>
      <c r="J400" s="183">
        <f>IFERROR(ROUND(I400*Order_Quote!$L$4,2),0)</f>
        <v>11.2</v>
      </c>
      <c r="K400" s="73"/>
      <c r="L400" s="76"/>
      <c r="M400" s="114">
        <f t="shared" ref="M400" si="36">K400/G400</f>
        <v>0</v>
      </c>
      <c r="O400" s="384" t="str">
        <f>_xlfn.XLOOKUP(E400,'All Products'!D:D,'All Products'!I:I,FALSE)</f>
        <v>Within 3 Weeks</v>
      </c>
      <c r="P400" s="384" t="str">
        <f>_xlfn.XLOOKUP(E400,'All Products'!D:D,'All Products'!J:J,FALSE)</f>
        <v>Manufactured</v>
      </c>
      <c r="Q400" s="397">
        <f>_xlfn.XLOOKUP(E400,'All Products'!D:D,'All Products'!K:K,FALSE)</f>
        <v>49081143381</v>
      </c>
      <c r="R400" s="397" t="str">
        <f>_xlfn.XLOOKUP(E400,'All Products'!D:D,'All Products'!L:L,FALSE)</f>
        <v>-</v>
      </c>
      <c r="S400" s="397">
        <f>_xlfn.XLOOKUP(E400,'All Products'!D:D,'All Products'!M:M,FALSE)</f>
        <v>40049081143389</v>
      </c>
      <c r="T400" s="384">
        <f>_xlfn.XLOOKUP(E400,'All Products'!D:D,'All Products'!N:N,FALSE)</f>
        <v>0.188</v>
      </c>
      <c r="U400" s="397" t="str">
        <f>_xlfn.XLOOKUP(E400,'All Products'!D:D,'All Products'!O:O,FALSE)</f>
        <v>-</v>
      </c>
      <c r="V400" s="384">
        <f>_xlfn.XLOOKUP(E400,'All Products'!D:D,'All Products'!P:P,FALSE)</f>
        <v>5.35</v>
      </c>
      <c r="W400" s="384">
        <f>_xlfn.XLOOKUP(E400,'All Products'!D:D,'All Products'!Q:Q,FALSE)</f>
        <v>0.57999999999999996</v>
      </c>
    </row>
    <row r="401" spans="1:23" ht="15" customHeight="1">
      <c r="A401" s="101" t="str">
        <f>IF(K401&gt;0,COUNT($A$7:A399)
+COUNT('DWV PVC'!$A$9:$A$316)
+COUNT('DWV ABS'!$A$8:$A$116)+1,"")</f>
        <v/>
      </c>
      <c r="B401" s="610"/>
      <c r="C401" s="611"/>
      <c r="D401" s="369" t="str">
        <f>_xlfn.XLOOKUP(E401,'All Products'!D:D,'All Products'!C:C,FALSE)</f>
        <v>463-015</v>
      </c>
      <c r="E401" s="51">
        <v>100023150</v>
      </c>
      <c r="F401" s="376" t="str">
        <f>_xlfn.XLOOKUP(E401,'All Products'!D:D,'All Products'!E:E,FALSE)</f>
        <v>1-1/2 SNAP TEE SNAPXSLIP</v>
      </c>
      <c r="G401" s="232">
        <f>_xlfn.XLOOKUP(E401,'All Products'!D:D,'All Products'!F:F,FALSE)</f>
        <v>25</v>
      </c>
      <c r="H401" s="387">
        <f>_xlfn.XLOOKUP(E401,'All Products'!D:D,'All Products'!G:G,FALSE)</f>
        <v>3000</v>
      </c>
      <c r="I401" s="394">
        <f>_xlfn.XLOOKUP(E401,'All Products'!D:D,'All Products'!H:H,FALSE)</f>
        <v>14.25</v>
      </c>
      <c r="J401" s="183">
        <f>IFERROR(ROUND(I401*Order_Quote!$L$4,2),0)</f>
        <v>14.25</v>
      </c>
      <c r="K401" s="73"/>
      <c r="L401" s="76"/>
      <c r="M401" s="114">
        <f t="shared" si="35"/>
        <v>0</v>
      </c>
      <c r="O401" s="384" t="str">
        <f>_xlfn.XLOOKUP(E401,'All Products'!D:D,'All Products'!I:I,FALSE)</f>
        <v>In Stock</v>
      </c>
      <c r="P401" s="384" t="str">
        <f>_xlfn.XLOOKUP(E401,'All Products'!D:D,'All Products'!J:J,FALSE)</f>
        <v>Manufactured</v>
      </c>
      <c r="Q401" s="397">
        <f>_xlfn.XLOOKUP(E401,'All Products'!D:D,'All Products'!K:K,FALSE)</f>
        <v>49081143398</v>
      </c>
      <c r="R401" s="397" t="str">
        <f>_xlfn.XLOOKUP(E401,'All Products'!D:D,'All Products'!L:L,FALSE)</f>
        <v>-</v>
      </c>
      <c r="S401" s="397">
        <f>_xlfn.XLOOKUP(E401,'All Products'!D:D,'All Products'!M:M,FALSE)</f>
        <v>40049081143396</v>
      </c>
      <c r="T401" s="384">
        <f>_xlfn.XLOOKUP(E401,'All Products'!D:D,'All Products'!N:N,FALSE)</f>
        <v>0.28399999999999997</v>
      </c>
      <c r="U401" s="397" t="str">
        <f>_xlfn.XLOOKUP(E401,'All Products'!D:D,'All Products'!O:O,FALSE)</f>
        <v>-</v>
      </c>
      <c r="V401" s="384">
        <f>_xlfn.XLOOKUP(E401,'All Products'!D:D,'All Products'!P:P,FALSE)</f>
        <v>7.24</v>
      </c>
      <c r="W401" s="384">
        <f>_xlfn.XLOOKUP(E401,'All Products'!D:D,'All Products'!Q:Q,FALSE)</f>
        <v>0.65</v>
      </c>
    </row>
    <row r="402" spans="1:23" ht="15" customHeight="1">
      <c r="A402" s="101" t="str">
        <f>IF(K402&gt;0,COUNT($A$7:A401)
+COUNT('DWV PVC'!$A$9:$A$316)
+COUNT('DWV ABS'!$A$8:$A$116)+1,"")</f>
        <v/>
      </c>
      <c r="B402" s="610"/>
      <c r="C402" s="611"/>
      <c r="D402" s="369" t="str">
        <f>_xlfn.XLOOKUP(E402,'All Products'!D:D,'All Products'!C:C,FALSE)</f>
        <v>463-030</v>
      </c>
      <c r="E402" s="51">
        <v>100023155</v>
      </c>
      <c r="F402" s="376" t="str">
        <f>_xlfn.XLOOKUP(E402,'All Products'!D:D,'All Products'!E:E,FALSE)</f>
        <v>3 SNAP TEE SNAPXSLIP</v>
      </c>
      <c r="G402" s="232">
        <f>_xlfn.XLOOKUP(E402,'All Products'!D:D,'All Products'!F:F,FALSE)</f>
        <v>5</v>
      </c>
      <c r="H402" s="387">
        <f>_xlfn.XLOOKUP(E402,'All Products'!D:D,'All Products'!G:G,FALSE)</f>
        <v>600</v>
      </c>
      <c r="I402" s="394">
        <f>_xlfn.XLOOKUP(E402,'All Products'!D:D,'All Products'!H:H,FALSE)</f>
        <v>110.69</v>
      </c>
      <c r="J402" s="183">
        <f>IFERROR(ROUND(I402*Order_Quote!$L$4,2),0)</f>
        <v>110.69</v>
      </c>
      <c r="K402" s="73"/>
      <c r="L402" s="76"/>
      <c r="M402" s="114">
        <f t="shared" si="35"/>
        <v>0</v>
      </c>
      <c r="O402" s="384" t="str">
        <f>_xlfn.XLOOKUP(E402,'All Products'!D:D,'All Products'!I:I,FALSE)</f>
        <v>In Stock</v>
      </c>
      <c r="P402" s="384" t="str">
        <f>_xlfn.XLOOKUP(E402,'All Products'!D:D,'All Products'!J:J,FALSE)</f>
        <v>Manufactured</v>
      </c>
      <c r="Q402" s="397">
        <f>_xlfn.XLOOKUP(E402,'All Products'!D:D,'All Products'!K:K,FALSE)</f>
        <v>49081143497</v>
      </c>
      <c r="R402" s="397" t="str">
        <f>_xlfn.XLOOKUP(E402,'All Products'!D:D,'All Products'!L:L,FALSE)</f>
        <v>-</v>
      </c>
      <c r="S402" s="397">
        <f>_xlfn.XLOOKUP(E402,'All Products'!D:D,'All Products'!M:M,FALSE)</f>
        <v>40049081143495</v>
      </c>
      <c r="T402" s="384">
        <f>_xlfn.XLOOKUP(E402,'All Products'!D:D,'All Products'!N:N,FALSE)</f>
        <v>1.169</v>
      </c>
      <c r="U402" s="397" t="str">
        <f>_xlfn.XLOOKUP(E402,'All Products'!D:D,'All Products'!O:O,FALSE)</f>
        <v>-</v>
      </c>
      <c r="V402" s="384">
        <f>_xlfn.XLOOKUP(E402,'All Products'!D:D,'All Products'!P:P,FALSE)</f>
        <v>6.77</v>
      </c>
      <c r="W402" s="384">
        <f>_xlfn.XLOOKUP(E402,'All Products'!D:D,'All Products'!Q:Q,FALSE)</f>
        <v>0.65</v>
      </c>
    </row>
    <row r="403" spans="1:23" ht="15" customHeight="1">
      <c r="A403" s="101" t="str">
        <f>IF(K403&gt;0,COUNT($A$7:A402)
+COUNT('DWV PVC'!$A$9:$A$316)
+COUNT('DWV ABS'!$A$8:$A$116)+1,"")</f>
        <v/>
      </c>
      <c r="B403" s="610"/>
      <c r="C403" s="611"/>
      <c r="D403" s="369" t="str">
        <f>_xlfn.XLOOKUP(E403,'All Products'!D:D,'All Products'!C:C,FALSE)</f>
        <v>463-040</v>
      </c>
      <c r="E403" s="51">
        <v>100023157</v>
      </c>
      <c r="F403" s="376" t="str">
        <f>_xlfn.XLOOKUP(E403,'All Products'!D:D,'All Products'!E:E,FALSE)</f>
        <v>4 SNAP TEE SNAPXSLIP</v>
      </c>
      <c r="G403" s="232">
        <f>_xlfn.XLOOKUP(E403,'All Products'!D:D,'All Products'!F:F,FALSE)</f>
        <v>3</v>
      </c>
      <c r="H403" s="387">
        <f>_xlfn.XLOOKUP(E403,'All Products'!D:D,'All Products'!G:G,FALSE)</f>
        <v>270</v>
      </c>
      <c r="I403" s="394">
        <f>_xlfn.XLOOKUP(E403,'All Products'!D:D,'All Products'!H:H,FALSE)</f>
        <v>184.38</v>
      </c>
      <c r="J403" s="183">
        <f>IFERROR(ROUND(I403*Order_Quote!$L$4,2),0)</f>
        <v>184.38</v>
      </c>
      <c r="K403" s="73"/>
      <c r="L403" s="76"/>
      <c r="M403" s="114">
        <f t="shared" si="35"/>
        <v>0</v>
      </c>
      <c r="O403" s="384" t="str">
        <f>_xlfn.XLOOKUP(E403,'All Products'!D:D,'All Products'!I:I,FALSE)</f>
        <v>In Stock</v>
      </c>
      <c r="P403" s="384" t="str">
        <f>_xlfn.XLOOKUP(E403,'All Products'!D:D,'All Products'!J:J,FALSE)</f>
        <v>Manufactured</v>
      </c>
      <c r="Q403" s="397">
        <f>_xlfn.XLOOKUP(E403,'All Products'!D:D,'All Products'!K:K,FALSE)</f>
        <v>49081143534</v>
      </c>
      <c r="R403" s="397" t="str">
        <f>_xlfn.XLOOKUP(E403,'All Products'!D:D,'All Products'!L:L,FALSE)</f>
        <v>-</v>
      </c>
      <c r="S403" s="397">
        <f>_xlfn.XLOOKUP(E403,'All Products'!D:D,'All Products'!M:M,FALSE)</f>
        <v>40049081143532</v>
      </c>
      <c r="T403" s="384">
        <f>_xlfn.XLOOKUP(E403,'All Products'!D:D,'All Products'!N:N,FALSE)</f>
        <v>2.0070000000000001</v>
      </c>
      <c r="U403" s="397" t="str">
        <f>_xlfn.XLOOKUP(E403,'All Products'!D:D,'All Products'!O:O,FALSE)</f>
        <v>-</v>
      </c>
      <c r="V403" s="384">
        <f>_xlfn.XLOOKUP(E403,'All Products'!D:D,'All Products'!P:P,FALSE)</f>
        <v>6.18</v>
      </c>
      <c r="W403" s="384">
        <f>_xlfn.XLOOKUP(E403,'All Products'!D:D,'All Products'!Q:Q,FALSE)</f>
        <v>0.8</v>
      </c>
    </row>
    <row r="404" spans="1:23" ht="15" customHeight="1">
      <c r="A404" s="101" t="str">
        <f>IF(K404&gt;0,COUNT($A$7:A403)
+COUNT('DWV PVC'!$A$9:$A$316)
+COUNT('DWV ABS'!$A$8:$A$116)+1,"")</f>
        <v/>
      </c>
      <c r="B404" s="612"/>
      <c r="C404" s="613"/>
      <c r="D404" s="369" t="str">
        <f>_xlfn.XLOOKUP(E404,'All Products'!D:D,'All Products'!C:C,FALSE)</f>
        <v>463-130</v>
      </c>
      <c r="E404" s="51">
        <v>100023159</v>
      </c>
      <c r="F404" s="376" t="str">
        <f>_xlfn.XLOOKUP(E404,'All Products'!D:D,'All Products'!E:E,FALSE)</f>
        <v>1X1/2 SNAP TEE SNAPXSLIP</v>
      </c>
      <c r="G404" s="232">
        <f>_xlfn.XLOOKUP(E404,'All Products'!D:D,'All Products'!F:F,FALSE)</f>
        <v>70</v>
      </c>
      <c r="H404" s="387">
        <f>_xlfn.XLOOKUP(E404,'All Products'!D:D,'All Products'!G:G,FALSE)</f>
        <v>8400</v>
      </c>
      <c r="I404" s="394">
        <f>_xlfn.XLOOKUP(E404,'All Products'!D:D,'All Products'!H:H,FALSE)</f>
        <v>7.57</v>
      </c>
      <c r="J404" s="183">
        <f>IFERROR(ROUND(I404*Order_Quote!$L$4,2),0)</f>
        <v>7.57</v>
      </c>
      <c r="K404" s="73"/>
      <c r="L404" s="76"/>
      <c r="M404" s="114">
        <f t="shared" si="35"/>
        <v>0</v>
      </c>
      <c r="O404" s="384" t="str">
        <f>_xlfn.XLOOKUP(E404,'All Products'!D:D,'All Products'!I:I,FALSE)</f>
        <v>In Stock</v>
      </c>
      <c r="P404" s="384" t="str">
        <f>_xlfn.XLOOKUP(E404,'All Products'!D:D,'All Products'!J:J,FALSE)</f>
        <v>Manufactured</v>
      </c>
      <c r="Q404" s="397">
        <f>_xlfn.XLOOKUP(E404,'All Products'!D:D,'All Products'!K:K,FALSE)</f>
        <v>49081143459</v>
      </c>
      <c r="R404" s="397" t="str">
        <f>_xlfn.XLOOKUP(E404,'All Products'!D:D,'All Products'!L:L,FALSE)</f>
        <v>-</v>
      </c>
      <c r="S404" s="397">
        <f>_xlfn.XLOOKUP(E404,'All Products'!D:D,'All Products'!M:M,FALSE)</f>
        <v>40049081143457</v>
      </c>
      <c r="T404" s="384">
        <f>_xlfn.XLOOKUP(E404,'All Products'!D:D,'All Products'!N:N,FALSE)</f>
        <v>9.7000000000000003E-2</v>
      </c>
      <c r="U404" s="397" t="str">
        <f>_xlfn.XLOOKUP(E404,'All Products'!D:D,'All Products'!O:O,FALSE)</f>
        <v>-</v>
      </c>
      <c r="V404" s="384">
        <f>_xlfn.XLOOKUP(E404,'All Products'!D:D,'All Products'!P:P,FALSE)</f>
        <v>7.66</v>
      </c>
      <c r="W404" s="384">
        <f>_xlfn.XLOOKUP(E404,'All Products'!D:D,'All Products'!Q:Q,FALSE)</f>
        <v>0.65</v>
      </c>
    </row>
    <row r="405" spans="1:23" ht="36.75" customHeight="1">
      <c r="A405" s="101" t="str">
        <f>IF(K405&gt;0,COUNT($A$7:A404)
+COUNT('DWV PVC'!$A$9:$A$316)
+COUNT('DWV ABS'!$A$8:$A$116)+1,"")</f>
        <v/>
      </c>
      <c r="B405" s="608"/>
      <c r="C405" s="609"/>
      <c r="D405" s="369" t="str">
        <f>_xlfn.XLOOKUP(E405,'All Products'!D:D,'All Products'!C:C,FALSE)</f>
        <v>464-101</v>
      </c>
      <c r="E405" s="51">
        <v>100023165</v>
      </c>
      <c r="F405" s="376" t="str">
        <f>_xlfn.XLOOKUP(E405,'All Products'!D:D,'All Products'!E:E,FALSE)</f>
        <v>3/4X1/2 SNAP TEE SNAP X FIPT</v>
      </c>
      <c r="G405" s="232">
        <f>_xlfn.XLOOKUP(E405,'All Products'!D:D,'All Products'!F:F,FALSE)</f>
        <v>125</v>
      </c>
      <c r="H405" s="387">
        <f>_xlfn.XLOOKUP(E405,'All Products'!D:D,'All Products'!G:G,FALSE)</f>
        <v>15000</v>
      </c>
      <c r="I405" s="394">
        <f>_xlfn.XLOOKUP(E405,'All Products'!D:D,'All Products'!H:H,FALSE)</f>
        <v>6.11</v>
      </c>
      <c r="J405" s="183">
        <f>IFERROR(ROUND(I405*Order_Quote!$L$4,2),0)</f>
        <v>6.11</v>
      </c>
      <c r="K405" s="73"/>
      <c r="L405" s="76"/>
      <c r="M405" s="114">
        <f t="shared" si="35"/>
        <v>0</v>
      </c>
      <c r="O405" s="384" t="str">
        <f>_xlfn.XLOOKUP(E405,'All Products'!D:D,'All Products'!I:I,FALSE)</f>
        <v>Within 3 Weeks</v>
      </c>
      <c r="P405" s="384" t="str">
        <f>_xlfn.XLOOKUP(E405,'All Products'!D:D,'All Products'!J:J,FALSE)</f>
        <v>Manufactured</v>
      </c>
      <c r="Q405" s="397">
        <f>_xlfn.XLOOKUP(E405,'All Products'!D:D,'All Products'!K:K,FALSE)</f>
        <v>49081143817</v>
      </c>
      <c r="R405" s="397" t="str">
        <f>_xlfn.XLOOKUP(E405,'All Products'!D:D,'All Products'!L:L,FALSE)</f>
        <v>-</v>
      </c>
      <c r="S405" s="397">
        <f>_xlfn.XLOOKUP(E405,'All Products'!D:D,'All Products'!M:M,FALSE)</f>
        <v>40049081143815</v>
      </c>
      <c r="T405" s="384">
        <f>_xlfn.XLOOKUP(E405,'All Products'!D:D,'All Products'!N:N,FALSE)</f>
        <v>6.7000000000000004E-2</v>
      </c>
      <c r="U405" s="397" t="str">
        <f>_xlfn.XLOOKUP(E405,'All Products'!D:D,'All Products'!O:O,FALSE)</f>
        <v>-</v>
      </c>
      <c r="V405" s="384">
        <f>_xlfn.XLOOKUP(E405,'All Products'!D:D,'All Products'!P:P,FALSE)</f>
        <v>9.32</v>
      </c>
      <c r="W405" s="384">
        <f>_xlfn.XLOOKUP(E405,'All Products'!D:D,'All Products'!Q:Q,FALSE)</f>
        <v>0.65</v>
      </c>
    </row>
    <row r="406" spans="1:23" ht="36.75" customHeight="1">
      <c r="A406" s="101" t="str">
        <f>IF(K406&gt;0,COUNT($A$7:A405)
+COUNT('DWV PVC'!$A$9:$A$316)
+COUNT('DWV ABS'!$A$8:$A$116)+1,"")</f>
        <v/>
      </c>
      <c r="B406" s="612"/>
      <c r="C406" s="613"/>
      <c r="D406" s="369" t="str">
        <f>_xlfn.XLOOKUP(E406,'All Products'!D:D,'All Products'!C:C,FALSE)</f>
        <v>464-130</v>
      </c>
      <c r="E406" s="51">
        <v>100023167</v>
      </c>
      <c r="F406" s="376" t="str">
        <f>_xlfn.XLOOKUP(E406,'All Products'!D:D,'All Products'!E:E,FALSE)</f>
        <v>1X1/2 SNAP TEE SNAP X FIPT</v>
      </c>
      <c r="G406" s="232">
        <f>_xlfn.XLOOKUP(E406,'All Products'!D:D,'All Products'!F:F,FALSE)</f>
        <v>70</v>
      </c>
      <c r="H406" s="387">
        <f>_xlfn.XLOOKUP(E406,'All Products'!D:D,'All Products'!G:G,FALSE)</f>
        <v>8400</v>
      </c>
      <c r="I406" s="394">
        <f>_xlfn.XLOOKUP(E406,'All Products'!D:D,'All Products'!H:H,FALSE)</f>
        <v>11</v>
      </c>
      <c r="J406" s="183">
        <f>IFERROR(ROUND(I406*Order_Quote!$L$4,2),0)</f>
        <v>11</v>
      </c>
      <c r="K406" s="73"/>
      <c r="L406" s="76"/>
      <c r="M406" s="114">
        <f t="shared" si="35"/>
        <v>0</v>
      </c>
      <c r="O406" s="384" t="str">
        <f>_xlfn.XLOOKUP(E406,'All Products'!D:D,'All Products'!I:I,FALSE)</f>
        <v>In Stock</v>
      </c>
      <c r="P406" s="384" t="str">
        <f>_xlfn.XLOOKUP(E406,'All Products'!D:D,'All Products'!J:J,FALSE)</f>
        <v>Manufactured</v>
      </c>
      <c r="Q406" s="397">
        <f>_xlfn.XLOOKUP(E406,'All Products'!D:D,'All Products'!K:K,FALSE)</f>
        <v>49081143824</v>
      </c>
      <c r="R406" s="397" t="str">
        <f>_xlfn.XLOOKUP(E406,'All Products'!D:D,'All Products'!L:L,FALSE)</f>
        <v>-</v>
      </c>
      <c r="S406" s="397">
        <f>_xlfn.XLOOKUP(E406,'All Products'!D:D,'All Products'!M:M,FALSE)</f>
        <v>40049081143822</v>
      </c>
      <c r="T406" s="384">
        <f>_xlfn.XLOOKUP(E406,'All Products'!D:D,'All Products'!N:N,FALSE)</f>
        <v>0.10299999999999999</v>
      </c>
      <c r="U406" s="397" t="str">
        <f>_xlfn.XLOOKUP(E406,'All Products'!D:D,'All Products'!O:O,FALSE)</f>
        <v>-</v>
      </c>
      <c r="V406" s="384">
        <f>_xlfn.XLOOKUP(E406,'All Products'!D:D,'All Products'!P:P,FALSE)</f>
        <v>7.92</v>
      </c>
      <c r="W406" s="384">
        <f>_xlfn.XLOOKUP(E406,'All Products'!D:D,'All Products'!Q:Q,FALSE)</f>
        <v>0.65</v>
      </c>
    </row>
    <row r="407" spans="1:23" ht="21" customHeight="1">
      <c r="A407" s="101" t="str">
        <f>IF(K407&gt;0,COUNT($A$7:A406)
+COUNT('DWV PVC'!$A$9:$A$316)
+COUNT('DWV ABS'!$A$8:$A$116)+1,"")</f>
        <v/>
      </c>
      <c r="B407" s="608"/>
      <c r="C407" s="609"/>
      <c r="D407" s="369" t="str">
        <f>_xlfn.XLOOKUP(E407,'All Products'!D:D,'All Products'!C:C,FALSE)</f>
        <v>474-015</v>
      </c>
      <c r="E407" s="51">
        <v>100023170</v>
      </c>
      <c r="F407" s="376" t="str">
        <f>_xlfn.XLOOKUP(E407,'All Products'!D:D,'All Products'!E:E,FALSE)</f>
        <v>1-1/2 INSERT FITG ADAPTER INSXSLIP</v>
      </c>
      <c r="G407" s="232">
        <f>_xlfn.XLOOKUP(E407,'All Products'!D:D,'All Products'!F:F,FALSE)</f>
        <v>50</v>
      </c>
      <c r="H407" s="387">
        <f>_xlfn.XLOOKUP(E407,'All Products'!D:D,'All Products'!G:G,FALSE)</f>
        <v>6000</v>
      </c>
      <c r="I407" s="394">
        <f>_xlfn.XLOOKUP(E407,'All Products'!D:D,'All Products'!H:H,FALSE)</f>
        <v>8.5</v>
      </c>
      <c r="J407" s="183">
        <f>IFERROR(ROUND(I407*Order_Quote!$L$4,2),0)</f>
        <v>8.5</v>
      </c>
      <c r="K407" s="73"/>
      <c r="L407" s="76"/>
      <c r="M407" s="114">
        <f t="shared" si="35"/>
        <v>0</v>
      </c>
      <c r="O407" s="384" t="str">
        <f>_xlfn.XLOOKUP(E407,'All Products'!D:D,'All Products'!I:I,FALSE)</f>
        <v>Within 3 Weeks</v>
      </c>
      <c r="P407" s="384" t="str">
        <f>_xlfn.XLOOKUP(E407,'All Products'!D:D,'All Products'!J:J,FALSE)</f>
        <v>Manufactured</v>
      </c>
      <c r="Q407" s="397">
        <f>_xlfn.XLOOKUP(E407,'All Products'!D:D,'All Products'!K:K,FALSE)</f>
        <v>49081130961</v>
      </c>
      <c r="R407" s="397">
        <f>_xlfn.XLOOKUP(E407,'All Products'!D:D,'All Products'!L:L,FALSE)</f>
        <v>49081630966</v>
      </c>
      <c r="S407" s="397">
        <f>_xlfn.XLOOKUP(E407,'All Products'!D:D,'All Products'!M:M,FALSE)</f>
        <v>40049081130969</v>
      </c>
      <c r="T407" s="384">
        <f>_xlfn.XLOOKUP(E407,'All Products'!D:D,'All Products'!N:N,FALSE)</f>
        <v>0.14899999999999999</v>
      </c>
      <c r="U407" s="397">
        <f>_xlfn.XLOOKUP(E407,'All Products'!D:D,'All Products'!O:O,FALSE)</f>
        <v>10</v>
      </c>
      <c r="V407" s="384">
        <f>_xlfn.XLOOKUP(E407,'All Products'!D:D,'All Products'!P:P,FALSE)</f>
        <v>8.44</v>
      </c>
      <c r="W407" s="384">
        <f>_xlfn.XLOOKUP(E407,'All Products'!D:D,'All Products'!Q:Q,FALSE)</f>
        <v>0.65</v>
      </c>
    </row>
    <row r="408" spans="1:23" ht="21" customHeight="1">
      <c r="A408" s="101" t="str">
        <f>IF(K408&gt;0,COUNT($A$7:A407)
+COUNT('DWV PVC'!$A$9:$A$316)
+COUNT('DWV ABS'!$A$8:$A$116)+1,"")</f>
        <v/>
      </c>
      <c r="B408" s="612"/>
      <c r="C408" s="613"/>
      <c r="D408" s="369" t="str">
        <f>_xlfn.XLOOKUP(E408,'All Products'!D:D,'All Products'!C:C,FALSE)</f>
        <v>474-020</v>
      </c>
      <c r="E408" s="51">
        <v>100023172</v>
      </c>
      <c r="F408" s="376" t="str">
        <f>_xlfn.XLOOKUP(E408,'All Products'!D:D,'All Products'!E:E,FALSE)</f>
        <v>2 INSERT FITTING ADAPTER INSXSLIP</v>
      </c>
      <c r="G408" s="232">
        <f>_xlfn.XLOOKUP(E408,'All Products'!D:D,'All Products'!F:F,FALSE)</f>
        <v>25</v>
      </c>
      <c r="H408" s="387">
        <f>_xlfn.XLOOKUP(E408,'All Products'!D:D,'All Products'!G:G,FALSE)</f>
        <v>3750</v>
      </c>
      <c r="I408" s="394">
        <f>_xlfn.XLOOKUP(E408,'All Products'!D:D,'All Products'!H:H,FALSE)</f>
        <v>14.13</v>
      </c>
      <c r="J408" s="183">
        <f>IFERROR(ROUND(I408*Order_Quote!$L$4,2),0)</f>
        <v>14.13</v>
      </c>
      <c r="K408" s="73"/>
      <c r="L408" s="76"/>
      <c r="M408" s="114">
        <f t="shared" si="35"/>
        <v>0</v>
      </c>
      <c r="O408" s="384" t="str">
        <f>_xlfn.XLOOKUP(E408,'All Products'!D:D,'All Products'!I:I,FALSE)</f>
        <v>Within 3 Weeks</v>
      </c>
      <c r="P408" s="384" t="str">
        <f>_xlfn.XLOOKUP(E408,'All Products'!D:D,'All Products'!J:J,FALSE)</f>
        <v>Manufactured</v>
      </c>
      <c r="Q408" s="397">
        <f>_xlfn.XLOOKUP(E408,'All Products'!D:D,'All Products'!K:K,FALSE)</f>
        <v>49081130954</v>
      </c>
      <c r="R408" s="397">
        <f>_xlfn.XLOOKUP(E408,'All Products'!D:D,'All Products'!L:L,FALSE)</f>
        <v>49081630959</v>
      </c>
      <c r="S408" s="397">
        <f>_xlfn.XLOOKUP(E408,'All Products'!D:D,'All Products'!M:M,FALSE)</f>
        <v>40049081130952</v>
      </c>
      <c r="T408" s="384">
        <f>_xlfn.XLOOKUP(E408,'All Products'!D:D,'All Products'!N:N,FALSE)</f>
        <v>0.22600000000000001</v>
      </c>
      <c r="U408" s="397">
        <f>_xlfn.XLOOKUP(E408,'All Products'!D:D,'All Products'!O:O,FALSE)</f>
        <v>5</v>
      </c>
      <c r="V408" s="384">
        <f>_xlfn.XLOOKUP(E408,'All Products'!D:D,'All Products'!P:P,FALSE)</f>
        <v>4.9000000000000004</v>
      </c>
      <c r="W408" s="384">
        <f>_xlfn.XLOOKUP(E408,'All Products'!D:D,'All Products'!Q:Q,FALSE)</f>
        <v>0.5</v>
      </c>
    </row>
    <row r="409" spans="1:23" ht="25.5" customHeight="1">
      <c r="A409" s="101" t="str">
        <f>IF(K409&gt;0,COUNT($A$7:A408)
+COUNT('DWV PVC'!$A$9:$A$316)
+COUNT('DWV ABS'!$A$8:$A$116)+1,"")</f>
        <v/>
      </c>
      <c r="B409" s="610"/>
      <c r="C409" s="611"/>
      <c r="D409" s="369" t="str">
        <f>_xlfn.XLOOKUP(E409,'All Products'!D:D,'All Products'!C:C,FALSE)</f>
        <v>475-010</v>
      </c>
      <c r="E409" s="51">
        <v>100026390</v>
      </c>
      <c r="F409" s="376" t="str">
        <f>_xlfn.XLOOKUP(E409,'All Products'!D:D,'All Products'!E:E,FALSE)</f>
        <v>1 MANIFOLD TEE SLIPXSPGXMIPT</v>
      </c>
      <c r="G409" s="232">
        <f>_xlfn.XLOOKUP(E409,'All Products'!D:D,'All Products'!F:F,FALSE)</f>
        <v>50</v>
      </c>
      <c r="H409" s="387">
        <f>_xlfn.XLOOKUP(E409,'All Products'!D:D,'All Products'!G:G,FALSE)</f>
        <v>3750</v>
      </c>
      <c r="I409" s="394">
        <f>_xlfn.XLOOKUP(E409,'All Products'!D:D,'All Products'!H:H,FALSE)</f>
        <v>16.7</v>
      </c>
      <c r="J409" s="183">
        <f>IFERROR(ROUND(I409*Order_Quote!$L$4,2),0)</f>
        <v>16.7</v>
      </c>
      <c r="K409" s="73"/>
      <c r="L409" s="76"/>
      <c r="M409" s="114">
        <f t="shared" si="35"/>
        <v>0</v>
      </c>
      <c r="O409" s="384" t="str">
        <f>_xlfn.XLOOKUP(E409,'All Products'!D:D,'All Products'!I:I,FALSE)</f>
        <v>In Stock</v>
      </c>
      <c r="P409" s="384" t="str">
        <f>_xlfn.XLOOKUP(E409,'All Products'!D:D,'All Products'!J:J,FALSE)</f>
        <v>Manufactured</v>
      </c>
      <c r="Q409" s="397">
        <f>_xlfn.XLOOKUP(E409,'All Products'!D:D,'All Products'!K:K,FALSE)</f>
        <v>49081145088</v>
      </c>
      <c r="R409" s="397">
        <f>_xlfn.XLOOKUP(E409,'All Products'!D:D,'All Products'!L:L,FALSE)</f>
        <v>49081645083</v>
      </c>
      <c r="S409" s="397">
        <f>_xlfn.XLOOKUP(E409,'All Products'!D:D,'All Products'!M:M,FALSE)</f>
        <v>40049081145086</v>
      </c>
      <c r="T409" s="384">
        <f>_xlfn.XLOOKUP(E409,'All Products'!D:D,'All Products'!N:N,FALSE)</f>
        <v>0.23</v>
      </c>
      <c r="U409" s="397">
        <f>_xlfn.XLOOKUP(E409,'All Products'!D:D,'All Products'!O:O,FALSE)</f>
        <v>10</v>
      </c>
      <c r="V409" s="384">
        <f>_xlfn.XLOOKUP(E409,'All Products'!D:D,'All Products'!P:P,FALSE)</f>
        <v>12.73</v>
      </c>
      <c r="W409" s="384">
        <f>_xlfn.XLOOKUP(E409,'All Products'!D:D,'All Products'!Q:Q,FALSE)</f>
        <v>0.95</v>
      </c>
    </row>
    <row r="410" spans="1:23" ht="25.5" customHeight="1">
      <c r="A410" s="101" t="str">
        <f>IF(K410&gt;0,COUNT($A$7:A409)
+COUNT('DWV PVC'!$A$9:$A$316)
+COUNT('DWV ABS'!$A$8:$A$116)+1,"")</f>
        <v/>
      </c>
      <c r="B410" s="612"/>
      <c r="C410" s="613"/>
      <c r="D410" s="369" t="str">
        <f>_xlfn.XLOOKUP(E410,'All Products'!D:D,'All Products'!C:C,FALSE)</f>
        <v>475-131</v>
      </c>
      <c r="E410" s="51">
        <v>100026391</v>
      </c>
      <c r="F410" s="376" t="str">
        <f>_xlfn.XLOOKUP(E410,'All Products'!D:D,'All Products'!E:E,FALSE)</f>
        <v>1X1X3/4 MANIFOLD TEE SLIPXSPGXMIPT</v>
      </c>
      <c r="G410" s="232">
        <f>_xlfn.XLOOKUP(E410,'All Products'!D:D,'All Products'!F:F,FALSE)</f>
        <v>50</v>
      </c>
      <c r="H410" s="387">
        <f>_xlfn.XLOOKUP(E410,'All Products'!D:D,'All Products'!G:G,FALSE)</f>
        <v>3750</v>
      </c>
      <c r="I410" s="394">
        <f>_xlfn.XLOOKUP(E410,'All Products'!D:D,'All Products'!H:H,FALSE)</f>
        <v>16.7</v>
      </c>
      <c r="J410" s="183">
        <f>IFERROR(ROUND(I410*Order_Quote!$L$4,2),0)</f>
        <v>16.7</v>
      </c>
      <c r="K410" s="73"/>
      <c r="L410" s="76"/>
      <c r="M410" s="114">
        <f t="shared" si="35"/>
        <v>0</v>
      </c>
      <c r="O410" s="384" t="str">
        <f>_xlfn.XLOOKUP(E410,'All Products'!D:D,'All Products'!I:I,FALSE)</f>
        <v>In Stock</v>
      </c>
      <c r="P410" s="384" t="str">
        <f>_xlfn.XLOOKUP(E410,'All Products'!D:D,'All Products'!J:J,FALSE)</f>
        <v>Manufactured</v>
      </c>
      <c r="Q410" s="397">
        <f>_xlfn.XLOOKUP(E410,'All Products'!D:D,'All Products'!K:K,FALSE)</f>
        <v>49081145101</v>
      </c>
      <c r="R410" s="397">
        <f>_xlfn.XLOOKUP(E410,'All Products'!D:D,'All Products'!L:L,FALSE)</f>
        <v>49081645106</v>
      </c>
      <c r="S410" s="397">
        <f>_xlfn.XLOOKUP(E410,'All Products'!D:D,'All Products'!M:M,FALSE)</f>
        <v>40049081145109</v>
      </c>
      <c r="T410" s="384">
        <f>_xlfn.XLOOKUP(E410,'All Products'!D:D,'All Products'!N:N,FALSE)</f>
        <v>0.245</v>
      </c>
      <c r="U410" s="397">
        <f>_xlfn.XLOOKUP(E410,'All Products'!D:D,'All Products'!O:O,FALSE)</f>
        <v>10</v>
      </c>
      <c r="V410" s="384">
        <f>_xlfn.XLOOKUP(E410,'All Products'!D:D,'All Products'!P:P,FALSE)</f>
        <v>12.26</v>
      </c>
      <c r="W410" s="384">
        <f>_xlfn.XLOOKUP(E410,'All Products'!D:D,'All Products'!Q:Q,FALSE)</f>
        <v>0.95</v>
      </c>
    </row>
    <row r="411" spans="1:23" ht="36.75" customHeight="1">
      <c r="A411" s="101" t="str">
        <f>IF(K411&gt;0,COUNT($A$7:A410)
+COUNT('DWV PVC'!$A$9:$A$316)
+COUNT('DWV ABS'!$A$8:$A$116)+1,"")</f>
        <v/>
      </c>
      <c r="B411" s="616"/>
      <c r="C411" s="617"/>
      <c r="D411" s="369" t="str">
        <f>_xlfn.XLOOKUP(E411,'All Products'!D:D,'All Products'!C:C,FALSE)</f>
        <v>476-010</v>
      </c>
      <c r="E411" s="51">
        <v>100026392</v>
      </c>
      <c r="F411" s="376" t="str">
        <f>_xlfn.XLOOKUP(E411,'All Products'!D:D,'All Products'!E:E,FALSE)</f>
        <v>1 MANIFOLD TEE SLIPXSPGXFIPT</v>
      </c>
      <c r="G411" s="232">
        <f>_xlfn.XLOOKUP(E411,'All Products'!D:D,'All Products'!F:F,FALSE)</f>
        <v>50</v>
      </c>
      <c r="H411" s="387">
        <f>_xlfn.XLOOKUP(E411,'All Products'!D:D,'All Products'!G:G,FALSE)</f>
        <v>3750</v>
      </c>
      <c r="I411" s="394">
        <f>_xlfn.XLOOKUP(E411,'All Products'!D:D,'All Products'!H:H,FALSE)</f>
        <v>15.5</v>
      </c>
      <c r="J411" s="183">
        <f>IFERROR(ROUND(I411*Order_Quote!$L$4,2),0)</f>
        <v>15.5</v>
      </c>
      <c r="K411" s="73"/>
      <c r="L411" s="76"/>
      <c r="M411" s="114">
        <f t="shared" si="35"/>
        <v>0</v>
      </c>
      <c r="O411" s="384" t="str">
        <f>_xlfn.XLOOKUP(E411,'All Products'!D:D,'All Products'!I:I,FALSE)</f>
        <v>In Stock</v>
      </c>
      <c r="P411" s="384" t="str">
        <f>_xlfn.XLOOKUP(E411,'All Products'!D:D,'All Products'!J:J,FALSE)</f>
        <v>Manufactured</v>
      </c>
      <c r="Q411" s="397">
        <f>_xlfn.XLOOKUP(E411,'All Products'!D:D,'All Products'!K:K,FALSE)</f>
        <v>49081356576</v>
      </c>
      <c r="R411" s="397">
        <f>_xlfn.XLOOKUP(E411,'All Products'!D:D,'All Products'!L:L,FALSE)</f>
        <v>49081756574</v>
      </c>
      <c r="S411" s="397">
        <f>_xlfn.XLOOKUP(E411,'All Products'!D:D,'All Products'!M:M,FALSE)</f>
        <v>40049081356574</v>
      </c>
      <c r="T411" s="384">
        <f>_xlfn.XLOOKUP(E411,'All Products'!D:D,'All Products'!N:N,FALSE)</f>
        <v>0.26100000000000001</v>
      </c>
      <c r="U411" s="397">
        <f>_xlfn.XLOOKUP(E411,'All Products'!D:D,'All Products'!O:O,FALSE)</f>
        <v>10</v>
      </c>
      <c r="V411" s="384">
        <f>_xlfn.XLOOKUP(E411,'All Products'!D:D,'All Products'!P:P,FALSE)</f>
        <v>13.66</v>
      </c>
      <c r="W411" s="384">
        <f>_xlfn.XLOOKUP(E411,'All Products'!D:D,'All Products'!Q:Q,FALSE)</f>
        <v>0.95</v>
      </c>
    </row>
    <row r="412" spans="1:23" ht="15" customHeight="1">
      <c r="A412" s="101" t="str">
        <f>IF(K412&gt;0,COUNT($A$7:A411)
+COUNT('DWV PVC'!$A$9:$A$316)
+COUNT('DWV ABS'!$A$8:$A$116)+1,"")</f>
        <v/>
      </c>
      <c r="B412" s="608"/>
      <c r="C412" s="609"/>
      <c r="D412" s="369" t="str">
        <f>_xlfn.XLOOKUP(E412,'All Products'!D:D,'All Products'!C:C,FALSE)</f>
        <v>477-020</v>
      </c>
      <c r="E412" s="51">
        <v>100023174</v>
      </c>
      <c r="F412" s="376" t="str">
        <f>_xlfn.XLOOKUP(E412,'All Products'!D:D,'All Products'!E:E,FALSE)</f>
        <v>2 WYE SLIP X SLIP X SLIP</v>
      </c>
      <c r="G412" s="232">
        <f>_xlfn.XLOOKUP(E412,'All Products'!D:D,'All Products'!F:F,FALSE)</f>
        <v>8</v>
      </c>
      <c r="H412" s="387">
        <f>_xlfn.XLOOKUP(E412,'All Products'!D:D,'All Products'!G:G,FALSE)</f>
        <v>960</v>
      </c>
      <c r="I412" s="394">
        <f>_xlfn.XLOOKUP(E412,'All Products'!D:D,'All Products'!H:H,FALSE)</f>
        <v>88.63</v>
      </c>
      <c r="J412" s="183">
        <f>IFERROR(ROUND(I412*Order_Quote!$L$4,2),0)</f>
        <v>88.63</v>
      </c>
      <c r="K412" s="73"/>
      <c r="L412" s="76"/>
      <c r="M412" s="114">
        <f t="shared" si="35"/>
        <v>0</v>
      </c>
      <c r="O412" s="384" t="str">
        <f>_xlfn.XLOOKUP(E412,'All Products'!D:D,'All Products'!I:I,FALSE)</f>
        <v>In Stock</v>
      </c>
      <c r="P412" s="384" t="str">
        <f>_xlfn.XLOOKUP(E412,'All Products'!D:D,'All Products'!J:J,FALSE)</f>
        <v>Manufactured</v>
      </c>
      <c r="Q412" s="397">
        <f>_xlfn.XLOOKUP(E412,'All Products'!D:D,'All Products'!K:K,FALSE)</f>
        <v>49081350468</v>
      </c>
      <c r="R412" s="397" t="str">
        <f>_xlfn.XLOOKUP(E412,'All Products'!D:D,'All Products'!L:L,FALSE)</f>
        <v>-</v>
      </c>
      <c r="S412" s="397">
        <f>_xlfn.XLOOKUP(E412,'All Products'!D:D,'All Products'!M:M,FALSE)</f>
        <v>40049081350466</v>
      </c>
      <c r="T412" s="384">
        <f>_xlfn.XLOOKUP(E412,'All Products'!D:D,'All Products'!N:N,FALSE)</f>
        <v>1.133</v>
      </c>
      <c r="U412" s="397" t="str">
        <f>_xlfn.XLOOKUP(E412,'All Products'!D:D,'All Products'!O:O,FALSE)</f>
        <v>-</v>
      </c>
      <c r="V412" s="384">
        <f>_xlfn.XLOOKUP(E412,'All Products'!D:D,'All Products'!P:P,FALSE)</f>
        <v>9.84</v>
      </c>
      <c r="W412" s="384">
        <f>_xlfn.XLOOKUP(E412,'All Products'!D:D,'All Products'!Q:Q,FALSE)</f>
        <v>0.65</v>
      </c>
    </row>
    <row r="413" spans="1:23" ht="15" customHeight="1">
      <c r="A413" s="101" t="str">
        <f>IF(K413&gt;0,COUNT($A$7:A412)
+COUNT('DWV PVC'!$A$9:$A$316)
+COUNT('DWV ABS'!$A$8:$A$116)+1,"")</f>
        <v/>
      </c>
      <c r="B413" s="610"/>
      <c r="C413" s="611"/>
      <c r="D413" s="369" t="str">
        <f>_xlfn.XLOOKUP(E413,'All Products'!D:D,'All Products'!C:C,FALSE)</f>
        <v>477-040</v>
      </c>
      <c r="E413" s="51">
        <v>100023176</v>
      </c>
      <c r="F413" s="376" t="str">
        <f>_xlfn.XLOOKUP(E413,'All Products'!D:D,'All Products'!E:E,FALSE)</f>
        <v>4 WYE SLIP X SLIP X SLIP</v>
      </c>
      <c r="G413" s="232">
        <f>_xlfn.XLOOKUP(E413,'All Products'!D:D,'All Products'!F:F,FALSE)</f>
        <v>2</v>
      </c>
      <c r="H413" s="387">
        <f>_xlfn.XLOOKUP(E413,'All Products'!D:D,'All Products'!G:G,FALSE)</f>
        <v>150</v>
      </c>
      <c r="I413" s="394">
        <f>_xlfn.XLOOKUP(E413,'All Products'!D:D,'All Products'!H:H,FALSE)</f>
        <v>281.55</v>
      </c>
      <c r="J413" s="183">
        <f>IFERROR(ROUND(I413*Order_Quote!$L$4,2),0)</f>
        <v>281.55</v>
      </c>
      <c r="K413" s="73"/>
      <c r="L413" s="76"/>
      <c r="M413" s="114">
        <f t="shared" si="35"/>
        <v>0</v>
      </c>
      <c r="O413" s="384" t="str">
        <f>_xlfn.XLOOKUP(E413,'All Products'!D:D,'All Products'!I:I,FALSE)</f>
        <v>In Stock</v>
      </c>
      <c r="P413" s="384" t="str">
        <f>_xlfn.XLOOKUP(E413,'All Products'!D:D,'All Products'!J:J,FALSE)</f>
        <v>Manufactured</v>
      </c>
      <c r="Q413" s="397">
        <f>_xlfn.XLOOKUP(E413,'All Products'!D:D,'All Products'!K:K,FALSE)</f>
        <v>49081350499</v>
      </c>
      <c r="R413" s="397" t="str">
        <f>_xlfn.XLOOKUP(E413,'All Products'!D:D,'All Products'!L:L,FALSE)</f>
        <v>-</v>
      </c>
      <c r="S413" s="397">
        <f>_xlfn.XLOOKUP(E413,'All Products'!D:D,'All Products'!M:M,FALSE)</f>
        <v>40049081350497</v>
      </c>
      <c r="T413" s="384">
        <f>_xlfn.XLOOKUP(E413,'All Products'!D:D,'All Products'!N:N,FALSE)</f>
        <v>5.13</v>
      </c>
      <c r="U413" s="397" t="str">
        <f>_xlfn.XLOOKUP(E413,'All Products'!D:D,'All Products'!O:O,FALSE)</f>
        <v>-</v>
      </c>
      <c r="V413" s="384">
        <f>_xlfn.XLOOKUP(E413,'All Products'!D:D,'All Products'!P:P,FALSE)</f>
        <v>11.05</v>
      </c>
      <c r="W413" s="384">
        <f>_xlfn.XLOOKUP(E413,'All Products'!D:D,'All Products'!Q:Q,FALSE)</f>
        <v>1.1000000000000001</v>
      </c>
    </row>
    <row r="414" spans="1:23" ht="15" customHeight="1">
      <c r="A414" s="101" t="str">
        <f>IF(K414&gt;0,COUNT($A$7:A413)
+COUNT('DWV PVC'!$A$9:$A$316)
+COUNT('DWV ABS'!$A$8:$A$116)+1,"")</f>
        <v/>
      </c>
      <c r="B414" s="612"/>
      <c r="C414" s="613"/>
      <c r="D414" s="369" t="str">
        <f>_xlfn.XLOOKUP(E414,'All Products'!D:D,'All Products'!C:C,FALSE)</f>
        <v>477-060</v>
      </c>
      <c r="E414" s="51">
        <v>100023177</v>
      </c>
      <c r="F414" s="376" t="str">
        <f>_xlfn.XLOOKUP(E414,'All Products'!D:D,'All Products'!E:E,FALSE)</f>
        <v>6 WYE SLIP X SLIP X SLIP</v>
      </c>
      <c r="G414" s="232">
        <f>_xlfn.XLOOKUP(E414,'All Products'!D:D,'All Products'!F:F,FALSE)</f>
        <v>1</v>
      </c>
      <c r="H414" s="387">
        <f>_xlfn.XLOOKUP(E414,'All Products'!D:D,'All Products'!G:G,FALSE)</f>
        <v>60</v>
      </c>
      <c r="I414" s="394">
        <f>_xlfn.XLOOKUP(E414,'All Products'!D:D,'All Products'!H:H,FALSE)</f>
        <v>595.70000000000005</v>
      </c>
      <c r="J414" s="183">
        <f>IFERROR(ROUND(I414*Order_Quote!$L$4,2),0)</f>
        <v>595.70000000000005</v>
      </c>
      <c r="K414" s="73"/>
      <c r="L414" s="76"/>
      <c r="M414" s="114">
        <f t="shared" si="35"/>
        <v>0</v>
      </c>
      <c r="O414" s="384" t="str">
        <f>_xlfn.XLOOKUP(E414,'All Products'!D:D,'All Products'!I:I,FALSE)</f>
        <v>Within 3 Weeks</v>
      </c>
      <c r="P414" s="384" t="str">
        <f>_xlfn.XLOOKUP(E414,'All Products'!D:D,'All Products'!J:J,FALSE)</f>
        <v>Manufactured</v>
      </c>
      <c r="Q414" s="397">
        <f>_xlfn.XLOOKUP(E414,'All Products'!D:D,'All Products'!K:K,FALSE)</f>
        <v>49081350505</v>
      </c>
      <c r="R414" s="397" t="str">
        <f>_xlfn.XLOOKUP(E414,'All Products'!D:D,'All Products'!L:L,FALSE)</f>
        <v>-</v>
      </c>
      <c r="S414" s="397">
        <f>_xlfn.XLOOKUP(E414,'All Products'!D:D,'All Products'!M:M,FALSE)</f>
        <v>40049081350503</v>
      </c>
      <c r="T414" s="384">
        <f>_xlfn.XLOOKUP(E414,'All Products'!D:D,'All Products'!N:N,FALSE)</f>
        <v>13.134</v>
      </c>
      <c r="U414" s="397" t="str">
        <f>_xlfn.XLOOKUP(E414,'All Products'!D:D,'All Products'!O:O,FALSE)</f>
        <v>-</v>
      </c>
      <c r="V414" s="384">
        <f>_xlfn.XLOOKUP(E414,'All Products'!D:D,'All Products'!P:P,FALSE)</f>
        <v>12.9</v>
      </c>
      <c r="W414" s="384">
        <f>_xlfn.XLOOKUP(E414,'All Products'!D:D,'All Products'!Q:Q,FALSE)</f>
        <v>1.25</v>
      </c>
    </row>
    <row r="415" spans="1:23" ht="15" customHeight="1">
      <c r="A415" s="101" t="str">
        <f>IF(K415&gt;0,COUNT($A$7:A414)
+COUNT('DWV PVC'!$A$9:$A$316)
+COUNT('DWV ABS'!$A$8:$A$116)+1,"")</f>
        <v/>
      </c>
      <c r="B415" s="608"/>
      <c r="C415" s="609"/>
      <c r="D415" s="369" t="str">
        <f>_xlfn.XLOOKUP(E415,'All Products'!D:D,'All Products'!C:C,FALSE)</f>
        <v>478-007</v>
      </c>
      <c r="E415" s="51">
        <v>100023181</v>
      </c>
      <c r="F415" s="376" t="str">
        <f>_xlfn.XLOOKUP(E415,'All Products'!D:D,'All Products'!E:E,FALSE)</f>
        <v>3/4 FEM FITTING ADAPTER SPG X FIPT</v>
      </c>
      <c r="G415" s="232">
        <f>_xlfn.XLOOKUP(E415,'All Products'!D:D,'All Products'!F:F,FALSE)</f>
        <v>250</v>
      </c>
      <c r="H415" s="387">
        <f>_xlfn.XLOOKUP(E415,'All Products'!D:D,'All Products'!G:G,FALSE)</f>
        <v>30000</v>
      </c>
      <c r="I415" s="394">
        <f>_xlfn.XLOOKUP(E415,'All Products'!D:D,'All Products'!H:H,FALSE)</f>
        <v>2.37</v>
      </c>
      <c r="J415" s="183">
        <f>IFERROR(ROUND(I415*Order_Quote!$L$4,2),0)</f>
        <v>2.37</v>
      </c>
      <c r="K415" s="73"/>
      <c r="L415" s="76"/>
      <c r="M415" s="114">
        <f t="shared" si="35"/>
        <v>0</v>
      </c>
      <c r="O415" s="384" t="str">
        <f>_xlfn.XLOOKUP(E415,'All Products'!D:D,'All Products'!I:I,FALSE)</f>
        <v>Within 3 Weeks</v>
      </c>
      <c r="P415" s="384" t="str">
        <f>_xlfn.XLOOKUP(E415,'All Products'!D:D,'All Products'!J:J,FALSE)</f>
        <v>Manufactured</v>
      </c>
      <c r="Q415" s="397">
        <f>_xlfn.XLOOKUP(E415,'All Products'!D:D,'All Products'!K:K,FALSE)</f>
        <v>49081132804</v>
      </c>
      <c r="R415" s="397">
        <f>_xlfn.XLOOKUP(E415,'All Products'!D:D,'All Products'!L:L,FALSE)</f>
        <v>49081632809</v>
      </c>
      <c r="S415" s="397">
        <f>_xlfn.XLOOKUP(E415,'All Products'!D:D,'All Products'!M:M,FALSE)</f>
        <v>40049081132802</v>
      </c>
      <c r="T415" s="384">
        <f>_xlfn.XLOOKUP(E415,'All Products'!D:D,'All Products'!N:N,FALSE)</f>
        <v>4.4999999999999998E-2</v>
      </c>
      <c r="U415" s="397">
        <f>_xlfn.XLOOKUP(E415,'All Products'!D:D,'All Products'!O:O,FALSE)</f>
        <v>10</v>
      </c>
      <c r="V415" s="384">
        <f>_xlfn.XLOOKUP(E415,'All Products'!D:D,'All Products'!P:P,FALSE)</f>
        <v>12.91</v>
      </c>
      <c r="W415" s="384">
        <f>_xlfn.XLOOKUP(E415,'All Products'!D:D,'All Products'!Q:Q,FALSE)</f>
        <v>0.65</v>
      </c>
    </row>
    <row r="416" spans="1:23" ht="15" customHeight="1">
      <c r="A416" s="101" t="str">
        <f>IF(K416&gt;0,COUNT($A$7:A415)
+COUNT('DWV PVC'!$A$9:$A$316)
+COUNT('DWV ABS'!$A$8:$A$116)+1,"")</f>
        <v/>
      </c>
      <c r="B416" s="610"/>
      <c r="C416" s="611"/>
      <c r="D416" s="369" t="str">
        <f>_xlfn.XLOOKUP(E416,'All Products'!D:D,'All Products'!C:C,FALSE)</f>
        <v>478-010</v>
      </c>
      <c r="E416" s="51">
        <v>100023183</v>
      </c>
      <c r="F416" s="376" t="str">
        <f>_xlfn.XLOOKUP(E416,'All Products'!D:D,'All Products'!E:E,FALSE)</f>
        <v>1 FEMALE FITTING ADAPTER SPG X FIPT</v>
      </c>
      <c r="G416" s="232">
        <f>_xlfn.XLOOKUP(E416,'All Products'!D:D,'All Products'!F:F,FALSE)</f>
        <v>100</v>
      </c>
      <c r="H416" s="387">
        <f>_xlfn.XLOOKUP(E416,'All Products'!D:D,'All Products'!G:G,FALSE)</f>
        <v>15000</v>
      </c>
      <c r="I416" s="394">
        <f>_xlfn.XLOOKUP(E416,'All Products'!D:D,'All Products'!H:H,FALSE)</f>
        <v>3.74</v>
      </c>
      <c r="J416" s="183">
        <f>IFERROR(ROUND(I416*Order_Quote!$L$4,2),0)</f>
        <v>3.74</v>
      </c>
      <c r="K416" s="73"/>
      <c r="L416" s="76"/>
      <c r="M416" s="114">
        <f t="shared" si="35"/>
        <v>0</v>
      </c>
      <c r="O416" s="384" t="str">
        <f>_xlfn.XLOOKUP(E416,'All Products'!D:D,'All Products'!I:I,FALSE)</f>
        <v>Within 3 Weeks</v>
      </c>
      <c r="P416" s="384" t="str">
        <f>_xlfn.XLOOKUP(E416,'All Products'!D:D,'All Products'!J:J,FALSE)</f>
        <v>Manufactured</v>
      </c>
      <c r="Q416" s="397">
        <f>_xlfn.XLOOKUP(E416,'All Products'!D:D,'All Products'!K:K,FALSE)</f>
        <v>49081132828</v>
      </c>
      <c r="R416" s="397">
        <f>_xlfn.XLOOKUP(E416,'All Products'!D:D,'All Products'!L:L,FALSE)</f>
        <v>49081632823</v>
      </c>
      <c r="S416" s="397">
        <f>_xlfn.XLOOKUP(E416,'All Products'!D:D,'All Products'!M:M,FALSE)</f>
        <v>40049081132826</v>
      </c>
      <c r="T416" s="384">
        <f>_xlfn.XLOOKUP(E416,'All Products'!D:D,'All Products'!N:N,FALSE)</f>
        <v>7.8E-2</v>
      </c>
      <c r="U416" s="397">
        <f>_xlfn.XLOOKUP(E416,'All Products'!D:D,'All Products'!O:O,FALSE)</f>
        <v>10</v>
      </c>
      <c r="V416" s="384">
        <f>_xlfn.XLOOKUP(E416,'All Products'!D:D,'All Products'!P:P,FALSE)</f>
        <v>8.74</v>
      </c>
      <c r="W416" s="384">
        <f>_xlfn.XLOOKUP(E416,'All Products'!D:D,'All Products'!Q:Q,FALSE)</f>
        <v>0.5</v>
      </c>
    </row>
    <row r="417" spans="1:23" ht="15" customHeight="1">
      <c r="B417" s="610"/>
      <c r="C417" s="611"/>
      <c r="D417" s="369" t="str">
        <f>_xlfn.XLOOKUP(E417,'All Products'!D:D,'All Products'!C:C,FALSE)</f>
        <v>478-012</v>
      </c>
      <c r="E417" s="51">
        <v>100023185</v>
      </c>
      <c r="F417" s="376" t="str">
        <f>_xlfn.XLOOKUP(E417,'All Products'!D:D,'All Products'!E:E,FALSE)</f>
        <v>1-1/4" FEMALE FITTING ADAPTER SPG X FIPT</v>
      </c>
      <c r="G417" s="232">
        <f>_xlfn.XLOOKUP(E417,'All Products'!D:D,'All Products'!F:F,FALSE)</f>
        <v>50</v>
      </c>
      <c r="H417" s="387">
        <f>_xlfn.XLOOKUP(E417,'All Products'!D:D,'All Products'!G:G,FALSE)</f>
        <v>4500</v>
      </c>
      <c r="I417" s="394">
        <f>_xlfn.XLOOKUP(E417,'All Products'!D:D,'All Products'!H:H,FALSE)</f>
        <v>4.9800000000000004</v>
      </c>
      <c r="J417" s="183">
        <f>IFERROR(ROUND(I417*Order_Quote!$L$4,2),0)</f>
        <v>4.9800000000000004</v>
      </c>
      <c r="K417" s="73"/>
      <c r="L417" s="76"/>
      <c r="M417" s="114">
        <f t="shared" ref="M417" si="37">K417/G417</f>
        <v>0</v>
      </c>
      <c r="O417" s="384" t="str">
        <f>_xlfn.XLOOKUP(E417,'All Products'!D:D,'All Products'!I:I,FALSE)</f>
        <v>Within 3 Weeks</v>
      </c>
      <c r="P417" s="384" t="str">
        <f>_xlfn.XLOOKUP(E417,'All Products'!D:D,'All Products'!J:J,FALSE)</f>
        <v>Manufactured</v>
      </c>
      <c r="Q417" s="397">
        <f>_xlfn.XLOOKUP(E417,'All Products'!D:D,'All Products'!K:K,FALSE)</f>
        <v>49081132835</v>
      </c>
      <c r="R417" s="397">
        <f>_xlfn.XLOOKUP(E417,'All Products'!D:D,'All Products'!L:L,FALSE)</f>
        <v>49081632830</v>
      </c>
      <c r="S417" s="397">
        <f>_xlfn.XLOOKUP(E417,'All Products'!D:D,'All Products'!M:M,FALSE)</f>
        <v>40049081132833</v>
      </c>
      <c r="T417" s="384">
        <f>_xlfn.XLOOKUP(E417,'All Products'!D:D,'All Products'!N:N,FALSE)</f>
        <v>0.112</v>
      </c>
      <c r="U417" s="397">
        <f>_xlfn.XLOOKUP(E417,'All Products'!D:D,'All Products'!O:O,FALSE)</f>
        <v>5</v>
      </c>
      <c r="V417" s="384">
        <f>_xlfn.XLOOKUP(E417,'All Products'!D:D,'All Products'!P:P,FALSE)</f>
        <v>6.4</v>
      </c>
      <c r="W417" s="384">
        <f>_xlfn.XLOOKUP(E417,'All Products'!D:D,'All Products'!Q:Q,FALSE)</f>
        <v>0.43</v>
      </c>
    </row>
    <row r="418" spans="1:23" ht="15" customHeight="1">
      <c r="A418" s="101" t="str">
        <f>IF(K418&gt;0,COUNT($A$7:A416)
+COUNT('DWV PVC'!$A$9:$A$316)
+COUNT('DWV ABS'!$A$8:$A$116)+1,"")</f>
        <v/>
      </c>
      <c r="B418" s="610"/>
      <c r="C418" s="611"/>
      <c r="D418" s="369" t="str">
        <f>_xlfn.XLOOKUP(E418,'All Products'!D:D,'All Products'!C:C,FALSE)</f>
        <v>478-020</v>
      </c>
      <c r="E418" s="51">
        <v>100023189</v>
      </c>
      <c r="F418" s="376" t="str">
        <f>_xlfn.XLOOKUP(E418,'All Products'!D:D,'All Products'!E:E,FALSE)</f>
        <v>2 FEMALE FITTING ADAPTER SPG X FIPT</v>
      </c>
      <c r="G418" s="232">
        <f>_xlfn.XLOOKUP(E418,'All Products'!D:D,'All Products'!F:F,FALSE)</f>
        <v>25</v>
      </c>
      <c r="H418" s="387">
        <f>_xlfn.XLOOKUP(E418,'All Products'!D:D,'All Products'!G:G,FALSE)</f>
        <v>3750</v>
      </c>
      <c r="I418" s="394">
        <f>_xlfn.XLOOKUP(E418,'All Products'!D:D,'All Products'!H:H,FALSE)</f>
        <v>9.5</v>
      </c>
      <c r="J418" s="183">
        <f>IFERROR(ROUND(I418*Order_Quote!$L$4,2),0)</f>
        <v>9.5</v>
      </c>
      <c r="K418" s="73"/>
      <c r="L418" s="76"/>
      <c r="M418" s="114">
        <f t="shared" si="35"/>
        <v>0</v>
      </c>
      <c r="O418" s="384" t="str">
        <f>_xlfn.XLOOKUP(E418,'All Products'!D:D,'All Products'!I:I,FALSE)</f>
        <v>Within 3 Weeks</v>
      </c>
      <c r="P418" s="384" t="str">
        <f>_xlfn.XLOOKUP(E418,'All Products'!D:D,'All Products'!J:J,FALSE)</f>
        <v>Manufactured</v>
      </c>
      <c r="Q418" s="397">
        <f>_xlfn.XLOOKUP(E418,'All Products'!D:D,'All Products'!K:K,FALSE)</f>
        <v>49081132866</v>
      </c>
      <c r="R418" s="397" t="str">
        <f>_xlfn.XLOOKUP(E418,'All Products'!D:D,'All Products'!L:L,FALSE)</f>
        <v>-</v>
      </c>
      <c r="S418" s="397">
        <f>_xlfn.XLOOKUP(E418,'All Products'!D:D,'All Products'!M:M,FALSE)</f>
        <v>40049081132864</v>
      </c>
      <c r="T418" s="384">
        <f>_xlfn.XLOOKUP(E418,'All Products'!D:D,'All Products'!N:N,FALSE)</f>
        <v>0.20300000000000001</v>
      </c>
      <c r="U418" s="397" t="str">
        <f>_xlfn.XLOOKUP(E418,'All Products'!D:D,'All Products'!O:O,FALSE)</f>
        <v>-</v>
      </c>
      <c r="V418" s="384">
        <f>_xlfn.XLOOKUP(E418,'All Products'!D:D,'All Products'!P:P,FALSE)</f>
        <v>5.04</v>
      </c>
      <c r="W418" s="384">
        <f>_xlfn.XLOOKUP(E418,'All Products'!D:D,'All Products'!Q:Q,FALSE)</f>
        <v>0.5</v>
      </c>
    </row>
    <row r="419" spans="1:23" ht="15" customHeight="1">
      <c r="A419" s="101" t="str">
        <f>IF(K419&gt;0,COUNT($A$7:A418)
+COUNT('DWV PVC'!$A$9:$A$316)
+COUNT('DWV ABS'!$A$8:$A$116)+1,"")</f>
        <v/>
      </c>
      <c r="B419" s="612"/>
      <c r="C419" s="613"/>
      <c r="D419" s="369" t="str">
        <f>_xlfn.XLOOKUP(E419,'All Products'!D:D,'All Products'!C:C,FALSE)</f>
        <v>478-040</v>
      </c>
      <c r="E419" s="51">
        <v>100023193</v>
      </c>
      <c r="F419" s="376" t="str">
        <f>_xlfn.XLOOKUP(E419,'All Products'!D:D,'All Products'!E:E,FALSE)</f>
        <v>4 FEMALE FITTING ADAPTER SPG X FIPT</v>
      </c>
      <c r="G419" s="232">
        <f>_xlfn.XLOOKUP(E419,'All Products'!D:D,'All Products'!F:F,FALSE)</f>
        <v>6</v>
      </c>
      <c r="H419" s="387">
        <f>_xlfn.XLOOKUP(E419,'All Products'!D:D,'All Products'!G:G,FALSE)</f>
        <v>540</v>
      </c>
      <c r="I419" s="394">
        <f>_xlfn.XLOOKUP(E419,'All Products'!D:D,'All Products'!H:H,FALSE)</f>
        <v>53.54</v>
      </c>
      <c r="J419" s="183">
        <f>IFERROR(ROUND(I419*Order_Quote!$L$4,2),0)</f>
        <v>53.54</v>
      </c>
      <c r="K419" s="73"/>
      <c r="L419" s="76"/>
      <c r="M419" s="114">
        <f t="shared" si="35"/>
        <v>0</v>
      </c>
      <c r="O419" s="384" t="str">
        <f>_xlfn.XLOOKUP(E419,'All Products'!D:D,'All Products'!I:I,FALSE)</f>
        <v>Within 3 Weeks</v>
      </c>
      <c r="P419" s="384" t="str">
        <f>_xlfn.XLOOKUP(E419,'All Products'!D:D,'All Products'!J:J,FALSE)</f>
        <v>Manufactured</v>
      </c>
      <c r="Q419" s="397">
        <f>_xlfn.XLOOKUP(E419,'All Products'!D:D,'All Products'!K:K,FALSE)</f>
        <v>49081132880</v>
      </c>
      <c r="R419" s="397" t="str">
        <f>_xlfn.XLOOKUP(E419,'All Products'!D:D,'All Products'!L:L,FALSE)</f>
        <v>-</v>
      </c>
      <c r="S419" s="397">
        <f>_xlfn.XLOOKUP(E419,'All Products'!D:D,'All Products'!M:M,FALSE)</f>
        <v>40049081132888</v>
      </c>
      <c r="T419" s="384">
        <f>_xlfn.XLOOKUP(E419,'All Products'!D:D,'All Products'!N:N,FALSE)</f>
        <v>0.83399999999999996</v>
      </c>
      <c r="U419" s="397" t="str">
        <f>_xlfn.XLOOKUP(E419,'All Products'!D:D,'All Products'!O:O,FALSE)</f>
        <v>-</v>
      </c>
      <c r="V419" s="384">
        <f>_xlfn.XLOOKUP(E419,'All Products'!D:D,'All Products'!P:P,FALSE)</f>
        <v>7.19</v>
      </c>
      <c r="W419" s="384">
        <f>_xlfn.XLOOKUP(E419,'All Products'!D:D,'All Products'!Q:Q,FALSE)</f>
        <v>0.8</v>
      </c>
    </row>
    <row r="420" spans="1:23" ht="18.75" customHeight="1">
      <c r="A420" s="101" t="str">
        <f>IF(K420&gt;0,COUNT($A$7:A419)
+COUNT('DWV PVC'!$A$9:$A$316)
+COUNT('DWV ABS'!$A$8:$A$116)+1,"")</f>
        <v/>
      </c>
      <c r="B420" s="608"/>
      <c r="C420" s="609"/>
      <c r="D420" s="369" t="str">
        <f>_xlfn.XLOOKUP(E420,'All Products'!D:D,'All Products'!C:C,FALSE)</f>
        <v>479-020</v>
      </c>
      <c r="E420" s="51">
        <v>100023196</v>
      </c>
      <c r="F420" s="376" t="str">
        <f>_xlfn.XLOOKUP(E420,'All Products'!D:D,'All Products'!E:E,FALSE)</f>
        <v>2 EXTRA DEEP COUPLING SLIP X SLIP</v>
      </c>
      <c r="G420" s="232">
        <f>_xlfn.XLOOKUP(E420,'All Products'!D:D,'All Products'!F:F,FALSE)</f>
        <v>15</v>
      </c>
      <c r="H420" s="387">
        <f>_xlfn.XLOOKUP(E420,'All Products'!D:D,'All Products'!G:G,FALSE)</f>
        <v>2250</v>
      </c>
      <c r="I420" s="394">
        <f>_xlfn.XLOOKUP(E420,'All Products'!D:D,'All Products'!H:H,FALSE)</f>
        <v>16.100000000000001</v>
      </c>
      <c r="J420" s="183">
        <f>IFERROR(ROUND(I420*Order_Quote!$L$4,2),0)</f>
        <v>16.100000000000001</v>
      </c>
      <c r="K420" s="73"/>
      <c r="L420" s="76"/>
      <c r="M420" s="114">
        <f t="shared" si="35"/>
        <v>0</v>
      </c>
      <c r="O420" s="384" t="str">
        <f>_xlfn.XLOOKUP(E420,'All Products'!D:D,'All Products'!I:I,FALSE)</f>
        <v>In Stock</v>
      </c>
      <c r="P420" s="384" t="str">
        <f>_xlfn.XLOOKUP(E420,'All Products'!D:D,'All Products'!J:J,FALSE)</f>
        <v>Manufactured</v>
      </c>
      <c r="Q420" s="397">
        <f>_xlfn.XLOOKUP(E420,'All Products'!D:D,'All Products'!K:K,FALSE)</f>
        <v>49081138400</v>
      </c>
      <c r="R420" s="397" t="str">
        <f>_xlfn.XLOOKUP(E420,'All Products'!D:D,'All Products'!L:L,FALSE)</f>
        <v>-</v>
      </c>
      <c r="S420" s="397">
        <f>_xlfn.XLOOKUP(E420,'All Products'!D:D,'All Products'!M:M,FALSE)</f>
        <v>40049081138408</v>
      </c>
      <c r="T420" s="384">
        <f>_xlfn.XLOOKUP(E420,'All Products'!D:D,'All Products'!N:N,FALSE)</f>
        <v>0.42799999999999999</v>
      </c>
      <c r="U420" s="397" t="str">
        <f>_xlfn.XLOOKUP(E420,'All Products'!D:D,'All Products'!O:O,FALSE)</f>
        <v>-</v>
      </c>
      <c r="V420" s="384">
        <f>_xlfn.XLOOKUP(E420,'All Products'!D:D,'All Products'!P:P,FALSE)</f>
        <v>7.26</v>
      </c>
      <c r="W420" s="384">
        <f>_xlfn.XLOOKUP(E420,'All Products'!D:D,'All Products'!Q:Q,FALSE)</f>
        <v>0.5</v>
      </c>
    </row>
    <row r="421" spans="1:23" ht="18.75" customHeight="1">
      <c r="A421" s="101" t="str">
        <f>IF(K421&gt;0,COUNT($A$7:A420)
+COUNT('DWV PVC'!$A$9:$A$316)
+COUNT('DWV ABS'!$A$8:$A$116)+1,"")</f>
        <v/>
      </c>
      <c r="B421" s="610"/>
      <c r="C421" s="611"/>
      <c r="D421" s="369" t="str">
        <f>_xlfn.XLOOKUP(E421,'All Products'!D:D,'All Products'!C:C,FALSE)</f>
        <v>479-030</v>
      </c>
      <c r="E421" s="51">
        <v>100023198</v>
      </c>
      <c r="F421" s="376" t="str">
        <f>_xlfn.XLOOKUP(E421,'All Products'!D:D,'All Products'!E:E,FALSE)</f>
        <v>3 EXTRA DEEP COUPLING SLIP X SLIP</v>
      </c>
      <c r="G421" s="232">
        <f>_xlfn.XLOOKUP(E421,'All Products'!D:D,'All Products'!F:F,FALSE)</f>
        <v>8</v>
      </c>
      <c r="H421" s="387">
        <f>_xlfn.XLOOKUP(E421,'All Products'!D:D,'All Products'!G:G,FALSE)</f>
        <v>960</v>
      </c>
      <c r="I421" s="394">
        <f>_xlfn.XLOOKUP(E421,'All Products'!D:D,'All Products'!H:H,FALSE)</f>
        <v>31.17</v>
      </c>
      <c r="J421" s="183">
        <f>IFERROR(ROUND(I421*Order_Quote!$L$4,2),0)</f>
        <v>31.17</v>
      </c>
      <c r="K421" s="73"/>
      <c r="L421" s="76"/>
      <c r="M421" s="114">
        <f t="shared" si="35"/>
        <v>0</v>
      </c>
      <c r="O421" s="384" t="str">
        <f>_xlfn.XLOOKUP(E421,'All Products'!D:D,'All Products'!I:I,FALSE)</f>
        <v>In Stock</v>
      </c>
      <c r="P421" s="384" t="str">
        <f>_xlfn.XLOOKUP(E421,'All Products'!D:D,'All Products'!J:J,FALSE)</f>
        <v>Manufactured</v>
      </c>
      <c r="Q421" s="397">
        <f>_xlfn.XLOOKUP(E421,'All Products'!D:D,'All Products'!K:K,FALSE)</f>
        <v>49081138448</v>
      </c>
      <c r="R421" s="397" t="str">
        <f>_xlfn.XLOOKUP(E421,'All Products'!D:D,'All Products'!L:L,FALSE)</f>
        <v>-</v>
      </c>
      <c r="S421" s="397">
        <f>_xlfn.XLOOKUP(E421,'All Products'!D:D,'All Products'!M:M,FALSE)</f>
        <v>40049081138446</v>
      </c>
      <c r="T421" s="384">
        <f>_xlfn.XLOOKUP(E421,'All Products'!D:D,'All Products'!N:N,FALSE)</f>
        <v>1.22</v>
      </c>
      <c r="U421" s="397" t="str">
        <f>_xlfn.XLOOKUP(E421,'All Products'!D:D,'All Products'!O:O,FALSE)</f>
        <v>-</v>
      </c>
      <c r="V421" s="384">
        <f>_xlfn.XLOOKUP(E421,'All Products'!D:D,'All Products'!P:P,FALSE)</f>
        <v>10.74</v>
      </c>
      <c r="W421" s="384">
        <f>_xlfn.XLOOKUP(E421,'All Products'!D:D,'All Products'!Q:Q,FALSE)</f>
        <v>0.65</v>
      </c>
    </row>
    <row r="422" spans="1:23" ht="18.75" customHeight="1">
      <c r="A422" s="101" t="str">
        <f>IF(K422&gt;0,COUNT($A$7:A421)
+COUNT('DWV PVC'!$A$9:$A$316)
+COUNT('DWV ABS'!$A$8:$A$116)+1,"")</f>
        <v/>
      </c>
      <c r="B422" s="612"/>
      <c r="C422" s="613"/>
      <c r="D422" s="369" t="str">
        <f>_xlfn.XLOOKUP(E422,'All Products'!D:D,'All Products'!C:C,FALSE)</f>
        <v>479-040</v>
      </c>
      <c r="E422" s="51">
        <v>100023199</v>
      </c>
      <c r="F422" s="376" t="str">
        <f>_xlfn.XLOOKUP(E422,'All Products'!D:D,'All Products'!E:E,FALSE)</f>
        <v>4 EXTRA DEEP COUPLING SLIP X SLIP</v>
      </c>
      <c r="G422" s="232">
        <f>_xlfn.XLOOKUP(E422,'All Products'!D:D,'All Products'!F:F,FALSE)</f>
        <v>6</v>
      </c>
      <c r="H422" s="387">
        <f>_xlfn.XLOOKUP(E422,'All Products'!D:D,'All Products'!G:G,FALSE)</f>
        <v>540</v>
      </c>
      <c r="I422" s="394">
        <f>_xlfn.XLOOKUP(E422,'All Products'!D:D,'All Products'!H:H,FALSE)</f>
        <v>62.6</v>
      </c>
      <c r="J422" s="183">
        <f>IFERROR(ROUND(I422*Order_Quote!$L$4,2),0)</f>
        <v>62.6</v>
      </c>
      <c r="K422" s="73"/>
      <c r="L422" s="76"/>
      <c r="M422" s="114">
        <f t="shared" si="35"/>
        <v>0</v>
      </c>
      <c r="O422" s="384" t="str">
        <f>_xlfn.XLOOKUP(E422,'All Products'!D:D,'All Products'!I:I,FALSE)</f>
        <v>In Stock</v>
      </c>
      <c r="P422" s="384" t="str">
        <f>_xlfn.XLOOKUP(E422,'All Products'!D:D,'All Products'!J:J,FALSE)</f>
        <v>Manufactured</v>
      </c>
      <c r="Q422" s="397">
        <f>_xlfn.XLOOKUP(E422,'All Products'!D:D,'All Products'!K:K,FALSE)</f>
        <v>49081138462</v>
      </c>
      <c r="R422" s="397" t="str">
        <f>_xlfn.XLOOKUP(E422,'All Products'!D:D,'All Products'!L:L,FALSE)</f>
        <v>-</v>
      </c>
      <c r="S422" s="397">
        <f>_xlfn.XLOOKUP(E422,'All Products'!D:D,'All Products'!M:M,FALSE)</f>
        <v>40049081138460</v>
      </c>
      <c r="T422" s="384">
        <f>_xlfn.XLOOKUP(E422,'All Products'!D:D,'All Products'!N:N,FALSE)</f>
        <v>1.7130000000000001</v>
      </c>
      <c r="U422" s="397" t="str">
        <f>_xlfn.XLOOKUP(E422,'All Products'!D:D,'All Products'!O:O,FALSE)</f>
        <v>-</v>
      </c>
      <c r="V422" s="384">
        <f>_xlfn.XLOOKUP(E422,'All Products'!D:D,'All Products'!P:P,FALSE)</f>
        <v>11.31</v>
      </c>
      <c r="W422" s="384">
        <f>_xlfn.XLOOKUP(E422,'All Products'!D:D,'All Products'!Q:Q,FALSE)</f>
        <v>0.8</v>
      </c>
    </row>
    <row r="423" spans="1:23" ht="30.75" customHeight="1">
      <c r="A423" s="101" t="str">
        <f>IF(K423&gt;0,COUNT($A$7:A422)
+COUNT('DWV PVC'!$A$9:$A$316)
+COUNT('DWV ABS'!$A$8:$A$116)+1,"")</f>
        <v/>
      </c>
      <c r="B423" s="616"/>
      <c r="C423" s="617"/>
      <c r="D423" s="369" t="str">
        <f>_xlfn.XLOOKUP(E423,'All Products'!D:D,'All Products'!C:C,FALSE)</f>
        <v>488-007</v>
      </c>
      <c r="E423" s="51">
        <v>300006192</v>
      </c>
      <c r="F423" s="376" t="str">
        <f>_xlfn.XLOOKUP(E423,'All Products'!D:D,'All Products'!E:E,FALSE)</f>
        <v xml:space="preserve">3/4 RUNNING TRAP </v>
      </c>
      <c r="G423" s="232">
        <f>_xlfn.XLOOKUP(E423,'All Products'!D:D,'All Products'!F:F,FALSE)</f>
        <v>50</v>
      </c>
      <c r="H423" s="387">
        <f>_xlfn.XLOOKUP(E423,'All Products'!D:D,'All Products'!G:G,FALSE)</f>
        <v>3000</v>
      </c>
      <c r="I423" s="394" t="str">
        <f>_xlfn.XLOOKUP(E423,'All Products'!D:D,'All Products'!H:H,FALSE)</f>
        <v>Quote Required</v>
      </c>
      <c r="J423" s="183">
        <f>IFERROR(ROUND(I423*Order_Quote!$L$4,2),0)</f>
        <v>0</v>
      </c>
      <c r="K423" s="73"/>
      <c r="L423" s="76"/>
      <c r="M423" s="114">
        <f t="shared" si="35"/>
        <v>0</v>
      </c>
      <c r="O423" s="384" t="str">
        <f>_xlfn.XLOOKUP(E423,'All Products'!D:D,'All Products'!I:I,FALSE)</f>
        <v>Within 6 Weeks</v>
      </c>
      <c r="P423" s="384" t="str">
        <f>_xlfn.XLOOKUP(E423,'All Products'!D:D,'All Products'!J:J,FALSE)</f>
        <v>Sourced</v>
      </c>
      <c r="Q423" s="397" t="str">
        <f>_xlfn.XLOOKUP(E423,'All Products'!D:D,'All Products'!K:K,FALSE)</f>
        <v>-</v>
      </c>
      <c r="R423" s="397" t="str">
        <f>_xlfn.XLOOKUP(E423,'All Products'!D:D,'All Products'!L:L,FALSE)</f>
        <v>-</v>
      </c>
      <c r="S423" s="397" t="str">
        <f>_xlfn.XLOOKUP(E423,'All Products'!D:D,'All Products'!M:M,FALSE)</f>
        <v>-</v>
      </c>
      <c r="T423" s="384">
        <f>_xlfn.XLOOKUP(E423,'All Products'!D:D,'All Products'!N:N,FALSE)</f>
        <v>0.247</v>
      </c>
      <c r="U423" s="397" t="str">
        <f>_xlfn.XLOOKUP(E423,'All Products'!D:D,'All Products'!O:O,FALSE)</f>
        <v>-</v>
      </c>
      <c r="V423" s="384" t="str">
        <f>_xlfn.XLOOKUP(E423,'All Products'!D:D,'All Products'!P:P,FALSE)</f>
        <v>-</v>
      </c>
      <c r="W423" s="384" t="str">
        <f>_xlfn.XLOOKUP(E423,'All Products'!D:D,'All Products'!Q:Q,FALSE)</f>
        <v>-</v>
      </c>
    </row>
    <row r="424" spans="1:23" ht="38.25" customHeight="1">
      <c r="A424" s="101" t="str">
        <f>IF(K424&gt;0,COUNT($A$7:A423)
+COUNT('DWV PVC'!$A$9:$A$316)
+COUNT('DWV ABS'!$A$8:$A$116)+1,"")</f>
        <v/>
      </c>
      <c r="B424" s="616"/>
      <c r="C424" s="617"/>
      <c r="D424" s="369" t="str">
        <f>_xlfn.XLOOKUP(E424,'All Products'!D:D,'All Products'!C:C,FALSE)</f>
        <v>489-007</v>
      </c>
      <c r="E424" s="51">
        <v>300005951</v>
      </c>
      <c r="F424" s="376" t="str">
        <f>_xlfn.XLOOKUP(E424,'All Products'!D:D,'All Products'!E:E,FALSE)</f>
        <v xml:space="preserve">3/4 P TRAP </v>
      </c>
      <c r="G424" s="232">
        <f>_xlfn.XLOOKUP(E424,'All Products'!D:D,'All Products'!F:F,FALSE)</f>
        <v>50</v>
      </c>
      <c r="H424" s="387">
        <f>_xlfn.XLOOKUP(E424,'All Products'!D:D,'All Products'!G:G,FALSE)</f>
        <v>3000</v>
      </c>
      <c r="I424" s="394" t="str">
        <f>_xlfn.XLOOKUP(E424,'All Products'!D:D,'All Products'!H:H,FALSE)</f>
        <v>Quote Required</v>
      </c>
      <c r="J424" s="183">
        <f>IFERROR(ROUND(I424*Order_Quote!$L$4,2),0)</f>
        <v>0</v>
      </c>
      <c r="K424" s="73"/>
      <c r="L424" s="76"/>
      <c r="M424" s="114">
        <f t="shared" si="35"/>
        <v>0</v>
      </c>
      <c r="O424" s="384" t="str">
        <f>_xlfn.XLOOKUP(E424,'All Products'!D:D,'All Products'!I:I,FALSE)</f>
        <v>Within 3 Weeks</v>
      </c>
      <c r="P424" s="384" t="str">
        <f>_xlfn.XLOOKUP(E424,'All Products'!D:D,'All Products'!J:J,FALSE)</f>
        <v>Sourced</v>
      </c>
      <c r="Q424" s="397">
        <f>_xlfn.XLOOKUP(E424,'All Products'!D:D,'All Products'!K:K,FALSE)</f>
        <v>810116843497</v>
      </c>
      <c r="R424" s="397" t="str">
        <f>_xlfn.XLOOKUP(E424,'All Products'!D:D,'All Products'!L:L,FALSE)</f>
        <v>-</v>
      </c>
      <c r="S424" s="397" t="str">
        <f>_xlfn.XLOOKUP(E424,'All Products'!D:D,'All Products'!M:M,FALSE)</f>
        <v>-</v>
      </c>
      <c r="T424" s="384">
        <f>_xlfn.XLOOKUP(E424,'All Products'!D:D,'All Products'!N:N,FALSE)</f>
        <v>0.247</v>
      </c>
      <c r="U424" s="397" t="str">
        <f>_xlfn.XLOOKUP(E424,'All Products'!D:D,'All Products'!O:O,FALSE)</f>
        <v>-</v>
      </c>
      <c r="V424" s="384" t="str">
        <f>_xlfn.XLOOKUP(E424,'All Products'!D:D,'All Products'!P:P,FALSE)</f>
        <v>-</v>
      </c>
      <c r="W424" s="384" t="str">
        <f>_xlfn.XLOOKUP(E424,'All Products'!D:D,'All Products'!Q:Q,FALSE)</f>
        <v>-</v>
      </c>
    </row>
    <row r="425" spans="1:23">
      <c r="A425" s="101">
        <f>MAX(A8:A424)+1</f>
        <v>1</v>
      </c>
      <c r="U425" s="400"/>
    </row>
    <row r="426" spans="1:23"/>
    <row r="427" spans="1:23"/>
    <row r="428" spans="1:23"/>
    <row r="429" spans="1:23"/>
    <row r="430" spans="1:23"/>
    <row r="431" spans="1:23"/>
    <row r="432" spans="1:23"/>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sheetData>
  <sheetProtection algorithmName="SHA-512" hashValue="jmNRmY3mAG6aAf4fj+tJuGB2KSKGthIiXHCN7/MzuRgqtPWBv4mDRo3ew6jP3MLxn7uzstHirBU70AxW5MpXRg==" saltValue="i1levlBNq7fq+IKTGhO2kg==" spinCount="100000" sheet="1" formatCells="0" formatColumns="0" formatRows="0" insertColumns="0" insertRows="0" insertHyperlinks="0" deleteColumns="0" deleteRows="0" sort="0" autoFilter="0" pivotTables="0"/>
  <mergeCells count="52">
    <mergeCell ref="B423:C423"/>
    <mergeCell ref="B424:C424"/>
    <mergeCell ref="B398:C404"/>
    <mergeCell ref="B405:C406"/>
    <mergeCell ref="B411:C411"/>
    <mergeCell ref="B415:C419"/>
    <mergeCell ref="B420:C422"/>
    <mergeCell ref="B379:C387"/>
    <mergeCell ref="B388:C394"/>
    <mergeCell ref="B395:C397"/>
    <mergeCell ref="B267:C301"/>
    <mergeCell ref="B302:C329"/>
    <mergeCell ref="B330:C342"/>
    <mergeCell ref="B343:C354"/>
    <mergeCell ref="B364:C370"/>
    <mergeCell ref="B212:C217"/>
    <mergeCell ref="B218:C222"/>
    <mergeCell ref="B232:C240"/>
    <mergeCell ref="B249:C266"/>
    <mergeCell ref="B371:C378"/>
    <mergeCell ref="Q6:S6"/>
    <mergeCell ref="B407:C408"/>
    <mergeCell ref="B409:C410"/>
    <mergeCell ref="B412:C414"/>
    <mergeCell ref="B192:C193"/>
    <mergeCell ref="B8:C19"/>
    <mergeCell ref="B61:C68"/>
    <mergeCell ref="B20:C60"/>
    <mergeCell ref="B69:C94"/>
    <mergeCell ref="B95:C99"/>
    <mergeCell ref="B100:C111"/>
    <mergeCell ref="B112:C116"/>
    <mergeCell ref="B117:C123"/>
    <mergeCell ref="B124:C128"/>
    <mergeCell ref="B129:C132"/>
    <mergeCell ref="B139:C144"/>
    <mergeCell ref="J2:K3"/>
    <mergeCell ref="B355:C363"/>
    <mergeCell ref="B223:C231"/>
    <mergeCell ref="B241:C248"/>
    <mergeCell ref="B156:C158"/>
    <mergeCell ref="B133:C138"/>
    <mergeCell ref="B146:C147"/>
    <mergeCell ref="B145:C145"/>
    <mergeCell ref="B148:C155"/>
    <mergeCell ref="B159:C159"/>
    <mergeCell ref="B160:C171"/>
    <mergeCell ref="B172:C176"/>
    <mergeCell ref="B180:C191"/>
    <mergeCell ref="B177:C179"/>
    <mergeCell ref="B194:C202"/>
    <mergeCell ref="B203:C211"/>
  </mergeCells>
  <dataValidations xWindow="849" yWindow="381" count="4">
    <dataValidation type="whole" operator="greaterThanOrEqual" allowBlank="1" showInputMessage="1" showErrorMessage="1" errorTitle="Invalid Entry!" error="An invalid quantity has been entered. Please enter only whole numbers. Click Retry to change entry or Cancel to clear entry." sqref="L1:L6 L366:L64855" xr:uid="{00000000-0002-0000-0400-000000000000}">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00000000-0002-0000-0400-000001000000}">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L8:L365" xr:uid="{00000000-0002-0000-0400-000002000000}">
      <formula1>1</formula1>
    </dataValidation>
    <dataValidation allowBlank="1" showErrorMessage="1" sqref="K1:K1048576" xr:uid="{8203B5EA-C23D-4178-89F3-2580AFC34BD6}"/>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rowBreaks count="7" manualBreakCount="7">
    <brk id="68" max="8" man="1"/>
    <brk id="111" max="8" man="1"/>
    <brk id="159" max="8" man="1"/>
    <brk id="217" max="8" man="1"/>
    <brk id="266" max="8" man="1"/>
    <brk id="329" max="8" man="1"/>
    <brk id="378"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2D659-5F7F-4D1D-9DF5-661FECF94536}">
  <sheetPr codeName="Sheet14">
    <tabColor theme="0"/>
    <pageSetUpPr fitToPage="1"/>
  </sheetPr>
  <dimension ref="A1:AL688"/>
  <sheetViews>
    <sheetView workbookViewId="0">
      <selection activeCell="G13" sqref="G13"/>
    </sheetView>
  </sheetViews>
  <sheetFormatPr defaultColWidth="0" defaultRowHeight="0" customHeight="1" zeroHeight="1"/>
  <cols>
    <col min="1" max="1" width="2.33203125" style="101" customWidth="1"/>
    <col min="2" max="3" width="8.6640625" style="17" customWidth="1"/>
    <col min="4" max="5" width="12.6640625" style="20" customWidth="1"/>
    <col min="6" max="6" width="50.6640625" style="184" customWidth="1"/>
    <col min="7" max="7" width="10.6640625" style="390" customWidth="1"/>
    <col min="8" max="8" width="10.6640625" style="20" customWidth="1"/>
    <col min="9" max="9" width="10.6640625" style="352" customWidth="1"/>
    <col min="10" max="10" width="10.6640625" style="182" customWidth="1"/>
    <col min="11" max="11" width="10.6640625" style="17" customWidth="1"/>
    <col min="12" max="12" width="1" style="17" customWidth="1"/>
    <col min="13" max="13" width="10.6640625" style="17" customWidth="1"/>
    <col min="14" max="14" width="2.33203125" style="17" customWidth="1"/>
    <col min="15" max="15" width="12.6640625" style="353" customWidth="1"/>
    <col min="16" max="16" width="10.6640625" style="184" customWidth="1"/>
    <col min="17" max="17" width="11.33203125" style="395" customWidth="1"/>
    <col min="18" max="18" width="10.6640625" style="395" customWidth="1"/>
    <col min="19" max="19" width="13.109375" style="395" customWidth="1"/>
    <col min="20" max="20" width="10.6640625" style="399" customWidth="1"/>
    <col min="21" max="21" width="10.6640625" style="184" customWidth="1"/>
    <col min="22" max="23" width="10.6640625" style="399" customWidth="1"/>
    <col min="24" max="24" width="9.109375" style="17" customWidth="1"/>
    <col min="25" max="25" width="2.109375" style="17" customWidth="1"/>
    <col min="26" max="26" width="0" style="216" hidden="1" customWidth="1"/>
    <col min="27" max="38" width="0" style="17" hidden="1" customWidth="1"/>
    <col min="39" max="16384" width="9.109375" style="17" hidden="1"/>
  </cols>
  <sheetData>
    <row r="1" spans="1:23" ht="18">
      <c r="F1" s="155" t="s">
        <v>334</v>
      </c>
      <c r="G1" s="403"/>
      <c r="H1" s="198"/>
      <c r="O1" s="405"/>
      <c r="P1" s="198"/>
      <c r="Q1" s="389"/>
      <c r="R1" s="389"/>
      <c r="S1" s="389"/>
      <c r="T1" s="398"/>
      <c r="U1" s="198"/>
      <c r="V1" s="398"/>
      <c r="W1" s="398"/>
    </row>
    <row r="2" spans="1:23" ht="15.75" customHeight="1">
      <c r="D2" s="200"/>
      <c r="E2" s="218"/>
      <c r="J2" s="607" t="s">
        <v>59</v>
      </c>
      <c r="K2" s="607"/>
    </row>
    <row r="3" spans="1:23" ht="14.4">
      <c r="F3" s="323" t="s">
        <v>335</v>
      </c>
      <c r="J3" s="607"/>
      <c r="K3" s="607"/>
      <c r="O3" s="406"/>
    </row>
    <row r="4" spans="1:23" ht="14.4">
      <c r="E4" s="147" t="s">
        <v>5721</v>
      </c>
      <c r="F4" s="327" t="s">
        <v>5976</v>
      </c>
      <c r="O4" s="406"/>
      <c r="P4" s="17"/>
      <c r="Q4" s="321"/>
      <c r="R4" s="321"/>
      <c r="S4" s="321"/>
      <c r="T4" s="352"/>
      <c r="U4" s="17"/>
      <c r="V4" s="352"/>
      <c r="W4" s="352"/>
    </row>
    <row r="5" spans="1:23" ht="14.4">
      <c r="F5" s="325" t="s">
        <v>5973</v>
      </c>
      <c r="O5" s="406"/>
      <c r="P5" s="17"/>
      <c r="Q5" s="321"/>
      <c r="R5" s="321"/>
      <c r="S5" s="321"/>
      <c r="T5" s="352"/>
      <c r="U5" s="17"/>
      <c r="V5" s="352"/>
      <c r="W5" s="352"/>
    </row>
    <row r="6" spans="1:23" ht="14.4">
      <c r="F6" s="17"/>
      <c r="O6" s="353" t="s">
        <v>63</v>
      </c>
      <c r="P6" s="17"/>
      <c r="Q6" s="662" t="s">
        <v>64</v>
      </c>
      <c r="R6" s="662"/>
      <c r="S6" s="662"/>
      <c r="T6" s="352"/>
      <c r="U6" s="17"/>
      <c r="V6" s="352"/>
      <c r="W6" s="352"/>
    </row>
    <row r="7" spans="1:23" ht="36" customHeight="1">
      <c r="A7" s="43"/>
      <c r="B7" s="136"/>
      <c r="C7" s="136"/>
      <c r="D7" s="136" t="s">
        <v>48</v>
      </c>
      <c r="E7" s="136" t="s">
        <v>49</v>
      </c>
      <c r="F7" s="136" t="s">
        <v>50</v>
      </c>
      <c r="G7" s="231" t="s">
        <v>65</v>
      </c>
      <c r="H7" s="136" t="s">
        <v>66</v>
      </c>
      <c r="I7" s="393" t="s">
        <v>51</v>
      </c>
      <c r="J7" s="157" t="s">
        <v>55</v>
      </c>
      <c r="K7" s="158" t="s">
        <v>52</v>
      </c>
      <c r="L7" s="159"/>
      <c r="M7" s="143" t="s">
        <v>67</v>
      </c>
      <c r="O7" s="213" t="s">
        <v>68</v>
      </c>
      <c r="P7" s="213" t="s">
        <v>69</v>
      </c>
      <c r="Q7" s="396" t="s">
        <v>70</v>
      </c>
      <c r="R7" s="396" t="s">
        <v>71</v>
      </c>
      <c r="S7" s="396" t="s">
        <v>72</v>
      </c>
      <c r="T7" s="383" t="s">
        <v>73</v>
      </c>
      <c r="U7" s="213" t="s">
        <v>333</v>
      </c>
      <c r="V7" s="383" t="s">
        <v>328</v>
      </c>
      <c r="W7" s="383" t="s">
        <v>329</v>
      </c>
    </row>
    <row r="8" spans="1:23" ht="30" customHeight="1">
      <c r="A8" s="101" t="str">
        <f>IF(K8&gt;0,COUNT($A$7:A7)
+COUNT('DWV PVC'!$A$9:$A$316)
+COUNT('DWV ABS'!$A$8:$A$116)
+COUNT('PVC SCH40'!$A$8:$A$424)+1,"")</f>
        <v/>
      </c>
      <c r="B8" s="610"/>
      <c r="C8" s="611"/>
      <c r="D8" s="401" t="str">
        <f>_xlfn.XLOOKUP(E8,'All Products'!D:D,'All Products'!C:C,FALSE)</f>
        <v>401-100</v>
      </c>
      <c r="E8" s="51">
        <v>100022263</v>
      </c>
      <c r="F8" s="402" t="str">
        <f>_xlfn.XLOOKUP(E8,'All Products'!D:D,'All Products'!E:E,FALSE)</f>
        <v>10 TEE SLIP X SLIP X SLIP</v>
      </c>
      <c r="G8" s="268">
        <f>_xlfn.XLOOKUP(E8,'All Products'!D:D,'All Products'!F:F,FALSE)</f>
        <v>1</v>
      </c>
      <c r="H8" s="268">
        <f>_xlfn.XLOOKUP(E8,'All Products'!D:D,'All Products'!G:G,FALSE)</f>
        <v>18</v>
      </c>
      <c r="I8" s="404">
        <f>_xlfn.XLOOKUP(E8,'All Products'!D:D,'All Products'!H:H,FALSE)</f>
        <v>2381</v>
      </c>
      <c r="J8" s="183">
        <f>ROUND(I8*Order_Quote!$L$5,2)</f>
        <v>2381</v>
      </c>
      <c r="K8" s="73"/>
      <c r="L8" s="76"/>
      <c r="M8" s="114">
        <f>K8/G8</f>
        <v>0</v>
      </c>
      <c r="N8" s="225"/>
      <c r="O8" s="407" t="str">
        <f>_xlfn.XLOOKUP(E8,'All Products'!D:D,'All Products'!I:I,FALSE)</f>
        <v>In Stock</v>
      </c>
      <c r="P8" s="407" t="str">
        <f>_xlfn.XLOOKUP(E8,'All Products'!D:D,'All Products'!J:J,FALSE)</f>
        <v>Manufactured</v>
      </c>
      <c r="Q8" s="412">
        <f>_xlfn.XLOOKUP(E8,'All Products'!D:D,'All Products'!K:K,FALSE)</f>
        <v>49081147280</v>
      </c>
      <c r="R8" s="412" t="str">
        <f>_xlfn.XLOOKUP(E8,'All Products'!D:D,'All Products'!L:L,FALSE)</f>
        <v>-</v>
      </c>
      <c r="S8" s="412">
        <f>_xlfn.XLOOKUP(E8,'All Products'!D:D,'All Products'!M:M,FALSE)</f>
        <v>40049081147288</v>
      </c>
      <c r="T8" s="407">
        <f>_xlfn.XLOOKUP(E8,'All Products'!D:D,'All Products'!N:N,FALSE)</f>
        <v>21.742000000000001</v>
      </c>
      <c r="U8" s="407" t="str">
        <f>_xlfn.XLOOKUP(E8,'All Products'!D:D,'All Products'!O:O,FALSE)</f>
        <v>-</v>
      </c>
      <c r="V8" s="407">
        <f>_xlfn.XLOOKUP(E8,'All Products'!D:D,'All Products'!P:P,FALSE)</f>
        <v>23.15</v>
      </c>
      <c r="W8" s="407">
        <f>_xlfn.XLOOKUP(E8,'All Products'!D:D,'All Products'!Q:Q,FALSE)</f>
        <v>2.65</v>
      </c>
    </row>
    <row r="9" spans="1:23" ht="30" customHeight="1">
      <c r="A9" s="101" t="str">
        <f>IF(K9&gt;0,COUNT($A$7:A8)
+COUNT('DWV PVC'!$A$9:$A$316)
+COUNT('DWV ABS'!$A$8:$A$116)
+COUNT('PVC SCH40'!$A$8:$A$424)+1,"")</f>
        <v/>
      </c>
      <c r="B9" s="612"/>
      <c r="C9" s="613"/>
      <c r="D9" s="401" t="str">
        <f>_xlfn.XLOOKUP(E9,'All Products'!D:D,'All Products'!C:C,FALSE)</f>
        <v>401-120</v>
      </c>
      <c r="E9" s="51">
        <v>100022264</v>
      </c>
      <c r="F9" s="402" t="str">
        <f>_xlfn.XLOOKUP(E9,'All Products'!D:D,'All Products'!E:E,FALSE)</f>
        <v>12 TEE SLIP X SLIP X SLIP</v>
      </c>
      <c r="G9" s="268">
        <f>_xlfn.XLOOKUP(E9,'All Products'!D:D,'All Products'!F:F,FALSE)</f>
        <v>1</v>
      </c>
      <c r="H9" s="268">
        <f>_xlfn.XLOOKUP(E9,'All Products'!D:D,'All Products'!G:G,FALSE)</f>
        <v>18</v>
      </c>
      <c r="I9" s="404">
        <f>_xlfn.XLOOKUP(E9,'All Products'!D:D,'All Products'!H:H,FALSE)</f>
        <v>3517.96</v>
      </c>
      <c r="J9" s="183">
        <f>ROUND(I9*Order_Quote!$L$5,2)</f>
        <v>3517.96</v>
      </c>
      <c r="K9" s="73"/>
      <c r="L9" s="76"/>
      <c r="M9" s="114">
        <f>K9/G9</f>
        <v>0</v>
      </c>
      <c r="N9" s="225"/>
      <c r="O9" s="407" t="str">
        <f>_xlfn.XLOOKUP(E9,'All Products'!D:D,'All Products'!I:I,FALSE)</f>
        <v>In Stock</v>
      </c>
      <c r="P9" s="407" t="str">
        <f>_xlfn.XLOOKUP(E9,'All Products'!D:D,'All Products'!J:J,FALSE)</f>
        <v>Manufactured</v>
      </c>
      <c r="Q9" s="412">
        <f>_xlfn.XLOOKUP(E9,'All Products'!D:D,'All Products'!K:K,FALSE)</f>
        <v>49081147303</v>
      </c>
      <c r="R9" s="412" t="str">
        <f>_xlfn.XLOOKUP(E9,'All Products'!D:D,'All Products'!L:L,FALSE)</f>
        <v>-</v>
      </c>
      <c r="S9" s="412">
        <f>_xlfn.XLOOKUP(E9,'All Products'!D:D,'All Products'!M:M,FALSE)</f>
        <v>40049081147301</v>
      </c>
      <c r="T9" s="407">
        <f>_xlfn.XLOOKUP(E9,'All Products'!D:D,'All Products'!N:N,FALSE)</f>
        <v>37</v>
      </c>
      <c r="U9" s="407" t="str">
        <f>_xlfn.XLOOKUP(E9,'All Products'!D:D,'All Products'!O:O,FALSE)</f>
        <v>-</v>
      </c>
      <c r="V9" s="407">
        <f>_xlfn.XLOOKUP(E9,'All Products'!D:D,'All Products'!P:P,FALSE)</f>
        <v>38.590000000000003</v>
      </c>
      <c r="W9" s="407">
        <f>_xlfn.XLOOKUP(E9,'All Products'!D:D,'All Products'!Q:Q,FALSE)</f>
        <v>4.38</v>
      </c>
    </row>
    <row r="10" spans="1:23" ht="30" customHeight="1">
      <c r="A10" s="101" t="str">
        <f>IF(K10&gt;0,COUNT($A$7:A9)
+COUNT('DWV PVC'!$A$9:$A$316)
+COUNT('DWV ABS'!$A$8:$A$116)
+COUNT('PVC SCH40'!$A$8:$A$424)+1,"")</f>
        <v/>
      </c>
      <c r="B10" s="608"/>
      <c r="C10" s="609"/>
      <c r="D10" s="401" t="str">
        <f>_xlfn.XLOOKUP(E10,'All Products'!D:D,'All Products'!C:C,FALSE)</f>
        <v>406-100</v>
      </c>
      <c r="E10" s="51">
        <v>100022266</v>
      </c>
      <c r="F10" s="402" t="str">
        <f>_xlfn.XLOOKUP(E10,'All Products'!D:D,'All Products'!E:E,FALSE)</f>
        <v>10 90 ELL SLIP X SLIP</v>
      </c>
      <c r="G10" s="268">
        <f>_xlfn.XLOOKUP(E10,'All Products'!D:D,'All Products'!F:F,FALSE)</f>
        <v>1</v>
      </c>
      <c r="H10" s="268">
        <f>_xlfn.XLOOKUP(E10,'All Products'!D:D,'All Products'!G:G,FALSE)</f>
        <v>18</v>
      </c>
      <c r="I10" s="404">
        <f>_xlfn.XLOOKUP(E10,'All Products'!D:D,'All Products'!H:H,FALSE)</f>
        <v>1912.65</v>
      </c>
      <c r="J10" s="183">
        <f>ROUND(I10*Order_Quote!$L$5,2)</f>
        <v>1912.65</v>
      </c>
      <c r="K10" s="73"/>
      <c r="L10" s="76"/>
      <c r="M10" s="114">
        <f>K10/G10</f>
        <v>0</v>
      </c>
      <c r="N10" s="225"/>
      <c r="O10" s="407" t="str">
        <f>_xlfn.XLOOKUP(E10,'All Products'!D:D,'All Products'!I:I,FALSE)</f>
        <v>In Stock</v>
      </c>
      <c r="P10" s="407" t="str">
        <f>_xlfn.XLOOKUP(E10,'All Products'!D:D,'All Products'!J:J,FALSE)</f>
        <v>Manufactured</v>
      </c>
      <c r="Q10" s="412">
        <f>_xlfn.XLOOKUP(E10,'All Products'!D:D,'All Products'!K:K,FALSE)</f>
        <v>49081141080</v>
      </c>
      <c r="R10" s="412" t="str">
        <f>_xlfn.XLOOKUP(E10,'All Products'!D:D,'All Products'!L:L,FALSE)</f>
        <v>-</v>
      </c>
      <c r="S10" s="412">
        <f>_xlfn.XLOOKUP(E10,'All Products'!D:D,'All Products'!M:M,FALSE)</f>
        <v>40049081141088</v>
      </c>
      <c r="T10" s="407">
        <f>_xlfn.XLOOKUP(E10,'All Products'!D:D,'All Products'!N:N,FALSE)</f>
        <v>16.251999999999999</v>
      </c>
      <c r="U10" s="407" t="str">
        <f>_xlfn.XLOOKUP(E10,'All Products'!D:D,'All Products'!O:O,FALSE)</f>
        <v>-</v>
      </c>
      <c r="V10" s="407">
        <f>_xlfn.XLOOKUP(E10,'All Products'!D:D,'All Products'!P:P,FALSE)</f>
        <v>17.86</v>
      </c>
      <c r="W10" s="407">
        <f>_xlfn.XLOOKUP(E10,'All Products'!D:D,'All Products'!Q:Q,FALSE)</f>
        <v>2.65</v>
      </c>
    </row>
    <row r="11" spans="1:23" ht="30" customHeight="1">
      <c r="A11" s="101" t="str">
        <f>IF(K11&gt;0,COUNT($A$7:A10)
+COUNT('DWV PVC'!$A$9:$A$316)
+COUNT('DWV ABS'!$A$8:$A$116)
+COUNT('PVC SCH40'!$A$8:$A$424)+1,"")</f>
        <v/>
      </c>
      <c r="B11" s="612"/>
      <c r="C11" s="613"/>
      <c r="D11" s="401" t="str">
        <f>_xlfn.XLOOKUP(E11,'All Products'!D:D,'All Products'!C:C,FALSE)</f>
        <v>406-120</v>
      </c>
      <c r="E11" s="51">
        <v>100022267</v>
      </c>
      <c r="F11" s="402" t="str">
        <f>_xlfn.XLOOKUP(E11,'All Products'!D:D,'All Products'!E:E,FALSE)</f>
        <v>12 90 ELL SLIP X SLIP</v>
      </c>
      <c r="G11" s="268">
        <f>_xlfn.XLOOKUP(E11,'All Products'!D:D,'All Products'!F:F,FALSE)</f>
        <v>1</v>
      </c>
      <c r="H11" s="268">
        <f>_xlfn.XLOOKUP(E11,'All Products'!D:D,'All Products'!G:G,FALSE)</f>
        <v>18</v>
      </c>
      <c r="I11" s="404">
        <f>_xlfn.XLOOKUP(E11,'All Products'!D:D,'All Products'!H:H,FALSE)</f>
        <v>2565.25</v>
      </c>
      <c r="J11" s="183">
        <f>ROUND(I11*Order_Quote!$L$5,2)</f>
        <v>2565.25</v>
      </c>
      <c r="K11" s="73"/>
      <c r="L11" s="76"/>
      <c r="M11" s="114">
        <f>K11/G11</f>
        <v>0</v>
      </c>
      <c r="N11" s="225"/>
      <c r="O11" s="407" t="str">
        <f>_xlfn.XLOOKUP(E11,'All Products'!D:D,'All Products'!I:I,FALSE)</f>
        <v>In Stock</v>
      </c>
      <c r="P11" s="407" t="str">
        <f>_xlfn.XLOOKUP(E11,'All Products'!D:D,'All Products'!J:J,FALSE)</f>
        <v>Manufactured</v>
      </c>
      <c r="Q11" s="412">
        <f>_xlfn.XLOOKUP(E11,'All Products'!D:D,'All Products'!K:K,FALSE)</f>
        <v>49081141103</v>
      </c>
      <c r="R11" s="412" t="str">
        <f>_xlfn.XLOOKUP(E11,'All Products'!D:D,'All Products'!L:L,FALSE)</f>
        <v>-</v>
      </c>
      <c r="S11" s="412">
        <f>_xlfn.XLOOKUP(E11,'All Products'!D:D,'All Products'!M:M,FALSE)</f>
        <v>40049081141101</v>
      </c>
      <c r="T11" s="407">
        <f>_xlfn.XLOOKUP(E11,'All Products'!D:D,'All Products'!N:N,FALSE)</f>
        <v>24.844000000000001</v>
      </c>
      <c r="U11" s="407" t="str">
        <f>_xlfn.XLOOKUP(E11,'All Products'!D:D,'All Products'!O:O,FALSE)</f>
        <v>-</v>
      </c>
      <c r="V11" s="407">
        <f>_xlfn.XLOOKUP(E11,'All Products'!D:D,'All Products'!P:P,FALSE)</f>
        <v>26.72</v>
      </c>
      <c r="W11" s="407">
        <f>_xlfn.XLOOKUP(E11,'All Products'!D:D,'All Products'!Q:Q,FALSE)</f>
        <v>4.38</v>
      </c>
    </row>
    <row r="12" spans="1:23" ht="30" customHeight="1">
      <c r="A12" s="101" t="str">
        <f>IF(K12&gt;0,COUNT($A$7:A11)
+COUNT('DWV PVC'!$A$9:$A$316)
+COUNT('DWV ABS'!$A$8:$A$116)
+COUNT('PVC SCH40'!$A$8:$A$424)+1,"")</f>
        <v/>
      </c>
      <c r="B12" s="608"/>
      <c r="C12" s="609"/>
      <c r="D12" s="401" t="str">
        <f>_xlfn.XLOOKUP(E12,'All Products'!D:D,'All Products'!C:C,FALSE)</f>
        <v>417-100</v>
      </c>
      <c r="E12" s="51">
        <v>100022268</v>
      </c>
      <c r="F12" s="402" t="str">
        <f>_xlfn.XLOOKUP(E12,'All Products'!D:D,'All Products'!E:E,FALSE)</f>
        <v>10 45 ELL SLIP X SLIP</v>
      </c>
      <c r="G12" s="268">
        <f>_xlfn.XLOOKUP(E12,'All Products'!D:D,'All Products'!F:F,FALSE)</f>
        <v>1</v>
      </c>
      <c r="H12" s="268">
        <f>_xlfn.XLOOKUP(E12,'All Products'!D:D,'All Products'!G:G,FALSE)</f>
        <v>18</v>
      </c>
      <c r="I12" s="404">
        <f>_xlfn.XLOOKUP(E12,'All Products'!D:D,'All Products'!H:H,FALSE)</f>
        <v>1249.53</v>
      </c>
      <c r="J12" s="183">
        <f>ROUND(I12*Order_Quote!$L$5,2)</f>
        <v>1249.53</v>
      </c>
      <c r="K12" s="73"/>
      <c r="L12" s="76"/>
      <c r="M12" s="114">
        <f t="shared" ref="M12:M13" si="0">K12/G12</f>
        <v>0</v>
      </c>
      <c r="N12" s="225"/>
      <c r="O12" s="407" t="str">
        <f>_xlfn.XLOOKUP(E12,'All Products'!D:D,'All Products'!I:I,FALSE)</f>
        <v>In Stock</v>
      </c>
      <c r="P12" s="407" t="str">
        <f>_xlfn.XLOOKUP(E12,'All Products'!D:D,'All Products'!J:J,FALSE)</f>
        <v>Manufactured</v>
      </c>
      <c r="Q12" s="412">
        <f>_xlfn.XLOOKUP(E12,'All Products'!D:D,'All Products'!K:K,FALSE)</f>
        <v>49081140465</v>
      </c>
      <c r="R12" s="412" t="str">
        <f>_xlfn.XLOOKUP(E12,'All Products'!D:D,'All Products'!L:L,FALSE)</f>
        <v>-</v>
      </c>
      <c r="S12" s="412">
        <f>_xlfn.XLOOKUP(E12,'All Products'!D:D,'All Products'!M:M,FALSE)</f>
        <v>40049081140463</v>
      </c>
      <c r="T12" s="407">
        <f>_xlfn.XLOOKUP(E12,'All Products'!D:D,'All Products'!N:N,FALSE)</f>
        <v>11.992000000000001</v>
      </c>
      <c r="U12" s="407" t="str">
        <f>_xlfn.XLOOKUP(E12,'All Products'!D:D,'All Products'!O:O,FALSE)</f>
        <v>-</v>
      </c>
      <c r="V12" s="407">
        <f>_xlfn.XLOOKUP(E12,'All Products'!D:D,'All Products'!P:P,FALSE)</f>
        <v>13.55</v>
      </c>
      <c r="W12" s="407">
        <f>_xlfn.XLOOKUP(E12,'All Products'!D:D,'All Products'!Q:Q,FALSE)</f>
        <v>2.65</v>
      </c>
    </row>
    <row r="13" spans="1:23" ht="30" customHeight="1">
      <c r="A13" s="101" t="str">
        <f>IF(K13&gt;0,COUNT($A$7:A12)
+COUNT('DWV PVC'!$A$9:$A$316)
+COUNT('DWV ABS'!$A$8:$A$116)
+COUNT('PVC SCH40'!$A$8:$A$424)+1,"")</f>
        <v/>
      </c>
      <c r="B13" s="612"/>
      <c r="C13" s="613"/>
      <c r="D13" s="401" t="str">
        <f>_xlfn.XLOOKUP(E13,'All Products'!D:D,'All Products'!C:C,FALSE)</f>
        <v>417-120</v>
      </c>
      <c r="E13" s="51">
        <v>100022247</v>
      </c>
      <c r="F13" s="402" t="str">
        <f>_xlfn.XLOOKUP(E13,'All Products'!D:D,'All Products'!E:E,FALSE)</f>
        <v>12 45 ELL SLIP X SLIP</v>
      </c>
      <c r="G13" s="268">
        <f>_xlfn.XLOOKUP(E13,'All Products'!D:D,'All Products'!F:F,FALSE)</f>
        <v>1</v>
      </c>
      <c r="H13" s="268">
        <f>_xlfn.XLOOKUP(E13,'All Products'!D:D,'All Products'!G:G,FALSE)</f>
        <v>18</v>
      </c>
      <c r="I13" s="404">
        <f>_xlfn.XLOOKUP(E13,'All Products'!D:D,'All Products'!H:H,FALSE)</f>
        <v>1851.62</v>
      </c>
      <c r="J13" s="183">
        <f>ROUND(I13*Order_Quote!$L$5,2)</f>
        <v>1851.62</v>
      </c>
      <c r="K13" s="73"/>
      <c r="L13" s="76"/>
      <c r="M13" s="114">
        <f t="shared" si="0"/>
        <v>0</v>
      </c>
      <c r="N13" s="225"/>
      <c r="O13" s="407" t="str">
        <f>_xlfn.XLOOKUP(E13,'All Products'!D:D,'All Products'!I:I,FALSE)</f>
        <v>In Stock</v>
      </c>
      <c r="P13" s="407" t="str">
        <f>_xlfn.XLOOKUP(E13,'All Products'!D:D,'All Products'!J:J,FALSE)</f>
        <v>Manufactured</v>
      </c>
      <c r="Q13" s="412">
        <f>_xlfn.XLOOKUP(E13,'All Products'!D:D,'All Products'!K:K,FALSE)</f>
        <v>49081140489</v>
      </c>
      <c r="R13" s="412" t="str">
        <f>_xlfn.XLOOKUP(E13,'All Products'!D:D,'All Products'!L:L,FALSE)</f>
        <v>-</v>
      </c>
      <c r="S13" s="412">
        <f>_xlfn.XLOOKUP(E13,'All Products'!D:D,'All Products'!M:M,FALSE)</f>
        <v>40049081140487</v>
      </c>
      <c r="T13" s="407">
        <f>_xlfn.XLOOKUP(E13,'All Products'!D:D,'All Products'!N:N,FALSE)</f>
        <v>20.937000000000001</v>
      </c>
      <c r="U13" s="407" t="str">
        <f>_xlfn.XLOOKUP(E13,'All Products'!D:D,'All Products'!O:O,FALSE)</f>
        <v>-</v>
      </c>
      <c r="V13" s="407">
        <f>_xlfn.XLOOKUP(E13,'All Products'!D:D,'All Products'!P:P,FALSE)</f>
        <v>23.25</v>
      </c>
      <c r="W13" s="407">
        <f>_xlfn.XLOOKUP(E13,'All Products'!D:D,'All Products'!Q:Q,FALSE)</f>
        <v>4.38</v>
      </c>
    </row>
    <row r="14" spans="1:23" ht="50.1" customHeight="1">
      <c r="A14" s="101" t="str">
        <f>IF(K14&gt;0,COUNT($A$7:A13)
+COUNT('DWV PVC'!$A$9:$A$316)
+COUNT('DWV ABS'!$A$8:$A$116)
+COUNT('PVC SCH40'!$A$8:$A$424)+1,"")</f>
        <v/>
      </c>
      <c r="B14" s="615"/>
      <c r="C14" s="615"/>
      <c r="D14" s="401" t="str">
        <f>_xlfn.XLOOKUP(E14,'All Products'!D:D,'All Products'!C:C,FALSE)</f>
        <v>429-100</v>
      </c>
      <c r="E14" s="51">
        <v>100022269</v>
      </c>
      <c r="F14" s="402" t="str">
        <f>_xlfn.XLOOKUP(E14,'All Products'!D:D,'All Products'!E:E,FALSE)</f>
        <v>10 COUPLING SLIP X SLIP</v>
      </c>
      <c r="G14" s="268">
        <f>_xlfn.XLOOKUP(E14,'All Products'!D:D,'All Products'!F:F,FALSE)</f>
        <v>1</v>
      </c>
      <c r="H14" s="268">
        <f>_xlfn.XLOOKUP(E14,'All Products'!D:D,'All Products'!G:G,FALSE)</f>
        <v>18</v>
      </c>
      <c r="I14" s="404">
        <f>_xlfn.XLOOKUP(E14,'All Products'!D:D,'All Products'!H:H,FALSE)</f>
        <v>489.76</v>
      </c>
      <c r="J14" s="183">
        <f>ROUND(I14*Order_Quote!$L$5,2)</f>
        <v>489.76</v>
      </c>
      <c r="K14" s="73"/>
      <c r="L14" s="76"/>
      <c r="M14" s="114">
        <f t="shared" ref="M14:M21" si="1">K14/G14</f>
        <v>0</v>
      </c>
      <c r="N14" s="225"/>
      <c r="O14" s="407" t="str">
        <f>_xlfn.XLOOKUP(E14,'All Products'!D:D,'All Products'!I:I,FALSE)</f>
        <v>In Stock</v>
      </c>
      <c r="P14" s="407" t="str">
        <f>_xlfn.XLOOKUP(E14,'All Products'!D:D,'All Products'!J:J,FALSE)</f>
        <v>Manufactured</v>
      </c>
      <c r="Q14" s="412">
        <f>_xlfn.XLOOKUP(E14,'All Products'!D:D,'All Products'!K:K,FALSE)</f>
        <v>49081137823</v>
      </c>
      <c r="R14" s="412" t="str">
        <f>_xlfn.XLOOKUP(E14,'All Products'!D:D,'All Products'!L:L,FALSE)</f>
        <v>-</v>
      </c>
      <c r="S14" s="412">
        <f>_xlfn.XLOOKUP(E14,'All Products'!D:D,'All Products'!M:M,FALSE)</f>
        <v>40049081137821</v>
      </c>
      <c r="T14" s="407">
        <f>_xlfn.XLOOKUP(E14,'All Products'!D:D,'All Products'!N:N,FALSE)</f>
        <v>11.45</v>
      </c>
      <c r="U14" s="407" t="str">
        <f>_xlfn.XLOOKUP(E14,'All Products'!D:D,'All Products'!O:O,FALSE)</f>
        <v>-</v>
      </c>
      <c r="V14" s="407">
        <f>_xlfn.XLOOKUP(E14,'All Products'!D:D,'All Products'!P:P,FALSE)</f>
        <v>12.5</v>
      </c>
      <c r="W14" s="407">
        <f>_xlfn.XLOOKUP(E14,'All Products'!D:D,'All Products'!Q:Q,FALSE)</f>
        <v>2.65</v>
      </c>
    </row>
    <row r="15" spans="1:23" ht="15" customHeight="1">
      <c r="A15" s="101" t="str">
        <f>IF(K15&gt;0,COUNT($A$7:A14)
+COUNT('DWV PVC'!$A$9:$A$316)
+COUNT('DWV ABS'!$A$8:$A$116)
+COUNT('PVC SCH40'!$A$8:$A$424)+1,"")</f>
        <v/>
      </c>
      <c r="B15" s="608"/>
      <c r="C15" s="609"/>
      <c r="D15" s="401" t="str">
        <f>_xlfn.XLOOKUP(E15,'All Products'!D:D,'All Products'!C:C,FALSE)</f>
        <v>437-626</v>
      </c>
      <c r="E15" s="51">
        <v>100027381</v>
      </c>
      <c r="F15" s="402" t="str">
        <f>_xlfn.XLOOKUP(E15,'All Products'!D:D,'All Products'!E:E,FALSE)</f>
        <v>10X6 REDUCER BUSHING SPGX SLIP</v>
      </c>
      <c r="G15" s="268">
        <f>_xlfn.XLOOKUP(E15,'All Products'!D:D,'All Products'!F:F,FALSE)</f>
        <v>1</v>
      </c>
      <c r="H15" s="268">
        <f>_xlfn.XLOOKUP(E15,'All Products'!D:D,'All Products'!G:G,FALSE)</f>
        <v>75</v>
      </c>
      <c r="I15" s="404">
        <f>_xlfn.XLOOKUP(E15,'All Products'!D:D,'All Products'!H:H,FALSE)</f>
        <v>884.49</v>
      </c>
      <c r="J15" s="183">
        <f>ROUND(I15*Order_Quote!$L$5,2)</f>
        <v>884.49</v>
      </c>
      <c r="K15" s="73"/>
      <c r="L15" s="76"/>
      <c r="M15" s="114">
        <f t="shared" si="1"/>
        <v>0</v>
      </c>
      <c r="N15" s="225"/>
      <c r="O15" s="407" t="str">
        <f>_xlfn.XLOOKUP(E15,'All Products'!D:D,'All Products'!I:I,FALSE)</f>
        <v>In Stock</v>
      </c>
      <c r="P15" s="407" t="str">
        <f>_xlfn.XLOOKUP(E15,'All Products'!D:D,'All Products'!J:J,FALSE)</f>
        <v>Manufactured</v>
      </c>
      <c r="Q15" s="412">
        <f>_xlfn.XLOOKUP(E15,'All Products'!D:D,'All Products'!K:K,FALSE)</f>
        <v>49081134044</v>
      </c>
      <c r="R15" s="412" t="str">
        <f>_xlfn.XLOOKUP(E15,'All Products'!D:D,'All Products'!L:L,FALSE)</f>
        <v>-</v>
      </c>
      <c r="S15" s="412">
        <f>_xlfn.XLOOKUP(E15,'All Products'!D:D,'All Products'!M:M,FALSE)</f>
        <v>40049081134042</v>
      </c>
      <c r="T15" s="407">
        <f>_xlfn.XLOOKUP(E15,'All Products'!D:D,'All Products'!N:N,FALSE)</f>
        <v>6.14</v>
      </c>
      <c r="U15" s="407" t="str">
        <f>_xlfn.XLOOKUP(E15,'All Products'!D:D,'All Products'!O:O,FALSE)</f>
        <v>-</v>
      </c>
      <c r="V15" s="407">
        <f>_xlfn.XLOOKUP(E15,'All Products'!D:D,'All Products'!P:P,FALSE)</f>
        <v>7.12</v>
      </c>
      <c r="W15" s="407">
        <f>_xlfn.XLOOKUP(E15,'All Products'!D:D,'All Products'!Q:Q,FALSE)</f>
        <v>0.95</v>
      </c>
    </row>
    <row r="16" spans="1:23" ht="15" customHeight="1">
      <c r="A16" s="101" t="str">
        <f>IF(K16&gt;0,COUNT($A$7:A15)
+COUNT('DWV PVC'!$A$9:$A$316)
+COUNT('DWV ABS'!$A$8:$A$116)
+COUNT('PVC SCH40'!$A$8:$A$424)+1,"")</f>
        <v/>
      </c>
      <c r="B16" s="610"/>
      <c r="C16" s="611"/>
      <c r="D16" s="401" t="str">
        <f>_xlfn.XLOOKUP(E16,'All Products'!D:D,'All Products'!C:C,FALSE)</f>
        <v>437-628</v>
      </c>
      <c r="E16" s="51">
        <v>100022276</v>
      </c>
      <c r="F16" s="402" t="str">
        <f>_xlfn.XLOOKUP(E16,'All Products'!D:D,'All Products'!E:E,FALSE)</f>
        <v>10X8 REDUCER BUSHING SPGX SLIP</v>
      </c>
      <c r="G16" s="268">
        <f>_xlfn.XLOOKUP(E16,'All Products'!D:D,'All Products'!F:F,FALSE)</f>
        <v>1</v>
      </c>
      <c r="H16" s="268">
        <f>_xlfn.XLOOKUP(E16,'All Products'!D:D,'All Products'!G:G,FALSE)</f>
        <v>75</v>
      </c>
      <c r="I16" s="404">
        <f>_xlfn.XLOOKUP(E16,'All Products'!D:D,'All Products'!H:H,FALSE)</f>
        <v>884.49</v>
      </c>
      <c r="J16" s="183">
        <f>ROUND(I16*Order_Quote!$L$5,2)</f>
        <v>884.49</v>
      </c>
      <c r="K16" s="73"/>
      <c r="L16" s="76"/>
      <c r="M16" s="114">
        <f t="shared" si="1"/>
        <v>0</v>
      </c>
      <c r="N16" s="225"/>
      <c r="O16" s="407" t="str">
        <f>_xlfn.XLOOKUP(E16,'All Products'!D:D,'All Products'!I:I,FALSE)</f>
        <v>In Stock</v>
      </c>
      <c r="P16" s="407" t="str">
        <f>_xlfn.XLOOKUP(E16,'All Products'!D:D,'All Products'!J:J,FALSE)</f>
        <v>Manufactured</v>
      </c>
      <c r="Q16" s="412">
        <f>_xlfn.XLOOKUP(E16,'All Products'!D:D,'All Products'!K:K,FALSE)</f>
        <v>49081134020</v>
      </c>
      <c r="R16" s="412" t="str">
        <f>_xlfn.XLOOKUP(E16,'All Products'!D:D,'All Products'!L:L,FALSE)</f>
        <v>-</v>
      </c>
      <c r="S16" s="412">
        <f>_xlfn.XLOOKUP(E16,'All Products'!D:D,'All Products'!M:M,FALSE)</f>
        <v>40049081134028</v>
      </c>
      <c r="T16" s="407">
        <f>_xlfn.XLOOKUP(E16,'All Products'!D:D,'All Products'!N:N,FALSE)</f>
        <v>6.1180000000000003</v>
      </c>
      <c r="U16" s="407" t="str">
        <f>_xlfn.XLOOKUP(E16,'All Products'!D:D,'All Products'!O:O,FALSE)</f>
        <v>-</v>
      </c>
      <c r="V16" s="407">
        <f>_xlfn.XLOOKUP(E16,'All Products'!D:D,'All Products'!P:P,FALSE)</f>
        <v>6.98</v>
      </c>
      <c r="W16" s="407">
        <f>_xlfn.XLOOKUP(E16,'All Products'!D:D,'All Products'!Q:Q,FALSE)</f>
        <v>0.95</v>
      </c>
    </row>
    <row r="17" spans="1:23" ht="15" customHeight="1">
      <c r="A17" s="101" t="str">
        <f>IF(K17&gt;0,COUNT($A$7:A16)
+COUNT('DWV PVC'!$A$9:$A$316)
+COUNT('DWV ABS'!$A$8:$A$116)
+COUNT('PVC SCH40'!$A$8:$A$424)+1,"")</f>
        <v/>
      </c>
      <c r="B17" s="610"/>
      <c r="C17" s="611"/>
      <c r="D17" s="401" t="str">
        <f>_xlfn.XLOOKUP(E17,'All Products'!D:D,'All Products'!C:C,FALSE)</f>
        <v>437-666</v>
      </c>
      <c r="E17" s="51">
        <v>100022278</v>
      </c>
      <c r="F17" s="402" t="str">
        <f>_xlfn.XLOOKUP(E17,'All Products'!D:D,'All Products'!E:E,FALSE)</f>
        <v>12X6 REDUCER BUSHING SPGX SLIP</v>
      </c>
      <c r="G17" s="268">
        <f>_xlfn.XLOOKUP(E17,'All Products'!D:D,'All Products'!F:F,FALSE)</f>
        <v>1</v>
      </c>
      <c r="H17" s="268">
        <f>_xlfn.XLOOKUP(E17,'All Products'!D:D,'All Products'!G:G,FALSE)</f>
        <v>75</v>
      </c>
      <c r="I17" s="404">
        <f>_xlfn.XLOOKUP(E17,'All Products'!D:D,'All Products'!H:H,FALSE)</f>
        <v>703.67</v>
      </c>
      <c r="J17" s="183">
        <f>ROUND(I17*Order_Quote!$L$5,2)</f>
        <v>703.67</v>
      </c>
      <c r="K17" s="73"/>
      <c r="L17" s="76"/>
      <c r="M17" s="114">
        <f t="shared" si="1"/>
        <v>0</v>
      </c>
      <c r="N17" s="225"/>
      <c r="O17" s="407" t="str">
        <f>_xlfn.XLOOKUP(E17,'All Products'!D:D,'All Products'!I:I,FALSE)</f>
        <v>In Stock</v>
      </c>
      <c r="P17" s="407" t="str">
        <f>_xlfn.XLOOKUP(E17,'All Products'!D:D,'All Products'!J:J,FALSE)</f>
        <v>Manufactured</v>
      </c>
      <c r="Q17" s="412">
        <f>_xlfn.XLOOKUP(E17,'All Products'!D:D,'All Products'!K:K,FALSE)</f>
        <v>49081134105</v>
      </c>
      <c r="R17" s="412" t="str">
        <f>_xlfn.XLOOKUP(E17,'All Products'!D:D,'All Products'!L:L,FALSE)</f>
        <v>-</v>
      </c>
      <c r="S17" s="412">
        <f>_xlfn.XLOOKUP(E17,'All Products'!D:D,'All Products'!M:M,FALSE)</f>
        <v>40049081134103</v>
      </c>
      <c r="T17" s="407">
        <f>_xlfn.XLOOKUP(E17,'All Products'!D:D,'All Products'!N:N,FALSE)</f>
        <v>10.5</v>
      </c>
      <c r="U17" s="407" t="str">
        <f>_xlfn.XLOOKUP(E17,'All Products'!D:D,'All Products'!O:O,FALSE)</f>
        <v>-</v>
      </c>
      <c r="V17" s="407">
        <f>_xlfn.XLOOKUP(E17,'All Products'!D:D,'All Products'!P:P,FALSE)</f>
        <v>10.86</v>
      </c>
      <c r="W17" s="407">
        <f>_xlfn.XLOOKUP(E17,'All Products'!D:D,'All Products'!Q:Q,FALSE)</f>
        <v>1.1000000000000001</v>
      </c>
    </row>
    <row r="18" spans="1:23" ht="15" customHeight="1">
      <c r="A18" s="101" t="str">
        <f>IF(K18&gt;0,COUNT($A$7:A17)
+COUNT('DWV PVC'!$A$9:$A$316)
+COUNT('DWV ABS'!$A$8:$A$116)
+COUNT('PVC SCH40'!$A$8:$A$424)+1,"")</f>
        <v/>
      </c>
      <c r="B18" s="610"/>
      <c r="C18" s="611"/>
      <c r="D18" s="401" t="str">
        <f>_xlfn.XLOOKUP(E18,'All Products'!D:D,'All Products'!C:C,FALSE)</f>
        <v>437-668</v>
      </c>
      <c r="E18" s="51">
        <v>100022279</v>
      </c>
      <c r="F18" s="402" t="str">
        <f>_xlfn.XLOOKUP(E18,'All Products'!D:D,'All Products'!E:E,FALSE)</f>
        <v>12X8 REDUCER BUSHING SPGX SLIP</v>
      </c>
      <c r="G18" s="268">
        <f>_xlfn.XLOOKUP(E18,'All Products'!D:D,'All Products'!F:F,FALSE)</f>
        <v>1</v>
      </c>
      <c r="H18" s="268">
        <f>_xlfn.XLOOKUP(E18,'All Products'!D:D,'All Products'!G:G,FALSE)</f>
        <v>75</v>
      </c>
      <c r="I18" s="404">
        <f>_xlfn.XLOOKUP(E18,'All Products'!D:D,'All Products'!H:H,FALSE)</f>
        <v>983.65</v>
      </c>
      <c r="J18" s="183">
        <f>ROUND(I18*Order_Quote!$L$5,2)</f>
        <v>983.65</v>
      </c>
      <c r="K18" s="73"/>
      <c r="L18" s="76"/>
      <c r="M18" s="114">
        <f t="shared" si="1"/>
        <v>0</v>
      </c>
      <c r="N18" s="225"/>
      <c r="O18" s="407" t="str">
        <f>_xlfn.XLOOKUP(E18,'All Products'!D:D,'All Products'!I:I,FALSE)</f>
        <v>In Stock</v>
      </c>
      <c r="P18" s="407" t="str">
        <f>_xlfn.XLOOKUP(E18,'All Products'!D:D,'All Products'!J:J,FALSE)</f>
        <v>Manufactured</v>
      </c>
      <c r="Q18" s="412">
        <f>_xlfn.XLOOKUP(E18,'All Products'!D:D,'All Products'!K:K,FALSE)</f>
        <v>49081134082</v>
      </c>
      <c r="R18" s="412" t="str">
        <f>_xlfn.XLOOKUP(E18,'All Products'!D:D,'All Products'!L:L,FALSE)</f>
        <v>-</v>
      </c>
      <c r="S18" s="412">
        <f>_xlfn.XLOOKUP(E18,'All Products'!D:D,'All Products'!M:M,FALSE)</f>
        <v>40049081134080</v>
      </c>
      <c r="T18" s="407">
        <f>_xlfn.XLOOKUP(E18,'All Products'!D:D,'All Products'!N:N,FALSE)</f>
        <v>11.39</v>
      </c>
      <c r="U18" s="407" t="str">
        <f>_xlfn.XLOOKUP(E18,'All Products'!D:D,'All Products'!O:O,FALSE)</f>
        <v>-</v>
      </c>
      <c r="V18" s="407">
        <f>_xlfn.XLOOKUP(E18,'All Products'!D:D,'All Products'!P:P,FALSE)</f>
        <v>11.43</v>
      </c>
      <c r="W18" s="407">
        <f>_xlfn.XLOOKUP(E18,'All Products'!D:D,'All Products'!Q:Q,FALSE)</f>
        <v>1.1000000000000001</v>
      </c>
    </row>
    <row r="19" spans="1:23" ht="15" customHeight="1">
      <c r="A19" s="101" t="str">
        <f>IF(K19&gt;0,COUNT($A$7:A18)
+COUNT('DWV PVC'!$A$9:$A$316)
+COUNT('DWV ABS'!$A$8:$A$116)
+COUNT('PVC SCH40'!$A$8:$A$424)+1,"")</f>
        <v/>
      </c>
      <c r="B19" s="612"/>
      <c r="C19" s="613"/>
      <c r="D19" s="401" t="str">
        <f>_xlfn.XLOOKUP(E19,'All Products'!D:D,'All Products'!C:C,FALSE)</f>
        <v>437-670</v>
      </c>
      <c r="E19" s="51">
        <v>100022280</v>
      </c>
      <c r="F19" s="402" t="str">
        <f>_xlfn.XLOOKUP(E19,'All Products'!D:D,'All Products'!E:E,FALSE)</f>
        <v>12X10 REDUCER BUSHING SPGX SLIP</v>
      </c>
      <c r="G19" s="268">
        <f>_xlfn.XLOOKUP(E19,'All Products'!D:D,'All Products'!F:F,FALSE)</f>
        <v>1</v>
      </c>
      <c r="H19" s="268">
        <f>_xlfn.XLOOKUP(E19,'All Products'!D:D,'All Products'!G:G,FALSE)</f>
        <v>75</v>
      </c>
      <c r="I19" s="404">
        <f>_xlfn.XLOOKUP(E19,'All Products'!D:D,'All Products'!H:H,FALSE)</f>
        <v>983.65</v>
      </c>
      <c r="J19" s="183">
        <f>ROUND(I19*Order_Quote!$L$5,2)</f>
        <v>983.65</v>
      </c>
      <c r="K19" s="73"/>
      <c r="L19" s="76"/>
      <c r="M19" s="114">
        <f t="shared" si="1"/>
        <v>0</v>
      </c>
      <c r="N19" s="225"/>
      <c r="O19" s="407" t="str">
        <f>_xlfn.XLOOKUP(E19,'All Products'!D:D,'All Products'!I:I,FALSE)</f>
        <v>In Stock</v>
      </c>
      <c r="P19" s="407" t="str">
        <f>_xlfn.XLOOKUP(E19,'All Products'!D:D,'All Products'!J:J,FALSE)</f>
        <v>Manufactured</v>
      </c>
      <c r="Q19" s="412">
        <f>_xlfn.XLOOKUP(E19,'All Products'!D:D,'All Products'!K:K,FALSE)</f>
        <v>49081134068</v>
      </c>
      <c r="R19" s="412" t="str">
        <f>_xlfn.XLOOKUP(E19,'All Products'!D:D,'All Products'!L:L,FALSE)</f>
        <v>-</v>
      </c>
      <c r="S19" s="412">
        <f>_xlfn.XLOOKUP(E19,'All Products'!D:D,'All Products'!M:M,FALSE)</f>
        <v>40049081134066</v>
      </c>
      <c r="T19" s="407">
        <f>_xlfn.XLOOKUP(E19,'All Products'!D:D,'All Products'!N:N,FALSE)</f>
        <v>8.1300000000000008</v>
      </c>
      <c r="U19" s="407" t="str">
        <f>_xlfn.XLOOKUP(E19,'All Products'!D:D,'All Products'!O:O,FALSE)</f>
        <v>-</v>
      </c>
      <c r="V19" s="407">
        <f>_xlfn.XLOOKUP(E19,'All Products'!D:D,'All Products'!P:P,FALSE)</f>
        <v>9.15</v>
      </c>
      <c r="W19" s="407">
        <f>_xlfn.XLOOKUP(E19,'All Products'!D:D,'All Products'!Q:Q,FALSE)</f>
        <v>1.1000000000000001</v>
      </c>
    </row>
    <row r="20" spans="1:23" ht="30" customHeight="1">
      <c r="A20" s="101" t="str">
        <f>IF(K20&gt;0,COUNT($A$7:A19)
+COUNT('DWV PVC'!$A$9:$A$316)
+COUNT('DWV ABS'!$A$8:$A$116)
+COUNT('PVC SCH40'!$A$8:$A$424)+1,"")</f>
        <v/>
      </c>
      <c r="B20" s="608"/>
      <c r="C20" s="609"/>
      <c r="D20" s="401" t="str">
        <f>_xlfn.XLOOKUP(E20,'All Products'!D:D,'All Products'!C:C,FALSE)</f>
        <v>447-100</v>
      </c>
      <c r="E20" s="51">
        <v>100022281</v>
      </c>
      <c r="F20" s="402" t="str">
        <f>_xlfn.XLOOKUP(E20,'All Products'!D:D,'All Products'!E:E,FALSE)</f>
        <v>10 CAP SLIP</v>
      </c>
      <c r="G20" s="268">
        <f>_xlfn.XLOOKUP(E20,'All Products'!D:D,'All Products'!F:F,FALSE)</f>
        <v>1</v>
      </c>
      <c r="H20" s="268">
        <f>_xlfn.XLOOKUP(E20,'All Products'!D:D,'All Products'!G:G,FALSE)</f>
        <v>75</v>
      </c>
      <c r="I20" s="404">
        <f>_xlfn.XLOOKUP(E20,'All Products'!D:D,'All Products'!H:H,FALSE)</f>
        <v>1477.75</v>
      </c>
      <c r="J20" s="183">
        <f>ROUND(I20*Order_Quote!$L$5,2)</f>
        <v>1477.75</v>
      </c>
      <c r="K20" s="73"/>
      <c r="L20" s="76"/>
      <c r="M20" s="114">
        <f t="shared" si="1"/>
        <v>0</v>
      </c>
      <c r="N20" s="225"/>
      <c r="O20" s="407" t="str">
        <f>_xlfn.XLOOKUP(E20,'All Products'!D:D,'All Products'!I:I,FALSE)</f>
        <v>In Stock</v>
      </c>
      <c r="P20" s="407" t="str">
        <f>_xlfn.XLOOKUP(E20,'All Products'!D:D,'All Products'!J:J,FALSE)</f>
        <v>Manufactured</v>
      </c>
      <c r="Q20" s="412">
        <f>_xlfn.XLOOKUP(E20,'All Products'!D:D,'All Products'!K:K,FALSE)</f>
        <v>49081137021</v>
      </c>
      <c r="R20" s="412" t="str">
        <f>_xlfn.XLOOKUP(E20,'All Products'!D:D,'All Products'!L:L,FALSE)</f>
        <v>-</v>
      </c>
      <c r="S20" s="412">
        <f>_xlfn.XLOOKUP(E20,'All Products'!D:D,'All Products'!M:M,FALSE)</f>
        <v>40049081137029</v>
      </c>
      <c r="T20" s="407">
        <f>_xlfn.XLOOKUP(E20,'All Products'!D:D,'All Products'!N:N,FALSE)</f>
        <v>8.3859999999999992</v>
      </c>
      <c r="U20" s="407" t="str">
        <f>_xlfn.XLOOKUP(E20,'All Products'!D:D,'All Products'!O:O,FALSE)</f>
        <v>-</v>
      </c>
      <c r="V20" s="407">
        <f>_xlfn.XLOOKUP(E20,'All Products'!D:D,'All Products'!P:P,FALSE)</f>
        <v>8.73</v>
      </c>
      <c r="W20" s="407">
        <f>_xlfn.XLOOKUP(E20,'All Products'!D:D,'All Products'!Q:Q,FALSE)</f>
        <v>0.95</v>
      </c>
    </row>
    <row r="21" spans="1:23" ht="30" customHeight="1">
      <c r="A21" s="101" t="str">
        <f>IF(K21&gt;0,COUNT($A$7:A20)
+COUNT('DWV PVC'!$A$9:$A$316)
+COUNT('DWV ABS'!$A$8:$A$116)
+COUNT('PVC SCH40'!$A$8:$A$424)+1,"")</f>
        <v/>
      </c>
      <c r="B21" s="612"/>
      <c r="C21" s="613"/>
      <c r="D21" s="401" t="str">
        <f>_xlfn.XLOOKUP(E21,'All Products'!D:D,'All Products'!C:C,FALSE)</f>
        <v>447-120</v>
      </c>
      <c r="E21" s="51">
        <v>100022282</v>
      </c>
      <c r="F21" s="402" t="str">
        <f>_xlfn.XLOOKUP(E21,'All Products'!D:D,'All Products'!E:E,FALSE)</f>
        <v>12 CAP SLIP</v>
      </c>
      <c r="G21" s="268">
        <f>_xlfn.XLOOKUP(E21,'All Products'!D:D,'All Products'!F:F,FALSE)</f>
        <v>2</v>
      </c>
      <c r="H21" s="268">
        <f>_xlfn.XLOOKUP(E21,'All Products'!D:D,'All Products'!G:G,FALSE)</f>
        <v>48</v>
      </c>
      <c r="I21" s="404">
        <f>_xlfn.XLOOKUP(E21,'All Products'!D:D,'All Products'!H:H,FALSE)</f>
        <v>1523.01</v>
      </c>
      <c r="J21" s="183">
        <f>ROUND(I21*Order_Quote!$L$5,2)</f>
        <v>1523.01</v>
      </c>
      <c r="K21" s="73"/>
      <c r="L21" s="76"/>
      <c r="M21" s="114">
        <f t="shared" si="1"/>
        <v>0</v>
      </c>
      <c r="N21" s="225"/>
      <c r="O21" s="407" t="str">
        <f>_xlfn.XLOOKUP(E21,'All Products'!D:D,'All Products'!I:I,FALSE)</f>
        <v>In Stock</v>
      </c>
      <c r="P21" s="407" t="str">
        <f>_xlfn.XLOOKUP(E21,'All Products'!D:D,'All Products'!J:J,FALSE)</f>
        <v>Manufactured</v>
      </c>
      <c r="Q21" s="412">
        <f>_xlfn.XLOOKUP(E21,'All Products'!D:D,'All Products'!K:K,FALSE)</f>
        <v>49081137045</v>
      </c>
      <c r="R21" s="412" t="str">
        <f>_xlfn.XLOOKUP(E21,'All Products'!D:D,'All Products'!L:L,FALSE)</f>
        <v>-</v>
      </c>
      <c r="S21" s="412">
        <f>_xlfn.XLOOKUP(E21,'All Products'!D:D,'All Products'!M:M,FALSE)</f>
        <v>40049081137043</v>
      </c>
      <c r="T21" s="407">
        <f>_xlfn.XLOOKUP(E21,'All Products'!D:D,'All Products'!N:N,FALSE)</f>
        <v>14.21</v>
      </c>
      <c r="U21" s="407" t="str">
        <f>_xlfn.XLOOKUP(E21,'All Products'!D:D,'All Products'!O:O,FALSE)</f>
        <v>-</v>
      </c>
      <c r="V21" s="407">
        <f>_xlfn.XLOOKUP(E21,'All Products'!D:D,'All Products'!P:P,FALSE)</f>
        <v>28.84</v>
      </c>
      <c r="W21" s="407">
        <f>_xlfn.XLOOKUP(E21,'All Products'!D:D,'All Products'!Q:Q,FALSE)</f>
        <v>2.77</v>
      </c>
    </row>
    <row r="22" spans="1:23" ht="15" customHeight="1">
      <c r="A22" s="101">
        <f>MAX(A8:A21)+1</f>
        <v>1</v>
      </c>
    </row>
    <row r="23" spans="1:23" ht="15" customHeight="1"/>
    <row r="24" spans="1:23" ht="15" customHeight="1"/>
    <row r="25" spans="1:23" ht="15" customHeight="1"/>
    <row r="26" spans="1:23" ht="15" customHeight="1"/>
    <row r="27" spans="1:23" ht="15" customHeight="1"/>
    <row r="28" spans="1:23" ht="15" customHeight="1"/>
    <row r="29" spans="1:23" ht="15" customHeight="1"/>
    <row r="30" spans="1:23" ht="15" customHeight="1"/>
    <row r="31" spans="1:23" ht="15" customHeight="1"/>
    <row r="32" spans="1:2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sheetData>
  <sheetProtection algorithmName="SHA-512" hashValue="+OUF8wXBC/K3TosZMMyPeW782OGeeA52QIRj0XwfHmwN/SR1Db6qUTTbjIgEWriwCDjC9OFgGqzYpqpVC8ej4Q==" saltValue="OymiHGgfw8cbhd6ITuEK5g==" spinCount="100000" sheet="1" formatCells="0" formatColumns="0" formatRows="0" insertColumns="0" insertRows="0" insertHyperlinks="0" deleteColumns="0" deleteRows="0" sort="0" autoFilter="0" pivotTables="0"/>
  <mergeCells count="8">
    <mergeCell ref="B14:C14"/>
    <mergeCell ref="B15:C19"/>
    <mergeCell ref="B20:C21"/>
    <mergeCell ref="J2:K3"/>
    <mergeCell ref="Q6:S6"/>
    <mergeCell ref="B8:C9"/>
    <mergeCell ref="B10:C11"/>
    <mergeCell ref="B12:C13"/>
  </mergeCells>
  <dataValidations count="5">
    <dataValidation type="whole" operator="greaterThanOrEqual" allowBlank="1" showInputMessage="1" showErrorMessage="1" errorTitle="Invalid entry!" error="An invalid quantity has been entered. Please enter only whole numbers. Click Retry to change entry or Cancel to clear entry." sqref="L7" xr:uid="{743E4919-D372-4529-95A2-F4E26FE41469}">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L14:L21 L8:L11" xr:uid="{BCF2E9B0-EDBA-46D1-A785-62B82B2F8E92}">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C5323244-DE0F-4FEC-8E07-5DF89AB47418}">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1:L6 L22:L63792" xr:uid="{6394AC50-F95C-4BDB-B950-1F0098B093BF}">
      <formula1>1</formula1>
    </dataValidation>
    <dataValidation allowBlank="1" showErrorMessage="1" sqref="K1:K1048576" xr:uid="{8F0D2842-99E9-4D41-8A8B-58A275003C79}"/>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E1D63-6EF0-4733-B756-F5ECEBB72668}">
  <sheetPr codeName="Sheet16">
    <tabColor theme="0"/>
    <pageSetUpPr fitToPage="1"/>
  </sheetPr>
  <dimension ref="A1:AL688"/>
  <sheetViews>
    <sheetView workbookViewId="0">
      <selection activeCell="K8" sqref="K8"/>
    </sheetView>
  </sheetViews>
  <sheetFormatPr defaultColWidth="0" defaultRowHeight="0" customHeight="1" zeroHeight="1"/>
  <cols>
    <col min="1" max="1" width="2.33203125" style="101" customWidth="1"/>
    <col min="2" max="3" width="8.6640625" style="17" customWidth="1"/>
    <col min="4" max="5" width="12.6640625" style="20" customWidth="1"/>
    <col min="6" max="6" width="50.6640625" style="184" customWidth="1"/>
    <col min="7" max="7" width="10.6640625" style="390" customWidth="1"/>
    <col min="8" max="8" width="10.6640625" style="20" customWidth="1"/>
    <col min="9" max="9" width="10.6640625" style="352" customWidth="1"/>
    <col min="10" max="10" width="10.6640625" style="182" customWidth="1"/>
    <col min="11" max="11" width="10.6640625" style="17" customWidth="1"/>
    <col min="12" max="12" width="1" style="17" customWidth="1"/>
    <col min="13" max="13" width="10.6640625" style="17" customWidth="1"/>
    <col min="14" max="14" width="2.33203125" style="17" customWidth="1"/>
    <col min="15" max="15" width="12.6640625" style="184" customWidth="1"/>
    <col min="16" max="16" width="10.6640625" style="184" customWidth="1"/>
    <col min="17" max="17" width="11.33203125" style="395" customWidth="1"/>
    <col min="18" max="18" width="10.6640625" style="395" customWidth="1"/>
    <col min="19" max="19" width="13.109375" style="395" customWidth="1"/>
    <col min="20" max="23" width="10.6640625" style="184" customWidth="1"/>
    <col min="24" max="24" width="9.109375" style="17" customWidth="1"/>
    <col min="25" max="25" width="2.109375" style="17" customWidth="1"/>
    <col min="26" max="26" width="0" style="216" hidden="1" customWidth="1"/>
    <col min="27" max="38" width="0" style="17" hidden="1" customWidth="1"/>
    <col min="39" max="16384" width="9.109375" style="17" hidden="1"/>
  </cols>
  <sheetData>
    <row r="1" spans="1:23" ht="18">
      <c r="F1" s="155" t="s">
        <v>17</v>
      </c>
      <c r="G1" s="403"/>
      <c r="H1" s="198"/>
      <c r="O1" s="198"/>
      <c r="P1" s="198"/>
      <c r="Q1" s="389"/>
      <c r="R1" s="389"/>
      <c r="S1" s="389"/>
      <c r="T1" s="198"/>
      <c r="U1" s="198"/>
      <c r="V1" s="198"/>
      <c r="W1" s="198"/>
    </row>
    <row r="2" spans="1:23" ht="15.75" customHeight="1">
      <c r="D2" s="200"/>
      <c r="E2" s="218"/>
      <c r="J2" s="607" t="s">
        <v>59</v>
      </c>
      <c r="K2" s="607"/>
    </row>
    <row r="3" spans="1:23" ht="14.4">
      <c r="F3" s="323" t="s">
        <v>336</v>
      </c>
      <c r="J3" s="607"/>
      <c r="K3" s="607"/>
      <c r="O3" s="17"/>
    </row>
    <row r="4" spans="1:23" ht="14.4">
      <c r="E4" s="147" t="s">
        <v>5720</v>
      </c>
      <c r="F4" s="327" t="s">
        <v>5977</v>
      </c>
      <c r="O4" s="17"/>
      <c r="P4" s="17"/>
      <c r="Q4" s="321"/>
      <c r="R4" s="321"/>
      <c r="S4" s="321"/>
      <c r="T4" s="17"/>
      <c r="U4" s="17"/>
      <c r="V4" s="17"/>
      <c r="W4" s="17"/>
    </row>
    <row r="5" spans="1:23" ht="14.4">
      <c r="F5" s="325" t="s">
        <v>5973</v>
      </c>
      <c r="O5" s="17"/>
      <c r="P5" s="17"/>
      <c r="Q5" s="321"/>
      <c r="R5" s="321"/>
      <c r="S5" s="321"/>
      <c r="T5" s="17"/>
      <c r="U5" s="17"/>
      <c r="V5" s="17"/>
      <c r="W5" s="17"/>
    </row>
    <row r="6" spans="1:23" ht="14.4">
      <c r="F6" s="17"/>
      <c r="O6" s="353" t="s">
        <v>63</v>
      </c>
      <c r="P6" s="17"/>
      <c r="Q6" s="662" t="s">
        <v>64</v>
      </c>
      <c r="R6" s="662"/>
      <c r="S6" s="662"/>
      <c r="T6" s="17"/>
      <c r="U6" s="17"/>
      <c r="V6" s="17"/>
      <c r="W6" s="17"/>
    </row>
    <row r="7" spans="1:23" ht="36" customHeight="1">
      <c r="A7" s="43"/>
      <c r="B7" s="136"/>
      <c r="C7" s="136"/>
      <c r="D7" s="136" t="s">
        <v>48</v>
      </c>
      <c r="E7" s="136" t="s">
        <v>49</v>
      </c>
      <c r="F7" s="136" t="s">
        <v>50</v>
      </c>
      <c r="G7" s="231" t="s">
        <v>65</v>
      </c>
      <c r="H7" s="136" t="s">
        <v>66</v>
      </c>
      <c r="I7" s="393" t="s">
        <v>51</v>
      </c>
      <c r="J7" s="157" t="s">
        <v>55</v>
      </c>
      <c r="K7" s="158" t="s">
        <v>52</v>
      </c>
      <c r="L7" s="159"/>
      <c r="M7" s="143" t="s">
        <v>67</v>
      </c>
      <c r="O7" s="213" t="s">
        <v>68</v>
      </c>
      <c r="P7" s="213" t="s">
        <v>69</v>
      </c>
      <c r="Q7" s="396" t="s">
        <v>70</v>
      </c>
      <c r="R7" s="396" t="s">
        <v>71</v>
      </c>
      <c r="S7" s="396" t="s">
        <v>72</v>
      </c>
      <c r="T7" s="213" t="s">
        <v>73</v>
      </c>
      <c r="U7" s="213" t="s">
        <v>333</v>
      </c>
      <c r="V7" s="213" t="s">
        <v>328</v>
      </c>
      <c r="W7" s="213" t="s">
        <v>329</v>
      </c>
    </row>
    <row r="8" spans="1:23" ht="30" customHeight="1">
      <c r="A8" s="101" t="str">
        <f>IF(K8&gt;0,COUNT($A$7:A7)
+COUNT('DWV PVC'!$A$9:$A$316)
+COUNT('DWV ABS'!$A$8:$A$116)
+COUNT('PVC SCH40'!$A$8:$A$424)
+COUNT('PVC SCH40 LD'!$A$8:$A$21)+1,"")</f>
        <v/>
      </c>
      <c r="B8" s="608"/>
      <c r="C8" s="609"/>
      <c r="D8" s="123" t="str">
        <f>_xlfn.XLOOKUP(E8,'All Products'!D:D,'All Products'!C:C,FALSE)</f>
        <v>406-015SW</v>
      </c>
      <c r="E8" s="51">
        <v>100022214</v>
      </c>
      <c r="F8" s="376" t="str">
        <f>_xlfn.XLOOKUP(E8,'All Products'!D:D,'All Products'!E:E,FALSE)</f>
        <v>1-1/2 SLIP X SLIP POOL SWP ELL</v>
      </c>
      <c r="G8" s="232">
        <f>_xlfn.XLOOKUP(E8,'All Products'!D:D,'All Products'!F:F,FALSE)</f>
        <v>25</v>
      </c>
      <c r="H8" s="232">
        <f>_xlfn.XLOOKUP(E8,'All Products'!D:D,'All Products'!G:G,FALSE)</f>
        <v>0</v>
      </c>
      <c r="I8" s="394">
        <f>_xlfn.XLOOKUP(E8,'All Products'!D:D,'All Products'!H:H,FALSE)</f>
        <v>9.7899999999999991</v>
      </c>
      <c r="J8" s="183">
        <f>ROUND(I8*Order_Quote!$L$6,2)</f>
        <v>9.7899999999999991</v>
      </c>
      <c r="K8" s="73"/>
      <c r="L8" s="76"/>
      <c r="M8" s="114">
        <f>K8/G8</f>
        <v>0</v>
      </c>
      <c r="N8" s="225"/>
      <c r="O8" s="384" t="str">
        <f>_xlfn.XLOOKUP(E8,'All Products'!D:D,'All Products'!I:I,FALSE)</f>
        <v>In Stock</v>
      </c>
      <c r="P8" s="384" t="str">
        <f>_xlfn.XLOOKUP(E8,'All Products'!D:D,'All Products'!J:J,FALSE)</f>
        <v>Manufactured</v>
      </c>
      <c r="Q8" s="397">
        <f>_xlfn.XLOOKUP(E8,'All Products'!D:D,'All Products'!K:K,FALSE)</f>
        <v>49081140847</v>
      </c>
      <c r="R8" s="397" t="str">
        <f>_xlfn.XLOOKUP(E8,'All Products'!D:D,'All Products'!L:L,FALSE)</f>
        <v>-</v>
      </c>
      <c r="S8" s="397">
        <f>_xlfn.XLOOKUP(E8,'All Products'!D:D,'All Products'!M:M,FALSE)</f>
        <v>40049081140845</v>
      </c>
      <c r="T8" s="384">
        <f>_xlfn.XLOOKUP(E8,'All Products'!D:D,'All Products'!N:N,FALSE)</f>
        <v>0.27500000000000002</v>
      </c>
      <c r="U8" s="384" t="str">
        <f>_xlfn.XLOOKUP(E8,'All Products'!D:D,'All Products'!O:O,FALSE)</f>
        <v>-</v>
      </c>
      <c r="V8" s="384">
        <f>_xlfn.XLOOKUP(E8,'All Products'!D:D,'All Products'!P:P,FALSE)</f>
        <v>7.34</v>
      </c>
      <c r="W8" s="384">
        <f>_xlfn.XLOOKUP(E8,'All Products'!D:D,'All Products'!Q:Q,FALSE)</f>
        <v>0.65</v>
      </c>
    </row>
    <row r="9" spans="1:23" ht="30" customHeight="1">
      <c r="A9" s="101" t="str">
        <f>IF(K9&gt;0,COUNT($A$7:A8)
+COUNT('DWV PVC'!$A$9:$A$316)
+COUNT('DWV ABS'!$A$8:$A$116)
+COUNT('PVC SCH40'!$A$8:$A$424)
+COUNT('PVC SCH40 LD'!$A$8:$A$21)+1,"")</f>
        <v/>
      </c>
      <c r="B9" s="612"/>
      <c r="C9" s="613"/>
      <c r="D9" s="123" t="str">
        <f>_xlfn.XLOOKUP(E9,'All Products'!D:D,'All Products'!C:C,FALSE)</f>
        <v>406-020SW</v>
      </c>
      <c r="E9" s="51">
        <v>100022216</v>
      </c>
      <c r="F9" s="376" t="str">
        <f>_xlfn.XLOOKUP(E9,'All Products'!D:D,'All Products'!E:E,FALSE)</f>
        <v>2 SLIP X SLIP POOL SWP ELL</v>
      </c>
      <c r="G9" s="232">
        <f>_xlfn.XLOOKUP(E9,'All Products'!D:D,'All Products'!F:F,FALSE)</f>
        <v>25</v>
      </c>
      <c r="H9" s="232">
        <f>_xlfn.XLOOKUP(E9,'All Products'!D:D,'All Products'!G:G,FALSE)</f>
        <v>0</v>
      </c>
      <c r="I9" s="394">
        <f>_xlfn.XLOOKUP(E9,'All Products'!D:D,'All Products'!H:H,FALSE)</f>
        <v>12.23</v>
      </c>
      <c r="J9" s="183">
        <f>ROUND(I9*Order_Quote!$L$6,2)</f>
        <v>12.23</v>
      </c>
      <c r="K9" s="73"/>
      <c r="L9" s="76"/>
      <c r="M9" s="114">
        <f>K9/G9</f>
        <v>0</v>
      </c>
      <c r="N9" s="225"/>
      <c r="O9" s="384" t="str">
        <f>_xlfn.XLOOKUP(E9,'All Products'!D:D,'All Products'!I:I,FALSE)</f>
        <v>In Stock</v>
      </c>
      <c r="P9" s="384" t="str">
        <f>_xlfn.XLOOKUP(E9,'All Products'!D:D,'All Products'!J:J,FALSE)</f>
        <v>Manufactured</v>
      </c>
      <c r="Q9" s="397">
        <f>_xlfn.XLOOKUP(E9,'All Products'!D:D,'All Products'!K:K,FALSE)</f>
        <v>49081142285</v>
      </c>
      <c r="R9" s="397" t="str">
        <f>_xlfn.XLOOKUP(E9,'All Products'!D:D,'All Products'!L:L,FALSE)</f>
        <v>-</v>
      </c>
      <c r="S9" s="397">
        <f>_xlfn.XLOOKUP(E9,'All Products'!D:D,'All Products'!M:M,FALSE)</f>
        <v>40049081142283</v>
      </c>
      <c r="T9" s="384">
        <f>_xlfn.XLOOKUP(E9,'All Products'!D:D,'All Products'!N:N,FALSE)</f>
        <v>0.437</v>
      </c>
      <c r="U9" s="384" t="str">
        <f>_xlfn.XLOOKUP(E9,'All Products'!D:D,'All Products'!O:O,FALSE)</f>
        <v>-</v>
      </c>
      <c r="V9" s="384">
        <f>_xlfn.XLOOKUP(E9,'All Products'!D:D,'All Products'!P:P,FALSE)</f>
        <v>12.1</v>
      </c>
      <c r="W9" s="384">
        <f>_xlfn.XLOOKUP(E9,'All Products'!D:D,'All Products'!Q:Q,FALSE)</f>
        <v>0.95</v>
      </c>
    </row>
    <row r="10" spans="1:23" ht="30" customHeight="1">
      <c r="A10" s="101" t="str">
        <f>IF(K10&gt;0,COUNT($A$7:A9)
+COUNT('DWV PVC'!$A$9:$A$316)
+COUNT('DWV ABS'!$A$8:$A$116)
+COUNT('PVC SCH40'!$A$8:$A$424)
+COUNT('PVC SCH40 LD'!$A$8:$A$21)+1,"")</f>
        <v/>
      </c>
      <c r="B10" s="610"/>
      <c r="C10" s="611"/>
      <c r="D10" s="123" t="str">
        <f>_xlfn.XLOOKUP(E10,'All Products'!D:D,'All Products'!C:C,FALSE)</f>
        <v>409-015SW</v>
      </c>
      <c r="E10" s="51">
        <v>100022218</v>
      </c>
      <c r="F10" s="376" t="str">
        <f>_xlfn.XLOOKUP(E10,'All Products'!D:D,'All Products'!E:E,FALSE)</f>
        <v>1-1/2 SLIP X SPGT POOL SWP ELL</v>
      </c>
      <c r="G10" s="232">
        <f>_xlfn.XLOOKUP(E10,'All Products'!D:D,'All Products'!F:F,FALSE)</f>
        <v>25</v>
      </c>
      <c r="H10" s="232">
        <f>_xlfn.XLOOKUP(E10,'All Products'!D:D,'All Products'!G:G,FALSE)</f>
        <v>0</v>
      </c>
      <c r="I10" s="394">
        <f>_xlfn.XLOOKUP(E10,'All Products'!D:D,'All Products'!H:H,FALSE)</f>
        <v>11.39</v>
      </c>
      <c r="J10" s="183">
        <f>ROUND(I10*Order_Quote!$L$6,2)</f>
        <v>11.39</v>
      </c>
      <c r="K10" s="73"/>
      <c r="L10" s="76"/>
      <c r="M10" s="114">
        <f>K10/G10</f>
        <v>0</v>
      </c>
      <c r="N10" s="225"/>
      <c r="O10" s="384" t="str">
        <f>_xlfn.XLOOKUP(E10,'All Products'!D:D,'All Products'!I:I,FALSE)</f>
        <v>Within 3 Weeks</v>
      </c>
      <c r="P10" s="384" t="str">
        <f>_xlfn.XLOOKUP(E10,'All Products'!D:D,'All Products'!J:J,FALSE)</f>
        <v>Manufactured</v>
      </c>
      <c r="Q10" s="397">
        <f>_xlfn.XLOOKUP(E10,'All Products'!D:D,'All Products'!K:K,FALSE)</f>
        <v>49081140939</v>
      </c>
      <c r="R10" s="397" t="str">
        <f>_xlfn.XLOOKUP(E10,'All Products'!D:D,'All Products'!L:L,FALSE)</f>
        <v>-</v>
      </c>
      <c r="S10" s="397">
        <f>_xlfn.XLOOKUP(E10,'All Products'!D:D,'All Products'!M:M,FALSE)</f>
        <v>40049081140937</v>
      </c>
      <c r="T10" s="384">
        <f>_xlfn.XLOOKUP(E10,'All Products'!D:D,'All Products'!N:N,FALSE)</f>
        <v>0.26900000000000002</v>
      </c>
      <c r="U10" s="384" t="str">
        <f>_xlfn.XLOOKUP(E10,'All Products'!D:D,'All Products'!O:O,FALSE)</f>
        <v>-</v>
      </c>
      <c r="V10" s="384">
        <f>_xlfn.XLOOKUP(E10,'All Products'!D:D,'All Products'!P:P,FALSE)</f>
        <v>7.44</v>
      </c>
      <c r="W10" s="384">
        <f>_xlfn.XLOOKUP(E10,'All Products'!D:D,'All Products'!Q:Q,FALSE)</f>
        <v>0.65</v>
      </c>
    </row>
    <row r="11" spans="1:23" ht="30" customHeight="1">
      <c r="A11" s="101" t="str">
        <f>IF(K11&gt;0,COUNT($A$7:A10)
+COUNT('DWV PVC'!$A$9:$A$316)
+COUNT('DWV ABS'!$A$8:$A$116)
+COUNT('PVC SCH40'!$A$8:$A$424)
+COUNT('PVC SCH40 LD'!$A$8:$A$21)+1,"")</f>
        <v/>
      </c>
      <c r="B11" s="612"/>
      <c r="C11" s="613"/>
      <c r="D11" s="123" t="str">
        <f>_xlfn.XLOOKUP(E11,'All Products'!D:D,'All Products'!C:C,FALSE)</f>
        <v>409-020SW</v>
      </c>
      <c r="E11" s="51">
        <v>100022220</v>
      </c>
      <c r="F11" s="376" t="str">
        <f>_xlfn.XLOOKUP(E11,'All Products'!D:D,'All Products'!E:E,FALSE)</f>
        <v>2 SLIP X SPGT POOL SWP ELL</v>
      </c>
      <c r="G11" s="232">
        <f>_xlfn.XLOOKUP(E11,'All Products'!D:D,'All Products'!F:F,FALSE)</f>
        <v>25</v>
      </c>
      <c r="H11" s="232">
        <f>_xlfn.XLOOKUP(E11,'All Products'!D:D,'All Products'!G:G,FALSE)</f>
        <v>0</v>
      </c>
      <c r="I11" s="394">
        <f>_xlfn.XLOOKUP(E11,'All Products'!D:D,'All Products'!H:H,FALSE)</f>
        <v>14.29</v>
      </c>
      <c r="J11" s="183">
        <f>ROUND(I11*Order_Quote!$L$6,2)</f>
        <v>14.29</v>
      </c>
      <c r="K11" s="73"/>
      <c r="L11" s="76"/>
      <c r="M11" s="114">
        <f>K11/G11</f>
        <v>0</v>
      </c>
      <c r="N11" s="225"/>
      <c r="O11" s="384" t="str">
        <f>_xlfn.XLOOKUP(E11,'All Products'!D:D,'All Products'!I:I,FALSE)</f>
        <v>In Stock</v>
      </c>
      <c r="P11" s="384" t="str">
        <f>_xlfn.XLOOKUP(E11,'All Products'!D:D,'All Products'!J:J,FALSE)</f>
        <v>Manufactured</v>
      </c>
      <c r="Q11" s="397">
        <f>_xlfn.XLOOKUP(E11,'All Products'!D:D,'All Products'!K:K,FALSE)</f>
        <v>49081142292</v>
      </c>
      <c r="R11" s="397" t="str">
        <f>_xlfn.XLOOKUP(E11,'All Products'!D:D,'All Products'!L:L,FALSE)</f>
        <v>-</v>
      </c>
      <c r="S11" s="397">
        <f>_xlfn.XLOOKUP(E11,'All Products'!D:D,'All Products'!M:M,FALSE)</f>
        <v>40049081142290</v>
      </c>
      <c r="T11" s="384">
        <f>_xlfn.XLOOKUP(E11,'All Products'!D:D,'All Products'!N:N,FALSE)</f>
        <v>0.437</v>
      </c>
      <c r="U11" s="384" t="str">
        <f>_xlfn.XLOOKUP(E11,'All Products'!D:D,'All Products'!O:O,FALSE)</f>
        <v>-</v>
      </c>
      <c r="V11" s="384">
        <f>_xlfn.XLOOKUP(E11,'All Products'!D:D,'All Products'!P:P,FALSE)</f>
        <v>11.86</v>
      </c>
      <c r="W11" s="384" t="str">
        <f>_xlfn.XLOOKUP(E11,'All Products'!D:D,'All Products'!Q:Q,FALSE)</f>
        <v>-</v>
      </c>
    </row>
    <row r="12" spans="1:23" ht="15" customHeight="1">
      <c r="A12" s="101">
        <f>MAX(A8:A11)+1</f>
        <v>1</v>
      </c>
    </row>
    <row r="13" spans="1:23" ht="15" customHeight="1"/>
    <row r="14" spans="1:23" ht="15" customHeight="1"/>
    <row r="15" spans="1:23" ht="15" customHeight="1"/>
    <row r="16" spans="1:23"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sheetData>
  <sheetProtection algorithmName="SHA-512" hashValue="xismAJEjaSJiR43auyhF6tbt9wLEqy8XQxGiejVDRnurOoV65Yawh1s1a3i+QuArslrS4h94jg0YTAbvIXWHYQ==" saltValue="CKaruKk6HjGxMHcmCOq3KQ==" spinCount="100000" sheet="1" formatCells="0" formatColumns="0" formatRows="0" insertColumns="0" insertRows="0" insertHyperlinks="0" deleteColumns="0" deleteRows="0" sort="0" autoFilter="0" pivotTables="0"/>
  <mergeCells count="4">
    <mergeCell ref="J2:K3"/>
    <mergeCell ref="Q6:S6"/>
    <mergeCell ref="B8:C9"/>
    <mergeCell ref="B10:C11"/>
  </mergeCells>
  <dataValidations count="5">
    <dataValidation type="whole" operator="greaterThanOrEqual" allowBlank="1" showInputMessage="1" showErrorMessage="1" errorTitle="Invalid entry!" error="An invalid quantity has been entered. Please enter only whole numbers. Click Retry to change entry or Cancel to clear entry." sqref="L7" xr:uid="{6E31AB9D-2E4D-497A-98A9-2C69A86EF4E8}">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L8:L11" xr:uid="{705AB64D-26B1-472D-BDD5-217AE1291F7F}">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BAF84917-4194-48B9-A907-9424EF5456BE}">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1:L6 L12:L63782" xr:uid="{0D7B6865-A773-4106-8A9A-D81013DD5BA1}">
      <formula1>1</formula1>
    </dataValidation>
    <dataValidation allowBlank="1" showErrorMessage="1" sqref="K1:K1048576" xr:uid="{9E85B4BF-35BD-475B-BF6A-C99684916CBC}"/>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07EAD-DA3A-4AD7-B4E4-ED7A9DD81A47}">
  <sheetPr codeName="Sheet18">
    <tabColor theme="0"/>
    <pageSetUpPr fitToPage="1"/>
  </sheetPr>
  <dimension ref="A1:AL688"/>
  <sheetViews>
    <sheetView workbookViewId="0">
      <selection activeCell="B8" sqref="B8:C10"/>
    </sheetView>
  </sheetViews>
  <sheetFormatPr defaultColWidth="0" defaultRowHeight="0" customHeight="1" zeroHeight="1"/>
  <cols>
    <col min="1" max="1" width="2.33203125" style="101" customWidth="1"/>
    <col min="2" max="3" width="8.6640625" style="17" customWidth="1"/>
    <col min="4" max="5" width="12.6640625" style="20" customWidth="1"/>
    <col min="6" max="6" width="50.6640625" style="184" customWidth="1"/>
    <col min="7" max="7" width="10.6640625" style="390" customWidth="1"/>
    <col min="8" max="8" width="10.6640625" style="392" customWidth="1"/>
    <col min="9" max="9" width="10.6640625" style="117" customWidth="1"/>
    <col min="10" max="10" width="10.6640625" style="182" customWidth="1"/>
    <col min="11" max="11" width="10.6640625" style="17" customWidth="1"/>
    <col min="12" max="12" width="1" style="17" customWidth="1"/>
    <col min="13" max="13" width="10.6640625" style="17" customWidth="1"/>
    <col min="14" max="14" width="2.33203125" style="17" customWidth="1"/>
    <col min="15" max="15" width="12.6640625" style="381" customWidth="1"/>
    <col min="16" max="16" width="10.6640625" style="184" customWidth="1"/>
    <col min="17" max="18" width="10.109375" style="395" bestFit="1" customWidth="1"/>
    <col min="19" max="19" width="12.6640625" style="395" bestFit="1" customWidth="1"/>
    <col min="20" max="20" width="10.6640625" style="411" customWidth="1"/>
    <col min="21" max="21" width="10.6640625" style="395" customWidth="1"/>
    <col min="22" max="23" width="10.6640625" style="399" customWidth="1"/>
    <col min="24" max="24" width="9.109375" style="17" customWidth="1"/>
    <col min="25" max="25" width="2.109375" style="17" customWidth="1"/>
    <col min="26" max="26" width="0" style="216" hidden="1" customWidth="1"/>
    <col min="27" max="38" width="0" style="17" hidden="1" customWidth="1"/>
    <col min="39" max="16384" width="9.109375" style="17" hidden="1"/>
  </cols>
  <sheetData>
    <row r="1" spans="1:23" ht="18">
      <c r="F1" s="155" t="s">
        <v>20</v>
      </c>
      <c r="G1" s="403"/>
      <c r="H1" s="391"/>
      <c r="O1" s="276"/>
      <c r="P1" s="198"/>
      <c r="Q1" s="389"/>
      <c r="R1" s="389"/>
      <c r="S1" s="389"/>
      <c r="T1" s="410"/>
      <c r="U1" s="389"/>
      <c r="V1" s="398"/>
      <c r="W1" s="398"/>
    </row>
    <row r="2" spans="1:23" ht="15.75" customHeight="1">
      <c r="D2" s="200"/>
      <c r="E2" s="218"/>
      <c r="J2" s="607" t="s">
        <v>59</v>
      </c>
      <c r="K2" s="607"/>
    </row>
    <row r="3" spans="1:23" ht="14.4">
      <c r="F3" s="323" t="s">
        <v>337</v>
      </c>
      <c r="J3" s="607"/>
      <c r="K3" s="607"/>
    </row>
    <row r="4" spans="1:23" ht="14.4">
      <c r="E4" s="147" t="s">
        <v>5722</v>
      </c>
      <c r="F4" s="327" t="s">
        <v>5978</v>
      </c>
      <c r="P4" s="17"/>
      <c r="Q4" s="321"/>
      <c r="R4" s="321"/>
      <c r="S4" s="321"/>
      <c r="U4" s="321"/>
      <c r="V4" s="352"/>
      <c r="W4" s="352"/>
    </row>
    <row r="5" spans="1:23" ht="14.4">
      <c r="F5" s="325" t="s">
        <v>5973</v>
      </c>
      <c r="P5" s="17"/>
      <c r="Q5" s="321"/>
      <c r="R5" s="321"/>
      <c r="S5" s="321"/>
      <c r="U5" s="321"/>
      <c r="V5" s="352"/>
      <c r="W5" s="352"/>
    </row>
    <row r="6" spans="1:23" ht="14.4">
      <c r="F6" s="17"/>
      <c r="O6" s="381" t="s">
        <v>63</v>
      </c>
      <c r="P6" s="17"/>
      <c r="Q6" s="662" t="s">
        <v>64</v>
      </c>
      <c r="R6" s="662"/>
      <c r="S6" s="662"/>
      <c r="U6" s="321"/>
      <c r="V6" s="352"/>
      <c r="W6" s="352"/>
    </row>
    <row r="7" spans="1:23" ht="36" customHeight="1">
      <c r="A7" s="43"/>
      <c r="B7" s="136"/>
      <c r="C7" s="136"/>
      <c r="D7" s="136" t="s">
        <v>48</v>
      </c>
      <c r="E7" s="136" t="s">
        <v>49</v>
      </c>
      <c r="F7" s="136" t="s">
        <v>50</v>
      </c>
      <c r="G7" s="231" t="s">
        <v>65</v>
      </c>
      <c r="H7" s="378" t="s">
        <v>66</v>
      </c>
      <c r="I7" s="157" t="s">
        <v>51</v>
      </c>
      <c r="J7" s="157" t="s">
        <v>55</v>
      </c>
      <c r="K7" s="158" t="s">
        <v>52</v>
      </c>
      <c r="L7" s="159"/>
      <c r="M7" s="143" t="s">
        <v>67</v>
      </c>
      <c r="O7" s="213" t="s">
        <v>68</v>
      </c>
      <c r="P7" s="213" t="s">
        <v>69</v>
      </c>
      <c r="Q7" s="396" t="s">
        <v>70</v>
      </c>
      <c r="R7" s="396" t="s">
        <v>71</v>
      </c>
      <c r="S7" s="396" t="s">
        <v>72</v>
      </c>
      <c r="T7" s="383" t="s">
        <v>73</v>
      </c>
      <c r="U7" s="396" t="s">
        <v>333</v>
      </c>
      <c r="V7" s="383" t="s">
        <v>328</v>
      </c>
      <c r="W7" s="383" t="s">
        <v>329</v>
      </c>
    </row>
    <row r="8" spans="1:23" ht="30" customHeight="1">
      <c r="A8" s="101" t="str">
        <f>IF(K8&gt;0,COUNT($A$7:A7)
+COUNT('DWV PVC'!$A$9:$A$316)
+COUNT('DWV ABS'!$A$8:$A$116)
+COUNT('PVC SCH40'!$A$8:$A$424)
+COUNT('PVC SCH40 LD'!$A$8:$A$21)
+COUNT('Pool &amp; SPA Sweep Elbows'!$A$8:$A$11)+1,"")</f>
        <v/>
      </c>
      <c r="B8" s="608"/>
      <c r="C8" s="609"/>
      <c r="D8" s="401" t="str">
        <f>_xlfn.XLOOKUP(E8,'All Products'!D:D,'All Products'!C:C,FALSE)</f>
        <v>PX-010</v>
      </c>
      <c r="E8" s="51">
        <v>100022203</v>
      </c>
      <c r="F8" s="402" t="str">
        <f>_xlfn.XLOOKUP(E8,'All Products'!D:D,'All Products'!E:E,FALSE)</f>
        <v>1 PIPE EXTENDER (SPG X PIPE ID)</v>
      </c>
      <c r="G8" s="268">
        <f>_xlfn.XLOOKUP(E8,'All Products'!D:D,'All Products'!F:F,FALSE)</f>
        <v>100</v>
      </c>
      <c r="H8" s="408">
        <f>_xlfn.XLOOKUP(E8,'All Products'!D:D,'All Products'!G:G,FALSE)</f>
        <v>15000</v>
      </c>
      <c r="I8" s="217">
        <f>_xlfn.XLOOKUP(E8,'All Products'!D:D,'All Products'!H:H,FALSE)</f>
        <v>8.44</v>
      </c>
      <c r="J8" s="183">
        <f>ROUND(I8*Order_Quote!$L$7,2)</f>
        <v>8.44</v>
      </c>
      <c r="K8" s="73"/>
      <c r="L8" s="76"/>
      <c r="M8" s="114">
        <f>K8/G8</f>
        <v>0</v>
      </c>
      <c r="N8" s="225"/>
      <c r="O8" s="409" t="str">
        <f>_xlfn.XLOOKUP(E8,'All Products'!D:D,'All Products'!I:I,FALSE)</f>
        <v>In Stock</v>
      </c>
      <c r="P8" s="409" t="str">
        <f>_xlfn.XLOOKUP(E8,'All Products'!D:D,'All Products'!J:J,FALSE)</f>
        <v>Manufactured</v>
      </c>
      <c r="Q8" s="412">
        <f>_xlfn.XLOOKUP(E8,'All Products'!D:D,'All Products'!K:K,FALSE)</f>
        <v>49081005108</v>
      </c>
      <c r="R8" s="412">
        <f>_xlfn.XLOOKUP(E8,'All Products'!D:D,'All Products'!L:L,FALSE)</f>
        <v>49081005306</v>
      </c>
      <c r="S8" s="412">
        <f>_xlfn.XLOOKUP(E8,'All Products'!D:D,'All Products'!M:M,FALSE)</f>
        <v>40049081005106</v>
      </c>
      <c r="T8" s="407">
        <f>_xlfn.XLOOKUP(E8,'All Products'!D:D,'All Products'!N:N,FALSE)</f>
        <v>7.2999999999999995E-2</v>
      </c>
      <c r="U8" s="412">
        <f>_xlfn.XLOOKUP(E8,'All Products'!D:D,'All Products'!O:O,FALSE)</f>
        <v>10</v>
      </c>
      <c r="V8" s="407">
        <f>_xlfn.XLOOKUP(E8,'All Products'!D:D,'All Products'!P:P,FALSE)</f>
        <v>7.25</v>
      </c>
      <c r="W8" s="407">
        <f>_xlfn.XLOOKUP(E8,'All Products'!D:D,'All Products'!Q:Q,FALSE)</f>
        <v>0.5</v>
      </c>
    </row>
    <row r="9" spans="1:23" ht="30" customHeight="1">
      <c r="A9" s="101" t="str">
        <f>IF(K9&gt;0,COUNT($A$7:A8)
+COUNT('DWV PVC'!$A$9:$A$316)
+COUNT('DWV ABS'!$A$8:$A$116)
+COUNT('PVC SCH40'!$A$8:$A$424)
+COUNT('PVC SCH40 LD'!$A$8:$A$21)
+COUNT('Pool &amp; SPA Sweep Elbows'!$A$8:$A$11)+1,"")</f>
        <v/>
      </c>
      <c r="B9" s="610"/>
      <c r="C9" s="611"/>
      <c r="D9" s="401" t="str">
        <f>_xlfn.XLOOKUP(E9,'All Products'!D:D,'All Products'!C:C,FALSE)</f>
        <v>PX-015</v>
      </c>
      <c r="E9" s="51">
        <v>100022208</v>
      </c>
      <c r="F9" s="402" t="str">
        <f>_xlfn.XLOOKUP(E9,'All Products'!D:D,'All Products'!E:E,FALSE)</f>
        <v>1-1/2 PIPE EXTENDER (SPG X PIPE ID)</v>
      </c>
      <c r="G9" s="268">
        <f>_xlfn.XLOOKUP(E9,'All Products'!D:D,'All Products'!F:F,FALSE)</f>
        <v>50</v>
      </c>
      <c r="H9" s="408">
        <f>_xlfn.XLOOKUP(E9,'All Products'!D:D,'All Products'!G:G,FALSE)</f>
        <v>7500</v>
      </c>
      <c r="I9" s="217">
        <f>_xlfn.XLOOKUP(E9,'All Products'!D:D,'All Products'!H:H,FALSE)</f>
        <v>10.210000000000001</v>
      </c>
      <c r="J9" s="183">
        <f>ROUND(I9*Order_Quote!$L$7,2)</f>
        <v>10.210000000000001</v>
      </c>
      <c r="K9" s="73"/>
      <c r="L9" s="76"/>
      <c r="M9" s="114">
        <f>K9/G9</f>
        <v>0</v>
      </c>
      <c r="N9" s="225"/>
      <c r="O9" s="409" t="str">
        <f>_xlfn.XLOOKUP(E9,'All Products'!D:D,'All Products'!I:I,FALSE)</f>
        <v>In Stock</v>
      </c>
      <c r="P9" s="409" t="str">
        <f>_xlfn.XLOOKUP(E9,'All Products'!D:D,'All Products'!J:J,FALSE)</f>
        <v>Manufactured</v>
      </c>
      <c r="Q9" s="412">
        <f>_xlfn.XLOOKUP(E9,'All Products'!D:D,'All Products'!K:K,FALSE)</f>
        <v>49081149802</v>
      </c>
      <c r="R9" s="412">
        <f>_xlfn.XLOOKUP(E9,'All Products'!D:D,'All Products'!L:L,FALSE)</f>
        <v>49081649807</v>
      </c>
      <c r="S9" s="412">
        <f>_xlfn.XLOOKUP(E9,'All Products'!D:D,'All Products'!M:M,FALSE)</f>
        <v>40049081149800</v>
      </c>
      <c r="T9" s="407">
        <f>_xlfn.XLOOKUP(E9,'All Products'!D:D,'All Products'!N:N,FALSE)</f>
        <v>0.14099999999999999</v>
      </c>
      <c r="U9" s="412">
        <f>_xlfn.XLOOKUP(E9,'All Products'!D:D,'All Products'!O:O,FALSE)</f>
        <v>10</v>
      </c>
      <c r="V9" s="407">
        <f>_xlfn.XLOOKUP(E9,'All Products'!D:D,'All Products'!P:P,FALSE)</f>
        <v>7.05</v>
      </c>
      <c r="W9" s="407">
        <f>_xlfn.XLOOKUP(E9,'All Products'!D:D,'All Products'!Q:Q,FALSE)</f>
        <v>0.5</v>
      </c>
    </row>
    <row r="10" spans="1:23" ht="30" customHeight="1">
      <c r="A10" s="101" t="str">
        <f>IF(K10&gt;0,COUNT($A$7:A9)
+COUNT('DWV PVC'!$A$9:$A$316)
+COUNT('DWV ABS'!$A$8:$A$116)
+COUNT('PVC SCH40'!$A$8:$A$424)
+COUNT('PVC SCH40 LD'!$A$8:$A$21)
+COUNT('Pool &amp; SPA Sweep Elbows'!$A$8:$A$11)+1,"")</f>
        <v/>
      </c>
      <c r="B10" s="612"/>
      <c r="C10" s="613"/>
      <c r="D10" s="401" t="str">
        <f>_xlfn.XLOOKUP(E10,'All Products'!D:D,'All Products'!C:C,FALSE)</f>
        <v>PX-020</v>
      </c>
      <c r="E10" s="51">
        <v>100022211</v>
      </c>
      <c r="F10" s="402" t="str">
        <f>_xlfn.XLOOKUP(E10,'All Products'!D:D,'All Products'!E:E,FALSE)</f>
        <v>2 PIPE EXTENDER (SPG X PIPE ID)</v>
      </c>
      <c r="G10" s="268">
        <f>_xlfn.XLOOKUP(E10,'All Products'!D:D,'All Products'!F:F,FALSE)</f>
        <v>25</v>
      </c>
      <c r="H10" s="408">
        <f>_xlfn.XLOOKUP(E10,'All Products'!D:D,'All Products'!G:G,FALSE)</f>
        <v>3750</v>
      </c>
      <c r="I10" s="217">
        <f>_xlfn.XLOOKUP(E10,'All Products'!D:D,'All Products'!H:H,FALSE)</f>
        <v>12.74</v>
      </c>
      <c r="J10" s="183">
        <f>ROUND(I10*Order_Quote!$L$7,2)</f>
        <v>12.74</v>
      </c>
      <c r="K10" s="73"/>
      <c r="L10" s="76"/>
      <c r="M10" s="114">
        <f>K10/G10</f>
        <v>0</v>
      </c>
      <c r="N10" s="225"/>
      <c r="O10" s="409" t="str">
        <f>_xlfn.XLOOKUP(E10,'All Products'!D:D,'All Products'!I:I,FALSE)</f>
        <v>In Stock</v>
      </c>
      <c r="P10" s="409" t="str">
        <f>_xlfn.XLOOKUP(E10,'All Products'!D:D,'All Products'!J:J,FALSE)</f>
        <v>Manufactured</v>
      </c>
      <c r="Q10" s="412">
        <f>_xlfn.XLOOKUP(E10,'All Products'!D:D,'All Products'!K:K,FALSE)</f>
        <v>49081149819</v>
      </c>
      <c r="R10" s="412">
        <f>_xlfn.XLOOKUP(E10,'All Products'!D:D,'All Products'!L:L,FALSE)</f>
        <v>49081649814</v>
      </c>
      <c r="S10" s="412">
        <f>_xlfn.XLOOKUP(E10,'All Products'!D:D,'All Products'!M:M,FALSE)</f>
        <v>40049081149817</v>
      </c>
      <c r="T10" s="407">
        <f>_xlfn.XLOOKUP(E10,'All Products'!D:D,'All Products'!N:N,FALSE)</f>
        <v>0.18</v>
      </c>
      <c r="U10" s="412">
        <f>_xlfn.XLOOKUP(E10,'All Products'!D:D,'All Products'!O:O,FALSE)</f>
        <v>5</v>
      </c>
      <c r="V10" s="407">
        <f>_xlfn.XLOOKUP(E10,'All Products'!D:D,'All Products'!P:P,FALSE)</f>
        <v>5.27</v>
      </c>
      <c r="W10" s="407">
        <f>_xlfn.XLOOKUP(E10,'All Products'!D:D,'All Products'!Q:Q,FALSE)</f>
        <v>0.5</v>
      </c>
    </row>
    <row r="11" spans="1:23" ht="15" customHeight="1">
      <c r="A11" s="101">
        <f>MAX(A8:A10)+1</f>
        <v>1</v>
      </c>
    </row>
    <row r="12" spans="1:23" ht="15" customHeight="1"/>
    <row r="13" spans="1:23" ht="15" customHeight="1"/>
    <row r="14" spans="1:23" ht="15" customHeight="1"/>
    <row r="15" spans="1:23" ht="15" customHeight="1"/>
    <row r="16" spans="1:23"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sheetData>
  <sheetProtection algorithmName="SHA-512" hashValue="Vces5bvrkxLEHyvi9xuYXrsoBO/nol0MKa9Uab33pZ3xHdlgtbQQMVt6nroIXltuzhmZlBGSCc76yyII2BdCDA==" saltValue="LUsc1yPV3uoZQXNH7Kz8cg==" spinCount="100000" sheet="1" formatCells="0" formatColumns="0" formatRows="0" insertColumns="0" insertRows="0" insertHyperlinks="0" deleteColumns="0" deleteRows="0" sort="0" autoFilter="0" pivotTables="0"/>
  <mergeCells count="3">
    <mergeCell ref="J2:K3"/>
    <mergeCell ref="Q6:S6"/>
    <mergeCell ref="B8:C10"/>
  </mergeCells>
  <dataValidations count="5">
    <dataValidation type="whole" operator="greaterThanOrEqual" allowBlank="1" showInputMessage="1" showErrorMessage="1" errorTitle="Invalid Entry!" error="An invalid quantity has been entered. Please enter only whole numbers. Click Retry to change entry or Cancel to clear entry." sqref="L1:L6 L11:L63781" xr:uid="{67EA1D90-C80B-4E27-A9AD-1F4AD575D865}">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77EB4979-1344-48B0-BC33-513ADC65C44B}">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7" xr:uid="{286F1AC1-2472-4BE8-B761-CE1158D6EFD0}">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L8:L10" xr:uid="{C2385267-9813-4235-9E07-288B325C14F3}">
      <formula1>1</formula1>
    </dataValidation>
    <dataValidation allowBlank="1" showErrorMessage="1" sqref="K1:K1048576" xr:uid="{199643E5-87BB-4C28-A637-452EC51BB1FF}"/>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0"/>
    <pageSetUpPr fitToPage="1"/>
  </sheetPr>
  <dimension ref="A1:W524"/>
  <sheetViews>
    <sheetView topLeftCell="A223" workbookViewId="0">
      <selection activeCell="B147" sqref="B147:C174"/>
    </sheetView>
  </sheetViews>
  <sheetFormatPr defaultColWidth="9.109375" defaultRowHeight="14.4" zeroHeight="1"/>
  <cols>
    <col min="1" max="1" width="2.33203125" style="101" customWidth="1"/>
    <col min="2" max="3" width="8.6640625" style="17" customWidth="1"/>
    <col min="4" max="5" width="12.6640625" style="20" customWidth="1"/>
    <col min="6" max="6" width="50.6640625" style="184" customWidth="1"/>
    <col min="7" max="7" width="10.6640625" style="390" customWidth="1"/>
    <col min="8" max="8" width="10.6640625" style="392" customWidth="1"/>
    <col min="9" max="9" width="10.6640625" style="414" customWidth="1"/>
    <col min="10" max="10" width="10.6640625" style="25" customWidth="1"/>
    <col min="11" max="11" width="10.6640625" style="20" customWidth="1"/>
    <col min="12" max="12" width="1.44140625" style="20" customWidth="1"/>
    <col min="13" max="13" width="10.6640625" style="20" customWidth="1"/>
    <col min="14" max="14" width="2.33203125" style="17" customWidth="1"/>
    <col min="15" max="15" width="12.6640625" style="20" customWidth="1"/>
    <col min="16" max="16" width="10.6640625" style="20" customWidth="1"/>
    <col min="17" max="17" width="12.33203125" style="390" bestFit="1" customWidth="1"/>
    <col min="18" max="18" width="11.33203125" style="390" bestFit="1" customWidth="1"/>
    <col min="19" max="19" width="13.109375" style="20" bestFit="1" customWidth="1"/>
    <col min="20" max="20" width="9.109375" style="352" customWidth="1"/>
    <col min="21" max="21" width="9.109375" style="321" customWidth="1"/>
    <col min="22" max="23" width="9.109375" style="352" customWidth="1"/>
    <col min="24" max="25" width="9.109375" style="17" customWidth="1"/>
    <col min="26" max="16384" width="9.109375" style="17"/>
  </cols>
  <sheetData>
    <row r="1" spans="1:23" ht="18">
      <c r="F1" s="155" t="s">
        <v>338</v>
      </c>
      <c r="G1" s="403"/>
      <c r="H1" s="391"/>
      <c r="O1" s="198"/>
      <c r="P1" s="198"/>
      <c r="Q1" s="389"/>
      <c r="R1" s="389"/>
      <c r="S1" s="198"/>
    </row>
    <row r="2" spans="1:23" ht="15.6">
      <c r="D2" s="200"/>
      <c r="E2" s="201"/>
      <c r="J2" s="607" t="s">
        <v>59</v>
      </c>
      <c r="K2" s="607"/>
    </row>
    <row r="3" spans="1:23">
      <c r="F3" s="323" t="s">
        <v>339</v>
      </c>
      <c r="J3" s="607"/>
      <c r="K3" s="607"/>
    </row>
    <row r="4" spans="1:23">
      <c r="E4" s="147" t="s">
        <v>5723</v>
      </c>
      <c r="F4" s="327" t="s">
        <v>5979</v>
      </c>
      <c r="J4" s="21"/>
      <c r="K4" s="17"/>
    </row>
    <row r="5" spans="1:23">
      <c r="F5" s="325" t="s">
        <v>5973</v>
      </c>
      <c r="J5" s="21"/>
      <c r="K5" s="17"/>
    </row>
    <row r="6" spans="1:23" ht="14.25" customHeight="1">
      <c r="J6" s="21"/>
      <c r="K6" s="17"/>
      <c r="O6" s="353" t="s">
        <v>63</v>
      </c>
      <c r="Q6" s="614" t="s">
        <v>64</v>
      </c>
      <c r="R6" s="614"/>
      <c r="S6" s="614"/>
    </row>
    <row r="7" spans="1:23" ht="36" customHeight="1">
      <c r="A7" s="43"/>
      <c r="B7" s="136"/>
      <c r="C7" s="136"/>
      <c r="D7" s="136" t="s">
        <v>48</v>
      </c>
      <c r="E7" s="136" t="s">
        <v>49</v>
      </c>
      <c r="F7" s="136" t="s">
        <v>50</v>
      </c>
      <c r="G7" s="231" t="s">
        <v>65</v>
      </c>
      <c r="H7" s="378" t="s">
        <v>66</v>
      </c>
      <c r="I7" s="393" t="s">
        <v>51</v>
      </c>
      <c r="J7" s="157" t="s">
        <v>55</v>
      </c>
      <c r="K7" s="158" t="s">
        <v>52</v>
      </c>
      <c r="L7" s="159"/>
      <c r="M7" s="143" t="s">
        <v>67</v>
      </c>
      <c r="O7" s="213" t="s">
        <v>68</v>
      </c>
      <c r="P7" s="213" t="s">
        <v>69</v>
      </c>
      <c r="Q7" s="396" t="s">
        <v>70</v>
      </c>
      <c r="R7" s="396" t="s">
        <v>71</v>
      </c>
      <c r="S7" s="213" t="s">
        <v>72</v>
      </c>
      <c r="T7" s="383" t="s">
        <v>73</v>
      </c>
      <c r="U7" s="396" t="s">
        <v>333</v>
      </c>
      <c r="V7" s="383" t="s">
        <v>328</v>
      </c>
      <c r="W7" s="383" t="s">
        <v>329</v>
      </c>
    </row>
    <row r="8" spans="1:23">
      <c r="A8" s="101" t="str">
        <f>IF(K8&gt;0,COUNT($A$7:A7)
+COUNT('DWV PVC'!$A$9:$A$316)
+COUNT('DWV ABS'!$A$8:$A$116)
+COUNT('PVC SCH40'!$A$8:$A$424)
+COUNT('PVC SCH40 LD'!$A$8:$A$21)
+COUNT('Pool &amp; SPA Sweep Elbows'!$A$8:$A$11)
+COUNT('Pool &amp; SPA Pipe Extender'!$A$8:$A$10)+1,"")</f>
        <v/>
      </c>
      <c r="B8" s="608"/>
      <c r="C8" s="609"/>
      <c r="D8" s="142" t="str">
        <f>_xlfn.XLOOKUP(E8,'All Products'!D:D,'All Products'!C:C,FALSE)</f>
        <v>801-002</v>
      </c>
      <c r="E8" s="103">
        <v>100023374</v>
      </c>
      <c r="F8" s="413" t="str">
        <f>_xlfn.XLOOKUP(E8,'All Products'!D:D,'All Products'!E:E,FALSE)</f>
        <v>1/4 TEE SXSXS SCH80</v>
      </c>
      <c r="G8" s="233">
        <f>_xlfn.XLOOKUP(E8,'All Products'!D:D,'All Products'!F:F,FALSE)</f>
        <v>250</v>
      </c>
      <c r="H8" s="196">
        <f>_xlfn.XLOOKUP(E8,'All Products'!D:D,'All Products'!G:G,FALSE)</f>
        <v>22500</v>
      </c>
      <c r="I8" s="415">
        <f>_xlfn.XLOOKUP(E8,'All Products'!D:D,'All Products'!H:H,FALSE)</f>
        <v>23.35</v>
      </c>
      <c r="J8" s="130">
        <f>ROUND(I8*Order_Quote!$L$8,2)</f>
        <v>23.35</v>
      </c>
      <c r="K8" s="75"/>
      <c r="L8" s="113"/>
      <c r="M8" s="171">
        <f t="shared" ref="M8:M32" si="0">K8/G8</f>
        <v>0</v>
      </c>
      <c r="O8" s="265" t="str">
        <f>_xlfn.XLOOKUP(E8,'All Products'!D:D,'All Products'!I:I,FALSE)</f>
        <v>In Stock</v>
      </c>
      <c r="P8" s="265" t="str">
        <f>_xlfn.XLOOKUP(E8,'All Products'!D:D,'All Products'!J:J,FALSE)</f>
        <v>Manufactured</v>
      </c>
      <c r="Q8" s="266">
        <f>_xlfn.XLOOKUP(E8,'All Products'!D:D,'All Products'!K:K,FALSE)</f>
        <v>49081166069</v>
      </c>
      <c r="R8" s="266">
        <f>_xlfn.XLOOKUP(E8,'All Products'!D:D,'All Products'!L:L,FALSE)</f>
        <v>49081666064</v>
      </c>
      <c r="S8" s="266">
        <f>_xlfn.XLOOKUP(E8,'All Products'!D:D,'All Products'!M:M,FALSE)</f>
        <v>40049081166067</v>
      </c>
      <c r="T8" s="265">
        <f>_xlfn.XLOOKUP(E8,'All Products'!D:D,'All Products'!N:N,FALSE)</f>
        <v>7.0000000000000007E-2</v>
      </c>
      <c r="U8" s="266">
        <f>_xlfn.XLOOKUP(E8,'All Products'!D:D,'All Products'!O:O,FALSE)</f>
        <v>10</v>
      </c>
      <c r="V8" s="265">
        <f>_xlfn.XLOOKUP(E8,'All Products'!D:D,'All Products'!P:P,FALSE)</f>
        <v>17.55</v>
      </c>
      <c r="W8" s="265">
        <f>_xlfn.XLOOKUP(E8,'All Products'!D:D,'All Products'!Q:Q,FALSE)</f>
        <v>0.8</v>
      </c>
    </row>
    <row r="9" spans="1:23">
      <c r="A9" s="101" t="str">
        <f>IF(K9&gt;0,COUNT($A$7:A8)
+COUNT('DWV PVC'!$A$9:$A$316)
+COUNT('DWV ABS'!$A$8:$A$116)
+COUNT('PVC SCH40'!$A$8:$A$424)
+COUNT('PVC SCH40 LD'!$A$8:$A$21)
+COUNT('Pool &amp; SPA Sweep Elbows'!$A$8:$A$11)
+COUNT('Pool &amp; SPA Pipe Extender'!$A$8:$A$10)+1,"")</f>
        <v/>
      </c>
      <c r="B9" s="610"/>
      <c r="C9" s="611"/>
      <c r="D9" s="142" t="str">
        <f>_xlfn.XLOOKUP(E9,'All Products'!D:D,'All Products'!C:C,FALSE)</f>
        <v>801-003</v>
      </c>
      <c r="E9" s="103">
        <v>100023474</v>
      </c>
      <c r="F9" s="413" t="str">
        <f>_xlfn.XLOOKUP(E9,'All Products'!D:D,'All Products'!E:E,FALSE)</f>
        <v>3/8 TEE SXSXS SCH80</v>
      </c>
      <c r="G9" s="233">
        <f>_xlfn.XLOOKUP(E9,'All Products'!D:D,'All Products'!F:F,FALSE)</f>
        <v>250</v>
      </c>
      <c r="H9" s="196">
        <f>_xlfn.XLOOKUP(E9,'All Products'!D:D,'All Products'!G:G,FALSE)</f>
        <v>18750</v>
      </c>
      <c r="I9" s="415">
        <f>_xlfn.XLOOKUP(E9,'All Products'!D:D,'All Products'!H:H,FALSE)</f>
        <v>23.35</v>
      </c>
      <c r="J9" s="130">
        <f>ROUND(I9*Order_Quote!$L$8,2)</f>
        <v>23.35</v>
      </c>
      <c r="K9" s="75"/>
      <c r="L9" s="113"/>
      <c r="M9" s="171">
        <f t="shared" si="0"/>
        <v>0</v>
      </c>
      <c r="O9" s="265" t="str">
        <f>_xlfn.XLOOKUP(E9,'All Products'!D:D,'All Products'!I:I,FALSE)</f>
        <v>Within 3 Weeks</v>
      </c>
      <c r="P9" s="265" t="str">
        <f>_xlfn.XLOOKUP(E9,'All Products'!D:D,'All Products'!J:J,FALSE)</f>
        <v>Manufactured</v>
      </c>
      <c r="Q9" s="266">
        <f>_xlfn.XLOOKUP(E9,'All Products'!D:D,'All Products'!K:K,FALSE)</f>
        <v>49081166083</v>
      </c>
      <c r="R9" s="266">
        <f>_xlfn.XLOOKUP(E9,'All Products'!D:D,'All Products'!L:L,FALSE)</f>
        <v>49081666088</v>
      </c>
      <c r="S9" s="266">
        <f>_xlfn.XLOOKUP(E9,'All Products'!D:D,'All Products'!M:M,FALSE)</f>
        <v>40049081166081</v>
      </c>
      <c r="T9" s="265">
        <f>_xlfn.XLOOKUP(E9,'All Products'!D:D,'All Products'!N:N,FALSE)</f>
        <v>9.9000000000000005E-2</v>
      </c>
      <c r="U9" s="266">
        <f>_xlfn.XLOOKUP(E9,'All Products'!D:D,'All Products'!O:O,FALSE)</f>
        <v>10</v>
      </c>
      <c r="V9" s="265">
        <f>_xlfn.XLOOKUP(E9,'All Products'!D:D,'All Products'!P:P,FALSE)</f>
        <v>24.8</v>
      </c>
      <c r="W9" s="265">
        <f>_xlfn.XLOOKUP(E9,'All Products'!D:D,'All Products'!Q:Q,FALSE)</f>
        <v>1.1000000000000001</v>
      </c>
    </row>
    <row r="10" spans="1:23">
      <c r="A10" s="101" t="str">
        <f>IF(K10&gt;0,COUNT($A$7:A9)
+COUNT('DWV PVC'!$A$9:$A$316)
+COUNT('DWV ABS'!$A$8:$A$116)
+COUNT('PVC SCH40'!$A$8:$A$424)
+COUNT('PVC SCH40 LD'!$A$8:$A$21)
+COUNT('Pool &amp; SPA Sweep Elbows'!$A$8:$A$11)
+COUNT('Pool &amp; SPA Pipe Extender'!$A$8:$A$10)+1,"")</f>
        <v/>
      </c>
      <c r="B10" s="610"/>
      <c r="C10" s="611"/>
      <c r="D10" s="142" t="str">
        <f>_xlfn.XLOOKUP(E10,'All Products'!D:D,'All Products'!C:C,FALSE)</f>
        <v>801-005</v>
      </c>
      <c r="E10" s="103">
        <v>100023475</v>
      </c>
      <c r="F10" s="413" t="str">
        <f>_xlfn.XLOOKUP(E10,'All Products'!D:D,'All Products'!E:E,FALSE)</f>
        <v>1/2 TEE SXSXS SCH80</v>
      </c>
      <c r="G10" s="233">
        <f>_xlfn.XLOOKUP(E10,'All Products'!D:D,'All Products'!F:F,FALSE)</f>
        <v>200</v>
      </c>
      <c r="H10" s="196">
        <f>_xlfn.XLOOKUP(E10,'All Products'!D:D,'All Products'!G:G,FALSE)</f>
        <v>12000</v>
      </c>
      <c r="I10" s="415">
        <f>_xlfn.XLOOKUP(E10,'All Products'!D:D,'All Products'!H:H,FALSE)</f>
        <v>23.35</v>
      </c>
      <c r="J10" s="130">
        <f>ROUND(I10*Order_Quote!$L$8,2)</f>
        <v>23.35</v>
      </c>
      <c r="K10" s="75"/>
      <c r="L10" s="113"/>
      <c r="M10" s="171">
        <f t="shared" si="0"/>
        <v>0</v>
      </c>
      <c r="O10" s="265" t="str">
        <f>_xlfn.XLOOKUP(E10,'All Products'!D:D,'All Products'!I:I,FALSE)</f>
        <v>In Stock</v>
      </c>
      <c r="P10" s="265" t="str">
        <f>_xlfn.XLOOKUP(E10,'All Products'!D:D,'All Products'!J:J,FALSE)</f>
        <v>Manufactured</v>
      </c>
      <c r="Q10" s="266">
        <f>_xlfn.XLOOKUP(E10,'All Products'!D:D,'All Products'!K:K,FALSE)</f>
        <v>49081166120</v>
      </c>
      <c r="R10" s="266">
        <f>_xlfn.XLOOKUP(E10,'All Products'!D:D,'All Products'!L:L,FALSE)</f>
        <v>49081666125</v>
      </c>
      <c r="S10" s="266">
        <f>_xlfn.XLOOKUP(E10,'All Products'!D:D,'All Products'!M:M,FALSE)</f>
        <v>40049081166128</v>
      </c>
      <c r="T10" s="265">
        <f>_xlfn.XLOOKUP(E10,'All Products'!D:D,'All Products'!N:N,FALSE)</f>
        <v>0.13500000000000001</v>
      </c>
      <c r="U10" s="266">
        <f>_xlfn.XLOOKUP(E10,'All Products'!D:D,'All Products'!O:O,FALSE)</f>
        <v>10</v>
      </c>
      <c r="V10" s="265">
        <f>_xlfn.XLOOKUP(E10,'All Products'!D:D,'All Products'!P:P,FALSE)</f>
        <v>27.1</v>
      </c>
      <c r="W10" s="265">
        <f>_xlfn.XLOOKUP(E10,'All Products'!D:D,'All Products'!Q:Q,FALSE)</f>
        <v>1.25</v>
      </c>
    </row>
    <row r="11" spans="1:23">
      <c r="A11" s="101" t="str">
        <f>IF(K11&gt;0,COUNT($A$7:A10)
+COUNT('DWV PVC'!$A$9:$A$316)
+COUNT('DWV ABS'!$A$8:$A$116)
+COUNT('PVC SCH40'!$A$8:$A$424)
+COUNT('PVC SCH40 LD'!$A$8:$A$21)
+COUNT('Pool &amp; SPA Sweep Elbows'!$A$8:$A$11)
+COUNT('Pool &amp; SPA Pipe Extender'!$A$8:$A$10)+1,"")</f>
        <v/>
      </c>
      <c r="B11" s="610"/>
      <c r="C11" s="611"/>
      <c r="D11" s="142" t="str">
        <f>_xlfn.XLOOKUP(E11,'All Products'!D:D,'All Products'!C:C,FALSE)</f>
        <v>801-007</v>
      </c>
      <c r="E11" s="103">
        <v>100023476</v>
      </c>
      <c r="F11" s="413" t="str">
        <f>_xlfn.XLOOKUP(E11,'All Products'!D:D,'All Products'!E:E,FALSE)</f>
        <v>3/4 TEE SXSXS SCH80</v>
      </c>
      <c r="G11" s="233">
        <f>_xlfn.XLOOKUP(E11,'All Products'!D:D,'All Products'!F:F,FALSE)</f>
        <v>100</v>
      </c>
      <c r="H11" s="196">
        <f>_xlfn.XLOOKUP(E11,'All Products'!D:D,'All Products'!G:G,FALSE)</f>
        <v>7500</v>
      </c>
      <c r="I11" s="415">
        <f>_xlfn.XLOOKUP(E11,'All Products'!D:D,'All Products'!H:H,FALSE)</f>
        <v>24.47</v>
      </c>
      <c r="J11" s="130">
        <f>ROUND(I11*Order_Quote!$L$8,2)</f>
        <v>24.47</v>
      </c>
      <c r="K11" s="75"/>
      <c r="L11" s="113"/>
      <c r="M11" s="171">
        <f t="shared" si="0"/>
        <v>0</v>
      </c>
      <c r="O11" s="265" t="str">
        <f>_xlfn.XLOOKUP(E11,'All Products'!D:D,'All Products'!I:I,FALSE)</f>
        <v>In Stock</v>
      </c>
      <c r="P11" s="265" t="str">
        <f>_xlfn.XLOOKUP(E11,'All Products'!D:D,'All Products'!J:J,FALSE)</f>
        <v>Manufactured</v>
      </c>
      <c r="Q11" s="266">
        <f>_xlfn.XLOOKUP(E11,'All Products'!D:D,'All Products'!K:K,FALSE)</f>
        <v>49081166182</v>
      </c>
      <c r="R11" s="266">
        <f>_xlfn.XLOOKUP(E11,'All Products'!D:D,'All Products'!L:L,FALSE)</f>
        <v>49081666187</v>
      </c>
      <c r="S11" s="266">
        <f>_xlfn.XLOOKUP(E11,'All Products'!D:D,'All Products'!M:M,FALSE)</f>
        <v>40049081166180</v>
      </c>
      <c r="T11" s="265">
        <f>_xlfn.XLOOKUP(E11,'All Products'!D:D,'All Products'!N:N,FALSE)</f>
        <v>0.16300000000000001</v>
      </c>
      <c r="U11" s="266">
        <f>_xlfn.XLOOKUP(E11,'All Products'!D:D,'All Products'!O:O,FALSE)</f>
        <v>10</v>
      </c>
      <c r="V11" s="265">
        <f>_xlfn.XLOOKUP(E11,'All Products'!D:D,'All Products'!P:P,FALSE)</f>
        <v>16.3</v>
      </c>
      <c r="W11" s="265">
        <f>_xlfn.XLOOKUP(E11,'All Products'!D:D,'All Products'!Q:Q,FALSE)</f>
        <v>0.95</v>
      </c>
    </row>
    <row r="12" spans="1:23">
      <c r="A12" s="101" t="str">
        <f>IF(K12&gt;0,COUNT($A$7:A11)
+COUNT('DWV PVC'!$A$9:$A$316)
+COUNT('DWV ABS'!$A$8:$A$116)
+COUNT('PVC SCH40'!$A$8:$A$424)
+COUNT('PVC SCH40 LD'!$A$8:$A$21)
+COUNT('Pool &amp; SPA Sweep Elbows'!$A$8:$A$11)
+COUNT('Pool &amp; SPA Pipe Extender'!$A$8:$A$10)+1,"")</f>
        <v/>
      </c>
      <c r="B12" s="610"/>
      <c r="C12" s="611"/>
      <c r="D12" s="142" t="str">
        <f>_xlfn.XLOOKUP(E12,'All Products'!D:D,'All Products'!C:C,FALSE)</f>
        <v>801-010</v>
      </c>
      <c r="E12" s="103">
        <v>100023477</v>
      </c>
      <c r="F12" s="413" t="str">
        <f>_xlfn.XLOOKUP(E12,'All Products'!D:D,'All Products'!E:E,FALSE)</f>
        <v>1 TEE SXSXS SCH80</v>
      </c>
      <c r="G12" s="233">
        <f>_xlfn.XLOOKUP(E12,'All Products'!D:D,'All Products'!F:F,FALSE)</f>
        <v>50</v>
      </c>
      <c r="H12" s="196">
        <f>_xlfn.XLOOKUP(E12,'All Products'!D:D,'All Products'!G:G,FALSE)</f>
        <v>4500</v>
      </c>
      <c r="I12" s="415">
        <f>_xlfn.XLOOKUP(E12,'All Products'!D:D,'All Products'!H:H,FALSE)</f>
        <v>30.65</v>
      </c>
      <c r="J12" s="130">
        <f>ROUND(I12*Order_Quote!$L$8,2)</f>
        <v>30.65</v>
      </c>
      <c r="K12" s="75"/>
      <c r="L12" s="113"/>
      <c r="M12" s="171">
        <f t="shared" si="0"/>
        <v>0</v>
      </c>
      <c r="O12" s="265" t="str">
        <f>_xlfn.XLOOKUP(E12,'All Products'!D:D,'All Products'!I:I,FALSE)</f>
        <v>In Stock</v>
      </c>
      <c r="P12" s="265" t="str">
        <f>_xlfn.XLOOKUP(E12,'All Products'!D:D,'All Products'!J:J,FALSE)</f>
        <v>Manufactured</v>
      </c>
      <c r="Q12" s="266">
        <f>_xlfn.XLOOKUP(E12,'All Products'!D:D,'All Products'!K:K,FALSE)</f>
        <v>49081166281</v>
      </c>
      <c r="R12" s="266">
        <f>_xlfn.XLOOKUP(E12,'All Products'!D:D,'All Products'!L:L,FALSE)</f>
        <v>49081666286</v>
      </c>
      <c r="S12" s="266">
        <f>_xlfn.XLOOKUP(E12,'All Products'!D:D,'All Products'!M:M,FALSE)</f>
        <v>40049081166289</v>
      </c>
      <c r="T12" s="265">
        <f>_xlfn.XLOOKUP(E12,'All Products'!D:D,'All Products'!N:N,FALSE)</f>
        <v>0.252</v>
      </c>
      <c r="U12" s="266">
        <f>_xlfn.XLOOKUP(E12,'All Products'!D:D,'All Products'!O:O,FALSE)</f>
        <v>10</v>
      </c>
      <c r="V12" s="265">
        <f>_xlfn.XLOOKUP(E12,'All Products'!D:D,'All Products'!P:P,FALSE)</f>
        <v>13.4</v>
      </c>
      <c r="W12" s="265">
        <f>_xlfn.XLOOKUP(E12,'All Products'!D:D,'All Products'!Q:Q,FALSE)</f>
        <v>0.8</v>
      </c>
    </row>
    <row r="13" spans="1:23">
      <c r="A13" s="101" t="str">
        <f>IF(K13&gt;0,COUNT($A$7:A12)
+COUNT('DWV PVC'!$A$9:$A$316)
+COUNT('DWV ABS'!$A$8:$A$116)
+COUNT('PVC SCH40'!$A$8:$A$424)
+COUNT('PVC SCH40 LD'!$A$8:$A$21)
+COUNT('Pool &amp; SPA Sweep Elbows'!$A$8:$A$11)
+COUNT('Pool &amp; SPA Pipe Extender'!$A$8:$A$10)+1,"")</f>
        <v/>
      </c>
      <c r="B13" s="610"/>
      <c r="C13" s="611"/>
      <c r="D13" s="142" t="str">
        <f>_xlfn.XLOOKUP(E13,'All Products'!D:D,'All Products'!C:C,FALSE)</f>
        <v>801-012</v>
      </c>
      <c r="E13" s="103">
        <v>100023478</v>
      </c>
      <c r="F13" s="413" t="str">
        <f>_xlfn.XLOOKUP(E13,'All Products'!D:D,'All Products'!E:E,FALSE)</f>
        <v>1-1/4 TEE SXSXS SCH80</v>
      </c>
      <c r="G13" s="233">
        <f>_xlfn.XLOOKUP(E13,'All Products'!D:D,'All Products'!F:F,FALSE)</f>
        <v>50</v>
      </c>
      <c r="H13" s="196">
        <f>_xlfn.XLOOKUP(E13,'All Products'!D:D,'All Products'!G:G,FALSE)</f>
        <v>3000</v>
      </c>
      <c r="I13" s="415">
        <f>_xlfn.XLOOKUP(E13,'All Products'!D:D,'All Products'!H:H,FALSE)</f>
        <v>84.11</v>
      </c>
      <c r="J13" s="130">
        <f>ROUND(I13*Order_Quote!$L$8,2)</f>
        <v>84.11</v>
      </c>
      <c r="K13" s="75"/>
      <c r="L13" s="113"/>
      <c r="M13" s="171">
        <f t="shared" si="0"/>
        <v>0</v>
      </c>
      <c r="O13" s="265" t="str">
        <f>_xlfn.XLOOKUP(E13,'All Products'!D:D,'All Products'!I:I,FALSE)</f>
        <v>In Stock</v>
      </c>
      <c r="P13" s="265" t="str">
        <f>_xlfn.XLOOKUP(E13,'All Products'!D:D,'All Products'!J:J,FALSE)</f>
        <v>Manufactured</v>
      </c>
      <c r="Q13" s="266">
        <f>_xlfn.XLOOKUP(E13,'All Products'!D:D,'All Products'!K:K,FALSE)</f>
        <v>49081166502</v>
      </c>
      <c r="R13" s="266">
        <f>_xlfn.XLOOKUP(E13,'All Products'!D:D,'All Products'!L:L,FALSE)</f>
        <v>49081666507</v>
      </c>
      <c r="S13" s="266">
        <f>_xlfn.XLOOKUP(E13,'All Products'!D:D,'All Products'!M:M,FALSE)</f>
        <v>40049081166500</v>
      </c>
      <c r="T13" s="265">
        <f>_xlfn.XLOOKUP(E13,'All Products'!D:D,'All Products'!N:N,FALSE)</f>
        <v>0.433</v>
      </c>
      <c r="U13" s="266">
        <f>_xlfn.XLOOKUP(E13,'All Products'!D:D,'All Products'!O:O,FALSE)</f>
        <v>5</v>
      </c>
      <c r="V13" s="265">
        <f>_xlfn.XLOOKUP(E13,'All Products'!D:D,'All Products'!P:P,FALSE)</f>
        <v>21.64</v>
      </c>
      <c r="W13" s="265">
        <f>_xlfn.XLOOKUP(E13,'All Products'!D:D,'All Products'!Q:Q,FALSE)</f>
        <v>1.41</v>
      </c>
    </row>
    <row r="14" spans="1:23">
      <c r="A14" s="101" t="str">
        <f>IF(K14&gt;0,COUNT($A$7:A13)
+COUNT('DWV PVC'!$A$9:$A$316)
+COUNT('DWV ABS'!$A$8:$A$116)
+COUNT('PVC SCH40'!$A$8:$A$424)
+COUNT('PVC SCH40 LD'!$A$8:$A$21)
+COUNT('Pool &amp; SPA Sweep Elbows'!$A$8:$A$11)
+COUNT('Pool &amp; SPA Pipe Extender'!$A$8:$A$10)+1,"")</f>
        <v/>
      </c>
      <c r="B14" s="610"/>
      <c r="C14" s="611"/>
      <c r="D14" s="142" t="str">
        <f>_xlfn.XLOOKUP(E14,'All Products'!D:D,'All Products'!C:C,FALSE)</f>
        <v>801-015</v>
      </c>
      <c r="E14" s="103">
        <v>100023479</v>
      </c>
      <c r="F14" s="413" t="str">
        <f>_xlfn.XLOOKUP(E14,'All Products'!D:D,'All Products'!E:E,FALSE)</f>
        <v>1-1/2 TEE SXSXS SCH80</v>
      </c>
      <c r="G14" s="233">
        <f>_xlfn.XLOOKUP(E14,'All Products'!D:D,'All Products'!F:F,FALSE)</f>
        <v>25</v>
      </c>
      <c r="H14" s="196">
        <f>_xlfn.XLOOKUP(E14,'All Products'!D:D,'All Products'!G:G,FALSE)</f>
        <v>1875</v>
      </c>
      <c r="I14" s="415">
        <f>_xlfn.XLOOKUP(E14,'All Products'!D:D,'All Products'!H:H,FALSE)</f>
        <v>84.11</v>
      </c>
      <c r="J14" s="130">
        <f>ROUND(I14*Order_Quote!$L$8,2)</f>
        <v>84.11</v>
      </c>
      <c r="K14" s="75"/>
      <c r="L14" s="113"/>
      <c r="M14" s="171">
        <f t="shared" si="0"/>
        <v>0</v>
      </c>
      <c r="O14" s="265" t="str">
        <f>_xlfn.XLOOKUP(E14,'All Products'!D:D,'All Products'!I:I,FALSE)</f>
        <v>In Stock</v>
      </c>
      <c r="P14" s="265" t="str">
        <f>_xlfn.XLOOKUP(E14,'All Products'!D:D,'All Products'!J:J,FALSE)</f>
        <v>Manufactured</v>
      </c>
      <c r="Q14" s="266">
        <f>_xlfn.XLOOKUP(E14,'All Products'!D:D,'All Products'!K:K,FALSE)</f>
        <v>49081166762</v>
      </c>
      <c r="R14" s="266">
        <f>_xlfn.XLOOKUP(E14,'All Products'!D:D,'All Products'!L:L,FALSE)</f>
        <v>49081666767</v>
      </c>
      <c r="S14" s="266">
        <f>_xlfn.XLOOKUP(E14,'All Products'!D:D,'All Products'!M:M,FALSE)</f>
        <v>40049081166760</v>
      </c>
      <c r="T14" s="265">
        <f>_xlfn.XLOOKUP(E14,'All Products'!D:D,'All Products'!N:N,FALSE)</f>
        <v>0.48</v>
      </c>
      <c r="U14" s="266">
        <f>_xlfn.XLOOKUP(E14,'All Products'!D:D,'All Products'!O:O,FALSE)</f>
        <v>5</v>
      </c>
      <c r="V14" s="265">
        <f>_xlfn.XLOOKUP(E14,'All Products'!D:D,'All Products'!P:P,FALSE)</f>
        <v>12.85</v>
      </c>
      <c r="W14" s="265">
        <f>_xlfn.XLOOKUP(E14,'All Products'!D:D,'All Products'!Q:Q,FALSE)</f>
        <v>0.95</v>
      </c>
    </row>
    <row r="15" spans="1:23">
      <c r="A15" s="101" t="str">
        <f>IF(K15&gt;0,COUNT($A$7:A14)
+COUNT('DWV PVC'!$A$9:$A$316)
+COUNT('DWV ABS'!$A$8:$A$116)
+COUNT('PVC SCH40'!$A$8:$A$424)
+COUNT('PVC SCH40 LD'!$A$8:$A$21)
+COUNT('Pool &amp; SPA Sweep Elbows'!$A$8:$A$11)
+COUNT('Pool &amp; SPA Pipe Extender'!$A$8:$A$10)+1,"")</f>
        <v/>
      </c>
      <c r="B15" s="610"/>
      <c r="C15" s="611"/>
      <c r="D15" s="142" t="str">
        <f>_xlfn.XLOOKUP(E15,'All Products'!D:D,'All Products'!C:C,FALSE)</f>
        <v>801-020</v>
      </c>
      <c r="E15" s="103">
        <v>100023480</v>
      </c>
      <c r="F15" s="413" t="str">
        <f>_xlfn.XLOOKUP(E15,'All Products'!D:D,'All Products'!E:E,FALSE)</f>
        <v>2 TEE SXSXS SCH80</v>
      </c>
      <c r="G15" s="233">
        <f>_xlfn.XLOOKUP(E15,'All Products'!D:D,'All Products'!F:F,FALSE)</f>
        <v>10</v>
      </c>
      <c r="H15" s="196">
        <f>_xlfn.XLOOKUP(E15,'All Products'!D:D,'All Products'!G:G,FALSE)</f>
        <v>900</v>
      </c>
      <c r="I15" s="415">
        <f>_xlfn.XLOOKUP(E15,'All Products'!D:D,'All Products'!H:H,FALSE)</f>
        <v>105.21</v>
      </c>
      <c r="J15" s="130">
        <f>ROUND(I15*Order_Quote!$L$8,2)</f>
        <v>105.21</v>
      </c>
      <c r="K15" s="75"/>
      <c r="L15" s="113"/>
      <c r="M15" s="171">
        <f t="shared" si="0"/>
        <v>0</v>
      </c>
      <c r="O15" s="265" t="str">
        <f>_xlfn.XLOOKUP(E15,'All Products'!D:D,'All Products'!I:I,FALSE)</f>
        <v>In Stock</v>
      </c>
      <c r="P15" s="265" t="str">
        <f>_xlfn.XLOOKUP(E15,'All Products'!D:D,'All Products'!J:J,FALSE)</f>
        <v>Manufactured</v>
      </c>
      <c r="Q15" s="266">
        <f>_xlfn.XLOOKUP(E15,'All Products'!D:D,'All Products'!K:K,FALSE)</f>
        <v>49081167141</v>
      </c>
      <c r="R15" s="266" t="str">
        <f>_xlfn.XLOOKUP(E15,'All Products'!D:D,'All Products'!L:L,FALSE)</f>
        <v>-</v>
      </c>
      <c r="S15" s="266">
        <f>_xlfn.XLOOKUP(E15,'All Products'!D:D,'All Products'!M:M,FALSE)</f>
        <v>40049081167149</v>
      </c>
      <c r="T15" s="265">
        <f>_xlfn.XLOOKUP(E15,'All Products'!D:D,'All Products'!N:N,FALSE)</f>
        <v>0.77900000000000003</v>
      </c>
      <c r="U15" s="266" t="str">
        <f>_xlfn.XLOOKUP(E15,'All Products'!D:D,'All Products'!O:O,FALSE)</f>
        <v>-</v>
      </c>
      <c r="V15" s="265">
        <f>_xlfn.XLOOKUP(E15,'All Products'!D:D,'All Products'!P:P,FALSE)</f>
        <v>8.6199999999999992</v>
      </c>
      <c r="W15" s="265">
        <f>_xlfn.XLOOKUP(E15,'All Products'!D:D,'All Products'!Q:Q,FALSE)</f>
        <v>0.8</v>
      </c>
    </row>
    <row r="16" spans="1:23">
      <c r="A16" s="101" t="str">
        <f>IF(K16&gt;0,COUNT($A$7:A15)
+COUNT('DWV PVC'!$A$9:$A$316)
+COUNT('DWV ABS'!$A$8:$A$116)
+COUNT('PVC SCH40'!$A$8:$A$424)
+COUNT('PVC SCH40 LD'!$A$8:$A$21)
+COUNT('Pool &amp; SPA Sweep Elbows'!$A$8:$A$11)
+COUNT('Pool &amp; SPA Pipe Extender'!$A$8:$A$10)+1,"")</f>
        <v/>
      </c>
      <c r="B16" s="610"/>
      <c r="C16" s="611"/>
      <c r="D16" s="142" t="str">
        <f>_xlfn.XLOOKUP(E16,'All Products'!D:D,'All Products'!C:C,FALSE)</f>
        <v>801-025</v>
      </c>
      <c r="E16" s="103">
        <v>100023481</v>
      </c>
      <c r="F16" s="413" t="str">
        <f>_xlfn.XLOOKUP(E16,'All Products'!D:D,'All Products'!E:E,FALSE)</f>
        <v>2-1/2 TEE SXSXS SCH80</v>
      </c>
      <c r="G16" s="233">
        <f>_xlfn.XLOOKUP(E16,'All Products'!D:D,'All Products'!F:F,FALSE)</f>
        <v>10</v>
      </c>
      <c r="H16" s="196">
        <f>_xlfn.XLOOKUP(E16,'All Products'!D:D,'All Products'!G:G,FALSE)</f>
        <v>750</v>
      </c>
      <c r="I16" s="415">
        <f>_xlfn.XLOOKUP(E16,'All Products'!D:D,'All Products'!H:H,FALSE)</f>
        <v>114.37</v>
      </c>
      <c r="J16" s="130">
        <f>ROUND(I16*Order_Quote!$L$8,2)</f>
        <v>114.37</v>
      </c>
      <c r="K16" s="75"/>
      <c r="L16" s="113"/>
      <c r="M16" s="171">
        <f t="shared" si="0"/>
        <v>0</v>
      </c>
      <c r="O16" s="265" t="str">
        <f>_xlfn.XLOOKUP(E16,'All Products'!D:D,'All Products'!I:I,FALSE)</f>
        <v>In Stock</v>
      </c>
      <c r="P16" s="265" t="str">
        <f>_xlfn.XLOOKUP(E16,'All Products'!D:D,'All Products'!J:J,FALSE)</f>
        <v>Manufactured</v>
      </c>
      <c r="Q16" s="266">
        <f>_xlfn.XLOOKUP(E16,'All Products'!D:D,'All Products'!K:K,FALSE)</f>
        <v>49081167462</v>
      </c>
      <c r="R16" s="266" t="str">
        <f>_xlfn.XLOOKUP(E16,'All Products'!D:D,'All Products'!L:L,FALSE)</f>
        <v>-</v>
      </c>
      <c r="S16" s="266">
        <f>_xlfn.XLOOKUP(E16,'All Products'!D:D,'All Products'!M:M,FALSE)</f>
        <v>40049081167460</v>
      </c>
      <c r="T16" s="265">
        <f>_xlfn.XLOOKUP(E16,'All Products'!D:D,'All Products'!N:N,FALSE)</f>
        <v>1.3560000000000001</v>
      </c>
      <c r="U16" s="266" t="str">
        <f>_xlfn.XLOOKUP(E16,'All Products'!D:D,'All Products'!O:O,FALSE)</f>
        <v>-</v>
      </c>
      <c r="V16" s="265">
        <f>_xlfn.XLOOKUP(E16,'All Products'!D:D,'All Products'!P:P,FALSE)</f>
        <v>14.64</v>
      </c>
      <c r="W16" s="265">
        <f>_xlfn.XLOOKUP(E16,'All Products'!D:D,'All Products'!Q:Q,FALSE)</f>
        <v>0.95</v>
      </c>
    </row>
    <row r="17" spans="1:23">
      <c r="A17" s="101" t="str">
        <f>IF(K17&gt;0,COUNT($A$7:A16)
+COUNT('DWV PVC'!$A$9:$A$316)
+COUNT('DWV ABS'!$A$8:$A$116)
+COUNT('PVC SCH40'!$A$8:$A$424)
+COUNT('PVC SCH40 LD'!$A$8:$A$21)
+COUNT('Pool &amp; SPA Sweep Elbows'!$A$8:$A$11)
+COUNT('Pool &amp; SPA Pipe Extender'!$A$8:$A$10)+1,"")</f>
        <v/>
      </c>
      <c r="B17" s="610"/>
      <c r="C17" s="611"/>
      <c r="D17" s="142" t="str">
        <f>_xlfn.XLOOKUP(E17,'All Products'!D:D,'All Products'!C:C,FALSE)</f>
        <v>801-030</v>
      </c>
      <c r="E17" s="103">
        <v>100023482</v>
      </c>
      <c r="F17" s="413" t="str">
        <f>_xlfn.XLOOKUP(E17,'All Products'!D:D,'All Products'!E:E,FALSE)</f>
        <v>3 TEE SXSXS SCH80</v>
      </c>
      <c r="G17" s="233">
        <f>_xlfn.XLOOKUP(E17,'All Products'!D:D,'All Products'!F:F,FALSE)</f>
        <v>5</v>
      </c>
      <c r="H17" s="196">
        <f>_xlfn.XLOOKUP(E17,'All Products'!D:D,'All Products'!G:G,FALSE)</f>
        <v>450</v>
      </c>
      <c r="I17" s="415">
        <f>_xlfn.XLOOKUP(E17,'All Products'!D:D,'All Products'!H:H,FALSE)</f>
        <v>142.94999999999999</v>
      </c>
      <c r="J17" s="130">
        <f>ROUND(I17*Order_Quote!$L$8,2)</f>
        <v>142.94999999999999</v>
      </c>
      <c r="K17" s="75"/>
      <c r="L17" s="113"/>
      <c r="M17" s="171">
        <f t="shared" si="0"/>
        <v>0</v>
      </c>
      <c r="O17" s="265" t="str">
        <f>_xlfn.XLOOKUP(E17,'All Products'!D:D,'All Products'!I:I,FALSE)</f>
        <v>In Stock</v>
      </c>
      <c r="P17" s="265" t="str">
        <f>_xlfn.XLOOKUP(E17,'All Products'!D:D,'All Products'!J:J,FALSE)</f>
        <v>Manufactured</v>
      </c>
      <c r="Q17" s="266">
        <f>_xlfn.XLOOKUP(E17,'All Products'!D:D,'All Products'!K:K,FALSE)</f>
        <v>49081167608</v>
      </c>
      <c r="R17" s="266" t="str">
        <f>_xlfn.XLOOKUP(E17,'All Products'!D:D,'All Products'!L:L,FALSE)</f>
        <v>-</v>
      </c>
      <c r="S17" s="266">
        <f>_xlfn.XLOOKUP(E17,'All Products'!D:D,'All Products'!M:M,FALSE)</f>
        <v>40049081167606</v>
      </c>
      <c r="T17" s="265">
        <f>_xlfn.XLOOKUP(E17,'All Products'!D:D,'All Products'!N:N,FALSE)</f>
        <v>2.04</v>
      </c>
      <c r="U17" s="266" t="str">
        <f>_xlfn.XLOOKUP(E17,'All Products'!D:D,'All Products'!O:O,FALSE)</f>
        <v>-</v>
      </c>
      <c r="V17" s="265">
        <f>_xlfn.XLOOKUP(E17,'All Products'!D:D,'All Products'!P:P,FALSE)</f>
        <v>11.18</v>
      </c>
      <c r="W17" s="265">
        <f>_xlfn.XLOOKUP(E17,'All Products'!D:D,'All Products'!Q:Q,FALSE)</f>
        <v>0.8</v>
      </c>
    </row>
    <row r="18" spans="1:23">
      <c r="A18" s="101" t="str">
        <f>IF(K18&gt;0,COUNT($A$7:A17)
+COUNT('DWV PVC'!$A$9:$A$316)
+COUNT('DWV ABS'!$A$8:$A$116)
+COUNT('PVC SCH40'!$A$8:$A$424)
+COUNT('PVC SCH40 LD'!$A$8:$A$21)
+COUNT('Pool &amp; SPA Sweep Elbows'!$A$8:$A$11)
+COUNT('Pool &amp; SPA Pipe Extender'!$A$8:$A$10)+1,"")</f>
        <v/>
      </c>
      <c r="B18" s="610"/>
      <c r="C18" s="611"/>
      <c r="D18" s="142" t="str">
        <f>_xlfn.XLOOKUP(E18,'All Products'!D:D,'All Products'!C:C,FALSE)</f>
        <v>801-040</v>
      </c>
      <c r="E18" s="103">
        <v>100023483</v>
      </c>
      <c r="F18" s="413" t="str">
        <f>_xlfn.XLOOKUP(E18,'All Products'!D:D,'All Products'!E:E,FALSE)</f>
        <v>4 TEE SXSXS SCH80</v>
      </c>
      <c r="G18" s="233">
        <f>_xlfn.XLOOKUP(E18,'All Products'!D:D,'All Products'!F:F,FALSE)</f>
        <v>4</v>
      </c>
      <c r="H18" s="196">
        <f>_xlfn.XLOOKUP(E18,'All Products'!D:D,'All Products'!G:G,FALSE)</f>
        <v>240</v>
      </c>
      <c r="I18" s="415">
        <f>_xlfn.XLOOKUP(E18,'All Products'!D:D,'All Products'!H:H,FALSE)</f>
        <v>165.63</v>
      </c>
      <c r="J18" s="130">
        <f>ROUND(I18*Order_Quote!$L$8,2)</f>
        <v>165.63</v>
      </c>
      <c r="K18" s="75"/>
      <c r="L18" s="113"/>
      <c r="M18" s="171">
        <f t="shared" si="0"/>
        <v>0</v>
      </c>
      <c r="O18" s="265" t="str">
        <f>_xlfn.XLOOKUP(E18,'All Products'!D:D,'All Products'!I:I,FALSE)</f>
        <v>In Stock</v>
      </c>
      <c r="P18" s="265" t="str">
        <f>_xlfn.XLOOKUP(E18,'All Products'!D:D,'All Products'!J:J,FALSE)</f>
        <v>Manufactured</v>
      </c>
      <c r="Q18" s="266">
        <f>_xlfn.XLOOKUP(E18,'All Products'!D:D,'All Products'!K:K,FALSE)</f>
        <v>49081167769</v>
      </c>
      <c r="R18" s="266" t="str">
        <f>_xlfn.XLOOKUP(E18,'All Products'!D:D,'All Products'!L:L,FALSE)</f>
        <v>-</v>
      </c>
      <c r="S18" s="266">
        <f>_xlfn.XLOOKUP(E18,'All Products'!D:D,'All Products'!M:M,FALSE)</f>
        <v>40049081167767</v>
      </c>
      <c r="T18" s="265">
        <f>_xlfn.XLOOKUP(E18,'All Products'!D:D,'All Products'!N:N,FALSE)</f>
        <v>3.4009999999999998</v>
      </c>
      <c r="U18" s="266" t="str">
        <f>_xlfn.XLOOKUP(E18,'All Products'!D:D,'All Products'!O:O,FALSE)</f>
        <v>-</v>
      </c>
      <c r="V18" s="265">
        <f>_xlfn.XLOOKUP(E18,'All Products'!D:D,'All Products'!P:P,FALSE)</f>
        <v>14.85</v>
      </c>
      <c r="W18" s="265">
        <f>_xlfn.XLOOKUP(E18,'All Products'!D:D,'All Products'!Q:Q,FALSE)</f>
        <v>1.25</v>
      </c>
    </row>
    <row r="19" spans="1:23">
      <c r="A19" s="101" t="str">
        <f>IF(K19&gt;0,COUNT($A$7:A18)
+COUNT('DWV PVC'!$A$9:$A$316)
+COUNT('DWV ABS'!$A$8:$A$116)
+COUNT('PVC SCH40'!$A$8:$A$424)
+COUNT('PVC SCH40 LD'!$A$8:$A$21)
+COUNT('Pool &amp; SPA Sweep Elbows'!$A$8:$A$11)
+COUNT('Pool &amp; SPA Pipe Extender'!$A$8:$A$10)+1,"")</f>
        <v/>
      </c>
      <c r="B19" s="610"/>
      <c r="C19" s="611"/>
      <c r="D19" s="142" t="str">
        <f>_xlfn.XLOOKUP(E19,'All Products'!D:D,'All Products'!C:C,FALSE)</f>
        <v>801-060</v>
      </c>
      <c r="E19" s="103">
        <v>100023484</v>
      </c>
      <c r="F19" s="413" t="str">
        <f>_xlfn.XLOOKUP(E19,'All Products'!D:D,'All Products'!E:E,FALSE)</f>
        <v>6 TEE SXSXS SCH80</v>
      </c>
      <c r="G19" s="233">
        <f>_xlfn.XLOOKUP(E19,'All Products'!D:D,'All Products'!F:F,FALSE)</f>
        <v>1</v>
      </c>
      <c r="H19" s="196">
        <f>_xlfn.XLOOKUP(E19,'All Products'!D:D,'All Products'!G:G,FALSE)</f>
        <v>75</v>
      </c>
      <c r="I19" s="415">
        <f>_xlfn.XLOOKUP(E19,'All Products'!D:D,'All Products'!H:H,FALSE)</f>
        <v>565.49</v>
      </c>
      <c r="J19" s="130">
        <f>ROUND(I19*Order_Quote!$L$8,2)</f>
        <v>565.49</v>
      </c>
      <c r="K19" s="75"/>
      <c r="L19" s="113"/>
      <c r="M19" s="171">
        <f t="shared" si="0"/>
        <v>0</v>
      </c>
      <c r="O19" s="265" t="str">
        <f>_xlfn.XLOOKUP(E19,'All Products'!D:D,'All Products'!I:I,FALSE)</f>
        <v>In Stock</v>
      </c>
      <c r="P19" s="265" t="str">
        <f>_xlfn.XLOOKUP(E19,'All Products'!D:D,'All Products'!J:J,FALSE)</f>
        <v>Manufactured</v>
      </c>
      <c r="Q19" s="266">
        <f>_xlfn.XLOOKUP(E19,'All Products'!D:D,'All Products'!K:K,FALSE)</f>
        <v>49081168001</v>
      </c>
      <c r="R19" s="266" t="str">
        <f>_xlfn.XLOOKUP(E19,'All Products'!D:D,'All Products'!L:L,FALSE)</f>
        <v>-</v>
      </c>
      <c r="S19" s="266">
        <f>_xlfn.XLOOKUP(E19,'All Products'!D:D,'All Products'!M:M,FALSE)</f>
        <v>40049081168009</v>
      </c>
      <c r="T19" s="265">
        <f>_xlfn.XLOOKUP(E19,'All Products'!D:D,'All Products'!N:N,FALSE)</f>
        <v>10.175000000000001</v>
      </c>
      <c r="U19" s="266" t="str">
        <f>_xlfn.XLOOKUP(E19,'All Products'!D:D,'All Products'!O:O,FALSE)</f>
        <v>-</v>
      </c>
      <c r="V19" s="265">
        <f>_xlfn.XLOOKUP(E19,'All Products'!D:D,'All Products'!P:P,FALSE)</f>
        <v>11.36</v>
      </c>
      <c r="W19" s="265">
        <f>_xlfn.XLOOKUP(E19,'All Products'!D:D,'All Products'!Q:Q,FALSE)</f>
        <v>0.95</v>
      </c>
    </row>
    <row r="20" spans="1:23">
      <c r="A20" s="101" t="str">
        <f>IF(K20&gt;0,COUNT($A$7:A19)
+COUNT('DWV PVC'!$A$9:$A$316)
+COUNT('DWV ABS'!$A$8:$A$116)
+COUNT('PVC SCH40'!$A$8:$A$424)
+COUNT('PVC SCH40 LD'!$A$8:$A$21)
+COUNT('Pool &amp; SPA Sweep Elbows'!$A$8:$A$11)
+COUNT('Pool &amp; SPA Pipe Extender'!$A$8:$A$10)+1,"")</f>
        <v/>
      </c>
      <c r="B20" s="612"/>
      <c r="C20" s="613"/>
      <c r="D20" s="142" t="str">
        <f>_xlfn.XLOOKUP(E20,'All Products'!D:D,'All Products'!C:C,FALSE)</f>
        <v>801-080</v>
      </c>
      <c r="E20" s="103">
        <v>100023485</v>
      </c>
      <c r="F20" s="413" t="str">
        <f>_xlfn.XLOOKUP(E20,'All Products'!D:D,'All Products'!E:E,FALSE)</f>
        <v>8 TEE SXSXS SCH80</v>
      </c>
      <c r="G20" s="233">
        <f>_xlfn.XLOOKUP(E20,'All Products'!D:D,'All Products'!F:F,FALSE)</f>
        <v>2</v>
      </c>
      <c r="H20" s="196">
        <f>_xlfn.XLOOKUP(E20,'All Products'!D:D,'All Products'!G:G,FALSE)</f>
        <v>36</v>
      </c>
      <c r="I20" s="415">
        <f>_xlfn.XLOOKUP(E20,'All Products'!D:D,'All Products'!H:H,FALSE)</f>
        <v>1311.57</v>
      </c>
      <c r="J20" s="130">
        <f>ROUND(I20*Order_Quote!$L$8,2)</f>
        <v>1311.57</v>
      </c>
      <c r="K20" s="75"/>
      <c r="L20" s="113"/>
      <c r="M20" s="171">
        <f t="shared" si="0"/>
        <v>0</v>
      </c>
      <c r="O20" s="265" t="str">
        <f>_xlfn.XLOOKUP(E20,'All Products'!D:D,'All Products'!I:I,FALSE)</f>
        <v>In Stock</v>
      </c>
      <c r="P20" s="265" t="str">
        <f>_xlfn.XLOOKUP(E20,'All Products'!D:D,'All Products'!J:J,FALSE)</f>
        <v>Manufactured</v>
      </c>
      <c r="Q20" s="266">
        <f>_xlfn.XLOOKUP(E20,'All Products'!D:D,'All Products'!K:K,FALSE)</f>
        <v>49081168087</v>
      </c>
      <c r="R20" s="266" t="str">
        <f>_xlfn.XLOOKUP(E20,'All Products'!D:D,'All Products'!L:L,FALSE)</f>
        <v>-</v>
      </c>
      <c r="S20" s="266">
        <f>_xlfn.XLOOKUP(E20,'All Products'!D:D,'All Products'!M:M,FALSE)</f>
        <v>40049081168085</v>
      </c>
      <c r="T20" s="265">
        <f>_xlfn.XLOOKUP(E20,'All Products'!D:D,'All Products'!N:N,FALSE)</f>
        <v>18.670000000000002</v>
      </c>
      <c r="U20" s="266" t="str">
        <f>_xlfn.XLOOKUP(E20,'All Products'!D:D,'All Products'!O:O,FALSE)</f>
        <v>-</v>
      </c>
      <c r="V20" s="265">
        <f>_xlfn.XLOOKUP(E20,'All Products'!D:D,'All Products'!P:P,FALSE)</f>
        <v>39.83</v>
      </c>
      <c r="W20" s="265">
        <f>_xlfn.XLOOKUP(E20,'All Products'!D:D,'All Products'!Q:Q,FALSE)</f>
        <v>4.38</v>
      </c>
    </row>
    <row r="21" spans="1:23">
      <c r="A21" s="101" t="str">
        <f>IF(K21&gt;0,COUNT($A$7:A20)
+COUNT('DWV PVC'!$A$9:$A$316)
+COUNT('DWV ABS'!$A$8:$A$116)
+COUNT('PVC SCH40'!$A$8:$A$424)
+COUNT('PVC SCH40 LD'!$A$8:$A$21)
+COUNT('Pool &amp; SPA Sweep Elbows'!$A$8:$A$11)
+COUNT('Pool &amp; SPA Pipe Extender'!$A$8:$A$10)+1,"")</f>
        <v/>
      </c>
      <c r="B21" s="608"/>
      <c r="C21" s="609"/>
      <c r="D21" s="142" t="str">
        <f>_xlfn.XLOOKUP(E21,'All Products'!D:D,'All Products'!C:C,FALSE)</f>
        <v>805-002</v>
      </c>
      <c r="E21" s="103">
        <v>100023498</v>
      </c>
      <c r="F21" s="413" t="str">
        <f>_xlfn.XLOOKUP(E21,'All Products'!D:D,'All Products'!E:E,FALSE)</f>
        <v>1/4 TEE FIPTXFIPTXFIPT SCH80</v>
      </c>
      <c r="G21" s="233">
        <f>_xlfn.XLOOKUP(E21,'All Products'!D:D,'All Products'!F:F,FALSE)</f>
        <v>250</v>
      </c>
      <c r="H21" s="196">
        <f>_xlfn.XLOOKUP(E21,'All Products'!D:D,'All Products'!G:G,FALSE)</f>
        <v>22500</v>
      </c>
      <c r="I21" s="415">
        <f>_xlfn.XLOOKUP(E21,'All Products'!D:D,'All Products'!H:H,FALSE)</f>
        <v>26.98</v>
      </c>
      <c r="J21" s="130">
        <f>ROUND(I21*Order_Quote!$L$8,2)</f>
        <v>26.98</v>
      </c>
      <c r="K21" s="75"/>
      <c r="L21" s="113"/>
      <c r="M21" s="171">
        <f t="shared" si="0"/>
        <v>0</v>
      </c>
      <c r="O21" s="265" t="str">
        <f>_xlfn.XLOOKUP(E21,'All Products'!D:D,'All Products'!I:I,FALSE)</f>
        <v>Within 3 Weeks</v>
      </c>
      <c r="P21" s="265" t="str">
        <f>_xlfn.XLOOKUP(E21,'All Products'!D:D,'All Products'!J:J,FALSE)</f>
        <v>Manufactured</v>
      </c>
      <c r="Q21" s="266">
        <f>_xlfn.XLOOKUP(E21,'All Products'!D:D,'All Products'!K:K,FALSE)</f>
        <v>49081170264</v>
      </c>
      <c r="R21" s="266">
        <f>_xlfn.XLOOKUP(E21,'All Products'!D:D,'All Products'!L:L,FALSE)</f>
        <v>49081670269</v>
      </c>
      <c r="S21" s="266">
        <f>_xlfn.XLOOKUP(E21,'All Products'!D:D,'All Products'!M:M,FALSE)</f>
        <v>40049081170262</v>
      </c>
      <c r="T21" s="265">
        <f>_xlfn.XLOOKUP(E21,'All Products'!D:D,'All Products'!N:N,FALSE)</f>
        <v>6.8000000000000005E-2</v>
      </c>
      <c r="U21" s="266">
        <f>_xlfn.XLOOKUP(E21,'All Products'!D:D,'All Products'!O:O,FALSE)</f>
        <v>10</v>
      </c>
      <c r="V21" s="265">
        <f>_xlfn.XLOOKUP(E21,'All Products'!D:D,'All Products'!P:P,FALSE)</f>
        <v>18.78</v>
      </c>
      <c r="W21" s="265">
        <f>_xlfn.XLOOKUP(E21,'All Products'!D:D,'All Products'!Q:Q,FALSE)</f>
        <v>0.8</v>
      </c>
    </row>
    <row r="22" spans="1:23">
      <c r="A22" s="101" t="str">
        <f>IF(K22&gt;0,COUNT($A$7:A21)
+COUNT('DWV PVC'!$A$9:$A$316)
+COUNT('DWV ABS'!$A$8:$A$116)
+COUNT('PVC SCH40'!$A$8:$A$424)
+COUNT('PVC SCH40 LD'!$A$8:$A$21)
+COUNT('Pool &amp; SPA Sweep Elbows'!$A$8:$A$11)
+COUNT('Pool &amp; SPA Pipe Extender'!$A$8:$A$10)+1,"")</f>
        <v/>
      </c>
      <c r="B22" s="610"/>
      <c r="C22" s="611"/>
      <c r="D22" s="142" t="str">
        <f>_xlfn.XLOOKUP(E22,'All Products'!D:D,'All Products'!C:C,FALSE)</f>
        <v>805-003</v>
      </c>
      <c r="E22" s="103">
        <v>100023499</v>
      </c>
      <c r="F22" s="413" t="str">
        <f>_xlfn.XLOOKUP(E22,'All Products'!D:D,'All Products'!E:E,FALSE)</f>
        <v>3/8 TEE FIPTXFIPTXFIPT SCH80</v>
      </c>
      <c r="G22" s="233">
        <f>_xlfn.XLOOKUP(E22,'All Products'!D:D,'All Products'!F:F,FALSE)</f>
        <v>250</v>
      </c>
      <c r="H22" s="196">
        <f>_xlfn.XLOOKUP(E22,'All Products'!D:D,'All Products'!G:G,FALSE)</f>
        <v>18750</v>
      </c>
      <c r="I22" s="415">
        <f>_xlfn.XLOOKUP(E22,'All Products'!D:D,'All Products'!H:H,FALSE)</f>
        <v>26.98</v>
      </c>
      <c r="J22" s="130">
        <f>ROUND(I22*Order_Quote!$L$8,2)</f>
        <v>26.98</v>
      </c>
      <c r="K22" s="75"/>
      <c r="L22" s="113"/>
      <c r="M22" s="171">
        <f t="shared" si="0"/>
        <v>0</v>
      </c>
      <c r="O22" s="265" t="str">
        <f>_xlfn.XLOOKUP(E22,'All Products'!D:D,'All Products'!I:I,FALSE)</f>
        <v>In Stock</v>
      </c>
      <c r="P22" s="265" t="str">
        <f>_xlfn.XLOOKUP(E22,'All Products'!D:D,'All Products'!J:J,FALSE)</f>
        <v>Manufactured</v>
      </c>
      <c r="Q22" s="266">
        <f>_xlfn.XLOOKUP(E22,'All Products'!D:D,'All Products'!K:K,FALSE)</f>
        <v>49081170288</v>
      </c>
      <c r="R22" s="266">
        <f>_xlfn.XLOOKUP(E22,'All Products'!D:D,'All Products'!L:L,FALSE)</f>
        <v>49081670283</v>
      </c>
      <c r="S22" s="266">
        <f>_xlfn.XLOOKUP(E22,'All Products'!D:D,'All Products'!M:M,FALSE)</f>
        <v>40049081170286</v>
      </c>
      <c r="T22" s="265">
        <f>_xlfn.XLOOKUP(E22,'All Products'!D:D,'All Products'!N:N,FALSE)</f>
        <v>9.5000000000000001E-2</v>
      </c>
      <c r="U22" s="266">
        <f>_xlfn.XLOOKUP(E22,'All Products'!D:D,'All Products'!O:O,FALSE)</f>
        <v>10</v>
      </c>
      <c r="V22" s="265">
        <f>_xlfn.XLOOKUP(E22,'All Products'!D:D,'All Products'!P:P,FALSE)</f>
        <v>25.12</v>
      </c>
      <c r="W22" s="265">
        <f>_xlfn.XLOOKUP(E22,'All Products'!D:D,'All Products'!Q:Q,FALSE)</f>
        <v>1.1000000000000001</v>
      </c>
    </row>
    <row r="23" spans="1:23">
      <c r="A23" s="101" t="str">
        <f>IF(K23&gt;0,COUNT($A$7:A22)
+COUNT('DWV PVC'!$A$9:$A$316)
+COUNT('DWV ABS'!$A$8:$A$116)
+COUNT('PVC SCH40'!$A$8:$A$424)
+COUNT('PVC SCH40 LD'!$A$8:$A$21)
+COUNT('Pool &amp; SPA Sweep Elbows'!$A$8:$A$11)
+COUNT('Pool &amp; SPA Pipe Extender'!$A$8:$A$10)+1,"")</f>
        <v/>
      </c>
      <c r="B23" s="610"/>
      <c r="C23" s="611"/>
      <c r="D23" s="142" t="str">
        <f>_xlfn.XLOOKUP(E23,'All Products'!D:D,'All Products'!C:C,FALSE)</f>
        <v>805-005</v>
      </c>
      <c r="E23" s="103">
        <v>100023500</v>
      </c>
      <c r="F23" s="413" t="str">
        <f>_xlfn.XLOOKUP(E23,'All Products'!D:D,'All Products'!E:E,FALSE)</f>
        <v>1/2 TEE FIPTXFIPTXFIPT SCH80</v>
      </c>
      <c r="G23" s="233">
        <f>_xlfn.XLOOKUP(E23,'All Products'!D:D,'All Products'!F:F,FALSE)</f>
        <v>125</v>
      </c>
      <c r="H23" s="196">
        <f>_xlfn.XLOOKUP(E23,'All Products'!D:D,'All Products'!G:G,FALSE)</f>
        <v>9375</v>
      </c>
      <c r="I23" s="415">
        <f>_xlfn.XLOOKUP(E23,'All Products'!D:D,'All Products'!H:H,FALSE)</f>
        <v>26.98</v>
      </c>
      <c r="J23" s="130">
        <f>ROUND(I23*Order_Quote!$L$8,2)</f>
        <v>26.98</v>
      </c>
      <c r="K23" s="75"/>
      <c r="L23" s="113"/>
      <c r="M23" s="171">
        <f t="shared" si="0"/>
        <v>0</v>
      </c>
      <c r="O23" s="265" t="str">
        <f>_xlfn.XLOOKUP(E23,'All Products'!D:D,'All Products'!I:I,FALSE)</f>
        <v>In Stock</v>
      </c>
      <c r="P23" s="265" t="str">
        <f>_xlfn.XLOOKUP(E23,'All Products'!D:D,'All Products'!J:J,FALSE)</f>
        <v>Manufactured</v>
      </c>
      <c r="Q23" s="266">
        <f>_xlfn.XLOOKUP(E23,'All Products'!D:D,'All Products'!K:K,FALSE)</f>
        <v>49081170301</v>
      </c>
      <c r="R23" s="266">
        <f>_xlfn.XLOOKUP(E23,'All Products'!D:D,'All Products'!L:L,FALSE)</f>
        <v>49081670306</v>
      </c>
      <c r="S23" s="266">
        <f>_xlfn.XLOOKUP(E23,'All Products'!D:D,'All Products'!M:M,FALSE)</f>
        <v>40049081170309</v>
      </c>
      <c r="T23" s="265">
        <f>_xlfn.XLOOKUP(E23,'All Products'!D:D,'All Products'!N:N,FALSE)</f>
        <v>0.184</v>
      </c>
      <c r="U23" s="266">
        <f>_xlfn.XLOOKUP(E23,'All Products'!D:D,'All Products'!O:O,FALSE)</f>
        <v>5</v>
      </c>
      <c r="V23" s="265">
        <f>_xlfn.XLOOKUP(E23,'All Products'!D:D,'All Products'!P:P,FALSE)</f>
        <v>23.5</v>
      </c>
      <c r="W23" s="265">
        <f>_xlfn.XLOOKUP(E23,'All Products'!D:D,'All Products'!Q:Q,FALSE)</f>
        <v>1.1000000000000001</v>
      </c>
    </row>
    <row r="24" spans="1:23">
      <c r="A24" s="101" t="str">
        <f>IF(K24&gt;0,COUNT($A$7:A23)
+COUNT('DWV PVC'!$A$9:$A$316)
+COUNT('DWV ABS'!$A$8:$A$116)
+COUNT('PVC SCH40'!$A$8:$A$424)
+COUNT('PVC SCH40 LD'!$A$8:$A$21)
+COUNT('Pool &amp; SPA Sweep Elbows'!$A$8:$A$11)
+COUNT('Pool &amp; SPA Pipe Extender'!$A$8:$A$10)+1,"")</f>
        <v/>
      </c>
      <c r="B24" s="610"/>
      <c r="C24" s="611"/>
      <c r="D24" s="142" t="str">
        <f>_xlfn.XLOOKUP(E24,'All Products'!D:D,'All Products'!C:C,FALSE)</f>
        <v>805-007</v>
      </c>
      <c r="E24" s="103">
        <v>100023501</v>
      </c>
      <c r="F24" s="413" t="str">
        <f>_xlfn.XLOOKUP(E24,'All Products'!D:D,'All Products'!E:E,FALSE)</f>
        <v>3/4 TEE FIPTXFIPTXFIPT SCH80</v>
      </c>
      <c r="G24" s="233">
        <f>_xlfn.XLOOKUP(E24,'All Products'!D:D,'All Products'!F:F,FALSE)</f>
        <v>125</v>
      </c>
      <c r="H24" s="196">
        <f>_xlfn.XLOOKUP(E24,'All Products'!D:D,'All Products'!G:G,FALSE)</f>
        <v>7500</v>
      </c>
      <c r="I24" s="415">
        <f>_xlfn.XLOOKUP(E24,'All Products'!D:D,'All Products'!H:H,FALSE)</f>
        <v>30.07</v>
      </c>
      <c r="J24" s="130">
        <f>ROUND(I24*Order_Quote!$L$8,2)</f>
        <v>30.07</v>
      </c>
      <c r="K24" s="75"/>
      <c r="L24" s="113"/>
      <c r="M24" s="171">
        <f t="shared" si="0"/>
        <v>0</v>
      </c>
      <c r="O24" s="265" t="str">
        <f>_xlfn.XLOOKUP(E24,'All Products'!D:D,'All Products'!I:I,FALSE)</f>
        <v>In Stock</v>
      </c>
      <c r="P24" s="265" t="str">
        <f>_xlfn.XLOOKUP(E24,'All Products'!D:D,'All Products'!J:J,FALSE)</f>
        <v>Manufactured</v>
      </c>
      <c r="Q24" s="266">
        <f>_xlfn.XLOOKUP(E24,'All Products'!D:D,'All Products'!K:K,FALSE)</f>
        <v>49081170325</v>
      </c>
      <c r="R24" s="266">
        <f>_xlfn.XLOOKUP(E24,'All Products'!D:D,'All Products'!L:L,FALSE)</f>
        <v>49081670320</v>
      </c>
      <c r="S24" s="266">
        <f>_xlfn.XLOOKUP(E24,'All Products'!D:D,'All Products'!M:M,FALSE)</f>
        <v>40049081170323</v>
      </c>
      <c r="T24" s="265">
        <f>_xlfn.XLOOKUP(E24,'All Products'!D:D,'All Products'!N:N,FALSE)</f>
        <v>0.23</v>
      </c>
      <c r="U24" s="266">
        <f>_xlfn.XLOOKUP(E24,'All Products'!D:D,'All Products'!O:O,FALSE)</f>
        <v>5</v>
      </c>
      <c r="V24" s="265">
        <f>_xlfn.XLOOKUP(E24,'All Products'!D:D,'All Products'!P:P,FALSE)</f>
        <v>31.32</v>
      </c>
      <c r="W24" s="265">
        <f>_xlfn.XLOOKUP(E24,'All Products'!D:D,'All Products'!Q:Q,FALSE)</f>
        <v>1.25</v>
      </c>
    </row>
    <row r="25" spans="1:23">
      <c r="A25" s="101" t="str">
        <f>IF(K25&gt;0,COUNT($A$7:A24)
+COUNT('DWV PVC'!$A$9:$A$316)
+COUNT('DWV ABS'!$A$8:$A$116)
+COUNT('PVC SCH40'!$A$8:$A$424)
+COUNT('PVC SCH40 LD'!$A$8:$A$21)
+COUNT('Pool &amp; SPA Sweep Elbows'!$A$8:$A$11)
+COUNT('Pool &amp; SPA Pipe Extender'!$A$8:$A$10)+1,"")</f>
        <v/>
      </c>
      <c r="B25" s="610"/>
      <c r="C25" s="611"/>
      <c r="D25" s="142" t="str">
        <f>_xlfn.XLOOKUP(E25,'All Products'!D:D,'All Products'!C:C,FALSE)</f>
        <v>805-010</v>
      </c>
      <c r="E25" s="103">
        <v>100023502</v>
      </c>
      <c r="F25" s="413" t="str">
        <f>_xlfn.XLOOKUP(E25,'All Products'!D:D,'All Products'!E:E,FALSE)</f>
        <v>1 TEE FIPTXFIPTXFIPT SCH80</v>
      </c>
      <c r="G25" s="233">
        <f>_xlfn.XLOOKUP(E25,'All Products'!D:D,'All Products'!F:F,FALSE)</f>
        <v>50</v>
      </c>
      <c r="H25" s="196">
        <f>_xlfn.XLOOKUP(E25,'All Products'!D:D,'All Products'!G:G,FALSE)</f>
        <v>3750</v>
      </c>
      <c r="I25" s="415">
        <f>_xlfn.XLOOKUP(E25,'All Products'!D:D,'All Products'!H:H,FALSE)</f>
        <v>66.34</v>
      </c>
      <c r="J25" s="130">
        <f>ROUND(I25*Order_Quote!$L$8,2)</f>
        <v>66.34</v>
      </c>
      <c r="K25" s="75"/>
      <c r="L25" s="113"/>
      <c r="M25" s="171">
        <f t="shared" si="0"/>
        <v>0</v>
      </c>
      <c r="O25" s="265" t="str">
        <f>_xlfn.XLOOKUP(E25,'All Products'!D:D,'All Products'!I:I,FALSE)</f>
        <v>In Stock</v>
      </c>
      <c r="P25" s="265" t="str">
        <f>_xlfn.XLOOKUP(E25,'All Products'!D:D,'All Products'!J:J,FALSE)</f>
        <v>Manufactured</v>
      </c>
      <c r="Q25" s="266">
        <f>_xlfn.XLOOKUP(E25,'All Products'!D:D,'All Products'!K:K,FALSE)</f>
        <v>49081170349</v>
      </c>
      <c r="R25" s="266">
        <f>_xlfn.XLOOKUP(E25,'All Products'!D:D,'All Products'!L:L,FALSE)</f>
        <v>49081670344</v>
      </c>
      <c r="S25" s="266">
        <f>_xlfn.XLOOKUP(E25,'All Products'!D:D,'All Products'!M:M,FALSE)</f>
        <v>40049081170347</v>
      </c>
      <c r="T25" s="265">
        <f>_xlfn.XLOOKUP(E25,'All Products'!D:D,'All Products'!N:N,FALSE)</f>
        <v>0.38</v>
      </c>
      <c r="U25" s="266">
        <f>_xlfn.XLOOKUP(E25,'All Products'!D:D,'All Products'!O:O,FALSE)</f>
        <v>5</v>
      </c>
      <c r="V25" s="265">
        <f>_xlfn.XLOOKUP(E25,'All Products'!D:D,'All Products'!P:P,FALSE)</f>
        <v>20.66</v>
      </c>
      <c r="W25" s="265">
        <f>_xlfn.XLOOKUP(E25,'All Products'!D:D,'All Products'!Q:Q,FALSE)</f>
        <v>0.95</v>
      </c>
    </row>
    <row r="26" spans="1:23">
      <c r="A26" s="101" t="str">
        <f>IF(K26&gt;0,COUNT($A$7:A25)
+COUNT('DWV PVC'!$A$9:$A$316)
+COUNT('DWV ABS'!$A$8:$A$116)
+COUNT('PVC SCH40'!$A$8:$A$424)
+COUNT('PVC SCH40 LD'!$A$8:$A$21)
+COUNT('Pool &amp; SPA Sweep Elbows'!$A$8:$A$11)
+COUNT('Pool &amp; SPA Pipe Extender'!$A$8:$A$10)+1,"")</f>
        <v/>
      </c>
      <c r="B26" s="612"/>
      <c r="C26" s="613"/>
      <c r="D26" s="142" t="str">
        <f>_xlfn.XLOOKUP(E26,'All Products'!D:D,'All Products'!C:C,FALSE)</f>
        <v>805-025</v>
      </c>
      <c r="E26" s="103">
        <v>100028097</v>
      </c>
      <c r="F26" s="413" t="str">
        <f>_xlfn.XLOOKUP(E26,'All Products'!D:D,'All Products'!E:E,FALSE)</f>
        <v>2-1/2 TEE FIPTXFIPTXFIPT SCH80</v>
      </c>
      <c r="G26" s="233">
        <f>_xlfn.XLOOKUP(E26,'All Products'!D:D,'All Products'!F:F,FALSE)</f>
        <v>25</v>
      </c>
      <c r="H26" s="196">
        <f>_xlfn.XLOOKUP(E26,'All Products'!D:D,'All Products'!G:G,FALSE)</f>
        <v>0</v>
      </c>
      <c r="I26" s="415">
        <f>_xlfn.XLOOKUP(E26,'All Products'!D:D,'All Products'!H:H,FALSE)</f>
        <v>333.68</v>
      </c>
      <c r="J26" s="130">
        <f>ROUND(I26*Order_Quote!$L$8,2)</f>
        <v>333.68</v>
      </c>
      <c r="K26" s="75"/>
      <c r="L26" s="113"/>
      <c r="M26" s="171">
        <f t="shared" si="0"/>
        <v>0</v>
      </c>
      <c r="O26" s="265" t="str">
        <f>_xlfn.XLOOKUP(E26,'All Products'!D:D,'All Products'!I:I,FALSE)</f>
        <v>Within 3 Weeks</v>
      </c>
      <c r="P26" s="265" t="str">
        <f>_xlfn.XLOOKUP(E26,'All Products'!D:D,'All Products'!J:J,FALSE)</f>
        <v>Manufactured</v>
      </c>
      <c r="Q26" s="266">
        <f>_xlfn.XLOOKUP(E26,'All Products'!D:D,'All Products'!K:K,FALSE)</f>
        <v>49081170424</v>
      </c>
      <c r="R26" s="266" t="str">
        <f>_xlfn.XLOOKUP(E26,'All Products'!D:D,'All Products'!L:L,FALSE)</f>
        <v>-</v>
      </c>
      <c r="S26" s="266">
        <f>_xlfn.XLOOKUP(E26,'All Products'!D:D,'All Products'!M:M,FALSE)</f>
        <v>40049081170422</v>
      </c>
      <c r="T26" s="265">
        <f>_xlfn.XLOOKUP(E26,'All Products'!D:D,'All Products'!N:N,FALSE)</f>
        <v>1.698</v>
      </c>
      <c r="U26" s="266" t="str">
        <f>_xlfn.XLOOKUP(E26,'All Products'!D:D,'All Products'!O:O,FALSE)</f>
        <v>-</v>
      </c>
      <c r="V26" s="265">
        <f>_xlfn.XLOOKUP(E26,'All Products'!D:D,'All Products'!P:P,FALSE)</f>
        <v>44.368000000000002</v>
      </c>
      <c r="W26" s="265" t="str">
        <f>_xlfn.XLOOKUP(E26,'All Products'!D:D,'All Products'!Q:Q,FALSE)</f>
        <v>-</v>
      </c>
    </row>
    <row r="27" spans="1:23">
      <c r="A27" s="101" t="str">
        <f>IF(K27&gt;0,COUNT($A$7:A26)
+COUNT('DWV PVC'!$A$9:$A$316)
+COUNT('DWV ABS'!$A$8:$A$116)
+COUNT('PVC SCH40'!$A$8:$A$424)
+COUNT('PVC SCH40 LD'!$A$8:$A$21)
+COUNT('Pool &amp; SPA Sweep Elbows'!$A$8:$A$11)
+COUNT('Pool &amp; SPA Pipe Extender'!$A$8:$A$10)+1,"")</f>
        <v/>
      </c>
      <c r="B27" s="610"/>
      <c r="C27" s="611"/>
      <c r="D27" s="142" t="str">
        <f>_xlfn.XLOOKUP(E27,'All Products'!D:D,'All Products'!C:C,FALSE)</f>
        <v>806-005</v>
      </c>
      <c r="E27" s="103">
        <v>100023507</v>
      </c>
      <c r="F27" s="413" t="str">
        <f>_xlfn.XLOOKUP(E27,'All Products'!D:D,'All Products'!E:E,FALSE)</f>
        <v>1/2 ELBOW 90 SXS SCH80</v>
      </c>
      <c r="G27" s="233">
        <f>_xlfn.XLOOKUP(E27,'All Products'!D:D,'All Products'!F:F,FALSE)</f>
        <v>250</v>
      </c>
      <c r="H27" s="196">
        <f>_xlfn.XLOOKUP(E27,'All Products'!D:D,'All Products'!G:G,FALSE)</f>
        <v>18750</v>
      </c>
      <c r="I27" s="415">
        <f>_xlfn.XLOOKUP(E27,'All Products'!D:D,'All Products'!H:H,FALSE)</f>
        <v>8.26</v>
      </c>
      <c r="J27" s="130">
        <f>ROUND(I27*Order_Quote!$L$8,2)</f>
        <v>8.26</v>
      </c>
      <c r="K27" s="75"/>
      <c r="L27" s="113"/>
      <c r="M27" s="171">
        <f t="shared" si="0"/>
        <v>0</v>
      </c>
      <c r="O27" s="265" t="str">
        <f>_xlfn.XLOOKUP(E27,'All Products'!D:D,'All Products'!I:I,FALSE)</f>
        <v>In Stock</v>
      </c>
      <c r="P27" s="265" t="str">
        <f>_xlfn.XLOOKUP(E27,'All Products'!D:D,'All Products'!J:J,FALSE)</f>
        <v>Manufactured</v>
      </c>
      <c r="Q27" s="266">
        <f>_xlfn.XLOOKUP(E27,'All Products'!D:D,'All Products'!K:K,FALSE)</f>
        <v>49081162702</v>
      </c>
      <c r="R27" s="266">
        <f>_xlfn.XLOOKUP(E27,'All Products'!D:D,'All Products'!L:L,FALSE)</f>
        <v>49081662707</v>
      </c>
      <c r="S27" s="266">
        <f>_xlfn.XLOOKUP(E27,'All Products'!D:D,'All Products'!M:M,FALSE)</f>
        <v>40049081162700</v>
      </c>
      <c r="T27" s="265">
        <f>_xlfn.XLOOKUP(E27,'All Products'!D:D,'All Products'!N:N,FALSE)</f>
        <v>9.8000000000000004E-2</v>
      </c>
      <c r="U27" s="266">
        <f>_xlfn.XLOOKUP(E27,'All Products'!D:D,'All Products'!O:O,FALSE)</f>
        <v>10</v>
      </c>
      <c r="V27" s="265">
        <f>_xlfn.XLOOKUP(E27,'All Products'!D:D,'All Products'!P:P,FALSE)</f>
        <v>26.08</v>
      </c>
      <c r="W27" s="265">
        <f>_xlfn.XLOOKUP(E27,'All Products'!D:D,'All Products'!Q:Q,FALSE)</f>
        <v>1.1000000000000001</v>
      </c>
    </row>
    <row r="28" spans="1:23">
      <c r="A28" s="101" t="str">
        <f>IF(K28&gt;0,COUNT($A$7:A27)
+COUNT('DWV PVC'!$A$9:$A$316)
+COUNT('DWV ABS'!$A$8:$A$116)
+COUNT('PVC SCH40'!$A$8:$A$424)
+COUNT('PVC SCH40 LD'!$A$8:$A$21)
+COUNT('Pool &amp; SPA Sweep Elbows'!$A$8:$A$11)
+COUNT('Pool &amp; SPA Pipe Extender'!$A$8:$A$10)+1,"")</f>
        <v/>
      </c>
      <c r="B28" s="610"/>
      <c r="C28" s="611"/>
      <c r="D28" s="142" t="str">
        <f>_xlfn.XLOOKUP(E28,'All Products'!D:D,'All Products'!C:C,FALSE)</f>
        <v>806-007</v>
      </c>
      <c r="E28" s="103">
        <v>100023508</v>
      </c>
      <c r="F28" s="413" t="str">
        <f>_xlfn.XLOOKUP(E28,'All Products'!D:D,'All Products'!E:E,FALSE)</f>
        <v>3/4 ELBOW 90 SXS SCH80</v>
      </c>
      <c r="G28" s="233">
        <f>_xlfn.XLOOKUP(E28,'All Products'!D:D,'All Products'!F:F,FALSE)</f>
        <v>200</v>
      </c>
      <c r="H28" s="196">
        <f>_xlfn.XLOOKUP(E28,'All Products'!D:D,'All Products'!G:G,FALSE)</f>
        <v>12000</v>
      </c>
      <c r="I28" s="415">
        <f>_xlfn.XLOOKUP(E28,'All Products'!D:D,'All Products'!H:H,FALSE)</f>
        <v>10.57</v>
      </c>
      <c r="J28" s="130">
        <f>ROUND(I28*Order_Quote!$L$8,2)</f>
        <v>10.57</v>
      </c>
      <c r="K28" s="75"/>
      <c r="L28" s="113"/>
      <c r="M28" s="171">
        <f t="shared" si="0"/>
        <v>0</v>
      </c>
      <c r="O28" s="265" t="str">
        <f>_xlfn.XLOOKUP(E28,'All Products'!D:D,'All Products'!I:I,FALSE)</f>
        <v>In Stock</v>
      </c>
      <c r="P28" s="265" t="str">
        <f>_xlfn.XLOOKUP(E28,'All Products'!D:D,'All Products'!J:J,FALSE)</f>
        <v>Manufactured</v>
      </c>
      <c r="Q28" s="266">
        <f>_xlfn.XLOOKUP(E28,'All Products'!D:D,'All Products'!K:K,FALSE)</f>
        <v>49081162726</v>
      </c>
      <c r="R28" s="266">
        <f>_xlfn.XLOOKUP(E28,'All Products'!D:D,'All Products'!L:L,FALSE)</f>
        <v>49081662721</v>
      </c>
      <c r="S28" s="266">
        <f>_xlfn.XLOOKUP(E28,'All Products'!D:D,'All Products'!M:M,FALSE)</f>
        <v>40049081162724</v>
      </c>
      <c r="T28" s="265">
        <f>_xlfn.XLOOKUP(E28,'All Products'!D:D,'All Products'!N:N,FALSE)</f>
        <v>0.114</v>
      </c>
      <c r="U28" s="266">
        <f>_xlfn.XLOOKUP(E28,'All Products'!D:D,'All Products'!O:O,FALSE)</f>
        <v>10</v>
      </c>
      <c r="V28" s="265">
        <f>_xlfn.XLOOKUP(E28,'All Products'!D:D,'All Products'!P:P,FALSE)</f>
        <v>24.17</v>
      </c>
      <c r="W28" s="265">
        <f>_xlfn.XLOOKUP(E28,'All Products'!D:D,'All Products'!Q:Q,FALSE)</f>
        <v>1.25</v>
      </c>
    </row>
    <row r="29" spans="1:23">
      <c r="A29" s="101" t="str">
        <f>IF(K29&gt;0,COUNT($A$7:A28)
+COUNT('DWV PVC'!$A$9:$A$316)
+COUNT('DWV ABS'!$A$8:$A$116)
+COUNT('PVC SCH40'!$A$8:$A$424)
+COUNT('PVC SCH40 LD'!$A$8:$A$21)
+COUNT('Pool &amp; SPA Sweep Elbows'!$A$8:$A$11)
+COUNT('Pool &amp; SPA Pipe Extender'!$A$8:$A$10)+1,"")</f>
        <v/>
      </c>
      <c r="B29" s="610"/>
      <c r="C29" s="611"/>
      <c r="D29" s="142" t="str">
        <f>_xlfn.XLOOKUP(E29,'All Products'!D:D,'All Products'!C:C,FALSE)</f>
        <v>806-010</v>
      </c>
      <c r="E29" s="103">
        <v>100023510</v>
      </c>
      <c r="F29" s="413" t="str">
        <f>_xlfn.XLOOKUP(E29,'All Products'!D:D,'All Products'!E:E,FALSE)</f>
        <v>1 ELBOW 90 SXS SCH80</v>
      </c>
      <c r="G29" s="233">
        <f>_xlfn.XLOOKUP(E29,'All Products'!D:D,'All Products'!F:F,FALSE)</f>
        <v>50</v>
      </c>
      <c r="H29" s="196">
        <f>_xlfn.XLOOKUP(E29,'All Products'!D:D,'All Products'!G:G,FALSE)</f>
        <v>6000</v>
      </c>
      <c r="I29" s="415">
        <f>_xlfn.XLOOKUP(E29,'All Products'!D:D,'All Products'!H:H,FALSE)</f>
        <v>17.05</v>
      </c>
      <c r="J29" s="130">
        <f>ROUND(I29*Order_Quote!$L$8,2)</f>
        <v>17.05</v>
      </c>
      <c r="K29" s="75"/>
      <c r="L29" s="113"/>
      <c r="M29" s="171">
        <f t="shared" si="0"/>
        <v>0</v>
      </c>
      <c r="O29" s="265" t="str">
        <f>_xlfn.XLOOKUP(E29,'All Products'!D:D,'All Products'!I:I,FALSE)</f>
        <v>In Stock</v>
      </c>
      <c r="P29" s="265" t="str">
        <f>_xlfn.XLOOKUP(E29,'All Products'!D:D,'All Products'!J:J,FALSE)</f>
        <v>Manufactured</v>
      </c>
      <c r="Q29" s="266">
        <f>_xlfn.XLOOKUP(E29,'All Products'!D:D,'All Products'!K:K,FALSE)</f>
        <v>49081162764</v>
      </c>
      <c r="R29" s="266">
        <f>_xlfn.XLOOKUP(E29,'All Products'!D:D,'All Products'!L:L,FALSE)</f>
        <v>49081662769</v>
      </c>
      <c r="S29" s="266">
        <f>_xlfn.XLOOKUP(E29,'All Products'!D:D,'All Products'!M:M,FALSE)</f>
        <v>40049081162762</v>
      </c>
      <c r="T29" s="265">
        <f>_xlfn.XLOOKUP(E29,'All Products'!D:D,'All Products'!N:N,FALSE)</f>
        <v>0.20799999999999999</v>
      </c>
      <c r="U29" s="266">
        <f>_xlfn.XLOOKUP(E29,'All Products'!D:D,'All Products'!O:O,FALSE)</f>
        <v>10</v>
      </c>
      <c r="V29" s="265">
        <f>_xlfn.XLOOKUP(E29,'All Products'!D:D,'All Products'!P:P,FALSE)</f>
        <v>11.9</v>
      </c>
      <c r="W29" s="265">
        <f>_xlfn.XLOOKUP(E29,'All Products'!D:D,'All Products'!Q:Q,FALSE)</f>
        <v>0.65</v>
      </c>
    </row>
    <row r="30" spans="1:23">
      <c r="A30" s="101" t="str">
        <f>IF(K30&gt;0,COUNT($A$7:A29)
+COUNT('DWV PVC'!$A$9:$A$316)
+COUNT('DWV ABS'!$A$8:$A$116)
+COUNT('PVC SCH40'!$A$8:$A$424)
+COUNT('PVC SCH40 LD'!$A$8:$A$21)
+COUNT('Pool &amp; SPA Sweep Elbows'!$A$8:$A$11)
+COUNT('Pool &amp; SPA Pipe Extender'!$A$8:$A$10)+1,"")</f>
        <v/>
      </c>
      <c r="B30" s="610"/>
      <c r="C30" s="611"/>
      <c r="D30" s="142" t="str">
        <f>_xlfn.XLOOKUP(E30,'All Products'!D:D,'All Products'!C:C,FALSE)</f>
        <v>806-012</v>
      </c>
      <c r="E30" s="103">
        <v>100023511</v>
      </c>
      <c r="F30" s="413" t="str">
        <f>_xlfn.XLOOKUP(E30,'All Products'!D:D,'All Products'!E:E,FALSE)</f>
        <v>1-1/4 ELBOW 90 SXS SCH80</v>
      </c>
      <c r="G30" s="233">
        <f>_xlfn.XLOOKUP(E30,'All Products'!D:D,'All Products'!F:F,FALSE)</f>
        <v>50</v>
      </c>
      <c r="H30" s="196">
        <f>_xlfn.XLOOKUP(E30,'All Products'!D:D,'All Products'!G:G,FALSE)</f>
        <v>3750</v>
      </c>
      <c r="I30" s="415">
        <f>_xlfn.XLOOKUP(E30,'All Products'!D:D,'All Products'!H:H,FALSE)</f>
        <v>22.83</v>
      </c>
      <c r="J30" s="130">
        <f>ROUND(I30*Order_Quote!$L$8,2)</f>
        <v>22.83</v>
      </c>
      <c r="K30" s="75"/>
      <c r="L30" s="113"/>
      <c r="M30" s="171">
        <f t="shared" si="0"/>
        <v>0</v>
      </c>
      <c r="O30" s="265" t="str">
        <f>_xlfn.XLOOKUP(E30,'All Products'!D:D,'All Products'!I:I,FALSE)</f>
        <v>In Stock</v>
      </c>
      <c r="P30" s="265" t="str">
        <f>_xlfn.XLOOKUP(E30,'All Products'!D:D,'All Products'!J:J,FALSE)</f>
        <v>Manufactured</v>
      </c>
      <c r="Q30" s="266">
        <f>_xlfn.XLOOKUP(E30,'All Products'!D:D,'All Products'!K:K,FALSE)</f>
        <v>49081162825</v>
      </c>
      <c r="R30" s="266">
        <f>_xlfn.XLOOKUP(E30,'All Products'!D:D,'All Products'!L:L,FALSE)</f>
        <v>49081662820</v>
      </c>
      <c r="S30" s="266">
        <f>_xlfn.XLOOKUP(E30,'All Products'!D:D,'All Products'!M:M,FALSE)</f>
        <v>40049081162823</v>
      </c>
      <c r="T30" s="265">
        <f>_xlfn.XLOOKUP(E30,'All Products'!D:D,'All Products'!N:N,FALSE)</f>
        <v>0.26900000000000002</v>
      </c>
      <c r="U30" s="266">
        <f>_xlfn.XLOOKUP(E30,'All Products'!D:D,'All Products'!O:O,FALSE)</f>
        <v>5</v>
      </c>
      <c r="V30" s="265">
        <f>_xlfn.XLOOKUP(E30,'All Products'!D:D,'All Products'!P:P,FALSE)</f>
        <v>17.25</v>
      </c>
      <c r="W30" s="265">
        <f>_xlfn.XLOOKUP(E30,'All Products'!D:D,'All Products'!Q:Q,FALSE)</f>
        <v>0.95</v>
      </c>
    </row>
    <row r="31" spans="1:23">
      <c r="A31" s="101" t="str">
        <f>IF(K31&gt;0,COUNT($A$7:A30)
+COUNT('DWV PVC'!$A$9:$A$316)
+COUNT('DWV ABS'!$A$8:$A$116)
+COUNT('PVC SCH40'!$A$8:$A$424)
+COUNT('PVC SCH40 LD'!$A$8:$A$21)
+COUNT('Pool &amp; SPA Sweep Elbows'!$A$8:$A$11)
+COUNT('Pool &amp; SPA Pipe Extender'!$A$8:$A$10)+1,"")</f>
        <v/>
      </c>
      <c r="B31" s="610"/>
      <c r="C31" s="611"/>
      <c r="D31" s="142" t="str">
        <f>_xlfn.XLOOKUP(E31,'All Products'!D:D,'All Products'!C:C,FALSE)</f>
        <v>806-015</v>
      </c>
      <c r="E31" s="103">
        <v>100023512</v>
      </c>
      <c r="F31" s="413" t="str">
        <f>_xlfn.XLOOKUP(E31,'All Products'!D:D,'All Products'!E:E,FALSE)</f>
        <v>1-1/2 ELBOW 90 SXS SCH80</v>
      </c>
      <c r="G31" s="233">
        <f>_xlfn.XLOOKUP(E31,'All Products'!D:D,'All Products'!F:F,FALSE)</f>
        <v>25</v>
      </c>
      <c r="H31" s="196">
        <f>_xlfn.XLOOKUP(E31,'All Products'!D:D,'All Products'!G:G,FALSE)</f>
        <v>2250</v>
      </c>
      <c r="I31" s="415">
        <f>_xlfn.XLOOKUP(E31,'All Products'!D:D,'All Products'!H:H,FALSE)</f>
        <v>24.45</v>
      </c>
      <c r="J31" s="130">
        <f>ROUND(I31*Order_Quote!$L$8,2)</f>
        <v>24.45</v>
      </c>
      <c r="K31" s="75"/>
      <c r="L31" s="113"/>
      <c r="M31" s="171">
        <f t="shared" si="0"/>
        <v>0</v>
      </c>
      <c r="O31" s="265" t="str">
        <f>_xlfn.XLOOKUP(E31,'All Products'!D:D,'All Products'!I:I,FALSE)</f>
        <v>In Stock</v>
      </c>
      <c r="P31" s="265" t="str">
        <f>_xlfn.XLOOKUP(E31,'All Products'!D:D,'All Products'!J:J,FALSE)</f>
        <v>Manufactured</v>
      </c>
      <c r="Q31" s="266">
        <f>_xlfn.XLOOKUP(E31,'All Products'!D:D,'All Products'!K:K,FALSE)</f>
        <v>49081162900</v>
      </c>
      <c r="R31" s="266">
        <f>_xlfn.XLOOKUP(E31,'All Products'!D:D,'All Products'!L:L,FALSE)</f>
        <v>49081662905</v>
      </c>
      <c r="S31" s="266">
        <f>_xlfn.XLOOKUP(E31,'All Products'!D:D,'All Products'!M:M,FALSE)</f>
        <v>40049081162908</v>
      </c>
      <c r="T31" s="265">
        <f>_xlfn.XLOOKUP(E31,'All Products'!D:D,'All Products'!N:N,FALSE)</f>
        <v>0.36199999999999999</v>
      </c>
      <c r="U31" s="266">
        <f>_xlfn.XLOOKUP(E31,'All Products'!D:D,'All Products'!O:O,FALSE)</f>
        <v>5</v>
      </c>
      <c r="V31" s="265">
        <f>_xlfn.XLOOKUP(E31,'All Products'!D:D,'All Products'!P:P,FALSE)</f>
        <v>9.93</v>
      </c>
      <c r="W31" s="265">
        <f>_xlfn.XLOOKUP(E31,'All Products'!D:D,'All Products'!Q:Q,FALSE)</f>
        <v>0.8</v>
      </c>
    </row>
    <row r="32" spans="1:23">
      <c r="A32" s="101" t="str">
        <f>IF(K32&gt;0,COUNT($A$7:A31)
+COUNT('DWV PVC'!$A$9:$A$316)
+COUNT('DWV ABS'!$A$8:$A$116)
+COUNT('PVC SCH40'!$A$8:$A$424)
+COUNT('PVC SCH40 LD'!$A$8:$A$21)
+COUNT('Pool &amp; SPA Sweep Elbows'!$A$8:$A$11)
+COUNT('Pool &amp; SPA Pipe Extender'!$A$8:$A$10)+1,"")</f>
        <v/>
      </c>
      <c r="B32" s="610"/>
      <c r="C32" s="611"/>
      <c r="D32" s="142" t="str">
        <f>_xlfn.XLOOKUP(E32,'All Products'!D:D,'All Products'!C:C,FALSE)</f>
        <v>806-020</v>
      </c>
      <c r="E32" s="103">
        <v>100023513</v>
      </c>
      <c r="F32" s="413" t="str">
        <f>_xlfn.XLOOKUP(E32,'All Products'!D:D,'All Products'!E:E,FALSE)</f>
        <v>2 ELBOW 90 SXS SCH80</v>
      </c>
      <c r="G32" s="233">
        <f>_xlfn.XLOOKUP(E32,'All Products'!D:D,'All Products'!F:F,FALSE)</f>
        <v>25</v>
      </c>
      <c r="H32" s="196">
        <f>_xlfn.XLOOKUP(E32,'All Products'!D:D,'All Products'!G:G,FALSE)</f>
        <v>1875</v>
      </c>
      <c r="I32" s="415">
        <f>_xlfn.XLOOKUP(E32,'All Products'!D:D,'All Products'!H:H,FALSE)</f>
        <v>29.52</v>
      </c>
      <c r="J32" s="130">
        <f>ROUND(I32*Order_Quote!$L$8,2)</f>
        <v>29.52</v>
      </c>
      <c r="K32" s="75"/>
      <c r="L32" s="113"/>
      <c r="M32" s="171">
        <f t="shared" si="0"/>
        <v>0</v>
      </c>
      <c r="O32" s="265" t="str">
        <f>_xlfn.XLOOKUP(E32,'All Products'!D:D,'All Products'!I:I,FALSE)</f>
        <v>In Stock</v>
      </c>
      <c r="P32" s="265" t="str">
        <f>_xlfn.XLOOKUP(E32,'All Products'!D:D,'All Products'!J:J,FALSE)</f>
        <v>Manufactured</v>
      </c>
      <c r="Q32" s="266">
        <f>_xlfn.XLOOKUP(E32,'All Products'!D:D,'All Products'!K:K,FALSE)</f>
        <v>49081162986</v>
      </c>
      <c r="R32" s="266">
        <f>_xlfn.XLOOKUP(E32,'All Products'!D:D,'All Products'!L:L,FALSE)</f>
        <v>49081662981</v>
      </c>
      <c r="S32" s="266">
        <f>_xlfn.XLOOKUP(E32,'All Products'!D:D,'All Products'!M:M,FALSE)</f>
        <v>40049081162984</v>
      </c>
      <c r="T32" s="265">
        <f>_xlfn.XLOOKUP(E32,'All Products'!D:D,'All Products'!N:N,FALSE)</f>
        <v>0.56000000000000005</v>
      </c>
      <c r="U32" s="266">
        <f>_xlfn.XLOOKUP(E32,'All Products'!D:D,'All Products'!O:O,FALSE)</f>
        <v>5</v>
      </c>
      <c r="V32" s="265">
        <f>_xlfn.XLOOKUP(E32,'All Products'!D:D,'All Products'!P:P,FALSE)</f>
        <v>14.71</v>
      </c>
      <c r="W32" s="265">
        <f>_xlfn.XLOOKUP(E32,'All Products'!D:D,'All Products'!Q:Q,FALSE)</f>
        <v>1.1000000000000001</v>
      </c>
    </row>
    <row r="33" spans="1:23">
      <c r="A33" s="101" t="str">
        <f>IF(K33&gt;0,COUNT($A$7:A32)
+COUNT('DWV PVC'!$A$9:$A$316)
+COUNT('DWV ABS'!$A$8:$A$116)
+COUNT('PVC SCH40'!$A$8:$A$424)
+COUNT('PVC SCH40 LD'!$A$8:$A$21)
+COUNT('Pool &amp; SPA Sweep Elbows'!$A$8:$A$11)
+COUNT('Pool &amp; SPA Pipe Extender'!$A$8:$A$10)+1,"")</f>
        <v/>
      </c>
      <c r="B33" s="610"/>
      <c r="C33" s="611"/>
      <c r="D33" s="142" t="str">
        <f>_xlfn.XLOOKUP(E33,'All Products'!D:D,'All Products'!C:C,FALSE)</f>
        <v>806-030</v>
      </c>
      <c r="E33" s="103">
        <v>100023515</v>
      </c>
      <c r="F33" s="413" t="str">
        <f>_xlfn.XLOOKUP(E33,'All Products'!D:D,'All Products'!E:E,FALSE)</f>
        <v>3 ELBOW 90 SXS SCH80</v>
      </c>
      <c r="G33" s="233">
        <f>_xlfn.XLOOKUP(E33,'All Products'!D:D,'All Products'!F:F,FALSE)</f>
        <v>10</v>
      </c>
      <c r="H33" s="196">
        <f>_xlfn.XLOOKUP(E33,'All Products'!D:D,'All Products'!G:G,FALSE)</f>
        <v>750</v>
      </c>
      <c r="I33" s="415">
        <f>_xlfn.XLOOKUP(E33,'All Products'!D:D,'All Products'!H:H,FALSE)</f>
        <v>77.7</v>
      </c>
      <c r="J33" s="130">
        <f>ROUND(I33*Order_Quote!$L$8,2)</f>
        <v>77.7</v>
      </c>
      <c r="K33" s="75"/>
      <c r="L33" s="113"/>
      <c r="M33" s="171">
        <f t="shared" ref="M33:M68" si="1">K33/G33</f>
        <v>0</v>
      </c>
      <c r="O33" s="265" t="str">
        <f>_xlfn.XLOOKUP(E33,'All Products'!D:D,'All Products'!I:I,FALSE)</f>
        <v>In Stock</v>
      </c>
      <c r="P33" s="265" t="str">
        <f>_xlfn.XLOOKUP(E33,'All Products'!D:D,'All Products'!J:J,FALSE)</f>
        <v>Manufactured</v>
      </c>
      <c r="Q33" s="266">
        <f>_xlfn.XLOOKUP(E33,'All Products'!D:D,'All Products'!K:K,FALSE)</f>
        <v>49081163068</v>
      </c>
      <c r="R33" s="266" t="str">
        <f>_xlfn.XLOOKUP(E33,'All Products'!D:D,'All Products'!L:L,FALSE)</f>
        <v>-</v>
      </c>
      <c r="S33" s="266">
        <f>_xlfn.XLOOKUP(E33,'All Products'!D:D,'All Products'!M:M,FALSE)</f>
        <v>40049081163066</v>
      </c>
      <c r="T33" s="265">
        <f>_xlfn.XLOOKUP(E33,'All Products'!D:D,'All Products'!N:N,FALSE)</f>
        <v>1.63</v>
      </c>
      <c r="U33" s="266" t="str">
        <f>_xlfn.XLOOKUP(E33,'All Products'!D:D,'All Products'!O:O,FALSE)</f>
        <v>-</v>
      </c>
      <c r="V33" s="265">
        <f>_xlfn.XLOOKUP(E33,'All Products'!D:D,'All Products'!P:P,FALSE)</f>
        <v>17.98</v>
      </c>
      <c r="W33" s="265">
        <f>_xlfn.XLOOKUP(E33,'All Products'!D:D,'All Products'!Q:Q,FALSE)</f>
        <v>1.1000000000000001</v>
      </c>
    </row>
    <row r="34" spans="1:23">
      <c r="A34" s="101" t="str">
        <f>IF(K34&gt;0,COUNT($A$7:A33)
+COUNT('DWV PVC'!$A$9:$A$316)
+COUNT('DWV ABS'!$A$8:$A$116)
+COUNT('PVC SCH40'!$A$8:$A$424)
+COUNT('PVC SCH40 LD'!$A$8:$A$21)
+COUNT('Pool &amp; SPA Sweep Elbows'!$A$8:$A$11)
+COUNT('Pool &amp; SPA Pipe Extender'!$A$8:$A$10)+1,"")</f>
        <v/>
      </c>
      <c r="B34" s="610"/>
      <c r="C34" s="611"/>
      <c r="D34" s="142" t="str">
        <f>_xlfn.XLOOKUP(E34,'All Products'!D:D,'All Products'!C:C,FALSE)</f>
        <v>806-040</v>
      </c>
      <c r="E34" s="103">
        <v>100023516</v>
      </c>
      <c r="F34" s="413" t="str">
        <f>_xlfn.XLOOKUP(E34,'All Products'!D:D,'All Products'!E:E,FALSE)</f>
        <v>4 ELBOW 90 SXS SCH80</v>
      </c>
      <c r="G34" s="233">
        <f>_xlfn.XLOOKUP(E34,'All Products'!D:D,'All Products'!F:F,FALSE)</f>
        <v>5</v>
      </c>
      <c r="H34" s="196">
        <f>_xlfn.XLOOKUP(E34,'All Products'!D:D,'All Products'!G:G,FALSE)</f>
        <v>375</v>
      </c>
      <c r="I34" s="415">
        <f>_xlfn.XLOOKUP(E34,'All Products'!D:D,'All Products'!H:H,FALSE)</f>
        <v>118.19</v>
      </c>
      <c r="J34" s="130">
        <f>ROUND(I34*Order_Quote!$L$8,2)</f>
        <v>118.19</v>
      </c>
      <c r="K34" s="75"/>
      <c r="L34" s="113"/>
      <c r="M34" s="171">
        <f t="shared" si="1"/>
        <v>0</v>
      </c>
      <c r="O34" s="265" t="str">
        <f>_xlfn.XLOOKUP(E34,'All Products'!D:D,'All Products'!I:I,FALSE)</f>
        <v>In Stock</v>
      </c>
      <c r="P34" s="265" t="str">
        <f>_xlfn.XLOOKUP(E34,'All Products'!D:D,'All Products'!J:J,FALSE)</f>
        <v>Manufactured</v>
      </c>
      <c r="Q34" s="266">
        <f>_xlfn.XLOOKUP(E34,'All Products'!D:D,'All Products'!K:K,FALSE)</f>
        <v>49081163082</v>
      </c>
      <c r="R34" s="266" t="str">
        <f>_xlfn.XLOOKUP(E34,'All Products'!D:D,'All Products'!L:L,FALSE)</f>
        <v>-</v>
      </c>
      <c r="S34" s="266">
        <f>_xlfn.XLOOKUP(E34,'All Products'!D:D,'All Products'!M:M,FALSE)</f>
        <v>40049081163080</v>
      </c>
      <c r="T34" s="265">
        <f>_xlfn.XLOOKUP(E34,'All Products'!D:D,'All Products'!N:N,FALSE)</f>
        <v>2.7610000000000001</v>
      </c>
      <c r="U34" s="266" t="str">
        <f>_xlfn.XLOOKUP(E34,'All Products'!D:D,'All Products'!O:O,FALSE)</f>
        <v>-</v>
      </c>
      <c r="V34" s="265">
        <f>_xlfn.XLOOKUP(E34,'All Products'!D:D,'All Products'!P:P,FALSE)</f>
        <v>15.1</v>
      </c>
      <c r="W34" s="265">
        <f>_xlfn.XLOOKUP(E34,'All Products'!D:D,'All Products'!Q:Q,FALSE)</f>
        <v>1.1000000000000001</v>
      </c>
    </row>
    <row r="35" spans="1:23">
      <c r="A35" s="101" t="str">
        <f>IF(K35&gt;0,COUNT($A$7:A34)
+COUNT('DWV PVC'!$A$9:$A$316)
+COUNT('DWV ABS'!$A$8:$A$116)
+COUNT('PVC SCH40'!$A$8:$A$424)
+COUNT('PVC SCH40 LD'!$A$8:$A$21)
+COUNT('Pool &amp; SPA Sweep Elbows'!$A$8:$A$11)
+COUNT('Pool &amp; SPA Pipe Extender'!$A$8:$A$10)+1,"")</f>
        <v/>
      </c>
      <c r="B35" s="612"/>
      <c r="C35" s="613"/>
      <c r="D35" s="142" t="str">
        <f>_xlfn.XLOOKUP(E35,'All Products'!D:D,'All Products'!C:C,FALSE)</f>
        <v>806-080</v>
      </c>
      <c r="E35" s="103">
        <v>100023518</v>
      </c>
      <c r="F35" s="413" t="str">
        <f>_xlfn.XLOOKUP(E35,'All Products'!D:D,'All Products'!E:E,FALSE)</f>
        <v>8 ELBOW 90 SXS SCH80</v>
      </c>
      <c r="G35" s="233">
        <f>_xlfn.XLOOKUP(E35,'All Products'!D:D,'All Products'!F:F,FALSE)</f>
        <v>2</v>
      </c>
      <c r="H35" s="196">
        <f>_xlfn.XLOOKUP(E35,'All Products'!D:D,'All Products'!G:G,FALSE)</f>
        <v>48</v>
      </c>
      <c r="I35" s="415">
        <f>_xlfn.XLOOKUP(E35,'All Products'!D:D,'All Products'!H:H,FALSE)</f>
        <v>926.88</v>
      </c>
      <c r="J35" s="130">
        <f>ROUND(I35*Order_Quote!$L$8,2)</f>
        <v>926.88</v>
      </c>
      <c r="K35" s="75"/>
      <c r="L35" s="113"/>
      <c r="M35" s="171">
        <f t="shared" si="1"/>
        <v>0</v>
      </c>
      <c r="O35" s="265" t="str">
        <f>_xlfn.XLOOKUP(E35,'All Products'!D:D,'All Products'!I:I,FALSE)</f>
        <v>In Stock</v>
      </c>
      <c r="P35" s="265" t="str">
        <f>_xlfn.XLOOKUP(E35,'All Products'!D:D,'All Products'!J:J,FALSE)</f>
        <v>Manufactured</v>
      </c>
      <c r="Q35" s="266">
        <f>_xlfn.XLOOKUP(E35,'All Products'!D:D,'All Products'!K:K,FALSE)</f>
        <v>49081163143</v>
      </c>
      <c r="R35" s="266" t="str">
        <f>_xlfn.XLOOKUP(E35,'All Products'!D:D,'All Products'!L:L,FALSE)</f>
        <v>-</v>
      </c>
      <c r="S35" s="266">
        <f>_xlfn.XLOOKUP(E35,'All Products'!D:D,'All Products'!M:M,FALSE)</f>
        <v>40049081163141</v>
      </c>
      <c r="T35" s="265">
        <f>_xlfn.XLOOKUP(E35,'All Products'!D:D,'All Products'!N:N,FALSE)</f>
        <v>15.573</v>
      </c>
      <c r="U35" s="266" t="str">
        <f>_xlfn.XLOOKUP(E35,'All Products'!D:D,'All Products'!O:O,FALSE)</f>
        <v>-</v>
      </c>
      <c r="V35" s="265">
        <f>_xlfn.XLOOKUP(E35,'All Products'!D:D,'All Products'!P:P,FALSE)</f>
        <v>30.15</v>
      </c>
      <c r="W35" s="265">
        <f>_xlfn.XLOOKUP(E35,'All Products'!D:D,'All Products'!Q:Q,FALSE)</f>
        <v>2.77</v>
      </c>
    </row>
    <row r="36" spans="1:23" ht="29.25" customHeight="1">
      <c r="A36" s="101" t="str">
        <f>IF(K36&gt;0,COUNT($A$7:A35)
+COUNT('DWV PVC'!$A$9:$A$316)
+COUNT('DWV ABS'!$A$8:$A$116)
+COUNT('PVC SCH40'!$A$8:$A$424)
+COUNT('PVC SCH40 LD'!$A$8:$A$21)
+COUNT('Pool &amp; SPA Sweep Elbows'!$A$8:$A$11)
+COUNT('Pool &amp; SPA Pipe Extender'!$A$8:$A$10)+1,"")</f>
        <v/>
      </c>
      <c r="B36" s="610"/>
      <c r="C36" s="611"/>
      <c r="D36" s="142" t="str">
        <f>_xlfn.XLOOKUP(E36,'All Products'!D:D,'All Products'!C:C,FALSE)</f>
        <v>807-007</v>
      </c>
      <c r="E36" s="103">
        <v>100023520</v>
      </c>
      <c r="F36" s="413" t="str">
        <f>_xlfn.XLOOKUP(E36,'All Products'!D:D,'All Products'!E:E,FALSE)</f>
        <v>3/4 ELBOW 90 SXFIPT SCH80</v>
      </c>
      <c r="G36" s="233">
        <f>_xlfn.XLOOKUP(E36,'All Products'!D:D,'All Products'!F:F,FALSE)</f>
        <v>200</v>
      </c>
      <c r="H36" s="196">
        <f>_xlfn.XLOOKUP(E36,'All Products'!D:D,'All Products'!G:G,FALSE)</f>
        <v>12000</v>
      </c>
      <c r="I36" s="415">
        <f>_xlfn.XLOOKUP(E36,'All Products'!D:D,'All Products'!H:H,FALSE)</f>
        <v>38.32</v>
      </c>
      <c r="J36" s="130">
        <f>ROUND(I36*Order_Quote!$L$8,2)</f>
        <v>38.32</v>
      </c>
      <c r="K36" s="75"/>
      <c r="L36" s="113"/>
      <c r="M36" s="171">
        <f t="shared" si="1"/>
        <v>0</v>
      </c>
      <c r="O36" s="265" t="str">
        <f>_xlfn.XLOOKUP(E36,'All Products'!D:D,'All Products'!I:I,FALSE)</f>
        <v>In Stock</v>
      </c>
      <c r="P36" s="265" t="str">
        <f>_xlfn.XLOOKUP(E36,'All Products'!D:D,'All Products'!J:J,FALSE)</f>
        <v>Manufactured</v>
      </c>
      <c r="Q36" s="266">
        <f>_xlfn.XLOOKUP(E36,'All Products'!D:D,'All Products'!K:K,FALSE)</f>
        <v>49081163303</v>
      </c>
      <c r="R36" s="266">
        <f>_xlfn.XLOOKUP(E36,'All Products'!D:D,'All Products'!L:L,FALSE)</f>
        <v>49081663308</v>
      </c>
      <c r="S36" s="266">
        <f>_xlfn.XLOOKUP(E36,'All Products'!D:D,'All Products'!M:M,FALSE)</f>
        <v>40049081163301</v>
      </c>
      <c r="T36" s="265">
        <f>_xlfn.XLOOKUP(E36,'All Products'!D:D,'All Products'!N:N,FALSE)</f>
        <v>0.17499999999999999</v>
      </c>
      <c r="U36" s="266">
        <f>_xlfn.XLOOKUP(E36,'All Products'!D:D,'All Products'!O:O,FALSE)</f>
        <v>10</v>
      </c>
      <c r="V36" s="265">
        <f>_xlfn.XLOOKUP(E36,'All Products'!D:D,'All Products'!P:P,FALSE)</f>
        <v>35.619999999999997</v>
      </c>
      <c r="W36" s="265">
        <f>_xlfn.XLOOKUP(E36,'All Products'!D:D,'All Products'!Q:Q,FALSE)</f>
        <v>1.41</v>
      </c>
    </row>
    <row r="37" spans="1:23" ht="29.25" customHeight="1">
      <c r="A37" s="101" t="str">
        <f>IF(K37&gt;0,COUNT($A$7:A36)
+COUNT('DWV PVC'!$A$9:$A$316)
+COUNT('DWV ABS'!$A$8:$A$116)
+COUNT('PVC SCH40'!$A$8:$A$424)
+COUNT('PVC SCH40 LD'!$A$8:$A$21)
+COUNT('Pool &amp; SPA Sweep Elbows'!$A$8:$A$11)
+COUNT('Pool &amp; SPA Pipe Extender'!$A$8:$A$10)+1,"")</f>
        <v/>
      </c>
      <c r="B37" s="610"/>
      <c r="C37" s="611"/>
      <c r="D37" s="142" t="str">
        <f>_xlfn.XLOOKUP(E37,'All Products'!D:D,'All Products'!C:C,FALSE)</f>
        <v>807-010</v>
      </c>
      <c r="E37" s="103">
        <v>100023521</v>
      </c>
      <c r="F37" s="413" t="str">
        <f>_xlfn.XLOOKUP(E37,'All Products'!D:D,'All Products'!E:E,FALSE)</f>
        <v>1 ELBOW 90 SXFIPT SCH80</v>
      </c>
      <c r="G37" s="233">
        <f>_xlfn.XLOOKUP(E37,'All Products'!D:D,'All Products'!F:F,FALSE)</f>
        <v>50</v>
      </c>
      <c r="H37" s="196">
        <f>_xlfn.XLOOKUP(E37,'All Products'!D:D,'All Products'!G:G,FALSE)</f>
        <v>6000</v>
      </c>
      <c r="I37" s="415">
        <f>_xlfn.XLOOKUP(E37,'All Products'!D:D,'All Products'!H:H,FALSE)</f>
        <v>41.49</v>
      </c>
      <c r="J37" s="130">
        <f>ROUND(I37*Order_Quote!$L$8,2)</f>
        <v>41.49</v>
      </c>
      <c r="K37" s="75"/>
      <c r="L37" s="113"/>
      <c r="M37" s="171">
        <f t="shared" si="1"/>
        <v>0</v>
      </c>
      <c r="O37" s="265" t="str">
        <f>_xlfn.XLOOKUP(E37,'All Products'!D:D,'All Products'!I:I,FALSE)</f>
        <v>In Stock</v>
      </c>
      <c r="P37" s="265" t="str">
        <f>_xlfn.XLOOKUP(E37,'All Products'!D:D,'All Products'!J:J,FALSE)</f>
        <v>Manufactured</v>
      </c>
      <c r="Q37" s="266">
        <f>_xlfn.XLOOKUP(E37,'All Products'!D:D,'All Products'!K:K,FALSE)</f>
        <v>49081163327</v>
      </c>
      <c r="R37" s="266">
        <f>_xlfn.XLOOKUP(E37,'All Products'!D:D,'All Products'!L:L,FALSE)</f>
        <v>49081663322</v>
      </c>
      <c r="S37" s="266">
        <f>_xlfn.XLOOKUP(E37,'All Products'!D:D,'All Products'!M:M,FALSE)</f>
        <v>40049081163325</v>
      </c>
      <c r="T37" s="265">
        <f>_xlfn.XLOOKUP(E37,'All Products'!D:D,'All Products'!N:N,FALSE)</f>
        <v>0.29199999999999998</v>
      </c>
      <c r="U37" s="266">
        <f>_xlfn.XLOOKUP(E37,'All Products'!D:D,'All Products'!O:O,FALSE)</f>
        <v>5</v>
      </c>
      <c r="V37" s="265">
        <f>_xlfn.XLOOKUP(E37,'All Products'!D:D,'All Products'!P:P,FALSE)</f>
        <v>14.76</v>
      </c>
      <c r="W37" s="265">
        <f>_xlfn.XLOOKUP(E37,'All Products'!D:D,'All Products'!Q:Q,FALSE)</f>
        <v>0.65</v>
      </c>
    </row>
    <row r="38" spans="1:23" ht="29.25" customHeight="1">
      <c r="A38" s="101" t="str">
        <f>IF(K38&gt;0,COUNT($A$7:A37)
+COUNT('DWV PVC'!$A$9:$A$316)
+COUNT('DWV ABS'!$A$8:$A$116)
+COUNT('PVC SCH40'!$A$8:$A$424)
+COUNT('PVC SCH40 LD'!$A$8:$A$21)
+COUNT('Pool &amp; SPA Sweep Elbows'!$A$8:$A$11)
+COUNT('Pool &amp; SPA Pipe Extender'!$A$8:$A$10)+1,"")</f>
        <v/>
      </c>
      <c r="B38" s="610"/>
      <c r="C38" s="611"/>
      <c r="D38" s="142" t="str">
        <f>_xlfn.XLOOKUP(E38,'All Products'!D:D,'All Products'!C:C,FALSE)</f>
        <v>807-020</v>
      </c>
      <c r="E38" s="103">
        <v>100023524</v>
      </c>
      <c r="F38" s="413" t="str">
        <f>_xlfn.XLOOKUP(E38,'All Products'!D:D,'All Products'!E:E,FALSE)</f>
        <v>2 ELBOW 90 SXFIPT SCH80</v>
      </c>
      <c r="G38" s="233">
        <f>_xlfn.XLOOKUP(E38,'All Products'!D:D,'All Products'!F:F,FALSE)</f>
        <v>25</v>
      </c>
      <c r="H38" s="196">
        <f>_xlfn.XLOOKUP(E38,'All Products'!D:D,'All Products'!G:G,FALSE)</f>
        <v>1875</v>
      </c>
      <c r="I38" s="415">
        <f>_xlfn.XLOOKUP(E38,'All Products'!D:D,'All Products'!H:H,FALSE)</f>
        <v>73.83</v>
      </c>
      <c r="J38" s="130">
        <f>ROUND(I38*Order_Quote!$L$8,2)</f>
        <v>73.83</v>
      </c>
      <c r="K38" s="75"/>
      <c r="L38" s="113"/>
      <c r="M38" s="171">
        <f t="shared" si="1"/>
        <v>0</v>
      </c>
      <c r="O38" s="265" t="str">
        <f>_xlfn.XLOOKUP(E38,'All Products'!D:D,'All Products'!I:I,FALSE)</f>
        <v>In Stock</v>
      </c>
      <c r="P38" s="265" t="str">
        <f>_xlfn.XLOOKUP(E38,'All Products'!D:D,'All Products'!J:J,FALSE)</f>
        <v>Manufactured</v>
      </c>
      <c r="Q38" s="266">
        <f>_xlfn.XLOOKUP(E38,'All Products'!D:D,'All Products'!K:K,FALSE)</f>
        <v>49081163389</v>
      </c>
      <c r="R38" s="266">
        <f>_xlfn.XLOOKUP(E38,'All Products'!D:D,'All Products'!L:L,FALSE)</f>
        <v>49081663384</v>
      </c>
      <c r="S38" s="266">
        <f>_xlfn.XLOOKUP(E38,'All Products'!D:D,'All Products'!M:M,FALSE)</f>
        <v>40049081163387</v>
      </c>
      <c r="T38" s="265">
        <f>_xlfn.XLOOKUP(E38,'All Products'!D:D,'All Products'!N:N,FALSE)</f>
        <v>0.79500000000000004</v>
      </c>
      <c r="U38" s="266">
        <f>_xlfn.XLOOKUP(E38,'All Products'!D:D,'All Products'!O:O,FALSE)</f>
        <v>5</v>
      </c>
      <c r="V38" s="265">
        <f>_xlfn.XLOOKUP(E38,'All Products'!D:D,'All Products'!P:P,FALSE)</f>
        <v>21.01</v>
      </c>
      <c r="W38" s="265">
        <f>_xlfn.XLOOKUP(E38,'All Products'!D:D,'All Products'!Q:Q,FALSE)</f>
        <v>1.1000000000000001</v>
      </c>
    </row>
    <row r="39" spans="1:23">
      <c r="A39" s="101" t="str">
        <f>IF(K39&gt;0,COUNT($A$7:A38)
+COUNT('DWV PVC'!$A$9:$A$316)
+COUNT('DWV ABS'!$A$8:$A$116)
+COUNT('PVC SCH40'!$A$8:$A$424)
+COUNT('PVC SCH40 LD'!$A$8:$A$21)
+COUNT('Pool &amp; SPA Sweep Elbows'!$A$8:$A$11)
+COUNT('Pool &amp; SPA Pipe Extender'!$A$8:$A$10)+1,"")</f>
        <v/>
      </c>
      <c r="B39" s="608"/>
      <c r="C39" s="609"/>
      <c r="D39" s="142" t="str">
        <f>_xlfn.XLOOKUP(E39,'All Products'!D:D,'All Products'!C:C,FALSE)</f>
        <v>808-002</v>
      </c>
      <c r="E39" s="103">
        <v>100023525</v>
      </c>
      <c r="F39" s="413" t="str">
        <f>_xlfn.XLOOKUP(E39,'All Products'!D:D,'All Products'!E:E,FALSE)</f>
        <v>1/4 ELBOW 90 FIPTXFIPT SCH80</v>
      </c>
      <c r="G39" s="233">
        <f>_xlfn.XLOOKUP(E39,'All Products'!D:D,'All Products'!F:F,FALSE)</f>
        <v>250</v>
      </c>
      <c r="H39" s="196">
        <f>_xlfn.XLOOKUP(E39,'All Products'!D:D,'All Products'!G:G,FALSE)</f>
        <v>37500</v>
      </c>
      <c r="I39" s="415">
        <f>_xlfn.XLOOKUP(E39,'All Products'!D:D,'All Products'!H:H,FALSE)</f>
        <v>20.54</v>
      </c>
      <c r="J39" s="130">
        <f>ROUND(I39*Order_Quote!$L$8,2)</f>
        <v>20.54</v>
      </c>
      <c r="K39" s="75"/>
      <c r="L39" s="113"/>
      <c r="M39" s="171">
        <f t="shared" si="1"/>
        <v>0</v>
      </c>
      <c r="O39" s="265" t="str">
        <f>_xlfn.XLOOKUP(E39,'All Products'!D:D,'All Products'!I:I,FALSE)</f>
        <v>In Stock</v>
      </c>
      <c r="P39" s="265" t="str">
        <f>_xlfn.XLOOKUP(E39,'All Products'!D:D,'All Products'!J:J,FALSE)</f>
        <v>Manufactured</v>
      </c>
      <c r="Q39" s="266">
        <f>_xlfn.XLOOKUP(E39,'All Products'!D:D,'All Products'!K:K,FALSE)</f>
        <v>49081163501</v>
      </c>
      <c r="R39" s="266">
        <f>_xlfn.XLOOKUP(E39,'All Products'!D:D,'All Products'!L:L,FALSE)</f>
        <v>49081663506</v>
      </c>
      <c r="S39" s="266">
        <f>_xlfn.XLOOKUP(E39,'All Products'!D:D,'All Products'!M:M,FALSE)</f>
        <v>40049081163509</v>
      </c>
      <c r="T39" s="265">
        <f>_xlfn.XLOOKUP(E39,'All Products'!D:D,'All Products'!N:N,FALSE)</f>
        <v>0.05</v>
      </c>
      <c r="U39" s="266">
        <f>_xlfn.XLOOKUP(E39,'All Products'!D:D,'All Products'!O:O,FALSE)</f>
        <v>10</v>
      </c>
      <c r="V39" s="265">
        <f>_xlfn.XLOOKUP(E39,'All Products'!D:D,'All Products'!P:P,FALSE)</f>
        <v>12.5</v>
      </c>
      <c r="W39" s="265">
        <f>_xlfn.XLOOKUP(E39,'All Products'!D:D,'All Products'!Q:Q,FALSE)</f>
        <v>0.5</v>
      </c>
    </row>
    <row r="40" spans="1:23">
      <c r="A40" s="101" t="str">
        <f>IF(K40&gt;0,COUNT($A$7:A39)
+COUNT('DWV PVC'!$A$9:$A$316)
+COUNT('DWV ABS'!$A$8:$A$116)
+COUNT('PVC SCH40'!$A$8:$A$424)
+COUNT('PVC SCH40 LD'!$A$8:$A$21)
+COUNT('Pool &amp; SPA Sweep Elbows'!$A$8:$A$11)
+COUNT('Pool &amp; SPA Pipe Extender'!$A$8:$A$10)+1,"")</f>
        <v/>
      </c>
      <c r="B40" s="610"/>
      <c r="C40" s="611"/>
      <c r="D40" s="142" t="str">
        <f>_xlfn.XLOOKUP(E40,'All Products'!D:D,'All Products'!C:C,FALSE)</f>
        <v>808-003</v>
      </c>
      <c r="E40" s="103">
        <v>100023526</v>
      </c>
      <c r="F40" s="413" t="str">
        <f>_xlfn.XLOOKUP(E40,'All Products'!D:D,'All Products'!E:E,FALSE)</f>
        <v>3/8 ELBOW 90 FIPTXFIPT SCH80</v>
      </c>
      <c r="G40" s="233">
        <f>_xlfn.XLOOKUP(E40,'All Products'!D:D,'All Products'!F:F,FALSE)</f>
        <v>250</v>
      </c>
      <c r="H40" s="196">
        <f>_xlfn.XLOOKUP(E40,'All Products'!D:D,'All Products'!G:G,FALSE)</f>
        <v>30000</v>
      </c>
      <c r="I40" s="415">
        <f>_xlfn.XLOOKUP(E40,'All Products'!D:D,'All Products'!H:H,FALSE)</f>
        <v>20.54</v>
      </c>
      <c r="J40" s="130">
        <f>ROUND(I40*Order_Quote!$L$8,2)</f>
        <v>20.54</v>
      </c>
      <c r="K40" s="75"/>
      <c r="L40" s="113"/>
      <c r="M40" s="171">
        <f t="shared" si="1"/>
        <v>0</v>
      </c>
      <c r="O40" s="265" t="str">
        <f>_xlfn.XLOOKUP(E40,'All Products'!D:D,'All Products'!I:I,FALSE)</f>
        <v>Within 3 Weeks</v>
      </c>
      <c r="P40" s="265" t="str">
        <f>_xlfn.XLOOKUP(E40,'All Products'!D:D,'All Products'!J:J,FALSE)</f>
        <v>Manufactured</v>
      </c>
      <c r="Q40" s="266">
        <f>_xlfn.XLOOKUP(E40,'All Products'!D:D,'All Products'!K:K,FALSE)</f>
        <v>49081163525</v>
      </c>
      <c r="R40" s="266">
        <f>_xlfn.XLOOKUP(E40,'All Products'!D:D,'All Products'!L:L,FALSE)</f>
        <v>49081663520</v>
      </c>
      <c r="S40" s="266">
        <f>_xlfn.XLOOKUP(E40,'All Products'!D:D,'All Products'!M:M,FALSE)</f>
        <v>40049081163523</v>
      </c>
      <c r="T40" s="265">
        <f>_xlfn.XLOOKUP(E40,'All Products'!D:D,'All Products'!N:N,FALSE)</f>
        <v>7.2999999999999995E-2</v>
      </c>
      <c r="U40" s="266">
        <f>_xlfn.XLOOKUP(E40,'All Products'!D:D,'All Products'!O:O,FALSE)</f>
        <v>10</v>
      </c>
      <c r="V40" s="265">
        <f>_xlfn.XLOOKUP(E40,'All Products'!D:D,'All Products'!P:P,FALSE)</f>
        <v>18.899999999999999</v>
      </c>
      <c r="W40" s="265">
        <f>_xlfn.XLOOKUP(E40,'All Products'!D:D,'All Products'!Q:Q,FALSE)</f>
        <v>0.65</v>
      </c>
    </row>
    <row r="41" spans="1:23">
      <c r="A41" s="101" t="str">
        <f>IF(K41&gt;0,COUNT($A$7:A40)
+COUNT('DWV PVC'!$A$9:$A$316)
+COUNT('DWV ABS'!$A$8:$A$116)
+COUNT('PVC SCH40'!$A$8:$A$424)
+COUNT('PVC SCH40 LD'!$A$8:$A$21)
+COUNT('Pool &amp; SPA Sweep Elbows'!$A$8:$A$11)
+COUNT('Pool &amp; SPA Pipe Extender'!$A$8:$A$10)+1,"")</f>
        <v/>
      </c>
      <c r="B41" s="610"/>
      <c r="C41" s="611"/>
      <c r="D41" s="142" t="str">
        <f>_xlfn.XLOOKUP(E41,'All Products'!D:D,'All Products'!C:C,FALSE)</f>
        <v>808-005</v>
      </c>
      <c r="E41" s="103">
        <v>100023527</v>
      </c>
      <c r="F41" s="413" t="str">
        <f>_xlfn.XLOOKUP(E41,'All Products'!D:D,'All Products'!E:E,FALSE)</f>
        <v>1/2 ELBOW 90 FIPTXFIPT SCH80</v>
      </c>
      <c r="G41" s="233">
        <f>_xlfn.XLOOKUP(E41,'All Products'!D:D,'All Products'!F:F,FALSE)</f>
        <v>250</v>
      </c>
      <c r="H41" s="196">
        <f>_xlfn.XLOOKUP(E41,'All Products'!D:D,'All Products'!G:G,FALSE)</f>
        <v>18750</v>
      </c>
      <c r="I41" s="415">
        <f>_xlfn.XLOOKUP(E41,'All Products'!D:D,'All Products'!H:H,FALSE)</f>
        <v>19.16</v>
      </c>
      <c r="J41" s="130">
        <f>ROUND(I41*Order_Quote!$L$8,2)</f>
        <v>19.16</v>
      </c>
      <c r="K41" s="75"/>
      <c r="L41" s="113"/>
      <c r="M41" s="171">
        <f t="shared" si="1"/>
        <v>0</v>
      </c>
      <c r="O41" s="265" t="str">
        <f>_xlfn.XLOOKUP(E41,'All Products'!D:D,'All Products'!I:I,FALSE)</f>
        <v>In Stock</v>
      </c>
      <c r="P41" s="265" t="str">
        <f>_xlfn.XLOOKUP(E41,'All Products'!D:D,'All Products'!J:J,FALSE)</f>
        <v>Manufactured</v>
      </c>
      <c r="Q41" s="266">
        <f>_xlfn.XLOOKUP(E41,'All Products'!D:D,'All Products'!K:K,FALSE)</f>
        <v>49081163549</v>
      </c>
      <c r="R41" s="266">
        <f>_xlfn.XLOOKUP(E41,'All Products'!D:D,'All Products'!L:L,FALSE)</f>
        <v>49081663544</v>
      </c>
      <c r="S41" s="266">
        <f>_xlfn.XLOOKUP(E41,'All Products'!D:D,'All Products'!M:M,FALSE)</f>
        <v>40049081163547</v>
      </c>
      <c r="T41" s="265">
        <f>_xlfn.XLOOKUP(E41,'All Products'!D:D,'All Products'!N:N,FALSE)</f>
        <v>0.13400000000000001</v>
      </c>
      <c r="U41" s="266">
        <f>_xlfn.XLOOKUP(E41,'All Products'!D:D,'All Products'!O:O,FALSE)</f>
        <v>10</v>
      </c>
      <c r="V41" s="265">
        <f>_xlfn.XLOOKUP(E41,'All Products'!D:D,'All Products'!P:P,FALSE)</f>
        <v>34.82</v>
      </c>
      <c r="W41" s="265">
        <f>_xlfn.XLOOKUP(E41,'All Products'!D:D,'All Products'!Q:Q,FALSE)</f>
        <v>1.1000000000000001</v>
      </c>
    </row>
    <row r="42" spans="1:23">
      <c r="A42" s="101" t="str">
        <f>IF(K42&gt;0,COUNT($A$7:A41)
+COUNT('DWV PVC'!$A$9:$A$316)
+COUNT('DWV ABS'!$A$8:$A$116)
+COUNT('PVC SCH40'!$A$8:$A$424)
+COUNT('PVC SCH40 LD'!$A$8:$A$21)
+COUNT('Pool &amp; SPA Sweep Elbows'!$A$8:$A$11)
+COUNT('Pool &amp; SPA Pipe Extender'!$A$8:$A$10)+1,"")</f>
        <v/>
      </c>
      <c r="B42" s="610"/>
      <c r="C42" s="611"/>
      <c r="D42" s="142" t="str">
        <f>_xlfn.XLOOKUP(E42,'All Products'!D:D,'All Products'!C:C,FALSE)</f>
        <v>808-007</v>
      </c>
      <c r="E42" s="103">
        <v>100023528</v>
      </c>
      <c r="F42" s="413" t="str">
        <f>_xlfn.XLOOKUP(E42,'All Products'!D:D,'All Products'!E:E,FALSE)</f>
        <v>3/4 ELBOW 90 FIPTXFIPT SCH80</v>
      </c>
      <c r="G42" s="233">
        <f>_xlfn.XLOOKUP(E42,'All Products'!D:D,'All Products'!F:F,FALSE)</f>
        <v>100</v>
      </c>
      <c r="H42" s="196">
        <f>_xlfn.XLOOKUP(E42,'All Products'!D:D,'All Products'!G:G,FALSE)</f>
        <v>12000</v>
      </c>
      <c r="I42" s="415">
        <f>_xlfn.XLOOKUP(E42,'All Products'!D:D,'All Products'!H:H,FALSE)</f>
        <v>23.91</v>
      </c>
      <c r="J42" s="130">
        <f>ROUND(I42*Order_Quote!$L$8,2)</f>
        <v>23.91</v>
      </c>
      <c r="K42" s="75"/>
      <c r="L42" s="113"/>
      <c r="M42" s="171">
        <f t="shared" si="1"/>
        <v>0</v>
      </c>
      <c r="O42" s="265" t="str">
        <f>_xlfn.XLOOKUP(E42,'All Products'!D:D,'All Products'!I:I,FALSE)</f>
        <v>In Stock</v>
      </c>
      <c r="P42" s="265" t="str">
        <f>_xlfn.XLOOKUP(E42,'All Products'!D:D,'All Products'!J:J,FALSE)</f>
        <v>Manufactured</v>
      </c>
      <c r="Q42" s="266">
        <f>_xlfn.XLOOKUP(E42,'All Products'!D:D,'All Products'!K:K,FALSE)</f>
        <v>49081163563</v>
      </c>
      <c r="R42" s="266">
        <f>_xlfn.XLOOKUP(E42,'All Products'!D:D,'All Products'!L:L,FALSE)</f>
        <v>49081663568</v>
      </c>
      <c r="S42" s="266">
        <f>_xlfn.XLOOKUP(E42,'All Products'!D:D,'All Products'!M:M,FALSE)</f>
        <v>40049081163561</v>
      </c>
      <c r="T42" s="265">
        <f>_xlfn.XLOOKUP(E42,'All Products'!D:D,'All Products'!N:N,FALSE)</f>
        <v>0.17699999999999999</v>
      </c>
      <c r="U42" s="266">
        <f>_xlfn.XLOOKUP(E42,'All Products'!D:D,'All Products'!O:O,FALSE)</f>
        <v>10</v>
      </c>
      <c r="V42" s="265">
        <f>_xlfn.XLOOKUP(E42,'All Products'!D:D,'All Products'!P:P,FALSE)</f>
        <v>18.36</v>
      </c>
      <c r="W42" s="265">
        <f>_xlfn.XLOOKUP(E42,'All Products'!D:D,'All Products'!Q:Q,FALSE)</f>
        <v>0.65</v>
      </c>
    </row>
    <row r="43" spans="1:23">
      <c r="A43" s="101" t="str">
        <f>IF(K43&gt;0,COUNT($A$7:A42)
+COUNT('DWV PVC'!$A$9:$A$316)
+COUNT('DWV ABS'!$A$8:$A$116)
+COUNT('PVC SCH40'!$A$8:$A$424)
+COUNT('PVC SCH40 LD'!$A$8:$A$21)
+COUNT('Pool &amp; SPA Sweep Elbows'!$A$8:$A$11)
+COUNT('Pool &amp; SPA Pipe Extender'!$A$8:$A$10)+1,"")</f>
        <v/>
      </c>
      <c r="B43" s="610"/>
      <c r="C43" s="611"/>
      <c r="D43" s="142" t="str">
        <f>_xlfn.XLOOKUP(E43,'All Products'!D:D,'All Products'!C:C,FALSE)</f>
        <v>808-010</v>
      </c>
      <c r="E43" s="103">
        <v>100023529</v>
      </c>
      <c r="F43" s="413" t="str">
        <f>_xlfn.XLOOKUP(E43,'All Products'!D:D,'All Products'!E:E,FALSE)</f>
        <v>1 ELBOW 90 FIPTXFIPT SCH80</v>
      </c>
      <c r="G43" s="233">
        <f>_xlfn.XLOOKUP(E43,'All Products'!D:D,'All Products'!F:F,FALSE)</f>
        <v>50</v>
      </c>
      <c r="H43" s="196">
        <f>_xlfn.XLOOKUP(E43,'All Products'!D:D,'All Products'!G:G,FALSE)</f>
        <v>6000</v>
      </c>
      <c r="I43" s="415">
        <f>_xlfn.XLOOKUP(E43,'All Products'!D:D,'All Products'!H:H,FALSE)</f>
        <v>30.07</v>
      </c>
      <c r="J43" s="130">
        <f>ROUND(I43*Order_Quote!$L$8,2)</f>
        <v>30.07</v>
      </c>
      <c r="K43" s="75"/>
      <c r="L43" s="113"/>
      <c r="M43" s="171">
        <f t="shared" si="1"/>
        <v>0</v>
      </c>
      <c r="O43" s="265" t="str">
        <f>_xlfn.XLOOKUP(E43,'All Products'!D:D,'All Products'!I:I,FALSE)</f>
        <v>In Stock</v>
      </c>
      <c r="P43" s="265" t="str">
        <f>_xlfn.XLOOKUP(E43,'All Products'!D:D,'All Products'!J:J,FALSE)</f>
        <v>Manufactured</v>
      </c>
      <c r="Q43" s="266">
        <f>_xlfn.XLOOKUP(E43,'All Products'!D:D,'All Products'!K:K,FALSE)</f>
        <v>49081163587</v>
      </c>
      <c r="R43" s="266">
        <f>_xlfn.XLOOKUP(E43,'All Products'!D:D,'All Products'!L:L,FALSE)</f>
        <v>49081663582</v>
      </c>
      <c r="S43" s="266">
        <f>_xlfn.XLOOKUP(E43,'All Products'!D:D,'All Products'!M:M,FALSE)</f>
        <v>40049081163585</v>
      </c>
      <c r="T43" s="265">
        <f>_xlfn.XLOOKUP(E43,'All Products'!D:D,'All Products'!N:N,FALSE)</f>
        <v>0.27600000000000002</v>
      </c>
      <c r="U43" s="266">
        <f>_xlfn.XLOOKUP(E43,'All Products'!D:D,'All Products'!O:O,FALSE)</f>
        <v>5</v>
      </c>
      <c r="V43" s="265">
        <f>_xlfn.XLOOKUP(E43,'All Products'!D:D,'All Products'!P:P,FALSE)</f>
        <v>15.27</v>
      </c>
      <c r="W43" s="265">
        <f>_xlfn.XLOOKUP(E43,'All Products'!D:D,'All Products'!Q:Q,FALSE)</f>
        <v>0.65</v>
      </c>
    </row>
    <row r="44" spans="1:23">
      <c r="A44" s="101" t="str">
        <f>IF(K44&gt;0,COUNT($A$7:A43)
+COUNT('DWV PVC'!$A$9:$A$316)
+COUNT('DWV ABS'!$A$8:$A$116)
+COUNT('PVC SCH40'!$A$8:$A$424)
+COUNT('PVC SCH40 LD'!$A$8:$A$21)
+COUNT('Pool &amp; SPA Sweep Elbows'!$A$8:$A$11)
+COUNT('Pool &amp; SPA Pipe Extender'!$A$8:$A$10)+1,"")</f>
        <v/>
      </c>
      <c r="B44" s="610"/>
      <c r="C44" s="611"/>
      <c r="D44" s="142" t="str">
        <f>_xlfn.XLOOKUP(E44,'All Products'!D:D,'All Products'!C:C,FALSE)</f>
        <v>808-012</v>
      </c>
      <c r="E44" s="103">
        <v>100023530</v>
      </c>
      <c r="F44" s="413" t="str">
        <f>_xlfn.XLOOKUP(E44,'All Products'!D:D,'All Products'!E:E,FALSE)</f>
        <v>1-1/4 ELBOW 90 FIPTXFIPT SCH80</v>
      </c>
      <c r="G44" s="233">
        <f>_xlfn.XLOOKUP(E44,'All Products'!D:D,'All Products'!F:F,FALSE)</f>
        <v>50</v>
      </c>
      <c r="H44" s="196">
        <f>_xlfn.XLOOKUP(E44,'All Products'!D:D,'All Products'!G:G,FALSE)</f>
        <v>3750</v>
      </c>
      <c r="I44" s="415">
        <f>_xlfn.XLOOKUP(E44,'All Products'!D:D,'All Products'!H:H,FALSE)</f>
        <v>32.4</v>
      </c>
      <c r="J44" s="130">
        <f>ROUND(I44*Order_Quote!$L$8,2)</f>
        <v>32.4</v>
      </c>
      <c r="K44" s="75"/>
      <c r="L44" s="113"/>
      <c r="M44" s="171">
        <f t="shared" si="1"/>
        <v>0</v>
      </c>
      <c r="O44" s="265" t="str">
        <f>_xlfn.XLOOKUP(E44,'All Products'!D:D,'All Products'!I:I,FALSE)</f>
        <v>Within 3 Weeks</v>
      </c>
      <c r="P44" s="265" t="str">
        <f>_xlfn.XLOOKUP(E44,'All Products'!D:D,'All Products'!J:J,FALSE)</f>
        <v>Manufactured</v>
      </c>
      <c r="Q44" s="266">
        <f>_xlfn.XLOOKUP(E44,'All Products'!D:D,'All Products'!K:K,FALSE)</f>
        <v>49081163600</v>
      </c>
      <c r="R44" s="266">
        <f>_xlfn.XLOOKUP(E44,'All Products'!D:D,'All Products'!L:L,FALSE)</f>
        <v>49081663605</v>
      </c>
      <c r="S44" s="266">
        <f>_xlfn.XLOOKUP(E44,'All Products'!D:D,'All Products'!M:M,FALSE)</f>
        <v>40049081163608</v>
      </c>
      <c r="T44" s="265">
        <f>_xlfn.XLOOKUP(E44,'All Products'!D:D,'All Products'!N:N,FALSE)</f>
        <v>0.46</v>
      </c>
      <c r="U44" s="266">
        <f>_xlfn.XLOOKUP(E44,'All Products'!D:D,'All Products'!O:O,FALSE)</f>
        <v>5</v>
      </c>
      <c r="V44" s="265">
        <f>_xlfn.XLOOKUP(E44,'All Products'!D:D,'All Products'!P:P,FALSE)</f>
        <v>22.97</v>
      </c>
      <c r="W44" s="265">
        <f>_xlfn.XLOOKUP(E44,'All Products'!D:D,'All Products'!Q:Q,FALSE)</f>
        <v>0.95</v>
      </c>
    </row>
    <row r="45" spans="1:23">
      <c r="A45" s="101" t="str">
        <f>IF(K45&gt;0,COUNT($A$7:A44)
+COUNT('DWV PVC'!$A$9:$A$316)
+COUNT('DWV ABS'!$A$8:$A$116)
+COUNT('PVC SCH40'!$A$8:$A$424)
+COUNT('PVC SCH40 LD'!$A$8:$A$21)
+COUNT('Pool &amp; SPA Sweep Elbows'!$A$8:$A$11)
+COUNT('Pool &amp; SPA Pipe Extender'!$A$8:$A$10)+1,"")</f>
        <v/>
      </c>
      <c r="B45" s="610"/>
      <c r="C45" s="611"/>
      <c r="D45" s="142" t="str">
        <f>_xlfn.XLOOKUP(E45,'All Products'!D:D,'All Products'!C:C,FALSE)</f>
        <v>808-015</v>
      </c>
      <c r="E45" s="103">
        <v>100023531</v>
      </c>
      <c r="F45" s="413" t="str">
        <f>_xlfn.XLOOKUP(E45,'All Products'!D:D,'All Products'!E:E,FALSE)</f>
        <v>1-1/2 ELBOW 90 FIPTXFIPT SCH80</v>
      </c>
      <c r="G45" s="233">
        <f>_xlfn.XLOOKUP(E45,'All Products'!D:D,'All Products'!F:F,FALSE)</f>
        <v>25</v>
      </c>
      <c r="H45" s="196">
        <f>_xlfn.XLOOKUP(E45,'All Products'!D:D,'All Products'!G:G,FALSE)</f>
        <v>2250</v>
      </c>
      <c r="I45" s="415">
        <f>_xlfn.XLOOKUP(E45,'All Products'!D:D,'All Products'!H:H,FALSE)</f>
        <v>45.93</v>
      </c>
      <c r="J45" s="130">
        <f>ROUND(I45*Order_Quote!$L$8,2)</f>
        <v>45.93</v>
      </c>
      <c r="K45" s="75"/>
      <c r="L45" s="113"/>
      <c r="M45" s="171">
        <f t="shared" si="1"/>
        <v>0</v>
      </c>
      <c r="O45" s="265" t="str">
        <f>_xlfn.XLOOKUP(E45,'All Products'!D:D,'All Products'!I:I,FALSE)</f>
        <v>In Stock</v>
      </c>
      <c r="P45" s="265" t="str">
        <f>_xlfn.XLOOKUP(E45,'All Products'!D:D,'All Products'!J:J,FALSE)</f>
        <v>Manufactured</v>
      </c>
      <c r="Q45" s="266">
        <f>_xlfn.XLOOKUP(E45,'All Products'!D:D,'All Products'!K:K,FALSE)</f>
        <v>49081163624</v>
      </c>
      <c r="R45" s="266">
        <f>_xlfn.XLOOKUP(E45,'All Products'!D:D,'All Products'!L:L,FALSE)</f>
        <v>49081663629</v>
      </c>
      <c r="S45" s="266">
        <f>_xlfn.XLOOKUP(E45,'All Products'!D:D,'All Products'!M:M,FALSE)</f>
        <v>40049081163622</v>
      </c>
      <c r="T45" s="265">
        <f>_xlfn.XLOOKUP(E45,'All Products'!D:D,'All Products'!N:N,FALSE)</f>
        <v>0.61599999999999999</v>
      </c>
      <c r="U45" s="266">
        <f>_xlfn.XLOOKUP(E45,'All Products'!D:D,'All Products'!O:O,FALSE)</f>
        <v>5</v>
      </c>
      <c r="V45" s="265">
        <f>_xlfn.XLOOKUP(E45,'All Products'!D:D,'All Products'!P:P,FALSE)</f>
        <v>15.89</v>
      </c>
      <c r="W45" s="265">
        <f>_xlfn.XLOOKUP(E45,'All Products'!D:D,'All Products'!Q:Q,FALSE)</f>
        <v>0.8</v>
      </c>
    </row>
    <row r="46" spans="1:23">
      <c r="A46" s="101" t="str">
        <f>IF(K46&gt;0,COUNT($A$7:A45)
+COUNT('DWV PVC'!$A$9:$A$316)
+COUNT('DWV ABS'!$A$8:$A$116)
+COUNT('PVC SCH40'!$A$8:$A$424)
+COUNT('PVC SCH40 LD'!$A$8:$A$21)
+COUNT('Pool &amp; SPA Sweep Elbows'!$A$8:$A$11)
+COUNT('Pool &amp; SPA Pipe Extender'!$A$8:$A$10)+1,"")</f>
        <v/>
      </c>
      <c r="B46" s="610"/>
      <c r="C46" s="611"/>
      <c r="D46" s="142" t="str">
        <f>_xlfn.XLOOKUP(E46,'All Products'!D:D,'All Products'!C:C,FALSE)</f>
        <v>808-020</v>
      </c>
      <c r="E46" s="103">
        <v>100023532</v>
      </c>
      <c r="F46" s="413" t="str">
        <f>_xlfn.XLOOKUP(E46,'All Products'!D:D,'All Products'!E:E,FALSE)</f>
        <v>2 ELBOW 90 FIPTXFIPT SCH80</v>
      </c>
      <c r="G46" s="233">
        <f>_xlfn.XLOOKUP(E46,'All Products'!D:D,'All Products'!F:F,FALSE)</f>
        <v>25</v>
      </c>
      <c r="H46" s="196">
        <f>_xlfn.XLOOKUP(E46,'All Products'!D:D,'All Products'!G:G,FALSE)</f>
        <v>1875</v>
      </c>
      <c r="I46" s="415">
        <f>_xlfn.XLOOKUP(E46,'All Products'!D:D,'All Products'!H:H,FALSE)</f>
        <v>51.71</v>
      </c>
      <c r="J46" s="130">
        <f>ROUND(I46*Order_Quote!$L$8,2)</f>
        <v>51.71</v>
      </c>
      <c r="K46" s="75"/>
      <c r="L46" s="113"/>
      <c r="M46" s="171">
        <f t="shared" si="1"/>
        <v>0</v>
      </c>
      <c r="O46" s="265" t="str">
        <f>_xlfn.XLOOKUP(E46,'All Products'!D:D,'All Products'!I:I,FALSE)</f>
        <v>In Stock</v>
      </c>
      <c r="P46" s="265" t="str">
        <f>_xlfn.XLOOKUP(E46,'All Products'!D:D,'All Products'!J:J,FALSE)</f>
        <v>Manufactured</v>
      </c>
      <c r="Q46" s="266">
        <f>_xlfn.XLOOKUP(E46,'All Products'!D:D,'All Products'!K:K,FALSE)</f>
        <v>49081163648</v>
      </c>
      <c r="R46" s="266">
        <f>_xlfn.XLOOKUP(E46,'All Products'!D:D,'All Products'!L:L,FALSE)</f>
        <v>49081663643</v>
      </c>
      <c r="S46" s="266">
        <f>_xlfn.XLOOKUP(E46,'All Products'!D:D,'All Products'!M:M,FALSE)</f>
        <v>40049081163646</v>
      </c>
      <c r="T46" s="265">
        <f>_xlfn.XLOOKUP(E46,'All Products'!D:D,'All Products'!N:N,FALSE)</f>
        <v>0.86599999999999999</v>
      </c>
      <c r="U46" s="266">
        <f>_xlfn.XLOOKUP(E46,'All Products'!D:D,'All Products'!O:O,FALSE)</f>
        <v>5</v>
      </c>
      <c r="V46" s="265">
        <f>_xlfn.XLOOKUP(E46,'All Products'!D:D,'All Products'!P:P,FALSE)</f>
        <v>21.75</v>
      </c>
      <c r="W46" s="265">
        <f>_xlfn.XLOOKUP(E46,'All Products'!D:D,'All Products'!Q:Q,FALSE)</f>
        <v>1.1000000000000001</v>
      </c>
    </row>
    <row r="47" spans="1:23" ht="36.75" customHeight="1">
      <c r="A47" s="101" t="str">
        <f>IF(K47&gt;0,COUNT($A$7:A46)
+COUNT('DWV PVC'!$A$9:$A$316)
+COUNT('DWV ABS'!$A$8:$A$116)
+COUNT('PVC SCH40'!$A$8:$A$424)
+COUNT('PVC SCH40 LD'!$A$8:$A$21)
+COUNT('Pool &amp; SPA Sweep Elbows'!$A$8:$A$11)
+COUNT('Pool &amp; SPA Pipe Extender'!$A$8:$A$10)+1,"")</f>
        <v/>
      </c>
      <c r="B47" s="608"/>
      <c r="C47" s="609"/>
      <c r="D47" s="142" t="str">
        <f>_xlfn.XLOOKUP(E47,'All Products'!D:D,'All Products'!C:C,FALSE)</f>
        <v>810-010</v>
      </c>
      <c r="E47" s="103">
        <v>100023535</v>
      </c>
      <c r="F47" s="413" t="str">
        <f>_xlfn.XLOOKUP(E47,'All Products'!D:D,'All Products'!E:E,FALSE)</f>
        <v>1 ELBOW 90 STREET MIPTXS SCH80</v>
      </c>
      <c r="G47" s="233">
        <f>_xlfn.XLOOKUP(E47,'All Products'!D:D,'All Products'!F:F,FALSE)</f>
        <v>50</v>
      </c>
      <c r="H47" s="196">
        <f>_xlfn.XLOOKUP(E47,'All Products'!D:D,'All Products'!G:G,FALSE)</f>
        <v>6000</v>
      </c>
      <c r="I47" s="415">
        <f>_xlfn.XLOOKUP(E47,'All Products'!D:D,'All Products'!H:H,FALSE)</f>
        <v>64.58</v>
      </c>
      <c r="J47" s="130">
        <f>ROUND(I47*Order_Quote!$L$8,2)</f>
        <v>64.58</v>
      </c>
      <c r="K47" s="75"/>
      <c r="L47" s="113"/>
      <c r="M47" s="171">
        <f t="shared" si="1"/>
        <v>0</v>
      </c>
      <c r="O47" s="265" t="str">
        <f>_xlfn.XLOOKUP(E47,'All Products'!D:D,'All Products'!I:I,FALSE)</f>
        <v>In Stock</v>
      </c>
      <c r="P47" s="265" t="str">
        <f>_xlfn.XLOOKUP(E47,'All Products'!D:D,'All Products'!J:J,FALSE)</f>
        <v>Manufactured</v>
      </c>
      <c r="Q47" s="266">
        <f>_xlfn.XLOOKUP(E47,'All Products'!D:D,'All Products'!K:K,FALSE)</f>
        <v>49081161781</v>
      </c>
      <c r="R47" s="266">
        <f>_xlfn.XLOOKUP(E47,'All Products'!D:D,'All Products'!L:L,FALSE)</f>
        <v>49081661786</v>
      </c>
      <c r="S47" s="266">
        <f>_xlfn.XLOOKUP(E47,'All Products'!D:D,'All Products'!M:M,FALSE)</f>
        <v>40049081161789</v>
      </c>
      <c r="T47" s="265">
        <f>_xlfn.XLOOKUP(E47,'All Products'!D:D,'All Products'!N:N,FALSE)</f>
        <v>0.23599999999999999</v>
      </c>
      <c r="U47" s="266">
        <f>_xlfn.XLOOKUP(E47,'All Products'!D:D,'All Products'!O:O,FALSE)</f>
        <v>5</v>
      </c>
      <c r="V47" s="265">
        <f>_xlfn.XLOOKUP(E47,'All Products'!D:D,'All Products'!P:P,FALSE)</f>
        <v>11.4</v>
      </c>
      <c r="W47" s="265">
        <f>_xlfn.XLOOKUP(E47,'All Products'!D:D,'All Products'!Q:Q,FALSE)</f>
        <v>0.65</v>
      </c>
    </row>
    <row r="48" spans="1:23" ht="36.75" customHeight="1">
      <c r="A48" s="101" t="str">
        <f>IF(K48&gt;0,COUNT($A$7:A47)
+COUNT('DWV PVC'!$A$9:$A$316)
+COUNT('DWV ABS'!$A$8:$A$116)
+COUNT('PVC SCH40'!$A$8:$A$424)
+COUNT('PVC SCH40 LD'!$A$8:$A$21)
+COUNT('Pool &amp; SPA Sweep Elbows'!$A$8:$A$11)
+COUNT('Pool &amp; SPA Pipe Extender'!$A$8:$A$10)+1,"")</f>
        <v/>
      </c>
      <c r="B48" s="610"/>
      <c r="C48" s="611"/>
      <c r="D48" s="142" t="str">
        <f>_xlfn.XLOOKUP(E48,'All Products'!D:D,'All Products'!C:C,FALSE)</f>
        <v>810-015</v>
      </c>
      <c r="E48" s="103">
        <v>100023536</v>
      </c>
      <c r="F48" s="413" t="str">
        <f>_xlfn.XLOOKUP(E48,'All Products'!D:D,'All Products'!E:E,FALSE)</f>
        <v>1-1/2 ELBOW 90 STREET MIPTXS SCH80</v>
      </c>
      <c r="G48" s="233">
        <f>_xlfn.XLOOKUP(E48,'All Products'!D:D,'All Products'!F:F,FALSE)</f>
        <v>50</v>
      </c>
      <c r="H48" s="196">
        <f>_xlfn.XLOOKUP(E48,'All Products'!D:D,'All Products'!G:G,FALSE)</f>
        <v>3750</v>
      </c>
      <c r="I48" s="415">
        <f>_xlfn.XLOOKUP(E48,'All Products'!D:D,'All Products'!H:H,FALSE)</f>
        <v>85.06</v>
      </c>
      <c r="J48" s="130">
        <f>ROUND(I48*Order_Quote!$L$8,2)</f>
        <v>85.06</v>
      </c>
      <c r="K48" s="75"/>
      <c r="L48" s="113"/>
      <c r="M48" s="171">
        <f t="shared" si="1"/>
        <v>0</v>
      </c>
      <c r="O48" s="265" t="str">
        <f>_xlfn.XLOOKUP(E48,'All Products'!D:D,'All Products'!I:I,FALSE)</f>
        <v>In Stock</v>
      </c>
      <c r="P48" s="265" t="str">
        <f>_xlfn.XLOOKUP(E48,'All Products'!D:D,'All Products'!J:J,FALSE)</f>
        <v>Manufactured</v>
      </c>
      <c r="Q48" s="266">
        <f>_xlfn.XLOOKUP(E48,'All Products'!D:D,'All Products'!K:K,FALSE)</f>
        <v>49081161804</v>
      </c>
      <c r="R48" s="266">
        <f>_xlfn.XLOOKUP(E48,'All Products'!D:D,'All Products'!L:L,FALSE)</f>
        <v>49081661809</v>
      </c>
      <c r="S48" s="266">
        <f>_xlfn.XLOOKUP(E48,'All Products'!D:D,'All Products'!M:M,FALSE)</f>
        <v>40049081161802</v>
      </c>
      <c r="T48" s="265">
        <f>_xlfn.XLOOKUP(E48,'All Products'!D:D,'All Products'!N:N,FALSE)</f>
        <v>0.41199999999999998</v>
      </c>
      <c r="U48" s="266">
        <f>_xlfn.XLOOKUP(E48,'All Products'!D:D,'All Products'!O:O,FALSE)</f>
        <v>5</v>
      </c>
      <c r="V48" s="265">
        <f>_xlfn.XLOOKUP(E48,'All Products'!D:D,'All Products'!P:P,FALSE)</f>
        <v>21.54</v>
      </c>
      <c r="W48" s="265">
        <f>_xlfn.XLOOKUP(E48,'All Products'!D:D,'All Products'!Q:Q,FALSE)</f>
        <v>1.1000000000000001</v>
      </c>
    </row>
    <row r="49" spans="1:23" ht="53.25" customHeight="1">
      <c r="A49" s="101" t="str">
        <f>IF(K49&gt;0,COUNT($A$7:A48)
+COUNT('DWV PVC'!$A$9:$A$316)
+COUNT('DWV ABS'!$A$8:$A$116)
+COUNT('PVC SCH40'!$A$8:$A$424)
+COUNT('PVC SCH40 LD'!$A$8:$A$21)
+COUNT('Pool &amp; SPA Sweep Elbows'!$A$8:$A$11)
+COUNT('Pool &amp; SPA Pipe Extender'!$A$8:$A$10)+1,"")</f>
        <v/>
      </c>
      <c r="B49" s="608"/>
      <c r="C49" s="609"/>
      <c r="D49" s="142" t="str">
        <f>_xlfn.XLOOKUP(E49,'All Products'!D:D,'All Products'!C:C,FALSE)</f>
        <v>812-010</v>
      </c>
      <c r="E49" s="103">
        <v>100023538</v>
      </c>
      <c r="F49" s="413" t="str">
        <f>_xlfn.XLOOKUP(E49,'All Products'!D:D,'All Products'!E:E,FALSE)</f>
        <v>1 ELBOW 90 ST MIPTXFIPT SCH80</v>
      </c>
      <c r="G49" s="233">
        <f>_xlfn.XLOOKUP(E49,'All Products'!D:D,'All Products'!F:F,FALSE)</f>
        <v>50</v>
      </c>
      <c r="H49" s="196">
        <f>_xlfn.XLOOKUP(E49,'All Products'!D:D,'All Products'!G:G,FALSE)</f>
        <v>6000</v>
      </c>
      <c r="I49" s="415">
        <f>_xlfn.XLOOKUP(E49,'All Products'!D:D,'All Products'!H:H,FALSE)</f>
        <v>69.02</v>
      </c>
      <c r="J49" s="130">
        <f>ROUND(I49*Order_Quote!$L$8,2)</f>
        <v>69.02</v>
      </c>
      <c r="K49" s="75"/>
      <c r="L49" s="113"/>
      <c r="M49" s="171">
        <f t="shared" si="1"/>
        <v>0</v>
      </c>
      <c r="O49" s="265" t="str">
        <f>_xlfn.XLOOKUP(E49,'All Products'!D:D,'All Products'!I:I,FALSE)</f>
        <v>In Stock</v>
      </c>
      <c r="P49" s="265" t="str">
        <f>_xlfn.XLOOKUP(E49,'All Products'!D:D,'All Products'!J:J,FALSE)</f>
        <v>Manufactured</v>
      </c>
      <c r="Q49" s="266">
        <f>_xlfn.XLOOKUP(E49,'All Products'!D:D,'All Products'!K:K,FALSE)</f>
        <v>49081162566</v>
      </c>
      <c r="R49" s="266">
        <f>_xlfn.XLOOKUP(E49,'All Products'!D:D,'All Products'!L:L,FALSE)</f>
        <v>49081662561</v>
      </c>
      <c r="S49" s="266">
        <f>_xlfn.XLOOKUP(E49,'All Products'!D:D,'All Products'!M:M,FALSE)</f>
        <v>40049081162564</v>
      </c>
      <c r="T49" s="265">
        <f>_xlfn.XLOOKUP(E49,'All Products'!D:D,'All Products'!N:N,FALSE)</f>
        <v>0.22700000000000001</v>
      </c>
      <c r="U49" s="266">
        <f>_xlfn.XLOOKUP(E49,'All Products'!D:D,'All Products'!O:O,FALSE)</f>
        <v>5</v>
      </c>
      <c r="V49" s="265">
        <f>_xlfn.XLOOKUP(E49,'All Products'!D:D,'All Products'!P:P,FALSE)</f>
        <v>12.36</v>
      </c>
      <c r="W49" s="265">
        <f>_xlfn.XLOOKUP(E49,'All Products'!D:D,'All Products'!Q:Q,FALSE)</f>
        <v>0.65</v>
      </c>
    </row>
    <row r="50" spans="1:23">
      <c r="A50" s="101" t="str">
        <f>IF(K50&gt;0,COUNT($A$7:A49)
+COUNT('DWV PVC'!$A$9:$A$316)
+COUNT('DWV ABS'!$A$8:$A$116)
+COUNT('PVC SCH40'!$A$8:$A$424)
+COUNT('PVC SCH40 LD'!$A$8:$A$21)
+COUNT('Pool &amp; SPA Sweep Elbows'!$A$8:$A$11)
+COUNT('Pool &amp; SPA Pipe Extender'!$A$8:$A$10)+1,"")</f>
        <v/>
      </c>
      <c r="B50" s="608"/>
      <c r="C50" s="609"/>
      <c r="D50" s="142" t="str">
        <f>_xlfn.XLOOKUP(E50,'All Products'!D:D,'All Products'!C:C,FALSE)</f>
        <v>817-002</v>
      </c>
      <c r="E50" s="103">
        <v>100028108</v>
      </c>
      <c r="F50" s="413" t="str">
        <f>_xlfn.XLOOKUP(E50,'All Products'!D:D,'All Products'!E:E,FALSE)</f>
        <v>1/4 ELBOW 45 SXS SCH80</v>
      </c>
      <c r="G50" s="233">
        <f>_xlfn.XLOOKUP(E50,'All Products'!D:D,'All Products'!F:F,FALSE)</f>
        <v>150</v>
      </c>
      <c r="H50" s="196">
        <f>_xlfn.XLOOKUP(E50,'All Products'!D:D,'All Products'!G:G,FALSE)</f>
        <v>0</v>
      </c>
      <c r="I50" s="415">
        <f>_xlfn.XLOOKUP(E50,'All Products'!D:D,'All Products'!H:H,FALSE)</f>
        <v>29.77</v>
      </c>
      <c r="J50" s="130">
        <f>ROUND(I50*Order_Quote!$L$8,2)</f>
        <v>29.77</v>
      </c>
      <c r="K50" s="75"/>
      <c r="L50" s="113"/>
      <c r="M50" s="171">
        <f t="shared" si="1"/>
        <v>0</v>
      </c>
      <c r="O50" s="265" t="str">
        <f>_xlfn.XLOOKUP(E50,'All Products'!D:D,'All Products'!I:I,FALSE)</f>
        <v>Within 3 Weeks</v>
      </c>
      <c r="P50" s="265" t="str">
        <f>_xlfn.XLOOKUP(E50,'All Products'!D:D,'All Products'!J:J,FALSE)</f>
        <v>Manufactured</v>
      </c>
      <c r="Q50" s="266">
        <f>_xlfn.XLOOKUP(E50,'All Products'!D:D,'All Products'!K:K,FALSE)</f>
        <v>49081161842</v>
      </c>
      <c r="R50" s="266" t="str">
        <f>_xlfn.XLOOKUP(E50,'All Products'!D:D,'All Products'!L:L,FALSE)</f>
        <v>-</v>
      </c>
      <c r="S50" s="266">
        <f>_xlfn.XLOOKUP(E50,'All Products'!D:D,'All Products'!M:M,FALSE)</f>
        <v>40049081161840</v>
      </c>
      <c r="T50" s="265">
        <f>_xlfn.XLOOKUP(E50,'All Products'!D:D,'All Products'!N:N,FALSE)</f>
        <v>3.3000000000000002E-2</v>
      </c>
      <c r="U50" s="266" t="str">
        <f>_xlfn.XLOOKUP(E50,'All Products'!D:D,'All Products'!O:O,FALSE)</f>
        <v>-</v>
      </c>
      <c r="V50" s="265">
        <f>_xlfn.XLOOKUP(E50,'All Products'!D:D,'All Products'!P:P,FALSE)</f>
        <v>4.95</v>
      </c>
      <c r="W50" s="265" t="str">
        <f>_xlfn.XLOOKUP(E50,'All Products'!D:D,'All Products'!Q:Q,FALSE)</f>
        <v>-</v>
      </c>
    </row>
    <row r="51" spans="1:23">
      <c r="A51" s="101" t="str">
        <f>IF(K51&gt;0,COUNT($A$7:A50)
+COUNT('DWV PVC'!$A$9:$A$316)
+COUNT('DWV ABS'!$A$8:$A$116)
+COUNT('PVC SCH40'!$A$8:$A$424)
+COUNT('PVC SCH40 LD'!$A$8:$A$21)
+COUNT('Pool &amp; SPA Sweep Elbows'!$A$8:$A$11)
+COUNT('Pool &amp; SPA Pipe Extender'!$A$8:$A$10)+1,"")</f>
        <v/>
      </c>
      <c r="B51" s="610"/>
      <c r="C51" s="611"/>
      <c r="D51" s="142" t="str">
        <f>_xlfn.XLOOKUP(E51,'All Products'!D:D,'All Products'!C:C,FALSE)</f>
        <v>817-003</v>
      </c>
      <c r="E51" s="103">
        <v>100028109</v>
      </c>
      <c r="F51" s="413" t="str">
        <f>_xlfn.XLOOKUP(E51,'All Products'!D:D,'All Products'!E:E,FALSE)</f>
        <v>3/8 ELBOW 45 SXS SCH80</v>
      </c>
      <c r="G51" s="233">
        <f>_xlfn.XLOOKUP(E51,'All Products'!D:D,'All Products'!F:F,FALSE)</f>
        <v>200</v>
      </c>
      <c r="H51" s="196">
        <f>_xlfn.XLOOKUP(E51,'All Products'!D:D,'All Products'!G:G,FALSE)</f>
        <v>0</v>
      </c>
      <c r="I51" s="415">
        <f>_xlfn.XLOOKUP(E51,'All Products'!D:D,'All Products'!H:H,FALSE)</f>
        <v>29.77</v>
      </c>
      <c r="J51" s="130">
        <f>ROUND(I51*Order_Quote!$L$8,2)</f>
        <v>29.77</v>
      </c>
      <c r="K51" s="75"/>
      <c r="L51" s="113"/>
      <c r="M51" s="171">
        <f t="shared" si="1"/>
        <v>0</v>
      </c>
      <c r="O51" s="265" t="str">
        <f>_xlfn.XLOOKUP(E51,'All Products'!D:D,'All Products'!I:I,FALSE)</f>
        <v>Within 3 Weeks</v>
      </c>
      <c r="P51" s="265" t="str">
        <f>_xlfn.XLOOKUP(E51,'All Products'!D:D,'All Products'!J:J,FALSE)</f>
        <v>Manufactured</v>
      </c>
      <c r="Q51" s="266">
        <f>_xlfn.XLOOKUP(E51,'All Products'!D:D,'All Products'!K:K,FALSE)</f>
        <v>49081161866</v>
      </c>
      <c r="R51" s="266" t="str">
        <f>_xlfn.XLOOKUP(E51,'All Products'!D:D,'All Products'!L:L,FALSE)</f>
        <v>-</v>
      </c>
      <c r="S51" s="266">
        <f>_xlfn.XLOOKUP(E51,'All Products'!D:D,'All Products'!M:M,FALSE)</f>
        <v>40049081161864</v>
      </c>
      <c r="T51" s="265">
        <f>_xlfn.XLOOKUP(E51,'All Products'!D:D,'All Products'!N:N,FALSE)</f>
        <v>5.7000000000000002E-2</v>
      </c>
      <c r="U51" s="266" t="str">
        <f>_xlfn.XLOOKUP(E51,'All Products'!D:D,'All Products'!O:O,FALSE)</f>
        <v>-</v>
      </c>
      <c r="V51" s="265">
        <f>_xlfn.XLOOKUP(E51,'All Products'!D:D,'All Products'!P:P,FALSE)</f>
        <v>11.46</v>
      </c>
      <c r="W51" s="265" t="str">
        <f>_xlfn.XLOOKUP(E51,'All Products'!D:D,'All Products'!Q:Q,FALSE)</f>
        <v>-</v>
      </c>
    </row>
    <row r="52" spans="1:23">
      <c r="A52" s="101" t="str">
        <f>IF(K52&gt;0,COUNT($A$7:A51)
+COUNT('DWV PVC'!$A$9:$A$316)
+COUNT('DWV ABS'!$A$8:$A$116)
+COUNT('PVC SCH40'!$A$8:$A$424)
+COUNT('PVC SCH40 LD'!$A$8:$A$21)
+COUNT('Pool &amp; SPA Sweep Elbows'!$A$8:$A$11)
+COUNT('Pool &amp; SPA Pipe Extender'!$A$8:$A$10)+1,"")</f>
        <v/>
      </c>
      <c r="B52" s="610"/>
      <c r="C52" s="611"/>
      <c r="D52" s="142" t="str">
        <f>_xlfn.XLOOKUP(E52,'All Products'!D:D,'All Products'!C:C,FALSE)</f>
        <v>817-005</v>
      </c>
      <c r="E52" s="103">
        <v>100023541</v>
      </c>
      <c r="F52" s="413" t="str">
        <f>_xlfn.XLOOKUP(E52,'All Products'!D:D,'All Products'!E:E,FALSE)</f>
        <v>1/2 ELBOW 45 SXS SCH80</v>
      </c>
      <c r="G52" s="233">
        <f>_xlfn.XLOOKUP(E52,'All Products'!D:D,'All Products'!F:F,FALSE)</f>
        <v>250</v>
      </c>
      <c r="H52" s="196">
        <f>_xlfn.XLOOKUP(E52,'All Products'!D:D,'All Products'!G:G,FALSE)</f>
        <v>18750</v>
      </c>
      <c r="I52" s="415">
        <f>_xlfn.XLOOKUP(E52,'All Products'!D:D,'All Products'!H:H,FALSE)</f>
        <v>15.61</v>
      </c>
      <c r="J52" s="130">
        <f>ROUND(I52*Order_Quote!$L$8,2)</f>
        <v>15.61</v>
      </c>
      <c r="K52" s="75"/>
      <c r="L52" s="113"/>
      <c r="M52" s="171">
        <f t="shared" si="1"/>
        <v>0</v>
      </c>
      <c r="O52" s="265" t="str">
        <f>_xlfn.XLOOKUP(E52,'All Products'!D:D,'All Products'!I:I,FALSE)</f>
        <v>In Stock</v>
      </c>
      <c r="P52" s="265" t="str">
        <f>_xlfn.XLOOKUP(E52,'All Products'!D:D,'All Products'!J:J,FALSE)</f>
        <v>Manufactured</v>
      </c>
      <c r="Q52" s="266">
        <f>_xlfn.XLOOKUP(E52,'All Products'!D:D,'All Products'!K:K,FALSE)</f>
        <v>49081161880</v>
      </c>
      <c r="R52" s="266">
        <f>_xlfn.XLOOKUP(E52,'All Products'!D:D,'All Products'!L:L,FALSE)</f>
        <v>49081661885</v>
      </c>
      <c r="S52" s="266">
        <f>_xlfn.XLOOKUP(E52,'All Products'!D:D,'All Products'!M:M,FALSE)</f>
        <v>40049081161888</v>
      </c>
      <c r="T52" s="265">
        <f>_xlfn.XLOOKUP(E52,'All Products'!D:D,'All Products'!N:N,FALSE)</f>
        <v>7.4999999999999997E-2</v>
      </c>
      <c r="U52" s="266">
        <f>_xlfn.XLOOKUP(E52,'All Products'!D:D,'All Products'!O:O,FALSE)</f>
        <v>10</v>
      </c>
      <c r="V52" s="265">
        <f>_xlfn.XLOOKUP(E52,'All Products'!D:D,'All Products'!P:P,FALSE)</f>
        <v>18.55</v>
      </c>
      <c r="W52" s="265">
        <f>_xlfn.XLOOKUP(E52,'All Products'!D:D,'All Products'!Q:Q,FALSE)</f>
        <v>0.95</v>
      </c>
    </row>
    <row r="53" spans="1:23">
      <c r="A53" s="101" t="str">
        <f>IF(K53&gt;0,COUNT($A$7:A52)
+COUNT('DWV PVC'!$A$9:$A$316)
+COUNT('DWV ABS'!$A$8:$A$116)
+COUNT('PVC SCH40'!$A$8:$A$424)
+COUNT('PVC SCH40 LD'!$A$8:$A$21)
+COUNT('Pool &amp; SPA Sweep Elbows'!$A$8:$A$11)
+COUNT('Pool &amp; SPA Pipe Extender'!$A$8:$A$10)+1,"")</f>
        <v/>
      </c>
      <c r="B53" s="610"/>
      <c r="C53" s="611"/>
      <c r="D53" s="142" t="str">
        <f>_xlfn.XLOOKUP(E53,'All Products'!D:D,'All Products'!C:C,FALSE)</f>
        <v>817-007</v>
      </c>
      <c r="E53" s="103">
        <v>100023542</v>
      </c>
      <c r="F53" s="413" t="str">
        <f>_xlfn.XLOOKUP(E53,'All Products'!D:D,'All Products'!E:E,FALSE)</f>
        <v>3/4 ELBOW 45 SXS SCH80</v>
      </c>
      <c r="G53" s="233">
        <f>_xlfn.XLOOKUP(E53,'All Products'!D:D,'All Products'!F:F,FALSE)</f>
        <v>100</v>
      </c>
      <c r="H53" s="196">
        <f>_xlfn.XLOOKUP(E53,'All Products'!D:D,'All Products'!G:G,FALSE)</f>
        <v>12000</v>
      </c>
      <c r="I53" s="415">
        <f>_xlfn.XLOOKUP(E53,'All Products'!D:D,'All Products'!H:H,FALSE)</f>
        <v>23.85</v>
      </c>
      <c r="J53" s="130">
        <f>ROUND(I53*Order_Quote!$L$8,2)</f>
        <v>23.85</v>
      </c>
      <c r="K53" s="75"/>
      <c r="L53" s="113"/>
      <c r="M53" s="171">
        <f t="shared" si="1"/>
        <v>0</v>
      </c>
      <c r="O53" s="265" t="str">
        <f>_xlfn.XLOOKUP(E53,'All Products'!D:D,'All Products'!I:I,FALSE)</f>
        <v>In Stock</v>
      </c>
      <c r="P53" s="265" t="str">
        <f>_xlfn.XLOOKUP(E53,'All Products'!D:D,'All Products'!J:J,FALSE)</f>
        <v>Manufactured</v>
      </c>
      <c r="Q53" s="266">
        <f>_xlfn.XLOOKUP(E53,'All Products'!D:D,'All Products'!K:K,FALSE)</f>
        <v>49081161903</v>
      </c>
      <c r="R53" s="266">
        <f>_xlfn.XLOOKUP(E53,'All Products'!D:D,'All Products'!L:L,FALSE)</f>
        <v>49081661908</v>
      </c>
      <c r="S53" s="266">
        <f>_xlfn.XLOOKUP(E53,'All Products'!D:D,'All Products'!M:M,FALSE)</f>
        <v>40049081161901</v>
      </c>
      <c r="T53" s="265">
        <f>_xlfn.XLOOKUP(E53,'All Products'!D:D,'All Products'!N:N,FALSE)</f>
        <v>0.13200000000000001</v>
      </c>
      <c r="U53" s="266">
        <f>_xlfn.XLOOKUP(E53,'All Products'!D:D,'All Products'!O:O,FALSE)</f>
        <v>10</v>
      </c>
      <c r="V53" s="265">
        <f>_xlfn.XLOOKUP(E53,'All Products'!D:D,'All Products'!P:P,FALSE)</f>
        <v>12.96</v>
      </c>
      <c r="W53" s="265">
        <f>_xlfn.XLOOKUP(E53,'All Products'!D:D,'All Products'!Q:Q,FALSE)</f>
        <v>0.65</v>
      </c>
    </row>
    <row r="54" spans="1:23">
      <c r="A54" s="101" t="str">
        <f>IF(K54&gt;0,COUNT($A$7:A53)
+COUNT('DWV PVC'!$A$9:$A$316)
+COUNT('DWV ABS'!$A$8:$A$116)
+COUNT('PVC SCH40'!$A$8:$A$424)
+COUNT('PVC SCH40 LD'!$A$8:$A$21)
+COUNT('Pool &amp; SPA Sweep Elbows'!$A$8:$A$11)
+COUNT('Pool &amp; SPA Pipe Extender'!$A$8:$A$10)+1,"")</f>
        <v/>
      </c>
      <c r="B54" s="610"/>
      <c r="C54" s="611"/>
      <c r="D54" s="142" t="str">
        <f>_xlfn.XLOOKUP(E54,'All Products'!D:D,'All Products'!C:C,FALSE)</f>
        <v>817-010</v>
      </c>
      <c r="E54" s="103">
        <v>100023543</v>
      </c>
      <c r="F54" s="413" t="str">
        <f>_xlfn.XLOOKUP(E54,'All Products'!D:D,'All Products'!E:E,FALSE)</f>
        <v>1 ELBOW 45 SXS SCH80</v>
      </c>
      <c r="G54" s="233">
        <f>_xlfn.XLOOKUP(E54,'All Products'!D:D,'All Products'!F:F,FALSE)</f>
        <v>50</v>
      </c>
      <c r="H54" s="196">
        <f>_xlfn.XLOOKUP(E54,'All Products'!D:D,'All Products'!G:G,FALSE)</f>
        <v>7500</v>
      </c>
      <c r="I54" s="415">
        <f>_xlfn.XLOOKUP(E54,'All Products'!D:D,'All Products'!H:H,FALSE)</f>
        <v>35.729999999999997</v>
      </c>
      <c r="J54" s="130">
        <f>ROUND(I54*Order_Quote!$L$8,2)</f>
        <v>35.729999999999997</v>
      </c>
      <c r="K54" s="75"/>
      <c r="L54" s="113"/>
      <c r="M54" s="171">
        <f t="shared" si="1"/>
        <v>0</v>
      </c>
      <c r="O54" s="265" t="str">
        <f>_xlfn.XLOOKUP(E54,'All Products'!D:D,'All Products'!I:I,FALSE)</f>
        <v>In Stock</v>
      </c>
      <c r="P54" s="265" t="str">
        <f>_xlfn.XLOOKUP(E54,'All Products'!D:D,'All Products'!J:J,FALSE)</f>
        <v>Manufactured</v>
      </c>
      <c r="Q54" s="266">
        <f>_xlfn.XLOOKUP(E54,'All Products'!D:D,'All Products'!K:K,FALSE)</f>
        <v>49081161927</v>
      </c>
      <c r="R54" s="266">
        <f>_xlfn.XLOOKUP(E54,'All Products'!D:D,'All Products'!L:L,FALSE)</f>
        <v>49081661922</v>
      </c>
      <c r="S54" s="266">
        <f>_xlfn.XLOOKUP(E54,'All Products'!D:D,'All Products'!M:M,FALSE)</f>
        <v>40049081161925</v>
      </c>
      <c r="T54" s="265">
        <f>_xlfn.XLOOKUP(E54,'All Products'!D:D,'All Products'!N:N,FALSE)</f>
        <v>0.18</v>
      </c>
      <c r="U54" s="266">
        <f>_xlfn.XLOOKUP(E54,'All Products'!D:D,'All Products'!O:O,FALSE)</f>
        <v>10</v>
      </c>
      <c r="V54" s="265">
        <f>_xlfn.XLOOKUP(E54,'All Products'!D:D,'All Products'!P:P,FALSE)</f>
        <v>9.85</v>
      </c>
      <c r="W54" s="265">
        <f>_xlfn.XLOOKUP(E54,'All Products'!D:D,'All Products'!Q:Q,FALSE)</f>
        <v>0.5</v>
      </c>
    </row>
    <row r="55" spans="1:23">
      <c r="A55" s="101" t="str">
        <f>IF(K55&gt;0,COUNT($A$7:A54)
+COUNT('DWV PVC'!$A$9:$A$316)
+COUNT('DWV ABS'!$A$8:$A$116)
+COUNT('PVC SCH40'!$A$8:$A$424)
+COUNT('PVC SCH40 LD'!$A$8:$A$21)
+COUNT('Pool &amp; SPA Sweep Elbows'!$A$8:$A$11)
+COUNT('Pool &amp; SPA Pipe Extender'!$A$8:$A$10)+1,"")</f>
        <v/>
      </c>
      <c r="B55" s="610"/>
      <c r="C55" s="611"/>
      <c r="D55" s="142" t="str">
        <f>_xlfn.XLOOKUP(E55,'All Products'!D:D,'All Products'!C:C,FALSE)</f>
        <v>817-012</v>
      </c>
      <c r="E55" s="103">
        <v>100023544</v>
      </c>
      <c r="F55" s="413" t="str">
        <f>_xlfn.XLOOKUP(E55,'All Products'!D:D,'All Products'!E:E,FALSE)</f>
        <v>1-1/4 ELBOW 45 SXS SCH80</v>
      </c>
      <c r="G55" s="233">
        <f>_xlfn.XLOOKUP(E55,'All Products'!D:D,'All Products'!F:F,FALSE)</f>
        <v>50</v>
      </c>
      <c r="H55" s="196">
        <f>_xlfn.XLOOKUP(E55,'All Products'!D:D,'All Products'!G:G,FALSE)</f>
        <v>4500</v>
      </c>
      <c r="I55" s="415">
        <f>_xlfn.XLOOKUP(E55,'All Products'!D:D,'All Products'!H:H,FALSE)</f>
        <v>45.53</v>
      </c>
      <c r="J55" s="130">
        <f>ROUND(I55*Order_Quote!$L$8,2)</f>
        <v>45.53</v>
      </c>
      <c r="K55" s="75"/>
      <c r="L55" s="113"/>
      <c r="M55" s="171">
        <f t="shared" si="1"/>
        <v>0</v>
      </c>
      <c r="O55" s="265" t="str">
        <f>_xlfn.XLOOKUP(E55,'All Products'!D:D,'All Products'!I:I,FALSE)</f>
        <v>In Stock</v>
      </c>
      <c r="P55" s="265" t="str">
        <f>_xlfn.XLOOKUP(E55,'All Products'!D:D,'All Products'!J:J,FALSE)</f>
        <v>Manufactured</v>
      </c>
      <c r="Q55" s="266">
        <f>_xlfn.XLOOKUP(E55,'All Products'!D:D,'All Products'!K:K,FALSE)</f>
        <v>49081161941</v>
      </c>
      <c r="R55" s="266">
        <f>_xlfn.XLOOKUP(E55,'All Products'!D:D,'All Products'!L:L,FALSE)</f>
        <v>49081661946</v>
      </c>
      <c r="S55" s="266">
        <f>_xlfn.XLOOKUP(E55,'All Products'!D:D,'All Products'!M:M,FALSE)</f>
        <v>40049081161949</v>
      </c>
      <c r="T55" s="265">
        <f>_xlfn.XLOOKUP(E55,'All Products'!D:D,'All Products'!N:N,FALSE)</f>
        <v>0.28100000000000003</v>
      </c>
      <c r="U55" s="266">
        <f>_xlfn.XLOOKUP(E55,'All Products'!D:D,'All Products'!O:O,FALSE)</f>
        <v>10</v>
      </c>
      <c r="V55" s="265">
        <f>_xlfn.XLOOKUP(E55,'All Products'!D:D,'All Products'!P:P,FALSE)</f>
        <v>14.35</v>
      </c>
      <c r="W55" s="265">
        <f>_xlfn.XLOOKUP(E55,'All Products'!D:D,'All Products'!Q:Q,FALSE)</f>
        <v>0.8</v>
      </c>
    </row>
    <row r="56" spans="1:23">
      <c r="A56" s="101" t="str">
        <f>IF(K56&gt;0,COUNT($A$7:A55)
+COUNT('DWV PVC'!$A$9:$A$316)
+COUNT('DWV ABS'!$A$8:$A$116)
+COUNT('PVC SCH40'!$A$8:$A$424)
+COUNT('PVC SCH40 LD'!$A$8:$A$21)
+COUNT('Pool &amp; SPA Sweep Elbows'!$A$8:$A$11)
+COUNT('Pool &amp; SPA Pipe Extender'!$A$8:$A$10)+1,"")</f>
        <v/>
      </c>
      <c r="B56" s="610"/>
      <c r="C56" s="611"/>
      <c r="D56" s="142" t="str">
        <f>_xlfn.XLOOKUP(E56,'All Products'!D:D,'All Products'!C:C,FALSE)</f>
        <v>817-015</v>
      </c>
      <c r="E56" s="103">
        <v>100023545</v>
      </c>
      <c r="F56" s="413" t="str">
        <f>_xlfn.XLOOKUP(E56,'All Products'!D:D,'All Products'!E:E,FALSE)</f>
        <v>1-1/2 ELBOW 45 SXS SCH80</v>
      </c>
      <c r="G56" s="233">
        <f>_xlfn.XLOOKUP(E56,'All Products'!D:D,'All Products'!F:F,FALSE)</f>
        <v>50</v>
      </c>
      <c r="H56" s="196">
        <f>_xlfn.XLOOKUP(E56,'All Products'!D:D,'All Products'!G:G,FALSE)</f>
        <v>3750</v>
      </c>
      <c r="I56" s="415">
        <f>_xlfn.XLOOKUP(E56,'All Products'!D:D,'All Products'!H:H,FALSE)</f>
        <v>53.82</v>
      </c>
      <c r="J56" s="130">
        <f>ROUND(I56*Order_Quote!$L$8,2)</f>
        <v>53.82</v>
      </c>
      <c r="K56" s="75"/>
      <c r="L56" s="113"/>
      <c r="M56" s="171">
        <f t="shared" si="1"/>
        <v>0</v>
      </c>
      <c r="O56" s="265" t="str">
        <f>_xlfn.XLOOKUP(E56,'All Products'!D:D,'All Products'!I:I,FALSE)</f>
        <v>In Stock</v>
      </c>
      <c r="P56" s="265" t="str">
        <f>_xlfn.XLOOKUP(E56,'All Products'!D:D,'All Products'!J:J,FALSE)</f>
        <v>Manufactured</v>
      </c>
      <c r="Q56" s="266">
        <f>_xlfn.XLOOKUP(E56,'All Products'!D:D,'All Products'!K:K,FALSE)</f>
        <v>49081161965</v>
      </c>
      <c r="R56" s="266">
        <f>_xlfn.XLOOKUP(E56,'All Products'!D:D,'All Products'!L:L,FALSE)</f>
        <v>49081661960</v>
      </c>
      <c r="S56" s="266">
        <f>_xlfn.XLOOKUP(E56,'All Products'!D:D,'All Products'!M:M,FALSE)</f>
        <v>40049081161963</v>
      </c>
      <c r="T56" s="265">
        <f>_xlfn.XLOOKUP(E56,'All Products'!D:D,'All Products'!N:N,FALSE)</f>
        <v>0.371</v>
      </c>
      <c r="U56" s="266">
        <f>_xlfn.XLOOKUP(E56,'All Products'!D:D,'All Products'!O:O,FALSE)</f>
        <v>5</v>
      </c>
      <c r="V56" s="265">
        <f>_xlfn.XLOOKUP(E56,'All Products'!D:D,'All Products'!P:P,FALSE)</f>
        <v>18.420000000000002</v>
      </c>
      <c r="W56" s="265">
        <f>_xlfn.XLOOKUP(E56,'All Products'!D:D,'All Products'!Q:Q,FALSE)</f>
        <v>1.1000000000000001</v>
      </c>
    </row>
    <row r="57" spans="1:23">
      <c r="A57" s="101" t="str">
        <f>IF(K57&gt;0,COUNT($A$7:A56)
+COUNT('DWV PVC'!$A$9:$A$316)
+COUNT('DWV ABS'!$A$8:$A$116)
+COUNT('PVC SCH40'!$A$8:$A$424)
+COUNT('PVC SCH40 LD'!$A$8:$A$21)
+COUNT('Pool &amp; SPA Sweep Elbows'!$A$8:$A$11)
+COUNT('Pool &amp; SPA Pipe Extender'!$A$8:$A$10)+1,"")</f>
        <v/>
      </c>
      <c r="B57" s="610"/>
      <c r="C57" s="611"/>
      <c r="D57" s="142" t="str">
        <f>_xlfn.XLOOKUP(E57,'All Products'!D:D,'All Products'!C:C,FALSE)</f>
        <v>817-020</v>
      </c>
      <c r="E57" s="103">
        <v>100023546</v>
      </c>
      <c r="F57" s="413" t="str">
        <f>_xlfn.XLOOKUP(E57,'All Products'!D:D,'All Products'!E:E,FALSE)</f>
        <v>2 ELBOW 45 SXS SCH80</v>
      </c>
      <c r="G57" s="233">
        <f>_xlfn.XLOOKUP(E57,'All Products'!D:D,'All Products'!F:F,FALSE)</f>
        <v>25</v>
      </c>
      <c r="H57" s="196">
        <f>_xlfn.XLOOKUP(E57,'All Products'!D:D,'All Products'!G:G,FALSE)</f>
        <v>1875</v>
      </c>
      <c r="I57" s="415">
        <f>_xlfn.XLOOKUP(E57,'All Products'!D:D,'All Products'!H:H,FALSE)</f>
        <v>69.73</v>
      </c>
      <c r="J57" s="130">
        <f>ROUND(I57*Order_Quote!$L$8,2)</f>
        <v>69.73</v>
      </c>
      <c r="K57" s="75"/>
      <c r="L57" s="113"/>
      <c r="M57" s="171">
        <f t="shared" si="1"/>
        <v>0</v>
      </c>
      <c r="O57" s="265" t="str">
        <f>_xlfn.XLOOKUP(E57,'All Products'!D:D,'All Products'!I:I,FALSE)</f>
        <v>In Stock</v>
      </c>
      <c r="P57" s="265" t="str">
        <f>_xlfn.XLOOKUP(E57,'All Products'!D:D,'All Products'!J:J,FALSE)</f>
        <v>Manufactured</v>
      </c>
      <c r="Q57" s="266">
        <f>_xlfn.XLOOKUP(E57,'All Products'!D:D,'All Products'!K:K,FALSE)</f>
        <v>49081161989</v>
      </c>
      <c r="R57" s="266">
        <f>_xlfn.XLOOKUP(E57,'All Products'!D:D,'All Products'!L:L,FALSE)</f>
        <v>49081661984</v>
      </c>
      <c r="S57" s="266">
        <f>_xlfn.XLOOKUP(E57,'All Products'!D:D,'All Products'!M:M,FALSE)</f>
        <v>40049081161987</v>
      </c>
      <c r="T57" s="265">
        <f>_xlfn.XLOOKUP(E57,'All Products'!D:D,'All Products'!N:N,FALSE)</f>
        <v>0.51</v>
      </c>
      <c r="U57" s="266">
        <f>_xlfn.XLOOKUP(E57,'All Products'!D:D,'All Products'!O:O,FALSE)</f>
        <v>5</v>
      </c>
      <c r="V57" s="265">
        <f>_xlfn.XLOOKUP(E57,'All Products'!D:D,'All Products'!P:P,FALSE)</f>
        <v>14.26</v>
      </c>
      <c r="W57" s="265">
        <f>_xlfn.XLOOKUP(E57,'All Products'!D:D,'All Products'!Q:Q,FALSE)</f>
        <v>1.1000000000000001</v>
      </c>
    </row>
    <row r="58" spans="1:23">
      <c r="A58" s="101" t="str">
        <f>IF(K58&gt;0,COUNT($A$7:A57)
+COUNT('DWV PVC'!$A$9:$A$316)
+COUNT('DWV ABS'!$A$8:$A$116)
+COUNT('PVC SCH40'!$A$8:$A$424)
+COUNT('PVC SCH40 LD'!$A$8:$A$21)
+COUNT('Pool &amp; SPA Sweep Elbows'!$A$8:$A$11)
+COUNT('Pool &amp; SPA Pipe Extender'!$A$8:$A$10)+1,"")</f>
        <v/>
      </c>
      <c r="B58" s="610"/>
      <c r="C58" s="611"/>
      <c r="D58" s="142" t="str">
        <f>_xlfn.XLOOKUP(E58,'All Products'!D:D,'All Products'!C:C,FALSE)</f>
        <v>817-025</v>
      </c>
      <c r="E58" s="103">
        <v>100023547</v>
      </c>
      <c r="F58" s="413" t="str">
        <f>_xlfn.XLOOKUP(E58,'All Products'!D:D,'All Products'!E:E,FALSE)</f>
        <v>2-1/2 ELBOW 45 SXS SCH80</v>
      </c>
      <c r="G58" s="233">
        <f>_xlfn.XLOOKUP(E58,'All Products'!D:D,'All Products'!F:F,FALSE)</f>
        <v>10</v>
      </c>
      <c r="H58" s="196">
        <f>_xlfn.XLOOKUP(E58,'All Products'!D:D,'All Products'!G:G,FALSE)</f>
        <v>900</v>
      </c>
      <c r="I58" s="415">
        <f>_xlfn.XLOOKUP(E58,'All Products'!D:D,'All Products'!H:H,FALSE)</f>
        <v>146.44</v>
      </c>
      <c r="J58" s="130">
        <f>ROUND(I58*Order_Quote!$L$8,2)</f>
        <v>146.44</v>
      </c>
      <c r="K58" s="75"/>
      <c r="L58" s="113"/>
      <c r="M58" s="171">
        <f t="shared" si="1"/>
        <v>0</v>
      </c>
      <c r="O58" s="265" t="str">
        <f>_xlfn.XLOOKUP(E58,'All Products'!D:D,'All Products'!I:I,FALSE)</f>
        <v>In Stock</v>
      </c>
      <c r="P58" s="265" t="str">
        <f>_xlfn.XLOOKUP(E58,'All Products'!D:D,'All Products'!J:J,FALSE)</f>
        <v>Manufactured</v>
      </c>
      <c r="Q58" s="266">
        <f>_xlfn.XLOOKUP(E58,'All Products'!D:D,'All Products'!K:K,FALSE)</f>
        <v>49081162009</v>
      </c>
      <c r="R58" s="266" t="str">
        <f>_xlfn.XLOOKUP(E58,'All Products'!D:D,'All Products'!L:L,FALSE)</f>
        <v>-</v>
      </c>
      <c r="S58" s="266">
        <f>_xlfn.XLOOKUP(E58,'All Products'!D:D,'All Products'!M:M,FALSE)</f>
        <v>40049081162007</v>
      </c>
      <c r="T58" s="265">
        <f>_xlfn.XLOOKUP(E58,'All Products'!D:D,'All Products'!N:N,FALSE)</f>
        <v>1.2050000000000001</v>
      </c>
      <c r="U58" s="266" t="str">
        <f>_xlfn.XLOOKUP(E58,'All Products'!D:D,'All Products'!O:O,FALSE)</f>
        <v>-</v>
      </c>
      <c r="V58" s="265">
        <f>_xlfn.XLOOKUP(E58,'All Products'!D:D,'All Products'!P:P,FALSE)</f>
        <v>12.23</v>
      </c>
      <c r="W58" s="265">
        <f>_xlfn.XLOOKUP(E58,'All Products'!D:D,'All Products'!Q:Q,FALSE)</f>
        <v>0.8</v>
      </c>
    </row>
    <row r="59" spans="1:23">
      <c r="A59" s="101" t="str">
        <f>IF(K59&gt;0,COUNT($A$7:A58)
+COUNT('DWV PVC'!$A$9:$A$316)
+COUNT('DWV ABS'!$A$8:$A$116)
+COUNT('PVC SCH40'!$A$8:$A$424)
+COUNT('PVC SCH40 LD'!$A$8:$A$21)
+COUNT('Pool &amp; SPA Sweep Elbows'!$A$8:$A$11)
+COUNT('Pool &amp; SPA Pipe Extender'!$A$8:$A$10)+1,"")</f>
        <v/>
      </c>
      <c r="B59" s="610"/>
      <c r="C59" s="611"/>
      <c r="D59" s="142" t="str">
        <f>_xlfn.XLOOKUP(E59,'All Products'!D:D,'All Products'!C:C,FALSE)</f>
        <v>817-030</v>
      </c>
      <c r="E59" s="103">
        <v>100023548</v>
      </c>
      <c r="F59" s="413" t="str">
        <f>_xlfn.XLOOKUP(E59,'All Products'!D:D,'All Products'!E:E,FALSE)</f>
        <v>3 ELBOW 45 SXS SCH80</v>
      </c>
      <c r="G59" s="233">
        <f>_xlfn.XLOOKUP(E59,'All Products'!D:D,'All Products'!F:F,FALSE)</f>
        <v>10</v>
      </c>
      <c r="H59" s="196">
        <f>_xlfn.XLOOKUP(E59,'All Products'!D:D,'All Products'!G:G,FALSE)</f>
        <v>750</v>
      </c>
      <c r="I59" s="415">
        <f>_xlfn.XLOOKUP(E59,'All Products'!D:D,'All Products'!H:H,FALSE)</f>
        <v>178.22</v>
      </c>
      <c r="J59" s="130">
        <f>ROUND(I59*Order_Quote!$L$8,2)</f>
        <v>178.22</v>
      </c>
      <c r="K59" s="75"/>
      <c r="L59" s="113"/>
      <c r="M59" s="171">
        <f t="shared" si="1"/>
        <v>0</v>
      </c>
      <c r="O59" s="265" t="str">
        <f>_xlfn.XLOOKUP(E59,'All Products'!D:D,'All Products'!I:I,FALSE)</f>
        <v>In Stock</v>
      </c>
      <c r="P59" s="265" t="str">
        <f>_xlfn.XLOOKUP(E59,'All Products'!D:D,'All Products'!J:J,FALSE)</f>
        <v>Manufactured</v>
      </c>
      <c r="Q59" s="266">
        <f>_xlfn.XLOOKUP(E59,'All Products'!D:D,'All Products'!K:K,FALSE)</f>
        <v>49081162023</v>
      </c>
      <c r="R59" s="266" t="str">
        <f>_xlfn.XLOOKUP(E59,'All Products'!D:D,'All Products'!L:L,FALSE)</f>
        <v>-</v>
      </c>
      <c r="S59" s="266">
        <f>_xlfn.XLOOKUP(E59,'All Products'!D:D,'All Products'!M:M,FALSE)</f>
        <v>40049081162021</v>
      </c>
      <c r="T59" s="265">
        <f>_xlfn.XLOOKUP(E59,'All Products'!D:D,'All Products'!N:N,FALSE)</f>
        <v>1.4890000000000001</v>
      </c>
      <c r="U59" s="266" t="str">
        <f>_xlfn.XLOOKUP(E59,'All Products'!D:D,'All Products'!O:O,FALSE)</f>
        <v>-</v>
      </c>
      <c r="V59" s="265">
        <f>_xlfn.XLOOKUP(E59,'All Products'!D:D,'All Products'!P:P,FALSE)</f>
        <v>16.03</v>
      </c>
      <c r="W59" s="265">
        <f>_xlfn.XLOOKUP(E59,'All Products'!D:D,'All Products'!Q:Q,FALSE)</f>
        <v>1.1000000000000001</v>
      </c>
    </row>
    <row r="60" spans="1:23">
      <c r="A60" s="101" t="str">
        <f>IF(K60&gt;0,COUNT($A$7:A59)
+COUNT('DWV PVC'!$A$9:$A$316)
+COUNT('DWV ABS'!$A$8:$A$116)
+COUNT('PVC SCH40'!$A$8:$A$424)
+COUNT('PVC SCH40 LD'!$A$8:$A$21)
+COUNT('Pool &amp; SPA Sweep Elbows'!$A$8:$A$11)
+COUNT('Pool &amp; SPA Pipe Extender'!$A$8:$A$10)+1,"")</f>
        <v/>
      </c>
      <c r="B60" s="610"/>
      <c r="C60" s="611"/>
      <c r="D60" s="142" t="str">
        <f>_xlfn.XLOOKUP(E60,'All Products'!D:D,'All Products'!C:C,FALSE)</f>
        <v>817-040</v>
      </c>
      <c r="E60" s="103">
        <v>100023549</v>
      </c>
      <c r="F60" s="413" t="str">
        <f>_xlfn.XLOOKUP(E60,'All Products'!D:D,'All Products'!E:E,FALSE)</f>
        <v>4 ELBOW 45 SXS SCH80</v>
      </c>
      <c r="G60" s="233">
        <f>_xlfn.XLOOKUP(E60,'All Products'!D:D,'All Products'!F:F,FALSE)</f>
        <v>4</v>
      </c>
      <c r="H60" s="196">
        <f>_xlfn.XLOOKUP(E60,'All Products'!D:D,'All Products'!G:G,FALSE)</f>
        <v>240</v>
      </c>
      <c r="I60" s="415">
        <f>_xlfn.XLOOKUP(E60,'All Products'!D:D,'All Products'!H:H,FALSE)</f>
        <v>320.88</v>
      </c>
      <c r="J60" s="130">
        <f>ROUND(I60*Order_Quote!$L$8,2)</f>
        <v>320.88</v>
      </c>
      <c r="K60" s="75"/>
      <c r="L60" s="113"/>
      <c r="M60" s="171">
        <f t="shared" si="1"/>
        <v>0</v>
      </c>
      <c r="O60" s="265" t="str">
        <f>_xlfn.XLOOKUP(E60,'All Products'!D:D,'All Products'!I:I,FALSE)</f>
        <v>In Stock</v>
      </c>
      <c r="P60" s="265" t="str">
        <f>_xlfn.XLOOKUP(E60,'All Products'!D:D,'All Products'!J:J,FALSE)</f>
        <v>Manufactured</v>
      </c>
      <c r="Q60" s="266">
        <f>_xlfn.XLOOKUP(E60,'All Products'!D:D,'All Products'!K:K,FALSE)</f>
        <v>49081162047</v>
      </c>
      <c r="R60" s="266" t="str">
        <f>_xlfn.XLOOKUP(E60,'All Products'!D:D,'All Products'!L:L,FALSE)</f>
        <v>-</v>
      </c>
      <c r="S60" s="266">
        <f>_xlfn.XLOOKUP(E60,'All Products'!D:D,'All Products'!M:M,FALSE)</f>
        <v>40049081162045</v>
      </c>
      <c r="T60" s="265">
        <f>_xlfn.XLOOKUP(E60,'All Products'!D:D,'All Products'!N:N,FALSE)</f>
        <v>2.734</v>
      </c>
      <c r="U60" s="266" t="str">
        <f>_xlfn.XLOOKUP(E60,'All Products'!D:D,'All Products'!O:O,FALSE)</f>
        <v>-</v>
      </c>
      <c r="V60" s="265">
        <f>_xlfn.XLOOKUP(E60,'All Products'!D:D,'All Products'!P:P,FALSE)</f>
        <v>12.16</v>
      </c>
      <c r="W60" s="265">
        <f>_xlfn.XLOOKUP(E60,'All Products'!D:D,'All Products'!Q:Q,FALSE)</f>
        <v>1.25</v>
      </c>
    </row>
    <row r="61" spans="1:23">
      <c r="A61" s="101" t="str">
        <f>IF(K61&gt;0,COUNT($A$7:A60)
+COUNT('DWV PVC'!$A$9:$A$316)
+COUNT('DWV ABS'!$A$8:$A$116)
+COUNT('PVC SCH40'!$A$8:$A$424)
+COUNT('PVC SCH40 LD'!$A$8:$A$21)
+COUNT('Pool &amp; SPA Sweep Elbows'!$A$8:$A$11)
+COUNT('Pool &amp; SPA Pipe Extender'!$A$8:$A$10)+1,"")</f>
        <v/>
      </c>
      <c r="B61" s="610"/>
      <c r="C61" s="611"/>
      <c r="D61" s="142" t="str">
        <f>_xlfn.XLOOKUP(E61,'All Products'!D:D,'All Products'!C:C,FALSE)</f>
        <v>817-060</v>
      </c>
      <c r="E61" s="103">
        <v>100023550</v>
      </c>
      <c r="F61" s="413" t="str">
        <f>_xlfn.XLOOKUP(E61,'All Products'!D:D,'All Products'!E:E,FALSE)</f>
        <v>6 ELBOW 45 SXS SCH80</v>
      </c>
      <c r="G61" s="233">
        <f>_xlfn.XLOOKUP(E61,'All Products'!D:D,'All Products'!F:F,FALSE)</f>
        <v>2</v>
      </c>
      <c r="H61" s="196">
        <f>_xlfn.XLOOKUP(E61,'All Products'!D:D,'All Products'!G:G,FALSE)</f>
        <v>120</v>
      </c>
      <c r="I61" s="415">
        <f>_xlfn.XLOOKUP(E61,'All Products'!D:D,'All Products'!H:H,FALSE)</f>
        <v>404.12</v>
      </c>
      <c r="J61" s="130">
        <f>ROUND(I61*Order_Quote!$L$8,2)</f>
        <v>404.12</v>
      </c>
      <c r="K61" s="75"/>
      <c r="L61" s="113"/>
      <c r="M61" s="171">
        <f t="shared" si="1"/>
        <v>0</v>
      </c>
      <c r="O61" s="265" t="str">
        <f>_xlfn.XLOOKUP(E61,'All Products'!D:D,'All Products'!I:I,FALSE)</f>
        <v>In Stock</v>
      </c>
      <c r="P61" s="265" t="str">
        <f>_xlfn.XLOOKUP(E61,'All Products'!D:D,'All Products'!J:J,FALSE)</f>
        <v>Manufactured</v>
      </c>
      <c r="Q61" s="266">
        <f>_xlfn.XLOOKUP(E61,'All Products'!D:D,'All Products'!K:K,FALSE)</f>
        <v>49081162085</v>
      </c>
      <c r="R61" s="266" t="str">
        <f>_xlfn.XLOOKUP(E61,'All Products'!D:D,'All Products'!L:L,FALSE)</f>
        <v>-</v>
      </c>
      <c r="S61" s="266">
        <f>_xlfn.XLOOKUP(E61,'All Products'!D:D,'All Products'!M:M,FALSE)</f>
        <v>40049081162083</v>
      </c>
      <c r="T61" s="265">
        <f>_xlfn.XLOOKUP(E61,'All Products'!D:D,'All Products'!N:N,FALSE)</f>
        <v>5.4939999999999998</v>
      </c>
      <c r="U61" s="266" t="str">
        <f>_xlfn.XLOOKUP(E61,'All Products'!D:D,'All Products'!O:O,FALSE)</f>
        <v>-</v>
      </c>
      <c r="V61" s="265">
        <f>_xlfn.XLOOKUP(E61,'All Products'!D:D,'All Products'!P:P,FALSE)</f>
        <v>11.9</v>
      </c>
      <c r="W61" s="265">
        <f>_xlfn.XLOOKUP(E61,'All Products'!D:D,'All Products'!Q:Q,FALSE)</f>
        <v>1.41</v>
      </c>
    </row>
    <row r="62" spans="1:23">
      <c r="A62" s="101" t="str">
        <f>IF(K62&gt;0,COUNT($A$7:A61)
+COUNT('DWV PVC'!$A$9:$A$316)
+COUNT('DWV ABS'!$A$8:$A$116)
+COUNT('PVC SCH40'!$A$8:$A$424)
+COUNT('PVC SCH40 LD'!$A$8:$A$21)
+COUNT('Pool &amp; SPA Sweep Elbows'!$A$8:$A$11)
+COUNT('Pool &amp; SPA Pipe Extender'!$A$8:$A$10)+1,"")</f>
        <v/>
      </c>
      <c r="B62" s="612"/>
      <c r="C62" s="613"/>
      <c r="D62" s="142" t="str">
        <f>_xlfn.XLOOKUP(E62,'All Products'!D:D,'All Products'!C:C,FALSE)</f>
        <v>817-080</v>
      </c>
      <c r="E62" s="103">
        <v>100023551</v>
      </c>
      <c r="F62" s="413" t="str">
        <f>_xlfn.XLOOKUP(E62,'All Products'!D:D,'All Products'!E:E,FALSE)</f>
        <v>8 ELBOW 45 SXS SCH80</v>
      </c>
      <c r="G62" s="233">
        <f>_xlfn.XLOOKUP(E62,'All Products'!D:D,'All Products'!F:F,FALSE)</f>
        <v>2</v>
      </c>
      <c r="H62" s="196">
        <f>_xlfn.XLOOKUP(E62,'All Products'!D:D,'All Products'!G:G,FALSE)</f>
        <v>48</v>
      </c>
      <c r="I62" s="415">
        <f>_xlfn.XLOOKUP(E62,'All Products'!D:D,'All Products'!H:H,FALSE)</f>
        <v>876.15</v>
      </c>
      <c r="J62" s="130">
        <f>ROUND(I62*Order_Quote!$L$8,2)</f>
        <v>876.15</v>
      </c>
      <c r="K62" s="75"/>
      <c r="L62" s="113"/>
      <c r="M62" s="171">
        <f t="shared" si="1"/>
        <v>0</v>
      </c>
      <c r="O62" s="265" t="str">
        <f>_xlfn.XLOOKUP(E62,'All Products'!D:D,'All Products'!I:I,FALSE)</f>
        <v>In Stock</v>
      </c>
      <c r="P62" s="265" t="str">
        <f>_xlfn.XLOOKUP(E62,'All Products'!D:D,'All Products'!J:J,FALSE)</f>
        <v>Manufactured</v>
      </c>
      <c r="Q62" s="266">
        <f>_xlfn.XLOOKUP(E62,'All Products'!D:D,'All Products'!K:K,FALSE)</f>
        <v>49081162108</v>
      </c>
      <c r="R62" s="266" t="str">
        <f>_xlfn.XLOOKUP(E62,'All Products'!D:D,'All Products'!L:L,FALSE)</f>
        <v>-</v>
      </c>
      <c r="S62" s="266">
        <f>_xlfn.XLOOKUP(E62,'All Products'!D:D,'All Products'!M:M,FALSE)</f>
        <v>40049081162106</v>
      </c>
      <c r="T62" s="265">
        <f>_xlfn.XLOOKUP(E62,'All Products'!D:D,'All Products'!N:N,FALSE)</f>
        <v>13.265000000000001</v>
      </c>
      <c r="U62" s="266" t="str">
        <f>_xlfn.XLOOKUP(E62,'All Products'!D:D,'All Products'!O:O,FALSE)</f>
        <v>-</v>
      </c>
      <c r="V62" s="265">
        <f>_xlfn.XLOOKUP(E62,'All Products'!D:D,'All Products'!P:P,FALSE)</f>
        <v>28.34</v>
      </c>
      <c r="W62" s="265">
        <f>_xlfn.XLOOKUP(E62,'All Products'!D:D,'All Products'!Q:Q,FALSE)</f>
        <v>2.77</v>
      </c>
    </row>
    <row r="63" spans="1:23">
      <c r="A63" s="101" t="str">
        <f>IF(K63&gt;0,COUNT($A$7:A62)
+COUNT('DWV PVC'!$A$9:$A$316)
+COUNT('DWV ABS'!$A$8:$A$116)
+COUNT('PVC SCH40'!$A$8:$A$424)
+COUNT('PVC SCH40 LD'!$A$8:$A$21)
+COUNT('Pool &amp; SPA Sweep Elbows'!$A$8:$A$11)
+COUNT('Pool &amp; SPA Pipe Extender'!$A$8:$A$10)+1,"")</f>
        <v/>
      </c>
      <c r="B63" s="610"/>
      <c r="C63" s="611"/>
      <c r="D63" s="142" t="str">
        <f>_xlfn.XLOOKUP(E63,'All Products'!D:D,'All Products'!C:C,FALSE)</f>
        <v>819-012</v>
      </c>
      <c r="E63" s="103">
        <v>100028116</v>
      </c>
      <c r="F63" s="413" t="str">
        <f>_xlfn.XLOOKUP(E63,'All Products'!D:D,'All Products'!E:E,FALSE)</f>
        <v>1-1/4 ELBOW 45 FIPTXFIPT SCH80</v>
      </c>
      <c r="G63" s="233">
        <f>_xlfn.XLOOKUP(E63,'All Products'!D:D,'All Products'!F:F,FALSE)</f>
        <v>25</v>
      </c>
      <c r="H63" s="196">
        <f>_xlfn.XLOOKUP(E63,'All Products'!D:D,'All Products'!G:G,FALSE)</f>
        <v>0</v>
      </c>
      <c r="I63" s="415">
        <f>_xlfn.XLOOKUP(E63,'All Products'!D:D,'All Products'!H:H,FALSE)</f>
        <v>63.31</v>
      </c>
      <c r="J63" s="130">
        <f>ROUND(I63*Order_Quote!$L$8,2)</f>
        <v>63.31</v>
      </c>
      <c r="K63" s="75"/>
      <c r="L63" s="113"/>
      <c r="M63" s="171">
        <f t="shared" si="1"/>
        <v>0</v>
      </c>
      <c r="O63" s="265" t="str">
        <f>_xlfn.XLOOKUP(E63,'All Products'!D:D,'All Products'!I:I,FALSE)</f>
        <v>In Stock</v>
      </c>
      <c r="P63" s="265" t="str">
        <f>_xlfn.XLOOKUP(E63,'All Products'!D:D,'All Products'!J:J,FALSE)</f>
        <v>Manufactured</v>
      </c>
      <c r="Q63" s="266">
        <f>_xlfn.XLOOKUP(E63,'All Products'!D:D,'All Products'!K:K,FALSE)</f>
        <v>49081162344</v>
      </c>
      <c r="R63" s="266" t="str">
        <f>_xlfn.XLOOKUP(E63,'All Products'!D:D,'All Products'!L:L,FALSE)</f>
        <v>-</v>
      </c>
      <c r="S63" s="266">
        <f>_xlfn.XLOOKUP(E63,'All Products'!D:D,'All Products'!M:M,FALSE)</f>
        <v>40049081162342</v>
      </c>
      <c r="T63" s="265">
        <f>_xlfn.XLOOKUP(E63,'All Products'!D:D,'All Products'!N:N,FALSE)</f>
        <v>0.26700000000000002</v>
      </c>
      <c r="U63" s="266" t="str">
        <f>_xlfn.XLOOKUP(E63,'All Products'!D:D,'All Products'!O:O,FALSE)</f>
        <v>-</v>
      </c>
      <c r="V63" s="265">
        <f>_xlfn.XLOOKUP(E63,'All Products'!D:D,'All Products'!P:P,FALSE)</f>
        <v>6.6680000000000001</v>
      </c>
      <c r="W63" s="265" t="str">
        <f>_xlfn.XLOOKUP(E63,'All Products'!D:D,'All Products'!Q:Q,FALSE)</f>
        <v>-</v>
      </c>
    </row>
    <row r="64" spans="1:23">
      <c r="A64" s="101" t="str">
        <f>IF(K64&gt;0,COUNT($A$7:A63)
+COUNT('DWV PVC'!$A$9:$A$316)
+COUNT('DWV ABS'!$A$8:$A$116)
+COUNT('PVC SCH40'!$A$8:$A$424)
+COUNT('PVC SCH40 LD'!$A$8:$A$21)
+COUNT('Pool &amp; SPA Sweep Elbows'!$A$8:$A$11)
+COUNT('Pool &amp; SPA Pipe Extender'!$A$8:$A$10)+1,"")</f>
        <v/>
      </c>
      <c r="B64" s="610"/>
      <c r="C64" s="611"/>
      <c r="D64" s="142" t="str">
        <f>_xlfn.XLOOKUP(E64,'All Products'!D:D,'All Products'!C:C,FALSE)</f>
        <v>819-020</v>
      </c>
      <c r="E64" s="103">
        <v>100028118</v>
      </c>
      <c r="F64" s="413" t="str">
        <f>_xlfn.XLOOKUP(E64,'All Products'!D:D,'All Products'!E:E,FALSE)</f>
        <v>2 ELBOW 45 FIPTXFIPT SCH80</v>
      </c>
      <c r="G64" s="233">
        <f>_xlfn.XLOOKUP(E64,'All Products'!D:D,'All Products'!F:F,FALSE)</f>
        <v>20</v>
      </c>
      <c r="H64" s="196">
        <f>_xlfn.XLOOKUP(E64,'All Products'!D:D,'All Products'!G:G,FALSE)</f>
        <v>0</v>
      </c>
      <c r="I64" s="415">
        <f>_xlfn.XLOOKUP(E64,'All Products'!D:D,'All Products'!H:H,FALSE)</f>
        <v>117.98</v>
      </c>
      <c r="J64" s="130">
        <f>ROUND(I64*Order_Quote!$L$8,2)</f>
        <v>117.98</v>
      </c>
      <c r="K64" s="75"/>
      <c r="L64" s="113"/>
      <c r="M64" s="171">
        <f t="shared" si="1"/>
        <v>0</v>
      </c>
      <c r="O64" s="265" t="str">
        <f>_xlfn.XLOOKUP(E64,'All Products'!D:D,'All Products'!I:I,FALSE)</f>
        <v>In Stock</v>
      </c>
      <c r="P64" s="265" t="str">
        <f>_xlfn.XLOOKUP(E64,'All Products'!D:D,'All Products'!J:J,FALSE)</f>
        <v>Manufactured</v>
      </c>
      <c r="Q64" s="266">
        <f>_xlfn.XLOOKUP(E64,'All Products'!D:D,'All Products'!K:K,FALSE)</f>
        <v>49081162382</v>
      </c>
      <c r="R64" s="266" t="str">
        <f>_xlfn.XLOOKUP(E64,'All Products'!D:D,'All Products'!L:L,FALSE)</f>
        <v>-</v>
      </c>
      <c r="S64" s="266">
        <f>_xlfn.XLOOKUP(E64,'All Products'!D:D,'All Products'!M:M,FALSE)</f>
        <v>40049081162380</v>
      </c>
      <c r="T64" s="265">
        <f>_xlfn.XLOOKUP(E64,'All Products'!D:D,'All Products'!N:N,FALSE)</f>
        <v>0.52</v>
      </c>
      <c r="U64" s="266" t="str">
        <f>_xlfn.XLOOKUP(E64,'All Products'!D:D,'All Products'!O:O,FALSE)</f>
        <v>-</v>
      </c>
      <c r="V64" s="265">
        <f>_xlfn.XLOOKUP(E64,'All Products'!D:D,'All Products'!P:P,FALSE)</f>
        <v>10.404</v>
      </c>
      <c r="W64" s="265" t="str">
        <f>_xlfn.XLOOKUP(E64,'All Products'!D:D,'All Products'!Q:Q,FALSE)</f>
        <v>-</v>
      </c>
    </row>
    <row r="65" spans="1:23">
      <c r="A65" s="101" t="str">
        <f>IF(K65&gt;0,COUNT($A$7:A64)
+COUNT('DWV PVC'!$A$9:$A$316)
+COUNT('DWV ABS'!$A$8:$A$116)
+COUNT('PVC SCH40'!$A$8:$A$424)
+COUNT('PVC SCH40 LD'!$A$8:$A$21)
+COUNT('Pool &amp; SPA Sweep Elbows'!$A$8:$A$11)
+COUNT('Pool &amp; SPA Pipe Extender'!$A$8:$A$10)+1,"")</f>
        <v/>
      </c>
      <c r="B65" s="610"/>
      <c r="C65" s="611"/>
      <c r="D65" s="142" t="str">
        <f>_xlfn.XLOOKUP(E65,'All Products'!D:D,'All Products'!C:C,FALSE)</f>
        <v>819-030</v>
      </c>
      <c r="E65" s="103">
        <v>100028119</v>
      </c>
      <c r="F65" s="413" t="str">
        <f>_xlfn.XLOOKUP(E65,'All Products'!D:D,'All Products'!E:E,FALSE)</f>
        <v>3 ELBOW 45 FIPTXFIPT SCH80</v>
      </c>
      <c r="G65" s="233">
        <f>_xlfn.XLOOKUP(E65,'All Products'!D:D,'All Products'!F:F,FALSE)</f>
        <v>15</v>
      </c>
      <c r="H65" s="196">
        <f>_xlfn.XLOOKUP(E65,'All Products'!D:D,'All Products'!G:G,FALSE)</f>
        <v>0</v>
      </c>
      <c r="I65" s="415">
        <f>_xlfn.XLOOKUP(E65,'All Products'!D:D,'All Products'!H:H,FALSE)</f>
        <v>375.5</v>
      </c>
      <c r="J65" s="130">
        <f>ROUND(I65*Order_Quote!$L$8,2)</f>
        <v>375.5</v>
      </c>
      <c r="K65" s="75"/>
      <c r="L65" s="113"/>
      <c r="M65" s="171">
        <f t="shared" si="1"/>
        <v>0</v>
      </c>
      <c r="O65" s="265" t="str">
        <f>_xlfn.XLOOKUP(E65,'All Products'!D:D,'All Products'!I:I,FALSE)</f>
        <v>Within 3 Weeks</v>
      </c>
      <c r="P65" s="265" t="str">
        <f>_xlfn.XLOOKUP(E65,'All Products'!D:D,'All Products'!J:J,FALSE)</f>
        <v>Manufactured</v>
      </c>
      <c r="Q65" s="266">
        <f>_xlfn.XLOOKUP(E65,'All Products'!D:D,'All Products'!K:K,FALSE)</f>
        <v>49081162429</v>
      </c>
      <c r="R65" s="266" t="str">
        <f>_xlfn.XLOOKUP(E65,'All Products'!D:D,'All Products'!L:L,FALSE)</f>
        <v>-</v>
      </c>
      <c r="S65" s="266">
        <f>_xlfn.XLOOKUP(E65,'All Products'!D:D,'All Products'!M:M,FALSE)</f>
        <v>40049081162427</v>
      </c>
      <c r="T65" s="265">
        <f>_xlfn.XLOOKUP(E65,'All Products'!D:D,'All Products'!N:N,FALSE)</f>
        <v>1.429</v>
      </c>
      <c r="U65" s="266" t="str">
        <f>_xlfn.XLOOKUP(E65,'All Products'!D:D,'All Products'!O:O,FALSE)</f>
        <v>-</v>
      </c>
      <c r="V65" s="265">
        <f>_xlfn.XLOOKUP(E65,'All Products'!D:D,'All Products'!P:P,FALSE)</f>
        <v>21.428999999999998</v>
      </c>
      <c r="W65" s="265" t="str">
        <f>_xlfn.XLOOKUP(E65,'All Products'!D:D,'All Products'!Q:Q,FALSE)</f>
        <v>-</v>
      </c>
    </row>
    <row r="66" spans="1:23">
      <c r="A66" s="101" t="str">
        <f>IF(K66&gt;0,COUNT($A$7:A65)
+COUNT('DWV PVC'!$A$9:$A$316)
+COUNT('DWV ABS'!$A$8:$A$116)
+COUNT('PVC SCH40'!$A$8:$A$424)
+COUNT('PVC SCH40 LD'!$A$8:$A$21)
+COUNT('Pool &amp; SPA Sweep Elbows'!$A$8:$A$11)
+COUNT('Pool &amp; SPA Pipe Extender'!$A$8:$A$10)+1,"")</f>
        <v/>
      </c>
      <c r="B66" s="612"/>
      <c r="C66" s="613"/>
      <c r="D66" s="142" t="str">
        <f>_xlfn.XLOOKUP(E66,'All Products'!D:D,'All Products'!C:C,FALSE)</f>
        <v>819-040</v>
      </c>
      <c r="E66" s="103">
        <v>100028120</v>
      </c>
      <c r="F66" s="413" t="str">
        <f>_xlfn.XLOOKUP(E66,'All Products'!D:D,'All Products'!E:E,FALSE)</f>
        <v>4 ELBOW 45 FIPTXFIPT SCH80</v>
      </c>
      <c r="G66" s="233">
        <f>_xlfn.XLOOKUP(E66,'All Products'!D:D,'All Products'!F:F,FALSE)</f>
        <v>5</v>
      </c>
      <c r="H66" s="196">
        <f>_xlfn.XLOOKUP(E66,'All Products'!D:D,'All Products'!G:G,FALSE)</f>
        <v>0</v>
      </c>
      <c r="I66" s="415">
        <f>_xlfn.XLOOKUP(E66,'All Products'!D:D,'All Products'!H:H,FALSE)</f>
        <v>538.83000000000004</v>
      </c>
      <c r="J66" s="130">
        <f>ROUND(I66*Order_Quote!$L$8,2)</f>
        <v>538.83000000000004</v>
      </c>
      <c r="K66" s="75"/>
      <c r="L66" s="113"/>
      <c r="M66" s="171">
        <f t="shared" si="1"/>
        <v>0</v>
      </c>
      <c r="O66" s="265" t="str">
        <f>_xlfn.XLOOKUP(E66,'All Products'!D:D,'All Products'!I:I,FALSE)</f>
        <v>Within 3 Weeks</v>
      </c>
      <c r="P66" s="265" t="str">
        <f>_xlfn.XLOOKUP(E66,'All Products'!D:D,'All Products'!J:J,FALSE)</f>
        <v>Manufactured</v>
      </c>
      <c r="Q66" s="266">
        <f>_xlfn.XLOOKUP(E66,'All Products'!D:D,'All Products'!K:K,FALSE)</f>
        <v>49081162443</v>
      </c>
      <c r="R66" s="266" t="str">
        <f>_xlfn.XLOOKUP(E66,'All Products'!D:D,'All Products'!L:L,FALSE)</f>
        <v>-</v>
      </c>
      <c r="S66" s="266">
        <f>_xlfn.XLOOKUP(E66,'All Products'!D:D,'All Products'!M:M,FALSE)</f>
        <v>40049081162441</v>
      </c>
      <c r="T66" s="265">
        <f>_xlfn.XLOOKUP(E66,'All Products'!D:D,'All Products'!N:N,FALSE)</f>
        <v>2.5129999999999999</v>
      </c>
      <c r="U66" s="266" t="str">
        <f>_xlfn.XLOOKUP(E66,'All Products'!D:D,'All Products'!O:O,FALSE)</f>
        <v>-</v>
      </c>
      <c r="V66" s="265">
        <f>_xlfn.XLOOKUP(E66,'All Products'!D:D,'All Products'!P:P,FALSE)</f>
        <v>12.566000000000001</v>
      </c>
      <c r="W66" s="265" t="str">
        <f>_xlfn.XLOOKUP(E66,'All Products'!D:D,'All Products'!Q:Q,FALSE)</f>
        <v>-</v>
      </c>
    </row>
    <row r="67" spans="1:23">
      <c r="A67" s="101" t="str">
        <f>IF(K67&gt;0,COUNT($A$7:A66)
+COUNT('DWV PVC'!$A$9:$A$316)
+COUNT('DWV ABS'!$A$8:$A$116)
+COUNT('PVC SCH40'!$A$8:$A$424)
+COUNT('PVC SCH40 LD'!$A$8:$A$21)
+COUNT('Pool &amp; SPA Sweep Elbows'!$A$8:$A$11)
+COUNT('Pool &amp; SPA Pipe Extender'!$A$8:$A$10)+1,"")</f>
        <v/>
      </c>
      <c r="B67" s="608"/>
      <c r="C67" s="609"/>
      <c r="D67" s="142" t="str">
        <f>_xlfn.XLOOKUP(E67,'All Products'!D:D,'All Products'!C:C,FALSE)</f>
        <v>829-002</v>
      </c>
      <c r="E67" s="103">
        <v>100028121</v>
      </c>
      <c r="F67" s="413" t="str">
        <f>_xlfn.XLOOKUP(E67,'All Products'!D:D,'All Products'!E:E,FALSE)</f>
        <v>1/4 COUPLING SXS SCH80</v>
      </c>
      <c r="G67" s="233">
        <f>_xlfn.XLOOKUP(E67,'All Products'!D:D,'All Products'!F:F,FALSE)</f>
        <v>200</v>
      </c>
      <c r="H67" s="196">
        <f>_xlfn.XLOOKUP(E67,'All Products'!D:D,'All Products'!G:G,FALSE)</f>
        <v>0</v>
      </c>
      <c r="I67" s="415">
        <f>_xlfn.XLOOKUP(E67,'All Products'!D:D,'All Products'!H:H,FALSE)</f>
        <v>23.98</v>
      </c>
      <c r="J67" s="130">
        <f>ROUND(I67*Order_Quote!$L$8,2)</f>
        <v>23.98</v>
      </c>
      <c r="K67" s="75"/>
      <c r="L67" s="113"/>
      <c r="M67" s="171">
        <f t="shared" si="1"/>
        <v>0</v>
      </c>
      <c r="O67" s="265" t="str">
        <f>_xlfn.XLOOKUP(E67,'All Products'!D:D,'All Products'!I:I,FALSE)</f>
        <v>Within 3 Weeks</v>
      </c>
      <c r="P67" s="265" t="str">
        <f>_xlfn.XLOOKUP(E67,'All Products'!D:D,'All Products'!J:J,FALSE)</f>
        <v>Manufactured</v>
      </c>
      <c r="Q67" s="266">
        <f>_xlfn.XLOOKUP(E67,'All Products'!D:D,'All Products'!K:K,FALSE)</f>
        <v>49081160609</v>
      </c>
      <c r="R67" s="266">
        <f>_xlfn.XLOOKUP(E67,'All Products'!D:D,'All Products'!L:L,FALSE)</f>
        <v>0</v>
      </c>
      <c r="S67" s="266">
        <f>_xlfn.XLOOKUP(E67,'All Products'!D:D,'All Products'!M:M,FALSE)</f>
        <v>40049081160607</v>
      </c>
      <c r="T67" s="265">
        <f>_xlfn.XLOOKUP(E67,'All Products'!D:D,'All Products'!N:N,FALSE)</f>
        <v>2.9000000000000001E-2</v>
      </c>
      <c r="U67" s="266">
        <f>_xlfn.XLOOKUP(E67,'All Products'!D:D,'All Products'!O:O,FALSE)</f>
        <v>100</v>
      </c>
      <c r="V67" s="265">
        <f>_xlfn.XLOOKUP(E67,'All Products'!D:D,'All Products'!P:P,FALSE)</f>
        <v>5.72</v>
      </c>
      <c r="W67" s="265" t="str">
        <f>_xlfn.XLOOKUP(E67,'All Products'!D:D,'All Products'!Q:Q,FALSE)</f>
        <v>-</v>
      </c>
    </row>
    <row r="68" spans="1:23">
      <c r="A68" s="101" t="str">
        <f>IF(K68&gt;0,COUNT($A$7:A67)
+COUNT('DWV PVC'!$A$9:$A$316)
+COUNT('DWV ABS'!$A$8:$A$116)
+COUNT('PVC SCH40'!$A$8:$A$424)
+COUNT('PVC SCH40 LD'!$A$8:$A$21)
+COUNT('Pool &amp; SPA Sweep Elbows'!$A$8:$A$11)
+COUNT('Pool &amp; SPA Pipe Extender'!$A$8:$A$10)+1,"")</f>
        <v/>
      </c>
      <c r="B68" s="610"/>
      <c r="C68" s="611"/>
      <c r="D68" s="142" t="str">
        <f>_xlfn.XLOOKUP(E68,'All Products'!D:D,'All Products'!C:C,FALSE)</f>
        <v>829-003</v>
      </c>
      <c r="E68" s="103">
        <v>100028122</v>
      </c>
      <c r="F68" s="413" t="str">
        <f>_xlfn.XLOOKUP(E68,'All Products'!D:D,'All Products'!E:E,FALSE)</f>
        <v>3/8 COUPLING SXS SCH80</v>
      </c>
      <c r="G68" s="233">
        <f>_xlfn.XLOOKUP(E68,'All Products'!D:D,'All Products'!F:F,FALSE)</f>
        <v>50</v>
      </c>
      <c r="H68" s="196">
        <f>_xlfn.XLOOKUP(E68,'All Products'!D:D,'All Products'!G:G,FALSE)</f>
        <v>0</v>
      </c>
      <c r="I68" s="415">
        <f>_xlfn.XLOOKUP(E68,'All Products'!D:D,'All Products'!H:H,FALSE)</f>
        <v>23.98</v>
      </c>
      <c r="J68" s="130">
        <f>ROUND(I68*Order_Quote!$L$8,2)</f>
        <v>23.98</v>
      </c>
      <c r="K68" s="75"/>
      <c r="L68" s="113"/>
      <c r="M68" s="171">
        <f t="shared" si="1"/>
        <v>0</v>
      </c>
      <c r="O68" s="265" t="str">
        <f>_xlfn.XLOOKUP(E68,'All Products'!D:D,'All Products'!I:I,FALSE)</f>
        <v>Within 3 Weeks</v>
      </c>
      <c r="P68" s="265" t="str">
        <f>_xlfn.XLOOKUP(E68,'All Products'!D:D,'All Products'!J:J,FALSE)</f>
        <v>Manufactured</v>
      </c>
      <c r="Q68" s="266">
        <f>_xlfn.XLOOKUP(E68,'All Products'!D:D,'All Products'!K:K,FALSE)</f>
        <v>49081160623</v>
      </c>
      <c r="R68" s="266" t="str">
        <f>_xlfn.XLOOKUP(E68,'All Products'!D:D,'All Products'!L:L,FALSE)</f>
        <v>-</v>
      </c>
      <c r="S68" s="266">
        <f>_xlfn.XLOOKUP(E68,'All Products'!D:D,'All Products'!M:M,FALSE)</f>
        <v>40049081160621</v>
      </c>
      <c r="T68" s="265">
        <f>_xlfn.XLOOKUP(E68,'All Products'!D:D,'All Products'!N:N,FALSE)</f>
        <v>3.4000000000000002E-2</v>
      </c>
      <c r="U68" s="266" t="str">
        <f>_xlfn.XLOOKUP(E68,'All Products'!D:D,'All Products'!O:O,FALSE)</f>
        <v>-</v>
      </c>
      <c r="V68" s="265">
        <f>_xlfn.XLOOKUP(E68,'All Products'!D:D,'All Products'!P:P,FALSE)</f>
        <v>2.09</v>
      </c>
      <c r="W68" s="265" t="str">
        <f>_xlfn.XLOOKUP(E68,'All Products'!D:D,'All Products'!Q:Q,FALSE)</f>
        <v>-</v>
      </c>
    </row>
    <row r="69" spans="1:23">
      <c r="A69" s="101" t="str">
        <f>IF(K69&gt;0,COUNT($A$7:A68)
+COUNT('DWV PVC'!$A$9:$A$316)
+COUNT('DWV ABS'!$A$8:$A$116)
+COUNT('PVC SCH40'!$A$8:$A$424)
+COUNT('PVC SCH40 LD'!$A$8:$A$21)
+COUNT('Pool &amp; SPA Sweep Elbows'!$A$8:$A$11)
+COUNT('Pool &amp; SPA Pipe Extender'!$A$8:$A$10)+1,"")</f>
        <v/>
      </c>
      <c r="B69" s="610"/>
      <c r="C69" s="611"/>
      <c r="D69" s="142" t="str">
        <f>_xlfn.XLOOKUP(E69,'All Products'!D:D,'All Products'!C:C,FALSE)</f>
        <v>829-005</v>
      </c>
      <c r="E69" s="103">
        <v>100023552</v>
      </c>
      <c r="F69" s="413" t="str">
        <f>_xlfn.XLOOKUP(E69,'All Products'!D:D,'All Products'!E:E,FALSE)</f>
        <v>1/2 COUPLING SXS SCH80</v>
      </c>
      <c r="G69" s="233">
        <f>_xlfn.XLOOKUP(E69,'All Products'!D:D,'All Products'!F:F,FALSE)</f>
        <v>250</v>
      </c>
      <c r="H69" s="196">
        <f>_xlfn.XLOOKUP(E69,'All Products'!D:D,'All Products'!G:G,FALSE)</f>
        <v>30000</v>
      </c>
      <c r="I69" s="415">
        <f>_xlfn.XLOOKUP(E69,'All Products'!D:D,'All Products'!H:H,FALSE)</f>
        <v>15.02</v>
      </c>
      <c r="J69" s="130">
        <f>ROUND(I69*Order_Quote!$L$8,2)</f>
        <v>15.02</v>
      </c>
      <c r="K69" s="75"/>
      <c r="L69" s="113"/>
      <c r="M69" s="171">
        <f t="shared" ref="M69:M103" si="2">K69/G69</f>
        <v>0</v>
      </c>
      <c r="O69" s="265" t="str">
        <f>_xlfn.XLOOKUP(E69,'All Products'!D:D,'All Products'!I:I,FALSE)</f>
        <v>In Stock</v>
      </c>
      <c r="P69" s="265" t="str">
        <f>_xlfn.XLOOKUP(E69,'All Products'!D:D,'All Products'!J:J,FALSE)</f>
        <v>Manufactured</v>
      </c>
      <c r="Q69" s="266">
        <f>_xlfn.XLOOKUP(E69,'All Products'!D:D,'All Products'!K:K,FALSE)</f>
        <v>49081160647</v>
      </c>
      <c r="R69" s="266">
        <f>_xlfn.XLOOKUP(E69,'All Products'!D:D,'All Products'!L:L,FALSE)</f>
        <v>49081660642</v>
      </c>
      <c r="S69" s="266">
        <f>_xlfn.XLOOKUP(E69,'All Products'!D:D,'All Products'!M:M,FALSE)</f>
        <v>40049081160645</v>
      </c>
      <c r="T69" s="265">
        <f>_xlfn.XLOOKUP(E69,'All Products'!D:D,'All Products'!N:N,FALSE)</f>
        <v>5.3999999999999999E-2</v>
      </c>
      <c r="U69" s="266">
        <f>_xlfn.XLOOKUP(E69,'All Products'!D:D,'All Products'!O:O,FALSE)</f>
        <v>10</v>
      </c>
      <c r="V69" s="265">
        <f>_xlfn.XLOOKUP(E69,'All Products'!D:D,'All Products'!P:P,FALSE)</f>
        <v>13.17</v>
      </c>
      <c r="W69" s="265">
        <f>_xlfn.XLOOKUP(E69,'All Products'!D:D,'All Products'!Q:Q,FALSE)</f>
        <v>0.65</v>
      </c>
    </row>
    <row r="70" spans="1:23">
      <c r="A70" s="101" t="str">
        <f>IF(K70&gt;0,COUNT($A$7:A69)
+COUNT('DWV PVC'!$A$9:$A$316)
+COUNT('DWV ABS'!$A$8:$A$116)
+COUNT('PVC SCH40'!$A$8:$A$424)
+COUNT('PVC SCH40 LD'!$A$8:$A$21)
+COUNT('Pool &amp; SPA Sweep Elbows'!$A$8:$A$11)
+COUNT('Pool &amp; SPA Pipe Extender'!$A$8:$A$10)+1,"")</f>
        <v/>
      </c>
      <c r="B70" s="610"/>
      <c r="C70" s="611"/>
      <c r="D70" s="142" t="str">
        <f>_xlfn.XLOOKUP(E70,'All Products'!D:D,'All Products'!C:C,FALSE)</f>
        <v>829-007</v>
      </c>
      <c r="E70" s="103">
        <v>100023553</v>
      </c>
      <c r="F70" s="413" t="str">
        <f>_xlfn.XLOOKUP(E70,'All Products'!D:D,'All Products'!E:E,FALSE)</f>
        <v>3/4 COUPLING SXS SCH80</v>
      </c>
      <c r="G70" s="233">
        <f>_xlfn.XLOOKUP(E70,'All Products'!D:D,'All Products'!F:F,FALSE)</f>
        <v>250</v>
      </c>
      <c r="H70" s="196">
        <f>_xlfn.XLOOKUP(E70,'All Products'!D:D,'All Products'!G:G,FALSE)</f>
        <v>18750</v>
      </c>
      <c r="I70" s="415">
        <f>_xlfn.XLOOKUP(E70,'All Products'!D:D,'All Products'!H:H,FALSE)</f>
        <v>20.28</v>
      </c>
      <c r="J70" s="130">
        <f>ROUND(I70*Order_Quote!$L$8,2)</f>
        <v>20.28</v>
      </c>
      <c r="K70" s="75"/>
      <c r="L70" s="113"/>
      <c r="M70" s="171">
        <f t="shared" si="2"/>
        <v>0</v>
      </c>
      <c r="O70" s="265" t="str">
        <f>_xlfn.XLOOKUP(E70,'All Products'!D:D,'All Products'!I:I,FALSE)</f>
        <v>In Stock</v>
      </c>
      <c r="P70" s="265" t="str">
        <f>_xlfn.XLOOKUP(E70,'All Products'!D:D,'All Products'!J:J,FALSE)</f>
        <v>Manufactured</v>
      </c>
      <c r="Q70" s="266">
        <f>_xlfn.XLOOKUP(E70,'All Products'!D:D,'All Products'!K:K,FALSE)</f>
        <v>49081160661</v>
      </c>
      <c r="R70" s="266">
        <f>_xlfn.XLOOKUP(E70,'All Products'!D:D,'All Products'!L:L,FALSE)</f>
        <v>49081660666</v>
      </c>
      <c r="S70" s="266">
        <f>_xlfn.XLOOKUP(E70,'All Products'!D:D,'All Products'!M:M,FALSE)</f>
        <v>40049081160669</v>
      </c>
      <c r="T70" s="265">
        <f>_xlfn.XLOOKUP(E70,'All Products'!D:D,'All Products'!N:N,FALSE)</f>
        <v>7.1999999999999995E-2</v>
      </c>
      <c r="U70" s="266">
        <f>_xlfn.XLOOKUP(E70,'All Products'!D:D,'All Products'!O:O,FALSE)</f>
        <v>10</v>
      </c>
      <c r="V70" s="265">
        <f>_xlfn.XLOOKUP(E70,'All Products'!D:D,'All Products'!P:P,FALSE)</f>
        <v>19.25</v>
      </c>
      <c r="W70" s="265">
        <f>_xlfn.XLOOKUP(E70,'All Products'!D:D,'All Products'!Q:Q,FALSE)</f>
        <v>0.95</v>
      </c>
    </row>
    <row r="71" spans="1:23">
      <c r="A71" s="101" t="str">
        <f>IF(K71&gt;0,COUNT($A$7:A70)
+COUNT('DWV PVC'!$A$9:$A$316)
+COUNT('DWV ABS'!$A$8:$A$116)
+COUNT('PVC SCH40'!$A$8:$A$424)
+COUNT('PVC SCH40 LD'!$A$8:$A$21)
+COUNT('Pool &amp; SPA Sweep Elbows'!$A$8:$A$11)
+COUNT('Pool &amp; SPA Pipe Extender'!$A$8:$A$10)+1,"")</f>
        <v/>
      </c>
      <c r="B71" s="610"/>
      <c r="C71" s="611"/>
      <c r="D71" s="142" t="str">
        <f>_xlfn.XLOOKUP(E71,'All Products'!D:D,'All Products'!C:C,FALSE)</f>
        <v>829-010</v>
      </c>
      <c r="E71" s="103">
        <v>100023555</v>
      </c>
      <c r="F71" s="413" t="str">
        <f>_xlfn.XLOOKUP(E71,'All Products'!D:D,'All Products'!E:E,FALSE)</f>
        <v>1 COUPLING SXS SCH80</v>
      </c>
      <c r="G71" s="233">
        <f>_xlfn.XLOOKUP(E71,'All Products'!D:D,'All Products'!F:F,FALSE)</f>
        <v>100</v>
      </c>
      <c r="H71" s="196">
        <f>_xlfn.XLOOKUP(E71,'All Products'!D:D,'All Products'!G:G,FALSE)</f>
        <v>9000</v>
      </c>
      <c r="I71" s="415">
        <f>_xlfn.XLOOKUP(E71,'All Products'!D:D,'All Products'!H:H,FALSE)</f>
        <v>20.89</v>
      </c>
      <c r="J71" s="130">
        <f>ROUND(I71*Order_Quote!$L$8,2)</f>
        <v>20.89</v>
      </c>
      <c r="K71" s="75"/>
      <c r="L71" s="113"/>
      <c r="M71" s="171">
        <f t="shared" si="2"/>
        <v>0</v>
      </c>
      <c r="O71" s="265" t="str">
        <f>_xlfn.XLOOKUP(E71,'All Products'!D:D,'All Products'!I:I,FALSE)</f>
        <v>In Stock</v>
      </c>
      <c r="P71" s="265" t="str">
        <f>_xlfn.XLOOKUP(E71,'All Products'!D:D,'All Products'!J:J,FALSE)</f>
        <v>Manufactured</v>
      </c>
      <c r="Q71" s="266">
        <f>_xlfn.XLOOKUP(E71,'All Products'!D:D,'All Products'!K:K,FALSE)</f>
        <v>49081160708</v>
      </c>
      <c r="R71" s="266">
        <f>_xlfn.XLOOKUP(E71,'All Products'!D:D,'All Products'!L:L,FALSE)</f>
        <v>49081660703</v>
      </c>
      <c r="S71" s="266">
        <f>_xlfn.XLOOKUP(E71,'All Products'!D:D,'All Products'!M:M,FALSE)</f>
        <v>40049081160706</v>
      </c>
      <c r="T71" s="265">
        <f>_xlfn.XLOOKUP(E71,'All Products'!D:D,'All Products'!N:N,FALSE)</f>
        <v>0.13200000000000001</v>
      </c>
      <c r="U71" s="266">
        <f>_xlfn.XLOOKUP(E71,'All Products'!D:D,'All Products'!O:O,FALSE)</f>
        <v>10</v>
      </c>
      <c r="V71" s="265">
        <f>_xlfn.XLOOKUP(E71,'All Products'!D:D,'All Products'!P:P,FALSE)</f>
        <v>14.21</v>
      </c>
      <c r="W71" s="265">
        <f>_xlfn.XLOOKUP(E71,'All Products'!D:D,'All Products'!Q:Q,FALSE)</f>
        <v>0.8</v>
      </c>
    </row>
    <row r="72" spans="1:23">
      <c r="A72" s="101" t="str">
        <f>IF(K72&gt;0,COUNT($A$7:A71)
+COUNT('DWV PVC'!$A$9:$A$316)
+COUNT('DWV ABS'!$A$8:$A$116)
+COUNT('PVC SCH40'!$A$8:$A$424)
+COUNT('PVC SCH40 LD'!$A$8:$A$21)
+COUNT('Pool &amp; SPA Sweep Elbows'!$A$8:$A$11)
+COUNT('Pool &amp; SPA Pipe Extender'!$A$8:$A$10)+1,"")</f>
        <v/>
      </c>
      <c r="B72" s="610"/>
      <c r="C72" s="611"/>
      <c r="D72" s="142" t="str">
        <f>_xlfn.XLOOKUP(E72,'All Products'!D:D,'All Products'!C:C,FALSE)</f>
        <v>829-012</v>
      </c>
      <c r="E72" s="103">
        <v>100023556</v>
      </c>
      <c r="F72" s="413" t="str">
        <f>_xlfn.XLOOKUP(E72,'All Products'!D:D,'All Products'!E:E,FALSE)</f>
        <v>1-1/4 COUPLING SXS SCH80</v>
      </c>
      <c r="G72" s="233">
        <f>_xlfn.XLOOKUP(E72,'All Products'!D:D,'All Products'!F:F,FALSE)</f>
        <v>50</v>
      </c>
      <c r="H72" s="196">
        <f>_xlfn.XLOOKUP(E72,'All Products'!D:D,'All Products'!G:G,FALSE)</f>
        <v>6000</v>
      </c>
      <c r="I72" s="415">
        <f>_xlfn.XLOOKUP(E72,'All Products'!D:D,'All Products'!H:H,FALSE)</f>
        <v>31.77</v>
      </c>
      <c r="J72" s="130">
        <f>ROUND(I72*Order_Quote!$L$8,2)</f>
        <v>31.77</v>
      </c>
      <c r="K72" s="75"/>
      <c r="L72" s="113"/>
      <c r="M72" s="171">
        <f t="shared" si="2"/>
        <v>0</v>
      </c>
      <c r="O72" s="265" t="str">
        <f>_xlfn.XLOOKUP(E72,'All Products'!D:D,'All Products'!I:I,FALSE)</f>
        <v>In Stock</v>
      </c>
      <c r="P72" s="265" t="str">
        <f>_xlfn.XLOOKUP(E72,'All Products'!D:D,'All Products'!J:J,FALSE)</f>
        <v>Manufactured</v>
      </c>
      <c r="Q72" s="266">
        <f>_xlfn.XLOOKUP(E72,'All Products'!D:D,'All Products'!K:K,FALSE)</f>
        <v>49081160746</v>
      </c>
      <c r="R72" s="266">
        <f>_xlfn.XLOOKUP(E72,'All Products'!D:D,'All Products'!L:L,FALSE)</f>
        <v>49081660741</v>
      </c>
      <c r="S72" s="266">
        <f>_xlfn.XLOOKUP(E72,'All Products'!D:D,'All Products'!M:M,FALSE)</f>
        <v>40049081160744</v>
      </c>
      <c r="T72" s="265">
        <f>_xlfn.XLOOKUP(E72,'All Products'!D:D,'All Products'!N:N,FALSE)</f>
        <v>0.19</v>
      </c>
      <c r="U72" s="266">
        <f>_xlfn.XLOOKUP(E72,'All Products'!D:D,'All Products'!O:O,FALSE)</f>
        <v>5</v>
      </c>
      <c r="V72" s="265">
        <f>_xlfn.XLOOKUP(E72,'All Products'!D:D,'All Products'!P:P,FALSE)</f>
        <v>10.73</v>
      </c>
      <c r="W72" s="265">
        <f>_xlfn.XLOOKUP(E72,'All Products'!D:D,'All Products'!Q:Q,FALSE)</f>
        <v>0.65</v>
      </c>
    </row>
    <row r="73" spans="1:23">
      <c r="A73" s="101" t="str">
        <f>IF(K73&gt;0,COUNT($A$7:A72)
+COUNT('DWV PVC'!$A$9:$A$316)
+COUNT('DWV ABS'!$A$8:$A$116)
+COUNT('PVC SCH40'!$A$8:$A$424)
+COUNT('PVC SCH40 LD'!$A$8:$A$21)
+COUNT('Pool &amp; SPA Sweep Elbows'!$A$8:$A$11)
+COUNT('Pool &amp; SPA Pipe Extender'!$A$8:$A$10)+1,"")</f>
        <v/>
      </c>
      <c r="B73" s="610"/>
      <c r="C73" s="611"/>
      <c r="D73" s="142" t="str">
        <f>_xlfn.XLOOKUP(E73,'All Products'!D:D,'All Products'!C:C,FALSE)</f>
        <v>829-015</v>
      </c>
      <c r="E73" s="103">
        <v>100023557</v>
      </c>
      <c r="F73" s="413" t="str">
        <f>_xlfn.XLOOKUP(E73,'All Products'!D:D,'All Products'!E:E,FALSE)</f>
        <v>1-1/2 COUPLING SXS SCH80</v>
      </c>
      <c r="G73" s="233">
        <f>_xlfn.XLOOKUP(E73,'All Products'!D:D,'All Products'!F:F,FALSE)</f>
        <v>50</v>
      </c>
      <c r="H73" s="196">
        <f>_xlfn.XLOOKUP(E73,'All Products'!D:D,'All Products'!G:G,FALSE)</f>
        <v>3750</v>
      </c>
      <c r="I73" s="415">
        <f>_xlfn.XLOOKUP(E73,'All Products'!D:D,'All Products'!H:H,FALSE)</f>
        <v>34.24</v>
      </c>
      <c r="J73" s="130">
        <f>ROUND(I73*Order_Quote!$L$8,2)</f>
        <v>34.24</v>
      </c>
      <c r="K73" s="75"/>
      <c r="L73" s="113"/>
      <c r="M73" s="171">
        <f t="shared" si="2"/>
        <v>0</v>
      </c>
      <c r="O73" s="265" t="str">
        <f>_xlfn.XLOOKUP(E73,'All Products'!D:D,'All Products'!I:I,FALSE)</f>
        <v>In Stock</v>
      </c>
      <c r="P73" s="265" t="str">
        <f>_xlfn.XLOOKUP(E73,'All Products'!D:D,'All Products'!J:J,FALSE)</f>
        <v>Manufactured</v>
      </c>
      <c r="Q73" s="266">
        <f>_xlfn.XLOOKUP(E73,'All Products'!D:D,'All Products'!K:K,FALSE)</f>
        <v>49081160784</v>
      </c>
      <c r="R73" s="266">
        <f>_xlfn.XLOOKUP(E73,'All Products'!D:D,'All Products'!L:L,FALSE)</f>
        <v>49081660789</v>
      </c>
      <c r="S73" s="266">
        <f>_xlfn.XLOOKUP(E73,'All Products'!D:D,'All Products'!M:M,FALSE)</f>
        <v>40049081160782</v>
      </c>
      <c r="T73" s="265">
        <f>_xlfn.XLOOKUP(E73,'All Products'!D:D,'All Products'!N:N,FALSE)</f>
        <v>0.29299999999999998</v>
      </c>
      <c r="U73" s="266">
        <f>_xlfn.XLOOKUP(E73,'All Products'!D:D,'All Products'!O:O,FALSE)</f>
        <v>5</v>
      </c>
      <c r="V73" s="265">
        <f>_xlfn.XLOOKUP(E73,'All Products'!D:D,'All Products'!P:P,FALSE)</f>
        <v>14.74</v>
      </c>
      <c r="W73" s="265">
        <f>_xlfn.XLOOKUP(E73,'All Products'!D:D,'All Products'!Q:Q,FALSE)</f>
        <v>0.95</v>
      </c>
    </row>
    <row r="74" spans="1:23">
      <c r="A74" s="101" t="str">
        <f>IF(K74&gt;0,COUNT($A$7:A73)
+COUNT('DWV PVC'!$A$9:$A$316)
+COUNT('DWV ABS'!$A$8:$A$116)
+COUNT('PVC SCH40'!$A$8:$A$424)
+COUNT('PVC SCH40 LD'!$A$8:$A$21)
+COUNT('Pool &amp; SPA Sweep Elbows'!$A$8:$A$11)
+COUNT('Pool &amp; SPA Pipe Extender'!$A$8:$A$10)+1,"")</f>
        <v/>
      </c>
      <c r="B74" s="610"/>
      <c r="C74" s="611"/>
      <c r="D74" s="142" t="str">
        <f>_xlfn.XLOOKUP(E74,'All Products'!D:D,'All Products'!C:C,FALSE)</f>
        <v>829-020</v>
      </c>
      <c r="E74" s="103">
        <v>100023558</v>
      </c>
      <c r="F74" s="413" t="str">
        <f>_xlfn.XLOOKUP(E74,'All Products'!D:D,'All Products'!E:E,FALSE)</f>
        <v>2 COUPLING SXS SCH80</v>
      </c>
      <c r="G74" s="233">
        <f>_xlfn.XLOOKUP(E74,'All Products'!D:D,'All Products'!F:F,FALSE)</f>
        <v>25</v>
      </c>
      <c r="H74" s="196">
        <f>_xlfn.XLOOKUP(E74,'All Products'!D:D,'All Products'!G:G,FALSE)</f>
        <v>2250</v>
      </c>
      <c r="I74" s="415">
        <f>_xlfn.XLOOKUP(E74,'All Products'!D:D,'All Products'!H:H,FALSE)</f>
        <v>36.76</v>
      </c>
      <c r="J74" s="130">
        <f>ROUND(I74*Order_Quote!$L$8,2)</f>
        <v>36.76</v>
      </c>
      <c r="K74" s="75"/>
      <c r="L74" s="113"/>
      <c r="M74" s="171">
        <f t="shared" si="2"/>
        <v>0</v>
      </c>
      <c r="O74" s="265" t="str">
        <f>_xlfn.XLOOKUP(E74,'All Products'!D:D,'All Products'!I:I,FALSE)</f>
        <v>In Stock</v>
      </c>
      <c r="P74" s="265" t="str">
        <f>_xlfn.XLOOKUP(E74,'All Products'!D:D,'All Products'!J:J,FALSE)</f>
        <v>Manufactured</v>
      </c>
      <c r="Q74" s="266">
        <f>_xlfn.XLOOKUP(E74,'All Products'!D:D,'All Products'!K:K,FALSE)</f>
        <v>49081160821</v>
      </c>
      <c r="R74" s="266">
        <f>_xlfn.XLOOKUP(E74,'All Products'!D:D,'All Products'!L:L,FALSE)</f>
        <v>49081660826</v>
      </c>
      <c r="S74" s="266">
        <f>_xlfn.XLOOKUP(E74,'All Products'!D:D,'All Products'!M:M,FALSE)</f>
        <v>40049081160829</v>
      </c>
      <c r="T74" s="265">
        <f>_xlfn.XLOOKUP(E74,'All Products'!D:D,'All Products'!N:N,FALSE)</f>
        <v>0.378</v>
      </c>
      <c r="U74" s="266">
        <f>_xlfn.XLOOKUP(E74,'All Products'!D:D,'All Products'!O:O,FALSE)</f>
        <v>5</v>
      </c>
      <c r="V74" s="265">
        <f>_xlfn.XLOOKUP(E74,'All Products'!D:D,'All Products'!P:P,FALSE)</f>
        <v>10.65</v>
      </c>
      <c r="W74" s="265">
        <f>_xlfn.XLOOKUP(E74,'All Products'!D:D,'All Products'!Q:Q,FALSE)</f>
        <v>0.8</v>
      </c>
    </row>
    <row r="75" spans="1:23">
      <c r="A75" s="101" t="str">
        <f>IF(K75&gt;0,COUNT($A$7:A74)
+COUNT('DWV PVC'!$A$9:$A$316)
+COUNT('DWV ABS'!$A$8:$A$116)
+COUNT('PVC SCH40'!$A$8:$A$424)
+COUNT('PVC SCH40 LD'!$A$8:$A$21)
+COUNT('Pool &amp; SPA Sweep Elbows'!$A$8:$A$11)
+COUNT('Pool &amp; SPA Pipe Extender'!$A$8:$A$10)+1,"")</f>
        <v/>
      </c>
      <c r="B75" s="610"/>
      <c r="C75" s="611"/>
      <c r="D75" s="142" t="str">
        <f>_xlfn.XLOOKUP(E75,'All Products'!D:D,'All Products'!C:C,FALSE)</f>
        <v>829-025</v>
      </c>
      <c r="E75" s="103">
        <v>100023559</v>
      </c>
      <c r="F75" s="413" t="str">
        <f>_xlfn.XLOOKUP(E75,'All Products'!D:D,'All Products'!E:E,FALSE)</f>
        <v>2-1/2 COUPLING SXS SCH80</v>
      </c>
      <c r="G75" s="233">
        <f>_xlfn.XLOOKUP(E75,'All Products'!D:D,'All Products'!F:F,FALSE)</f>
        <v>25</v>
      </c>
      <c r="H75" s="196">
        <f>_xlfn.XLOOKUP(E75,'All Products'!D:D,'All Products'!G:G,FALSE)</f>
        <v>1875</v>
      </c>
      <c r="I75" s="415">
        <f>_xlfn.XLOOKUP(E75,'All Products'!D:D,'All Products'!H:H,FALSE)</f>
        <v>90.53</v>
      </c>
      <c r="J75" s="130">
        <f>ROUND(I75*Order_Quote!$L$8,2)</f>
        <v>90.53</v>
      </c>
      <c r="K75" s="75"/>
      <c r="L75" s="113"/>
      <c r="M75" s="171">
        <f t="shared" si="2"/>
        <v>0</v>
      </c>
      <c r="O75" s="265" t="str">
        <f>_xlfn.XLOOKUP(E75,'All Products'!D:D,'All Products'!I:I,FALSE)</f>
        <v>In Stock</v>
      </c>
      <c r="P75" s="265" t="str">
        <f>_xlfn.XLOOKUP(E75,'All Products'!D:D,'All Products'!J:J,FALSE)</f>
        <v>Manufactured</v>
      </c>
      <c r="Q75" s="266">
        <f>_xlfn.XLOOKUP(E75,'All Products'!D:D,'All Products'!K:K,FALSE)</f>
        <v>49081160869</v>
      </c>
      <c r="R75" s="266">
        <f>_xlfn.XLOOKUP(E75,'All Products'!D:D,'All Products'!L:L,FALSE)</f>
        <v>49081660864</v>
      </c>
      <c r="S75" s="266">
        <f>_xlfn.XLOOKUP(E75,'All Products'!D:D,'All Products'!M:M,FALSE)</f>
        <v>40049081160867</v>
      </c>
      <c r="T75" s="265">
        <f>_xlfn.XLOOKUP(E75,'All Products'!D:D,'All Products'!N:N,FALSE)</f>
        <v>0.754</v>
      </c>
      <c r="U75" s="266">
        <f>_xlfn.XLOOKUP(E75,'All Products'!D:D,'All Products'!O:O,FALSE)</f>
        <v>5</v>
      </c>
      <c r="V75" s="265">
        <f>_xlfn.XLOOKUP(E75,'All Products'!D:D,'All Products'!P:P,FALSE)</f>
        <v>18.66</v>
      </c>
      <c r="W75" s="265">
        <f>_xlfn.XLOOKUP(E75,'All Products'!D:D,'All Products'!Q:Q,FALSE)</f>
        <v>1.1000000000000001</v>
      </c>
    </row>
    <row r="76" spans="1:23">
      <c r="A76" s="101" t="str">
        <f>IF(K76&gt;0,COUNT($A$7:A75)
+COUNT('DWV PVC'!$A$9:$A$316)
+COUNT('DWV ABS'!$A$8:$A$116)
+COUNT('PVC SCH40'!$A$8:$A$424)
+COUNT('PVC SCH40 LD'!$A$8:$A$21)
+COUNT('Pool &amp; SPA Sweep Elbows'!$A$8:$A$11)
+COUNT('Pool &amp; SPA Pipe Extender'!$A$8:$A$10)+1,"")</f>
        <v/>
      </c>
      <c r="B76" s="610"/>
      <c r="C76" s="611"/>
      <c r="D76" s="142" t="str">
        <f>_xlfn.XLOOKUP(E76,'All Products'!D:D,'All Products'!C:C,FALSE)</f>
        <v>829-030</v>
      </c>
      <c r="E76" s="103">
        <v>100023560</v>
      </c>
      <c r="F76" s="413" t="str">
        <f>_xlfn.XLOOKUP(E76,'All Products'!D:D,'All Products'!E:E,FALSE)</f>
        <v>3 COUPLING SXS SCH80</v>
      </c>
      <c r="G76" s="233">
        <f>_xlfn.XLOOKUP(E76,'All Products'!D:D,'All Products'!F:F,FALSE)</f>
        <v>10</v>
      </c>
      <c r="H76" s="196">
        <f>_xlfn.XLOOKUP(E76,'All Products'!D:D,'All Products'!G:G,FALSE)</f>
        <v>1200</v>
      </c>
      <c r="I76" s="415">
        <f>_xlfn.XLOOKUP(E76,'All Products'!D:D,'All Products'!H:H,FALSE)</f>
        <v>103.92</v>
      </c>
      <c r="J76" s="130">
        <f>ROUND(I76*Order_Quote!$L$8,2)</f>
        <v>103.92</v>
      </c>
      <c r="K76" s="75"/>
      <c r="L76" s="113"/>
      <c r="M76" s="171">
        <f t="shared" si="2"/>
        <v>0</v>
      </c>
      <c r="O76" s="265" t="str">
        <f>_xlfn.XLOOKUP(E76,'All Products'!D:D,'All Products'!I:I,FALSE)</f>
        <v>In Stock</v>
      </c>
      <c r="P76" s="265" t="str">
        <f>_xlfn.XLOOKUP(E76,'All Products'!D:D,'All Products'!J:J,FALSE)</f>
        <v>Manufactured</v>
      </c>
      <c r="Q76" s="266">
        <f>_xlfn.XLOOKUP(E76,'All Products'!D:D,'All Products'!K:K,FALSE)</f>
        <v>49081160883</v>
      </c>
      <c r="R76" s="266" t="str">
        <f>_xlfn.XLOOKUP(E76,'All Products'!D:D,'All Products'!L:L,FALSE)</f>
        <v>-</v>
      </c>
      <c r="S76" s="266">
        <f>_xlfn.XLOOKUP(E76,'All Products'!D:D,'All Products'!M:M,FALSE)</f>
        <v>40049081160881</v>
      </c>
      <c r="T76" s="265">
        <f>_xlfn.XLOOKUP(E76,'All Products'!D:D,'All Products'!N:N,FALSE)</f>
        <v>0.85599999999999998</v>
      </c>
      <c r="U76" s="266" t="str">
        <f>_xlfn.XLOOKUP(E76,'All Products'!D:D,'All Products'!O:O,FALSE)</f>
        <v>-</v>
      </c>
      <c r="V76" s="265">
        <f>_xlfn.XLOOKUP(E76,'All Products'!D:D,'All Products'!P:P,FALSE)</f>
        <v>9.3699999999999992</v>
      </c>
      <c r="W76" s="265">
        <f>_xlfn.XLOOKUP(E76,'All Products'!D:D,'All Products'!Q:Q,FALSE)</f>
        <v>0.65</v>
      </c>
    </row>
    <row r="77" spans="1:23">
      <c r="A77" s="101" t="str">
        <f>IF(K77&gt;0,COUNT($A$7:A76)
+COUNT('DWV PVC'!$A$9:$A$316)
+COUNT('DWV ABS'!$A$8:$A$116)
+COUNT('PVC SCH40'!$A$8:$A$424)
+COUNT('PVC SCH40 LD'!$A$8:$A$21)
+COUNT('Pool &amp; SPA Sweep Elbows'!$A$8:$A$11)
+COUNT('Pool &amp; SPA Pipe Extender'!$A$8:$A$10)+1,"")</f>
        <v/>
      </c>
      <c r="B77" s="610"/>
      <c r="C77" s="611"/>
      <c r="D77" s="142" t="str">
        <f>_xlfn.XLOOKUP(E77,'All Products'!D:D,'All Products'!C:C,FALSE)</f>
        <v>829-040</v>
      </c>
      <c r="E77" s="103">
        <v>100023561</v>
      </c>
      <c r="F77" s="413" t="str">
        <f>_xlfn.XLOOKUP(E77,'All Products'!D:D,'All Products'!E:E,FALSE)</f>
        <v>4 COUPLING SXS SCH80</v>
      </c>
      <c r="G77" s="233">
        <f>_xlfn.XLOOKUP(E77,'All Products'!D:D,'All Products'!F:F,FALSE)</f>
        <v>8</v>
      </c>
      <c r="H77" s="196">
        <f>_xlfn.XLOOKUP(E77,'All Products'!D:D,'All Products'!G:G,FALSE)</f>
        <v>600</v>
      </c>
      <c r="I77" s="415">
        <f>_xlfn.XLOOKUP(E77,'All Products'!D:D,'All Products'!H:H,FALSE)</f>
        <v>130.13</v>
      </c>
      <c r="J77" s="130">
        <f>ROUND(I77*Order_Quote!$L$8,2)</f>
        <v>130.13</v>
      </c>
      <c r="K77" s="75"/>
      <c r="L77" s="113"/>
      <c r="M77" s="171">
        <f t="shared" si="2"/>
        <v>0</v>
      </c>
      <c r="O77" s="265" t="str">
        <f>_xlfn.XLOOKUP(E77,'All Products'!D:D,'All Products'!I:I,FALSE)</f>
        <v>In Stock</v>
      </c>
      <c r="P77" s="265" t="str">
        <f>_xlfn.XLOOKUP(E77,'All Products'!D:D,'All Products'!J:J,FALSE)</f>
        <v>Manufactured</v>
      </c>
      <c r="Q77" s="266">
        <f>_xlfn.XLOOKUP(E77,'All Products'!D:D,'All Products'!K:K,FALSE)</f>
        <v>49081160906</v>
      </c>
      <c r="R77" s="266" t="str">
        <f>_xlfn.XLOOKUP(E77,'All Products'!D:D,'All Products'!L:L,FALSE)</f>
        <v>-</v>
      </c>
      <c r="S77" s="266">
        <f>_xlfn.XLOOKUP(E77,'All Products'!D:D,'All Products'!M:M,FALSE)</f>
        <v>40049081160904</v>
      </c>
      <c r="T77" s="265">
        <f>_xlfn.XLOOKUP(E77,'All Products'!D:D,'All Products'!N:N,FALSE)</f>
        <v>1.3160000000000001</v>
      </c>
      <c r="U77" s="266" t="str">
        <f>_xlfn.XLOOKUP(E77,'All Products'!D:D,'All Products'!O:O,FALSE)</f>
        <v>-</v>
      </c>
      <c r="V77" s="265">
        <f>_xlfn.XLOOKUP(E77,'All Products'!D:D,'All Products'!P:P,FALSE)</f>
        <v>11.95</v>
      </c>
      <c r="W77" s="265">
        <f>_xlfn.XLOOKUP(E77,'All Products'!D:D,'All Products'!Q:Q,FALSE)</f>
        <v>1.1000000000000001</v>
      </c>
    </row>
    <row r="78" spans="1:23">
      <c r="A78" s="101" t="str">
        <f>IF(K78&gt;0,COUNT($A$7:A77)
+COUNT('DWV PVC'!$A$9:$A$316)
+COUNT('DWV ABS'!$A$8:$A$116)
+COUNT('PVC SCH40'!$A$8:$A$424)
+COUNT('PVC SCH40 LD'!$A$8:$A$21)
+COUNT('Pool &amp; SPA Sweep Elbows'!$A$8:$A$11)
+COUNT('Pool &amp; SPA Pipe Extender'!$A$8:$A$10)+1,"")</f>
        <v/>
      </c>
      <c r="B78" s="610"/>
      <c r="C78" s="611"/>
      <c r="D78" s="142" t="str">
        <f>_xlfn.XLOOKUP(E78,'All Products'!D:D,'All Products'!C:C,FALSE)</f>
        <v>829-060</v>
      </c>
      <c r="E78" s="103">
        <v>100023562</v>
      </c>
      <c r="F78" s="413" t="str">
        <f>_xlfn.XLOOKUP(E78,'All Products'!D:D,'All Products'!E:E,FALSE)</f>
        <v>6 COUPLING SXS SCH80</v>
      </c>
      <c r="G78" s="233">
        <f>_xlfn.XLOOKUP(E78,'All Products'!D:D,'All Products'!F:F,FALSE)</f>
        <v>4</v>
      </c>
      <c r="H78" s="196">
        <f>_xlfn.XLOOKUP(E78,'All Products'!D:D,'All Products'!G:G,FALSE)</f>
        <v>300</v>
      </c>
      <c r="I78" s="415">
        <f>_xlfn.XLOOKUP(E78,'All Products'!D:D,'All Products'!H:H,FALSE)</f>
        <v>280.06</v>
      </c>
      <c r="J78" s="130">
        <f>ROUND(I78*Order_Quote!$L$8,2)</f>
        <v>280.06</v>
      </c>
      <c r="K78" s="75"/>
      <c r="L78" s="113"/>
      <c r="M78" s="171">
        <f t="shared" si="2"/>
        <v>0</v>
      </c>
      <c r="O78" s="265" t="str">
        <f>_xlfn.XLOOKUP(E78,'All Products'!D:D,'All Products'!I:I,FALSE)</f>
        <v>In Stock</v>
      </c>
      <c r="P78" s="265" t="str">
        <f>_xlfn.XLOOKUP(E78,'All Products'!D:D,'All Products'!J:J,FALSE)</f>
        <v>Manufactured</v>
      </c>
      <c r="Q78" s="266">
        <f>_xlfn.XLOOKUP(E78,'All Products'!D:D,'All Products'!K:K,FALSE)</f>
        <v>49081160944</v>
      </c>
      <c r="R78" s="266" t="str">
        <f>_xlfn.XLOOKUP(E78,'All Products'!D:D,'All Products'!L:L,FALSE)</f>
        <v>-</v>
      </c>
      <c r="S78" s="266">
        <f>_xlfn.XLOOKUP(E78,'All Products'!D:D,'All Products'!M:M,FALSE)</f>
        <v>40049081160942</v>
      </c>
      <c r="T78" s="265">
        <f>_xlfn.XLOOKUP(E78,'All Products'!D:D,'All Products'!N:N,FALSE)</f>
        <v>3.31</v>
      </c>
      <c r="U78" s="266" t="str">
        <f>_xlfn.XLOOKUP(E78,'All Products'!D:D,'All Products'!O:O,FALSE)</f>
        <v>-</v>
      </c>
      <c r="V78" s="265">
        <f>_xlfn.XLOOKUP(E78,'All Products'!D:D,'All Products'!P:P,FALSE)</f>
        <v>14.52</v>
      </c>
      <c r="W78" s="265">
        <f>_xlfn.XLOOKUP(E78,'All Products'!D:D,'All Products'!Q:Q,FALSE)</f>
        <v>1.1000000000000001</v>
      </c>
    </row>
    <row r="79" spans="1:23">
      <c r="A79" s="101" t="str">
        <f>IF(K79&gt;0,COUNT($A$7:A78)
+COUNT('DWV PVC'!$A$9:$A$316)
+COUNT('DWV ABS'!$A$8:$A$116)
+COUNT('PVC SCH40'!$A$8:$A$424)
+COUNT('PVC SCH40 LD'!$A$8:$A$21)
+COUNT('Pool &amp; SPA Sweep Elbows'!$A$8:$A$11)
+COUNT('Pool &amp; SPA Pipe Extender'!$A$8:$A$10)+1,"")</f>
        <v/>
      </c>
      <c r="B79" s="612"/>
      <c r="C79" s="613"/>
      <c r="D79" s="142" t="str">
        <f>_xlfn.XLOOKUP(E79,'All Products'!D:D,'All Products'!C:C,FALSE)</f>
        <v>829-080</v>
      </c>
      <c r="E79" s="103">
        <v>100023563</v>
      </c>
      <c r="F79" s="413" t="str">
        <f>_xlfn.XLOOKUP(E79,'All Products'!D:D,'All Products'!E:E,FALSE)</f>
        <v>8 COUPLING SXS SCH80</v>
      </c>
      <c r="G79" s="233">
        <f>_xlfn.XLOOKUP(E79,'All Products'!D:D,'All Products'!F:F,FALSE)</f>
        <v>5</v>
      </c>
      <c r="H79" s="196">
        <f>_xlfn.XLOOKUP(E79,'All Products'!D:D,'All Products'!G:G,FALSE)</f>
        <v>120</v>
      </c>
      <c r="I79" s="415">
        <f>_xlfn.XLOOKUP(E79,'All Products'!D:D,'All Products'!H:H,FALSE)</f>
        <v>381.16</v>
      </c>
      <c r="J79" s="130">
        <f>ROUND(I79*Order_Quote!$L$8,2)</f>
        <v>381.16</v>
      </c>
      <c r="K79" s="75"/>
      <c r="L79" s="113"/>
      <c r="M79" s="171">
        <f t="shared" si="2"/>
        <v>0</v>
      </c>
      <c r="O79" s="265" t="str">
        <f>_xlfn.XLOOKUP(E79,'All Products'!D:D,'All Products'!I:I,FALSE)</f>
        <v>In Stock</v>
      </c>
      <c r="P79" s="265" t="str">
        <f>_xlfn.XLOOKUP(E79,'All Products'!D:D,'All Products'!J:J,FALSE)</f>
        <v>Manufactured</v>
      </c>
      <c r="Q79" s="266">
        <f>_xlfn.XLOOKUP(E79,'All Products'!D:D,'All Products'!K:K,FALSE)</f>
        <v>49081160968</v>
      </c>
      <c r="R79" s="266" t="str">
        <f>_xlfn.XLOOKUP(E79,'All Products'!D:D,'All Products'!L:L,FALSE)</f>
        <v>-</v>
      </c>
      <c r="S79" s="266">
        <f>_xlfn.XLOOKUP(E79,'All Products'!D:D,'All Products'!M:M,FALSE)</f>
        <v>40049081160966</v>
      </c>
      <c r="T79" s="265">
        <f>_xlfn.XLOOKUP(E79,'All Products'!D:D,'All Products'!N:N,FALSE)</f>
        <v>6.2510000000000003</v>
      </c>
      <c r="U79" s="266" t="str">
        <f>_xlfn.XLOOKUP(E79,'All Products'!D:D,'All Products'!O:O,FALSE)</f>
        <v>-</v>
      </c>
      <c r="V79" s="265">
        <f>_xlfn.XLOOKUP(E79,'All Products'!D:D,'All Products'!P:P,FALSE)</f>
        <v>34.630000000000003</v>
      </c>
      <c r="W79" s="265">
        <f>_xlfn.XLOOKUP(E79,'All Products'!D:D,'All Products'!Q:Q,FALSE)</f>
        <v>2.77</v>
      </c>
    </row>
    <row r="80" spans="1:23" ht="28.5" customHeight="1">
      <c r="A80" s="101" t="str">
        <f>IF(K80&gt;0,COUNT($A$7:A79)
+COUNT('DWV PVC'!$A$9:$A$316)
+COUNT('DWV ABS'!$A$8:$A$116)
+COUNT('PVC SCH40'!$A$8:$A$424)
+COUNT('PVC SCH40 LD'!$A$8:$A$21)
+COUNT('Pool &amp; SPA Sweep Elbows'!$A$8:$A$11)
+COUNT('Pool &amp; SPA Pipe Extender'!$A$8:$A$10)+1,"")</f>
        <v/>
      </c>
      <c r="B80" s="610"/>
      <c r="C80" s="611"/>
      <c r="D80" s="142" t="str">
        <f>_xlfn.XLOOKUP(E80,'All Products'!D:D,'All Products'!C:C,FALSE)</f>
        <v>829-422</v>
      </c>
      <c r="E80" s="103">
        <v>100028132</v>
      </c>
      <c r="F80" s="413" t="str">
        <f>_xlfn.XLOOKUP(E80,'All Products'!D:D,'All Products'!E:E,FALSE)</f>
        <v>4 X 3 RED COUPLING SXS SCH80</v>
      </c>
      <c r="G80" s="233">
        <f>_xlfn.XLOOKUP(E80,'All Products'!D:D,'All Products'!F:F,FALSE)</f>
        <v>5</v>
      </c>
      <c r="H80" s="196">
        <f>_xlfn.XLOOKUP(E80,'All Products'!D:D,'All Products'!G:G,FALSE)</f>
        <v>0</v>
      </c>
      <c r="I80" s="415">
        <f>_xlfn.XLOOKUP(E80,'All Products'!D:D,'All Products'!H:H,FALSE)</f>
        <v>296.64</v>
      </c>
      <c r="J80" s="130">
        <f>ROUND(I80*Order_Quote!$L$8,2)</f>
        <v>296.64</v>
      </c>
      <c r="K80" s="75"/>
      <c r="L80" s="113"/>
      <c r="M80" s="171">
        <f t="shared" si="2"/>
        <v>0</v>
      </c>
      <c r="O80" s="265" t="str">
        <f>_xlfn.XLOOKUP(E80,'All Products'!D:D,'All Products'!I:I,FALSE)</f>
        <v>In Stock</v>
      </c>
      <c r="P80" s="265" t="str">
        <f>_xlfn.XLOOKUP(E80,'All Products'!D:D,'All Products'!J:J,FALSE)</f>
        <v>Manufactured</v>
      </c>
      <c r="Q80" s="266">
        <f>_xlfn.XLOOKUP(E80,'All Products'!D:D,'All Products'!K:K,FALSE)</f>
        <v>49081150860</v>
      </c>
      <c r="R80" s="266" t="str">
        <f>_xlfn.XLOOKUP(E80,'All Products'!D:D,'All Products'!L:L,FALSE)</f>
        <v>-</v>
      </c>
      <c r="S80" s="266">
        <f>_xlfn.XLOOKUP(E80,'All Products'!D:D,'All Products'!M:M,FALSE)</f>
        <v>40049081150868</v>
      </c>
      <c r="T80" s="265">
        <f>_xlfn.XLOOKUP(E80,'All Products'!D:D,'All Products'!N:N,FALSE)</f>
        <v>1.68</v>
      </c>
      <c r="U80" s="266" t="str">
        <f>_xlfn.XLOOKUP(E80,'All Products'!D:D,'All Products'!O:O,FALSE)</f>
        <v>-</v>
      </c>
      <c r="V80" s="265">
        <f>_xlfn.XLOOKUP(E80,'All Products'!D:D,'All Products'!P:P,FALSE)</f>
        <v>8.4</v>
      </c>
      <c r="W80" s="265" t="str">
        <f>_xlfn.XLOOKUP(E80,'All Products'!D:D,'All Products'!Q:Q,FALSE)</f>
        <v>-</v>
      </c>
    </row>
    <row r="81" spans="1:23" ht="28.5" customHeight="1">
      <c r="A81" s="101" t="str">
        <f>IF(K81&gt;0,COUNT($A$7:A80)
+COUNT('DWV PVC'!$A$9:$A$316)
+COUNT('DWV ABS'!$A$8:$A$116)
+COUNT('PVC SCH40'!$A$8:$A$424)
+COUNT('PVC SCH40 LD'!$A$8:$A$21)
+COUNT('Pool &amp; SPA Sweep Elbows'!$A$8:$A$11)
+COUNT('Pool &amp; SPA Pipe Extender'!$A$8:$A$10)+1,"")</f>
        <v/>
      </c>
      <c r="B81" s="612"/>
      <c r="C81" s="613"/>
      <c r="D81" s="142" t="str">
        <f>_xlfn.XLOOKUP(E81,'All Products'!D:D,'All Products'!C:C,FALSE)</f>
        <v>829-585</v>
      </c>
      <c r="E81" s="103">
        <v>100028134</v>
      </c>
      <c r="F81" s="413" t="str">
        <f>_xlfn.XLOOKUP(E81,'All Products'!D:D,'All Products'!E:E,FALSE)</f>
        <v>8 X 6 RED COUPLING SXS SCH80</v>
      </c>
      <c r="G81" s="233">
        <f>_xlfn.XLOOKUP(E81,'All Products'!D:D,'All Products'!F:F,FALSE)</f>
        <v>2</v>
      </c>
      <c r="H81" s="196">
        <f>_xlfn.XLOOKUP(E81,'All Products'!D:D,'All Products'!G:G,FALSE)</f>
        <v>0</v>
      </c>
      <c r="I81" s="415">
        <f>_xlfn.XLOOKUP(E81,'All Products'!D:D,'All Products'!H:H,FALSE)</f>
        <v>1832.46</v>
      </c>
      <c r="J81" s="130">
        <f>ROUND(I81*Order_Quote!$L$8,2)</f>
        <v>1832.46</v>
      </c>
      <c r="K81" s="75"/>
      <c r="L81" s="113"/>
      <c r="M81" s="171">
        <f t="shared" si="2"/>
        <v>0</v>
      </c>
      <c r="O81" s="265" t="str">
        <f>_xlfn.XLOOKUP(E81,'All Products'!D:D,'All Products'!I:I,FALSE)</f>
        <v>Within 3 Weeks</v>
      </c>
      <c r="P81" s="265" t="str">
        <f>_xlfn.XLOOKUP(E81,'All Products'!D:D,'All Products'!J:J,FALSE)</f>
        <v>Manufactured</v>
      </c>
      <c r="Q81" s="266">
        <f>_xlfn.XLOOKUP(E81,'All Products'!D:D,'All Products'!K:K,FALSE)</f>
        <v>49081150983</v>
      </c>
      <c r="R81" s="266" t="str">
        <f>_xlfn.XLOOKUP(E81,'All Products'!D:D,'All Products'!L:L,FALSE)</f>
        <v>-</v>
      </c>
      <c r="S81" s="266">
        <f>_xlfn.XLOOKUP(E81,'All Products'!D:D,'All Products'!M:M,FALSE)</f>
        <v>40049081150981</v>
      </c>
      <c r="T81" s="265">
        <f>_xlfn.XLOOKUP(E81,'All Products'!D:D,'All Products'!N:N,FALSE)</f>
        <v>7.5839999999999996</v>
      </c>
      <c r="U81" s="266" t="str">
        <f>_xlfn.XLOOKUP(E81,'All Products'!D:D,'All Products'!O:O,FALSE)</f>
        <v>-</v>
      </c>
      <c r="V81" s="265">
        <f>_xlfn.XLOOKUP(E81,'All Products'!D:D,'All Products'!P:P,FALSE)</f>
        <v>15.167999999999999</v>
      </c>
      <c r="W81" s="265" t="str">
        <f>_xlfn.XLOOKUP(E81,'All Products'!D:D,'All Products'!Q:Q,FALSE)</f>
        <v>-</v>
      </c>
    </row>
    <row r="82" spans="1:23">
      <c r="A82" s="101" t="str">
        <f>IF(K82&gt;0,COUNT($A$7:A81)
+COUNT('DWV PVC'!$A$9:$A$316)
+COUNT('DWV ABS'!$A$8:$A$116)
+COUNT('PVC SCH40'!$A$8:$A$424)
+COUNT('PVC SCH40 LD'!$A$8:$A$21)
+COUNT('Pool &amp; SPA Sweep Elbows'!$A$8:$A$11)
+COUNT('Pool &amp; SPA Pipe Extender'!$A$8:$A$10)+1,"")</f>
        <v/>
      </c>
      <c r="B82" s="610"/>
      <c r="C82" s="611"/>
      <c r="D82" s="142" t="str">
        <f>_xlfn.XLOOKUP(E82,'All Products'!D:D,'All Products'!C:C,FALSE)</f>
        <v>830-003</v>
      </c>
      <c r="E82" s="103">
        <v>100030600</v>
      </c>
      <c r="F82" s="413" t="str">
        <f>_xlfn.XLOOKUP(E82,'All Products'!D:D,'All Products'!E:E,FALSE)</f>
        <v>3/8 COUPLING FIPTXFIPT SCH80</v>
      </c>
      <c r="G82" s="233">
        <f>_xlfn.XLOOKUP(E82,'All Products'!D:D,'All Products'!F:F,FALSE)</f>
        <v>200</v>
      </c>
      <c r="H82" s="196">
        <f>_xlfn.XLOOKUP(E82,'All Products'!D:D,'All Products'!G:G,FALSE)</f>
        <v>0</v>
      </c>
      <c r="I82" s="415">
        <f>_xlfn.XLOOKUP(E82,'All Products'!D:D,'All Products'!H:H,FALSE)</f>
        <v>17.98</v>
      </c>
      <c r="J82" s="130">
        <f>ROUND(I82*Order_Quote!$L$8,2)</f>
        <v>17.98</v>
      </c>
      <c r="K82" s="75"/>
      <c r="L82" s="113"/>
      <c r="M82" s="171">
        <f t="shared" si="2"/>
        <v>0</v>
      </c>
      <c r="O82" s="265" t="str">
        <f>_xlfn.XLOOKUP(E82,'All Products'!D:D,'All Products'!I:I,FALSE)</f>
        <v>Within 3 Weeks</v>
      </c>
      <c r="P82" s="265" t="str">
        <f>_xlfn.XLOOKUP(E82,'All Products'!D:D,'All Products'!J:J,FALSE)</f>
        <v>Manufactured</v>
      </c>
      <c r="Q82" s="266">
        <f>_xlfn.XLOOKUP(E82,'All Products'!D:D,'All Products'!K:K,FALSE)</f>
        <v>49081161125</v>
      </c>
      <c r="R82" s="266" t="str">
        <f>_xlfn.XLOOKUP(E82,'All Products'!D:D,'All Products'!L:L,FALSE)</f>
        <v>-</v>
      </c>
      <c r="S82" s="266">
        <f>_xlfn.XLOOKUP(E82,'All Products'!D:D,'All Products'!M:M,FALSE)</f>
        <v>40049081161123</v>
      </c>
      <c r="T82" s="265">
        <f>_xlfn.XLOOKUP(E82,'All Products'!D:D,'All Products'!N:N,FALSE)</f>
        <v>3.7999999999999999E-2</v>
      </c>
      <c r="U82" s="266" t="str">
        <f>_xlfn.XLOOKUP(E82,'All Products'!D:D,'All Products'!O:O,FALSE)</f>
        <v>-</v>
      </c>
      <c r="V82" s="265">
        <f>_xlfn.XLOOKUP(E82,'All Products'!D:D,'All Products'!P:P,FALSE)</f>
        <v>7.58</v>
      </c>
      <c r="W82" s="265" t="str">
        <f>_xlfn.XLOOKUP(E82,'All Products'!D:D,'All Products'!Q:Q,FALSE)</f>
        <v>-</v>
      </c>
    </row>
    <row r="83" spans="1:23">
      <c r="A83" s="101" t="str">
        <f>IF(K83&gt;0,COUNT($A$7:A82)
+COUNT('DWV PVC'!$A$9:$A$316)
+COUNT('DWV ABS'!$A$8:$A$116)
+COUNT('PVC SCH40'!$A$8:$A$424)
+COUNT('PVC SCH40 LD'!$A$8:$A$21)
+COUNT('Pool &amp; SPA Sweep Elbows'!$A$8:$A$11)
+COUNT('Pool &amp; SPA Pipe Extender'!$A$8:$A$10)+1,"")</f>
        <v/>
      </c>
      <c r="B83" s="610"/>
      <c r="C83" s="611"/>
      <c r="D83" s="142" t="str">
        <f>_xlfn.XLOOKUP(E83,'All Products'!D:D,'All Products'!C:C,FALSE)</f>
        <v>830-005</v>
      </c>
      <c r="E83" s="103">
        <v>100023564</v>
      </c>
      <c r="F83" s="413" t="str">
        <f>_xlfn.XLOOKUP(E83,'All Products'!D:D,'All Products'!E:E,FALSE)</f>
        <v>1/2 COUPLING FIPTXFIPT SCH80</v>
      </c>
      <c r="G83" s="233">
        <f>_xlfn.XLOOKUP(E83,'All Products'!D:D,'All Products'!F:F,FALSE)</f>
        <v>250</v>
      </c>
      <c r="H83" s="196">
        <f>_xlfn.XLOOKUP(E83,'All Products'!D:D,'All Products'!G:G,FALSE)</f>
        <v>30000</v>
      </c>
      <c r="I83" s="415">
        <f>_xlfn.XLOOKUP(E83,'All Products'!D:D,'All Products'!H:H,FALSE)</f>
        <v>16.75</v>
      </c>
      <c r="J83" s="130">
        <f>ROUND(I83*Order_Quote!$L$8,2)</f>
        <v>16.75</v>
      </c>
      <c r="K83" s="75"/>
      <c r="L83" s="113"/>
      <c r="M83" s="171">
        <f t="shared" si="2"/>
        <v>0</v>
      </c>
      <c r="O83" s="265" t="str">
        <f>_xlfn.XLOOKUP(E83,'All Products'!D:D,'All Products'!I:I,FALSE)</f>
        <v>In Stock</v>
      </c>
      <c r="P83" s="265" t="str">
        <f>_xlfn.XLOOKUP(E83,'All Products'!D:D,'All Products'!J:J,FALSE)</f>
        <v>Manufactured</v>
      </c>
      <c r="Q83" s="266">
        <f>_xlfn.XLOOKUP(E83,'All Products'!D:D,'All Products'!K:K,FALSE)</f>
        <v>49081161149</v>
      </c>
      <c r="R83" s="266">
        <f>_xlfn.XLOOKUP(E83,'All Products'!D:D,'All Products'!L:L,FALSE)</f>
        <v>49081661144</v>
      </c>
      <c r="S83" s="266">
        <f>_xlfn.XLOOKUP(E83,'All Products'!D:D,'All Products'!M:M,FALSE)</f>
        <v>40049081161147</v>
      </c>
      <c r="T83" s="265">
        <f>_xlfn.XLOOKUP(E83,'All Products'!D:D,'All Products'!N:N,FALSE)</f>
        <v>7.5999999999999998E-2</v>
      </c>
      <c r="U83" s="266">
        <f>_xlfn.XLOOKUP(E83,'All Products'!D:D,'All Products'!O:O,FALSE)</f>
        <v>10</v>
      </c>
      <c r="V83" s="265">
        <f>_xlfn.XLOOKUP(E83,'All Products'!D:D,'All Products'!P:P,FALSE)</f>
        <v>18.690000000000001</v>
      </c>
      <c r="W83" s="265">
        <f>_xlfn.XLOOKUP(E83,'All Products'!D:D,'All Products'!Q:Q,FALSE)</f>
        <v>0.65</v>
      </c>
    </row>
    <row r="84" spans="1:23">
      <c r="A84" s="101" t="str">
        <f>IF(K84&gt;0,COUNT($A$7:A83)
+COUNT('DWV PVC'!$A$9:$A$316)
+COUNT('DWV ABS'!$A$8:$A$116)
+COUNT('PVC SCH40'!$A$8:$A$424)
+COUNT('PVC SCH40 LD'!$A$8:$A$21)
+COUNT('Pool &amp; SPA Sweep Elbows'!$A$8:$A$11)
+COUNT('Pool &amp; SPA Pipe Extender'!$A$8:$A$10)+1,"")</f>
        <v/>
      </c>
      <c r="B84" s="610"/>
      <c r="C84" s="611"/>
      <c r="D84" s="142" t="str">
        <f>_xlfn.XLOOKUP(E84,'All Products'!D:D,'All Products'!C:C,FALSE)</f>
        <v>830-007</v>
      </c>
      <c r="E84" s="103">
        <v>100023565</v>
      </c>
      <c r="F84" s="413" t="str">
        <f>_xlfn.XLOOKUP(E84,'All Products'!D:D,'All Products'!E:E,FALSE)</f>
        <v>3/4 COUPLING FIPTXFIPT SCH80</v>
      </c>
      <c r="G84" s="233">
        <f>_xlfn.XLOOKUP(E84,'All Products'!D:D,'All Products'!F:F,FALSE)</f>
        <v>250</v>
      </c>
      <c r="H84" s="196">
        <f>_xlfn.XLOOKUP(E84,'All Products'!D:D,'All Products'!G:G,FALSE)</f>
        <v>18750</v>
      </c>
      <c r="I84" s="415">
        <f>_xlfn.XLOOKUP(E84,'All Products'!D:D,'All Products'!H:H,FALSE)</f>
        <v>23.92</v>
      </c>
      <c r="J84" s="130">
        <f>ROUND(I84*Order_Quote!$L$8,2)</f>
        <v>23.92</v>
      </c>
      <c r="K84" s="75"/>
      <c r="L84" s="113"/>
      <c r="M84" s="171">
        <f t="shared" si="2"/>
        <v>0</v>
      </c>
      <c r="O84" s="265" t="str">
        <f>_xlfn.XLOOKUP(E84,'All Products'!D:D,'All Products'!I:I,FALSE)</f>
        <v>Within 3 Weeks</v>
      </c>
      <c r="P84" s="265" t="str">
        <f>_xlfn.XLOOKUP(E84,'All Products'!D:D,'All Products'!J:J,FALSE)</f>
        <v>Manufactured</v>
      </c>
      <c r="Q84" s="266">
        <f>_xlfn.XLOOKUP(E84,'All Products'!D:D,'All Products'!K:K,FALSE)</f>
        <v>49081161163</v>
      </c>
      <c r="R84" s="266">
        <f>_xlfn.XLOOKUP(E84,'All Products'!D:D,'All Products'!L:L,FALSE)</f>
        <v>49081661168</v>
      </c>
      <c r="S84" s="266">
        <f>_xlfn.XLOOKUP(E84,'All Products'!D:D,'All Products'!M:M,FALSE)</f>
        <v>40049081161161</v>
      </c>
      <c r="T84" s="265">
        <f>_xlfn.XLOOKUP(E84,'All Products'!D:D,'All Products'!N:N,FALSE)</f>
        <v>9.6000000000000002E-2</v>
      </c>
      <c r="U84" s="266">
        <f>_xlfn.XLOOKUP(E84,'All Products'!D:D,'All Products'!O:O,FALSE)</f>
        <v>10</v>
      </c>
      <c r="V84" s="265">
        <f>_xlfn.XLOOKUP(E84,'All Products'!D:D,'All Products'!P:P,FALSE)</f>
        <v>23.86</v>
      </c>
      <c r="W84" s="265">
        <f>_xlfn.XLOOKUP(E84,'All Products'!D:D,'All Products'!Q:Q,FALSE)</f>
        <v>0.95</v>
      </c>
    </row>
    <row r="85" spans="1:23">
      <c r="A85" s="101" t="str">
        <f>IF(K85&gt;0,COUNT($A$7:A84)
+COUNT('DWV PVC'!$A$9:$A$316)
+COUNT('DWV ABS'!$A$8:$A$116)
+COUNT('PVC SCH40'!$A$8:$A$424)
+COUNT('PVC SCH40 LD'!$A$8:$A$21)
+COUNT('Pool &amp; SPA Sweep Elbows'!$A$8:$A$11)
+COUNT('Pool &amp; SPA Pipe Extender'!$A$8:$A$10)+1,"")</f>
        <v/>
      </c>
      <c r="B85" s="610"/>
      <c r="C85" s="611"/>
      <c r="D85" s="142" t="str">
        <f>_xlfn.XLOOKUP(E85,'All Products'!D:D,'All Products'!C:C,FALSE)</f>
        <v>830-010</v>
      </c>
      <c r="E85" s="103">
        <v>100023567</v>
      </c>
      <c r="F85" s="413" t="str">
        <f>_xlfn.XLOOKUP(E85,'All Products'!D:D,'All Products'!E:E,FALSE)</f>
        <v>1 COUPLING FIPTXFIPT SCH80</v>
      </c>
      <c r="G85" s="233">
        <f>_xlfn.XLOOKUP(E85,'All Products'!D:D,'All Products'!F:F,FALSE)</f>
        <v>100</v>
      </c>
      <c r="H85" s="196">
        <f>_xlfn.XLOOKUP(E85,'All Products'!D:D,'All Products'!G:G,FALSE)</f>
        <v>9000</v>
      </c>
      <c r="I85" s="415">
        <f>_xlfn.XLOOKUP(E85,'All Products'!D:D,'All Products'!H:H,FALSE)</f>
        <v>25.67</v>
      </c>
      <c r="J85" s="130">
        <f>ROUND(I85*Order_Quote!$L$8,2)</f>
        <v>25.67</v>
      </c>
      <c r="K85" s="75"/>
      <c r="L85" s="113"/>
      <c r="M85" s="171">
        <f t="shared" si="2"/>
        <v>0</v>
      </c>
      <c r="O85" s="265" t="str">
        <f>_xlfn.XLOOKUP(E85,'All Products'!D:D,'All Products'!I:I,FALSE)</f>
        <v>In Stock</v>
      </c>
      <c r="P85" s="265" t="str">
        <f>_xlfn.XLOOKUP(E85,'All Products'!D:D,'All Products'!J:J,FALSE)</f>
        <v>Manufactured</v>
      </c>
      <c r="Q85" s="266">
        <f>_xlfn.XLOOKUP(E85,'All Products'!D:D,'All Products'!K:K,FALSE)</f>
        <v>49081161187</v>
      </c>
      <c r="R85" s="266">
        <f>_xlfn.XLOOKUP(E85,'All Products'!D:D,'All Products'!L:L,FALSE)</f>
        <v>49081661182</v>
      </c>
      <c r="S85" s="266">
        <f>_xlfn.XLOOKUP(E85,'All Products'!D:D,'All Products'!M:M,FALSE)</f>
        <v>40049081161185</v>
      </c>
      <c r="T85" s="265">
        <f>_xlfn.XLOOKUP(E85,'All Products'!D:D,'All Products'!N:N,FALSE)</f>
        <v>0.152</v>
      </c>
      <c r="U85" s="266">
        <f>_xlfn.XLOOKUP(E85,'All Products'!D:D,'All Products'!O:O,FALSE)</f>
        <v>10</v>
      </c>
      <c r="V85" s="265">
        <f>_xlfn.XLOOKUP(E85,'All Products'!D:D,'All Products'!P:P,FALSE)</f>
        <v>16.5</v>
      </c>
      <c r="W85" s="265">
        <f>_xlfn.XLOOKUP(E85,'All Products'!D:D,'All Products'!Q:Q,FALSE)</f>
        <v>0.8</v>
      </c>
    </row>
    <row r="86" spans="1:23">
      <c r="A86" s="101" t="str">
        <f>IF(K86&gt;0,COUNT($A$7:A85)
+COUNT('DWV PVC'!$A$9:$A$316)
+COUNT('DWV ABS'!$A$8:$A$116)
+COUNT('PVC SCH40'!$A$8:$A$424)
+COUNT('PVC SCH40 LD'!$A$8:$A$21)
+COUNT('Pool &amp; SPA Sweep Elbows'!$A$8:$A$11)
+COUNT('Pool &amp; SPA Pipe Extender'!$A$8:$A$10)+1,"")</f>
        <v/>
      </c>
      <c r="B86" s="610"/>
      <c r="C86" s="611"/>
      <c r="D86" s="142" t="str">
        <f>_xlfn.XLOOKUP(E86,'All Products'!D:D,'All Products'!C:C,FALSE)</f>
        <v>830-012</v>
      </c>
      <c r="E86" s="103">
        <v>100023568</v>
      </c>
      <c r="F86" s="413" t="str">
        <f>_xlfn.XLOOKUP(E86,'All Products'!D:D,'All Products'!E:E,FALSE)</f>
        <v>1-1/4 COUPLING FIPTXFIPT SCH80</v>
      </c>
      <c r="G86" s="233">
        <f>_xlfn.XLOOKUP(E86,'All Products'!D:D,'All Products'!F:F,FALSE)</f>
        <v>50</v>
      </c>
      <c r="H86" s="196">
        <f>_xlfn.XLOOKUP(E86,'All Products'!D:D,'All Products'!G:G,FALSE)</f>
        <v>6000</v>
      </c>
      <c r="I86" s="415">
        <f>_xlfn.XLOOKUP(E86,'All Products'!D:D,'All Products'!H:H,FALSE)</f>
        <v>31.77</v>
      </c>
      <c r="J86" s="130">
        <f>ROUND(I86*Order_Quote!$L$8,2)</f>
        <v>31.77</v>
      </c>
      <c r="K86" s="75"/>
      <c r="L86" s="113"/>
      <c r="M86" s="171">
        <f t="shared" si="2"/>
        <v>0</v>
      </c>
      <c r="O86" s="265" t="str">
        <f>_xlfn.XLOOKUP(E86,'All Products'!D:D,'All Products'!I:I,FALSE)</f>
        <v>Within 3 Weeks</v>
      </c>
      <c r="P86" s="265" t="str">
        <f>_xlfn.XLOOKUP(E86,'All Products'!D:D,'All Products'!J:J,FALSE)</f>
        <v>Manufactured</v>
      </c>
      <c r="Q86" s="266">
        <f>_xlfn.XLOOKUP(E86,'All Products'!D:D,'All Products'!K:K,FALSE)</f>
        <v>49081161200</v>
      </c>
      <c r="R86" s="266">
        <f>_xlfn.XLOOKUP(E86,'All Products'!D:D,'All Products'!L:L,FALSE)</f>
        <v>49081661205</v>
      </c>
      <c r="S86" s="266">
        <f>_xlfn.XLOOKUP(E86,'All Products'!D:D,'All Products'!M:M,FALSE)</f>
        <v>40049081161208</v>
      </c>
      <c r="T86" s="265">
        <f>_xlfn.XLOOKUP(E86,'All Products'!D:D,'All Products'!N:N,FALSE)</f>
        <v>0.215</v>
      </c>
      <c r="U86" s="266">
        <f>_xlfn.XLOOKUP(E86,'All Products'!D:D,'All Products'!O:O,FALSE)</f>
        <v>5</v>
      </c>
      <c r="V86" s="265">
        <f>_xlfn.XLOOKUP(E86,'All Products'!D:D,'All Products'!P:P,FALSE)</f>
        <v>10.98</v>
      </c>
      <c r="W86" s="265">
        <f>_xlfn.XLOOKUP(E86,'All Products'!D:D,'All Products'!Q:Q,FALSE)</f>
        <v>0.65</v>
      </c>
    </row>
    <row r="87" spans="1:23">
      <c r="A87" s="101" t="str">
        <f>IF(K87&gt;0,COUNT($A$7:A86)
+COUNT('DWV PVC'!$A$9:$A$316)
+COUNT('DWV ABS'!$A$8:$A$116)
+COUNT('PVC SCH40'!$A$8:$A$424)
+COUNT('PVC SCH40 LD'!$A$8:$A$21)
+COUNT('Pool &amp; SPA Sweep Elbows'!$A$8:$A$11)
+COUNT('Pool &amp; SPA Pipe Extender'!$A$8:$A$10)+1,"")</f>
        <v/>
      </c>
      <c r="B87" s="610"/>
      <c r="C87" s="611"/>
      <c r="D87" s="142" t="str">
        <f>_xlfn.XLOOKUP(E87,'All Products'!D:D,'All Products'!C:C,FALSE)</f>
        <v>830-015</v>
      </c>
      <c r="E87" s="103">
        <v>100023569</v>
      </c>
      <c r="F87" s="413" t="str">
        <f>_xlfn.XLOOKUP(E87,'All Products'!D:D,'All Products'!E:E,FALSE)</f>
        <v>1-1/2 COUPLING FIPTXFIPT SCH80</v>
      </c>
      <c r="G87" s="233">
        <f>_xlfn.XLOOKUP(E87,'All Products'!D:D,'All Products'!F:F,FALSE)</f>
        <v>50</v>
      </c>
      <c r="H87" s="196">
        <f>_xlfn.XLOOKUP(E87,'All Products'!D:D,'All Products'!G:G,FALSE)</f>
        <v>6000</v>
      </c>
      <c r="I87" s="415">
        <f>_xlfn.XLOOKUP(E87,'All Products'!D:D,'All Products'!H:H,FALSE)</f>
        <v>70.64</v>
      </c>
      <c r="J87" s="130">
        <f>ROUND(I87*Order_Quote!$L$8,2)</f>
        <v>70.64</v>
      </c>
      <c r="K87" s="75"/>
      <c r="L87" s="113"/>
      <c r="M87" s="171">
        <f t="shared" si="2"/>
        <v>0</v>
      </c>
      <c r="O87" s="265" t="str">
        <f>_xlfn.XLOOKUP(E87,'All Products'!D:D,'All Products'!I:I,FALSE)</f>
        <v>In Stock</v>
      </c>
      <c r="P87" s="265" t="str">
        <f>_xlfn.XLOOKUP(E87,'All Products'!D:D,'All Products'!J:J,FALSE)</f>
        <v>Manufactured</v>
      </c>
      <c r="Q87" s="266">
        <f>_xlfn.XLOOKUP(E87,'All Products'!D:D,'All Products'!K:K,FALSE)</f>
        <v>49081161224</v>
      </c>
      <c r="R87" s="266">
        <f>_xlfn.XLOOKUP(E87,'All Products'!D:D,'All Products'!L:L,FALSE)</f>
        <v>49081661229</v>
      </c>
      <c r="S87" s="266">
        <f>_xlfn.XLOOKUP(E87,'All Products'!D:D,'All Products'!M:M,FALSE)</f>
        <v>40049081161222</v>
      </c>
      <c r="T87" s="265">
        <f>_xlfn.XLOOKUP(E87,'All Products'!D:D,'All Products'!N:N,FALSE)</f>
        <v>0.253</v>
      </c>
      <c r="U87" s="266">
        <f>_xlfn.XLOOKUP(E87,'All Products'!D:D,'All Products'!O:O,FALSE)</f>
        <v>5</v>
      </c>
      <c r="V87" s="265">
        <f>_xlfn.XLOOKUP(E87,'All Products'!D:D,'All Products'!P:P,FALSE)</f>
        <v>12.45</v>
      </c>
      <c r="W87" s="265">
        <f>_xlfn.XLOOKUP(E87,'All Products'!D:D,'All Products'!Q:Q,FALSE)</f>
        <v>0.65</v>
      </c>
    </row>
    <row r="88" spans="1:23">
      <c r="A88" s="101" t="str">
        <f>IF(K88&gt;0,COUNT($A$7:A87)
+COUNT('DWV PVC'!$A$9:$A$316)
+COUNT('DWV ABS'!$A$8:$A$116)
+COUNT('PVC SCH40'!$A$8:$A$424)
+COUNT('PVC SCH40 LD'!$A$8:$A$21)
+COUNT('Pool &amp; SPA Sweep Elbows'!$A$8:$A$11)
+COUNT('Pool &amp; SPA Pipe Extender'!$A$8:$A$10)+1,"")</f>
        <v/>
      </c>
      <c r="B88" s="610"/>
      <c r="C88" s="611"/>
      <c r="D88" s="142" t="str">
        <f>_xlfn.XLOOKUP(E88,'All Products'!D:D,'All Products'!C:C,FALSE)</f>
        <v>830-020</v>
      </c>
      <c r="E88" s="103">
        <v>100023570</v>
      </c>
      <c r="F88" s="413" t="str">
        <f>_xlfn.XLOOKUP(E88,'All Products'!D:D,'All Products'!E:E,FALSE)</f>
        <v>2 COUPLING FIPTXFIPT SCH80</v>
      </c>
      <c r="G88" s="233">
        <f>_xlfn.XLOOKUP(E88,'All Products'!D:D,'All Products'!F:F,FALSE)</f>
        <v>25</v>
      </c>
      <c r="H88" s="196">
        <f>_xlfn.XLOOKUP(E88,'All Products'!D:D,'All Products'!G:G,FALSE)</f>
        <v>3750</v>
      </c>
      <c r="I88" s="415">
        <f>_xlfn.XLOOKUP(E88,'All Products'!D:D,'All Products'!H:H,FALSE)</f>
        <v>74.17</v>
      </c>
      <c r="J88" s="130">
        <f>ROUND(I88*Order_Quote!$L$8,2)</f>
        <v>74.17</v>
      </c>
      <c r="K88" s="75"/>
      <c r="L88" s="113"/>
      <c r="M88" s="171">
        <f t="shared" si="2"/>
        <v>0</v>
      </c>
      <c r="O88" s="265" t="str">
        <f>_xlfn.XLOOKUP(E88,'All Products'!D:D,'All Products'!I:I,FALSE)</f>
        <v>In Stock</v>
      </c>
      <c r="P88" s="265" t="str">
        <f>_xlfn.XLOOKUP(E88,'All Products'!D:D,'All Products'!J:J,FALSE)</f>
        <v>Manufactured</v>
      </c>
      <c r="Q88" s="266">
        <f>_xlfn.XLOOKUP(E88,'All Products'!D:D,'All Products'!K:K,FALSE)</f>
        <v>49081161248</v>
      </c>
      <c r="R88" s="266">
        <f>_xlfn.XLOOKUP(E88,'All Products'!D:D,'All Products'!L:L,FALSE)</f>
        <v>49081661243</v>
      </c>
      <c r="S88" s="266">
        <f>_xlfn.XLOOKUP(E88,'All Products'!D:D,'All Products'!M:M,FALSE)</f>
        <v>40049081161246</v>
      </c>
      <c r="T88" s="265">
        <f>_xlfn.XLOOKUP(E88,'All Products'!D:D,'All Products'!N:N,FALSE)</f>
        <v>0.35799999999999998</v>
      </c>
      <c r="U88" s="266">
        <f>_xlfn.XLOOKUP(E88,'All Products'!D:D,'All Products'!O:O,FALSE)</f>
        <v>5</v>
      </c>
      <c r="V88" s="265">
        <f>_xlfn.XLOOKUP(E88,'All Products'!D:D,'All Products'!P:P,FALSE)</f>
        <v>9.02</v>
      </c>
      <c r="W88" s="265">
        <f>_xlfn.XLOOKUP(E88,'All Products'!D:D,'All Products'!Q:Q,FALSE)</f>
        <v>0.5</v>
      </c>
    </row>
    <row r="89" spans="1:23">
      <c r="A89" s="101" t="str">
        <f>IF(K89&gt;0,COUNT($A$7:A88)
+COUNT('DWV PVC'!$A$9:$A$316)
+COUNT('DWV ABS'!$A$8:$A$116)
+COUNT('PVC SCH40'!$A$8:$A$424)
+COUNT('PVC SCH40 LD'!$A$8:$A$21)
+COUNT('Pool &amp; SPA Sweep Elbows'!$A$8:$A$11)
+COUNT('Pool &amp; SPA Pipe Extender'!$A$8:$A$10)+1,"")</f>
        <v/>
      </c>
      <c r="B89" s="610"/>
      <c r="C89" s="611"/>
      <c r="D89" s="142" t="str">
        <f>_xlfn.XLOOKUP(E89,'All Products'!D:D,'All Products'!C:C,FALSE)</f>
        <v>830-025</v>
      </c>
      <c r="E89" s="103">
        <v>100028136</v>
      </c>
      <c r="F89" s="413" t="str">
        <f>_xlfn.XLOOKUP(E89,'All Products'!D:D,'All Products'!E:E,FALSE)</f>
        <v>2-1/2 COUPLING FPTXFPT SCH80</v>
      </c>
      <c r="G89" s="233">
        <f>_xlfn.XLOOKUP(E89,'All Products'!D:D,'All Products'!F:F,FALSE)</f>
        <v>20</v>
      </c>
      <c r="H89" s="196">
        <f>_xlfn.XLOOKUP(E89,'All Products'!D:D,'All Products'!G:G,FALSE)</f>
        <v>0</v>
      </c>
      <c r="I89" s="415">
        <f>_xlfn.XLOOKUP(E89,'All Products'!D:D,'All Products'!H:H,FALSE)</f>
        <v>177.09</v>
      </c>
      <c r="J89" s="130">
        <f>ROUND(I89*Order_Quote!$L$8,2)</f>
        <v>177.09</v>
      </c>
      <c r="K89" s="75"/>
      <c r="L89" s="113"/>
      <c r="M89" s="171">
        <f t="shared" si="2"/>
        <v>0</v>
      </c>
      <c r="O89" s="265" t="str">
        <f>_xlfn.XLOOKUP(E89,'All Products'!D:D,'All Products'!I:I,FALSE)</f>
        <v>Within 3 Weeks</v>
      </c>
      <c r="P89" s="265" t="str">
        <f>_xlfn.XLOOKUP(E89,'All Products'!D:D,'All Products'!J:J,FALSE)</f>
        <v>Manufactured</v>
      </c>
      <c r="Q89" s="266">
        <f>_xlfn.XLOOKUP(E89,'All Products'!D:D,'All Products'!K:K,FALSE)</f>
        <v>49081161262</v>
      </c>
      <c r="R89" s="266" t="str">
        <f>_xlfn.XLOOKUP(E89,'All Products'!D:D,'All Products'!L:L,FALSE)</f>
        <v>-</v>
      </c>
      <c r="S89" s="266">
        <f>_xlfn.XLOOKUP(E89,'All Products'!D:D,'All Products'!M:M,FALSE)</f>
        <v>40049081161260</v>
      </c>
      <c r="T89" s="265">
        <f>_xlfn.XLOOKUP(E89,'All Products'!D:D,'All Products'!N:N,FALSE)</f>
        <v>0.84199999999999997</v>
      </c>
      <c r="U89" s="266" t="str">
        <f>_xlfn.XLOOKUP(E89,'All Products'!D:D,'All Products'!O:O,FALSE)</f>
        <v>-</v>
      </c>
      <c r="V89" s="265">
        <f>_xlfn.XLOOKUP(E89,'All Products'!D:D,'All Products'!P:P,FALSE)</f>
        <v>16.622</v>
      </c>
      <c r="W89" s="265" t="str">
        <f>_xlfn.XLOOKUP(E89,'All Products'!D:D,'All Products'!Q:Q,FALSE)</f>
        <v>-</v>
      </c>
    </row>
    <row r="90" spans="1:23">
      <c r="A90" s="101" t="str">
        <f>IF(K90&gt;0,COUNT($A$7:A89)
+COUNT('DWV PVC'!$A$9:$A$316)
+COUNT('DWV ABS'!$A$8:$A$116)
+COUNT('PVC SCH40'!$A$8:$A$424)
+COUNT('PVC SCH40 LD'!$A$8:$A$21)
+COUNT('Pool &amp; SPA Sweep Elbows'!$A$8:$A$11)
+COUNT('Pool &amp; SPA Pipe Extender'!$A$8:$A$10)+1,"")</f>
        <v/>
      </c>
      <c r="B90" s="610"/>
      <c r="C90" s="611"/>
      <c r="D90" s="142" t="str">
        <f>_xlfn.XLOOKUP(E90,'All Products'!D:D,'All Products'!C:C,FALSE)</f>
        <v>830-030</v>
      </c>
      <c r="E90" s="103">
        <v>100028137</v>
      </c>
      <c r="F90" s="413" t="str">
        <f>_xlfn.XLOOKUP(E90,'All Products'!D:D,'All Products'!E:E,FALSE)</f>
        <v>3 COUPLING FIPTXFIPT SCH80</v>
      </c>
      <c r="G90" s="233">
        <f>_xlfn.XLOOKUP(E90,'All Products'!D:D,'All Products'!F:F,FALSE)</f>
        <v>20</v>
      </c>
      <c r="H90" s="196">
        <f>_xlfn.XLOOKUP(E90,'All Products'!D:D,'All Products'!G:G,FALSE)</f>
        <v>0</v>
      </c>
      <c r="I90" s="415">
        <f>_xlfn.XLOOKUP(E90,'All Products'!D:D,'All Products'!H:H,FALSE)</f>
        <v>207.64</v>
      </c>
      <c r="J90" s="130">
        <f>ROUND(I90*Order_Quote!$L$8,2)</f>
        <v>207.64</v>
      </c>
      <c r="K90" s="75"/>
      <c r="L90" s="113"/>
      <c r="M90" s="171">
        <f t="shared" si="2"/>
        <v>0</v>
      </c>
      <c r="O90" s="265" t="str">
        <f>_xlfn.XLOOKUP(E90,'All Products'!D:D,'All Products'!I:I,FALSE)</f>
        <v>Within 3 Weeks</v>
      </c>
      <c r="P90" s="265" t="str">
        <f>_xlfn.XLOOKUP(E90,'All Products'!D:D,'All Products'!J:J,FALSE)</f>
        <v>Manufactured</v>
      </c>
      <c r="Q90" s="266">
        <f>_xlfn.XLOOKUP(E90,'All Products'!D:D,'All Products'!K:K,FALSE)</f>
        <v>49081161286</v>
      </c>
      <c r="R90" s="266" t="str">
        <f>_xlfn.XLOOKUP(E90,'All Products'!D:D,'All Products'!L:L,FALSE)</f>
        <v>-</v>
      </c>
      <c r="S90" s="266">
        <f>_xlfn.XLOOKUP(E90,'All Products'!D:D,'All Products'!M:M,FALSE)</f>
        <v>40049081161284</v>
      </c>
      <c r="T90" s="265">
        <f>_xlfn.XLOOKUP(E90,'All Products'!D:D,'All Products'!N:N,FALSE)</f>
        <v>1.0780000000000001</v>
      </c>
      <c r="U90" s="266" t="str">
        <f>_xlfn.XLOOKUP(E90,'All Products'!D:D,'All Products'!O:O,FALSE)</f>
        <v>-</v>
      </c>
      <c r="V90" s="265">
        <f>_xlfn.XLOOKUP(E90,'All Products'!D:D,'All Products'!P:P,FALSE)</f>
        <v>21.56</v>
      </c>
      <c r="W90" s="265" t="str">
        <f>_xlfn.XLOOKUP(E90,'All Products'!D:D,'All Products'!Q:Q,FALSE)</f>
        <v>-</v>
      </c>
    </row>
    <row r="91" spans="1:23">
      <c r="A91" s="101" t="str">
        <f>IF(K91&gt;0,COUNT($A$7:A90)
+COUNT('DWV PVC'!$A$9:$A$316)
+COUNT('DWV ABS'!$A$8:$A$116)
+COUNT('PVC SCH40'!$A$8:$A$424)
+COUNT('PVC SCH40 LD'!$A$8:$A$21)
+COUNT('Pool &amp; SPA Sweep Elbows'!$A$8:$A$11)
+COUNT('Pool &amp; SPA Pipe Extender'!$A$8:$A$10)+1,"")</f>
        <v/>
      </c>
      <c r="B91" s="612"/>
      <c r="C91" s="613"/>
      <c r="D91" s="142" t="str">
        <f>_xlfn.XLOOKUP(E91,'All Products'!D:D,'All Products'!C:C,FALSE)</f>
        <v>830-040</v>
      </c>
      <c r="E91" s="103">
        <v>100028138</v>
      </c>
      <c r="F91" s="413" t="str">
        <f>_xlfn.XLOOKUP(E91,'All Products'!D:D,'All Products'!E:E,FALSE)</f>
        <v>4 COUPLING FIPTXFIPT SCH80</v>
      </c>
      <c r="G91" s="233">
        <f>_xlfn.XLOOKUP(E91,'All Products'!D:D,'All Products'!F:F,FALSE)</f>
        <v>15</v>
      </c>
      <c r="H91" s="196">
        <f>_xlfn.XLOOKUP(E91,'All Products'!D:D,'All Products'!G:G,FALSE)</f>
        <v>0</v>
      </c>
      <c r="I91" s="415">
        <f>_xlfn.XLOOKUP(E91,'All Products'!D:D,'All Products'!H:H,FALSE)</f>
        <v>359.56</v>
      </c>
      <c r="J91" s="130">
        <f>ROUND(I91*Order_Quote!$L$8,2)</f>
        <v>359.56</v>
      </c>
      <c r="K91" s="75"/>
      <c r="L91" s="113"/>
      <c r="M91" s="171">
        <f t="shared" si="2"/>
        <v>0</v>
      </c>
      <c r="O91" s="265" t="str">
        <f>_xlfn.XLOOKUP(E91,'All Products'!D:D,'All Products'!I:I,FALSE)</f>
        <v>In Stock</v>
      </c>
      <c r="P91" s="265" t="str">
        <f>_xlfn.XLOOKUP(E91,'All Products'!D:D,'All Products'!J:J,FALSE)</f>
        <v>Manufactured</v>
      </c>
      <c r="Q91" s="266">
        <f>_xlfn.XLOOKUP(E91,'All Products'!D:D,'All Products'!K:K,FALSE)</f>
        <v>49081161309</v>
      </c>
      <c r="R91" s="266" t="str">
        <f>_xlfn.XLOOKUP(E91,'All Products'!D:D,'All Products'!L:L,FALSE)</f>
        <v>-</v>
      </c>
      <c r="S91" s="266">
        <f>_xlfn.XLOOKUP(E91,'All Products'!D:D,'All Products'!M:M,FALSE)</f>
        <v>40049081161307</v>
      </c>
      <c r="T91" s="265">
        <f>_xlfn.XLOOKUP(E91,'All Products'!D:D,'All Products'!N:N,FALSE)</f>
        <v>1.6120000000000001</v>
      </c>
      <c r="U91" s="266" t="str">
        <f>_xlfn.XLOOKUP(E91,'All Products'!D:D,'All Products'!O:O,FALSE)</f>
        <v>-</v>
      </c>
      <c r="V91" s="265">
        <f>_xlfn.XLOOKUP(E91,'All Products'!D:D,'All Products'!P:P,FALSE)</f>
        <v>24.172999999999998</v>
      </c>
      <c r="W91" s="265" t="str">
        <f>_xlfn.XLOOKUP(E91,'All Products'!D:D,'All Products'!Q:Q,FALSE)</f>
        <v>-</v>
      </c>
    </row>
    <row r="92" spans="1:23" ht="56.25" customHeight="1">
      <c r="A92" s="101" t="str">
        <f>IF(K92&gt;0,COUNT($A$7:A91)
+COUNT('DWV PVC'!$A$9:$A$316)
+COUNT('DWV ABS'!$A$8:$A$116)
+COUNT('PVC SCH40'!$A$8:$A$424)
+COUNT('PVC SCH40 LD'!$A$8:$A$21)
+COUNT('Pool &amp; SPA Sweep Elbows'!$A$8:$A$11)
+COUNT('Pool &amp; SPA Pipe Extender'!$A$8:$A$10)+1,"")</f>
        <v/>
      </c>
      <c r="B92" s="616"/>
      <c r="C92" s="617"/>
      <c r="D92" s="142" t="str">
        <f>_xlfn.XLOOKUP(E92,'All Products'!D:D,'All Products'!C:C,FALSE)</f>
        <v>830-073</v>
      </c>
      <c r="E92" s="103">
        <v>100023571</v>
      </c>
      <c r="F92" s="413" t="str">
        <f>_xlfn.XLOOKUP(E92,'All Products'!D:D,'All Products'!E:E,FALSE)</f>
        <v>1/2X3/8 COUPLING FIPTXFIPT SCH80</v>
      </c>
      <c r="G92" s="233">
        <f>_xlfn.XLOOKUP(E92,'All Products'!D:D,'All Products'!F:F,FALSE)</f>
        <v>250</v>
      </c>
      <c r="H92" s="196">
        <f>_xlfn.XLOOKUP(E92,'All Products'!D:D,'All Products'!G:G,FALSE)</f>
        <v>22500</v>
      </c>
      <c r="I92" s="415">
        <f>_xlfn.XLOOKUP(E92,'All Products'!D:D,'All Products'!H:H,FALSE)</f>
        <v>27.52</v>
      </c>
      <c r="J92" s="130">
        <f>ROUND(I92*Order_Quote!$L$8,2)</f>
        <v>27.52</v>
      </c>
      <c r="K92" s="75"/>
      <c r="L92" s="113"/>
      <c r="M92" s="171">
        <f t="shared" si="2"/>
        <v>0</v>
      </c>
      <c r="O92" s="265" t="str">
        <f>_xlfn.XLOOKUP(E92,'All Products'!D:D,'All Products'!I:I,FALSE)</f>
        <v>Within 3 Weeks</v>
      </c>
      <c r="P92" s="265" t="str">
        <f>_xlfn.XLOOKUP(E92,'All Products'!D:D,'All Products'!J:J,FALSE)</f>
        <v>Manufactured</v>
      </c>
      <c r="Q92" s="266">
        <f>_xlfn.XLOOKUP(E92,'All Products'!D:D,'All Products'!K:K,FALSE)</f>
        <v>49081151072</v>
      </c>
      <c r="R92" s="266">
        <f>_xlfn.XLOOKUP(E92,'All Products'!D:D,'All Products'!L:L,FALSE)</f>
        <v>49081651077</v>
      </c>
      <c r="S92" s="266">
        <f>_xlfn.XLOOKUP(E92,'All Products'!D:D,'All Products'!M:M,FALSE)</f>
        <v>40049081151070</v>
      </c>
      <c r="T92" s="265">
        <f>_xlfn.XLOOKUP(E92,'All Products'!D:D,'All Products'!N:N,FALSE)</f>
        <v>8.2000000000000003E-2</v>
      </c>
      <c r="U92" s="266">
        <f>_xlfn.XLOOKUP(E92,'All Products'!D:D,'All Products'!O:O,FALSE)</f>
        <v>10</v>
      </c>
      <c r="V92" s="265">
        <f>_xlfn.XLOOKUP(E92,'All Products'!D:D,'All Products'!P:P,FALSE)</f>
        <v>20.62</v>
      </c>
      <c r="W92" s="265">
        <f>_xlfn.XLOOKUP(E92,'All Products'!D:D,'All Products'!Q:Q,FALSE)</f>
        <v>0.8</v>
      </c>
    </row>
    <row r="93" spans="1:23" ht="53.25" customHeight="1">
      <c r="A93" s="101" t="str">
        <f>IF(K93&gt;0,COUNT($A$7:A92)
+COUNT('DWV PVC'!$A$9:$A$316)
+COUNT('DWV ABS'!$A$8:$A$116)
+COUNT('PVC SCH40'!$A$8:$A$424)
+COUNT('PVC SCH40 LD'!$A$8:$A$21)
+COUNT('Pool &amp; SPA Sweep Elbows'!$A$8:$A$11)
+COUNT('Pool &amp; SPA Pipe Extender'!$A$8:$A$10)+1,"")</f>
        <v/>
      </c>
      <c r="B93" s="610"/>
      <c r="C93" s="611"/>
      <c r="D93" s="142" t="str">
        <f>_xlfn.XLOOKUP(E93,'All Products'!D:D,'All Products'!C:C,FALSE)</f>
        <v>833-015</v>
      </c>
      <c r="E93" s="103">
        <v>100023578</v>
      </c>
      <c r="F93" s="413" t="str">
        <f>_xlfn.XLOOKUP(E93,'All Products'!D:D,'All Products'!E:E,FALSE)</f>
        <v>1-1/2 MALE FITTING ADAPTER SPGXMIPT</v>
      </c>
      <c r="G93" s="233">
        <f>_xlfn.XLOOKUP(E93,'All Products'!D:D,'All Products'!F:F,FALSE)</f>
        <v>50</v>
      </c>
      <c r="H93" s="196">
        <f>_xlfn.XLOOKUP(E93,'All Products'!D:D,'All Products'!G:G,FALSE)</f>
        <v>7500</v>
      </c>
      <c r="I93" s="415">
        <f>_xlfn.XLOOKUP(E93,'All Products'!D:D,'All Products'!H:H,FALSE)</f>
        <v>46.5</v>
      </c>
      <c r="J93" s="130">
        <f>ROUND(I93*Order_Quote!$L$8,2)</f>
        <v>46.5</v>
      </c>
      <c r="K93" s="75"/>
      <c r="L93" s="113"/>
      <c r="M93" s="171">
        <f t="shared" si="2"/>
        <v>0</v>
      </c>
      <c r="O93" s="265" t="str">
        <f>_xlfn.XLOOKUP(E93,'All Products'!D:D,'All Products'!I:I,FALSE)</f>
        <v>In Stock</v>
      </c>
      <c r="P93" s="265" t="str">
        <f>_xlfn.XLOOKUP(E93,'All Products'!D:D,'All Products'!J:J,FALSE)</f>
        <v>Manufactured</v>
      </c>
      <c r="Q93" s="266">
        <f>_xlfn.XLOOKUP(E93,'All Products'!D:D,'All Products'!K:K,FALSE)</f>
        <v>49081154950</v>
      </c>
      <c r="R93" s="266">
        <f>_xlfn.XLOOKUP(E93,'All Products'!D:D,'All Products'!L:L,FALSE)</f>
        <v>49081654955</v>
      </c>
      <c r="S93" s="266">
        <f>_xlfn.XLOOKUP(E93,'All Products'!D:D,'All Products'!M:M,FALSE)</f>
        <v>40049081154958</v>
      </c>
      <c r="T93" s="265">
        <f>_xlfn.XLOOKUP(E93,'All Products'!D:D,'All Products'!N:N,FALSE)</f>
        <v>0.14699999999999999</v>
      </c>
      <c r="U93" s="266">
        <f>_xlfn.XLOOKUP(E93,'All Products'!D:D,'All Products'!O:O,FALSE)</f>
        <v>5</v>
      </c>
      <c r="V93" s="265">
        <f>_xlfn.XLOOKUP(E93,'All Products'!D:D,'All Products'!P:P,FALSE)</f>
        <v>7.36</v>
      </c>
      <c r="W93" s="265">
        <f>_xlfn.XLOOKUP(E93,'All Products'!D:D,'All Products'!Q:Q,FALSE)</f>
        <v>0.5</v>
      </c>
    </row>
    <row r="94" spans="1:23">
      <c r="A94" s="101" t="str">
        <f>IF(K94&gt;0,COUNT($A$7:A93)
+COUNT('DWV PVC'!$A$9:$A$316)
+COUNT('DWV ABS'!$A$8:$A$116)
+COUNT('PVC SCH40'!$A$8:$A$424)
+COUNT('PVC SCH40 LD'!$A$8:$A$21)
+COUNT('Pool &amp; SPA Sweep Elbows'!$A$8:$A$11)
+COUNT('Pool &amp; SPA Pipe Extender'!$A$8:$A$10)+1,"")</f>
        <v/>
      </c>
      <c r="B94" s="608"/>
      <c r="C94" s="609"/>
      <c r="D94" s="142" t="str">
        <f>_xlfn.XLOOKUP(E94,'All Products'!D:D,'All Products'!C:C,FALSE)</f>
        <v>835-002</v>
      </c>
      <c r="E94" s="103">
        <v>100023580</v>
      </c>
      <c r="F94" s="413" t="str">
        <f>_xlfn.XLOOKUP(E94,'All Products'!D:D,'All Products'!E:E,FALSE)</f>
        <v>1/4 FEMALE ADAPTER SXFIPT SCH80</v>
      </c>
      <c r="G94" s="233">
        <f>_xlfn.XLOOKUP(E94,'All Products'!D:D,'All Products'!F:F,FALSE)</f>
        <v>250</v>
      </c>
      <c r="H94" s="196">
        <f>_xlfn.XLOOKUP(E94,'All Products'!D:D,'All Products'!G:G,FALSE)</f>
        <v>37500</v>
      </c>
      <c r="I94" s="415">
        <f>_xlfn.XLOOKUP(E94,'All Products'!D:D,'All Products'!H:H,FALSE)</f>
        <v>25.35</v>
      </c>
      <c r="J94" s="130">
        <f>ROUND(I94*Order_Quote!$L$8,2)</f>
        <v>25.35</v>
      </c>
      <c r="K94" s="75"/>
      <c r="L94" s="113"/>
      <c r="M94" s="171">
        <f t="shared" si="2"/>
        <v>0</v>
      </c>
      <c r="O94" s="265" t="str">
        <f>_xlfn.XLOOKUP(E94,'All Products'!D:D,'All Products'!I:I,FALSE)</f>
        <v>In Stock</v>
      </c>
      <c r="P94" s="265" t="str">
        <f>_xlfn.XLOOKUP(E94,'All Products'!D:D,'All Products'!J:J,FALSE)</f>
        <v>Manufactured</v>
      </c>
      <c r="Q94" s="266">
        <f>_xlfn.XLOOKUP(E94,'All Products'!D:D,'All Products'!K:K,FALSE)</f>
        <v>49081154981</v>
      </c>
      <c r="R94" s="266">
        <f>_xlfn.XLOOKUP(E94,'All Products'!D:D,'All Products'!L:L,FALSE)</f>
        <v>49081654986</v>
      </c>
      <c r="S94" s="266">
        <f>_xlfn.XLOOKUP(E94,'All Products'!D:D,'All Products'!M:M,FALSE)</f>
        <v>40049081154989</v>
      </c>
      <c r="T94" s="265">
        <f>_xlfn.XLOOKUP(E94,'All Products'!D:D,'All Products'!N:N,FALSE)</f>
        <v>2.9000000000000001E-2</v>
      </c>
      <c r="U94" s="266">
        <f>_xlfn.XLOOKUP(E94,'All Products'!D:D,'All Products'!O:O,FALSE)</f>
        <v>10</v>
      </c>
      <c r="V94" s="265">
        <f>_xlfn.XLOOKUP(E94,'All Products'!D:D,'All Products'!P:P,FALSE)</f>
        <v>7.38</v>
      </c>
      <c r="W94" s="265">
        <f>_xlfn.XLOOKUP(E94,'All Products'!D:D,'All Products'!Q:Q,FALSE)</f>
        <v>0.5</v>
      </c>
    </row>
    <row r="95" spans="1:23">
      <c r="A95" s="101" t="str">
        <f>IF(K95&gt;0,COUNT($A$7:A94)
+COUNT('DWV PVC'!$A$9:$A$316)
+COUNT('DWV ABS'!$A$8:$A$116)
+COUNT('PVC SCH40'!$A$8:$A$424)
+COUNT('PVC SCH40 LD'!$A$8:$A$21)
+COUNT('Pool &amp; SPA Sweep Elbows'!$A$8:$A$11)
+COUNT('Pool &amp; SPA Pipe Extender'!$A$8:$A$10)+1,"")</f>
        <v/>
      </c>
      <c r="B95" s="610"/>
      <c r="C95" s="611"/>
      <c r="D95" s="142" t="str">
        <f>_xlfn.XLOOKUP(E95,'All Products'!D:D,'All Products'!C:C,FALSE)</f>
        <v>835-003</v>
      </c>
      <c r="E95" s="103">
        <v>100023416</v>
      </c>
      <c r="F95" s="413" t="str">
        <f>_xlfn.XLOOKUP(E95,'All Products'!D:D,'All Products'!E:E,FALSE)</f>
        <v>3/8 FEMALE ADAPTER SXFIPT SCH80</v>
      </c>
      <c r="G95" s="233">
        <f>_xlfn.XLOOKUP(E95,'All Products'!D:D,'All Products'!F:F,FALSE)</f>
        <v>250</v>
      </c>
      <c r="H95" s="196">
        <f>_xlfn.XLOOKUP(E95,'All Products'!D:D,'All Products'!G:G,FALSE)</f>
        <v>37500</v>
      </c>
      <c r="I95" s="415">
        <f>_xlfn.XLOOKUP(E95,'All Products'!D:D,'All Products'!H:H,FALSE)</f>
        <v>25.35</v>
      </c>
      <c r="J95" s="130">
        <f>ROUND(I95*Order_Quote!$L$8,2)</f>
        <v>25.35</v>
      </c>
      <c r="K95" s="75"/>
      <c r="L95" s="113"/>
      <c r="M95" s="171">
        <f t="shared" si="2"/>
        <v>0</v>
      </c>
      <c r="O95" s="265" t="str">
        <f>_xlfn.XLOOKUP(E95,'All Products'!D:D,'All Products'!I:I,FALSE)</f>
        <v>Within 3 Weeks</v>
      </c>
      <c r="P95" s="265" t="str">
        <f>_xlfn.XLOOKUP(E95,'All Products'!D:D,'All Products'!J:J,FALSE)</f>
        <v>Manufactured</v>
      </c>
      <c r="Q95" s="266">
        <f>_xlfn.XLOOKUP(E95,'All Products'!D:D,'All Products'!K:K,FALSE)</f>
        <v>49081155001</v>
      </c>
      <c r="R95" s="266" t="str">
        <f>_xlfn.XLOOKUP(E95,'All Products'!D:D,'All Products'!L:L,FALSE)</f>
        <v>-</v>
      </c>
      <c r="S95" s="266">
        <f>_xlfn.XLOOKUP(E95,'All Products'!D:D,'All Products'!M:M,FALSE)</f>
        <v>40049081155009</v>
      </c>
      <c r="T95" s="265">
        <f>_xlfn.XLOOKUP(E95,'All Products'!D:D,'All Products'!N:N,FALSE)</f>
        <v>3.9E-2</v>
      </c>
      <c r="U95" s="266">
        <f>_xlfn.XLOOKUP(E95,'All Products'!D:D,'All Products'!O:O,FALSE)</f>
        <v>10</v>
      </c>
      <c r="V95" s="265">
        <f>_xlfn.XLOOKUP(E95,'All Products'!D:D,'All Products'!P:P,FALSE)</f>
        <v>10.65</v>
      </c>
      <c r="W95" s="265">
        <f>_xlfn.XLOOKUP(E95,'All Products'!D:D,'All Products'!Q:Q,FALSE)</f>
        <v>0.5</v>
      </c>
    </row>
    <row r="96" spans="1:23">
      <c r="A96" s="101" t="str">
        <f>IF(K96&gt;0,COUNT($A$7:A95)
+COUNT('DWV PVC'!$A$9:$A$316)
+COUNT('DWV ABS'!$A$8:$A$116)
+COUNT('PVC SCH40'!$A$8:$A$424)
+COUNT('PVC SCH40 LD'!$A$8:$A$21)
+COUNT('Pool &amp; SPA Sweep Elbows'!$A$8:$A$11)
+COUNT('Pool &amp; SPA Pipe Extender'!$A$8:$A$10)+1,"")</f>
        <v/>
      </c>
      <c r="B96" s="610"/>
      <c r="C96" s="611"/>
      <c r="D96" s="142" t="str">
        <f>_xlfn.XLOOKUP(E96,'All Products'!D:D,'All Products'!C:C,FALSE)</f>
        <v>835-005</v>
      </c>
      <c r="E96" s="103">
        <v>100023582</v>
      </c>
      <c r="F96" s="413" t="str">
        <f>_xlfn.XLOOKUP(E96,'All Products'!D:D,'All Products'!E:E,FALSE)</f>
        <v>1/2 FEMALE ADAPTER SXFIPT SCH80</v>
      </c>
      <c r="G96" s="233">
        <f>_xlfn.XLOOKUP(E96,'All Products'!D:D,'All Products'!F:F,FALSE)</f>
        <v>250</v>
      </c>
      <c r="H96" s="196">
        <f>_xlfn.XLOOKUP(E96,'All Products'!D:D,'All Products'!G:G,FALSE)</f>
        <v>22500</v>
      </c>
      <c r="I96" s="415">
        <f>_xlfn.XLOOKUP(E96,'All Products'!D:D,'All Products'!H:H,FALSE)</f>
        <v>14.02</v>
      </c>
      <c r="J96" s="130">
        <f>ROUND(I96*Order_Quote!$L$8,2)</f>
        <v>14.02</v>
      </c>
      <c r="K96" s="75"/>
      <c r="L96" s="113"/>
      <c r="M96" s="171">
        <f t="shared" si="2"/>
        <v>0</v>
      </c>
      <c r="O96" s="265" t="str">
        <f>_xlfn.XLOOKUP(E96,'All Products'!D:D,'All Products'!I:I,FALSE)</f>
        <v>In Stock</v>
      </c>
      <c r="P96" s="265" t="str">
        <f>_xlfn.XLOOKUP(E96,'All Products'!D:D,'All Products'!J:J,FALSE)</f>
        <v>Manufactured</v>
      </c>
      <c r="Q96" s="266">
        <f>_xlfn.XLOOKUP(E96,'All Products'!D:D,'All Products'!K:K,FALSE)</f>
        <v>49081155025</v>
      </c>
      <c r="R96" s="266">
        <f>_xlfn.XLOOKUP(E96,'All Products'!D:D,'All Products'!L:L,FALSE)</f>
        <v>49081655020</v>
      </c>
      <c r="S96" s="266">
        <f>_xlfn.XLOOKUP(E96,'All Products'!D:D,'All Products'!M:M,FALSE)</f>
        <v>40049081155023</v>
      </c>
      <c r="T96" s="265">
        <f>_xlfn.XLOOKUP(E96,'All Products'!D:D,'All Products'!N:N,FALSE)</f>
        <v>6.3E-2</v>
      </c>
      <c r="U96" s="266">
        <f>_xlfn.XLOOKUP(E96,'All Products'!D:D,'All Products'!O:O,FALSE)</f>
        <v>10</v>
      </c>
      <c r="V96" s="265">
        <f>_xlfn.XLOOKUP(E96,'All Products'!D:D,'All Products'!P:P,FALSE)</f>
        <v>16.41</v>
      </c>
      <c r="W96" s="265">
        <f>_xlfn.XLOOKUP(E96,'All Products'!D:D,'All Products'!Q:Q,FALSE)</f>
        <v>0.8</v>
      </c>
    </row>
    <row r="97" spans="1:23">
      <c r="A97" s="101" t="str">
        <f>IF(K97&gt;0,COUNT($A$7:A96)
+COUNT('DWV PVC'!$A$9:$A$316)
+COUNT('DWV ABS'!$A$8:$A$116)
+COUNT('PVC SCH40'!$A$8:$A$424)
+COUNT('PVC SCH40 LD'!$A$8:$A$21)
+COUNT('Pool &amp; SPA Sweep Elbows'!$A$8:$A$11)
+COUNT('Pool &amp; SPA Pipe Extender'!$A$8:$A$10)+1,"")</f>
        <v/>
      </c>
      <c r="B97" s="610"/>
      <c r="C97" s="611"/>
      <c r="D97" s="142" t="str">
        <f>_xlfn.XLOOKUP(E97,'All Products'!D:D,'All Products'!C:C,FALSE)</f>
        <v>835-007</v>
      </c>
      <c r="E97" s="103">
        <v>100023584</v>
      </c>
      <c r="F97" s="413" t="str">
        <f>_xlfn.XLOOKUP(E97,'All Products'!D:D,'All Products'!E:E,FALSE)</f>
        <v>3/4 FEMALE ADAPTER SXFIPT SCH80</v>
      </c>
      <c r="G97" s="233">
        <f>_xlfn.XLOOKUP(E97,'All Products'!D:D,'All Products'!F:F,FALSE)</f>
        <v>250</v>
      </c>
      <c r="H97" s="196">
        <f>_xlfn.XLOOKUP(E97,'All Products'!D:D,'All Products'!G:G,FALSE)</f>
        <v>18750</v>
      </c>
      <c r="I97" s="415">
        <f>_xlfn.XLOOKUP(E97,'All Products'!D:D,'All Products'!H:H,FALSE)</f>
        <v>20.89</v>
      </c>
      <c r="J97" s="130">
        <f>ROUND(I97*Order_Quote!$L$8,2)</f>
        <v>20.89</v>
      </c>
      <c r="K97" s="75"/>
      <c r="L97" s="113"/>
      <c r="M97" s="171">
        <f t="shared" si="2"/>
        <v>0</v>
      </c>
      <c r="O97" s="265" t="str">
        <f>_xlfn.XLOOKUP(E97,'All Products'!D:D,'All Products'!I:I,FALSE)</f>
        <v>In Stock</v>
      </c>
      <c r="P97" s="265" t="str">
        <f>_xlfn.XLOOKUP(E97,'All Products'!D:D,'All Products'!J:J,FALSE)</f>
        <v>Manufactured</v>
      </c>
      <c r="Q97" s="266">
        <f>_xlfn.XLOOKUP(E97,'All Products'!D:D,'All Products'!K:K,FALSE)</f>
        <v>49081155100</v>
      </c>
      <c r="R97" s="266">
        <f>_xlfn.XLOOKUP(E97,'All Products'!D:D,'All Products'!L:L,FALSE)</f>
        <v>49081655105</v>
      </c>
      <c r="S97" s="266">
        <f>_xlfn.XLOOKUP(E97,'All Products'!D:D,'All Products'!M:M,FALSE)</f>
        <v>40049081155108</v>
      </c>
      <c r="T97" s="265">
        <f>_xlfn.XLOOKUP(E97,'All Products'!D:D,'All Products'!N:N,FALSE)</f>
        <v>8.4000000000000005E-2</v>
      </c>
      <c r="U97" s="266">
        <f>_xlfn.XLOOKUP(E97,'All Products'!D:D,'All Products'!O:O,FALSE)</f>
        <v>10</v>
      </c>
      <c r="V97" s="265">
        <f>_xlfn.XLOOKUP(E97,'All Products'!D:D,'All Products'!P:P,FALSE)</f>
        <v>20.73</v>
      </c>
      <c r="W97" s="265">
        <f>_xlfn.XLOOKUP(E97,'All Products'!D:D,'All Products'!Q:Q,FALSE)</f>
        <v>0.95</v>
      </c>
    </row>
    <row r="98" spans="1:23">
      <c r="A98" s="101" t="str">
        <f>IF(K98&gt;0,COUNT($A$7:A97)
+COUNT('DWV PVC'!$A$9:$A$316)
+COUNT('DWV ABS'!$A$8:$A$116)
+COUNT('PVC SCH40'!$A$8:$A$424)
+COUNT('PVC SCH40 LD'!$A$8:$A$21)
+COUNT('Pool &amp; SPA Sweep Elbows'!$A$8:$A$11)
+COUNT('Pool &amp; SPA Pipe Extender'!$A$8:$A$10)+1,"")</f>
        <v/>
      </c>
      <c r="B98" s="610"/>
      <c r="C98" s="611"/>
      <c r="D98" s="142" t="str">
        <f>_xlfn.XLOOKUP(E98,'All Products'!D:D,'All Products'!C:C,FALSE)</f>
        <v>835-010</v>
      </c>
      <c r="E98" s="103">
        <v>100023586</v>
      </c>
      <c r="F98" s="413" t="str">
        <f>_xlfn.XLOOKUP(E98,'All Products'!D:D,'All Products'!E:E,FALSE)</f>
        <v>1 FEMALE ADAPTER SXFIPT SCH80</v>
      </c>
      <c r="G98" s="233">
        <f>_xlfn.XLOOKUP(E98,'All Products'!D:D,'All Products'!F:F,FALSE)</f>
        <v>100</v>
      </c>
      <c r="H98" s="196">
        <f>_xlfn.XLOOKUP(E98,'All Products'!D:D,'All Products'!G:G,FALSE)</f>
        <v>9000</v>
      </c>
      <c r="I98" s="415">
        <f>_xlfn.XLOOKUP(E98,'All Products'!D:D,'All Products'!H:H,FALSE)</f>
        <v>30.73</v>
      </c>
      <c r="J98" s="130">
        <f>ROUND(I98*Order_Quote!$L$8,2)</f>
        <v>30.73</v>
      </c>
      <c r="K98" s="75"/>
      <c r="L98" s="113"/>
      <c r="M98" s="171">
        <f t="shared" si="2"/>
        <v>0</v>
      </c>
      <c r="O98" s="265" t="str">
        <f>_xlfn.XLOOKUP(E98,'All Products'!D:D,'All Products'!I:I,FALSE)</f>
        <v>In Stock</v>
      </c>
      <c r="P98" s="265" t="str">
        <f>_xlfn.XLOOKUP(E98,'All Products'!D:D,'All Products'!J:J,FALSE)</f>
        <v>Manufactured</v>
      </c>
      <c r="Q98" s="266">
        <f>_xlfn.XLOOKUP(E98,'All Products'!D:D,'All Products'!K:K,FALSE)</f>
        <v>49081155162</v>
      </c>
      <c r="R98" s="266">
        <f>_xlfn.XLOOKUP(E98,'All Products'!D:D,'All Products'!L:L,FALSE)</f>
        <v>49081655167</v>
      </c>
      <c r="S98" s="266">
        <f>_xlfn.XLOOKUP(E98,'All Products'!D:D,'All Products'!M:M,FALSE)</f>
        <v>40049081155160</v>
      </c>
      <c r="T98" s="265">
        <f>_xlfn.XLOOKUP(E98,'All Products'!D:D,'All Products'!N:N,FALSE)</f>
        <v>0.127</v>
      </c>
      <c r="U98" s="266">
        <f>_xlfn.XLOOKUP(E98,'All Products'!D:D,'All Products'!O:O,FALSE)</f>
        <v>10</v>
      </c>
      <c r="V98" s="265">
        <f>_xlfn.XLOOKUP(E98,'All Products'!D:D,'All Products'!P:P,FALSE)</f>
        <v>13.63</v>
      </c>
      <c r="W98" s="265">
        <f>_xlfn.XLOOKUP(E98,'All Products'!D:D,'All Products'!Q:Q,FALSE)</f>
        <v>0.8</v>
      </c>
    </row>
    <row r="99" spans="1:23">
      <c r="A99" s="101" t="str">
        <f>IF(K99&gt;0,COUNT($A$7:A98)
+COUNT('DWV PVC'!$A$9:$A$316)
+COUNT('DWV ABS'!$A$8:$A$116)
+COUNT('PVC SCH40'!$A$8:$A$424)
+COUNT('PVC SCH40 LD'!$A$8:$A$21)
+COUNT('Pool &amp; SPA Sweep Elbows'!$A$8:$A$11)
+COUNT('Pool &amp; SPA Pipe Extender'!$A$8:$A$10)+1,"")</f>
        <v/>
      </c>
      <c r="B99" s="610"/>
      <c r="C99" s="611"/>
      <c r="D99" s="142" t="str">
        <f>_xlfn.XLOOKUP(E99,'All Products'!D:D,'All Products'!C:C,FALSE)</f>
        <v>835-012</v>
      </c>
      <c r="E99" s="103">
        <v>100023588</v>
      </c>
      <c r="F99" s="413" t="str">
        <f>_xlfn.XLOOKUP(E99,'All Products'!D:D,'All Products'!E:E,FALSE)</f>
        <v>1-1/4 FEMALE ADAPTER SXFIPT SCH80</v>
      </c>
      <c r="G99" s="233">
        <f>_xlfn.XLOOKUP(E99,'All Products'!D:D,'All Products'!F:F,FALSE)</f>
        <v>50</v>
      </c>
      <c r="H99" s="196">
        <f>_xlfn.XLOOKUP(E99,'All Products'!D:D,'All Products'!G:G,FALSE)</f>
        <v>6000</v>
      </c>
      <c r="I99" s="415">
        <f>_xlfn.XLOOKUP(E99,'All Products'!D:D,'All Products'!H:H,FALSE)</f>
        <v>49.79</v>
      </c>
      <c r="J99" s="130">
        <f>ROUND(I99*Order_Quote!$L$8,2)</f>
        <v>49.79</v>
      </c>
      <c r="K99" s="75"/>
      <c r="L99" s="113"/>
      <c r="M99" s="171">
        <f t="shared" si="2"/>
        <v>0</v>
      </c>
      <c r="O99" s="265" t="str">
        <f>_xlfn.XLOOKUP(E99,'All Products'!D:D,'All Products'!I:I,FALSE)</f>
        <v>In Stock</v>
      </c>
      <c r="P99" s="265" t="str">
        <f>_xlfn.XLOOKUP(E99,'All Products'!D:D,'All Products'!J:J,FALSE)</f>
        <v>Manufactured</v>
      </c>
      <c r="Q99" s="266">
        <f>_xlfn.XLOOKUP(E99,'All Products'!D:D,'All Products'!K:K,FALSE)</f>
        <v>49081155261</v>
      </c>
      <c r="R99" s="266">
        <f>_xlfn.XLOOKUP(E99,'All Products'!D:D,'All Products'!L:L,FALSE)</f>
        <v>49081655266</v>
      </c>
      <c r="S99" s="266">
        <f>_xlfn.XLOOKUP(E99,'All Products'!D:D,'All Products'!M:M,FALSE)</f>
        <v>40049081155269</v>
      </c>
      <c r="T99" s="265">
        <f>_xlfn.XLOOKUP(E99,'All Products'!D:D,'All Products'!N:N,FALSE)</f>
        <v>0.20399999999999999</v>
      </c>
      <c r="U99" s="266">
        <f>_xlfn.XLOOKUP(E99,'All Products'!D:D,'All Products'!O:O,FALSE)</f>
        <v>5</v>
      </c>
      <c r="V99" s="265">
        <f>_xlfn.XLOOKUP(E99,'All Products'!D:D,'All Products'!P:P,FALSE)</f>
        <v>12.14</v>
      </c>
      <c r="W99" s="265">
        <f>_xlfn.XLOOKUP(E99,'All Products'!D:D,'All Products'!Q:Q,FALSE)</f>
        <v>0.65</v>
      </c>
    </row>
    <row r="100" spans="1:23">
      <c r="A100" s="101" t="str">
        <f>IF(K100&gt;0,COUNT($A$7:A99)
+COUNT('DWV PVC'!$A$9:$A$316)
+COUNT('DWV ABS'!$A$8:$A$116)
+COUNT('PVC SCH40'!$A$8:$A$424)
+COUNT('PVC SCH40 LD'!$A$8:$A$21)
+COUNT('Pool &amp; SPA Sweep Elbows'!$A$8:$A$11)
+COUNT('Pool &amp; SPA Pipe Extender'!$A$8:$A$10)+1,"")</f>
        <v/>
      </c>
      <c r="B100" s="610"/>
      <c r="C100" s="611"/>
      <c r="D100" s="142" t="str">
        <f>_xlfn.XLOOKUP(E100,'All Products'!D:D,'All Products'!C:C,FALSE)</f>
        <v>835-015</v>
      </c>
      <c r="E100" s="103">
        <v>100023589</v>
      </c>
      <c r="F100" s="413" t="str">
        <f>_xlfn.XLOOKUP(E100,'All Products'!D:D,'All Products'!E:E,FALSE)</f>
        <v>1-1/2 FEMALE ADAPTER SXFIPT SCH80</v>
      </c>
      <c r="G100" s="233">
        <f>_xlfn.XLOOKUP(E100,'All Products'!D:D,'All Products'!F:F,FALSE)</f>
        <v>50</v>
      </c>
      <c r="H100" s="196">
        <f>_xlfn.XLOOKUP(E100,'All Products'!D:D,'All Products'!G:G,FALSE)</f>
        <v>4500</v>
      </c>
      <c r="I100" s="415">
        <f>_xlfn.XLOOKUP(E100,'All Products'!D:D,'All Products'!H:H,FALSE)</f>
        <v>61.05</v>
      </c>
      <c r="J100" s="130">
        <f>ROUND(I100*Order_Quote!$L$8,2)</f>
        <v>61.05</v>
      </c>
      <c r="K100" s="75"/>
      <c r="L100" s="113"/>
      <c r="M100" s="171">
        <f t="shared" si="2"/>
        <v>0</v>
      </c>
      <c r="O100" s="265" t="str">
        <f>_xlfn.XLOOKUP(E100,'All Products'!D:D,'All Products'!I:I,FALSE)</f>
        <v>In Stock</v>
      </c>
      <c r="P100" s="265" t="str">
        <f>_xlfn.XLOOKUP(E100,'All Products'!D:D,'All Products'!J:J,FALSE)</f>
        <v>Manufactured</v>
      </c>
      <c r="Q100" s="266">
        <f>_xlfn.XLOOKUP(E100,'All Products'!D:D,'All Products'!K:K,FALSE)</f>
        <v>49081155308</v>
      </c>
      <c r="R100" s="266">
        <f>_xlfn.XLOOKUP(E100,'All Products'!D:D,'All Products'!L:L,FALSE)</f>
        <v>49081655303</v>
      </c>
      <c r="S100" s="266">
        <f>_xlfn.XLOOKUP(E100,'All Products'!D:D,'All Products'!M:M,FALSE)</f>
        <v>40049081155306</v>
      </c>
      <c r="T100" s="265">
        <f>_xlfn.XLOOKUP(E100,'All Products'!D:D,'All Products'!N:N,FALSE)</f>
        <v>0.23599999999999999</v>
      </c>
      <c r="U100" s="266">
        <f>_xlfn.XLOOKUP(E100,'All Products'!D:D,'All Products'!O:O,FALSE)</f>
        <v>5</v>
      </c>
      <c r="V100" s="265">
        <f>_xlfn.XLOOKUP(E100,'All Products'!D:D,'All Products'!P:P,FALSE)</f>
        <v>12.99</v>
      </c>
      <c r="W100" s="265">
        <f>_xlfn.XLOOKUP(E100,'All Products'!D:D,'All Products'!Q:Q,FALSE)</f>
        <v>0.8</v>
      </c>
    </row>
    <row r="101" spans="1:23">
      <c r="A101" s="101" t="str">
        <f>IF(K101&gt;0,COUNT($A$7:A100)
+COUNT('DWV PVC'!$A$9:$A$316)
+COUNT('DWV ABS'!$A$8:$A$116)
+COUNT('PVC SCH40'!$A$8:$A$424)
+COUNT('PVC SCH40 LD'!$A$8:$A$21)
+COUNT('Pool &amp; SPA Sweep Elbows'!$A$8:$A$11)
+COUNT('Pool &amp; SPA Pipe Extender'!$A$8:$A$10)+1,"")</f>
        <v/>
      </c>
      <c r="B101" s="610"/>
      <c r="C101" s="611"/>
      <c r="D101" s="142" t="str">
        <f>_xlfn.XLOOKUP(E101,'All Products'!D:D,'All Products'!C:C,FALSE)</f>
        <v>835-020</v>
      </c>
      <c r="E101" s="103">
        <v>100023591</v>
      </c>
      <c r="F101" s="413" t="str">
        <f>_xlfn.XLOOKUP(E101,'All Products'!D:D,'All Products'!E:E,FALSE)</f>
        <v>2 FEMALE ADAPTER SXFIPT SCH80</v>
      </c>
      <c r="G101" s="233">
        <f>_xlfn.XLOOKUP(E101,'All Products'!D:D,'All Products'!F:F,FALSE)</f>
        <v>25</v>
      </c>
      <c r="H101" s="196">
        <f>_xlfn.XLOOKUP(E101,'All Products'!D:D,'All Products'!G:G,FALSE)</f>
        <v>3000</v>
      </c>
      <c r="I101" s="415">
        <f>_xlfn.XLOOKUP(E101,'All Products'!D:D,'All Products'!H:H,FALSE)</f>
        <v>106.46</v>
      </c>
      <c r="J101" s="130">
        <f>ROUND(I101*Order_Quote!$L$8,2)</f>
        <v>106.46</v>
      </c>
      <c r="K101" s="75"/>
      <c r="L101" s="113"/>
      <c r="M101" s="171">
        <f t="shared" si="2"/>
        <v>0</v>
      </c>
      <c r="O101" s="265" t="str">
        <f>_xlfn.XLOOKUP(E101,'All Products'!D:D,'All Products'!I:I,FALSE)</f>
        <v>In Stock</v>
      </c>
      <c r="P101" s="265" t="str">
        <f>_xlfn.XLOOKUP(E101,'All Products'!D:D,'All Products'!J:J,FALSE)</f>
        <v>Manufactured</v>
      </c>
      <c r="Q101" s="266">
        <f>_xlfn.XLOOKUP(E101,'All Products'!D:D,'All Products'!K:K,FALSE)</f>
        <v>49081155346</v>
      </c>
      <c r="R101" s="266">
        <f>_xlfn.XLOOKUP(E101,'All Products'!D:D,'All Products'!L:L,FALSE)</f>
        <v>49081655341</v>
      </c>
      <c r="S101" s="266">
        <f>_xlfn.XLOOKUP(E101,'All Products'!D:D,'All Products'!M:M,FALSE)</f>
        <v>40049081155344</v>
      </c>
      <c r="T101" s="265">
        <f>_xlfn.XLOOKUP(E101,'All Products'!D:D,'All Products'!N:N,FALSE)</f>
        <v>0.318</v>
      </c>
      <c r="U101" s="266">
        <f>_xlfn.XLOOKUP(E101,'All Products'!D:D,'All Products'!O:O,FALSE)</f>
        <v>5</v>
      </c>
      <c r="V101" s="265">
        <f>_xlfn.XLOOKUP(E101,'All Products'!D:D,'All Products'!P:P,FALSE)</f>
        <v>9.0399999999999991</v>
      </c>
      <c r="W101" s="265">
        <f>_xlfn.XLOOKUP(E101,'All Products'!D:D,'All Products'!Q:Q,FALSE)</f>
        <v>0.65</v>
      </c>
    </row>
    <row r="102" spans="1:23">
      <c r="A102" s="101" t="str">
        <f>IF(K102&gt;0,COUNT($A$7:A101)
+COUNT('DWV PVC'!$A$9:$A$316)
+COUNT('DWV ABS'!$A$8:$A$116)
+COUNT('PVC SCH40'!$A$8:$A$424)
+COUNT('PVC SCH40 LD'!$A$8:$A$21)
+COUNT('Pool &amp; SPA Sweep Elbows'!$A$8:$A$11)
+COUNT('Pool &amp; SPA Pipe Extender'!$A$8:$A$10)+1,"")</f>
        <v/>
      </c>
      <c r="B102" s="610"/>
      <c r="C102" s="611"/>
      <c r="D102" s="142" t="str">
        <f>_xlfn.XLOOKUP(E102,'All Products'!D:D,'All Products'!C:C,FALSE)</f>
        <v>835-030</v>
      </c>
      <c r="E102" s="103">
        <v>100028148</v>
      </c>
      <c r="F102" s="413" t="str">
        <f>_xlfn.XLOOKUP(E102,'All Products'!D:D,'All Products'!E:E,FALSE)</f>
        <v>3 FEMALE ADAPTER SXFIPT SCH80</v>
      </c>
      <c r="G102" s="233">
        <f>_xlfn.XLOOKUP(E102,'All Products'!D:D,'All Products'!F:F,FALSE)</f>
        <v>30</v>
      </c>
      <c r="H102" s="196">
        <f>_xlfn.XLOOKUP(E102,'All Products'!D:D,'All Products'!G:G,FALSE)</f>
        <v>0</v>
      </c>
      <c r="I102" s="415">
        <f>_xlfn.XLOOKUP(E102,'All Products'!D:D,'All Products'!H:H,FALSE)</f>
        <v>189.22</v>
      </c>
      <c r="J102" s="130">
        <f>ROUND(I102*Order_Quote!$L$8,2)</f>
        <v>189.22</v>
      </c>
      <c r="K102" s="75"/>
      <c r="L102" s="113"/>
      <c r="M102" s="171">
        <f t="shared" si="2"/>
        <v>0</v>
      </c>
      <c r="O102" s="265" t="str">
        <f>_xlfn.XLOOKUP(E102,'All Products'!D:D,'All Products'!I:I,FALSE)</f>
        <v>In Stock</v>
      </c>
      <c r="P102" s="265" t="str">
        <f>_xlfn.XLOOKUP(E102,'All Products'!D:D,'All Products'!J:J,FALSE)</f>
        <v>Manufactured</v>
      </c>
      <c r="Q102" s="266">
        <f>_xlfn.XLOOKUP(E102,'All Products'!D:D,'All Products'!K:K,FALSE)</f>
        <v>49081155384</v>
      </c>
      <c r="R102" s="266" t="str">
        <f>_xlfn.XLOOKUP(E102,'All Products'!D:D,'All Products'!L:L,FALSE)</f>
        <v>-</v>
      </c>
      <c r="S102" s="266">
        <f>_xlfn.XLOOKUP(E102,'All Products'!D:D,'All Products'!M:M,FALSE)</f>
        <v>40049081155382</v>
      </c>
      <c r="T102" s="265">
        <f>_xlfn.XLOOKUP(E102,'All Products'!D:D,'All Products'!N:N,FALSE)</f>
        <v>1.26</v>
      </c>
      <c r="U102" s="266" t="str">
        <f>_xlfn.XLOOKUP(E102,'All Products'!D:D,'All Products'!O:O,FALSE)</f>
        <v>-</v>
      </c>
      <c r="V102" s="265">
        <f>_xlfn.XLOOKUP(E102,'All Products'!D:D,'All Products'!P:P,FALSE)</f>
        <v>30.818999999999999</v>
      </c>
      <c r="W102" s="265" t="str">
        <f>_xlfn.XLOOKUP(E102,'All Products'!D:D,'All Products'!Q:Q,FALSE)</f>
        <v>-</v>
      </c>
    </row>
    <row r="103" spans="1:23">
      <c r="A103" s="101" t="str">
        <f>IF(K103&gt;0,COUNT($A$7:A102)
+COUNT('DWV PVC'!$A$9:$A$316)
+COUNT('DWV ABS'!$A$8:$A$116)
+COUNT('PVC SCH40'!$A$8:$A$424)
+COUNT('PVC SCH40 LD'!$A$8:$A$21)
+COUNT('Pool &amp; SPA Sweep Elbows'!$A$8:$A$11)
+COUNT('Pool &amp; SPA Pipe Extender'!$A$8:$A$10)+1,"")</f>
        <v/>
      </c>
      <c r="B103" s="610"/>
      <c r="C103" s="611"/>
      <c r="D103" s="142" t="str">
        <f>_xlfn.XLOOKUP(E103,'All Products'!D:D,'All Products'!C:C,FALSE)</f>
        <v>835-040</v>
      </c>
      <c r="E103" s="103">
        <v>100028149</v>
      </c>
      <c r="F103" s="413" t="str">
        <f>_xlfn.XLOOKUP(E103,'All Products'!D:D,'All Products'!E:E,FALSE)</f>
        <v>4 FEMALE ADAPTER SXFIPT SCH80</v>
      </c>
      <c r="G103" s="233">
        <f>_xlfn.XLOOKUP(E103,'All Products'!D:D,'All Products'!F:F,FALSE)</f>
        <v>20</v>
      </c>
      <c r="H103" s="196">
        <f>_xlfn.XLOOKUP(E103,'All Products'!D:D,'All Products'!G:G,FALSE)</f>
        <v>0</v>
      </c>
      <c r="I103" s="415">
        <f>_xlfn.XLOOKUP(E103,'All Products'!D:D,'All Products'!H:H,FALSE)</f>
        <v>325.23</v>
      </c>
      <c r="J103" s="130">
        <f>ROUND(I103*Order_Quote!$L$8,2)</f>
        <v>325.23</v>
      </c>
      <c r="K103" s="75"/>
      <c r="L103" s="113"/>
      <c r="M103" s="171">
        <f t="shared" si="2"/>
        <v>0</v>
      </c>
      <c r="O103" s="265" t="str">
        <f>_xlfn.XLOOKUP(E103,'All Products'!D:D,'All Products'!I:I,FALSE)</f>
        <v>In Stock</v>
      </c>
      <c r="P103" s="265" t="str">
        <f>_xlfn.XLOOKUP(E103,'All Products'!D:D,'All Products'!J:J,FALSE)</f>
        <v>Manufactured</v>
      </c>
      <c r="Q103" s="266">
        <f>_xlfn.XLOOKUP(E103,'All Products'!D:D,'All Products'!K:K,FALSE)</f>
        <v>49081155407</v>
      </c>
      <c r="R103" s="266" t="str">
        <f>_xlfn.XLOOKUP(E103,'All Products'!D:D,'All Products'!L:L,FALSE)</f>
        <v>-</v>
      </c>
      <c r="S103" s="266">
        <f>_xlfn.XLOOKUP(E103,'All Products'!D:D,'All Products'!M:M,FALSE)</f>
        <v>40049081155405</v>
      </c>
      <c r="T103" s="265">
        <f>_xlfn.XLOOKUP(E103,'All Products'!D:D,'All Products'!N:N,FALSE)</f>
        <v>1.5940000000000001</v>
      </c>
      <c r="U103" s="266" t="str">
        <f>_xlfn.XLOOKUP(E103,'All Products'!D:D,'All Products'!O:O,FALSE)</f>
        <v>-</v>
      </c>
      <c r="V103" s="265">
        <f>_xlfn.XLOOKUP(E103,'All Products'!D:D,'All Products'!P:P,FALSE)</f>
        <v>31.878</v>
      </c>
      <c r="W103" s="265" t="str">
        <f>_xlfn.XLOOKUP(E103,'All Products'!D:D,'All Products'!Q:Q,FALSE)</f>
        <v>-</v>
      </c>
    </row>
    <row r="104" spans="1:23">
      <c r="A104" s="101" t="str">
        <f>IF(K104&gt;0,COUNT($A$7:A103)
+COUNT('DWV PVC'!$A$9:$A$316)
+COUNT('DWV ABS'!$A$8:$A$116)
+COUNT('PVC SCH40'!$A$8:$A$424)
+COUNT('PVC SCH40 LD'!$A$8:$A$21)
+COUNT('Pool &amp; SPA Sweep Elbows'!$A$8:$A$11)
+COUNT('Pool &amp; SPA Pipe Extender'!$A$8:$A$10)+1,"")</f>
        <v/>
      </c>
      <c r="B104" s="608"/>
      <c r="C104" s="609"/>
      <c r="D104" s="142" t="str">
        <f>_xlfn.XLOOKUP(E104,'All Products'!D:D,'All Products'!C:C,FALSE)</f>
        <v>836-002</v>
      </c>
      <c r="E104" s="103">
        <v>100023595</v>
      </c>
      <c r="F104" s="413" t="str">
        <f>_xlfn.XLOOKUP(E104,'All Products'!D:D,'All Products'!E:E,FALSE)</f>
        <v>1/4 MALE ADAPTER MIPTXS SCH80</v>
      </c>
      <c r="G104" s="233">
        <f>_xlfn.XLOOKUP(E104,'All Products'!D:D,'All Products'!F:F,FALSE)</f>
        <v>250</v>
      </c>
      <c r="H104" s="196">
        <f>_xlfn.XLOOKUP(E104,'All Products'!D:D,'All Products'!G:G,FALSE)</f>
        <v>37500</v>
      </c>
      <c r="I104" s="415">
        <f>_xlfn.XLOOKUP(E104,'All Products'!D:D,'All Products'!H:H,FALSE)</f>
        <v>17.54</v>
      </c>
      <c r="J104" s="130">
        <f>ROUND(I104*Order_Quote!$L$8,2)</f>
        <v>17.54</v>
      </c>
      <c r="K104" s="75"/>
      <c r="L104" s="113"/>
      <c r="M104" s="171">
        <f t="shared" ref="M104:M141" si="3">K104/G104</f>
        <v>0</v>
      </c>
      <c r="O104" s="265" t="str">
        <f>_xlfn.XLOOKUP(E104,'All Products'!D:D,'All Products'!I:I,FALSE)</f>
        <v>Within 3 Weeks</v>
      </c>
      <c r="P104" s="265" t="str">
        <f>_xlfn.XLOOKUP(E104,'All Products'!D:D,'All Products'!J:J,FALSE)</f>
        <v>Manufactured</v>
      </c>
      <c r="Q104" s="266">
        <f>_xlfn.XLOOKUP(E104,'All Products'!D:D,'All Products'!K:K,FALSE)</f>
        <v>49081155834</v>
      </c>
      <c r="R104" s="266">
        <f>_xlfn.XLOOKUP(E104,'All Products'!D:D,'All Products'!L:L,FALSE)</f>
        <v>49081655839</v>
      </c>
      <c r="S104" s="266">
        <f>_xlfn.XLOOKUP(E104,'All Products'!D:D,'All Products'!M:M,FALSE)</f>
        <v>40049081155832</v>
      </c>
      <c r="T104" s="265">
        <f>_xlfn.XLOOKUP(E104,'All Products'!D:D,'All Products'!N:N,FALSE)</f>
        <v>2.1999999999999999E-2</v>
      </c>
      <c r="U104" s="266">
        <f>_xlfn.XLOOKUP(E104,'All Products'!D:D,'All Products'!O:O,FALSE)</f>
        <v>10</v>
      </c>
      <c r="V104" s="265">
        <f>_xlfn.XLOOKUP(E104,'All Products'!D:D,'All Products'!P:P,FALSE)</f>
        <v>5.72</v>
      </c>
      <c r="W104" s="265">
        <f>_xlfn.XLOOKUP(E104,'All Products'!D:D,'All Products'!Q:Q,FALSE)</f>
        <v>0.5</v>
      </c>
    </row>
    <row r="105" spans="1:23">
      <c r="A105" s="101" t="str">
        <f>IF(K105&gt;0,COUNT($A$7:A104)
+COUNT('DWV PVC'!$A$9:$A$316)
+COUNT('DWV ABS'!$A$8:$A$116)
+COUNT('PVC SCH40'!$A$8:$A$424)
+COUNT('PVC SCH40 LD'!$A$8:$A$21)
+COUNT('Pool &amp; SPA Sweep Elbows'!$A$8:$A$11)
+COUNT('Pool &amp; SPA Pipe Extender'!$A$8:$A$10)+1,"")</f>
        <v/>
      </c>
      <c r="B105" s="610"/>
      <c r="C105" s="611"/>
      <c r="D105" s="142" t="str">
        <f>_xlfn.XLOOKUP(E105,'All Products'!D:D,'All Products'!C:C,FALSE)</f>
        <v>836-003</v>
      </c>
      <c r="E105" s="103">
        <v>100023596</v>
      </c>
      <c r="F105" s="413" t="str">
        <f>_xlfn.XLOOKUP(E105,'All Products'!D:D,'All Products'!E:E,FALSE)</f>
        <v>3/8 MALE ADAPTER MIPTXS SCH80</v>
      </c>
      <c r="G105" s="233">
        <f>_xlfn.XLOOKUP(E105,'All Products'!D:D,'All Products'!F:F,FALSE)</f>
        <v>250</v>
      </c>
      <c r="H105" s="196">
        <f>_xlfn.XLOOKUP(E105,'All Products'!D:D,'All Products'!G:G,FALSE)</f>
        <v>37500</v>
      </c>
      <c r="I105" s="415">
        <f>_xlfn.XLOOKUP(E105,'All Products'!D:D,'All Products'!H:H,FALSE)</f>
        <v>17.54</v>
      </c>
      <c r="J105" s="130">
        <f>ROUND(I105*Order_Quote!$L$8,2)</f>
        <v>17.54</v>
      </c>
      <c r="K105" s="75"/>
      <c r="L105" s="113"/>
      <c r="M105" s="171">
        <f t="shared" si="3"/>
        <v>0</v>
      </c>
      <c r="O105" s="265" t="str">
        <f>_xlfn.XLOOKUP(E105,'All Products'!D:D,'All Products'!I:I,FALSE)</f>
        <v>Within 3 Weeks</v>
      </c>
      <c r="P105" s="265" t="str">
        <f>_xlfn.XLOOKUP(E105,'All Products'!D:D,'All Products'!J:J,FALSE)</f>
        <v>Manufactured</v>
      </c>
      <c r="Q105" s="266">
        <f>_xlfn.XLOOKUP(E105,'All Products'!D:D,'All Products'!K:K,FALSE)</f>
        <v>49081155926</v>
      </c>
      <c r="R105" s="266">
        <f>_xlfn.XLOOKUP(E105,'All Products'!D:D,'All Products'!L:L,FALSE)</f>
        <v>49081655921</v>
      </c>
      <c r="S105" s="266">
        <f>_xlfn.XLOOKUP(E105,'All Products'!D:D,'All Products'!M:M,FALSE)</f>
        <v>40049081155924</v>
      </c>
      <c r="T105" s="265">
        <f>_xlfn.XLOOKUP(E105,'All Products'!D:D,'All Products'!N:N,FALSE)</f>
        <v>3.3000000000000002E-2</v>
      </c>
      <c r="U105" s="266">
        <f>_xlfn.XLOOKUP(E105,'All Products'!D:D,'All Products'!O:O,FALSE)</f>
        <v>10</v>
      </c>
      <c r="V105" s="265">
        <f>_xlfn.XLOOKUP(E105,'All Products'!D:D,'All Products'!P:P,FALSE)</f>
        <v>9</v>
      </c>
      <c r="W105" s="265">
        <f>_xlfn.XLOOKUP(E105,'All Products'!D:D,'All Products'!Q:Q,FALSE)</f>
        <v>0.5</v>
      </c>
    </row>
    <row r="106" spans="1:23">
      <c r="A106" s="101" t="str">
        <f>IF(K106&gt;0,COUNT($A$7:A105)
+COUNT('DWV PVC'!$A$9:$A$316)
+COUNT('DWV ABS'!$A$8:$A$116)
+COUNT('PVC SCH40'!$A$8:$A$424)
+COUNT('PVC SCH40 LD'!$A$8:$A$21)
+COUNT('Pool &amp; SPA Sweep Elbows'!$A$8:$A$11)
+COUNT('Pool &amp; SPA Pipe Extender'!$A$8:$A$10)+1,"")</f>
        <v/>
      </c>
      <c r="B106" s="610"/>
      <c r="C106" s="611"/>
      <c r="D106" s="142" t="str">
        <f>_xlfn.XLOOKUP(E106,'All Products'!D:D,'All Products'!C:C,FALSE)</f>
        <v>836-005</v>
      </c>
      <c r="E106" s="103">
        <v>100023597</v>
      </c>
      <c r="F106" s="413" t="str">
        <f>_xlfn.XLOOKUP(E106,'All Products'!D:D,'All Products'!E:E,FALSE)</f>
        <v>1/2 MALE ADAPTER MIPTXS SCH80</v>
      </c>
      <c r="G106" s="233">
        <f>_xlfn.XLOOKUP(E106,'All Products'!D:D,'All Products'!F:F,FALSE)</f>
        <v>250</v>
      </c>
      <c r="H106" s="196">
        <f>_xlfn.XLOOKUP(E106,'All Products'!D:D,'All Products'!G:G,FALSE)</f>
        <v>30000</v>
      </c>
      <c r="I106" s="415">
        <f>_xlfn.XLOOKUP(E106,'All Products'!D:D,'All Products'!H:H,FALSE)</f>
        <v>17.54</v>
      </c>
      <c r="J106" s="130">
        <f>ROUND(I106*Order_Quote!$L$8,2)</f>
        <v>17.54</v>
      </c>
      <c r="K106" s="75"/>
      <c r="L106" s="113"/>
      <c r="M106" s="171">
        <f t="shared" si="3"/>
        <v>0</v>
      </c>
      <c r="O106" s="265" t="str">
        <f>_xlfn.XLOOKUP(E106,'All Products'!D:D,'All Products'!I:I,FALSE)</f>
        <v>In Stock</v>
      </c>
      <c r="P106" s="265" t="str">
        <f>_xlfn.XLOOKUP(E106,'All Products'!D:D,'All Products'!J:J,FALSE)</f>
        <v>Manufactured</v>
      </c>
      <c r="Q106" s="266">
        <f>_xlfn.XLOOKUP(E106,'All Products'!D:D,'All Products'!K:K,FALSE)</f>
        <v>49081155940</v>
      </c>
      <c r="R106" s="266">
        <f>_xlfn.XLOOKUP(E106,'All Products'!D:D,'All Products'!L:L,FALSE)</f>
        <v>49081655945</v>
      </c>
      <c r="S106" s="266">
        <f>_xlfn.XLOOKUP(E106,'All Products'!D:D,'All Products'!M:M,FALSE)</f>
        <v>40049081155948</v>
      </c>
      <c r="T106" s="265">
        <f>_xlfn.XLOOKUP(E106,'All Products'!D:D,'All Products'!N:N,FALSE)</f>
        <v>4.3999999999999997E-2</v>
      </c>
      <c r="U106" s="266">
        <f>_xlfn.XLOOKUP(E106,'All Products'!D:D,'All Products'!O:O,FALSE)</f>
        <v>10</v>
      </c>
      <c r="V106" s="265">
        <f>_xlfn.XLOOKUP(E106,'All Products'!D:D,'All Products'!P:P,FALSE)</f>
        <v>13.93</v>
      </c>
      <c r="W106" s="265">
        <f>_xlfn.XLOOKUP(E106,'All Products'!D:D,'All Products'!Q:Q,FALSE)</f>
        <v>0.65</v>
      </c>
    </row>
    <row r="107" spans="1:23">
      <c r="A107" s="101" t="str">
        <f>IF(K107&gt;0,COUNT($A$7:A106)
+COUNT('DWV PVC'!$A$9:$A$316)
+COUNT('DWV ABS'!$A$8:$A$116)
+COUNT('PVC SCH40'!$A$8:$A$424)
+COUNT('PVC SCH40 LD'!$A$8:$A$21)
+COUNT('Pool &amp; SPA Sweep Elbows'!$A$8:$A$11)
+COUNT('Pool &amp; SPA Pipe Extender'!$A$8:$A$10)+1,"")</f>
        <v/>
      </c>
      <c r="B107" s="610"/>
      <c r="C107" s="611"/>
      <c r="D107" s="142" t="str">
        <f>_xlfn.XLOOKUP(E107,'All Products'!D:D,'All Products'!C:C,FALSE)</f>
        <v>836-007</v>
      </c>
      <c r="E107" s="103">
        <v>100023599</v>
      </c>
      <c r="F107" s="413" t="str">
        <f>_xlfn.XLOOKUP(E107,'All Products'!D:D,'All Products'!E:E,FALSE)</f>
        <v>3/4 MALE ADAPTER MIPTXS SCH80</v>
      </c>
      <c r="G107" s="233">
        <f>_xlfn.XLOOKUP(E107,'All Products'!D:D,'All Products'!F:F,FALSE)</f>
        <v>250</v>
      </c>
      <c r="H107" s="196">
        <f>_xlfn.XLOOKUP(E107,'All Products'!D:D,'All Products'!G:G,FALSE)</f>
        <v>18750</v>
      </c>
      <c r="I107" s="415">
        <f>_xlfn.XLOOKUP(E107,'All Products'!D:D,'All Products'!H:H,FALSE)</f>
        <v>19.329999999999998</v>
      </c>
      <c r="J107" s="130">
        <f>ROUND(I107*Order_Quote!$L$8,2)</f>
        <v>19.329999999999998</v>
      </c>
      <c r="K107" s="75"/>
      <c r="L107" s="113"/>
      <c r="M107" s="171">
        <f t="shared" si="3"/>
        <v>0</v>
      </c>
      <c r="O107" s="265" t="str">
        <f>_xlfn.XLOOKUP(E107,'All Products'!D:D,'All Products'!I:I,FALSE)</f>
        <v>In Stock</v>
      </c>
      <c r="P107" s="265" t="str">
        <f>_xlfn.XLOOKUP(E107,'All Products'!D:D,'All Products'!J:J,FALSE)</f>
        <v>Manufactured</v>
      </c>
      <c r="Q107" s="266">
        <f>_xlfn.XLOOKUP(E107,'All Products'!D:D,'All Products'!K:K,FALSE)</f>
        <v>49081156008</v>
      </c>
      <c r="R107" s="266">
        <f>_xlfn.XLOOKUP(E107,'All Products'!D:D,'All Products'!L:L,FALSE)</f>
        <v>49081656003</v>
      </c>
      <c r="S107" s="266">
        <f>_xlfn.XLOOKUP(E107,'All Products'!D:D,'All Products'!M:M,FALSE)</f>
        <v>40049081156006</v>
      </c>
      <c r="T107" s="265">
        <f>_xlfn.XLOOKUP(E107,'All Products'!D:D,'All Products'!N:N,FALSE)</f>
        <v>5.6000000000000001E-2</v>
      </c>
      <c r="U107" s="266">
        <f>_xlfn.XLOOKUP(E107,'All Products'!D:D,'All Products'!O:O,FALSE)</f>
        <v>10</v>
      </c>
      <c r="V107" s="265">
        <f>_xlfn.XLOOKUP(E107,'All Products'!D:D,'All Products'!P:P,FALSE)</f>
        <v>21.33</v>
      </c>
      <c r="W107" s="265">
        <f>_xlfn.XLOOKUP(E107,'All Products'!D:D,'All Products'!Q:Q,FALSE)</f>
        <v>0.95</v>
      </c>
    </row>
    <row r="108" spans="1:23">
      <c r="A108" s="101" t="str">
        <f>IF(K108&gt;0,COUNT($A$7:A107)
+COUNT('DWV PVC'!$A$9:$A$316)
+COUNT('DWV ABS'!$A$8:$A$116)
+COUNT('PVC SCH40'!$A$8:$A$424)
+COUNT('PVC SCH40 LD'!$A$8:$A$21)
+COUNT('Pool &amp; SPA Sweep Elbows'!$A$8:$A$11)
+COUNT('Pool &amp; SPA Pipe Extender'!$A$8:$A$10)+1,"")</f>
        <v/>
      </c>
      <c r="B108" s="610"/>
      <c r="C108" s="611"/>
      <c r="D108" s="142" t="str">
        <f>_xlfn.XLOOKUP(E108,'All Products'!D:D,'All Products'!C:C,FALSE)</f>
        <v>836-010</v>
      </c>
      <c r="E108" s="103">
        <v>100023601</v>
      </c>
      <c r="F108" s="413" t="str">
        <f>_xlfn.XLOOKUP(E108,'All Products'!D:D,'All Products'!E:E,FALSE)</f>
        <v>1 MALE ADAPTER MIPTXS SCH80</v>
      </c>
      <c r="G108" s="233">
        <f>_xlfn.XLOOKUP(E108,'All Products'!D:D,'All Products'!F:F,FALSE)</f>
        <v>100</v>
      </c>
      <c r="H108" s="196">
        <f>_xlfn.XLOOKUP(E108,'All Products'!D:D,'All Products'!G:G,FALSE)</f>
        <v>9000</v>
      </c>
      <c r="I108" s="415">
        <f>_xlfn.XLOOKUP(E108,'All Products'!D:D,'All Products'!H:H,FALSE)</f>
        <v>33.44</v>
      </c>
      <c r="J108" s="130">
        <f>ROUND(I108*Order_Quote!$L$8,2)</f>
        <v>33.44</v>
      </c>
      <c r="K108" s="75"/>
      <c r="L108" s="113"/>
      <c r="M108" s="171">
        <f t="shared" si="3"/>
        <v>0</v>
      </c>
      <c r="O108" s="265" t="str">
        <f>_xlfn.XLOOKUP(E108,'All Products'!D:D,'All Products'!I:I,FALSE)</f>
        <v>In Stock</v>
      </c>
      <c r="P108" s="265" t="str">
        <f>_xlfn.XLOOKUP(E108,'All Products'!D:D,'All Products'!J:J,FALSE)</f>
        <v>Manufactured</v>
      </c>
      <c r="Q108" s="266">
        <f>_xlfn.XLOOKUP(E108,'All Products'!D:D,'All Products'!K:K,FALSE)</f>
        <v>49081156060</v>
      </c>
      <c r="R108" s="266">
        <f>_xlfn.XLOOKUP(E108,'All Products'!D:D,'All Products'!L:L,FALSE)</f>
        <v>49081656065</v>
      </c>
      <c r="S108" s="266">
        <f>_xlfn.XLOOKUP(E108,'All Products'!D:D,'All Products'!M:M,FALSE)</f>
        <v>40049081156068</v>
      </c>
      <c r="T108" s="265">
        <f>_xlfn.XLOOKUP(E108,'All Products'!D:D,'All Products'!N:N,FALSE)</f>
        <v>0.09</v>
      </c>
      <c r="U108" s="266">
        <f>_xlfn.XLOOKUP(E108,'All Products'!D:D,'All Products'!O:O,FALSE)</f>
        <v>10</v>
      </c>
      <c r="V108" s="265">
        <f>_xlfn.XLOOKUP(E108,'All Products'!D:D,'All Products'!P:P,FALSE)</f>
        <v>14.55</v>
      </c>
      <c r="W108" s="265">
        <f>_xlfn.XLOOKUP(E108,'All Products'!D:D,'All Products'!Q:Q,FALSE)</f>
        <v>0.8</v>
      </c>
    </row>
    <row r="109" spans="1:23">
      <c r="A109" s="101" t="str">
        <f>IF(K109&gt;0,COUNT($A$7:A108)
+COUNT('DWV PVC'!$A$9:$A$316)
+COUNT('DWV ABS'!$A$8:$A$116)
+COUNT('PVC SCH40'!$A$8:$A$424)
+COUNT('PVC SCH40 LD'!$A$8:$A$21)
+COUNT('Pool &amp; SPA Sweep Elbows'!$A$8:$A$11)
+COUNT('Pool &amp; SPA Pipe Extender'!$A$8:$A$10)+1,"")</f>
        <v/>
      </c>
      <c r="B109" s="610"/>
      <c r="C109" s="611"/>
      <c r="D109" s="142" t="str">
        <f>_xlfn.XLOOKUP(E109,'All Products'!D:D,'All Products'!C:C,FALSE)</f>
        <v>836-012</v>
      </c>
      <c r="E109" s="103">
        <v>100023602</v>
      </c>
      <c r="F109" s="413" t="str">
        <f>_xlfn.XLOOKUP(E109,'All Products'!D:D,'All Products'!E:E,FALSE)</f>
        <v>1-1/4 MALE ADAPTER MIPTXS SCH80</v>
      </c>
      <c r="G109" s="233">
        <f>_xlfn.XLOOKUP(E109,'All Products'!D:D,'All Products'!F:F,FALSE)</f>
        <v>50</v>
      </c>
      <c r="H109" s="196">
        <f>_xlfn.XLOOKUP(E109,'All Products'!D:D,'All Products'!G:G,FALSE)</f>
        <v>7500</v>
      </c>
      <c r="I109" s="415">
        <f>_xlfn.XLOOKUP(E109,'All Products'!D:D,'All Products'!H:H,FALSE)</f>
        <v>39.090000000000003</v>
      </c>
      <c r="J109" s="130">
        <f>ROUND(I109*Order_Quote!$L$8,2)</f>
        <v>39.090000000000003</v>
      </c>
      <c r="K109" s="75"/>
      <c r="L109" s="113"/>
      <c r="M109" s="171">
        <f t="shared" si="3"/>
        <v>0</v>
      </c>
      <c r="O109" s="265" t="str">
        <f>_xlfn.XLOOKUP(E109,'All Products'!D:D,'All Products'!I:I,FALSE)</f>
        <v>In Stock</v>
      </c>
      <c r="P109" s="265" t="str">
        <f>_xlfn.XLOOKUP(E109,'All Products'!D:D,'All Products'!J:J,FALSE)</f>
        <v>Manufactured</v>
      </c>
      <c r="Q109" s="266">
        <f>_xlfn.XLOOKUP(E109,'All Products'!D:D,'All Products'!K:K,FALSE)</f>
        <v>49081156121</v>
      </c>
      <c r="R109" s="266">
        <f>_xlfn.XLOOKUP(E109,'All Products'!D:D,'All Products'!L:L,FALSE)</f>
        <v>49081656126</v>
      </c>
      <c r="S109" s="266">
        <f>_xlfn.XLOOKUP(E109,'All Products'!D:D,'All Products'!M:M,FALSE)</f>
        <v>40049081156129</v>
      </c>
      <c r="T109" s="265">
        <f>_xlfn.XLOOKUP(E109,'All Products'!D:D,'All Products'!N:N,FALSE)</f>
        <v>0.182</v>
      </c>
      <c r="U109" s="266">
        <f>_xlfn.XLOOKUP(E109,'All Products'!D:D,'All Products'!O:O,FALSE)</f>
        <v>5</v>
      </c>
      <c r="V109" s="265">
        <f>_xlfn.XLOOKUP(E109,'All Products'!D:D,'All Products'!P:P,FALSE)</f>
        <v>9.77</v>
      </c>
      <c r="W109" s="265">
        <f>_xlfn.XLOOKUP(E109,'All Products'!D:D,'All Products'!Q:Q,FALSE)</f>
        <v>0.5</v>
      </c>
    </row>
    <row r="110" spans="1:23">
      <c r="A110" s="101" t="str">
        <f>IF(K110&gt;0,COUNT($A$7:A109)
+COUNT('DWV PVC'!$A$9:$A$316)
+COUNT('DWV ABS'!$A$8:$A$116)
+COUNT('PVC SCH40'!$A$8:$A$424)
+COUNT('PVC SCH40 LD'!$A$8:$A$21)
+COUNT('Pool &amp; SPA Sweep Elbows'!$A$8:$A$11)
+COUNT('Pool &amp; SPA Pipe Extender'!$A$8:$A$10)+1,"")</f>
        <v/>
      </c>
      <c r="B110" s="610"/>
      <c r="C110" s="611"/>
      <c r="D110" s="142" t="str">
        <f>_xlfn.XLOOKUP(E110,'All Products'!D:D,'All Products'!C:C,FALSE)</f>
        <v>836-015</v>
      </c>
      <c r="E110" s="103">
        <v>100023604</v>
      </c>
      <c r="F110" s="413" t="str">
        <f>_xlfn.XLOOKUP(E110,'All Products'!D:D,'All Products'!E:E,FALSE)</f>
        <v>1-1/2 MALE ADAPTER MIPTXS SCH80</v>
      </c>
      <c r="G110" s="233">
        <f>_xlfn.XLOOKUP(E110,'All Products'!D:D,'All Products'!F:F,FALSE)</f>
        <v>50</v>
      </c>
      <c r="H110" s="196">
        <f>_xlfn.XLOOKUP(E110,'All Products'!D:D,'All Products'!G:G,FALSE)</f>
        <v>4500</v>
      </c>
      <c r="I110" s="415">
        <f>_xlfn.XLOOKUP(E110,'All Products'!D:D,'All Products'!H:H,FALSE)</f>
        <v>56.19</v>
      </c>
      <c r="J110" s="130">
        <f>ROUND(I110*Order_Quote!$L$8,2)</f>
        <v>56.19</v>
      </c>
      <c r="K110" s="75"/>
      <c r="L110" s="113"/>
      <c r="M110" s="171">
        <f t="shared" si="3"/>
        <v>0</v>
      </c>
      <c r="O110" s="265" t="str">
        <f>_xlfn.XLOOKUP(E110,'All Products'!D:D,'All Products'!I:I,FALSE)</f>
        <v>In Stock</v>
      </c>
      <c r="P110" s="265" t="str">
        <f>_xlfn.XLOOKUP(E110,'All Products'!D:D,'All Products'!J:J,FALSE)</f>
        <v>Manufactured</v>
      </c>
      <c r="Q110" s="266">
        <f>_xlfn.XLOOKUP(E110,'All Products'!D:D,'All Products'!K:K,FALSE)</f>
        <v>49081156183</v>
      </c>
      <c r="R110" s="266">
        <f>_xlfn.XLOOKUP(E110,'All Products'!D:D,'All Products'!L:L,FALSE)</f>
        <v>49081656188</v>
      </c>
      <c r="S110" s="266">
        <f>_xlfn.XLOOKUP(E110,'All Products'!D:D,'All Products'!M:M,FALSE)</f>
        <v>40049081156181</v>
      </c>
      <c r="T110" s="265">
        <f>_xlfn.XLOOKUP(E110,'All Products'!D:D,'All Products'!N:N,FALSE)</f>
        <v>0.192</v>
      </c>
      <c r="U110" s="266">
        <f>_xlfn.XLOOKUP(E110,'All Products'!D:D,'All Products'!O:O,FALSE)</f>
        <v>5</v>
      </c>
      <c r="V110" s="265">
        <f>_xlfn.XLOOKUP(E110,'All Products'!D:D,'All Products'!P:P,FALSE)</f>
        <v>10.75</v>
      </c>
      <c r="W110" s="265">
        <f>_xlfn.XLOOKUP(E110,'All Products'!D:D,'All Products'!Q:Q,FALSE)</f>
        <v>0.8</v>
      </c>
    </row>
    <row r="111" spans="1:23">
      <c r="A111" s="101" t="str">
        <f>IF(K111&gt;0,COUNT($A$7:A110)
+COUNT('DWV PVC'!$A$9:$A$316)
+COUNT('DWV ABS'!$A$8:$A$116)
+COUNT('PVC SCH40'!$A$8:$A$424)
+COUNT('PVC SCH40 LD'!$A$8:$A$21)
+COUNT('Pool &amp; SPA Sweep Elbows'!$A$8:$A$11)
+COUNT('Pool &amp; SPA Pipe Extender'!$A$8:$A$10)+1,"")</f>
        <v/>
      </c>
      <c r="B111" s="610"/>
      <c r="C111" s="611"/>
      <c r="D111" s="142" t="str">
        <f>_xlfn.XLOOKUP(E111,'All Products'!D:D,'All Products'!C:C,FALSE)</f>
        <v>836-020</v>
      </c>
      <c r="E111" s="103">
        <v>100023606</v>
      </c>
      <c r="F111" s="413" t="str">
        <f>_xlfn.XLOOKUP(E111,'All Products'!D:D,'All Products'!E:E,FALSE)</f>
        <v>2 MALE ADAPTER MIPTXS SCH80</v>
      </c>
      <c r="G111" s="233">
        <f>_xlfn.XLOOKUP(E111,'All Products'!D:D,'All Products'!F:F,FALSE)</f>
        <v>25</v>
      </c>
      <c r="H111" s="196">
        <f>_xlfn.XLOOKUP(E111,'All Products'!D:D,'All Products'!G:G,FALSE)</f>
        <v>3750</v>
      </c>
      <c r="I111" s="415">
        <f>_xlfn.XLOOKUP(E111,'All Products'!D:D,'All Products'!H:H,FALSE)</f>
        <v>81.260000000000005</v>
      </c>
      <c r="J111" s="130">
        <f>ROUND(I111*Order_Quote!$L$8,2)</f>
        <v>81.260000000000005</v>
      </c>
      <c r="K111" s="75"/>
      <c r="L111" s="113"/>
      <c r="M111" s="171">
        <f t="shared" si="3"/>
        <v>0</v>
      </c>
      <c r="O111" s="265" t="str">
        <f>_xlfn.XLOOKUP(E111,'All Products'!D:D,'All Products'!I:I,FALSE)</f>
        <v>In Stock</v>
      </c>
      <c r="P111" s="265" t="str">
        <f>_xlfn.XLOOKUP(E111,'All Products'!D:D,'All Products'!J:J,FALSE)</f>
        <v>Manufactured</v>
      </c>
      <c r="Q111" s="266">
        <f>_xlfn.XLOOKUP(E111,'All Products'!D:D,'All Products'!K:K,FALSE)</f>
        <v>49081156244</v>
      </c>
      <c r="R111" s="266">
        <f>_xlfn.XLOOKUP(E111,'All Products'!D:D,'All Products'!L:L,FALSE)</f>
        <v>49081656249</v>
      </c>
      <c r="S111" s="266">
        <f>_xlfn.XLOOKUP(E111,'All Products'!D:D,'All Products'!M:M,FALSE)</f>
        <v>40049081156242</v>
      </c>
      <c r="T111" s="265">
        <f>_xlfn.XLOOKUP(E111,'All Products'!D:D,'All Products'!N:N,FALSE)</f>
        <v>0.26600000000000001</v>
      </c>
      <c r="U111" s="266">
        <f>_xlfn.XLOOKUP(E111,'All Products'!D:D,'All Products'!O:O,FALSE)</f>
        <v>5</v>
      </c>
      <c r="V111" s="265">
        <f>_xlfn.XLOOKUP(E111,'All Products'!D:D,'All Products'!P:P,FALSE)</f>
        <v>9.02</v>
      </c>
      <c r="W111" s="265">
        <f>_xlfn.XLOOKUP(E111,'All Products'!D:D,'All Products'!Q:Q,FALSE)</f>
        <v>0.5</v>
      </c>
    </row>
    <row r="112" spans="1:23">
      <c r="A112" s="101" t="str">
        <f>IF(K112&gt;0,COUNT($A$7:A111)
+COUNT('DWV PVC'!$A$9:$A$316)
+COUNT('DWV ABS'!$A$8:$A$116)
+COUNT('PVC SCH40'!$A$8:$A$424)
+COUNT('PVC SCH40 LD'!$A$8:$A$21)
+COUNT('Pool &amp; SPA Sweep Elbows'!$A$8:$A$11)
+COUNT('Pool &amp; SPA Pipe Extender'!$A$8:$A$10)+1,"")</f>
        <v/>
      </c>
      <c r="B112" s="610"/>
      <c r="C112" s="611"/>
      <c r="D112" s="142" t="str">
        <f>_xlfn.XLOOKUP(E112,'All Products'!D:D,'All Products'!C:C,FALSE)</f>
        <v>836-025</v>
      </c>
      <c r="E112" s="103">
        <v>100023607</v>
      </c>
      <c r="F112" s="413" t="str">
        <f>_xlfn.XLOOKUP(E112,'All Products'!D:D,'All Products'!E:E,FALSE)</f>
        <v>2-1/2 MALE ADAPTER MIPTXS SCH80</v>
      </c>
      <c r="G112" s="233">
        <f>_xlfn.XLOOKUP(E112,'All Products'!D:D,'All Products'!F:F,FALSE)</f>
        <v>25</v>
      </c>
      <c r="H112" s="196">
        <f>_xlfn.XLOOKUP(E112,'All Products'!D:D,'All Products'!G:G,FALSE)</f>
        <v>2250</v>
      </c>
      <c r="I112" s="415">
        <f>_xlfn.XLOOKUP(E112,'All Products'!D:D,'All Products'!H:H,FALSE)</f>
        <v>92.32</v>
      </c>
      <c r="J112" s="130">
        <f>ROUND(I112*Order_Quote!$L$8,2)</f>
        <v>92.32</v>
      </c>
      <c r="K112" s="75"/>
      <c r="L112" s="113"/>
      <c r="M112" s="171">
        <f t="shared" si="3"/>
        <v>0</v>
      </c>
      <c r="O112" s="265" t="str">
        <f>_xlfn.XLOOKUP(E112,'All Products'!D:D,'All Products'!I:I,FALSE)</f>
        <v>In Stock</v>
      </c>
      <c r="P112" s="265" t="str">
        <f>_xlfn.XLOOKUP(E112,'All Products'!D:D,'All Products'!J:J,FALSE)</f>
        <v>Manufactured</v>
      </c>
      <c r="Q112" s="266">
        <f>_xlfn.XLOOKUP(E112,'All Products'!D:D,'All Products'!K:K,FALSE)</f>
        <v>49081156305</v>
      </c>
      <c r="R112" s="266">
        <f>_xlfn.XLOOKUP(E112,'All Products'!D:D,'All Products'!L:L,FALSE)</f>
        <v>49081656300</v>
      </c>
      <c r="S112" s="266">
        <f>_xlfn.XLOOKUP(E112,'All Products'!D:D,'All Products'!M:M,FALSE)</f>
        <v>40049081156303</v>
      </c>
      <c r="T112" s="265">
        <f>_xlfn.XLOOKUP(E112,'All Products'!D:D,'All Products'!N:N,FALSE)</f>
        <v>0.45800000000000002</v>
      </c>
      <c r="U112" s="266">
        <f>_xlfn.XLOOKUP(E112,'All Products'!D:D,'All Products'!O:O,FALSE)</f>
        <v>5</v>
      </c>
      <c r="V112" s="265">
        <f>_xlfn.XLOOKUP(E112,'All Products'!D:D,'All Products'!P:P,FALSE)</f>
        <v>12.28</v>
      </c>
      <c r="W112" s="265">
        <f>_xlfn.XLOOKUP(E112,'All Products'!D:D,'All Products'!Q:Q,FALSE)</f>
        <v>0.8</v>
      </c>
    </row>
    <row r="113" spans="1:23">
      <c r="A113" s="101" t="str">
        <f>IF(K113&gt;0,COUNT($A$7:A112)
+COUNT('DWV PVC'!$A$9:$A$316)
+COUNT('DWV ABS'!$A$8:$A$116)
+COUNT('PVC SCH40'!$A$8:$A$424)
+COUNT('PVC SCH40 LD'!$A$8:$A$21)
+COUNT('Pool &amp; SPA Sweep Elbows'!$A$8:$A$11)
+COUNT('Pool &amp; SPA Pipe Extender'!$A$8:$A$10)+1,"")</f>
        <v/>
      </c>
      <c r="B113" s="610"/>
      <c r="C113" s="611"/>
      <c r="D113" s="142" t="str">
        <f>_xlfn.XLOOKUP(E113,'All Products'!D:D,'All Products'!C:C,FALSE)</f>
        <v>836-030</v>
      </c>
      <c r="E113" s="103">
        <v>100023608</v>
      </c>
      <c r="F113" s="413" t="str">
        <f>_xlfn.XLOOKUP(E113,'All Products'!D:D,'All Products'!E:E,FALSE)</f>
        <v>3 MALE ADAPTER MIPTXS SCH80</v>
      </c>
      <c r="G113" s="233">
        <f>_xlfn.XLOOKUP(E113,'All Products'!D:D,'All Products'!F:F,FALSE)</f>
        <v>10</v>
      </c>
      <c r="H113" s="196">
        <f>_xlfn.XLOOKUP(E113,'All Products'!D:D,'All Products'!G:G,FALSE)</f>
        <v>1500</v>
      </c>
      <c r="I113" s="415">
        <f>_xlfn.XLOOKUP(E113,'All Products'!D:D,'All Products'!H:H,FALSE)</f>
        <v>102.49</v>
      </c>
      <c r="J113" s="130">
        <f>ROUND(I113*Order_Quote!$L$8,2)</f>
        <v>102.49</v>
      </c>
      <c r="K113" s="75"/>
      <c r="L113" s="113"/>
      <c r="M113" s="171">
        <f t="shared" si="3"/>
        <v>0</v>
      </c>
      <c r="O113" s="265" t="str">
        <f>_xlfn.XLOOKUP(E113,'All Products'!D:D,'All Products'!I:I,FALSE)</f>
        <v>In Stock</v>
      </c>
      <c r="P113" s="265" t="str">
        <f>_xlfn.XLOOKUP(E113,'All Products'!D:D,'All Products'!J:J,FALSE)</f>
        <v>Manufactured</v>
      </c>
      <c r="Q113" s="266">
        <f>_xlfn.XLOOKUP(E113,'All Products'!D:D,'All Products'!K:K,FALSE)</f>
        <v>49081156367</v>
      </c>
      <c r="R113" s="266">
        <f>_xlfn.XLOOKUP(E113,'All Products'!D:D,'All Products'!L:L,FALSE)</f>
        <v>49081656362</v>
      </c>
      <c r="S113" s="266">
        <f>_xlfn.XLOOKUP(E113,'All Products'!D:D,'All Products'!M:M,FALSE)</f>
        <v>40049081156365</v>
      </c>
      <c r="T113" s="265">
        <f>_xlfn.XLOOKUP(E113,'All Products'!D:D,'All Products'!N:N,FALSE)</f>
        <v>0.64500000000000002</v>
      </c>
      <c r="U113" s="266">
        <f>_xlfn.XLOOKUP(E113,'All Products'!D:D,'All Products'!O:O,FALSE)</f>
        <v>2</v>
      </c>
      <c r="V113" s="265">
        <f>_xlfn.XLOOKUP(E113,'All Products'!D:D,'All Products'!P:P,FALSE)</f>
        <v>7.11</v>
      </c>
      <c r="W113" s="265">
        <f>_xlfn.XLOOKUP(E113,'All Products'!D:D,'All Products'!Q:Q,FALSE)</f>
        <v>0.5</v>
      </c>
    </row>
    <row r="114" spans="1:23">
      <c r="A114" s="101" t="str">
        <f>IF(K114&gt;0,COUNT($A$7:A113)
+COUNT('DWV PVC'!$A$9:$A$316)
+COUNT('DWV ABS'!$A$8:$A$116)
+COUNT('PVC SCH40'!$A$8:$A$424)
+COUNT('PVC SCH40 LD'!$A$8:$A$21)
+COUNT('Pool &amp; SPA Sweep Elbows'!$A$8:$A$11)
+COUNT('Pool &amp; SPA Pipe Extender'!$A$8:$A$10)+1,"")</f>
        <v/>
      </c>
      <c r="B114" s="612"/>
      <c r="C114" s="613"/>
      <c r="D114" s="142" t="str">
        <f>_xlfn.XLOOKUP(E114,'All Products'!D:D,'All Products'!C:C,FALSE)</f>
        <v>836-040</v>
      </c>
      <c r="E114" s="103">
        <v>100023609</v>
      </c>
      <c r="F114" s="413" t="str">
        <f>_xlfn.XLOOKUP(E114,'All Products'!D:D,'All Products'!E:E,FALSE)</f>
        <v>4 MALE ADAPTER MIPTXS SCH80</v>
      </c>
      <c r="G114" s="233">
        <f>_xlfn.XLOOKUP(E114,'All Products'!D:D,'All Products'!F:F,FALSE)</f>
        <v>10</v>
      </c>
      <c r="H114" s="196">
        <f>_xlfn.XLOOKUP(E114,'All Products'!D:D,'All Products'!G:G,FALSE)</f>
        <v>900</v>
      </c>
      <c r="I114" s="415">
        <f>_xlfn.XLOOKUP(E114,'All Products'!D:D,'All Products'!H:H,FALSE)</f>
        <v>182.33</v>
      </c>
      <c r="J114" s="130">
        <f>ROUND(I114*Order_Quote!$L$8,2)</f>
        <v>182.33</v>
      </c>
      <c r="K114" s="75"/>
      <c r="L114" s="113"/>
      <c r="M114" s="171">
        <f t="shared" si="3"/>
        <v>0</v>
      </c>
      <c r="O114" s="265" t="str">
        <f>_xlfn.XLOOKUP(E114,'All Products'!D:D,'All Products'!I:I,FALSE)</f>
        <v>In Stock</v>
      </c>
      <c r="P114" s="265" t="str">
        <f>_xlfn.XLOOKUP(E114,'All Products'!D:D,'All Products'!J:J,FALSE)</f>
        <v>Manufactured</v>
      </c>
      <c r="Q114" s="266">
        <f>_xlfn.XLOOKUP(E114,'All Products'!D:D,'All Products'!K:K,FALSE)</f>
        <v>49081156404</v>
      </c>
      <c r="R114" s="266">
        <f>_xlfn.XLOOKUP(E114,'All Products'!D:D,'All Products'!L:L,FALSE)</f>
        <v>49081656409</v>
      </c>
      <c r="S114" s="266">
        <f>_xlfn.XLOOKUP(E114,'All Products'!D:D,'All Products'!M:M,FALSE)</f>
        <v>40049081156402</v>
      </c>
      <c r="T114" s="265">
        <f>_xlfn.XLOOKUP(E114,'All Products'!D:D,'All Products'!N:N,FALSE)</f>
        <v>1.1850000000000001</v>
      </c>
      <c r="U114" s="266">
        <f>_xlfn.XLOOKUP(E114,'All Products'!D:D,'All Products'!O:O,FALSE)</f>
        <v>2</v>
      </c>
      <c r="V114" s="265">
        <f>_xlfn.XLOOKUP(E114,'All Products'!D:D,'All Products'!P:P,FALSE)</f>
        <v>12.28</v>
      </c>
      <c r="W114" s="265">
        <f>_xlfn.XLOOKUP(E114,'All Products'!D:D,'All Products'!Q:Q,FALSE)</f>
        <v>0.8</v>
      </c>
    </row>
    <row r="115" spans="1:23">
      <c r="A115" s="101" t="str">
        <f>IF(K115&gt;0,COUNT($A$7:A114)
+COUNT('DWV PVC'!$A$9:$A$316)
+COUNT('DWV ABS'!$A$8:$A$116)
+COUNT('PVC SCH40'!$A$8:$A$424)
+COUNT('PVC SCH40 LD'!$A$8:$A$21)
+COUNT('Pool &amp; SPA Sweep Elbows'!$A$8:$A$11)
+COUNT('Pool &amp; SPA Pipe Extender'!$A$8:$A$10)+1,"")</f>
        <v/>
      </c>
      <c r="B115" s="610"/>
      <c r="C115" s="611"/>
      <c r="D115" s="142" t="str">
        <f>_xlfn.XLOOKUP(E115,'All Products'!D:D,'All Products'!C:C,FALSE)</f>
        <v>836-102</v>
      </c>
      <c r="E115" s="103">
        <v>100023612</v>
      </c>
      <c r="F115" s="413" t="str">
        <f>_xlfn.XLOOKUP(E115,'All Products'!D:D,'All Products'!E:E,FALSE)</f>
        <v>3/4X1 MALE ADAPTER MIPTXS SCH80</v>
      </c>
      <c r="G115" s="233">
        <f>_xlfn.XLOOKUP(E115,'All Products'!D:D,'All Products'!F:F,FALSE)</f>
        <v>100</v>
      </c>
      <c r="H115" s="196">
        <f>_xlfn.XLOOKUP(E115,'All Products'!D:D,'All Products'!G:G,FALSE)</f>
        <v>12000</v>
      </c>
      <c r="I115" s="415">
        <f>_xlfn.XLOOKUP(E115,'All Products'!D:D,'All Products'!H:H,FALSE)</f>
        <v>41.95</v>
      </c>
      <c r="J115" s="130">
        <f>ROUND(I115*Order_Quote!$L$8,2)</f>
        <v>41.95</v>
      </c>
      <c r="K115" s="75"/>
      <c r="L115" s="113"/>
      <c r="M115" s="171">
        <f t="shared" si="3"/>
        <v>0</v>
      </c>
      <c r="O115" s="265" t="str">
        <f>_xlfn.XLOOKUP(E115,'All Products'!D:D,'All Products'!I:I,FALSE)</f>
        <v>In Stock</v>
      </c>
      <c r="P115" s="265" t="str">
        <f>_xlfn.XLOOKUP(E115,'All Products'!D:D,'All Products'!J:J,FALSE)</f>
        <v>Manufactured</v>
      </c>
      <c r="Q115" s="266">
        <f>_xlfn.XLOOKUP(E115,'All Products'!D:D,'All Products'!K:K,FALSE)</f>
        <v>49081156022</v>
      </c>
      <c r="R115" s="266">
        <f>_xlfn.XLOOKUP(E115,'All Products'!D:D,'All Products'!L:L,FALSE)</f>
        <v>49081656027</v>
      </c>
      <c r="S115" s="266">
        <f>_xlfn.XLOOKUP(E115,'All Products'!D:D,'All Products'!M:M,FALSE)</f>
        <v>40049081156020</v>
      </c>
      <c r="T115" s="265">
        <f>_xlfn.XLOOKUP(E115,'All Products'!D:D,'All Products'!N:N,FALSE)</f>
        <v>0.126</v>
      </c>
      <c r="U115" s="266">
        <f>_xlfn.XLOOKUP(E115,'All Products'!D:D,'All Products'!O:O,FALSE)</f>
        <v>10</v>
      </c>
      <c r="V115" s="265">
        <f>_xlfn.XLOOKUP(E115,'All Products'!D:D,'All Products'!P:P,FALSE)</f>
        <v>13.52</v>
      </c>
      <c r="W115" s="265">
        <f>_xlfn.XLOOKUP(E115,'All Products'!D:D,'All Products'!Q:Q,FALSE)</f>
        <v>0.65</v>
      </c>
    </row>
    <row r="116" spans="1:23">
      <c r="A116" s="101" t="str">
        <f>IF(K116&gt;0,COUNT($A$7:A115)
+COUNT('DWV PVC'!$A$9:$A$316)
+COUNT('DWV ABS'!$A$8:$A$116)
+COUNT('PVC SCH40'!$A$8:$A$424)
+COUNT('PVC SCH40 LD'!$A$8:$A$21)
+COUNT('Pool &amp; SPA Sweep Elbows'!$A$8:$A$11)
+COUNT('Pool &amp; SPA Pipe Extender'!$A$8:$A$10)+1,"")</f>
        <v/>
      </c>
      <c r="B116" s="610"/>
      <c r="C116" s="611"/>
      <c r="D116" s="142" t="str">
        <f>_xlfn.XLOOKUP(E116,'All Products'!D:D,'All Products'!C:C,FALSE)</f>
        <v>836-131</v>
      </c>
      <c r="E116" s="103">
        <v>100023613</v>
      </c>
      <c r="F116" s="413" t="str">
        <f>_xlfn.XLOOKUP(E116,'All Products'!D:D,'All Products'!E:E,FALSE)</f>
        <v>1X3/4 MALE ADAPTER MIPTXS SCH80</v>
      </c>
      <c r="G116" s="233">
        <f>_xlfn.XLOOKUP(E116,'All Products'!D:D,'All Products'!F:F,FALSE)</f>
        <v>100</v>
      </c>
      <c r="H116" s="196">
        <f>_xlfn.XLOOKUP(E116,'All Products'!D:D,'All Products'!G:G,FALSE)</f>
        <v>15000</v>
      </c>
      <c r="I116" s="415">
        <f>_xlfn.XLOOKUP(E116,'All Products'!D:D,'All Products'!H:H,FALSE)</f>
        <v>41.95</v>
      </c>
      <c r="J116" s="130">
        <f>ROUND(I116*Order_Quote!$L$8,2)</f>
        <v>41.95</v>
      </c>
      <c r="K116" s="75"/>
      <c r="L116" s="113"/>
      <c r="M116" s="171">
        <f t="shared" si="3"/>
        <v>0</v>
      </c>
      <c r="O116" s="265" t="str">
        <f>_xlfn.XLOOKUP(E116,'All Products'!D:D,'All Products'!I:I,FALSE)</f>
        <v>In Stock</v>
      </c>
      <c r="P116" s="265" t="str">
        <f>_xlfn.XLOOKUP(E116,'All Products'!D:D,'All Products'!J:J,FALSE)</f>
        <v>Manufactured</v>
      </c>
      <c r="Q116" s="266">
        <f>_xlfn.XLOOKUP(E116,'All Products'!D:D,'All Products'!K:K,FALSE)</f>
        <v>49081156107</v>
      </c>
      <c r="R116" s="266">
        <f>_xlfn.XLOOKUP(E116,'All Products'!D:D,'All Products'!L:L,FALSE)</f>
        <v>49081656102</v>
      </c>
      <c r="S116" s="266">
        <f>_xlfn.XLOOKUP(E116,'All Products'!D:D,'All Products'!M:M,FALSE)</f>
        <v>40049081156105</v>
      </c>
      <c r="T116" s="265">
        <f>_xlfn.XLOOKUP(E116,'All Products'!D:D,'All Products'!N:N,FALSE)</f>
        <v>9.4E-2</v>
      </c>
      <c r="U116" s="266">
        <f>_xlfn.XLOOKUP(E116,'All Products'!D:D,'All Products'!O:O,FALSE)</f>
        <v>10</v>
      </c>
      <c r="V116" s="265">
        <f>_xlfn.XLOOKUP(E116,'All Products'!D:D,'All Products'!P:P,FALSE)</f>
        <v>9.34</v>
      </c>
      <c r="W116" s="265">
        <f>_xlfn.XLOOKUP(E116,'All Products'!D:D,'All Products'!Q:Q,FALSE)</f>
        <v>0.5</v>
      </c>
    </row>
    <row r="117" spans="1:23">
      <c r="A117" s="101" t="str">
        <f>IF(K117&gt;0,COUNT($A$7:A116)
+COUNT('DWV PVC'!$A$9:$A$316)
+COUNT('DWV ABS'!$A$8:$A$116)
+COUNT('PVC SCH40'!$A$8:$A$424)
+COUNT('PVC SCH40 LD'!$A$8:$A$21)
+COUNT('Pool &amp; SPA Sweep Elbows'!$A$8:$A$11)
+COUNT('Pool &amp; SPA Pipe Extender'!$A$8:$A$10)+1,"")</f>
        <v/>
      </c>
      <c r="B117" s="610"/>
      <c r="C117" s="611"/>
      <c r="D117" s="142" t="str">
        <f>_xlfn.XLOOKUP(E117,'All Products'!D:D,'All Products'!C:C,FALSE)</f>
        <v>836-132</v>
      </c>
      <c r="E117" s="103">
        <v>100023614</v>
      </c>
      <c r="F117" s="413" t="str">
        <f>_xlfn.XLOOKUP(E117,'All Products'!D:D,'All Products'!E:E,FALSE)</f>
        <v>1X1-1/4 MALE ADAPTER MIPTXS SCH80</v>
      </c>
      <c r="G117" s="233">
        <f>_xlfn.XLOOKUP(E117,'All Products'!D:D,'All Products'!F:F,FALSE)</f>
        <v>125</v>
      </c>
      <c r="H117" s="196">
        <f>_xlfn.XLOOKUP(E117,'All Products'!D:D,'All Products'!G:G,FALSE)</f>
        <v>9375</v>
      </c>
      <c r="I117" s="415">
        <f>_xlfn.XLOOKUP(E117,'All Products'!D:D,'All Products'!H:H,FALSE)</f>
        <v>49.02</v>
      </c>
      <c r="J117" s="130">
        <f>ROUND(I117*Order_Quote!$L$8,2)</f>
        <v>49.02</v>
      </c>
      <c r="K117" s="75"/>
      <c r="L117" s="113"/>
      <c r="M117" s="171">
        <f t="shared" si="3"/>
        <v>0</v>
      </c>
      <c r="O117" s="265" t="str">
        <f>_xlfn.XLOOKUP(E117,'All Products'!D:D,'All Products'!I:I,FALSE)</f>
        <v>In Stock</v>
      </c>
      <c r="P117" s="265" t="str">
        <f>_xlfn.XLOOKUP(E117,'All Products'!D:D,'All Products'!J:J,FALSE)</f>
        <v>Manufactured</v>
      </c>
      <c r="Q117" s="266">
        <f>_xlfn.XLOOKUP(E117,'All Products'!D:D,'All Products'!K:K,FALSE)</f>
        <v>49081156084</v>
      </c>
      <c r="R117" s="266">
        <f>_xlfn.XLOOKUP(E117,'All Products'!D:D,'All Products'!L:L,FALSE)</f>
        <v>49081656089</v>
      </c>
      <c r="S117" s="266">
        <f>_xlfn.XLOOKUP(E117,'All Products'!D:D,'All Products'!M:M,FALSE)</f>
        <v>40049081156082</v>
      </c>
      <c r="T117" s="265">
        <f>_xlfn.XLOOKUP(E117,'All Products'!D:D,'All Products'!N:N,FALSE)</f>
        <v>0.18</v>
      </c>
      <c r="U117" s="266">
        <f>_xlfn.XLOOKUP(E117,'All Products'!D:D,'All Products'!O:O,FALSE)</f>
        <v>5</v>
      </c>
      <c r="V117" s="265">
        <f>_xlfn.XLOOKUP(E117,'All Products'!D:D,'All Products'!P:P,FALSE)</f>
        <v>22.62</v>
      </c>
      <c r="W117" s="265">
        <f>_xlfn.XLOOKUP(E117,'All Products'!D:D,'All Products'!Q:Q,FALSE)</f>
        <v>1.1000000000000001</v>
      </c>
    </row>
    <row r="118" spans="1:23">
      <c r="A118" s="101" t="str">
        <f>IF(K118&gt;0,COUNT($A$7:A117)
+COUNT('DWV PVC'!$A$9:$A$316)
+COUNT('DWV ABS'!$A$8:$A$116)
+COUNT('PVC SCH40'!$A$8:$A$424)
+COUNT('PVC SCH40 LD'!$A$8:$A$21)
+COUNT('Pool &amp; SPA Sweep Elbows'!$A$8:$A$11)
+COUNT('Pool &amp; SPA Pipe Extender'!$A$8:$A$10)+1,"")</f>
        <v/>
      </c>
      <c r="B118" s="610"/>
      <c r="C118" s="611"/>
      <c r="D118" s="142" t="str">
        <f>_xlfn.XLOOKUP(E118,'All Products'!D:D,'All Products'!C:C,FALSE)</f>
        <v>836-213</v>
      </c>
      <c r="E118" s="103">
        <v>100023620</v>
      </c>
      <c r="F118" s="413" t="str">
        <f>_xlfn.XLOOKUP(E118,'All Products'!D:D,'All Products'!E:E,FALSE)</f>
        <v>1-1/2X2 MALE ADAPTER MIPTXS SCH80</v>
      </c>
      <c r="G118" s="233">
        <f>_xlfn.XLOOKUP(E118,'All Products'!D:D,'All Products'!F:F,FALSE)</f>
        <v>50</v>
      </c>
      <c r="H118" s="196">
        <f>_xlfn.XLOOKUP(E118,'All Products'!D:D,'All Products'!G:G,FALSE)</f>
        <v>3750</v>
      </c>
      <c r="I118" s="415">
        <f>_xlfn.XLOOKUP(E118,'All Products'!D:D,'All Products'!H:H,FALSE)</f>
        <v>101.62</v>
      </c>
      <c r="J118" s="130">
        <f>ROUND(I118*Order_Quote!$L$8,2)</f>
        <v>101.62</v>
      </c>
      <c r="K118" s="75"/>
      <c r="L118" s="113"/>
      <c r="M118" s="171">
        <f t="shared" si="3"/>
        <v>0</v>
      </c>
      <c r="O118" s="265" t="str">
        <f>_xlfn.XLOOKUP(E118,'All Products'!D:D,'All Products'!I:I,FALSE)</f>
        <v>In Stock</v>
      </c>
      <c r="P118" s="265" t="str">
        <f>_xlfn.XLOOKUP(E118,'All Products'!D:D,'All Products'!J:J,FALSE)</f>
        <v>Manufactured</v>
      </c>
      <c r="Q118" s="266">
        <f>_xlfn.XLOOKUP(E118,'All Products'!D:D,'All Products'!K:K,FALSE)</f>
        <v>49081156206</v>
      </c>
      <c r="R118" s="266">
        <f>_xlfn.XLOOKUP(E118,'All Products'!D:D,'All Products'!L:L,FALSE)</f>
        <v>49081656201</v>
      </c>
      <c r="S118" s="266">
        <f>_xlfn.XLOOKUP(E118,'All Products'!D:D,'All Products'!M:M,FALSE)</f>
        <v>40049081156204</v>
      </c>
      <c r="T118" s="265">
        <f>_xlfn.XLOOKUP(E118,'All Products'!D:D,'All Products'!N:N,FALSE)</f>
        <v>0.35199999999999998</v>
      </c>
      <c r="U118" s="266">
        <f>_xlfn.XLOOKUP(E118,'All Products'!D:D,'All Products'!O:O,FALSE)</f>
        <v>5</v>
      </c>
      <c r="V118" s="265">
        <f>_xlfn.XLOOKUP(E118,'All Products'!D:D,'All Products'!P:P,FALSE)</f>
        <v>17.86</v>
      </c>
      <c r="W118" s="265">
        <f>_xlfn.XLOOKUP(E118,'All Products'!D:D,'All Products'!Q:Q,FALSE)</f>
        <v>1.1000000000000001</v>
      </c>
    </row>
    <row r="119" spans="1:23">
      <c r="A119" s="101" t="str">
        <f>IF(K119&gt;0,COUNT($A$7:A118)
+COUNT('DWV PVC'!$A$9:$A$316)
+COUNT('DWV ABS'!$A$8:$A$116)
+COUNT('PVC SCH40'!$A$8:$A$424)
+COUNT('PVC SCH40 LD'!$A$8:$A$21)
+COUNT('Pool &amp; SPA Sweep Elbows'!$A$8:$A$11)
+COUNT('Pool &amp; SPA Pipe Extender'!$A$8:$A$10)+1,"")</f>
        <v/>
      </c>
      <c r="B119" s="610"/>
      <c r="C119" s="611"/>
      <c r="D119" s="142" t="str">
        <f>_xlfn.XLOOKUP(E119,'All Products'!D:D,'All Products'!C:C,FALSE)</f>
        <v>836-251-2</v>
      </c>
      <c r="E119" s="103">
        <v>100023621</v>
      </c>
      <c r="F119" s="413" t="str">
        <f>_xlfn.XLOOKUP(E119,'All Products'!D:D,'All Products'!E:E,FALSE)</f>
        <v>2X1-1/2 FLUSH MALE ADAPTER MIPTXS</v>
      </c>
      <c r="G119" s="233">
        <f>_xlfn.XLOOKUP(E119,'All Products'!D:D,'All Products'!F:F,FALSE)</f>
        <v>50</v>
      </c>
      <c r="H119" s="196">
        <f>_xlfn.XLOOKUP(E119,'All Products'!D:D,'All Products'!G:G,FALSE)</f>
        <v>7500</v>
      </c>
      <c r="I119" s="415">
        <f>_xlfn.XLOOKUP(E119,'All Products'!D:D,'All Products'!H:H,FALSE)</f>
        <v>101.62</v>
      </c>
      <c r="J119" s="130">
        <f>ROUND(I119*Order_Quote!$L$8,2)</f>
        <v>101.62</v>
      </c>
      <c r="K119" s="75"/>
      <c r="L119" s="113"/>
      <c r="M119" s="171">
        <f t="shared" si="3"/>
        <v>0</v>
      </c>
      <c r="O119" s="265" t="str">
        <f>_xlfn.XLOOKUP(E119,'All Products'!D:D,'All Products'!I:I,FALSE)</f>
        <v>In Stock</v>
      </c>
      <c r="P119" s="265" t="str">
        <f>_xlfn.XLOOKUP(E119,'All Products'!D:D,'All Products'!J:J,FALSE)</f>
        <v>Manufactured</v>
      </c>
      <c r="Q119" s="266">
        <f>_xlfn.XLOOKUP(E119,'All Products'!D:D,'All Products'!K:K,FALSE)</f>
        <v>49081156299</v>
      </c>
      <c r="R119" s="266">
        <f>_xlfn.XLOOKUP(E119,'All Products'!D:D,'All Products'!L:L,FALSE)</f>
        <v>49081656294</v>
      </c>
      <c r="S119" s="266">
        <f>_xlfn.XLOOKUP(E119,'All Products'!D:D,'All Products'!M:M,FALSE)</f>
        <v>40049081156297</v>
      </c>
      <c r="T119" s="265">
        <f>_xlfn.XLOOKUP(E119,'All Products'!D:D,'All Products'!N:N,FALSE)</f>
        <v>0.186</v>
      </c>
      <c r="U119" s="266">
        <f>_xlfn.XLOOKUP(E119,'All Products'!D:D,'All Products'!O:O,FALSE)</f>
        <v>5</v>
      </c>
      <c r="V119" s="265">
        <f>_xlfn.XLOOKUP(E119,'All Products'!D:D,'All Products'!P:P,FALSE)</f>
        <v>9.16</v>
      </c>
      <c r="W119" s="265">
        <f>_xlfn.XLOOKUP(E119,'All Products'!D:D,'All Products'!Q:Q,FALSE)</f>
        <v>0.5</v>
      </c>
    </row>
    <row r="120" spans="1:23">
      <c r="A120" s="101" t="str">
        <f>IF(K120&gt;0,COUNT($A$7:A119)
+COUNT('DWV PVC'!$A$9:$A$316)
+COUNT('DWV ABS'!$A$8:$A$116)
+COUNT('PVC SCH40'!$A$8:$A$424)
+COUNT('PVC SCH40 LD'!$A$8:$A$21)
+COUNT('Pool &amp; SPA Sweep Elbows'!$A$8:$A$11)
+COUNT('Pool &amp; SPA Pipe Extender'!$A$8:$A$10)+1,"")</f>
        <v/>
      </c>
      <c r="B120" s="608"/>
      <c r="C120" s="609"/>
      <c r="D120" s="142" t="str">
        <f>_xlfn.XLOOKUP(E120,'All Products'!D:D,'All Products'!C:C,FALSE)</f>
        <v>837-072</v>
      </c>
      <c r="E120" s="103">
        <v>100023623</v>
      </c>
      <c r="F120" s="413" t="str">
        <f>_xlfn.XLOOKUP(E120,'All Products'!D:D,'All Products'!E:E,FALSE)</f>
        <v>1/2X1/4 RED BUSHING SPGXS SCH80</v>
      </c>
      <c r="G120" s="233">
        <f>_xlfn.XLOOKUP(E120,'All Products'!D:D,'All Products'!F:F,FALSE)</f>
        <v>500</v>
      </c>
      <c r="H120" s="196">
        <f>_xlfn.XLOOKUP(E120,'All Products'!D:D,'All Products'!G:G,FALSE)</f>
        <v>60000</v>
      </c>
      <c r="I120" s="415">
        <f>_xlfn.XLOOKUP(E120,'All Products'!D:D,'All Products'!H:H,FALSE)</f>
        <v>13.23</v>
      </c>
      <c r="J120" s="130">
        <f>ROUND(I120*Order_Quote!$L$8,2)</f>
        <v>13.23</v>
      </c>
      <c r="K120" s="75"/>
      <c r="L120" s="113"/>
      <c r="M120" s="171">
        <f t="shared" si="3"/>
        <v>0</v>
      </c>
      <c r="O120" s="265" t="str">
        <f>_xlfn.XLOOKUP(E120,'All Products'!D:D,'All Products'!I:I,FALSE)</f>
        <v>Within 3 Weeks</v>
      </c>
      <c r="P120" s="265" t="str">
        <f>_xlfn.XLOOKUP(E120,'All Products'!D:D,'All Products'!J:J,FALSE)</f>
        <v>Manufactured</v>
      </c>
      <c r="Q120" s="266">
        <f>_xlfn.XLOOKUP(E120,'All Products'!D:D,'All Products'!K:K,FALSE)</f>
        <v>49081156602</v>
      </c>
      <c r="R120" s="266">
        <f>_xlfn.XLOOKUP(E120,'All Products'!D:D,'All Products'!L:L,FALSE)</f>
        <v>49081656607</v>
      </c>
      <c r="S120" s="266">
        <f>_xlfn.XLOOKUP(E120,'All Products'!D:D,'All Products'!M:M,FALSE)</f>
        <v>40049081156600</v>
      </c>
      <c r="T120" s="265">
        <f>_xlfn.XLOOKUP(E120,'All Products'!D:D,'All Products'!N:N,FALSE)</f>
        <v>2.1999999999999999E-2</v>
      </c>
      <c r="U120" s="266">
        <f>_xlfn.XLOOKUP(E120,'All Products'!D:D,'All Products'!O:O,FALSE)</f>
        <v>10</v>
      </c>
      <c r="V120" s="265">
        <f>_xlfn.XLOOKUP(E120,'All Products'!D:D,'All Products'!P:P,FALSE)</f>
        <v>10.9</v>
      </c>
      <c r="W120" s="265">
        <f>_xlfn.XLOOKUP(E120,'All Products'!D:D,'All Products'!Q:Q,FALSE)</f>
        <v>0.65</v>
      </c>
    </row>
    <row r="121" spans="1:23">
      <c r="A121" s="101" t="str">
        <f>IF(K121&gt;0,COUNT($A$7:A120)
+COUNT('DWV PVC'!$A$9:$A$316)
+COUNT('DWV ABS'!$A$8:$A$116)
+COUNT('PVC SCH40'!$A$8:$A$424)
+COUNT('PVC SCH40 LD'!$A$8:$A$21)
+COUNT('Pool &amp; SPA Sweep Elbows'!$A$8:$A$11)
+COUNT('Pool &amp; SPA Pipe Extender'!$A$8:$A$10)+1,"")</f>
        <v/>
      </c>
      <c r="B121" s="610"/>
      <c r="C121" s="611"/>
      <c r="D121" s="142" t="str">
        <f>_xlfn.XLOOKUP(E121,'All Products'!D:D,'All Products'!C:C,FALSE)</f>
        <v>837-073</v>
      </c>
      <c r="E121" s="103">
        <v>100023624</v>
      </c>
      <c r="F121" s="413" t="str">
        <f>_xlfn.XLOOKUP(E121,'All Products'!D:D,'All Products'!E:E,FALSE)</f>
        <v>1/2X3/8 RED BUSHING SPGXS SCH80</v>
      </c>
      <c r="G121" s="233">
        <f>_xlfn.XLOOKUP(E121,'All Products'!D:D,'All Products'!F:F,FALSE)</f>
        <v>500</v>
      </c>
      <c r="H121" s="196">
        <f>_xlfn.XLOOKUP(E121,'All Products'!D:D,'All Products'!G:G,FALSE)</f>
        <v>75000</v>
      </c>
      <c r="I121" s="415">
        <f>_xlfn.XLOOKUP(E121,'All Products'!D:D,'All Products'!H:H,FALSE)</f>
        <v>13.23</v>
      </c>
      <c r="J121" s="130">
        <f>ROUND(I121*Order_Quote!$L$8,2)</f>
        <v>13.23</v>
      </c>
      <c r="K121" s="75"/>
      <c r="L121" s="113"/>
      <c r="M121" s="171">
        <f t="shared" si="3"/>
        <v>0</v>
      </c>
      <c r="O121" s="265" t="str">
        <f>_xlfn.XLOOKUP(E121,'All Products'!D:D,'All Products'!I:I,FALSE)</f>
        <v>In Stock</v>
      </c>
      <c r="P121" s="265" t="str">
        <f>_xlfn.XLOOKUP(E121,'All Products'!D:D,'All Products'!J:J,FALSE)</f>
        <v>Manufactured</v>
      </c>
      <c r="Q121" s="266">
        <f>_xlfn.XLOOKUP(E121,'All Products'!D:D,'All Products'!K:K,FALSE)</f>
        <v>49081156589</v>
      </c>
      <c r="R121" s="266">
        <f>_xlfn.XLOOKUP(E121,'All Products'!D:D,'All Products'!L:L,FALSE)</f>
        <v>49081656584</v>
      </c>
      <c r="S121" s="266">
        <f>_xlfn.XLOOKUP(E121,'All Products'!D:D,'All Products'!M:M,FALSE)</f>
        <v>40049081156587</v>
      </c>
      <c r="T121" s="265">
        <f>_xlfn.XLOOKUP(E121,'All Products'!D:D,'All Products'!N:N,FALSE)</f>
        <v>1.4999999999999999E-2</v>
      </c>
      <c r="U121" s="266">
        <f>_xlfn.XLOOKUP(E121,'All Products'!D:D,'All Products'!O:O,FALSE)</f>
        <v>10</v>
      </c>
      <c r="V121" s="265">
        <f>_xlfn.XLOOKUP(E121,'All Products'!D:D,'All Products'!P:P,FALSE)</f>
        <v>7.75</v>
      </c>
      <c r="W121" s="265">
        <f>_xlfn.XLOOKUP(E121,'All Products'!D:D,'All Products'!Q:Q,FALSE)</f>
        <v>0.5</v>
      </c>
    </row>
    <row r="122" spans="1:23">
      <c r="A122" s="101" t="str">
        <f>IF(K122&gt;0,COUNT($A$7:A121)
+COUNT('DWV PVC'!$A$9:$A$316)
+COUNT('DWV ABS'!$A$8:$A$116)
+COUNT('PVC SCH40'!$A$8:$A$424)
+COUNT('PVC SCH40 LD'!$A$8:$A$21)
+COUNT('Pool &amp; SPA Sweep Elbows'!$A$8:$A$11)
+COUNT('Pool &amp; SPA Pipe Extender'!$A$8:$A$10)+1,"")</f>
        <v/>
      </c>
      <c r="B122" s="610"/>
      <c r="C122" s="611"/>
      <c r="D122" s="142" t="str">
        <f>_xlfn.XLOOKUP(E122,'All Products'!D:D,'All Products'!C:C,FALSE)</f>
        <v>837-101</v>
      </c>
      <c r="E122" s="103">
        <v>100023625</v>
      </c>
      <c r="F122" s="413" t="str">
        <f>_xlfn.XLOOKUP(E122,'All Products'!D:D,'All Products'!E:E,FALSE)</f>
        <v>3/4X1/2 RED BUSHING SPGXS SCH80</v>
      </c>
      <c r="G122" s="233">
        <f>_xlfn.XLOOKUP(E122,'All Products'!D:D,'All Products'!F:F,FALSE)</f>
        <v>250</v>
      </c>
      <c r="H122" s="196">
        <f>_xlfn.XLOOKUP(E122,'All Products'!D:D,'All Products'!G:G,FALSE)</f>
        <v>37500</v>
      </c>
      <c r="I122" s="415">
        <f>_xlfn.XLOOKUP(E122,'All Products'!D:D,'All Products'!H:H,FALSE)</f>
        <v>4.8499999999999996</v>
      </c>
      <c r="J122" s="130">
        <f>ROUND(I122*Order_Quote!$L$8,2)</f>
        <v>4.8499999999999996</v>
      </c>
      <c r="K122" s="75"/>
      <c r="L122" s="113"/>
      <c r="M122" s="171">
        <f t="shared" si="3"/>
        <v>0</v>
      </c>
      <c r="O122" s="265" t="str">
        <f>_xlfn.XLOOKUP(E122,'All Products'!D:D,'All Products'!I:I,FALSE)</f>
        <v>In Stock</v>
      </c>
      <c r="P122" s="265" t="str">
        <f>_xlfn.XLOOKUP(E122,'All Products'!D:D,'All Products'!J:J,FALSE)</f>
        <v>Manufactured</v>
      </c>
      <c r="Q122" s="266">
        <f>_xlfn.XLOOKUP(E122,'All Products'!D:D,'All Products'!K:K,FALSE)</f>
        <v>49081156626</v>
      </c>
      <c r="R122" s="266">
        <f>_xlfn.XLOOKUP(E122,'All Products'!D:D,'All Products'!L:L,FALSE)</f>
        <v>49081656621</v>
      </c>
      <c r="S122" s="266">
        <f>_xlfn.XLOOKUP(E122,'All Products'!D:D,'All Products'!M:M,FALSE)</f>
        <v>40049081156624</v>
      </c>
      <c r="T122" s="265">
        <f>_xlfn.XLOOKUP(E122,'All Products'!D:D,'All Products'!N:N,FALSE)</f>
        <v>2.3E-2</v>
      </c>
      <c r="U122" s="266">
        <f>_xlfn.XLOOKUP(E122,'All Products'!D:D,'All Products'!O:O,FALSE)</f>
        <v>10</v>
      </c>
      <c r="V122" s="265">
        <f>_xlfn.XLOOKUP(E122,'All Products'!D:D,'All Products'!P:P,FALSE)</f>
        <v>6.57</v>
      </c>
      <c r="W122" s="265">
        <f>_xlfn.XLOOKUP(E122,'All Products'!D:D,'All Products'!Q:Q,FALSE)</f>
        <v>0.5</v>
      </c>
    </row>
    <row r="123" spans="1:23">
      <c r="A123" s="101" t="str">
        <f>IF(K123&gt;0,COUNT($A$7:A122)
+COUNT('DWV PVC'!$A$9:$A$316)
+COUNT('DWV ABS'!$A$8:$A$116)
+COUNT('PVC SCH40'!$A$8:$A$424)
+COUNT('PVC SCH40 LD'!$A$8:$A$21)
+COUNT('Pool &amp; SPA Sweep Elbows'!$A$8:$A$11)
+COUNT('Pool &amp; SPA Pipe Extender'!$A$8:$A$10)+1,"")</f>
        <v/>
      </c>
      <c r="B123" s="610"/>
      <c r="C123" s="611"/>
      <c r="D123" s="142" t="str">
        <f>_xlfn.XLOOKUP(E123,'All Products'!D:D,'All Products'!C:C,FALSE)</f>
        <v>837-130</v>
      </c>
      <c r="E123" s="103">
        <v>100023626</v>
      </c>
      <c r="F123" s="413" t="str">
        <f>_xlfn.XLOOKUP(E123,'All Products'!D:D,'All Products'!E:E,FALSE)</f>
        <v>1X1/2 RED BUSHING SPGXS SCH80</v>
      </c>
      <c r="G123" s="233">
        <f>_xlfn.XLOOKUP(E123,'All Products'!D:D,'All Products'!F:F,FALSE)</f>
        <v>250</v>
      </c>
      <c r="H123" s="196">
        <f>_xlfn.XLOOKUP(E123,'All Products'!D:D,'All Products'!G:G,FALSE)</f>
        <v>30000</v>
      </c>
      <c r="I123" s="415">
        <f>_xlfn.XLOOKUP(E123,'All Products'!D:D,'All Products'!H:H,FALSE)</f>
        <v>13.89</v>
      </c>
      <c r="J123" s="130">
        <f>ROUND(I123*Order_Quote!$L$8,2)</f>
        <v>13.89</v>
      </c>
      <c r="K123" s="75"/>
      <c r="L123" s="113"/>
      <c r="M123" s="171">
        <f t="shared" si="3"/>
        <v>0</v>
      </c>
      <c r="O123" s="265" t="str">
        <f>_xlfn.XLOOKUP(E123,'All Products'!D:D,'All Products'!I:I,FALSE)</f>
        <v>In Stock</v>
      </c>
      <c r="P123" s="265" t="str">
        <f>_xlfn.XLOOKUP(E123,'All Products'!D:D,'All Products'!J:J,FALSE)</f>
        <v>Manufactured</v>
      </c>
      <c r="Q123" s="266">
        <f>_xlfn.XLOOKUP(E123,'All Products'!D:D,'All Products'!K:K,FALSE)</f>
        <v>49081156701</v>
      </c>
      <c r="R123" s="266">
        <f>_xlfn.XLOOKUP(E123,'All Products'!D:D,'All Products'!L:L,FALSE)</f>
        <v>49081656706</v>
      </c>
      <c r="S123" s="266">
        <f>_xlfn.XLOOKUP(E123,'All Products'!D:D,'All Products'!M:M,FALSE)</f>
        <v>40049081156709</v>
      </c>
      <c r="T123" s="265">
        <f>_xlfn.XLOOKUP(E123,'All Products'!D:D,'All Products'!N:N,FALSE)</f>
        <v>5.8999999999999997E-2</v>
      </c>
      <c r="U123" s="266">
        <f>_xlfn.XLOOKUP(E123,'All Products'!D:D,'All Products'!O:O,FALSE)</f>
        <v>10</v>
      </c>
      <c r="V123" s="265">
        <f>_xlfn.XLOOKUP(E123,'All Products'!D:D,'All Products'!P:P,FALSE)</f>
        <v>15.43</v>
      </c>
      <c r="W123" s="265">
        <f>_xlfn.XLOOKUP(E123,'All Products'!D:D,'All Products'!Q:Q,FALSE)</f>
        <v>0.65</v>
      </c>
    </row>
    <row r="124" spans="1:23">
      <c r="A124" s="101" t="str">
        <f>IF(K124&gt;0,COUNT($A$7:A123)
+COUNT('DWV PVC'!$A$9:$A$316)
+COUNT('DWV ABS'!$A$8:$A$116)
+COUNT('PVC SCH40'!$A$8:$A$424)
+COUNT('PVC SCH40 LD'!$A$8:$A$21)
+COUNT('Pool &amp; SPA Sweep Elbows'!$A$8:$A$11)
+COUNT('Pool &amp; SPA Pipe Extender'!$A$8:$A$10)+1,"")</f>
        <v/>
      </c>
      <c r="B124" s="610"/>
      <c r="C124" s="611"/>
      <c r="D124" s="142" t="str">
        <f>_xlfn.XLOOKUP(E124,'All Products'!D:D,'All Products'!C:C,FALSE)</f>
        <v>837-131</v>
      </c>
      <c r="E124" s="103">
        <v>100023627</v>
      </c>
      <c r="F124" s="413" t="str">
        <f>_xlfn.XLOOKUP(E124,'All Products'!D:D,'All Products'!E:E,FALSE)</f>
        <v>1X3/4 RED BUSHING SPGXS SCH80</v>
      </c>
      <c r="G124" s="233">
        <f>_xlfn.XLOOKUP(E124,'All Products'!D:D,'All Products'!F:F,FALSE)</f>
        <v>250</v>
      </c>
      <c r="H124" s="196">
        <f>_xlfn.XLOOKUP(E124,'All Products'!D:D,'All Products'!G:G,FALSE)</f>
        <v>30000</v>
      </c>
      <c r="I124" s="415">
        <f>_xlfn.XLOOKUP(E124,'All Products'!D:D,'All Products'!H:H,FALSE)</f>
        <v>13.89</v>
      </c>
      <c r="J124" s="130">
        <f>ROUND(I124*Order_Quote!$L$8,2)</f>
        <v>13.89</v>
      </c>
      <c r="K124" s="75"/>
      <c r="L124" s="113"/>
      <c r="M124" s="171">
        <f t="shared" si="3"/>
        <v>0</v>
      </c>
      <c r="O124" s="265" t="str">
        <f>_xlfn.XLOOKUP(E124,'All Products'!D:D,'All Products'!I:I,FALSE)</f>
        <v>In Stock</v>
      </c>
      <c r="P124" s="265" t="str">
        <f>_xlfn.XLOOKUP(E124,'All Products'!D:D,'All Products'!J:J,FALSE)</f>
        <v>Manufactured</v>
      </c>
      <c r="Q124" s="266">
        <f>_xlfn.XLOOKUP(E124,'All Products'!D:D,'All Products'!K:K,FALSE)</f>
        <v>49081156688</v>
      </c>
      <c r="R124" s="266">
        <f>_xlfn.XLOOKUP(E124,'All Products'!D:D,'All Products'!L:L,FALSE)</f>
        <v>49081656683</v>
      </c>
      <c r="S124" s="266">
        <f>_xlfn.XLOOKUP(E124,'All Products'!D:D,'All Products'!M:M,FALSE)</f>
        <v>40049081156686</v>
      </c>
      <c r="T124" s="265">
        <f>_xlfn.XLOOKUP(E124,'All Products'!D:D,'All Products'!N:N,FALSE)</f>
        <v>4.2000000000000003E-2</v>
      </c>
      <c r="U124" s="266">
        <f>_xlfn.XLOOKUP(E124,'All Products'!D:D,'All Products'!O:O,FALSE)</f>
        <v>10</v>
      </c>
      <c r="V124" s="265">
        <f>_xlfn.XLOOKUP(E124,'All Products'!D:D,'All Products'!P:P,FALSE)</f>
        <v>10.64</v>
      </c>
      <c r="W124" s="265">
        <f>_xlfn.XLOOKUP(E124,'All Products'!D:D,'All Products'!Q:Q,FALSE)</f>
        <v>0.65</v>
      </c>
    </row>
    <row r="125" spans="1:23">
      <c r="A125" s="101" t="str">
        <f>IF(K125&gt;0,COUNT($A$7:A124)
+COUNT('DWV PVC'!$A$9:$A$316)
+COUNT('DWV ABS'!$A$8:$A$116)
+COUNT('PVC SCH40'!$A$8:$A$424)
+COUNT('PVC SCH40 LD'!$A$8:$A$21)
+COUNT('Pool &amp; SPA Sweep Elbows'!$A$8:$A$11)
+COUNT('Pool &amp; SPA Pipe Extender'!$A$8:$A$10)+1,"")</f>
        <v/>
      </c>
      <c r="B125" s="610"/>
      <c r="C125" s="611"/>
      <c r="D125" s="142" t="str">
        <f>_xlfn.XLOOKUP(E125,'All Products'!D:D,'All Products'!C:C,FALSE)</f>
        <v>837-166</v>
      </c>
      <c r="E125" s="103">
        <v>100023628</v>
      </c>
      <c r="F125" s="413" t="str">
        <f>_xlfn.XLOOKUP(E125,'All Products'!D:D,'All Products'!E:E,FALSE)</f>
        <v>1-1/4X1/2 RED BUSHING SPGXS SCH80</v>
      </c>
      <c r="G125" s="233">
        <f>_xlfn.XLOOKUP(E125,'All Products'!D:D,'All Products'!F:F,FALSE)</f>
        <v>100</v>
      </c>
      <c r="H125" s="196">
        <f>_xlfn.XLOOKUP(E125,'All Products'!D:D,'All Products'!G:G,FALSE)</f>
        <v>15000</v>
      </c>
      <c r="I125" s="415">
        <f>_xlfn.XLOOKUP(E125,'All Products'!D:D,'All Products'!H:H,FALSE)</f>
        <v>21.71</v>
      </c>
      <c r="J125" s="130">
        <f>ROUND(I125*Order_Quote!$L$8,2)</f>
        <v>21.71</v>
      </c>
      <c r="K125" s="75"/>
      <c r="L125" s="113"/>
      <c r="M125" s="171">
        <f t="shared" si="3"/>
        <v>0</v>
      </c>
      <c r="O125" s="265" t="str">
        <f>_xlfn.XLOOKUP(E125,'All Products'!D:D,'All Products'!I:I,FALSE)</f>
        <v>Within 3 Weeks</v>
      </c>
      <c r="P125" s="265" t="str">
        <f>_xlfn.XLOOKUP(E125,'All Products'!D:D,'All Products'!J:J,FALSE)</f>
        <v>Manufactured</v>
      </c>
      <c r="Q125" s="266">
        <f>_xlfn.XLOOKUP(E125,'All Products'!D:D,'All Products'!K:K,FALSE)</f>
        <v>49081156787</v>
      </c>
      <c r="R125" s="266">
        <f>_xlfn.XLOOKUP(E125,'All Products'!D:D,'All Products'!L:L,FALSE)</f>
        <v>49081656782</v>
      </c>
      <c r="S125" s="266">
        <f>_xlfn.XLOOKUP(E125,'All Products'!D:D,'All Products'!M:M,FALSE)</f>
        <v>40049081156785</v>
      </c>
      <c r="T125" s="265">
        <f>_xlfn.XLOOKUP(E125,'All Products'!D:D,'All Products'!N:N,FALSE)</f>
        <v>0.108</v>
      </c>
      <c r="U125" s="266">
        <f>_xlfn.XLOOKUP(E125,'All Products'!D:D,'All Products'!O:O,FALSE)</f>
        <v>10</v>
      </c>
      <c r="V125" s="265">
        <f>_xlfn.XLOOKUP(E125,'All Products'!D:D,'All Products'!P:P,FALSE)</f>
        <v>11.76</v>
      </c>
      <c r="W125" s="265">
        <f>_xlfn.XLOOKUP(E125,'All Products'!D:D,'All Products'!Q:Q,FALSE)</f>
        <v>0.5</v>
      </c>
    </row>
    <row r="126" spans="1:23">
      <c r="A126" s="101" t="str">
        <f>IF(K126&gt;0,COUNT($A$7:A125)
+COUNT('DWV PVC'!$A$9:$A$316)
+COUNT('DWV ABS'!$A$8:$A$116)
+COUNT('PVC SCH40'!$A$8:$A$424)
+COUNT('PVC SCH40 LD'!$A$8:$A$21)
+COUNT('Pool &amp; SPA Sweep Elbows'!$A$8:$A$11)
+COUNT('Pool &amp; SPA Pipe Extender'!$A$8:$A$10)+1,"")</f>
        <v/>
      </c>
      <c r="B126" s="610"/>
      <c r="C126" s="611"/>
      <c r="D126" s="142" t="str">
        <f>_xlfn.XLOOKUP(E126,'All Products'!D:D,'All Products'!C:C,FALSE)</f>
        <v>837-167</v>
      </c>
      <c r="E126" s="103">
        <v>100023629</v>
      </c>
      <c r="F126" s="413" t="str">
        <f>_xlfn.XLOOKUP(E126,'All Products'!D:D,'All Products'!E:E,FALSE)</f>
        <v>1-1/4X3/4 RED BUSHING SPGXS SCH80</v>
      </c>
      <c r="G126" s="233">
        <f>_xlfn.XLOOKUP(E126,'All Products'!D:D,'All Products'!F:F,FALSE)</f>
        <v>100</v>
      </c>
      <c r="H126" s="196">
        <f>_xlfn.XLOOKUP(E126,'All Products'!D:D,'All Products'!G:G,FALSE)</f>
        <v>15000</v>
      </c>
      <c r="I126" s="415">
        <f>_xlfn.XLOOKUP(E126,'All Products'!D:D,'All Products'!H:H,FALSE)</f>
        <v>21.71</v>
      </c>
      <c r="J126" s="130">
        <f>ROUND(I126*Order_Quote!$L$8,2)</f>
        <v>21.71</v>
      </c>
      <c r="K126" s="75"/>
      <c r="L126" s="113"/>
      <c r="M126" s="171">
        <f t="shared" si="3"/>
        <v>0</v>
      </c>
      <c r="O126" s="265" t="str">
        <f>_xlfn.XLOOKUP(E126,'All Products'!D:D,'All Products'!I:I,FALSE)</f>
        <v>In Stock</v>
      </c>
      <c r="P126" s="265" t="str">
        <f>_xlfn.XLOOKUP(E126,'All Products'!D:D,'All Products'!J:J,FALSE)</f>
        <v>Manufactured</v>
      </c>
      <c r="Q126" s="266">
        <f>_xlfn.XLOOKUP(E126,'All Products'!D:D,'All Products'!K:K,FALSE)</f>
        <v>49081156763</v>
      </c>
      <c r="R126" s="266">
        <f>_xlfn.XLOOKUP(E126,'All Products'!D:D,'All Products'!L:L,FALSE)</f>
        <v>49081656768</v>
      </c>
      <c r="S126" s="266">
        <f>_xlfn.XLOOKUP(E126,'All Products'!D:D,'All Products'!M:M,FALSE)</f>
        <v>40049081156761</v>
      </c>
      <c r="T126" s="265">
        <f>_xlfn.XLOOKUP(E126,'All Products'!D:D,'All Products'!N:N,FALSE)</f>
        <v>0.10299999999999999</v>
      </c>
      <c r="U126" s="266">
        <f>_xlfn.XLOOKUP(E126,'All Products'!D:D,'All Products'!O:O,FALSE)</f>
        <v>10</v>
      </c>
      <c r="V126" s="265">
        <f>_xlfn.XLOOKUP(E126,'All Products'!D:D,'All Products'!P:P,FALSE)</f>
        <v>9.2100000000000009</v>
      </c>
      <c r="W126" s="265">
        <f>_xlfn.XLOOKUP(E126,'All Products'!D:D,'All Products'!Q:Q,FALSE)</f>
        <v>0.5</v>
      </c>
    </row>
    <row r="127" spans="1:23">
      <c r="A127" s="101" t="str">
        <f>IF(K127&gt;0,COUNT($A$7:A126)
+COUNT('DWV PVC'!$A$9:$A$316)
+COUNT('DWV ABS'!$A$8:$A$116)
+COUNT('PVC SCH40'!$A$8:$A$424)
+COUNT('PVC SCH40 LD'!$A$8:$A$21)
+COUNT('Pool &amp; SPA Sweep Elbows'!$A$8:$A$11)
+COUNT('Pool &amp; SPA Pipe Extender'!$A$8:$A$10)+1,"")</f>
        <v/>
      </c>
      <c r="B127" s="610"/>
      <c r="C127" s="611"/>
      <c r="D127" s="142" t="str">
        <f>_xlfn.XLOOKUP(E127,'All Products'!D:D,'All Products'!C:C,FALSE)</f>
        <v>837-168</v>
      </c>
      <c r="E127" s="103">
        <v>100023630</v>
      </c>
      <c r="F127" s="413" t="str">
        <f>_xlfn.XLOOKUP(E127,'All Products'!D:D,'All Products'!E:E,FALSE)</f>
        <v>1-1/4X1 RED BUSHING SPGXS SCH80</v>
      </c>
      <c r="G127" s="233">
        <f>_xlfn.XLOOKUP(E127,'All Products'!D:D,'All Products'!F:F,FALSE)</f>
        <v>150</v>
      </c>
      <c r="H127" s="196">
        <f>_xlfn.XLOOKUP(E127,'All Products'!D:D,'All Products'!G:G,FALSE)</f>
        <v>18000</v>
      </c>
      <c r="I127" s="415">
        <f>_xlfn.XLOOKUP(E127,'All Products'!D:D,'All Products'!H:H,FALSE)</f>
        <v>21.71</v>
      </c>
      <c r="J127" s="130">
        <f>ROUND(I127*Order_Quote!$L$8,2)</f>
        <v>21.71</v>
      </c>
      <c r="K127" s="75"/>
      <c r="L127" s="113"/>
      <c r="M127" s="171">
        <f t="shared" si="3"/>
        <v>0</v>
      </c>
      <c r="O127" s="265" t="str">
        <f>_xlfn.XLOOKUP(E127,'All Products'!D:D,'All Products'!I:I,FALSE)</f>
        <v>In Stock</v>
      </c>
      <c r="P127" s="265" t="str">
        <f>_xlfn.XLOOKUP(E127,'All Products'!D:D,'All Products'!J:J,FALSE)</f>
        <v>Manufactured</v>
      </c>
      <c r="Q127" s="266">
        <f>_xlfn.XLOOKUP(E127,'All Products'!D:D,'All Products'!K:K,FALSE)</f>
        <v>49081156749</v>
      </c>
      <c r="R127" s="266">
        <f>_xlfn.XLOOKUP(E127,'All Products'!D:D,'All Products'!L:L,FALSE)</f>
        <v>49081656744</v>
      </c>
      <c r="S127" s="266">
        <f>_xlfn.XLOOKUP(E127,'All Products'!D:D,'All Products'!M:M,FALSE)</f>
        <v>40049081156747</v>
      </c>
      <c r="T127" s="265">
        <f>_xlfn.XLOOKUP(E127,'All Products'!D:D,'All Products'!N:N,FALSE)</f>
        <v>7.0000000000000007E-2</v>
      </c>
      <c r="U127" s="266">
        <f>_xlfn.XLOOKUP(E127,'All Products'!D:D,'All Products'!O:O,FALSE)</f>
        <v>10</v>
      </c>
      <c r="V127" s="265">
        <f>_xlfn.XLOOKUP(E127,'All Products'!D:D,'All Products'!P:P,FALSE)</f>
        <v>9.19</v>
      </c>
      <c r="W127" s="265">
        <f>_xlfn.XLOOKUP(E127,'All Products'!D:D,'All Products'!Q:Q,FALSE)</f>
        <v>0.65</v>
      </c>
    </row>
    <row r="128" spans="1:23">
      <c r="A128" s="101" t="str">
        <f>IF(K128&gt;0,COUNT($A$7:A127)
+COUNT('DWV PVC'!$A$9:$A$316)
+COUNT('DWV ABS'!$A$8:$A$116)
+COUNT('PVC SCH40'!$A$8:$A$424)
+COUNT('PVC SCH40 LD'!$A$8:$A$21)
+COUNT('Pool &amp; SPA Sweep Elbows'!$A$8:$A$11)
+COUNT('Pool &amp; SPA Pipe Extender'!$A$8:$A$10)+1,"")</f>
        <v/>
      </c>
      <c r="B128" s="610"/>
      <c r="C128" s="611"/>
      <c r="D128" s="142" t="str">
        <f>_xlfn.XLOOKUP(E128,'All Products'!D:D,'All Products'!C:C,FALSE)</f>
        <v>837-209</v>
      </c>
      <c r="E128" s="103">
        <v>100023631</v>
      </c>
      <c r="F128" s="413" t="str">
        <f>_xlfn.XLOOKUP(E128,'All Products'!D:D,'All Products'!E:E,FALSE)</f>
        <v>1-1/2X1/2 RED BUSHING SPGXS SCH80</v>
      </c>
      <c r="G128" s="233">
        <f>_xlfn.XLOOKUP(E128,'All Products'!D:D,'All Products'!F:F,FALSE)</f>
        <v>100</v>
      </c>
      <c r="H128" s="196">
        <f>_xlfn.XLOOKUP(E128,'All Products'!D:D,'All Products'!G:G,FALSE)</f>
        <v>12000</v>
      </c>
      <c r="I128" s="415">
        <f>_xlfn.XLOOKUP(E128,'All Products'!D:D,'All Products'!H:H,FALSE)</f>
        <v>29.52</v>
      </c>
      <c r="J128" s="130">
        <f>ROUND(I128*Order_Quote!$L$8,2)</f>
        <v>29.52</v>
      </c>
      <c r="K128" s="75"/>
      <c r="L128" s="113"/>
      <c r="M128" s="171">
        <f t="shared" si="3"/>
        <v>0</v>
      </c>
      <c r="O128" s="265" t="str">
        <f>_xlfn.XLOOKUP(E128,'All Products'!D:D,'All Products'!I:I,FALSE)</f>
        <v>In Stock</v>
      </c>
      <c r="P128" s="265" t="str">
        <f>_xlfn.XLOOKUP(E128,'All Products'!D:D,'All Products'!J:J,FALSE)</f>
        <v>Manufactured</v>
      </c>
      <c r="Q128" s="266">
        <f>_xlfn.XLOOKUP(E128,'All Products'!D:D,'All Products'!K:K,FALSE)</f>
        <v>49081156886</v>
      </c>
      <c r="R128" s="266">
        <f>_xlfn.XLOOKUP(E128,'All Products'!D:D,'All Products'!L:L,FALSE)</f>
        <v>49081656881</v>
      </c>
      <c r="S128" s="266">
        <f>_xlfn.XLOOKUP(E128,'All Products'!D:D,'All Products'!M:M,FALSE)</f>
        <v>40049081156884</v>
      </c>
      <c r="T128" s="265">
        <f>_xlfn.XLOOKUP(E128,'All Products'!D:D,'All Products'!N:N,FALSE)</f>
        <v>0.151</v>
      </c>
      <c r="U128" s="266">
        <f>_xlfn.XLOOKUP(E128,'All Products'!D:D,'All Products'!O:O,FALSE)</f>
        <v>10</v>
      </c>
      <c r="V128" s="265">
        <f>_xlfn.XLOOKUP(E128,'All Products'!D:D,'All Products'!P:P,FALSE)</f>
        <v>15.01</v>
      </c>
      <c r="W128" s="265">
        <f>_xlfn.XLOOKUP(E128,'All Products'!D:D,'All Products'!Q:Q,FALSE)</f>
        <v>0.65</v>
      </c>
    </row>
    <row r="129" spans="1:23">
      <c r="A129" s="101" t="str">
        <f>IF(K129&gt;0,COUNT($A$7:A128)
+COUNT('DWV PVC'!$A$9:$A$316)
+COUNT('DWV ABS'!$A$8:$A$116)
+COUNT('PVC SCH40'!$A$8:$A$424)
+COUNT('PVC SCH40 LD'!$A$8:$A$21)
+COUNT('Pool &amp; SPA Sweep Elbows'!$A$8:$A$11)
+COUNT('Pool &amp; SPA Pipe Extender'!$A$8:$A$10)+1,"")</f>
        <v/>
      </c>
      <c r="B129" s="610"/>
      <c r="C129" s="611"/>
      <c r="D129" s="142" t="str">
        <f>_xlfn.XLOOKUP(E129,'All Products'!D:D,'All Products'!C:C,FALSE)</f>
        <v>837-210</v>
      </c>
      <c r="E129" s="103">
        <v>100023632</v>
      </c>
      <c r="F129" s="413" t="str">
        <f>_xlfn.XLOOKUP(E129,'All Products'!D:D,'All Products'!E:E,FALSE)</f>
        <v>1-1/2X3/4 RED BUSHING SPGXS SCH80</v>
      </c>
      <c r="G129" s="233">
        <f>_xlfn.XLOOKUP(E129,'All Products'!D:D,'All Products'!F:F,FALSE)</f>
        <v>100</v>
      </c>
      <c r="H129" s="196">
        <f>_xlfn.XLOOKUP(E129,'All Products'!D:D,'All Products'!G:G,FALSE)</f>
        <v>12000</v>
      </c>
      <c r="I129" s="415">
        <f>_xlfn.XLOOKUP(E129,'All Products'!D:D,'All Products'!H:H,FALSE)</f>
        <v>29.52</v>
      </c>
      <c r="J129" s="130">
        <f>ROUND(I129*Order_Quote!$L$8,2)</f>
        <v>29.52</v>
      </c>
      <c r="K129" s="75"/>
      <c r="L129" s="113"/>
      <c r="M129" s="171">
        <f t="shared" si="3"/>
        <v>0</v>
      </c>
      <c r="O129" s="265" t="str">
        <f>_xlfn.XLOOKUP(E129,'All Products'!D:D,'All Products'!I:I,FALSE)</f>
        <v>In Stock</v>
      </c>
      <c r="P129" s="265" t="str">
        <f>_xlfn.XLOOKUP(E129,'All Products'!D:D,'All Products'!J:J,FALSE)</f>
        <v>Manufactured</v>
      </c>
      <c r="Q129" s="266">
        <f>_xlfn.XLOOKUP(E129,'All Products'!D:D,'All Products'!K:K,FALSE)</f>
        <v>49081156862</v>
      </c>
      <c r="R129" s="266">
        <f>_xlfn.XLOOKUP(E129,'All Products'!D:D,'All Products'!L:L,FALSE)</f>
        <v>49081656867</v>
      </c>
      <c r="S129" s="266">
        <f>_xlfn.XLOOKUP(E129,'All Products'!D:D,'All Products'!M:M,FALSE)</f>
        <v>40049081156860</v>
      </c>
      <c r="T129" s="265">
        <f>_xlfn.XLOOKUP(E129,'All Products'!D:D,'All Products'!N:N,FALSE)</f>
        <v>0.152</v>
      </c>
      <c r="U129" s="266">
        <f>_xlfn.XLOOKUP(E129,'All Products'!D:D,'All Products'!O:O,FALSE)</f>
        <v>10</v>
      </c>
      <c r="V129" s="265">
        <f>_xlfn.XLOOKUP(E129,'All Products'!D:D,'All Products'!P:P,FALSE)</f>
        <v>14.85</v>
      </c>
      <c r="W129" s="265">
        <f>_xlfn.XLOOKUP(E129,'All Products'!D:D,'All Products'!Q:Q,FALSE)</f>
        <v>0.65</v>
      </c>
    </row>
    <row r="130" spans="1:23">
      <c r="A130" s="101" t="str">
        <f>IF(K130&gt;0,COUNT($A$7:A129)
+COUNT('DWV PVC'!$A$9:$A$316)
+COUNT('DWV ABS'!$A$8:$A$116)
+COUNT('PVC SCH40'!$A$8:$A$424)
+COUNT('PVC SCH40 LD'!$A$8:$A$21)
+COUNT('Pool &amp; SPA Sweep Elbows'!$A$8:$A$11)
+COUNT('Pool &amp; SPA Pipe Extender'!$A$8:$A$10)+1,"")</f>
        <v/>
      </c>
      <c r="B130" s="610"/>
      <c r="C130" s="611"/>
      <c r="D130" s="142" t="str">
        <f>_xlfn.XLOOKUP(E130,'All Products'!D:D,'All Products'!C:C,FALSE)</f>
        <v>837-211</v>
      </c>
      <c r="E130" s="103">
        <v>100023633</v>
      </c>
      <c r="F130" s="413" t="str">
        <f>_xlfn.XLOOKUP(E130,'All Products'!D:D,'All Products'!E:E,FALSE)</f>
        <v>1-1/2X1 RED BUSHING SPGXS SCH80</v>
      </c>
      <c r="G130" s="233">
        <f>_xlfn.XLOOKUP(E130,'All Products'!D:D,'All Products'!F:F,FALSE)</f>
        <v>100</v>
      </c>
      <c r="H130" s="196">
        <f>_xlfn.XLOOKUP(E130,'All Products'!D:D,'All Products'!G:G,FALSE)</f>
        <v>12000</v>
      </c>
      <c r="I130" s="415">
        <f>_xlfn.XLOOKUP(E130,'All Products'!D:D,'All Products'!H:H,FALSE)</f>
        <v>29.52</v>
      </c>
      <c r="J130" s="130">
        <f>ROUND(I130*Order_Quote!$L$8,2)</f>
        <v>29.52</v>
      </c>
      <c r="K130" s="75"/>
      <c r="L130" s="113"/>
      <c r="M130" s="171">
        <f t="shared" si="3"/>
        <v>0</v>
      </c>
      <c r="O130" s="265" t="str">
        <f>_xlfn.XLOOKUP(E130,'All Products'!D:D,'All Products'!I:I,FALSE)</f>
        <v>In Stock</v>
      </c>
      <c r="P130" s="265" t="str">
        <f>_xlfn.XLOOKUP(E130,'All Products'!D:D,'All Products'!J:J,FALSE)</f>
        <v>Manufactured</v>
      </c>
      <c r="Q130" s="266">
        <f>_xlfn.XLOOKUP(E130,'All Products'!D:D,'All Products'!K:K,FALSE)</f>
        <v>49081156848</v>
      </c>
      <c r="R130" s="266">
        <f>_xlfn.XLOOKUP(E130,'All Products'!D:D,'All Products'!L:L,FALSE)</f>
        <v>49081656843</v>
      </c>
      <c r="S130" s="266">
        <f>_xlfn.XLOOKUP(E130,'All Products'!D:D,'All Products'!M:M,FALSE)</f>
        <v>40049081156846</v>
      </c>
      <c r="T130" s="265">
        <f>_xlfn.XLOOKUP(E130,'All Products'!D:D,'All Products'!N:N,FALSE)</f>
        <v>0.129</v>
      </c>
      <c r="U130" s="266">
        <f>_xlfn.XLOOKUP(E130,'All Products'!D:D,'All Products'!O:O,FALSE)</f>
        <v>10</v>
      </c>
      <c r="V130" s="265">
        <f>_xlfn.XLOOKUP(E130,'All Products'!D:D,'All Products'!P:P,FALSE)</f>
        <v>12.73</v>
      </c>
      <c r="W130" s="265">
        <f>_xlfn.XLOOKUP(E130,'All Products'!D:D,'All Products'!Q:Q,FALSE)</f>
        <v>0.65</v>
      </c>
    </row>
    <row r="131" spans="1:23">
      <c r="A131" s="101" t="str">
        <f>IF(K131&gt;0,COUNT($A$7:A130)
+COUNT('DWV PVC'!$A$9:$A$316)
+COUNT('DWV ABS'!$A$8:$A$116)
+COUNT('PVC SCH40'!$A$8:$A$424)
+COUNT('PVC SCH40 LD'!$A$8:$A$21)
+COUNT('Pool &amp; SPA Sweep Elbows'!$A$8:$A$11)
+COUNT('Pool &amp; SPA Pipe Extender'!$A$8:$A$10)+1,"")</f>
        <v/>
      </c>
      <c r="B131" s="610"/>
      <c r="C131" s="611"/>
      <c r="D131" s="142" t="str">
        <f>_xlfn.XLOOKUP(E131,'All Products'!D:D,'All Products'!C:C,FALSE)</f>
        <v>837-212</v>
      </c>
      <c r="E131" s="103">
        <v>100023634</v>
      </c>
      <c r="F131" s="413" t="str">
        <f>_xlfn.XLOOKUP(E131,'All Products'!D:D,'All Products'!E:E,FALSE)</f>
        <v>1-1/2X1-1/4 RED BUSHING SPGXS SCH80</v>
      </c>
      <c r="G131" s="233">
        <f>_xlfn.XLOOKUP(E131,'All Products'!D:D,'All Products'!F:F,FALSE)</f>
        <v>100</v>
      </c>
      <c r="H131" s="196">
        <f>_xlfn.XLOOKUP(E131,'All Products'!D:D,'All Products'!G:G,FALSE)</f>
        <v>12000</v>
      </c>
      <c r="I131" s="415">
        <f>_xlfn.XLOOKUP(E131,'All Products'!D:D,'All Products'!H:H,FALSE)</f>
        <v>29.52</v>
      </c>
      <c r="J131" s="130">
        <f>ROUND(I131*Order_Quote!$L$8,2)</f>
        <v>29.52</v>
      </c>
      <c r="K131" s="75"/>
      <c r="L131" s="113"/>
      <c r="M131" s="171">
        <f t="shared" si="3"/>
        <v>0</v>
      </c>
      <c r="O131" s="265" t="str">
        <f>_xlfn.XLOOKUP(E131,'All Products'!D:D,'All Products'!I:I,FALSE)</f>
        <v>In Stock</v>
      </c>
      <c r="P131" s="265" t="str">
        <f>_xlfn.XLOOKUP(E131,'All Products'!D:D,'All Products'!J:J,FALSE)</f>
        <v>Manufactured</v>
      </c>
      <c r="Q131" s="266">
        <f>_xlfn.XLOOKUP(E131,'All Products'!D:D,'All Products'!K:K,FALSE)</f>
        <v>49081156824</v>
      </c>
      <c r="R131" s="266">
        <f>_xlfn.XLOOKUP(E131,'All Products'!D:D,'All Products'!L:L,FALSE)</f>
        <v>49081656829</v>
      </c>
      <c r="S131" s="266">
        <f>_xlfn.XLOOKUP(E131,'All Products'!D:D,'All Products'!M:M,FALSE)</f>
        <v>40049081156822</v>
      </c>
      <c r="T131" s="265">
        <f>_xlfn.XLOOKUP(E131,'All Products'!D:D,'All Products'!N:N,FALSE)</f>
        <v>0.06</v>
      </c>
      <c r="U131" s="266">
        <f>_xlfn.XLOOKUP(E131,'All Products'!D:D,'All Products'!O:O,FALSE)</f>
        <v>10</v>
      </c>
      <c r="V131" s="265">
        <f>_xlfn.XLOOKUP(E131,'All Products'!D:D,'All Products'!P:P,FALSE)</f>
        <v>6.75</v>
      </c>
      <c r="W131" s="265">
        <f>_xlfn.XLOOKUP(E131,'All Products'!D:D,'All Products'!Q:Q,FALSE)</f>
        <v>0.65</v>
      </c>
    </row>
    <row r="132" spans="1:23">
      <c r="A132" s="101" t="str">
        <f>IF(K132&gt;0,COUNT($A$7:A131)
+COUNT('DWV PVC'!$A$9:$A$316)
+COUNT('DWV ABS'!$A$8:$A$116)
+COUNT('PVC SCH40'!$A$8:$A$424)
+COUNT('PVC SCH40 LD'!$A$8:$A$21)
+COUNT('Pool &amp; SPA Sweep Elbows'!$A$8:$A$11)
+COUNT('Pool &amp; SPA Pipe Extender'!$A$8:$A$10)+1,"")</f>
        <v/>
      </c>
      <c r="B132" s="610"/>
      <c r="C132" s="611"/>
      <c r="D132" s="142" t="str">
        <f>_xlfn.XLOOKUP(E132,'All Products'!D:D,'All Products'!C:C,FALSE)</f>
        <v>837-247</v>
      </c>
      <c r="E132" s="103">
        <v>100023635</v>
      </c>
      <c r="F132" s="413" t="str">
        <f>_xlfn.XLOOKUP(E132,'All Products'!D:D,'All Products'!E:E,FALSE)</f>
        <v>2X1/2 RED BUSHING SPGXS SCH80</v>
      </c>
      <c r="G132" s="233">
        <f>_xlfn.XLOOKUP(E132,'All Products'!D:D,'All Products'!F:F,FALSE)</f>
        <v>50</v>
      </c>
      <c r="H132" s="196">
        <f>_xlfn.XLOOKUP(E132,'All Products'!D:D,'All Products'!G:G,FALSE)</f>
        <v>6000</v>
      </c>
      <c r="I132" s="415">
        <f>_xlfn.XLOOKUP(E132,'All Products'!D:D,'All Products'!H:H,FALSE)</f>
        <v>42.11</v>
      </c>
      <c r="J132" s="130">
        <f>ROUND(I132*Order_Quote!$L$8,2)</f>
        <v>42.11</v>
      </c>
      <c r="K132" s="75"/>
      <c r="L132" s="113"/>
      <c r="M132" s="171">
        <f t="shared" si="3"/>
        <v>0</v>
      </c>
      <c r="O132" s="265" t="str">
        <f>_xlfn.XLOOKUP(E132,'All Products'!D:D,'All Products'!I:I,FALSE)</f>
        <v>In Stock</v>
      </c>
      <c r="P132" s="265" t="str">
        <f>_xlfn.XLOOKUP(E132,'All Products'!D:D,'All Products'!J:J,FALSE)</f>
        <v>Manufactured</v>
      </c>
      <c r="Q132" s="266">
        <f>_xlfn.XLOOKUP(E132,'All Products'!D:D,'All Products'!K:K,FALSE)</f>
        <v>49081156985</v>
      </c>
      <c r="R132" s="266">
        <f>_xlfn.XLOOKUP(E132,'All Products'!D:D,'All Products'!L:L,FALSE)</f>
        <v>49081656980</v>
      </c>
      <c r="S132" s="266">
        <f>_xlfn.XLOOKUP(E132,'All Products'!D:D,'All Products'!M:M,FALSE)</f>
        <v>40049081156983</v>
      </c>
      <c r="T132" s="265">
        <f>_xlfn.XLOOKUP(E132,'All Products'!D:D,'All Products'!N:N,FALSE)</f>
        <v>0.27700000000000002</v>
      </c>
      <c r="U132" s="266">
        <f>_xlfn.XLOOKUP(E132,'All Products'!D:D,'All Products'!O:O,FALSE)</f>
        <v>5</v>
      </c>
      <c r="V132" s="265">
        <f>_xlfn.XLOOKUP(E132,'All Products'!D:D,'All Products'!P:P,FALSE)</f>
        <v>14.01</v>
      </c>
      <c r="W132" s="265">
        <f>_xlfn.XLOOKUP(E132,'All Products'!D:D,'All Products'!Q:Q,FALSE)</f>
        <v>0.65</v>
      </c>
    </row>
    <row r="133" spans="1:23">
      <c r="A133" s="101" t="str">
        <f>IF(K133&gt;0,COUNT($A$7:A132)
+COUNT('DWV PVC'!$A$9:$A$316)
+COUNT('DWV ABS'!$A$8:$A$116)
+COUNT('PVC SCH40'!$A$8:$A$424)
+COUNT('PVC SCH40 LD'!$A$8:$A$21)
+COUNT('Pool &amp; SPA Sweep Elbows'!$A$8:$A$11)
+COUNT('Pool &amp; SPA Pipe Extender'!$A$8:$A$10)+1,"")</f>
        <v/>
      </c>
      <c r="B133" s="610"/>
      <c r="C133" s="611"/>
      <c r="D133" s="142" t="str">
        <f>_xlfn.XLOOKUP(E133,'All Products'!D:D,'All Products'!C:C,FALSE)</f>
        <v>837-248</v>
      </c>
      <c r="E133" s="103">
        <v>100023636</v>
      </c>
      <c r="F133" s="413" t="str">
        <f>_xlfn.XLOOKUP(E133,'All Products'!D:D,'All Products'!E:E,FALSE)</f>
        <v>2X3/4 RED BUSHING SPGXS SCH80</v>
      </c>
      <c r="G133" s="233">
        <f>_xlfn.XLOOKUP(E133,'All Products'!D:D,'All Products'!F:F,FALSE)</f>
        <v>50</v>
      </c>
      <c r="H133" s="196">
        <f>_xlfn.XLOOKUP(E133,'All Products'!D:D,'All Products'!G:G,FALSE)</f>
        <v>6000</v>
      </c>
      <c r="I133" s="415">
        <f>_xlfn.XLOOKUP(E133,'All Products'!D:D,'All Products'!H:H,FALSE)</f>
        <v>42.1</v>
      </c>
      <c r="J133" s="130">
        <f>ROUND(I133*Order_Quote!$L$8,2)</f>
        <v>42.1</v>
      </c>
      <c r="K133" s="75"/>
      <c r="L133" s="113"/>
      <c r="M133" s="171">
        <f t="shared" si="3"/>
        <v>0</v>
      </c>
      <c r="O133" s="265" t="str">
        <f>_xlfn.XLOOKUP(E133,'All Products'!D:D,'All Products'!I:I,FALSE)</f>
        <v>In Stock</v>
      </c>
      <c r="P133" s="265" t="str">
        <f>_xlfn.XLOOKUP(E133,'All Products'!D:D,'All Products'!J:J,FALSE)</f>
        <v>Manufactured</v>
      </c>
      <c r="Q133" s="266">
        <f>_xlfn.XLOOKUP(E133,'All Products'!D:D,'All Products'!K:K,FALSE)</f>
        <v>49081156961</v>
      </c>
      <c r="R133" s="266">
        <f>_xlfn.XLOOKUP(E133,'All Products'!D:D,'All Products'!L:L,FALSE)</f>
        <v>49081656966</v>
      </c>
      <c r="S133" s="266">
        <f>_xlfn.XLOOKUP(E133,'All Products'!D:D,'All Products'!M:M,FALSE)</f>
        <v>40049081156969</v>
      </c>
      <c r="T133" s="265">
        <f>_xlfn.XLOOKUP(E133,'All Products'!D:D,'All Products'!N:N,FALSE)</f>
        <v>0.27600000000000002</v>
      </c>
      <c r="U133" s="266">
        <f>_xlfn.XLOOKUP(E133,'All Products'!D:D,'All Products'!O:O,FALSE)</f>
        <v>5</v>
      </c>
      <c r="V133" s="265">
        <f>_xlfn.XLOOKUP(E133,'All Products'!D:D,'All Products'!P:P,FALSE)</f>
        <v>13.95</v>
      </c>
      <c r="W133" s="265">
        <f>_xlfn.XLOOKUP(E133,'All Products'!D:D,'All Products'!Q:Q,FALSE)</f>
        <v>0.65</v>
      </c>
    </row>
    <row r="134" spans="1:23">
      <c r="A134" s="101" t="str">
        <f>IF(K134&gt;0,COUNT($A$7:A133)
+COUNT('DWV PVC'!$A$9:$A$316)
+COUNT('DWV ABS'!$A$8:$A$116)
+COUNT('PVC SCH40'!$A$8:$A$424)
+COUNT('PVC SCH40 LD'!$A$8:$A$21)
+COUNT('Pool &amp; SPA Sweep Elbows'!$A$8:$A$11)
+COUNT('Pool &amp; SPA Pipe Extender'!$A$8:$A$10)+1,"")</f>
        <v/>
      </c>
      <c r="B134" s="610"/>
      <c r="C134" s="611"/>
      <c r="D134" s="142" t="str">
        <f>_xlfn.XLOOKUP(E134,'All Products'!D:D,'All Products'!C:C,FALSE)</f>
        <v>837-249</v>
      </c>
      <c r="E134" s="103">
        <v>100023637</v>
      </c>
      <c r="F134" s="413" t="str">
        <f>_xlfn.XLOOKUP(E134,'All Products'!D:D,'All Products'!E:E,FALSE)</f>
        <v>2X1 RED BUSHING SPGXS SCH80</v>
      </c>
      <c r="G134" s="233">
        <f>_xlfn.XLOOKUP(E134,'All Products'!D:D,'All Products'!F:F,FALSE)</f>
        <v>50</v>
      </c>
      <c r="H134" s="196">
        <f>_xlfn.XLOOKUP(E134,'All Products'!D:D,'All Products'!G:G,FALSE)</f>
        <v>6000</v>
      </c>
      <c r="I134" s="415">
        <f>_xlfn.XLOOKUP(E134,'All Products'!D:D,'All Products'!H:H,FALSE)</f>
        <v>42.11</v>
      </c>
      <c r="J134" s="130">
        <f>ROUND(I134*Order_Quote!$L$8,2)</f>
        <v>42.11</v>
      </c>
      <c r="K134" s="75"/>
      <c r="L134" s="113"/>
      <c r="M134" s="171">
        <f t="shared" si="3"/>
        <v>0</v>
      </c>
      <c r="O134" s="265" t="str">
        <f>_xlfn.XLOOKUP(E134,'All Products'!D:D,'All Products'!I:I,FALSE)</f>
        <v>In Stock</v>
      </c>
      <c r="P134" s="265" t="str">
        <f>_xlfn.XLOOKUP(E134,'All Products'!D:D,'All Products'!J:J,FALSE)</f>
        <v>Manufactured</v>
      </c>
      <c r="Q134" s="266">
        <f>_xlfn.XLOOKUP(E134,'All Products'!D:D,'All Products'!K:K,FALSE)</f>
        <v>49081156947</v>
      </c>
      <c r="R134" s="266">
        <f>_xlfn.XLOOKUP(E134,'All Products'!D:D,'All Products'!L:L,FALSE)</f>
        <v>49081656942</v>
      </c>
      <c r="S134" s="266">
        <f>_xlfn.XLOOKUP(E134,'All Products'!D:D,'All Products'!M:M,FALSE)</f>
        <v>40049081156945</v>
      </c>
      <c r="T134" s="265">
        <f>_xlfn.XLOOKUP(E134,'All Products'!D:D,'All Products'!N:N,FALSE)</f>
        <v>0.28599999999999998</v>
      </c>
      <c r="U134" s="266">
        <f>_xlfn.XLOOKUP(E134,'All Products'!D:D,'All Products'!O:O,FALSE)</f>
        <v>5</v>
      </c>
      <c r="V134" s="265">
        <f>_xlfn.XLOOKUP(E134,'All Products'!D:D,'All Products'!P:P,FALSE)</f>
        <v>14.55</v>
      </c>
      <c r="W134" s="265">
        <f>_xlfn.XLOOKUP(E134,'All Products'!D:D,'All Products'!Q:Q,FALSE)</f>
        <v>0.65</v>
      </c>
    </row>
    <row r="135" spans="1:23">
      <c r="A135" s="101" t="str">
        <f>IF(K135&gt;0,COUNT($A$7:A134)
+COUNT('DWV PVC'!$A$9:$A$316)
+COUNT('DWV ABS'!$A$8:$A$116)
+COUNT('PVC SCH40'!$A$8:$A$424)
+COUNT('PVC SCH40 LD'!$A$8:$A$21)
+COUNT('Pool &amp; SPA Sweep Elbows'!$A$8:$A$11)
+COUNT('Pool &amp; SPA Pipe Extender'!$A$8:$A$10)+1,"")</f>
        <v/>
      </c>
      <c r="B135" s="610"/>
      <c r="C135" s="611"/>
      <c r="D135" s="142" t="str">
        <f>_xlfn.XLOOKUP(E135,'All Products'!D:D,'All Products'!C:C,FALSE)</f>
        <v>837-250</v>
      </c>
      <c r="E135" s="103">
        <v>100023638</v>
      </c>
      <c r="F135" s="413" t="str">
        <f>_xlfn.XLOOKUP(E135,'All Products'!D:D,'All Products'!E:E,FALSE)</f>
        <v>2X1-1/4 RED BUSHING SPGXS SCH80</v>
      </c>
      <c r="G135" s="233">
        <f>_xlfn.XLOOKUP(E135,'All Products'!D:D,'All Products'!F:F,FALSE)</f>
        <v>50</v>
      </c>
      <c r="H135" s="196">
        <f>_xlfn.XLOOKUP(E135,'All Products'!D:D,'All Products'!G:G,FALSE)</f>
        <v>6000</v>
      </c>
      <c r="I135" s="415">
        <f>_xlfn.XLOOKUP(E135,'All Products'!D:D,'All Products'!H:H,FALSE)</f>
        <v>42.11</v>
      </c>
      <c r="J135" s="130">
        <f>ROUND(I135*Order_Quote!$L$8,2)</f>
        <v>42.11</v>
      </c>
      <c r="K135" s="75"/>
      <c r="L135" s="113"/>
      <c r="M135" s="171">
        <f t="shared" si="3"/>
        <v>0</v>
      </c>
      <c r="O135" s="265" t="str">
        <f>_xlfn.XLOOKUP(E135,'All Products'!D:D,'All Products'!I:I,FALSE)</f>
        <v>In Stock</v>
      </c>
      <c r="P135" s="265" t="str">
        <f>_xlfn.XLOOKUP(E135,'All Products'!D:D,'All Products'!J:J,FALSE)</f>
        <v>Manufactured</v>
      </c>
      <c r="Q135" s="266">
        <f>_xlfn.XLOOKUP(E135,'All Products'!D:D,'All Products'!K:K,FALSE)</f>
        <v>49081156923</v>
      </c>
      <c r="R135" s="266">
        <f>_xlfn.XLOOKUP(E135,'All Products'!D:D,'All Products'!L:L,FALSE)</f>
        <v>49081656928</v>
      </c>
      <c r="S135" s="266">
        <f>_xlfn.XLOOKUP(E135,'All Products'!D:D,'All Products'!M:M,FALSE)</f>
        <v>40049081156921</v>
      </c>
      <c r="T135" s="265">
        <f>_xlfn.XLOOKUP(E135,'All Products'!D:D,'All Products'!N:N,FALSE)</f>
        <v>0.23</v>
      </c>
      <c r="U135" s="266">
        <f>_xlfn.XLOOKUP(E135,'All Products'!D:D,'All Products'!O:O,FALSE)</f>
        <v>5</v>
      </c>
      <c r="V135" s="265">
        <f>_xlfn.XLOOKUP(E135,'All Products'!D:D,'All Products'!P:P,FALSE)</f>
        <v>12.54</v>
      </c>
      <c r="W135" s="265">
        <f>_xlfn.XLOOKUP(E135,'All Products'!D:D,'All Products'!Q:Q,FALSE)</f>
        <v>0.65</v>
      </c>
    </row>
    <row r="136" spans="1:23">
      <c r="A136" s="101" t="str">
        <f>IF(K136&gt;0,COUNT($A$7:A135)
+COUNT('DWV PVC'!$A$9:$A$316)
+COUNT('DWV ABS'!$A$8:$A$116)
+COUNT('PVC SCH40'!$A$8:$A$424)
+COUNT('PVC SCH40 LD'!$A$8:$A$21)
+COUNT('Pool &amp; SPA Sweep Elbows'!$A$8:$A$11)
+COUNT('Pool &amp; SPA Pipe Extender'!$A$8:$A$10)+1,"")</f>
        <v/>
      </c>
      <c r="B136" s="610"/>
      <c r="C136" s="611"/>
      <c r="D136" s="142" t="str">
        <f>_xlfn.XLOOKUP(E136,'All Products'!D:D,'All Products'!C:C,FALSE)</f>
        <v>837-251</v>
      </c>
      <c r="E136" s="103">
        <v>100023639</v>
      </c>
      <c r="F136" s="413" t="str">
        <f>_xlfn.XLOOKUP(E136,'All Products'!D:D,'All Products'!E:E,FALSE)</f>
        <v>2X1-1/2 RED BUSHING SPGXS SCH80</v>
      </c>
      <c r="G136" s="233">
        <f>_xlfn.XLOOKUP(E136,'All Products'!D:D,'All Products'!F:F,FALSE)</f>
        <v>50</v>
      </c>
      <c r="H136" s="196">
        <f>_xlfn.XLOOKUP(E136,'All Products'!D:D,'All Products'!G:G,FALSE)</f>
        <v>6000</v>
      </c>
      <c r="I136" s="415">
        <f>_xlfn.XLOOKUP(E136,'All Products'!D:D,'All Products'!H:H,FALSE)</f>
        <v>42.1</v>
      </c>
      <c r="J136" s="130">
        <f>ROUND(I136*Order_Quote!$L$8,2)</f>
        <v>42.1</v>
      </c>
      <c r="K136" s="75"/>
      <c r="L136" s="113"/>
      <c r="M136" s="171">
        <f t="shared" si="3"/>
        <v>0</v>
      </c>
      <c r="O136" s="265" t="str">
        <f>_xlfn.XLOOKUP(E136,'All Products'!D:D,'All Products'!I:I,FALSE)</f>
        <v>In Stock</v>
      </c>
      <c r="P136" s="265" t="str">
        <f>_xlfn.XLOOKUP(E136,'All Products'!D:D,'All Products'!J:J,FALSE)</f>
        <v>Manufactured</v>
      </c>
      <c r="Q136" s="266">
        <f>_xlfn.XLOOKUP(E136,'All Products'!D:D,'All Products'!K:K,FALSE)</f>
        <v>49081156909</v>
      </c>
      <c r="R136" s="266">
        <f>_xlfn.XLOOKUP(E136,'All Products'!D:D,'All Products'!L:L,FALSE)</f>
        <v>49081656904</v>
      </c>
      <c r="S136" s="266">
        <f>_xlfn.XLOOKUP(E136,'All Products'!D:D,'All Products'!M:M,FALSE)</f>
        <v>40049081156907</v>
      </c>
      <c r="T136" s="265">
        <f>_xlfn.XLOOKUP(E136,'All Products'!D:D,'All Products'!N:N,FALSE)</f>
        <v>0.13800000000000001</v>
      </c>
      <c r="U136" s="266">
        <f>_xlfn.XLOOKUP(E136,'All Products'!D:D,'All Products'!O:O,FALSE)</f>
        <v>5</v>
      </c>
      <c r="V136" s="265">
        <f>_xlfn.XLOOKUP(E136,'All Products'!D:D,'All Products'!P:P,FALSE)</f>
        <v>8.5299999999999994</v>
      </c>
      <c r="W136" s="265">
        <f>_xlfn.XLOOKUP(E136,'All Products'!D:D,'All Products'!Q:Q,FALSE)</f>
        <v>0.65</v>
      </c>
    </row>
    <row r="137" spans="1:23">
      <c r="A137" s="101" t="str">
        <f>IF(K137&gt;0,COUNT($A$7:A136)
+COUNT('DWV PVC'!$A$9:$A$316)
+COUNT('DWV ABS'!$A$8:$A$116)
+COUNT('PVC SCH40'!$A$8:$A$424)
+COUNT('PVC SCH40 LD'!$A$8:$A$21)
+COUNT('Pool &amp; SPA Sweep Elbows'!$A$8:$A$11)
+COUNT('Pool &amp; SPA Pipe Extender'!$A$8:$A$10)+1,"")</f>
        <v/>
      </c>
      <c r="B137" s="610"/>
      <c r="C137" s="611"/>
      <c r="D137" s="142" t="str">
        <f>_xlfn.XLOOKUP(E137,'All Products'!D:D,'All Products'!C:C,FALSE)</f>
        <v>837-292</v>
      </c>
      <c r="E137" s="103">
        <v>100023643</v>
      </c>
      <c r="F137" s="413" t="str">
        <f>_xlfn.XLOOKUP(E137,'All Products'!D:D,'All Products'!E:E,FALSE)</f>
        <v>2-1/2X2 RED BUSHING SPGXS SCH80</v>
      </c>
      <c r="G137" s="233">
        <f>_xlfn.XLOOKUP(E137,'All Products'!D:D,'All Products'!F:F,FALSE)</f>
        <v>25</v>
      </c>
      <c r="H137" s="196">
        <f>_xlfn.XLOOKUP(E137,'All Products'!D:D,'All Products'!G:G,FALSE)</f>
        <v>3750</v>
      </c>
      <c r="I137" s="415">
        <f>_xlfn.XLOOKUP(E137,'All Products'!D:D,'All Products'!H:H,FALSE)</f>
        <v>73.17</v>
      </c>
      <c r="J137" s="130">
        <f>ROUND(I137*Order_Quote!$L$8,2)</f>
        <v>73.17</v>
      </c>
      <c r="K137" s="75"/>
      <c r="L137" s="113"/>
      <c r="M137" s="171">
        <f t="shared" si="3"/>
        <v>0</v>
      </c>
      <c r="O137" s="265" t="str">
        <f>_xlfn.XLOOKUP(E137,'All Products'!D:D,'All Products'!I:I,FALSE)</f>
        <v>In Stock</v>
      </c>
      <c r="P137" s="265" t="str">
        <f>_xlfn.XLOOKUP(E137,'All Products'!D:D,'All Products'!J:J,FALSE)</f>
        <v>Manufactured</v>
      </c>
      <c r="Q137" s="266">
        <f>_xlfn.XLOOKUP(E137,'All Products'!D:D,'All Products'!K:K,FALSE)</f>
        <v>49081157005</v>
      </c>
      <c r="R137" s="266">
        <f>_xlfn.XLOOKUP(E137,'All Products'!D:D,'All Products'!L:L,FALSE)</f>
        <v>49081657000</v>
      </c>
      <c r="S137" s="266">
        <f>_xlfn.XLOOKUP(E137,'All Products'!D:D,'All Products'!M:M,FALSE)</f>
        <v>40049081157003</v>
      </c>
      <c r="T137" s="265">
        <f>_xlfn.XLOOKUP(E137,'All Products'!D:D,'All Products'!N:N,FALSE)</f>
        <v>0.23400000000000001</v>
      </c>
      <c r="U137" s="266">
        <f>_xlfn.XLOOKUP(E137,'All Products'!D:D,'All Products'!O:O,FALSE)</f>
        <v>5</v>
      </c>
      <c r="V137" s="265">
        <f>_xlfn.XLOOKUP(E137,'All Products'!D:D,'All Products'!P:P,FALSE)</f>
        <v>6.94</v>
      </c>
      <c r="W137" s="265">
        <f>_xlfn.XLOOKUP(E137,'All Products'!D:D,'All Products'!Q:Q,FALSE)</f>
        <v>0.5</v>
      </c>
    </row>
    <row r="138" spans="1:23">
      <c r="A138" s="101" t="str">
        <f>IF(K138&gt;0,COUNT($A$7:A137)
+COUNT('DWV PVC'!$A$9:$A$316)
+COUNT('DWV ABS'!$A$8:$A$116)
+COUNT('PVC SCH40'!$A$8:$A$424)
+COUNT('PVC SCH40 LD'!$A$8:$A$21)
+COUNT('Pool &amp; SPA Sweep Elbows'!$A$8:$A$11)
+COUNT('Pool &amp; SPA Pipe Extender'!$A$8:$A$10)+1,"")</f>
        <v/>
      </c>
      <c r="B138" s="610"/>
      <c r="C138" s="611"/>
      <c r="D138" s="142" t="str">
        <f>_xlfn.XLOOKUP(E138,'All Products'!D:D,'All Products'!C:C,FALSE)</f>
        <v>837-335</v>
      </c>
      <c r="E138" s="103">
        <v>100023644</v>
      </c>
      <c r="F138" s="413" t="str">
        <f>_xlfn.XLOOKUP(E138,'All Products'!D:D,'All Products'!E:E,FALSE)</f>
        <v>3X1 RED BUSHING SPGXS SCH80</v>
      </c>
      <c r="G138" s="233">
        <f>_xlfn.XLOOKUP(E138,'All Products'!D:D,'All Products'!F:F,FALSE)</f>
        <v>25</v>
      </c>
      <c r="H138" s="196">
        <f>_xlfn.XLOOKUP(E138,'All Products'!D:D,'All Products'!G:G,FALSE)</f>
        <v>3000</v>
      </c>
      <c r="I138" s="415">
        <f>_xlfn.XLOOKUP(E138,'All Products'!D:D,'All Products'!H:H,FALSE)</f>
        <v>116.06</v>
      </c>
      <c r="J138" s="130">
        <f>ROUND(I138*Order_Quote!$L$8,2)</f>
        <v>116.06</v>
      </c>
      <c r="K138" s="75"/>
      <c r="L138" s="113"/>
      <c r="M138" s="171">
        <f t="shared" si="3"/>
        <v>0</v>
      </c>
      <c r="O138" s="265" t="str">
        <f>_xlfn.XLOOKUP(E138,'All Products'!D:D,'All Products'!I:I,FALSE)</f>
        <v>In Stock</v>
      </c>
      <c r="P138" s="265" t="str">
        <f>_xlfn.XLOOKUP(E138,'All Products'!D:D,'All Products'!J:J,FALSE)</f>
        <v>Manufactured</v>
      </c>
      <c r="Q138" s="266">
        <f>_xlfn.XLOOKUP(E138,'All Products'!D:D,'All Products'!K:K,FALSE)</f>
        <v>49081157203</v>
      </c>
      <c r="R138" s="266">
        <f>_xlfn.XLOOKUP(E138,'All Products'!D:D,'All Products'!L:L,FALSE)</f>
        <v>49081657208</v>
      </c>
      <c r="S138" s="266">
        <f>_xlfn.XLOOKUP(E138,'All Products'!D:D,'All Products'!M:M,FALSE)</f>
        <v>40049081157201</v>
      </c>
      <c r="T138" s="265">
        <f>_xlfn.XLOOKUP(E138,'All Products'!D:D,'All Products'!N:N,FALSE)</f>
        <v>0.51600000000000001</v>
      </c>
      <c r="U138" s="266">
        <f>_xlfn.XLOOKUP(E138,'All Products'!D:D,'All Products'!O:O,FALSE)</f>
        <v>5</v>
      </c>
      <c r="V138" s="265">
        <f>_xlfn.XLOOKUP(E138,'All Products'!D:D,'All Products'!P:P,FALSE)</f>
        <v>13.14</v>
      </c>
      <c r="W138" s="265">
        <f>_xlfn.XLOOKUP(E138,'All Products'!D:D,'All Products'!Q:Q,FALSE)</f>
        <v>0.65</v>
      </c>
    </row>
    <row r="139" spans="1:23">
      <c r="A139" s="101" t="str">
        <f>IF(K139&gt;0,COUNT($A$7:A138)
+COUNT('DWV PVC'!$A$9:$A$316)
+COUNT('DWV ABS'!$A$8:$A$116)
+COUNT('PVC SCH40'!$A$8:$A$424)
+COUNT('PVC SCH40 LD'!$A$8:$A$21)
+COUNT('Pool &amp; SPA Sweep Elbows'!$A$8:$A$11)
+COUNT('Pool &amp; SPA Pipe Extender'!$A$8:$A$10)+1,"")</f>
        <v/>
      </c>
      <c r="B139" s="610"/>
      <c r="C139" s="611"/>
      <c r="D139" s="142" t="str">
        <f>_xlfn.XLOOKUP(E139,'All Products'!D:D,'All Products'!C:C,FALSE)</f>
        <v>837-336</v>
      </c>
      <c r="E139" s="103">
        <v>100023425</v>
      </c>
      <c r="F139" s="413" t="str">
        <f>_xlfn.XLOOKUP(E139,'All Products'!D:D,'All Products'!E:E,FALSE)</f>
        <v>3X1-1/4 RED BUSHING SPGXS SCH80</v>
      </c>
      <c r="G139" s="233">
        <f>_xlfn.XLOOKUP(E139,'All Products'!D:D,'All Products'!F:F,FALSE)</f>
        <v>25</v>
      </c>
      <c r="H139" s="196">
        <f>_xlfn.XLOOKUP(E139,'All Products'!D:D,'All Products'!G:G,FALSE)</f>
        <v>3000</v>
      </c>
      <c r="I139" s="415">
        <f>_xlfn.XLOOKUP(E139,'All Products'!D:D,'All Products'!H:H,FALSE)</f>
        <v>116.06</v>
      </c>
      <c r="J139" s="130">
        <f>ROUND(I139*Order_Quote!$L$8,2)</f>
        <v>116.06</v>
      </c>
      <c r="K139" s="75"/>
      <c r="L139" s="113"/>
      <c r="M139" s="171">
        <f t="shared" si="3"/>
        <v>0</v>
      </c>
      <c r="O139" s="265" t="str">
        <f>_xlfn.XLOOKUP(E139,'All Products'!D:D,'All Products'!I:I,FALSE)</f>
        <v>In Stock</v>
      </c>
      <c r="P139" s="265" t="str">
        <f>_xlfn.XLOOKUP(E139,'All Products'!D:D,'All Products'!J:J,FALSE)</f>
        <v>Manufactured</v>
      </c>
      <c r="Q139" s="266">
        <f>_xlfn.XLOOKUP(E139,'All Products'!D:D,'All Products'!K:K,FALSE)</f>
        <v>49081157180</v>
      </c>
      <c r="R139" s="266">
        <f>_xlfn.XLOOKUP(E139,'All Products'!D:D,'All Products'!L:L,FALSE)</f>
        <v>49081657185</v>
      </c>
      <c r="S139" s="266">
        <f>_xlfn.XLOOKUP(E139,'All Products'!D:D,'All Products'!M:M,FALSE)</f>
        <v>40049081157188</v>
      </c>
      <c r="T139" s="265">
        <f>_xlfn.XLOOKUP(E139,'All Products'!D:D,'All Products'!N:N,FALSE)</f>
        <v>0.51800000000000002</v>
      </c>
      <c r="U139" s="266">
        <f>_xlfn.XLOOKUP(E139,'All Products'!D:D,'All Products'!O:O,FALSE)</f>
        <v>5</v>
      </c>
      <c r="V139" s="265">
        <f>_xlfn.XLOOKUP(E139,'All Products'!D:D,'All Products'!P:P,FALSE)</f>
        <v>13.24</v>
      </c>
      <c r="W139" s="265">
        <f>_xlfn.XLOOKUP(E139,'All Products'!D:D,'All Products'!Q:Q,FALSE)</f>
        <v>0.65</v>
      </c>
    </row>
    <row r="140" spans="1:23">
      <c r="A140" s="101" t="str">
        <f>IF(K140&gt;0,COUNT($A$7:A139)
+COUNT('DWV PVC'!$A$9:$A$316)
+COUNT('DWV ABS'!$A$8:$A$116)
+COUNT('PVC SCH40'!$A$8:$A$424)
+COUNT('PVC SCH40 LD'!$A$8:$A$21)
+COUNT('Pool &amp; SPA Sweep Elbows'!$A$8:$A$11)
+COUNT('Pool &amp; SPA Pipe Extender'!$A$8:$A$10)+1,"")</f>
        <v/>
      </c>
      <c r="B140" s="610"/>
      <c r="C140" s="611"/>
      <c r="D140" s="142" t="str">
        <f>_xlfn.XLOOKUP(E140,'All Products'!D:D,'All Products'!C:C,FALSE)</f>
        <v>837-337</v>
      </c>
      <c r="E140" s="103">
        <v>100023645</v>
      </c>
      <c r="F140" s="413" t="str">
        <f>_xlfn.XLOOKUP(E140,'All Products'!D:D,'All Products'!E:E,FALSE)</f>
        <v>3X1-1/2 RED BUSHING SPGXS SCH80</v>
      </c>
      <c r="G140" s="233">
        <f>_xlfn.XLOOKUP(E140,'All Products'!D:D,'All Products'!F:F,FALSE)</f>
        <v>25</v>
      </c>
      <c r="H140" s="196">
        <f>_xlfn.XLOOKUP(E140,'All Products'!D:D,'All Products'!G:G,FALSE)</f>
        <v>3000</v>
      </c>
      <c r="I140" s="415">
        <f>_xlfn.XLOOKUP(E140,'All Products'!D:D,'All Products'!H:H,FALSE)</f>
        <v>116.06</v>
      </c>
      <c r="J140" s="130">
        <f>ROUND(I140*Order_Quote!$L$8,2)</f>
        <v>116.06</v>
      </c>
      <c r="K140" s="75"/>
      <c r="L140" s="113"/>
      <c r="M140" s="171">
        <f t="shared" si="3"/>
        <v>0</v>
      </c>
      <c r="O140" s="265" t="str">
        <f>_xlfn.XLOOKUP(E140,'All Products'!D:D,'All Products'!I:I,FALSE)</f>
        <v>In Stock</v>
      </c>
      <c r="P140" s="265" t="str">
        <f>_xlfn.XLOOKUP(E140,'All Products'!D:D,'All Products'!J:J,FALSE)</f>
        <v>Manufactured</v>
      </c>
      <c r="Q140" s="266">
        <f>_xlfn.XLOOKUP(E140,'All Products'!D:D,'All Products'!K:K,FALSE)</f>
        <v>49081157166</v>
      </c>
      <c r="R140" s="266">
        <f>_xlfn.XLOOKUP(E140,'All Products'!D:D,'All Products'!L:L,FALSE)</f>
        <v>49081657161</v>
      </c>
      <c r="S140" s="266">
        <f>_xlfn.XLOOKUP(E140,'All Products'!D:D,'All Products'!M:M,FALSE)</f>
        <v>40049081157164</v>
      </c>
      <c r="T140" s="265">
        <f>_xlfn.XLOOKUP(E140,'All Products'!D:D,'All Products'!N:N,FALSE)</f>
        <v>0.53</v>
      </c>
      <c r="U140" s="266">
        <f>_xlfn.XLOOKUP(E140,'All Products'!D:D,'All Products'!O:O,FALSE)</f>
        <v>5</v>
      </c>
      <c r="V140" s="265">
        <f>_xlfn.XLOOKUP(E140,'All Products'!D:D,'All Products'!P:P,FALSE)</f>
        <v>13.35</v>
      </c>
      <c r="W140" s="265">
        <f>_xlfn.XLOOKUP(E140,'All Products'!D:D,'All Products'!Q:Q,FALSE)</f>
        <v>0.65</v>
      </c>
    </row>
    <row r="141" spans="1:23">
      <c r="A141" s="101" t="str">
        <f>IF(K141&gt;0,COUNT($A$7:A140)
+COUNT('DWV PVC'!$A$9:$A$316)
+COUNT('DWV ABS'!$A$8:$A$116)
+COUNT('PVC SCH40'!$A$8:$A$424)
+COUNT('PVC SCH40 LD'!$A$8:$A$21)
+COUNT('Pool &amp; SPA Sweep Elbows'!$A$8:$A$11)
+COUNT('Pool &amp; SPA Pipe Extender'!$A$8:$A$10)+1,"")</f>
        <v/>
      </c>
      <c r="B141" s="610"/>
      <c r="C141" s="611"/>
      <c r="D141" s="142" t="str">
        <f>_xlfn.XLOOKUP(E141,'All Products'!D:D,'All Products'!C:C,FALSE)</f>
        <v>837-338</v>
      </c>
      <c r="E141" s="103">
        <v>100023646</v>
      </c>
      <c r="F141" s="413" t="str">
        <f>_xlfn.XLOOKUP(E141,'All Products'!D:D,'All Products'!E:E,FALSE)</f>
        <v>3X2 RED BUSHING SPGXS SCH80</v>
      </c>
      <c r="G141" s="233">
        <f>_xlfn.XLOOKUP(E141,'All Products'!D:D,'All Products'!F:F,FALSE)</f>
        <v>25</v>
      </c>
      <c r="H141" s="196">
        <f>_xlfn.XLOOKUP(E141,'All Products'!D:D,'All Products'!G:G,FALSE)</f>
        <v>3000</v>
      </c>
      <c r="I141" s="415">
        <f>_xlfn.XLOOKUP(E141,'All Products'!D:D,'All Products'!H:H,FALSE)</f>
        <v>116.06</v>
      </c>
      <c r="J141" s="130">
        <f>ROUND(I141*Order_Quote!$L$8,2)</f>
        <v>116.06</v>
      </c>
      <c r="K141" s="75"/>
      <c r="L141" s="113"/>
      <c r="M141" s="171">
        <f t="shared" si="3"/>
        <v>0</v>
      </c>
      <c r="O141" s="265" t="str">
        <f>_xlfn.XLOOKUP(E141,'All Products'!D:D,'All Products'!I:I,FALSE)</f>
        <v>In Stock</v>
      </c>
      <c r="P141" s="265" t="str">
        <f>_xlfn.XLOOKUP(E141,'All Products'!D:D,'All Products'!J:J,FALSE)</f>
        <v>Manufactured</v>
      </c>
      <c r="Q141" s="266">
        <f>_xlfn.XLOOKUP(E141,'All Products'!D:D,'All Products'!K:K,FALSE)</f>
        <v>49081157142</v>
      </c>
      <c r="R141" s="266">
        <f>_xlfn.XLOOKUP(E141,'All Products'!D:D,'All Products'!L:L,FALSE)</f>
        <v>49081657147</v>
      </c>
      <c r="S141" s="266">
        <f>_xlfn.XLOOKUP(E141,'All Products'!D:D,'All Products'!M:M,FALSE)</f>
        <v>40049081157140</v>
      </c>
      <c r="T141" s="265">
        <f>_xlfn.XLOOKUP(E141,'All Products'!D:D,'All Products'!N:N,FALSE)</f>
        <v>0.42499999999999999</v>
      </c>
      <c r="U141" s="266">
        <f>_xlfn.XLOOKUP(E141,'All Products'!D:D,'All Products'!O:O,FALSE)</f>
        <v>5</v>
      </c>
      <c r="V141" s="265">
        <f>_xlfn.XLOOKUP(E141,'All Products'!D:D,'All Products'!P:P,FALSE)</f>
        <v>13.33</v>
      </c>
      <c r="W141" s="265">
        <f>_xlfn.XLOOKUP(E141,'All Products'!D:D,'All Products'!Q:Q,FALSE)</f>
        <v>0.65</v>
      </c>
    </row>
    <row r="142" spans="1:23">
      <c r="A142" s="101" t="str">
        <f>IF(K142&gt;0,COUNT($A$7:A141)
+COUNT('DWV PVC'!$A$9:$A$316)
+COUNT('DWV ABS'!$A$8:$A$116)
+COUNT('PVC SCH40'!$A$8:$A$424)
+COUNT('PVC SCH40 LD'!$A$8:$A$21)
+COUNT('Pool &amp; SPA Sweep Elbows'!$A$8:$A$11)
+COUNT('Pool &amp; SPA Pipe Extender'!$A$8:$A$10)+1,"")</f>
        <v/>
      </c>
      <c r="B142" s="610"/>
      <c r="C142" s="611"/>
      <c r="D142" s="142" t="str">
        <f>_xlfn.XLOOKUP(E142,'All Products'!D:D,'All Products'!C:C,FALSE)</f>
        <v>837-339</v>
      </c>
      <c r="E142" s="103">
        <v>100023647</v>
      </c>
      <c r="F142" s="413" t="str">
        <f>_xlfn.XLOOKUP(E142,'All Products'!D:D,'All Products'!E:E,FALSE)</f>
        <v>3X2-1/2 RED BUSHING SPGXS SCH80</v>
      </c>
      <c r="G142" s="233">
        <f>_xlfn.XLOOKUP(E142,'All Products'!D:D,'All Products'!F:F,FALSE)</f>
        <v>25</v>
      </c>
      <c r="H142" s="196">
        <f>_xlfn.XLOOKUP(E142,'All Products'!D:D,'All Products'!G:G,FALSE)</f>
        <v>3000</v>
      </c>
      <c r="I142" s="415">
        <f>_xlfn.XLOOKUP(E142,'All Products'!D:D,'All Products'!H:H,FALSE)</f>
        <v>116.06</v>
      </c>
      <c r="J142" s="130">
        <f>ROUND(I142*Order_Quote!$L$8,2)</f>
        <v>116.06</v>
      </c>
      <c r="K142" s="75"/>
      <c r="L142" s="113"/>
      <c r="M142" s="171">
        <f t="shared" ref="M142:M183" si="4">K142/G142</f>
        <v>0</v>
      </c>
      <c r="O142" s="265" t="str">
        <f>_xlfn.XLOOKUP(E142,'All Products'!D:D,'All Products'!I:I,FALSE)</f>
        <v>In Stock</v>
      </c>
      <c r="P142" s="265" t="str">
        <f>_xlfn.XLOOKUP(E142,'All Products'!D:D,'All Products'!J:J,FALSE)</f>
        <v>Manufactured</v>
      </c>
      <c r="Q142" s="266">
        <f>_xlfn.XLOOKUP(E142,'All Products'!D:D,'All Products'!K:K,FALSE)</f>
        <v>49081157128</v>
      </c>
      <c r="R142" s="266">
        <f>_xlfn.XLOOKUP(E142,'All Products'!D:D,'All Products'!L:L,FALSE)</f>
        <v>49081657123</v>
      </c>
      <c r="S142" s="266">
        <f>_xlfn.XLOOKUP(E142,'All Products'!D:D,'All Products'!M:M,FALSE)</f>
        <v>40049081157126</v>
      </c>
      <c r="T142" s="265">
        <f>_xlfn.XLOOKUP(E142,'All Products'!D:D,'All Products'!N:N,FALSE)</f>
        <v>0.32800000000000001</v>
      </c>
      <c r="U142" s="266">
        <f>_xlfn.XLOOKUP(E142,'All Products'!D:D,'All Products'!O:O,FALSE)</f>
        <v>5</v>
      </c>
      <c r="V142" s="265">
        <f>_xlfn.XLOOKUP(E142,'All Products'!D:D,'All Products'!P:P,FALSE)</f>
        <v>9.18</v>
      </c>
      <c r="W142" s="265">
        <f>_xlfn.XLOOKUP(E142,'All Products'!D:D,'All Products'!Q:Q,FALSE)</f>
        <v>0.65</v>
      </c>
    </row>
    <row r="143" spans="1:23">
      <c r="A143" s="101" t="str">
        <f>IF(K143&gt;0,COUNT($A$7:A142)
+COUNT('DWV PVC'!$A$9:$A$316)
+COUNT('DWV ABS'!$A$8:$A$116)
+COUNT('PVC SCH40'!$A$8:$A$424)
+COUNT('PVC SCH40 LD'!$A$8:$A$21)
+COUNT('Pool &amp; SPA Sweep Elbows'!$A$8:$A$11)
+COUNT('Pool &amp; SPA Pipe Extender'!$A$8:$A$10)+1,"")</f>
        <v/>
      </c>
      <c r="B143" s="610"/>
      <c r="C143" s="611"/>
      <c r="D143" s="142" t="str">
        <f>_xlfn.XLOOKUP(E143,'All Products'!D:D,'All Products'!C:C,FALSE)</f>
        <v>837-420</v>
      </c>
      <c r="E143" s="103">
        <v>100023648</v>
      </c>
      <c r="F143" s="413" t="str">
        <f>_xlfn.XLOOKUP(E143,'All Products'!D:D,'All Products'!E:E,FALSE)</f>
        <v>4X2 RED BUSHING SPGXS SCH80</v>
      </c>
      <c r="G143" s="233">
        <f>_xlfn.XLOOKUP(E143,'All Products'!D:D,'All Products'!F:F,FALSE)</f>
        <v>10</v>
      </c>
      <c r="H143" s="196">
        <f>_xlfn.XLOOKUP(E143,'All Products'!D:D,'All Products'!G:G,FALSE)</f>
        <v>1200</v>
      </c>
      <c r="I143" s="415">
        <f>_xlfn.XLOOKUP(E143,'All Products'!D:D,'All Products'!H:H,FALSE)</f>
        <v>160.71</v>
      </c>
      <c r="J143" s="130">
        <f>ROUND(I143*Order_Quote!$L$8,2)</f>
        <v>160.71</v>
      </c>
      <c r="K143" s="75"/>
      <c r="L143" s="113"/>
      <c r="M143" s="171">
        <f t="shared" si="4"/>
        <v>0</v>
      </c>
      <c r="O143" s="265" t="str">
        <f>_xlfn.XLOOKUP(E143,'All Products'!D:D,'All Products'!I:I,FALSE)</f>
        <v>In Stock</v>
      </c>
      <c r="P143" s="265" t="str">
        <f>_xlfn.XLOOKUP(E143,'All Products'!D:D,'All Products'!J:J,FALSE)</f>
        <v>Manufactured</v>
      </c>
      <c r="Q143" s="266">
        <f>_xlfn.XLOOKUP(E143,'All Products'!D:D,'All Products'!K:K,FALSE)</f>
        <v>49081157326</v>
      </c>
      <c r="R143" s="266" t="str">
        <f>_xlfn.XLOOKUP(E143,'All Products'!D:D,'All Products'!L:L,FALSE)</f>
        <v>-</v>
      </c>
      <c r="S143" s="266">
        <f>_xlfn.XLOOKUP(E143,'All Products'!D:D,'All Products'!M:M,FALSE)</f>
        <v>40049081157324</v>
      </c>
      <c r="T143" s="265">
        <f>_xlfn.XLOOKUP(E143,'All Products'!D:D,'All Products'!N:N,FALSE)</f>
        <v>0.90800000000000003</v>
      </c>
      <c r="U143" s="266" t="str">
        <f>_xlfn.XLOOKUP(E143,'All Products'!D:D,'All Products'!O:O,FALSE)</f>
        <v>-</v>
      </c>
      <c r="V143" s="265">
        <f>_xlfn.XLOOKUP(E143,'All Products'!D:D,'All Products'!P:P,FALSE)</f>
        <v>9.9600000000000009</v>
      </c>
      <c r="W143" s="265">
        <f>_xlfn.XLOOKUP(E143,'All Products'!D:D,'All Products'!Q:Q,FALSE)</f>
        <v>0.65</v>
      </c>
    </row>
    <row r="144" spans="1:23">
      <c r="A144" s="101" t="str">
        <f>IF(K144&gt;0,COUNT($A$7:A143)
+COUNT('DWV PVC'!$A$9:$A$316)
+COUNT('DWV ABS'!$A$8:$A$116)
+COUNT('PVC SCH40'!$A$8:$A$424)
+COUNT('PVC SCH40 LD'!$A$8:$A$21)
+COUNT('Pool &amp; SPA Sweep Elbows'!$A$8:$A$11)
+COUNT('Pool &amp; SPA Pipe Extender'!$A$8:$A$10)+1,"")</f>
        <v/>
      </c>
      <c r="B144" s="610"/>
      <c r="C144" s="611"/>
      <c r="D144" s="142" t="str">
        <f>_xlfn.XLOOKUP(E144,'All Products'!D:D,'All Products'!C:C,FALSE)</f>
        <v>837-421</v>
      </c>
      <c r="E144" s="103">
        <v>100023649</v>
      </c>
      <c r="F144" s="413" t="str">
        <f>_xlfn.XLOOKUP(E144,'All Products'!D:D,'All Products'!E:E,FALSE)</f>
        <v>4X2-1/2 RED BUSHING SPGXS SCH80</v>
      </c>
      <c r="G144" s="233">
        <f>_xlfn.XLOOKUP(E144,'All Products'!D:D,'All Products'!F:F,FALSE)</f>
        <v>10</v>
      </c>
      <c r="H144" s="196">
        <f>_xlfn.XLOOKUP(E144,'All Products'!D:D,'All Products'!G:G,FALSE)</f>
        <v>1500</v>
      </c>
      <c r="I144" s="415">
        <f>_xlfn.XLOOKUP(E144,'All Products'!D:D,'All Products'!H:H,FALSE)</f>
        <v>160.71</v>
      </c>
      <c r="J144" s="130">
        <f>ROUND(I144*Order_Quote!$L$8,2)</f>
        <v>160.71</v>
      </c>
      <c r="K144" s="75"/>
      <c r="L144" s="113"/>
      <c r="M144" s="171">
        <f t="shared" si="4"/>
        <v>0</v>
      </c>
      <c r="O144" s="265" t="str">
        <f>_xlfn.XLOOKUP(E144,'All Products'!D:D,'All Products'!I:I,FALSE)</f>
        <v>In Stock</v>
      </c>
      <c r="P144" s="265" t="str">
        <f>_xlfn.XLOOKUP(E144,'All Products'!D:D,'All Products'!J:J,FALSE)</f>
        <v>Manufactured</v>
      </c>
      <c r="Q144" s="266">
        <f>_xlfn.XLOOKUP(E144,'All Products'!D:D,'All Products'!K:K,FALSE)</f>
        <v>49081157302</v>
      </c>
      <c r="R144" s="266" t="str">
        <f>_xlfn.XLOOKUP(E144,'All Products'!D:D,'All Products'!L:L,FALSE)</f>
        <v>-</v>
      </c>
      <c r="S144" s="266">
        <f>_xlfn.XLOOKUP(E144,'All Products'!D:D,'All Products'!M:M,FALSE)</f>
        <v>40049081157300</v>
      </c>
      <c r="T144" s="265">
        <f>_xlfn.XLOOKUP(E144,'All Products'!D:D,'All Products'!N:N,FALSE)</f>
        <v>1.075</v>
      </c>
      <c r="U144" s="266" t="str">
        <f>_xlfn.XLOOKUP(E144,'All Products'!D:D,'All Products'!O:O,FALSE)</f>
        <v>-</v>
      </c>
      <c r="V144" s="265">
        <f>_xlfn.XLOOKUP(E144,'All Products'!D:D,'All Products'!P:P,FALSE)</f>
        <v>10.94</v>
      </c>
      <c r="W144" s="265">
        <f>_xlfn.XLOOKUP(E144,'All Products'!D:D,'All Products'!Q:Q,FALSE)</f>
        <v>0.5</v>
      </c>
    </row>
    <row r="145" spans="1:23">
      <c r="A145" s="101" t="str">
        <f>IF(K145&gt;0,COUNT($A$7:A144)
+COUNT('DWV PVC'!$A$9:$A$316)
+COUNT('DWV ABS'!$A$8:$A$116)
+COUNT('PVC SCH40'!$A$8:$A$424)
+COUNT('PVC SCH40 LD'!$A$8:$A$21)
+COUNT('Pool &amp; SPA Sweep Elbows'!$A$8:$A$11)
+COUNT('Pool &amp; SPA Pipe Extender'!$A$8:$A$10)+1,"")</f>
        <v/>
      </c>
      <c r="B145" s="610"/>
      <c r="C145" s="611"/>
      <c r="D145" s="142" t="str">
        <f>_xlfn.XLOOKUP(E145,'All Products'!D:D,'All Products'!C:C,FALSE)</f>
        <v>837-422</v>
      </c>
      <c r="E145" s="103">
        <v>100023650</v>
      </c>
      <c r="F145" s="413" t="str">
        <f>_xlfn.XLOOKUP(E145,'All Products'!D:D,'All Products'!E:E,FALSE)</f>
        <v>4X3 RED BUSHING SPGXS SCH80</v>
      </c>
      <c r="G145" s="233">
        <f>_xlfn.XLOOKUP(E145,'All Products'!D:D,'All Products'!F:F,FALSE)</f>
        <v>10</v>
      </c>
      <c r="H145" s="196">
        <f>_xlfn.XLOOKUP(E145,'All Products'!D:D,'All Products'!G:G,FALSE)</f>
        <v>1500</v>
      </c>
      <c r="I145" s="415">
        <f>_xlfn.XLOOKUP(E145,'All Products'!D:D,'All Products'!H:H,FALSE)</f>
        <v>160.71</v>
      </c>
      <c r="J145" s="130">
        <f>ROUND(I145*Order_Quote!$L$8,2)</f>
        <v>160.71</v>
      </c>
      <c r="K145" s="75"/>
      <c r="L145" s="113"/>
      <c r="M145" s="171">
        <f t="shared" si="4"/>
        <v>0</v>
      </c>
      <c r="O145" s="265" t="str">
        <f>_xlfn.XLOOKUP(E145,'All Products'!D:D,'All Products'!I:I,FALSE)</f>
        <v>In Stock</v>
      </c>
      <c r="P145" s="265" t="str">
        <f>_xlfn.XLOOKUP(E145,'All Products'!D:D,'All Products'!J:J,FALSE)</f>
        <v>Manufactured</v>
      </c>
      <c r="Q145" s="266">
        <f>_xlfn.XLOOKUP(E145,'All Products'!D:D,'All Products'!K:K,FALSE)</f>
        <v>49081157289</v>
      </c>
      <c r="R145" s="266" t="str">
        <f>_xlfn.XLOOKUP(E145,'All Products'!D:D,'All Products'!L:L,FALSE)</f>
        <v>-</v>
      </c>
      <c r="S145" s="266">
        <f>_xlfn.XLOOKUP(E145,'All Products'!D:D,'All Products'!M:M,FALSE)</f>
        <v>40049081157287</v>
      </c>
      <c r="T145" s="265">
        <f>_xlfn.XLOOKUP(E145,'All Products'!D:D,'All Products'!N:N,FALSE)</f>
        <v>0.83499999999999996</v>
      </c>
      <c r="U145" s="266" t="str">
        <f>_xlfn.XLOOKUP(E145,'All Products'!D:D,'All Products'!O:O,FALSE)</f>
        <v>-</v>
      </c>
      <c r="V145" s="265">
        <f>_xlfn.XLOOKUP(E145,'All Products'!D:D,'All Products'!P:P,FALSE)</f>
        <v>8.59</v>
      </c>
      <c r="W145" s="265">
        <f>_xlfn.XLOOKUP(E145,'All Products'!D:D,'All Products'!Q:Q,FALSE)</f>
        <v>0.5</v>
      </c>
    </row>
    <row r="146" spans="1:23">
      <c r="A146" s="101" t="str">
        <f>IF(K146&gt;0,COUNT($A$7:A145)
+COUNT('DWV PVC'!$A$9:$A$316)
+COUNT('DWV ABS'!$A$8:$A$116)
+COUNT('PVC SCH40'!$A$8:$A$424)
+COUNT('PVC SCH40 LD'!$A$8:$A$21)
+COUNT('Pool &amp; SPA Sweep Elbows'!$A$8:$A$11)
+COUNT('Pool &amp; SPA Pipe Extender'!$A$8:$A$10)+1,"")</f>
        <v/>
      </c>
      <c r="B146" s="610"/>
      <c r="C146" s="611"/>
      <c r="D146" s="142" t="str">
        <f>_xlfn.XLOOKUP(E146,'All Products'!D:D,'All Products'!C:C,FALSE)</f>
        <v>837-532</v>
      </c>
      <c r="E146" s="103">
        <v>100023653</v>
      </c>
      <c r="F146" s="413" t="str">
        <f>_xlfn.XLOOKUP(E146,'All Products'!D:D,'All Products'!E:E,FALSE)</f>
        <v>6X4 RED BUSHING SPGXS SCH80</v>
      </c>
      <c r="G146" s="233">
        <f>_xlfn.XLOOKUP(E146,'All Products'!D:D,'All Products'!F:F,FALSE)</f>
        <v>4</v>
      </c>
      <c r="H146" s="196">
        <f>_xlfn.XLOOKUP(E146,'All Products'!D:D,'All Products'!G:G,FALSE)</f>
        <v>480</v>
      </c>
      <c r="I146" s="415">
        <f>_xlfn.XLOOKUP(E146,'All Products'!D:D,'All Products'!H:H,FALSE)</f>
        <v>223.4</v>
      </c>
      <c r="J146" s="130">
        <f>ROUND(I146*Order_Quote!$L$8,2)</f>
        <v>223.4</v>
      </c>
      <c r="K146" s="75"/>
      <c r="L146" s="113"/>
      <c r="M146" s="171">
        <f t="shared" si="4"/>
        <v>0</v>
      </c>
      <c r="O146" s="265" t="str">
        <f>_xlfn.XLOOKUP(E146,'All Products'!D:D,'All Products'!I:I,FALSE)</f>
        <v>In Stock</v>
      </c>
      <c r="P146" s="265" t="str">
        <f>_xlfn.XLOOKUP(E146,'All Products'!D:D,'All Products'!J:J,FALSE)</f>
        <v>Manufactured</v>
      </c>
      <c r="Q146" s="266">
        <f>_xlfn.XLOOKUP(E146,'All Products'!D:D,'All Products'!K:K,FALSE)</f>
        <v>49081157487</v>
      </c>
      <c r="R146" s="266" t="str">
        <f>_xlfn.XLOOKUP(E146,'All Products'!D:D,'All Products'!L:L,FALSE)</f>
        <v>-</v>
      </c>
      <c r="S146" s="266">
        <f>_xlfn.XLOOKUP(E146,'All Products'!D:D,'All Products'!M:M,FALSE)</f>
        <v>40049081157485</v>
      </c>
      <c r="T146" s="265">
        <f>_xlfn.XLOOKUP(E146,'All Products'!D:D,'All Products'!N:N,FALSE)</f>
        <v>1.913</v>
      </c>
      <c r="U146" s="266" t="str">
        <f>_xlfn.XLOOKUP(E146,'All Products'!D:D,'All Products'!O:O,FALSE)</f>
        <v>-</v>
      </c>
      <c r="V146" s="265">
        <f>_xlfn.XLOOKUP(E146,'All Products'!D:D,'All Products'!P:P,FALSE)</f>
        <v>11.37</v>
      </c>
      <c r="W146" s="265">
        <f>_xlfn.XLOOKUP(E146,'All Products'!D:D,'All Products'!Q:Q,FALSE)</f>
        <v>0.65</v>
      </c>
    </row>
    <row r="147" spans="1:23">
      <c r="A147" s="101" t="str">
        <f>IF(K147&gt;0,COUNT($A$7:A146)
+COUNT('DWV PVC'!$A$9:$A$316)
+COUNT('DWV ABS'!$A$8:$A$116)
+COUNT('PVC SCH40'!$A$8:$A$424)
+COUNT('PVC SCH40 LD'!$A$8:$A$21)
+COUNT('Pool &amp; SPA Sweep Elbows'!$A$8:$A$11)
+COUNT('Pool &amp; SPA Pipe Extender'!$A$8:$A$10)+1,"")</f>
        <v/>
      </c>
      <c r="B147" s="608"/>
      <c r="C147" s="609"/>
      <c r="D147" s="142" t="str">
        <f>_xlfn.XLOOKUP(E147,'All Products'!D:D,'All Products'!C:C,FALSE)</f>
        <v>838-052</v>
      </c>
      <c r="E147" s="103">
        <v>100028164</v>
      </c>
      <c r="F147" s="413" t="str">
        <f>_xlfn.XLOOKUP(E147,'All Products'!D:D,'All Products'!E:E,FALSE)</f>
        <v>3/8X1/4 RED BUSHING SPGXFIPT SCH80</v>
      </c>
      <c r="G147" s="233">
        <f>_xlfn.XLOOKUP(E147,'All Products'!D:D,'All Products'!F:F,FALSE)</f>
        <v>500</v>
      </c>
      <c r="H147" s="196">
        <f>_xlfn.XLOOKUP(E147,'All Products'!D:D,'All Products'!G:G,FALSE)</f>
        <v>0</v>
      </c>
      <c r="I147" s="415">
        <f>_xlfn.XLOOKUP(E147,'All Products'!D:D,'All Products'!H:H,FALSE)</f>
        <v>13.23</v>
      </c>
      <c r="J147" s="130">
        <f>ROUND(I147*Order_Quote!$L$8,2)</f>
        <v>13.23</v>
      </c>
      <c r="K147" s="75"/>
      <c r="L147" s="113"/>
      <c r="M147" s="171">
        <f t="shared" si="4"/>
        <v>0</v>
      </c>
      <c r="O147" s="265" t="str">
        <f>_xlfn.XLOOKUP(E147,'All Products'!D:D,'All Products'!I:I,FALSE)</f>
        <v>Within 3 Weeks</v>
      </c>
      <c r="P147" s="265" t="str">
        <f>_xlfn.XLOOKUP(E147,'All Products'!D:D,'All Products'!J:J,FALSE)</f>
        <v>Manufactured</v>
      </c>
      <c r="Q147" s="266">
        <f>_xlfn.XLOOKUP(E147,'All Products'!D:D,'All Products'!K:K,FALSE)</f>
        <v>49081157722</v>
      </c>
      <c r="R147" s="266" t="str">
        <f>_xlfn.XLOOKUP(E147,'All Products'!D:D,'All Products'!L:L,FALSE)</f>
        <v>-</v>
      </c>
      <c r="S147" s="266">
        <f>_xlfn.XLOOKUP(E147,'All Products'!D:D,'All Products'!M:M,FALSE)</f>
        <v>40049081157720</v>
      </c>
      <c r="T147" s="265">
        <f>_xlfn.XLOOKUP(E147,'All Products'!D:D,'All Products'!N:N,FALSE)</f>
        <v>1.0999999999999999E-2</v>
      </c>
      <c r="U147" s="266" t="str">
        <f>_xlfn.XLOOKUP(E147,'All Products'!D:D,'All Products'!O:O,FALSE)</f>
        <v>-</v>
      </c>
      <c r="V147" s="265">
        <f>_xlfn.XLOOKUP(E147,'All Products'!D:D,'All Products'!P:P,FALSE)</f>
        <v>5.5</v>
      </c>
      <c r="W147" s="265" t="str">
        <f>_xlfn.XLOOKUP(E147,'All Products'!D:D,'All Products'!Q:Q,FALSE)</f>
        <v>-</v>
      </c>
    </row>
    <row r="148" spans="1:23">
      <c r="A148" s="101" t="str">
        <f>IF(K148&gt;0,COUNT($A$7:A147)
+COUNT('DWV PVC'!$A$9:$A$316)
+COUNT('DWV ABS'!$A$8:$A$116)
+COUNT('PVC SCH40'!$A$8:$A$424)
+COUNT('PVC SCH40 LD'!$A$8:$A$21)
+COUNT('Pool &amp; SPA Sweep Elbows'!$A$8:$A$11)
+COUNT('Pool &amp; SPA Pipe Extender'!$A$8:$A$10)+1,"")</f>
        <v/>
      </c>
      <c r="B148" s="610"/>
      <c r="C148" s="611"/>
      <c r="D148" s="142" t="str">
        <f>_xlfn.XLOOKUP(E148,'All Products'!D:D,'All Products'!C:C,FALSE)</f>
        <v>838-072</v>
      </c>
      <c r="E148" s="103">
        <v>100023654</v>
      </c>
      <c r="F148" s="413" t="str">
        <f>_xlfn.XLOOKUP(E148,'All Products'!D:D,'All Products'!E:E,FALSE)</f>
        <v>1/2X1/4 RED BUSHING SPGXFIPT SCH80</v>
      </c>
      <c r="G148" s="233">
        <f>_xlfn.XLOOKUP(E148,'All Products'!D:D,'All Products'!F:F,FALSE)</f>
        <v>500</v>
      </c>
      <c r="H148" s="196">
        <f>_xlfn.XLOOKUP(E148,'All Products'!D:D,'All Products'!G:G,FALSE)</f>
        <v>60000</v>
      </c>
      <c r="I148" s="415">
        <f>_xlfn.XLOOKUP(E148,'All Products'!D:D,'All Products'!H:H,FALSE)</f>
        <v>13.23</v>
      </c>
      <c r="J148" s="130">
        <f>ROUND(I148*Order_Quote!$L$8,2)</f>
        <v>13.23</v>
      </c>
      <c r="K148" s="75"/>
      <c r="L148" s="113"/>
      <c r="M148" s="171">
        <f t="shared" si="4"/>
        <v>0</v>
      </c>
      <c r="O148" s="265" t="str">
        <f>_xlfn.XLOOKUP(E148,'All Products'!D:D,'All Products'!I:I,FALSE)</f>
        <v>In Stock</v>
      </c>
      <c r="P148" s="265" t="str">
        <f>_xlfn.XLOOKUP(E148,'All Products'!D:D,'All Products'!J:J,FALSE)</f>
        <v>Manufactured</v>
      </c>
      <c r="Q148" s="266">
        <f>_xlfn.XLOOKUP(E148,'All Products'!D:D,'All Products'!K:K,FALSE)</f>
        <v>49081157760</v>
      </c>
      <c r="R148" s="266">
        <f>_xlfn.XLOOKUP(E148,'All Products'!D:D,'All Products'!L:L,FALSE)</f>
        <v>49081657765</v>
      </c>
      <c r="S148" s="266">
        <f>_xlfn.XLOOKUP(E148,'All Products'!D:D,'All Products'!M:M,FALSE)</f>
        <v>40049081157768</v>
      </c>
      <c r="T148" s="265">
        <f>_xlfn.XLOOKUP(E148,'All Products'!D:D,'All Products'!N:N,FALSE)</f>
        <v>0.02</v>
      </c>
      <c r="U148" s="266">
        <f>_xlfn.XLOOKUP(E148,'All Products'!D:D,'All Products'!O:O,FALSE)</f>
        <v>10</v>
      </c>
      <c r="V148" s="265">
        <f>_xlfn.XLOOKUP(E148,'All Products'!D:D,'All Products'!P:P,FALSE)</f>
        <v>11.46</v>
      </c>
      <c r="W148" s="265">
        <f>_xlfn.XLOOKUP(E148,'All Products'!D:D,'All Products'!Q:Q,FALSE)</f>
        <v>0.65</v>
      </c>
    </row>
    <row r="149" spans="1:23">
      <c r="A149" s="101" t="str">
        <f>IF(K149&gt;0,COUNT($A$7:A148)
+COUNT('DWV PVC'!$A$9:$A$316)
+COUNT('DWV ABS'!$A$8:$A$116)
+COUNT('PVC SCH40'!$A$8:$A$424)
+COUNT('PVC SCH40 LD'!$A$8:$A$21)
+COUNT('Pool &amp; SPA Sweep Elbows'!$A$8:$A$11)
+COUNT('Pool &amp; SPA Pipe Extender'!$A$8:$A$10)+1,"")</f>
        <v/>
      </c>
      <c r="B149" s="610"/>
      <c r="C149" s="611"/>
      <c r="D149" s="142" t="str">
        <f>_xlfn.XLOOKUP(E149,'All Products'!D:D,'All Products'!C:C,FALSE)</f>
        <v>838-073</v>
      </c>
      <c r="E149" s="103">
        <v>100023655</v>
      </c>
      <c r="F149" s="413" t="str">
        <f>_xlfn.XLOOKUP(E149,'All Products'!D:D,'All Products'!E:E,FALSE)</f>
        <v>1/2X3/8 RED BUSHING SPGXFIPT SCH80</v>
      </c>
      <c r="G149" s="233">
        <f>_xlfn.XLOOKUP(E149,'All Products'!D:D,'All Products'!F:F,FALSE)</f>
        <v>500</v>
      </c>
      <c r="H149" s="196">
        <f>_xlfn.XLOOKUP(E149,'All Products'!D:D,'All Products'!G:G,FALSE)</f>
        <v>75000</v>
      </c>
      <c r="I149" s="415">
        <f>_xlfn.XLOOKUP(E149,'All Products'!D:D,'All Products'!H:H,FALSE)</f>
        <v>13.23</v>
      </c>
      <c r="J149" s="130">
        <f>ROUND(I149*Order_Quote!$L$8,2)</f>
        <v>13.23</v>
      </c>
      <c r="K149" s="75"/>
      <c r="L149" s="113"/>
      <c r="M149" s="171">
        <f t="shared" si="4"/>
        <v>0</v>
      </c>
      <c r="O149" s="265" t="str">
        <f>_xlfn.XLOOKUP(E149,'All Products'!D:D,'All Products'!I:I,FALSE)</f>
        <v>Within 3 Weeks</v>
      </c>
      <c r="P149" s="265" t="str">
        <f>_xlfn.XLOOKUP(E149,'All Products'!D:D,'All Products'!J:J,FALSE)</f>
        <v>Manufactured</v>
      </c>
      <c r="Q149" s="266">
        <f>_xlfn.XLOOKUP(E149,'All Products'!D:D,'All Products'!K:K,FALSE)</f>
        <v>49081157746</v>
      </c>
      <c r="R149" s="266">
        <f>_xlfn.XLOOKUP(E149,'All Products'!D:D,'All Products'!L:L,FALSE)</f>
        <v>49081657741</v>
      </c>
      <c r="S149" s="266">
        <f>_xlfn.XLOOKUP(E149,'All Products'!D:D,'All Products'!M:M,FALSE)</f>
        <v>40049081157744</v>
      </c>
      <c r="T149" s="265">
        <f>_xlfn.XLOOKUP(E149,'All Products'!D:D,'All Products'!N:N,FALSE)</f>
        <v>8.9999999999999993E-3</v>
      </c>
      <c r="U149" s="266">
        <f>_xlfn.XLOOKUP(E149,'All Products'!D:D,'All Products'!O:O,FALSE)</f>
        <v>10</v>
      </c>
      <c r="V149" s="265">
        <f>_xlfn.XLOOKUP(E149,'All Products'!D:D,'All Products'!P:P,FALSE)</f>
        <v>4.68</v>
      </c>
      <c r="W149" s="265">
        <f>_xlfn.XLOOKUP(E149,'All Products'!D:D,'All Products'!Q:Q,FALSE)</f>
        <v>0.5</v>
      </c>
    </row>
    <row r="150" spans="1:23">
      <c r="A150" s="101" t="str">
        <f>IF(K150&gt;0,COUNT($A$7:A149)
+COUNT('DWV PVC'!$A$9:$A$316)
+COUNT('DWV ABS'!$A$8:$A$116)
+COUNT('PVC SCH40'!$A$8:$A$424)
+COUNT('PVC SCH40 LD'!$A$8:$A$21)
+COUNT('Pool &amp; SPA Sweep Elbows'!$A$8:$A$11)
+COUNT('Pool &amp; SPA Pipe Extender'!$A$8:$A$10)+1,"")</f>
        <v/>
      </c>
      <c r="B150" s="610"/>
      <c r="C150" s="611"/>
      <c r="D150" s="142" t="str">
        <f>_xlfn.XLOOKUP(E150,'All Products'!D:D,'All Products'!C:C,FALSE)</f>
        <v>838-098</v>
      </c>
      <c r="E150" s="103">
        <v>100023656</v>
      </c>
      <c r="F150" s="413" t="str">
        <f>_xlfn.XLOOKUP(E150,'All Products'!D:D,'All Products'!E:E,FALSE)</f>
        <v>3/4X1/4 RED BUSHING SPGXFIPT SCH80</v>
      </c>
      <c r="G150" s="233">
        <f>_xlfn.XLOOKUP(E150,'All Products'!D:D,'All Products'!F:F,FALSE)</f>
        <v>250</v>
      </c>
      <c r="H150" s="196">
        <f>_xlfn.XLOOKUP(E150,'All Products'!D:D,'All Products'!G:G,FALSE)</f>
        <v>37500</v>
      </c>
      <c r="I150" s="415">
        <f>_xlfn.XLOOKUP(E150,'All Products'!D:D,'All Products'!H:H,FALSE)</f>
        <v>8.7200000000000006</v>
      </c>
      <c r="J150" s="130">
        <f>ROUND(I150*Order_Quote!$L$8,2)</f>
        <v>8.7200000000000006</v>
      </c>
      <c r="K150" s="75"/>
      <c r="L150" s="113"/>
      <c r="M150" s="171">
        <f t="shared" si="4"/>
        <v>0</v>
      </c>
      <c r="O150" s="265" t="str">
        <f>_xlfn.XLOOKUP(E150,'All Products'!D:D,'All Products'!I:I,FALSE)</f>
        <v>Within 3 Weeks</v>
      </c>
      <c r="P150" s="265" t="str">
        <f>_xlfn.XLOOKUP(E150,'All Products'!D:D,'All Products'!J:J,FALSE)</f>
        <v>Manufactured</v>
      </c>
      <c r="Q150" s="266">
        <f>_xlfn.XLOOKUP(E150,'All Products'!D:D,'All Products'!K:K,FALSE)</f>
        <v>49081157845</v>
      </c>
      <c r="R150" s="266">
        <f>_xlfn.XLOOKUP(E150,'All Products'!D:D,'All Products'!L:L,FALSE)</f>
        <v>49081657840</v>
      </c>
      <c r="S150" s="266">
        <f>_xlfn.XLOOKUP(E150,'All Products'!D:D,'All Products'!M:M,FALSE)</f>
        <v>40049081157843</v>
      </c>
      <c r="T150" s="265">
        <f>_xlfn.XLOOKUP(E150,'All Products'!D:D,'All Products'!N:N,FALSE)</f>
        <v>3.5999999999999997E-2</v>
      </c>
      <c r="U150" s="266">
        <f>_xlfn.XLOOKUP(E150,'All Products'!D:D,'All Products'!O:O,FALSE)</f>
        <v>10</v>
      </c>
      <c r="V150" s="265">
        <f>_xlfn.XLOOKUP(E150,'All Products'!D:D,'All Products'!P:P,FALSE)</f>
        <v>11.34</v>
      </c>
      <c r="W150" s="265">
        <f>_xlfn.XLOOKUP(E150,'All Products'!D:D,'All Products'!Q:Q,FALSE)</f>
        <v>0.5</v>
      </c>
    </row>
    <row r="151" spans="1:23">
      <c r="A151" s="101" t="str">
        <f>IF(K151&gt;0,COUNT($A$7:A150)
+COUNT('DWV PVC'!$A$9:$A$316)
+COUNT('DWV ABS'!$A$8:$A$116)
+COUNT('PVC SCH40'!$A$8:$A$424)
+COUNT('PVC SCH40 LD'!$A$8:$A$21)
+COUNT('Pool &amp; SPA Sweep Elbows'!$A$8:$A$11)
+COUNT('Pool &amp; SPA Pipe Extender'!$A$8:$A$10)+1,"")</f>
        <v/>
      </c>
      <c r="B151" s="610"/>
      <c r="C151" s="611"/>
      <c r="D151" s="142" t="str">
        <f>_xlfn.XLOOKUP(E151,'All Products'!D:D,'All Products'!C:C,FALSE)</f>
        <v>838-101</v>
      </c>
      <c r="E151" s="103">
        <v>100023658</v>
      </c>
      <c r="F151" s="413" t="str">
        <f>_xlfn.XLOOKUP(E151,'All Products'!D:D,'All Products'!E:E,FALSE)</f>
        <v>3/4X1/2 RED BUSHING SPGXFIPT SCH80</v>
      </c>
      <c r="G151" s="233">
        <f>_xlfn.XLOOKUP(E151,'All Products'!D:D,'All Products'!F:F,FALSE)</f>
        <v>250</v>
      </c>
      <c r="H151" s="196">
        <f>_xlfn.XLOOKUP(E151,'All Products'!D:D,'All Products'!G:G,FALSE)</f>
        <v>37500</v>
      </c>
      <c r="I151" s="415">
        <f>_xlfn.XLOOKUP(E151,'All Products'!D:D,'All Products'!H:H,FALSE)</f>
        <v>8.7200000000000006</v>
      </c>
      <c r="J151" s="130">
        <f>ROUND(I151*Order_Quote!$L$8,2)</f>
        <v>8.7200000000000006</v>
      </c>
      <c r="K151" s="75"/>
      <c r="L151" s="113"/>
      <c r="M151" s="171">
        <f t="shared" si="4"/>
        <v>0</v>
      </c>
      <c r="O151" s="265" t="str">
        <f>_xlfn.XLOOKUP(E151,'All Products'!D:D,'All Products'!I:I,FALSE)</f>
        <v>In Stock</v>
      </c>
      <c r="P151" s="265" t="str">
        <f>_xlfn.XLOOKUP(E151,'All Products'!D:D,'All Products'!J:J,FALSE)</f>
        <v>Manufactured</v>
      </c>
      <c r="Q151" s="266">
        <f>_xlfn.XLOOKUP(E151,'All Products'!D:D,'All Products'!K:K,FALSE)</f>
        <v>49081157807</v>
      </c>
      <c r="R151" s="266">
        <f>_xlfn.XLOOKUP(E151,'All Products'!D:D,'All Products'!L:L,FALSE)</f>
        <v>49081657802</v>
      </c>
      <c r="S151" s="266">
        <f>_xlfn.XLOOKUP(E151,'All Products'!D:D,'All Products'!M:M,FALSE)</f>
        <v>40049081157805</v>
      </c>
      <c r="T151" s="265">
        <f>_xlfn.XLOOKUP(E151,'All Products'!D:D,'All Products'!N:N,FALSE)</f>
        <v>2.8000000000000001E-2</v>
      </c>
      <c r="U151" s="266">
        <f>_xlfn.XLOOKUP(E151,'All Products'!D:D,'All Products'!O:O,FALSE)</f>
        <v>10</v>
      </c>
      <c r="V151" s="265">
        <f>_xlfn.XLOOKUP(E151,'All Products'!D:D,'All Products'!P:P,FALSE)</f>
        <v>7.98</v>
      </c>
      <c r="W151" s="265">
        <f>_xlfn.XLOOKUP(E151,'All Products'!D:D,'All Products'!Q:Q,FALSE)</f>
        <v>0.5</v>
      </c>
    </row>
    <row r="152" spans="1:23">
      <c r="A152" s="101" t="str">
        <f>IF(K152&gt;0,COUNT($A$7:A151)
+COUNT('DWV PVC'!$A$9:$A$316)
+COUNT('DWV ABS'!$A$8:$A$116)
+COUNT('PVC SCH40'!$A$8:$A$424)
+COUNT('PVC SCH40 LD'!$A$8:$A$21)
+COUNT('Pool &amp; SPA Sweep Elbows'!$A$8:$A$11)
+COUNT('Pool &amp; SPA Pipe Extender'!$A$8:$A$10)+1,"")</f>
        <v/>
      </c>
      <c r="B152" s="610"/>
      <c r="C152" s="611"/>
      <c r="D152" s="142" t="str">
        <f>_xlfn.XLOOKUP(E152,'All Products'!D:D,'All Products'!C:C,FALSE)</f>
        <v>838-129</v>
      </c>
      <c r="E152" s="103">
        <v>100023660</v>
      </c>
      <c r="F152" s="413" t="str">
        <f>_xlfn.XLOOKUP(E152,'All Products'!D:D,'All Products'!E:E,FALSE)</f>
        <v>1X3/8 RED BUSHING SPGXFIPT SCH80</v>
      </c>
      <c r="G152" s="233">
        <f>_xlfn.XLOOKUP(E152,'All Products'!D:D,'All Products'!F:F,FALSE)</f>
        <v>250</v>
      </c>
      <c r="H152" s="196">
        <f>_xlfn.XLOOKUP(E152,'All Products'!D:D,'All Products'!G:G,FALSE)</f>
        <v>37500</v>
      </c>
      <c r="I152" s="415">
        <f>_xlfn.XLOOKUP(E152,'All Products'!D:D,'All Products'!H:H,FALSE)</f>
        <v>13.89</v>
      </c>
      <c r="J152" s="130">
        <f>ROUND(I152*Order_Quote!$L$8,2)</f>
        <v>13.89</v>
      </c>
      <c r="K152" s="75"/>
      <c r="L152" s="113"/>
      <c r="M152" s="171">
        <f t="shared" si="4"/>
        <v>0</v>
      </c>
      <c r="O152" s="265" t="str">
        <f>_xlfn.XLOOKUP(E152,'All Products'!D:D,'All Products'!I:I,FALSE)</f>
        <v>Within 3 Weeks</v>
      </c>
      <c r="P152" s="265" t="str">
        <f>_xlfn.XLOOKUP(E152,'All Products'!D:D,'All Products'!J:J,FALSE)</f>
        <v>Manufactured</v>
      </c>
      <c r="Q152" s="266">
        <f>_xlfn.XLOOKUP(E152,'All Products'!D:D,'All Products'!K:K,FALSE)</f>
        <v>49081157906</v>
      </c>
      <c r="R152" s="266">
        <f>_xlfn.XLOOKUP(E152,'All Products'!D:D,'All Products'!L:L,FALSE)</f>
        <v>49081657901</v>
      </c>
      <c r="S152" s="266">
        <f>_xlfn.XLOOKUP(E152,'All Products'!D:D,'All Products'!M:M,FALSE)</f>
        <v>40049081157904</v>
      </c>
      <c r="T152" s="265">
        <f>_xlfn.XLOOKUP(E152,'All Products'!D:D,'All Products'!N:N,FALSE)</f>
        <v>0.05</v>
      </c>
      <c r="U152" s="266">
        <f>_xlfn.XLOOKUP(E152,'All Products'!D:D,'All Products'!O:O,FALSE)</f>
        <v>10</v>
      </c>
      <c r="V152" s="265">
        <f>_xlfn.XLOOKUP(E152,'All Products'!D:D,'All Products'!P:P,FALSE)</f>
        <v>17.3</v>
      </c>
      <c r="W152" s="265">
        <f>_xlfn.XLOOKUP(E152,'All Products'!D:D,'All Products'!Q:Q,FALSE)</f>
        <v>0.5</v>
      </c>
    </row>
    <row r="153" spans="1:23">
      <c r="A153" s="101" t="str">
        <f>IF(K153&gt;0,COUNT($A$7:A152)
+COUNT('DWV PVC'!$A$9:$A$316)
+COUNT('DWV ABS'!$A$8:$A$116)
+COUNT('PVC SCH40'!$A$8:$A$424)
+COUNT('PVC SCH40 LD'!$A$8:$A$21)
+COUNT('Pool &amp; SPA Sweep Elbows'!$A$8:$A$11)
+COUNT('Pool &amp; SPA Pipe Extender'!$A$8:$A$10)+1,"")</f>
        <v/>
      </c>
      <c r="B153" s="610"/>
      <c r="C153" s="611"/>
      <c r="D153" s="142" t="str">
        <f>_xlfn.XLOOKUP(E153,'All Products'!D:D,'All Products'!C:C,FALSE)</f>
        <v>838-130</v>
      </c>
      <c r="E153" s="103">
        <v>100023661</v>
      </c>
      <c r="F153" s="413" t="str">
        <f>_xlfn.XLOOKUP(E153,'All Products'!D:D,'All Products'!E:E,FALSE)</f>
        <v>1X1/2 RED BUSHING SPGXFIPT SCH80</v>
      </c>
      <c r="G153" s="233">
        <f>_xlfn.XLOOKUP(E153,'All Products'!D:D,'All Products'!F:F,FALSE)</f>
        <v>250</v>
      </c>
      <c r="H153" s="196">
        <f>_xlfn.XLOOKUP(E153,'All Products'!D:D,'All Products'!G:G,FALSE)</f>
        <v>30000</v>
      </c>
      <c r="I153" s="415">
        <f>_xlfn.XLOOKUP(E153,'All Products'!D:D,'All Products'!H:H,FALSE)</f>
        <v>13.89</v>
      </c>
      <c r="J153" s="130">
        <f>ROUND(I153*Order_Quote!$L$8,2)</f>
        <v>13.89</v>
      </c>
      <c r="K153" s="75"/>
      <c r="L153" s="113"/>
      <c r="M153" s="171">
        <f t="shared" si="4"/>
        <v>0</v>
      </c>
      <c r="O153" s="265" t="str">
        <f>_xlfn.XLOOKUP(E153,'All Products'!D:D,'All Products'!I:I,FALSE)</f>
        <v>Within 3 Weeks</v>
      </c>
      <c r="P153" s="265" t="str">
        <f>_xlfn.XLOOKUP(E153,'All Products'!D:D,'All Products'!J:J,FALSE)</f>
        <v>Manufactured</v>
      </c>
      <c r="Q153" s="266">
        <f>_xlfn.XLOOKUP(E153,'All Products'!D:D,'All Products'!K:K,FALSE)</f>
        <v>49081157883</v>
      </c>
      <c r="R153" s="266">
        <f>_xlfn.XLOOKUP(E153,'All Products'!D:D,'All Products'!L:L,FALSE)</f>
        <v>49081657888</v>
      </c>
      <c r="S153" s="266">
        <f>_xlfn.XLOOKUP(E153,'All Products'!D:D,'All Products'!M:M,FALSE)</f>
        <v>40049081157881</v>
      </c>
      <c r="T153" s="265">
        <f>_xlfn.XLOOKUP(E153,'All Products'!D:D,'All Products'!N:N,FALSE)</f>
        <v>0.05</v>
      </c>
      <c r="U153" s="266">
        <f>_xlfn.XLOOKUP(E153,'All Products'!D:D,'All Products'!O:O,FALSE)</f>
        <v>10</v>
      </c>
      <c r="V153" s="265">
        <f>_xlfn.XLOOKUP(E153,'All Products'!D:D,'All Products'!P:P,FALSE)</f>
        <v>15.43</v>
      </c>
      <c r="W153" s="265">
        <f>_xlfn.XLOOKUP(E153,'All Products'!D:D,'All Products'!Q:Q,FALSE)</f>
        <v>0.65</v>
      </c>
    </row>
    <row r="154" spans="1:23">
      <c r="A154" s="101" t="str">
        <f>IF(K154&gt;0,COUNT($A$7:A153)
+COUNT('DWV PVC'!$A$9:$A$316)
+COUNT('DWV ABS'!$A$8:$A$116)
+COUNT('PVC SCH40'!$A$8:$A$424)
+COUNT('PVC SCH40 LD'!$A$8:$A$21)
+COUNT('Pool &amp; SPA Sweep Elbows'!$A$8:$A$11)
+COUNT('Pool &amp; SPA Pipe Extender'!$A$8:$A$10)+1,"")</f>
        <v/>
      </c>
      <c r="B154" s="610"/>
      <c r="C154" s="611"/>
      <c r="D154" s="142" t="str">
        <f>_xlfn.XLOOKUP(E154,'All Products'!D:D,'All Products'!C:C,FALSE)</f>
        <v>838-131</v>
      </c>
      <c r="E154" s="103">
        <v>100023662</v>
      </c>
      <c r="F154" s="413" t="str">
        <f>_xlfn.XLOOKUP(E154,'All Products'!D:D,'All Products'!E:E,FALSE)</f>
        <v>1X3/4 RED BUSHING SPGXFIPT SCH80</v>
      </c>
      <c r="G154" s="233">
        <f>_xlfn.XLOOKUP(E154,'All Products'!D:D,'All Products'!F:F,FALSE)</f>
        <v>250</v>
      </c>
      <c r="H154" s="196">
        <f>_xlfn.XLOOKUP(E154,'All Products'!D:D,'All Products'!G:G,FALSE)</f>
        <v>30000</v>
      </c>
      <c r="I154" s="415">
        <f>_xlfn.XLOOKUP(E154,'All Products'!D:D,'All Products'!H:H,FALSE)</f>
        <v>13.89</v>
      </c>
      <c r="J154" s="130">
        <f>ROUND(I154*Order_Quote!$L$8,2)</f>
        <v>13.89</v>
      </c>
      <c r="K154" s="75"/>
      <c r="L154" s="113"/>
      <c r="M154" s="171">
        <f t="shared" si="4"/>
        <v>0</v>
      </c>
      <c r="O154" s="265" t="str">
        <f>_xlfn.XLOOKUP(E154,'All Products'!D:D,'All Products'!I:I,FALSE)</f>
        <v>In Stock</v>
      </c>
      <c r="P154" s="265" t="str">
        <f>_xlfn.XLOOKUP(E154,'All Products'!D:D,'All Products'!J:J,FALSE)</f>
        <v>Manufactured</v>
      </c>
      <c r="Q154" s="266">
        <f>_xlfn.XLOOKUP(E154,'All Products'!D:D,'All Products'!K:K,FALSE)</f>
        <v>49081157869</v>
      </c>
      <c r="R154" s="266">
        <f>_xlfn.XLOOKUP(E154,'All Products'!D:D,'All Products'!L:L,FALSE)</f>
        <v>49081657864</v>
      </c>
      <c r="S154" s="266">
        <f>_xlfn.XLOOKUP(E154,'All Products'!D:D,'All Products'!M:M,FALSE)</f>
        <v>40049081157867</v>
      </c>
      <c r="T154" s="265">
        <f>_xlfn.XLOOKUP(E154,'All Products'!D:D,'All Products'!N:N,FALSE)</f>
        <v>4.1000000000000002E-2</v>
      </c>
      <c r="U154" s="266">
        <f>_xlfn.XLOOKUP(E154,'All Products'!D:D,'All Products'!O:O,FALSE)</f>
        <v>10</v>
      </c>
      <c r="V154" s="265">
        <f>_xlfn.XLOOKUP(E154,'All Products'!D:D,'All Products'!P:P,FALSE)</f>
        <v>10.45</v>
      </c>
      <c r="W154" s="265">
        <f>_xlfn.XLOOKUP(E154,'All Products'!D:D,'All Products'!Q:Q,FALSE)</f>
        <v>0.65</v>
      </c>
    </row>
    <row r="155" spans="1:23">
      <c r="A155" s="101" t="str">
        <f>IF(K155&gt;0,COUNT($A$7:A154)
+COUNT('DWV PVC'!$A$9:$A$316)
+COUNT('DWV ABS'!$A$8:$A$116)
+COUNT('PVC SCH40'!$A$8:$A$424)
+COUNT('PVC SCH40 LD'!$A$8:$A$21)
+COUNT('Pool &amp; SPA Sweep Elbows'!$A$8:$A$11)
+COUNT('Pool &amp; SPA Pipe Extender'!$A$8:$A$10)+1,"")</f>
        <v/>
      </c>
      <c r="B155" s="610"/>
      <c r="C155" s="611"/>
      <c r="D155" s="142" t="str">
        <f>_xlfn.XLOOKUP(E155,'All Products'!D:D,'All Products'!C:C,FALSE)</f>
        <v>838-166</v>
      </c>
      <c r="E155" s="103">
        <v>100023663</v>
      </c>
      <c r="F155" s="413" t="str">
        <f>_xlfn.XLOOKUP(E155,'All Products'!D:D,'All Products'!E:E,FALSE)</f>
        <v>1-1/4X1/2 RED BUSHING SPGXFPT SCH80</v>
      </c>
      <c r="G155" s="233">
        <f>_xlfn.XLOOKUP(E155,'All Products'!D:D,'All Products'!F:F,FALSE)</f>
        <v>100</v>
      </c>
      <c r="H155" s="196">
        <f>_xlfn.XLOOKUP(E155,'All Products'!D:D,'All Products'!G:G,FALSE)</f>
        <v>15000</v>
      </c>
      <c r="I155" s="415">
        <f>_xlfn.XLOOKUP(E155,'All Products'!D:D,'All Products'!H:H,FALSE)</f>
        <v>28.06</v>
      </c>
      <c r="J155" s="130">
        <f>ROUND(I155*Order_Quote!$L$8,2)</f>
        <v>28.06</v>
      </c>
      <c r="K155" s="75"/>
      <c r="L155" s="113"/>
      <c r="M155" s="171">
        <f t="shared" si="4"/>
        <v>0</v>
      </c>
      <c r="O155" s="265" t="str">
        <f>_xlfn.XLOOKUP(E155,'All Products'!D:D,'All Products'!I:I,FALSE)</f>
        <v>In Stock</v>
      </c>
      <c r="P155" s="265" t="str">
        <f>_xlfn.XLOOKUP(E155,'All Products'!D:D,'All Products'!J:J,FALSE)</f>
        <v>Manufactured</v>
      </c>
      <c r="Q155" s="266">
        <f>_xlfn.XLOOKUP(E155,'All Products'!D:D,'All Products'!K:K,FALSE)</f>
        <v>49081157968</v>
      </c>
      <c r="R155" s="266">
        <f>_xlfn.XLOOKUP(E155,'All Products'!D:D,'All Products'!L:L,FALSE)</f>
        <v>49081657963</v>
      </c>
      <c r="S155" s="266">
        <f>_xlfn.XLOOKUP(E155,'All Products'!D:D,'All Products'!M:M,FALSE)</f>
        <v>40049081157966</v>
      </c>
      <c r="T155" s="265">
        <f>_xlfn.XLOOKUP(E155,'All Products'!D:D,'All Products'!N:N,FALSE)</f>
        <v>9.2999999999999999E-2</v>
      </c>
      <c r="U155" s="266">
        <f>_xlfn.XLOOKUP(E155,'All Products'!D:D,'All Products'!O:O,FALSE)</f>
        <v>10</v>
      </c>
      <c r="V155" s="265">
        <f>_xlfn.XLOOKUP(E155,'All Products'!D:D,'All Products'!P:P,FALSE)</f>
        <v>9.32</v>
      </c>
      <c r="W155" s="265">
        <f>_xlfn.XLOOKUP(E155,'All Products'!D:D,'All Products'!Q:Q,FALSE)</f>
        <v>0.5</v>
      </c>
    </row>
    <row r="156" spans="1:23">
      <c r="A156" s="101" t="str">
        <f>IF(K156&gt;0,COUNT($A$7:A155)
+COUNT('DWV PVC'!$A$9:$A$316)
+COUNT('DWV ABS'!$A$8:$A$116)
+COUNT('PVC SCH40'!$A$8:$A$424)
+COUNT('PVC SCH40 LD'!$A$8:$A$21)
+COUNT('Pool &amp; SPA Sweep Elbows'!$A$8:$A$11)
+COUNT('Pool &amp; SPA Pipe Extender'!$A$8:$A$10)+1,"")</f>
        <v/>
      </c>
      <c r="B156" s="610"/>
      <c r="C156" s="611"/>
      <c r="D156" s="142" t="str">
        <f>_xlfn.XLOOKUP(E156,'All Products'!D:D,'All Products'!C:C,FALSE)</f>
        <v>838-167</v>
      </c>
      <c r="E156" s="103">
        <v>100023664</v>
      </c>
      <c r="F156" s="413" t="str">
        <f>_xlfn.XLOOKUP(E156,'All Products'!D:D,'All Products'!E:E,FALSE)</f>
        <v>1-1/4X3/4 RED BUSHING SPGXFPT SCH80</v>
      </c>
      <c r="G156" s="233">
        <f>_xlfn.XLOOKUP(E156,'All Products'!D:D,'All Products'!F:F,FALSE)</f>
        <v>100</v>
      </c>
      <c r="H156" s="196">
        <f>_xlfn.XLOOKUP(E156,'All Products'!D:D,'All Products'!G:G,FALSE)</f>
        <v>12000</v>
      </c>
      <c r="I156" s="415">
        <f>_xlfn.XLOOKUP(E156,'All Products'!D:D,'All Products'!H:H,FALSE)</f>
        <v>28.06</v>
      </c>
      <c r="J156" s="130">
        <f>ROUND(I156*Order_Quote!$L$8,2)</f>
        <v>28.06</v>
      </c>
      <c r="K156" s="75"/>
      <c r="L156" s="113"/>
      <c r="M156" s="171">
        <f t="shared" si="4"/>
        <v>0</v>
      </c>
      <c r="O156" s="265" t="str">
        <f>_xlfn.XLOOKUP(E156,'All Products'!D:D,'All Products'!I:I,FALSE)</f>
        <v>Within 3 Weeks</v>
      </c>
      <c r="P156" s="265" t="str">
        <f>_xlfn.XLOOKUP(E156,'All Products'!D:D,'All Products'!J:J,FALSE)</f>
        <v>Manufactured</v>
      </c>
      <c r="Q156" s="266">
        <f>_xlfn.XLOOKUP(E156,'All Products'!D:D,'All Products'!K:K,FALSE)</f>
        <v>49081157944</v>
      </c>
      <c r="R156" s="266">
        <f>_xlfn.XLOOKUP(E156,'All Products'!D:D,'All Products'!L:L,FALSE)</f>
        <v>49081657949</v>
      </c>
      <c r="S156" s="266">
        <f>_xlfn.XLOOKUP(E156,'All Products'!D:D,'All Products'!M:M,FALSE)</f>
        <v>40049081157942</v>
      </c>
      <c r="T156" s="265">
        <f>_xlfn.XLOOKUP(E156,'All Products'!D:D,'All Products'!N:N,FALSE)</f>
        <v>9.2999999999999999E-2</v>
      </c>
      <c r="U156" s="266">
        <f>_xlfn.XLOOKUP(E156,'All Products'!D:D,'All Products'!O:O,FALSE)</f>
        <v>10</v>
      </c>
      <c r="V156" s="265">
        <f>_xlfn.XLOOKUP(E156,'All Products'!D:D,'All Products'!P:P,FALSE)</f>
        <v>9.65</v>
      </c>
      <c r="W156" s="265">
        <f>_xlfn.XLOOKUP(E156,'All Products'!D:D,'All Products'!Q:Q,FALSE)</f>
        <v>0.65</v>
      </c>
    </row>
    <row r="157" spans="1:23">
      <c r="A157" s="101" t="str">
        <f>IF(K157&gt;0,COUNT($A$7:A156)
+COUNT('DWV PVC'!$A$9:$A$316)
+COUNT('DWV ABS'!$A$8:$A$116)
+COUNT('PVC SCH40'!$A$8:$A$424)
+COUNT('PVC SCH40 LD'!$A$8:$A$21)
+COUNT('Pool &amp; SPA Sweep Elbows'!$A$8:$A$11)
+COUNT('Pool &amp; SPA Pipe Extender'!$A$8:$A$10)+1,"")</f>
        <v/>
      </c>
      <c r="B157" s="610"/>
      <c r="C157" s="611"/>
      <c r="D157" s="142" t="str">
        <f>_xlfn.XLOOKUP(E157,'All Products'!D:D,'All Products'!C:C,FALSE)</f>
        <v>838-168</v>
      </c>
      <c r="E157" s="103">
        <v>100023665</v>
      </c>
      <c r="F157" s="413" t="str">
        <f>_xlfn.XLOOKUP(E157,'All Products'!D:D,'All Products'!E:E,FALSE)</f>
        <v>1-1/4X1 RED BUSHING SPGXFIPT SCH80</v>
      </c>
      <c r="G157" s="233">
        <f>_xlfn.XLOOKUP(E157,'All Products'!D:D,'All Products'!F:F,FALSE)</f>
        <v>100</v>
      </c>
      <c r="H157" s="196">
        <f>_xlfn.XLOOKUP(E157,'All Products'!D:D,'All Products'!G:G,FALSE)</f>
        <v>12000</v>
      </c>
      <c r="I157" s="415">
        <f>_xlfn.XLOOKUP(E157,'All Products'!D:D,'All Products'!H:H,FALSE)</f>
        <v>28.06</v>
      </c>
      <c r="J157" s="130">
        <f>ROUND(I157*Order_Quote!$L$8,2)</f>
        <v>28.06</v>
      </c>
      <c r="K157" s="75"/>
      <c r="L157" s="113"/>
      <c r="M157" s="171">
        <f t="shared" si="4"/>
        <v>0</v>
      </c>
      <c r="O157" s="265" t="str">
        <f>_xlfn.XLOOKUP(E157,'All Products'!D:D,'All Products'!I:I,FALSE)</f>
        <v>In Stock</v>
      </c>
      <c r="P157" s="265" t="str">
        <f>_xlfn.XLOOKUP(E157,'All Products'!D:D,'All Products'!J:J,FALSE)</f>
        <v>Manufactured</v>
      </c>
      <c r="Q157" s="266">
        <f>_xlfn.XLOOKUP(E157,'All Products'!D:D,'All Products'!K:K,FALSE)</f>
        <v>49081157920</v>
      </c>
      <c r="R157" s="266">
        <f>_xlfn.XLOOKUP(E157,'All Products'!D:D,'All Products'!L:L,FALSE)</f>
        <v>49081657925</v>
      </c>
      <c r="S157" s="266">
        <f>_xlfn.XLOOKUP(E157,'All Products'!D:D,'All Products'!M:M,FALSE)</f>
        <v>40049081157928</v>
      </c>
      <c r="T157" s="265">
        <f>_xlfn.XLOOKUP(E157,'All Products'!D:D,'All Products'!N:N,FALSE)</f>
        <v>7.3999999999999996E-2</v>
      </c>
      <c r="U157" s="266">
        <f>_xlfn.XLOOKUP(E157,'All Products'!D:D,'All Products'!O:O,FALSE)</f>
        <v>10</v>
      </c>
      <c r="V157" s="265">
        <f>_xlfn.XLOOKUP(E157,'All Products'!D:D,'All Products'!P:P,FALSE)</f>
        <v>7.45</v>
      </c>
      <c r="W157" s="265">
        <f>_xlfn.XLOOKUP(E157,'All Products'!D:D,'All Products'!Q:Q,FALSE)</f>
        <v>0.65</v>
      </c>
    </row>
    <row r="158" spans="1:23">
      <c r="A158" s="101" t="str">
        <f>IF(K158&gt;0,COUNT($A$7:A157)
+COUNT('DWV PVC'!$A$9:$A$316)
+COUNT('DWV ABS'!$A$8:$A$116)
+COUNT('PVC SCH40'!$A$8:$A$424)
+COUNT('PVC SCH40 LD'!$A$8:$A$21)
+COUNT('Pool &amp; SPA Sweep Elbows'!$A$8:$A$11)
+COUNT('Pool &amp; SPA Pipe Extender'!$A$8:$A$10)+1,"")</f>
        <v/>
      </c>
      <c r="B158" s="610"/>
      <c r="C158" s="611"/>
      <c r="D158" s="142" t="str">
        <f>_xlfn.XLOOKUP(E158,'All Products'!D:D,'All Products'!C:C,FALSE)</f>
        <v>838-209</v>
      </c>
      <c r="E158" s="103">
        <v>100023666</v>
      </c>
      <c r="F158" s="413" t="str">
        <f>_xlfn.XLOOKUP(E158,'All Products'!D:D,'All Products'!E:E,FALSE)</f>
        <v>1-1/2X1/2 RED BUSHING SPGXFPT SCH80</v>
      </c>
      <c r="G158" s="233">
        <f>_xlfn.XLOOKUP(E158,'All Products'!D:D,'All Products'!F:F,FALSE)</f>
        <v>100</v>
      </c>
      <c r="H158" s="196">
        <f>_xlfn.XLOOKUP(E158,'All Products'!D:D,'All Products'!G:G,FALSE)</f>
        <v>12000</v>
      </c>
      <c r="I158" s="415">
        <f>_xlfn.XLOOKUP(E158,'All Products'!D:D,'All Products'!H:H,FALSE)</f>
        <v>35.22</v>
      </c>
      <c r="J158" s="130">
        <f>ROUND(I158*Order_Quote!$L$8,2)</f>
        <v>35.22</v>
      </c>
      <c r="K158" s="75"/>
      <c r="L158" s="113"/>
      <c r="M158" s="171">
        <f t="shared" si="4"/>
        <v>0</v>
      </c>
      <c r="O158" s="265" t="str">
        <f>_xlfn.XLOOKUP(E158,'All Products'!D:D,'All Products'!I:I,FALSE)</f>
        <v>In Stock</v>
      </c>
      <c r="P158" s="265" t="str">
        <f>_xlfn.XLOOKUP(E158,'All Products'!D:D,'All Products'!J:J,FALSE)</f>
        <v>Manufactured</v>
      </c>
      <c r="Q158" s="266">
        <f>_xlfn.XLOOKUP(E158,'All Products'!D:D,'All Products'!K:K,FALSE)</f>
        <v>49081158101</v>
      </c>
      <c r="R158" s="266">
        <f>_xlfn.XLOOKUP(E158,'All Products'!D:D,'All Products'!L:L,FALSE)</f>
        <v>49081658106</v>
      </c>
      <c r="S158" s="266">
        <f>_xlfn.XLOOKUP(E158,'All Products'!D:D,'All Products'!M:M,FALSE)</f>
        <v>40049081158109</v>
      </c>
      <c r="T158" s="265">
        <f>_xlfn.XLOOKUP(E158,'All Products'!D:D,'All Products'!N:N,FALSE)</f>
        <v>0.13400000000000001</v>
      </c>
      <c r="U158" s="266">
        <f>_xlfn.XLOOKUP(E158,'All Products'!D:D,'All Products'!O:O,FALSE)</f>
        <v>10</v>
      </c>
      <c r="V158" s="265">
        <f>_xlfn.XLOOKUP(E158,'All Products'!D:D,'All Products'!P:P,FALSE)</f>
        <v>13.67</v>
      </c>
      <c r="W158" s="265">
        <f>_xlfn.XLOOKUP(E158,'All Products'!D:D,'All Products'!Q:Q,FALSE)</f>
        <v>0.65</v>
      </c>
    </row>
    <row r="159" spans="1:23">
      <c r="A159" s="101" t="str">
        <f>IF(K159&gt;0,COUNT($A$7:A158)
+COUNT('DWV PVC'!$A$9:$A$316)
+COUNT('DWV ABS'!$A$8:$A$116)
+COUNT('PVC SCH40'!$A$8:$A$424)
+COUNT('PVC SCH40 LD'!$A$8:$A$21)
+COUNT('Pool &amp; SPA Sweep Elbows'!$A$8:$A$11)
+COUNT('Pool &amp; SPA Pipe Extender'!$A$8:$A$10)+1,"")</f>
        <v/>
      </c>
      <c r="B159" s="610"/>
      <c r="C159" s="611"/>
      <c r="D159" s="142" t="str">
        <f>_xlfn.XLOOKUP(E159,'All Products'!D:D,'All Products'!C:C,FALSE)</f>
        <v>838-210</v>
      </c>
      <c r="E159" s="103">
        <v>100023667</v>
      </c>
      <c r="F159" s="413" t="str">
        <f>_xlfn.XLOOKUP(E159,'All Products'!D:D,'All Products'!E:E,FALSE)</f>
        <v>1-1/2X3/4 RED BUSHING SPGXFPT SCH80</v>
      </c>
      <c r="G159" s="233">
        <f>_xlfn.XLOOKUP(E159,'All Products'!D:D,'All Products'!F:F,FALSE)</f>
        <v>100</v>
      </c>
      <c r="H159" s="196">
        <f>_xlfn.XLOOKUP(E159,'All Products'!D:D,'All Products'!G:G,FALSE)</f>
        <v>12000</v>
      </c>
      <c r="I159" s="415">
        <f>_xlfn.XLOOKUP(E159,'All Products'!D:D,'All Products'!H:H,FALSE)</f>
        <v>35.22</v>
      </c>
      <c r="J159" s="130">
        <f>ROUND(I159*Order_Quote!$L$8,2)</f>
        <v>35.22</v>
      </c>
      <c r="K159" s="75"/>
      <c r="L159" s="113"/>
      <c r="M159" s="171">
        <f t="shared" si="4"/>
        <v>0</v>
      </c>
      <c r="O159" s="265" t="str">
        <f>_xlfn.XLOOKUP(E159,'All Products'!D:D,'All Products'!I:I,FALSE)</f>
        <v>Within 3 Weeks</v>
      </c>
      <c r="P159" s="265" t="str">
        <f>_xlfn.XLOOKUP(E159,'All Products'!D:D,'All Products'!J:J,FALSE)</f>
        <v>Manufactured</v>
      </c>
      <c r="Q159" s="266">
        <f>_xlfn.XLOOKUP(E159,'All Products'!D:D,'All Products'!K:K,FALSE)</f>
        <v>49081158088</v>
      </c>
      <c r="R159" s="266">
        <f>_xlfn.XLOOKUP(E159,'All Products'!D:D,'All Products'!L:L,FALSE)</f>
        <v>49081658083</v>
      </c>
      <c r="S159" s="266">
        <f>_xlfn.XLOOKUP(E159,'All Products'!D:D,'All Products'!M:M,FALSE)</f>
        <v>40049081158086</v>
      </c>
      <c r="T159" s="265">
        <f>_xlfn.XLOOKUP(E159,'All Products'!D:D,'All Products'!N:N,FALSE)</f>
        <v>0.13400000000000001</v>
      </c>
      <c r="U159" s="266">
        <f>_xlfn.XLOOKUP(E159,'All Products'!D:D,'All Products'!O:O,FALSE)</f>
        <v>10</v>
      </c>
      <c r="V159" s="265">
        <f>_xlfn.XLOOKUP(E159,'All Products'!D:D,'All Products'!P:P,FALSE)</f>
        <v>13.56</v>
      </c>
      <c r="W159" s="265">
        <f>_xlfn.XLOOKUP(E159,'All Products'!D:D,'All Products'!Q:Q,FALSE)</f>
        <v>0.65</v>
      </c>
    </row>
    <row r="160" spans="1:23">
      <c r="A160" s="101" t="str">
        <f>IF(K160&gt;0,COUNT($A$7:A159)
+COUNT('DWV PVC'!$A$9:$A$316)
+COUNT('DWV ABS'!$A$8:$A$116)
+COUNT('PVC SCH40'!$A$8:$A$424)
+COUNT('PVC SCH40 LD'!$A$8:$A$21)
+COUNT('Pool &amp; SPA Sweep Elbows'!$A$8:$A$11)
+COUNT('Pool &amp; SPA Pipe Extender'!$A$8:$A$10)+1,"")</f>
        <v/>
      </c>
      <c r="B160" s="610"/>
      <c r="C160" s="611"/>
      <c r="D160" s="142" t="str">
        <f>_xlfn.XLOOKUP(E160,'All Products'!D:D,'All Products'!C:C,FALSE)</f>
        <v>838-211</v>
      </c>
      <c r="E160" s="103">
        <v>100023668</v>
      </c>
      <c r="F160" s="413" t="str">
        <f>_xlfn.XLOOKUP(E160,'All Products'!D:D,'All Products'!E:E,FALSE)</f>
        <v>1-1/2X1 RED BUSHING SPGXFIPT SCH80</v>
      </c>
      <c r="G160" s="233">
        <f>_xlfn.XLOOKUP(E160,'All Products'!D:D,'All Products'!F:F,FALSE)</f>
        <v>100</v>
      </c>
      <c r="H160" s="196">
        <f>_xlfn.XLOOKUP(E160,'All Products'!D:D,'All Products'!G:G,FALSE)</f>
        <v>12000</v>
      </c>
      <c r="I160" s="415">
        <f>_xlfn.XLOOKUP(E160,'All Products'!D:D,'All Products'!H:H,FALSE)</f>
        <v>35.22</v>
      </c>
      <c r="J160" s="130">
        <f>ROUND(I160*Order_Quote!$L$8,2)</f>
        <v>35.22</v>
      </c>
      <c r="K160" s="75"/>
      <c r="L160" s="113"/>
      <c r="M160" s="171">
        <f t="shared" si="4"/>
        <v>0</v>
      </c>
      <c r="O160" s="265" t="str">
        <f>_xlfn.XLOOKUP(E160,'All Products'!D:D,'All Products'!I:I,FALSE)</f>
        <v>In Stock</v>
      </c>
      <c r="P160" s="265" t="str">
        <f>_xlfn.XLOOKUP(E160,'All Products'!D:D,'All Products'!J:J,FALSE)</f>
        <v>Manufactured</v>
      </c>
      <c r="Q160" s="266">
        <f>_xlfn.XLOOKUP(E160,'All Products'!D:D,'All Products'!K:K,FALSE)</f>
        <v>49081158064</v>
      </c>
      <c r="R160" s="266">
        <f>_xlfn.XLOOKUP(E160,'All Products'!D:D,'All Products'!L:L,FALSE)</f>
        <v>49081658069</v>
      </c>
      <c r="S160" s="266">
        <f>_xlfn.XLOOKUP(E160,'All Products'!D:D,'All Products'!M:M,FALSE)</f>
        <v>40049081158062</v>
      </c>
      <c r="T160" s="265">
        <f>_xlfn.XLOOKUP(E160,'All Products'!D:D,'All Products'!N:N,FALSE)</f>
        <v>0.12</v>
      </c>
      <c r="U160" s="266">
        <f>_xlfn.XLOOKUP(E160,'All Products'!D:D,'All Products'!O:O,FALSE)</f>
        <v>10</v>
      </c>
      <c r="V160" s="265">
        <f>_xlfn.XLOOKUP(E160,'All Products'!D:D,'All Products'!P:P,FALSE)</f>
        <v>12.64</v>
      </c>
      <c r="W160" s="265">
        <f>_xlfn.XLOOKUP(E160,'All Products'!D:D,'All Products'!Q:Q,FALSE)</f>
        <v>0.65</v>
      </c>
    </row>
    <row r="161" spans="1:23">
      <c r="A161" s="101" t="str">
        <f>IF(K161&gt;0,COUNT($A$7:A160)
+COUNT('DWV PVC'!$A$9:$A$316)
+COUNT('DWV ABS'!$A$8:$A$116)
+COUNT('PVC SCH40'!$A$8:$A$424)
+COUNT('PVC SCH40 LD'!$A$8:$A$21)
+COUNT('Pool &amp; SPA Sweep Elbows'!$A$8:$A$11)
+COUNT('Pool &amp; SPA Pipe Extender'!$A$8:$A$10)+1,"")</f>
        <v/>
      </c>
      <c r="B161" s="610"/>
      <c r="C161" s="611"/>
      <c r="D161" s="142" t="str">
        <f>_xlfn.XLOOKUP(E161,'All Products'!D:D,'All Products'!C:C,FALSE)</f>
        <v>838-212</v>
      </c>
      <c r="E161" s="103">
        <v>100023669</v>
      </c>
      <c r="F161" s="413" t="str">
        <f>_xlfn.XLOOKUP(E161,'All Products'!D:D,'All Products'!E:E,FALSE)</f>
        <v>1-1/2X1-1/4 BUSHING SPGXFIPT SCH80</v>
      </c>
      <c r="G161" s="233">
        <f>_xlfn.XLOOKUP(E161,'All Products'!D:D,'All Products'!F:F,FALSE)</f>
        <v>100</v>
      </c>
      <c r="H161" s="196">
        <f>_xlfn.XLOOKUP(E161,'All Products'!D:D,'All Products'!G:G,FALSE)</f>
        <v>12000</v>
      </c>
      <c r="I161" s="415">
        <f>_xlfn.XLOOKUP(E161,'All Products'!D:D,'All Products'!H:H,FALSE)</f>
        <v>35.22</v>
      </c>
      <c r="J161" s="130">
        <f>ROUND(I161*Order_Quote!$L$8,2)</f>
        <v>35.22</v>
      </c>
      <c r="K161" s="75"/>
      <c r="L161" s="113"/>
      <c r="M161" s="171">
        <f t="shared" si="4"/>
        <v>0</v>
      </c>
      <c r="O161" s="265" t="str">
        <f>_xlfn.XLOOKUP(E161,'All Products'!D:D,'All Products'!I:I,FALSE)</f>
        <v>Within 3 Weeks</v>
      </c>
      <c r="P161" s="265" t="str">
        <f>_xlfn.XLOOKUP(E161,'All Products'!D:D,'All Products'!J:J,FALSE)</f>
        <v>Manufactured</v>
      </c>
      <c r="Q161" s="266">
        <f>_xlfn.XLOOKUP(E161,'All Products'!D:D,'All Products'!K:K,FALSE)</f>
        <v>49081158040</v>
      </c>
      <c r="R161" s="266">
        <f>_xlfn.XLOOKUP(E161,'All Products'!D:D,'All Products'!L:L,FALSE)</f>
        <v>49081658045</v>
      </c>
      <c r="S161" s="266">
        <f>_xlfn.XLOOKUP(E161,'All Products'!D:D,'All Products'!M:M,FALSE)</f>
        <v>40049081158048</v>
      </c>
      <c r="T161" s="265">
        <f>_xlfn.XLOOKUP(E161,'All Products'!D:D,'All Products'!N:N,FALSE)</f>
        <v>9.2999999999999999E-2</v>
      </c>
      <c r="U161" s="266">
        <f>_xlfn.XLOOKUP(E161,'All Products'!D:D,'All Products'!O:O,FALSE)</f>
        <v>10</v>
      </c>
      <c r="V161" s="265">
        <f>_xlfn.XLOOKUP(E161,'All Products'!D:D,'All Products'!P:P,FALSE)</f>
        <v>9.44</v>
      </c>
      <c r="W161" s="265">
        <f>_xlfn.XLOOKUP(E161,'All Products'!D:D,'All Products'!Q:Q,FALSE)</f>
        <v>0.65</v>
      </c>
    </row>
    <row r="162" spans="1:23">
      <c r="A162" s="101" t="str">
        <f>IF(K162&gt;0,COUNT($A$7:A161)
+COUNT('DWV PVC'!$A$9:$A$316)
+COUNT('DWV ABS'!$A$8:$A$116)
+COUNT('PVC SCH40'!$A$8:$A$424)
+COUNT('PVC SCH40 LD'!$A$8:$A$21)
+COUNT('Pool &amp; SPA Sweep Elbows'!$A$8:$A$11)
+COUNT('Pool &amp; SPA Pipe Extender'!$A$8:$A$10)+1,"")</f>
        <v/>
      </c>
      <c r="B162" s="610"/>
      <c r="C162" s="611"/>
      <c r="D162" s="142" t="str">
        <f>_xlfn.XLOOKUP(E162,'All Products'!D:D,'All Products'!C:C,FALSE)</f>
        <v>838-247</v>
      </c>
      <c r="E162" s="103">
        <v>100023670</v>
      </c>
      <c r="F162" s="413" t="str">
        <f>_xlfn.XLOOKUP(E162,'All Products'!D:D,'All Products'!E:E,FALSE)</f>
        <v>2X1/2 RED BUSHING SPGXFIPT SCH80</v>
      </c>
      <c r="G162" s="233">
        <f>_xlfn.XLOOKUP(E162,'All Products'!D:D,'All Products'!F:F,FALSE)</f>
        <v>50</v>
      </c>
      <c r="H162" s="196">
        <f>_xlfn.XLOOKUP(E162,'All Products'!D:D,'All Products'!G:G,FALSE)</f>
        <v>6000</v>
      </c>
      <c r="I162" s="415">
        <f>_xlfn.XLOOKUP(E162,'All Products'!D:D,'All Products'!H:H,FALSE)</f>
        <v>43.04</v>
      </c>
      <c r="J162" s="130">
        <f>ROUND(I162*Order_Quote!$L$8,2)</f>
        <v>43.04</v>
      </c>
      <c r="K162" s="75"/>
      <c r="L162" s="113"/>
      <c r="M162" s="171">
        <f t="shared" si="4"/>
        <v>0</v>
      </c>
      <c r="O162" s="265" t="str">
        <f>_xlfn.XLOOKUP(E162,'All Products'!D:D,'All Products'!I:I,FALSE)</f>
        <v>Within 3 Weeks</v>
      </c>
      <c r="P162" s="265" t="str">
        <f>_xlfn.XLOOKUP(E162,'All Products'!D:D,'All Products'!J:J,FALSE)</f>
        <v>Manufactured</v>
      </c>
      <c r="Q162" s="266">
        <f>_xlfn.XLOOKUP(E162,'All Products'!D:D,'All Products'!K:K,FALSE)</f>
        <v>49081158200</v>
      </c>
      <c r="R162" s="266">
        <f>_xlfn.XLOOKUP(E162,'All Products'!D:D,'All Products'!L:L,FALSE)</f>
        <v>49081658205</v>
      </c>
      <c r="S162" s="266">
        <f>_xlfn.XLOOKUP(E162,'All Products'!D:D,'All Products'!M:M,FALSE)</f>
        <v>40049081158208</v>
      </c>
      <c r="T162" s="265">
        <f>_xlfn.XLOOKUP(E162,'All Products'!D:D,'All Products'!N:N,FALSE)</f>
        <v>0.20699999999999999</v>
      </c>
      <c r="U162" s="266">
        <f>_xlfn.XLOOKUP(E162,'All Products'!D:D,'All Products'!O:O,FALSE)</f>
        <v>5</v>
      </c>
      <c r="V162" s="265">
        <f>_xlfn.XLOOKUP(E162,'All Products'!D:D,'All Products'!P:P,FALSE)</f>
        <v>10.25</v>
      </c>
      <c r="W162" s="265">
        <f>_xlfn.XLOOKUP(E162,'All Products'!D:D,'All Products'!Q:Q,FALSE)</f>
        <v>0.65</v>
      </c>
    </row>
    <row r="163" spans="1:23">
      <c r="A163" s="101" t="str">
        <f>IF(K163&gt;0,COUNT($A$7:A162)
+COUNT('DWV PVC'!$A$9:$A$316)
+COUNT('DWV ABS'!$A$8:$A$116)
+COUNT('PVC SCH40'!$A$8:$A$424)
+COUNT('PVC SCH40 LD'!$A$8:$A$21)
+COUNT('Pool &amp; SPA Sweep Elbows'!$A$8:$A$11)
+COUNT('Pool &amp; SPA Pipe Extender'!$A$8:$A$10)+1,"")</f>
        <v/>
      </c>
      <c r="B163" s="610"/>
      <c r="C163" s="611"/>
      <c r="D163" s="142" t="str">
        <f>_xlfn.XLOOKUP(E163,'All Products'!D:D,'All Products'!C:C,FALSE)</f>
        <v>838-248</v>
      </c>
      <c r="E163" s="103">
        <v>100023671</v>
      </c>
      <c r="F163" s="413" t="str">
        <f>_xlfn.XLOOKUP(E163,'All Products'!D:D,'All Products'!E:E,FALSE)</f>
        <v>2X3/4 RED BUSHING SPGXFIPT SCH80</v>
      </c>
      <c r="G163" s="233">
        <f>_xlfn.XLOOKUP(E163,'All Products'!D:D,'All Products'!F:F,FALSE)</f>
        <v>50</v>
      </c>
      <c r="H163" s="196">
        <f>_xlfn.XLOOKUP(E163,'All Products'!D:D,'All Products'!G:G,FALSE)</f>
        <v>6000</v>
      </c>
      <c r="I163" s="415">
        <f>_xlfn.XLOOKUP(E163,'All Products'!D:D,'All Products'!H:H,FALSE)</f>
        <v>43.04</v>
      </c>
      <c r="J163" s="130">
        <f>ROUND(I163*Order_Quote!$L$8,2)</f>
        <v>43.04</v>
      </c>
      <c r="K163" s="75"/>
      <c r="L163" s="113"/>
      <c r="M163" s="171">
        <f t="shared" si="4"/>
        <v>0</v>
      </c>
      <c r="O163" s="265" t="str">
        <f>_xlfn.XLOOKUP(E163,'All Products'!D:D,'All Products'!I:I,FALSE)</f>
        <v>In Stock</v>
      </c>
      <c r="P163" s="265" t="str">
        <f>_xlfn.XLOOKUP(E163,'All Products'!D:D,'All Products'!J:J,FALSE)</f>
        <v>Manufactured</v>
      </c>
      <c r="Q163" s="266">
        <f>_xlfn.XLOOKUP(E163,'All Products'!D:D,'All Products'!K:K,FALSE)</f>
        <v>49081158187</v>
      </c>
      <c r="R163" s="266">
        <f>_xlfn.XLOOKUP(E163,'All Products'!D:D,'All Products'!L:L,FALSE)</f>
        <v>49081658182</v>
      </c>
      <c r="S163" s="266">
        <f>_xlfn.XLOOKUP(E163,'All Products'!D:D,'All Products'!M:M,FALSE)</f>
        <v>40049081158185</v>
      </c>
      <c r="T163" s="265">
        <f>_xlfn.XLOOKUP(E163,'All Products'!D:D,'All Products'!N:N,FALSE)</f>
        <v>0.20200000000000001</v>
      </c>
      <c r="U163" s="266">
        <f>_xlfn.XLOOKUP(E163,'All Products'!D:D,'All Products'!O:O,FALSE)</f>
        <v>5</v>
      </c>
      <c r="V163" s="265">
        <f>_xlfn.XLOOKUP(E163,'All Products'!D:D,'All Products'!P:P,FALSE)</f>
        <v>10.43</v>
      </c>
      <c r="W163" s="265">
        <f>_xlfn.XLOOKUP(E163,'All Products'!D:D,'All Products'!Q:Q,FALSE)</f>
        <v>0.65</v>
      </c>
    </row>
    <row r="164" spans="1:23">
      <c r="A164" s="101" t="str">
        <f>IF(K164&gt;0,COUNT($A$7:A163)
+COUNT('DWV PVC'!$A$9:$A$316)
+COUNT('DWV ABS'!$A$8:$A$116)
+COUNT('PVC SCH40'!$A$8:$A$424)
+COUNT('PVC SCH40 LD'!$A$8:$A$21)
+COUNT('Pool &amp; SPA Sweep Elbows'!$A$8:$A$11)
+COUNT('Pool &amp; SPA Pipe Extender'!$A$8:$A$10)+1,"")</f>
        <v/>
      </c>
      <c r="B164" s="610"/>
      <c r="C164" s="611"/>
      <c r="D164" s="142" t="str">
        <f>_xlfn.XLOOKUP(E164,'All Products'!D:D,'All Products'!C:C,FALSE)</f>
        <v>838-249</v>
      </c>
      <c r="E164" s="103">
        <v>100023672</v>
      </c>
      <c r="F164" s="413" t="str">
        <f>_xlfn.XLOOKUP(E164,'All Products'!D:D,'All Products'!E:E,FALSE)</f>
        <v>2X1 RED BUSHING SPGXFIPT SCH80</v>
      </c>
      <c r="G164" s="233">
        <f>_xlfn.XLOOKUP(E164,'All Products'!D:D,'All Products'!F:F,FALSE)</f>
        <v>50</v>
      </c>
      <c r="H164" s="196">
        <f>_xlfn.XLOOKUP(E164,'All Products'!D:D,'All Products'!G:G,FALSE)</f>
        <v>7500</v>
      </c>
      <c r="I164" s="415">
        <f>_xlfn.XLOOKUP(E164,'All Products'!D:D,'All Products'!H:H,FALSE)</f>
        <v>43.04</v>
      </c>
      <c r="J164" s="130">
        <f>ROUND(I164*Order_Quote!$L$8,2)</f>
        <v>43.04</v>
      </c>
      <c r="K164" s="75"/>
      <c r="L164" s="113"/>
      <c r="M164" s="171">
        <f t="shared" si="4"/>
        <v>0</v>
      </c>
      <c r="O164" s="265" t="str">
        <f>_xlfn.XLOOKUP(E164,'All Products'!D:D,'All Products'!I:I,FALSE)</f>
        <v>In Stock</v>
      </c>
      <c r="P164" s="265" t="str">
        <f>_xlfn.XLOOKUP(E164,'All Products'!D:D,'All Products'!J:J,FALSE)</f>
        <v>Manufactured</v>
      </c>
      <c r="Q164" s="266">
        <f>_xlfn.XLOOKUP(E164,'All Products'!D:D,'All Products'!K:K,FALSE)</f>
        <v>49081158163</v>
      </c>
      <c r="R164" s="266">
        <f>_xlfn.XLOOKUP(E164,'All Products'!D:D,'All Products'!L:L,FALSE)</f>
        <v>49081658168</v>
      </c>
      <c r="S164" s="266">
        <f>_xlfn.XLOOKUP(E164,'All Products'!D:D,'All Products'!M:M,FALSE)</f>
        <v>40049081158161</v>
      </c>
      <c r="T164" s="265">
        <f>_xlfn.XLOOKUP(E164,'All Products'!D:D,'All Products'!N:N,FALSE)</f>
        <v>0.21199999999999999</v>
      </c>
      <c r="U164" s="266">
        <f>_xlfn.XLOOKUP(E164,'All Products'!D:D,'All Products'!O:O,FALSE)</f>
        <v>5</v>
      </c>
      <c r="V164" s="265">
        <f>_xlfn.XLOOKUP(E164,'All Products'!D:D,'All Products'!P:P,FALSE)</f>
        <v>10.92</v>
      </c>
      <c r="W164" s="265">
        <f>_xlfn.XLOOKUP(E164,'All Products'!D:D,'All Products'!Q:Q,FALSE)</f>
        <v>0.5</v>
      </c>
    </row>
    <row r="165" spans="1:23">
      <c r="A165" s="101" t="str">
        <f>IF(K165&gt;0,COUNT($A$7:A164)
+COUNT('DWV PVC'!$A$9:$A$316)
+COUNT('DWV ABS'!$A$8:$A$116)
+COUNT('PVC SCH40'!$A$8:$A$424)
+COUNT('PVC SCH40 LD'!$A$8:$A$21)
+COUNT('Pool &amp; SPA Sweep Elbows'!$A$8:$A$11)
+COUNT('Pool &amp; SPA Pipe Extender'!$A$8:$A$10)+1,"")</f>
        <v/>
      </c>
      <c r="B165" s="610"/>
      <c r="C165" s="611"/>
      <c r="D165" s="142" t="str">
        <f>_xlfn.XLOOKUP(E165,'All Products'!D:D,'All Products'!C:C,FALSE)</f>
        <v>838-250</v>
      </c>
      <c r="E165" s="103">
        <v>100023673</v>
      </c>
      <c r="F165" s="413" t="str">
        <f>_xlfn.XLOOKUP(E165,'All Products'!D:D,'All Products'!E:E,FALSE)</f>
        <v>2X1-1/4 RED BUSHING SPGXFIPT SCH80</v>
      </c>
      <c r="G165" s="233">
        <f>_xlfn.XLOOKUP(E165,'All Products'!D:D,'All Products'!F:F,FALSE)</f>
        <v>50</v>
      </c>
      <c r="H165" s="196">
        <f>_xlfn.XLOOKUP(E165,'All Products'!D:D,'All Products'!G:G,FALSE)</f>
        <v>7500</v>
      </c>
      <c r="I165" s="415">
        <f>_xlfn.XLOOKUP(E165,'All Products'!D:D,'All Products'!H:H,FALSE)</f>
        <v>43.04</v>
      </c>
      <c r="J165" s="130">
        <f>ROUND(I165*Order_Quote!$L$8,2)</f>
        <v>43.04</v>
      </c>
      <c r="K165" s="75"/>
      <c r="L165" s="113"/>
      <c r="M165" s="171">
        <f t="shared" si="4"/>
        <v>0</v>
      </c>
      <c r="O165" s="265" t="str">
        <f>_xlfn.XLOOKUP(E165,'All Products'!D:D,'All Products'!I:I,FALSE)</f>
        <v>Within 3 Weeks</v>
      </c>
      <c r="P165" s="265" t="str">
        <f>_xlfn.XLOOKUP(E165,'All Products'!D:D,'All Products'!J:J,FALSE)</f>
        <v>Manufactured</v>
      </c>
      <c r="Q165" s="266">
        <f>_xlfn.XLOOKUP(E165,'All Products'!D:D,'All Products'!K:K,FALSE)</f>
        <v>49081158149</v>
      </c>
      <c r="R165" s="266">
        <f>_xlfn.XLOOKUP(E165,'All Products'!D:D,'All Products'!L:L,FALSE)</f>
        <v>49081658144</v>
      </c>
      <c r="S165" s="266">
        <f>_xlfn.XLOOKUP(E165,'All Products'!D:D,'All Products'!M:M,FALSE)</f>
        <v>40049081158147</v>
      </c>
      <c r="T165" s="265">
        <f>_xlfn.XLOOKUP(E165,'All Products'!D:D,'All Products'!N:N,FALSE)</f>
        <v>0.19500000000000001</v>
      </c>
      <c r="U165" s="266">
        <f>_xlfn.XLOOKUP(E165,'All Products'!D:D,'All Products'!O:O,FALSE)</f>
        <v>5</v>
      </c>
      <c r="V165" s="265">
        <f>_xlfn.XLOOKUP(E165,'All Products'!D:D,'All Products'!P:P,FALSE)</f>
        <v>9.42</v>
      </c>
      <c r="W165" s="265">
        <f>_xlfn.XLOOKUP(E165,'All Products'!D:D,'All Products'!Q:Q,FALSE)</f>
        <v>0.5</v>
      </c>
    </row>
    <row r="166" spans="1:23">
      <c r="A166" s="101" t="str">
        <f>IF(K166&gt;0,COUNT($A$7:A165)
+COUNT('DWV PVC'!$A$9:$A$316)
+COUNT('DWV ABS'!$A$8:$A$116)
+COUNT('PVC SCH40'!$A$8:$A$424)
+COUNT('PVC SCH40 LD'!$A$8:$A$21)
+COUNT('Pool &amp; SPA Sweep Elbows'!$A$8:$A$11)
+COUNT('Pool &amp; SPA Pipe Extender'!$A$8:$A$10)+1,"")</f>
        <v/>
      </c>
      <c r="B166" s="610"/>
      <c r="C166" s="611"/>
      <c r="D166" s="142" t="str">
        <f>_xlfn.XLOOKUP(E166,'All Products'!D:D,'All Products'!C:C,FALSE)</f>
        <v>838-251</v>
      </c>
      <c r="E166" s="103">
        <v>100023674</v>
      </c>
      <c r="F166" s="413" t="str">
        <f>_xlfn.XLOOKUP(E166,'All Products'!D:D,'All Products'!E:E,FALSE)</f>
        <v>2X1-1/2 RED BUSHING SPGXFIPT SCH80</v>
      </c>
      <c r="G166" s="233">
        <f>_xlfn.XLOOKUP(E166,'All Products'!D:D,'All Products'!F:F,FALSE)</f>
        <v>50</v>
      </c>
      <c r="H166" s="196">
        <f>_xlfn.XLOOKUP(E166,'All Products'!D:D,'All Products'!G:G,FALSE)</f>
        <v>7500</v>
      </c>
      <c r="I166" s="415">
        <f>_xlfn.XLOOKUP(E166,'All Products'!D:D,'All Products'!H:H,FALSE)</f>
        <v>43.04</v>
      </c>
      <c r="J166" s="130">
        <f>ROUND(I166*Order_Quote!$L$8,2)</f>
        <v>43.04</v>
      </c>
      <c r="K166" s="75"/>
      <c r="L166" s="113"/>
      <c r="M166" s="171">
        <f t="shared" si="4"/>
        <v>0</v>
      </c>
      <c r="O166" s="265" t="str">
        <f>_xlfn.XLOOKUP(E166,'All Products'!D:D,'All Products'!I:I,FALSE)</f>
        <v>In Stock</v>
      </c>
      <c r="P166" s="265" t="str">
        <f>_xlfn.XLOOKUP(E166,'All Products'!D:D,'All Products'!J:J,FALSE)</f>
        <v>Manufactured</v>
      </c>
      <c r="Q166" s="266">
        <f>_xlfn.XLOOKUP(E166,'All Products'!D:D,'All Products'!K:K,FALSE)</f>
        <v>49081158125</v>
      </c>
      <c r="R166" s="266">
        <f>_xlfn.XLOOKUP(E166,'All Products'!D:D,'All Products'!L:L,FALSE)</f>
        <v>49081658120</v>
      </c>
      <c r="S166" s="266">
        <f>_xlfn.XLOOKUP(E166,'All Products'!D:D,'All Products'!M:M,FALSE)</f>
        <v>40049081158123</v>
      </c>
      <c r="T166" s="265">
        <f>_xlfn.XLOOKUP(E166,'All Products'!D:D,'All Products'!N:N,FALSE)</f>
        <v>0.152</v>
      </c>
      <c r="U166" s="266">
        <f>_xlfn.XLOOKUP(E166,'All Products'!D:D,'All Products'!O:O,FALSE)</f>
        <v>5</v>
      </c>
      <c r="V166" s="265">
        <f>_xlfn.XLOOKUP(E166,'All Products'!D:D,'All Products'!P:P,FALSE)</f>
        <v>6.71</v>
      </c>
      <c r="W166" s="265">
        <f>_xlfn.XLOOKUP(E166,'All Products'!D:D,'All Products'!Q:Q,FALSE)</f>
        <v>0.5</v>
      </c>
    </row>
    <row r="167" spans="1:23">
      <c r="A167" s="101" t="str">
        <f>IF(K167&gt;0,COUNT($A$7:A166)
+COUNT('DWV PVC'!$A$9:$A$316)
+COUNT('DWV ABS'!$A$8:$A$116)
+COUNT('PVC SCH40'!$A$8:$A$424)
+COUNT('PVC SCH40 LD'!$A$8:$A$21)
+COUNT('Pool &amp; SPA Sweep Elbows'!$A$8:$A$11)
+COUNT('Pool &amp; SPA Pipe Extender'!$A$8:$A$10)+1,"")</f>
        <v/>
      </c>
      <c r="B167" s="610"/>
      <c r="C167" s="611"/>
      <c r="D167" s="142" t="str">
        <f>_xlfn.XLOOKUP(E167,'All Products'!D:D,'All Products'!C:C,FALSE)</f>
        <v>838-292</v>
      </c>
      <c r="E167" s="103">
        <v>100023677</v>
      </c>
      <c r="F167" s="413" t="str">
        <f>_xlfn.XLOOKUP(E167,'All Products'!D:D,'All Products'!E:E,FALSE)</f>
        <v>2-1/2X2 RED BUSHING SPGXFIPT SCH80</v>
      </c>
      <c r="G167" s="233">
        <f>_xlfn.XLOOKUP(E167,'All Products'!D:D,'All Products'!F:F,FALSE)</f>
        <v>25</v>
      </c>
      <c r="H167" s="196">
        <f>_xlfn.XLOOKUP(E167,'All Products'!D:D,'All Products'!G:G,FALSE)</f>
        <v>3750</v>
      </c>
      <c r="I167" s="415">
        <f>_xlfn.XLOOKUP(E167,'All Products'!D:D,'All Products'!H:H,FALSE)</f>
        <v>91.13</v>
      </c>
      <c r="J167" s="130">
        <f>ROUND(I167*Order_Quote!$L$8,2)</f>
        <v>91.13</v>
      </c>
      <c r="K167" s="75"/>
      <c r="L167" s="113"/>
      <c r="M167" s="171">
        <f t="shared" si="4"/>
        <v>0</v>
      </c>
      <c r="O167" s="265" t="str">
        <f>_xlfn.XLOOKUP(E167,'All Products'!D:D,'All Products'!I:I,FALSE)</f>
        <v>Within 3 Weeks</v>
      </c>
      <c r="P167" s="265" t="str">
        <f>_xlfn.XLOOKUP(E167,'All Products'!D:D,'All Products'!J:J,FALSE)</f>
        <v>Manufactured</v>
      </c>
      <c r="Q167" s="266">
        <f>_xlfn.XLOOKUP(E167,'All Products'!D:D,'All Products'!K:K,FALSE)</f>
        <v>49081158248</v>
      </c>
      <c r="R167" s="266">
        <f>_xlfn.XLOOKUP(E167,'All Products'!D:D,'All Products'!L:L,FALSE)</f>
        <v>49081658243</v>
      </c>
      <c r="S167" s="266">
        <f>_xlfn.XLOOKUP(E167,'All Products'!D:D,'All Products'!M:M,FALSE)</f>
        <v>40049081158246</v>
      </c>
      <c r="T167" s="265">
        <f>_xlfn.XLOOKUP(E167,'All Products'!D:D,'All Products'!N:N,FALSE)</f>
        <v>0.28699999999999998</v>
      </c>
      <c r="U167" s="266">
        <f>_xlfn.XLOOKUP(E167,'All Products'!D:D,'All Products'!O:O,FALSE)</f>
        <v>5</v>
      </c>
      <c r="V167" s="265">
        <f>_xlfn.XLOOKUP(E167,'All Products'!D:D,'All Products'!P:P,FALSE)</f>
        <v>7.2</v>
      </c>
      <c r="W167" s="265">
        <f>_xlfn.XLOOKUP(E167,'All Products'!D:D,'All Products'!Q:Q,FALSE)</f>
        <v>0.5</v>
      </c>
    </row>
    <row r="168" spans="1:23">
      <c r="A168" s="101" t="str">
        <f>IF(K168&gt;0,COUNT($A$7:A167)
+COUNT('DWV PVC'!$A$9:$A$316)
+COUNT('DWV ABS'!$A$8:$A$116)
+COUNT('PVC SCH40'!$A$8:$A$424)
+COUNT('PVC SCH40 LD'!$A$8:$A$21)
+COUNT('Pool &amp; SPA Sweep Elbows'!$A$8:$A$11)
+COUNT('Pool &amp; SPA Pipe Extender'!$A$8:$A$10)+1,"")</f>
        <v/>
      </c>
      <c r="B168" s="610"/>
      <c r="C168" s="611"/>
      <c r="D168" s="142" t="str">
        <f>_xlfn.XLOOKUP(E168,'All Products'!D:D,'All Products'!C:C,FALSE)</f>
        <v>838-334</v>
      </c>
      <c r="E168" s="103">
        <v>100023434</v>
      </c>
      <c r="F168" s="413" t="str">
        <f>_xlfn.XLOOKUP(E168,'All Products'!D:D,'All Products'!E:E,FALSE)</f>
        <v>3X3/4 RED BUSHING SPGXFIPT SCH80</v>
      </c>
      <c r="G168" s="233">
        <f>_xlfn.XLOOKUP(E168,'All Products'!D:D,'All Products'!F:F,FALSE)</f>
        <v>25</v>
      </c>
      <c r="H168" s="196">
        <f>_xlfn.XLOOKUP(E168,'All Products'!D:D,'All Products'!G:G,FALSE)</f>
        <v>3000</v>
      </c>
      <c r="I168" s="415">
        <f>_xlfn.XLOOKUP(E168,'All Products'!D:D,'All Products'!H:H,FALSE)</f>
        <v>168.71</v>
      </c>
      <c r="J168" s="130">
        <f>ROUND(I168*Order_Quote!$L$8,2)</f>
        <v>168.71</v>
      </c>
      <c r="K168" s="75"/>
      <c r="L168" s="113"/>
      <c r="M168" s="171">
        <f t="shared" si="4"/>
        <v>0</v>
      </c>
      <c r="O168" s="265" t="str">
        <f>_xlfn.XLOOKUP(E168,'All Products'!D:D,'All Products'!I:I,FALSE)</f>
        <v>In Stock</v>
      </c>
      <c r="P168" s="265" t="str">
        <f>_xlfn.XLOOKUP(E168,'All Products'!D:D,'All Products'!J:J,FALSE)</f>
        <v>Manufactured</v>
      </c>
      <c r="Q168" s="266">
        <f>_xlfn.XLOOKUP(E168,'All Products'!D:D,'All Products'!K:K,FALSE)</f>
        <v>49081158460</v>
      </c>
      <c r="R168" s="266">
        <f>_xlfn.XLOOKUP(E168,'All Products'!D:D,'All Products'!L:L,FALSE)</f>
        <v>49081658465</v>
      </c>
      <c r="S168" s="266">
        <f>_xlfn.XLOOKUP(E168,'All Products'!D:D,'All Products'!M:M,FALSE)</f>
        <v>40049081158468</v>
      </c>
      <c r="T168" s="265">
        <f>_xlfn.XLOOKUP(E168,'All Products'!D:D,'All Products'!N:N,FALSE)</f>
        <v>0.58799999999999997</v>
      </c>
      <c r="U168" s="266">
        <f>_xlfn.XLOOKUP(E168,'All Products'!D:D,'All Products'!O:O,FALSE)</f>
        <v>5</v>
      </c>
      <c r="V168" s="265">
        <f>_xlfn.XLOOKUP(E168,'All Products'!D:D,'All Products'!P:P,FALSE)</f>
        <v>13.07</v>
      </c>
      <c r="W168" s="265">
        <f>_xlfn.XLOOKUP(E168,'All Products'!D:D,'All Products'!Q:Q,FALSE)</f>
        <v>0.65</v>
      </c>
    </row>
    <row r="169" spans="1:23">
      <c r="A169" s="101" t="str">
        <f>IF(K169&gt;0,COUNT($A$7:A168)
+COUNT('DWV PVC'!$A$9:$A$316)
+COUNT('DWV ABS'!$A$8:$A$116)
+COUNT('PVC SCH40'!$A$8:$A$424)
+COUNT('PVC SCH40 LD'!$A$8:$A$21)
+COUNT('Pool &amp; SPA Sweep Elbows'!$A$8:$A$11)
+COUNT('Pool &amp; SPA Pipe Extender'!$A$8:$A$10)+1,"")</f>
        <v/>
      </c>
      <c r="B169" s="610"/>
      <c r="C169" s="611"/>
      <c r="D169" s="142" t="str">
        <f>_xlfn.XLOOKUP(E169,'All Products'!D:D,'All Products'!C:C,FALSE)</f>
        <v>838-335</v>
      </c>
      <c r="E169" s="103">
        <v>100023678</v>
      </c>
      <c r="F169" s="413" t="str">
        <f>_xlfn.XLOOKUP(E169,'All Products'!D:D,'All Products'!E:E,FALSE)</f>
        <v>3X1 RED BUSHING SPGXFIPT SCH80</v>
      </c>
      <c r="G169" s="233">
        <f>_xlfn.XLOOKUP(E169,'All Products'!D:D,'All Products'!F:F,FALSE)</f>
        <v>25</v>
      </c>
      <c r="H169" s="196">
        <f>_xlfn.XLOOKUP(E169,'All Products'!D:D,'All Products'!G:G,FALSE)</f>
        <v>3000</v>
      </c>
      <c r="I169" s="415">
        <f>_xlfn.XLOOKUP(E169,'All Products'!D:D,'All Products'!H:H,FALSE)</f>
        <v>168.71</v>
      </c>
      <c r="J169" s="130">
        <f>ROUND(I169*Order_Quote!$L$8,2)</f>
        <v>168.71</v>
      </c>
      <c r="K169" s="75"/>
      <c r="L169" s="113"/>
      <c r="M169" s="171">
        <f t="shared" si="4"/>
        <v>0</v>
      </c>
      <c r="O169" s="265" t="str">
        <f>_xlfn.XLOOKUP(E169,'All Products'!D:D,'All Products'!I:I,FALSE)</f>
        <v>Within 3 Weeks</v>
      </c>
      <c r="P169" s="265" t="str">
        <f>_xlfn.XLOOKUP(E169,'All Products'!D:D,'All Products'!J:J,FALSE)</f>
        <v>Manufactured</v>
      </c>
      <c r="Q169" s="266">
        <f>_xlfn.XLOOKUP(E169,'All Products'!D:D,'All Products'!K:K,FALSE)</f>
        <v>49081158446</v>
      </c>
      <c r="R169" s="266">
        <f>_xlfn.XLOOKUP(E169,'All Products'!D:D,'All Products'!L:L,FALSE)</f>
        <v>49081658441</v>
      </c>
      <c r="S169" s="266">
        <f>_xlfn.XLOOKUP(E169,'All Products'!D:D,'All Products'!M:M,FALSE)</f>
        <v>40049081158444</v>
      </c>
      <c r="T169" s="265">
        <f>_xlfn.XLOOKUP(E169,'All Products'!D:D,'All Products'!N:N,FALSE)</f>
        <v>0.53600000000000003</v>
      </c>
      <c r="U169" s="266">
        <f>_xlfn.XLOOKUP(E169,'All Products'!D:D,'All Products'!O:O,FALSE)</f>
        <v>5</v>
      </c>
      <c r="V169" s="265">
        <f>_xlfn.XLOOKUP(E169,'All Products'!D:D,'All Products'!P:P,FALSE)</f>
        <v>13.39</v>
      </c>
      <c r="W169" s="265">
        <f>_xlfn.XLOOKUP(E169,'All Products'!D:D,'All Products'!Q:Q,FALSE)</f>
        <v>0.65</v>
      </c>
    </row>
    <row r="170" spans="1:23">
      <c r="A170" s="101" t="str">
        <f>IF(K170&gt;0,COUNT($A$7:A169)
+COUNT('DWV PVC'!$A$9:$A$316)
+COUNT('DWV ABS'!$A$8:$A$116)
+COUNT('PVC SCH40'!$A$8:$A$424)
+COUNT('PVC SCH40 LD'!$A$8:$A$21)
+COUNT('Pool &amp; SPA Sweep Elbows'!$A$8:$A$11)
+COUNT('Pool &amp; SPA Pipe Extender'!$A$8:$A$10)+1,"")</f>
        <v/>
      </c>
      <c r="B170" s="610"/>
      <c r="C170" s="611"/>
      <c r="D170" s="142" t="str">
        <f>_xlfn.XLOOKUP(E170,'All Products'!D:D,'All Products'!C:C,FALSE)</f>
        <v>838-338</v>
      </c>
      <c r="E170" s="103">
        <v>100023681</v>
      </c>
      <c r="F170" s="413" t="str">
        <f>_xlfn.XLOOKUP(E170,'All Products'!D:D,'All Products'!E:E,FALSE)</f>
        <v>3X2 RED BUSHING SPGXFIPT SCH80</v>
      </c>
      <c r="G170" s="233">
        <f>_xlfn.XLOOKUP(E170,'All Products'!D:D,'All Products'!F:F,FALSE)</f>
        <v>25</v>
      </c>
      <c r="H170" s="196">
        <f>_xlfn.XLOOKUP(E170,'All Products'!D:D,'All Products'!G:G,FALSE)</f>
        <v>3000</v>
      </c>
      <c r="I170" s="415">
        <f>_xlfn.XLOOKUP(E170,'All Products'!D:D,'All Products'!H:H,FALSE)</f>
        <v>168.71</v>
      </c>
      <c r="J170" s="130">
        <f>ROUND(I170*Order_Quote!$L$8,2)</f>
        <v>168.71</v>
      </c>
      <c r="K170" s="75"/>
      <c r="L170" s="113"/>
      <c r="M170" s="171">
        <f t="shared" si="4"/>
        <v>0</v>
      </c>
      <c r="O170" s="265" t="str">
        <f>_xlfn.XLOOKUP(E170,'All Products'!D:D,'All Products'!I:I,FALSE)</f>
        <v>In Stock</v>
      </c>
      <c r="P170" s="265" t="str">
        <f>_xlfn.XLOOKUP(E170,'All Products'!D:D,'All Products'!J:J,FALSE)</f>
        <v>Manufactured</v>
      </c>
      <c r="Q170" s="266">
        <f>_xlfn.XLOOKUP(E170,'All Products'!D:D,'All Products'!K:K,FALSE)</f>
        <v>49081158385</v>
      </c>
      <c r="R170" s="266">
        <f>_xlfn.XLOOKUP(E170,'All Products'!D:D,'All Products'!L:L,FALSE)</f>
        <v>49081658380</v>
      </c>
      <c r="S170" s="266">
        <f>_xlfn.XLOOKUP(E170,'All Products'!D:D,'All Products'!M:M,FALSE)</f>
        <v>40049081158383</v>
      </c>
      <c r="T170" s="265">
        <f>_xlfn.XLOOKUP(E170,'All Products'!D:D,'All Products'!N:N,FALSE)</f>
        <v>0.58399999999999996</v>
      </c>
      <c r="U170" s="266">
        <f>_xlfn.XLOOKUP(E170,'All Products'!D:D,'All Products'!O:O,FALSE)</f>
        <v>5</v>
      </c>
      <c r="V170" s="265">
        <f>_xlfn.XLOOKUP(E170,'All Products'!D:D,'All Products'!P:P,FALSE)</f>
        <v>11.96</v>
      </c>
      <c r="W170" s="265">
        <f>_xlfn.XLOOKUP(E170,'All Products'!D:D,'All Products'!Q:Q,FALSE)</f>
        <v>0.95</v>
      </c>
    </row>
    <row r="171" spans="1:23">
      <c r="A171" s="101" t="str">
        <f>IF(K171&gt;0,COUNT($A$7:A170)
+COUNT('DWV PVC'!$A$9:$A$316)
+COUNT('DWV ABS'!$A$8:$A$116)
+COUNT('PVC SCH40'!$A$8:$A$424)
+COUNT('PVC SCH40 LD'!$A$8:$A$21)
+COUNT('Pool &amp; SPA Sweep Elbows'!$A$8:$A$11)
+COUNT('Pool &amp; SPA Pipe Extender'!$A$8:$A$10)+1,"")</f>
        <v/>
      </c>
      <c r="B171" s="610"/>
      <c r="C171" s="611"/>
      <c r="D171" s="142" t="str">
        <f>_xlfn.XLOOKUP(E171,'All Products'!D:D,'All Products'!C:C,FALSE)</f>
        <v>838-339</v>
      </c>
      <c r="E171" s="103">
        <v>100023682</v>
      </c>
      <c r="F171" s="413" t="str">
        <f>_xlfn.XLOOKUP(E171,'All Products'!D:D,'All Products'!E:E,FALSE)</f>
        <v>3X2-1/2 RED BUSHING SPGXFIPT SCH80</v>
      </c>
      <c r="G171" s="233">
        <f>_xlfn.XLOOKUP(E171,'All Products'!D:D,'All Products'!F:F,FALSE)</f>
        <v>25</v>
      </c>
      <c r="H171" s="196">
        <f>_xlfn.XLOOKUP(E171,'All Products'!D:D,'All Products'!G:G,FALSE)</f>
        <v>3000</v>
      </c>
      <c r="I171" s="415">
        <f>_xlfn.XLOOKUP(E171,'All Products'!D:D,'All Products'!H:H,FALSE)</f>
        <v>168.71</v>
      </c>
      <c r="J171" s="130">
        <f>ROUND(I171*Order_Quote!$L$8,2)</f>
        <v>168.71</v>
      </c>
      <c r="K171" s="75"/>
      <c r="L171" s="113"/>
      <c r="M171" s="171">
        <f t="shared" si="4"/>
        <v>0</v>
      </c>
      <c r="O171" s="265" t="str">
        <f>_xlfn.XLOOKUP(E171,'All Products'!D:D,'All Products'!I:I,FALSE)</f>
        <v>Within 3 Weeks</v>
      </c>
      <c r="P171" s="265" t="str">
        <f>_xlfn.XLOOKUP(E171,'All Products'!D:D,'All Products'!J:J,FALSE)</f>
        <v>Manufactured</v>
      </c>
      <c r="Q171" s="266">
        <f>_xlfn.XLOOKUP(E171,'All Products'!D:D,'All Products'!K:K,FALSE)</f>
        <v>49081158361</v>
      </c>
      <c r="R171" s="266">
        <f>_xlfn.XLOOKUP(E171,'All Products'!D:D,'All Products'!L:L,FALSE)</f>
        <v>49081658366</v>
      </c>
      <c r="S171" s="266">
        <f>_xlfn.XLOOKUP(E171,'All Products'!D:D,'All Products'!M:M,FALSE)</f>
        <v>40049081158369</v>
      </c>
      <c r="T171" s="265">
        <f>_xlfn.XLOOKUP(E171,'All Products'!D:D,'All Products'!N:N,FALSE)</f>
        <v>0.48199999999999998</v>
      </c>
      <c r="U171" s="266">
        <f>_xlfn.XLOOKUP(E171,'All Products'!D:D,'All Products'!O:O,FALSE)</f>
        <v>5</v>
      </c>
      <c r="V171" s="265">
        <f>_xlfn.XLOOKUP(E171,'All Products'!D:D,'All Products'!P:P,FALSE)</f>
        <v>9.2100000000000009</v>
      </c>
      <c r="W171" s="265">
        <f>_xlfn.XLOOKUP(E171,'All Products'!D:D,'All Products'!Q:Q,FALSE)</f>
        <v>0.65</v>
      </c>
    </row>
    <row r="172" spans="1:23">
      <c r="A172" s="101" t="str">
        <f>IF(K172&gt;0,COUNT($A$7:A171)
+COUNT('DWV PVC'!$A$9:$A$316)
+COUNT('DWV ABS'!$A$8:$A$116)
+COUNT('PVC SCH40'!$A$8:$A$424)
+COUNT('PVC SCH40 LD'!$A$8:$A$21)
+COUNT('Pool &amp; SPA Sweep Elbows'!$A$8:$A$11)
+COUNT('Pool &amp; SPA Pipe Extender'!$A$8:$A$10)+1,"")</f>
        <v/>
      </c>
      <c r="B172" s="610"/>
      <c r="C172" s="611"/>
      <c r="D172" s="142" t="str">
        <f>_xlfn.XLOOKUP(E172,'All Products'!D:D,'All Products'!C:C,FALSE)</f>
        <v>838-420</v>
      </c>
      <c r="E172" s="103">
        <v>100023685</v>
      </c>
      <c r="F172" s="413" t="str">
        <f>_xlfn.XLOOKUP(E172,'All Products'!D:D,'All Products'!E:E,FALSE)</f>
        <v>4X2 RED BUSHING SPGXFIPT SCH80</v>
      </c>
      <c r="G172" s="233">
        <f>_xlfn.XLOOKUP(E172,'All Products'!D:D,'All Products'!F:F,FALSE)</f>
        <v>10</v>
      </c>
      <c r="H172" s="196">
        <f>_xlfn.XLOOKUP(E172,'All Products'!D:D,'All Products'!G:G,FALSE)</f>
        <v>1500</v>
      </c>
      <c r="I172" s="415">
        <f>_xlfn.XLOOKUP(E172,'All Products'!D:D,'All Products'!H:H,FALSE)</f>
        <v>259.2</v>
      </c>
      <c r="J172" s="130">
        <f>ROUND(I172*Order_Quote!$L$8,2)</f>
        <v>259.2</v>
      </c>
      <c r="K172" s="75"/>
      <c r="L172" s="113"/>
      <c r="M172" s="171">
        <f t="shared" si="4"/>
        <v>0</v>
      </c>
      <c r="O172" s="265" t="str">
        <f>_xlfn.XLOOKUP(E172,'All Products'!D:D,'All Products'!I:I,FALSE)</f>
        <v>In Stock</v>
      </c>
      <c r="P172" s="265" t="str">
        <f>_xlfn.XLOOKUP(E172,'All Products'!D:D,'All Products'!J:J,FALSE)</f>
        <v>Manufactured</v>
      </c>
      <c r="Q172" s="266">
        <f>_xlfn.XLOOKUP(E172,'All Products'!D:D,'All Products'!K:K,FALSE)</f>
        <v>49081158569</v>
      </c>
      <c r="R172" s="266" t="str">
        <f>_xlfn.XLOOKUP(E172,'All Products'!D:D,'All Products'!L:L,FALSE)</f>
        <v>-</v>
      </c>
      <c r="S172" s="266">
        <f>_xlfn.XLOOKUP(E172,'All Products'!D:D,'All Products'!M:M,FALSE)</f>
        <v>40049081158567</v>
      </c>
      <c r="T172" s="265">
        <f>_xlfn.XLOOKUP(E172,'All Products'!D:D,'All Products'!N:N,FALSE)</f>
        <v>0.89</v>
      </c>
      <c r="U172" s="266" t="str">
        <f>_xlfn.XLOOKUP(E172,'All Products'!D:D,'All Products'!O:O,FALSE)</f>
        <v>-</v>
      </c>
      <c r="V172" s="265">
        <f>_xlfn.XLOOKUP(E172,'All Products'!D:D,'All Products'!P:P,FALSE)</f>
        <v>8.9600000000000009</v>
      </c>
      <c r="W172" s="265">
        <f>_xlfn.XLOOKUP(E172,'All Products'!D:D,'All Products'!Q:Q,FALSE)</f>
        <v>0.5</v>
      </c>
    </row>
    <row r="173" spans="1:23">
      <c r="A173" s="101" t="str">
        <f>IF(K173&gt;0,COUNT($A$7:A172)
+COUNT('DWV PVC'!$A$9:$A$316)
+COUNT('DWV ABS'!$A$8:$A$116)
+COUNT('PVC SCH40'!$A$8:$A$424)
+COUNT('PVC SCH40 LD'!$A$8:$A$21)
+COUNT('Pool &amp; SPA Sweep Elbows'!$A$8:$A$11)
+COUNT('Pool &amp; SPA Pipe Extender'!$A$8:$A$10)+1,"")</f>
        <v/>
      </c>
      <c r="B173" s="610"/>
      <c r="C173" s="611"/>
      <c r="D173" s="142" t="str">
        <f>_xlfn.XLOOKUP(E173,'All Products'!D:D,'All Products'!C:C,FALSE)</f>
        <v>838-421</v>
      </c>
      <c r="E173" s="103">
        <v>100028166</v>
      </c>
      <c r="F173" s="413" t="str">
        <f>_xlfn.XLOOKUP(E173,'All Products'!D:D,'All Products'!E:E,FALSE)</f>
        <v>4X2-1/2 RED BUSHING SPGXFIPT SCH80</v>
      </c>
      <c r="G173" s="233">
        <f>_xlfn.XLOOKUP(E173,'All Products'!D:D,'All Products'!F:F,FALSE)</f>
        <v>10</v>
      </c>
      <c r="H173" s="196">
        <f>_xlfn.XLOOKUP(E173,'All Products'!D:D,'All Products'!G:G,FALSE)</f>
        <v>1500</v>
      </c>
      <c r="I173" s="415">
        <f>_xlfn.XLOOKUP(E173,'All Products'!D:D,'All Products'!H:H,FALSE)</f>
        <v>259.2</v>
      </c>
      <c r="J173" s="130">
        <f>ROUND(I173*Order_Quote!$L$8,2)</f>
        <v>259.2</v>
      </c>
      <c r="K173" s="75"/>
      <c r="L173" s="113"/>
      <c r="M173" s="171">
        <f t="shared" si="4"/>
        <v>0</v>
      </c>
      <c r="O173" s="265" t="str">
        <f>_xlfn.XLOOKUP(E173,'All Products'!D:D,'All Products'!I:I,FALSE)</f>
        <v>Within 3 Weeks</v>
      </c>
      <c r="P173" s="265" t="str">
        <f>_xlfn.XLOOKUP(E173,'All Products'!D:D,'All Products'!J:J,FALSE)</f>
        <v>Manufactured</v>
      </c>
      <c r="Q173" s="266">
        <f>_xlfn.XLOOKUP(E173,'All Products'!D:D,'All Products'!K:K,FALSE)</f>
        <v>49081158545</v>
      </c>
      <c r="R173" s="266" t="str">
        <f>_xlfn.XLOOKUP(E173,'All Products'!D:D,'All Products'!L:L,FALSE)</f>
        <v>-</v>
      </c>
      <c r="S173" s="266">
        <f>_xlfn.XLOOKUP(E173,'All Products'!D:D,'All Products'!M:M,FALSE)</f>
        <v>40049081158543</v>
      </c>
      <c r="T173" s="265">
        <f>_xlfn.XLOOKUP(E173,'All Products'!D:D,'All Products'!N:N,FALSE)</f>
        <v>0.96599999999999997</v>
      </c>
      <c r="U173" s="266" t="str">
        <f>_xlfn.XLOOKUP(E173,'All Products'!D:D,'All Products'!O:O,FALSE)</f>
        <v>-</v>
      </c>
      <c r="V173" s="265">
        <f>_xlfn.XLOOKUP(E173,'All Products'!D:D,'All Products'!P:P,FALSE)</f>
        <v>9.73</v>
      </c>
      <c r="W173" s="265">
        <f>_xlfn.XLOOKUP(E173,'All Products'!D:D,'All Products'!Q:Q,FALSE)</f>
        <v>0.5</v>
      </c>
    </row>
    <row r="174" spans="1:23">
      <c r="A174" s="101" t="str">
        <f>IF(K174&gt;0,COUNT($A$7:A173)
+COUNT('DWV PVC'!$A$9:$A$316)
+COUNT('DWV ABS'!$A$8:$A$116)
+COUNT('PVC SCH40'!$A$8:$A$424)
+COUNT('PVC SCH40 LD'!$A$8:$A$21)
+COUNT('Pool &amp; SPA Sweep Elbows'!$A$8:$A$11)
+COUNT('Pool &amp; SPA Pipe Extender'!$A$8:$A$10)+1,"")</f>
        <v/>
      </c>
      <c r="B174" s="612"/>
      <c r="C174" s="613"/>
      <c r="D174" s="142" t="str">
        <f>_xlfn.XLOOKUP(E174,'All Products'!D:D,'All Products'!C:C,FALSE)</f>
        <v>838-422</v>
      </c>
      <c r="E174" s="103">
        <v>100023686</v>
      </c>
      <c r="F174" s="413" t="str">
        <f>_xlfn.XLOOKUP(E174,'All Products'!D:D,'All Products'!E:E,FALSE)</f>
        <v>4X3 RED BUSHING SPGXFIPT SCH80</v>
      </c>
      <c r="G174" s="233">
        <f>_xlfn.XLOOKUP(E174,'All Products'!D:D,'All Products'!F:F,FALSE)</f>
        <v>10</v>
      </c>
      <c r="H174" s="196">
        <f>_xlfn.XLOOKUP(E174,'All Products'!D:D,'All Products'!G:G,FALSE)</f>
        <v>1500</v>
      </c>
      <c r="I174" s="415">
        <f>_xlfn.XLOOKUP(E174,'All Products'!D:D,'All Products'!H:H,FALSE)</f>
        <v>259.2</v>
      </c>
      <c r="J174" s="130">
        <f>ROUND(I174*Order_Quote!$L$8,2)</f>
        <v>259.2</v>
      </c>
      <c r="K174" s="75"/>
      <c r="L174" s="113"/>
      <c r="M174" s="171">
        <f t="shared" si="4"/>
        <v>0</v>
      </c>
      <c r="O174" s="265" t="str">
        <f>_xlfn.XLOOKUP(E174,'All Products'!D:D,'All Products'!I:I,FALSE)</f>
        <v>In Stock</v>
      </c>
      <c r="P174" s="265" t="str">
        <f>_xlfn.XLOOKUP(E174,'All Products'!D:D,'All Products'!J:J,FALSE)</f>
        <v>Manufactured</v>
      </c>
      <c r="Q174" s="266">
        <f>_xlfn.XLOOKUP(E174,'All Products'!D:D,'All Products'!K:K,FALSE)</f>
        <v>49081158521</v>
      </c>
      <c r="R174" s="266" t="str">
        <f>_xlfn.XLOOKUP(E174,'All Products'!D:D,'All Products'!L:L,FALSE)</f>
        <v>-</v>
      </c>
      <c r="S174" s="266">
        <f>_xlfn.XLOOKUP(E174,'All Products'!D:D,'All Products'!M:M,FALSE)</f>
        <v>40049081158529</v>
      </c>
      <c r="T174" s="265">
        <f>_xlfn.XLOOKUP(E174,'All Products'!D:D,'All Products'!N:N,FALSE)</f>
        <v>0.86</v>
      </c>
      <c r="U174" s="266" t="str">
        <f>_xlfn.XLOOKUP(E174,'All Products'!D:D,'All Products'!O:O,FALSE)</f>
        <v>-</v>
      </c>
      <c r="V174" s="265">
        <f>_xlfn.XLOOKUP(E174,'All Products'!D:D,'All Products'!P:P,FALSE)</f>
        <v>8.84</v>
      </c>
      <c r="W174" s="265">
        <f>_xlfn.XLOOKUP(E174,'All Products'!D:D,'All Products'!Q:Q,FALSE)</f>
        <v>0.5</v>
      </c>
    </row>
    <row r="175" spans="1:23">
      <c r="A175" s="101" t="str">
        <f>IF(K175&gt;0,COUNT($A$7:A174)
+COUNT('DWV PVC'!$A$9:$A$316)
+COUNT('DWV ABS'!$A$8:$A$116)
+COUNT('PVC SCH40'!$A$8:$A$424)
+COUNT('PVC SCH40 LD'!$A$8:$A$21)
+COUNT('Pool &amp; SPA Sweep Elbows'!$A$8:$A$11)
+COUNT('Pool &amp; SPA Pipe Extender'!$A$8:$A$10)+1,"")</f>
        <v/>
      </c>
      <c r="B175" s="608"/>
      <c r="C175" s="609"/>
      <c r="D175" s="142" t="str">
        <f>_xlfn.XLOOKUP(E175,'All Products'!D:D,'All Products'!C:C,FALSE)</f>
        <v>839-041</v>
      </c>
      <c r="E175" s="103">
        <v>100023437</v>
      </c>
      <c r="F175" s="413" t="str">
        <f>_xlfn.XLOOKUP(E175,'All Products'!D:D,'All Products'!E:E,FALSE)</f>
        <v>1/4X1/8 RED BUSHING MIPTXFIPT SCH80</v>
      </c>
      <c r="G175" s="233">
        <f>_xlfn.XLOOKUP(E175,'All Products'!D:D,'All Products'!F:F,FALSE)</f>
        <v>500</v>
      </c>
      <c r="H175" s="196">
        <f>_xlfn.XLOOKUP(E175,'All Products'!D:D,'All Products'!G:G,FALSE)</f>
        <v>135000</v>
      </c>
      <c r="I175" s="415">
        <f>_xlfn.XLOOKUP(E175,'All Products'!D:D,'All Products'!H:H,FALSE)</f>
        <v>30.2</v>
      </c>
      <c r="J175" s="130">
        <f>ROUND(I175*Order_Quote!$L$8,2)</f>
        <v>30.2</v>
      </c>
      <c r="K175" s="75"/>
      <c r="L175" s="113"/>
      <c r="M175" s="171">
        <f t="shared" si="4"/>
        <v>0</v>
      </c>
      <c r="O175" s="265" t="str">
        <f>_xlfn.XLOOKUP(E175,'All Products'!D:D,'All Products'!I:I,FALSE)</f>
        <v>Within 3 Weeks</v>
      </c>
      <c r="P175" s="265" t="str">
        <f>_xlfn.XLOOKUP(E175,'All Products'!D:D,'All Products'!J:J,FALSE)</f>
        <v>Manufactured</v>
      </c>
      <c r="Q175" s="266">
        <f>_xlfn.XLOOKUP(E175,'All Products'!D:D,'All Products'!K:K,FALSE)</f>
        <v>49081158767</v>
      </c>
      <c r="R175" s="266">
        <f>_xlfn.XLOOKUP(E175,'All Products'!D:D,'All Products'!L:L,FALSE)</f>
        <v>49081658762</v>
      </c>
      <c r="S175" s="266">
        <f>_xlfn.XLOOKUP(E175,'All Products'!D:D,'All Products'!M:M,FALSE)</f>
        <v>40049081158765</v>
      </c>
      <c r="T175" s="265">
        <f>_xlfn.XLOOKUP(E175,'All Products'!D:D,'All Products'!N:N,FALSE)</f>
        <v>1.4999999999999999E-2</v>
      </c>
      <c r="U175" s="266">
        <f>_xlfn.XLOOKUP(E175,'All Products'!D:D,'All Products'!O:O,FALSE)</f>
        <v>10</v>
      </c>
      <c r="V175" s="265">
        <f>_xlfn.XLOOKUP(E175,'All Products'!D:D,'All Products'!P:P,FALSE)</f>
        <v>7.64</v>
      </c>
      <c r="W175" s="265">
        <f>_xlfn.XLOOKUP(E175,'All Products'!D:D,'All Products'!Q:Q,FALSE)</f>
        <v>0.31</v>
      </c>
    </row>
    <row r="176" spans="1:23">
      <c r="A176" s="101" t="str">
        <f>IF(K176&gt;0,COUNT($A$7:A175)
+COUNT('DWV PVC'!$A$9:$A$316)
+COUNT('DWV ABS'!$A$8:$A$116)
+COUNT('PVC SCH40'!$A$8:$A$424)
+COUNT('PVC SCH40 LD'!$A$8:$A$21)
+COUNT('Pool &amp; SPA Sweep Elbows'!$A$8:$A$11)
+COUNT('Pool &amp; SPA Pipe Extender'!$A$8:$A$10)+1,"")</f>
        <v/>
      </c>
      <c r="B176" s="610"/>
      <c r="C176" s="611"/>
      <c r="D176" s="142" t="str">
        <f>_xlfn.XLOOKUP(E176,'All Products'!D:D,'All Products'!C:C,FALSE)</f>
        <v>839-052</v>
      </c>
      <c r="E176" s="103">
        <v>100023687</v>
      </c>
      <c r="F176" s="413" t="str">
        <f>_xlfn.XLOOKUP(E176,'All Products'!D:D,'All Products'!E:E,FALSE)</f>
        <v>3/8X1/4 RED BUSHING MIPTXFIPT SCH80</v>
      </c>
      <c r="G176" s="233">
        <f>_xlfn.XLOOKUP(E176,'All Products'!D:D,'All Products'!F:F,FALSE)</f>
        <v>500</v>
      </c>
      <c r="H176" s="196">
        <f>_xlfn.XLOOKUP(E176,'All Products'!D:D,'All Products'!G:G,FALSE)</f>
        <v>75000</v>
      </c>
      <c r="I176" s="415">
        <f>_xlfn.XLOOKUP(E176,'All Products'!D:D,'All Products'!H:H,FALSE)</f>
        <v>30.2</v>
      </c>
      <c r="J176" s="130">
        <f>ROUND(I176*Order_Quote!$L$8,2)</f>
        <v>30.2</v>
      </c>
      <c r="K176" s="75"/>
      <c r="L176" s="113"/>
      <c r="M176" s="171">
        <f t="shared" si="4"/>
        <v>0</v>
      </c>
      <c r="O176" s="265" t="str">
        <f>_xlfn.XLOOKUP(E176,'All Products'!D:D,'All Products'!I:I,FALSE)</f>
        <v>In Stock</v>
      </c>
      <c r="P176" s="265" t="str">
        <f>_xlfn.XLOOKUP(E176,'All Products'!D:D,'All Products'!J:J,FALSE)</f>
        <v>Manufactured</v>
      </c>
      <c r="Q176" s="266">
        <f>_xlfn.XLOOKUP(E176,'All Products'!D:D,'All Products'!K:K,FALSE)</f>
        <v>49081158781</v>
      </c>
      <c r="R176" s="266">
        <f>_xlfn.XLOOKUP(E176,'All Products'!D:D,'All Products'!L:L,FALSE)</f>
        <v>49081658786</v>
      </c>
      <c r="S176" s="266">
        <f>_xlfn.XLOOKUP(E176,'All Products'!D:D,'All Products'!M:M,FALSE)</f>
        <v>40049081158789</v>
      </c>
      <c r="T176" s="265">
        <f>_xlfn.XLOOKUP(E176,'All Products'!D:D,'All Products'!N:N,FALSE)</f>
        <v>1.2999999999999999E-2</v>
      </c>
      <c r="U176" s="266">
        <f>_xlfn.XLOOKUP(E176,'All Products'!D:D,'All Products'!O:O,FALSE)</f>
        <v>10</v>
      </c>
      <c r="V176" s="265">
        <f>_xlfn.XLOOKUP(E176,'All Products'!D:D,'All Products'!P:P,FALSE)</f>
        <v>10.7</v>
      </c>
      <c r="W176" s="265">
        <f>_xlfn.XLOOKUP(E176,'All Products'!D:D,'All Products'!Q:Q,FALSE)</f>
        <v>0.5</v>
      </c>
    </row>
    <row r="177" spans="1:23">
      <c r="A177" s="101" t="str">
        <f>IF(K177&gt;0,COUNT($A$7:A176)
+COUNT('DWV PVC'!$A$9:$A$316)
+COUNT('DWV ABS'!$A$8:$A$116)
+COUNT('PVC SCH40'!$A$8:$A$424)
+COUNT('PVC SCH40 LD'!$A$8:$A$21)
+COUNT('Pool &amp; SPA Sweep Elbows'!$A$8:$A$11)
+COUNT('Pool &amp; SPA Pipe Extender'!$A$8:$A$10)+1,"")</f>
        <v/>
      </c>
      <c r="B177" s="610"/>
      <c r="C177" s="611"/>
      <c r="D177" s="142" t="str">
        <f>_xlfn.XLOOKUP(E177,'All Products'!D:D,'All Products'!C:C,FALSE)</f>
        <v>839-072</v>
      </c>
      <c r="E177" s="103">
        <v>100023689</v>
      </c>
      <c r="F177" s="413" t="str">
        <f>_xlfn.XLOOKUP(E177,'All Products'!D:D,'All Products'!E:E,FALSE)</f>
        <v>1/2X1/4 RED BUSHING MIPTXFIPT SCH80</v>
      </c>
      <c r="G177" s="233">
        <f>_xlfn.XLOOKUP(E177,'All Products'!D:D,'All Products'!F:F,FALSE)</f>
        <v>500</v>
      </c>
      <c r="H177" s="196">
        <f>_xlfn.XLOOKUP(E177,'All Products'!D:D,'All Products'!G:G,FALSE)</f>
        <v>75000</v>
      </c>
      <c r="I177" s="415">
        <f>_xlfn.XLOOKUP(E177,'All Products'!D:D,'All Products'!H:H,FALSE)</f>
        <v>30.2</v>
      </c>
      <c r="J177" s="130">
        <f>ROUND(I177*Order_Quote!$L$8,2)</f>
        <v>30.2</v>
      </c>
      <c r="K177" s="75"/>
      <c r="L177" s="113"/>
      <c r="M177" s="171">
        <f t="shared" si="4"/>
        <v>0</v>
      </c>
      <c r="O177" s="265" t="str">
        <f>_xlfn.XLOOKUP(E177,'All Products'!D:D,'All Products'!I:I,FALSE)</f>
        <v>In Stock</v>
      </c>
      <c r="P177" s="265" t="str">
        <f>_xlfn.XLOOKUP(E177,'All Products'!D:D,'All Products'!J:J,FALSE)</f>
        <v>Manufactured</v>
      </c>
      <c r="Q177" s="266">
        <f>_xlfn.XLOOKUP(E177,'All Products'!D:D,'All Products'!K:K,FALSE)</f>
        <v>49081158828</v>
      </c>
      <c r="R177" s="266">
        <f>_xlfn.XLOOKUP(E177,'All Products'!D:D,'All Products'!L:L,FALSE)</f>
        <v>49081658823</v>
      </c>
      <c r="S177" s="266">
        <f>_xlfn.XLOOKUP(E177,'All Products'!D:D,'All Products'!M:M,FALSE)</f>
        <v>40049081158826</v>
      </c>
      <c r="T177" s="265">
        <f>_xlfn.XLOOKUP(E177,'All Products'!D:D,'All Products'!N:N,FALSE)</f>
        <v>2.1000000000000001E-2</v>
      </c>
      <c r="U177" s="266">
        <f>_xlfn.XLOOKUP(E177,'All Products'!D:D,'All Products'!O:O,FALSE)</f>
        <v>10</v>
      </c>
      <c r="V177" s="265">
        <f>_xlfn.XLOOKUP(E177,'All Products'!D:D,'All Products'!P:P,FALSE)</f>
        <v>11.05</v>
      </c>
      <c r="W177" s="265">
        <f>_xlfn.XLOOKUP(E177,'All Products'!D:D,'All Products'!Q:Q,FALSE)</f>
        <v>0.5</v>
      </c>
    </row>
    <row r="178" spans="1:23">
      <c r="A178" s="101" t="str">
        <f>IF(K178&gt;0,COUNT($A$7:A177)
+COUNT('DWV PVC'!$A$9:$A$316)
+COUNT('DWV ABS'!$A$8:$A$116)
+COUNT('PVC SCH40'!$A$8:$A$424)
+COUNT('PVC SCH40 LD'!$A$8:$A$21)
+COUNT('Pool &amp; SPA Sweep Elbows'!$A$8:$A$11)
+COUNT('Pool &amp; SPA Pipe Extender'!$A$8:$A$10)+1,"")</f>
        <v/>
      </c>
      <c r="B178" s="610"/>
      <c r="C178" s="611"/>
      <c r="D178" s="142" t="str">
        <f>_xlfn.XLOOKUP(E178,'All Products'!D:D,'All Products'!C:C,FALSE)</f>
        <v>839-073</v>
      </c>
      <c r="E178" s="103">
        <v>100023690</v>
      </c>
      <c r="F178" s="413" t="str">
        <f>_xlfn.XLOOKUP(E178,'All Products'!D:D,'All Products'!E:E,FALSE)</f>
        <v>1/2X3/8 RED BUSHING MIPTXFIPT SCH80</v>
      </c>
      <c r="G178" s="233">
        <f>_xlfn.XLOOKUP(E178,'All Products'!D:D,'All Products'!F:F,FALSE)</f>
        <v>500</v>
      </c>
      <c r="H178" s="196">
        <f>_xlfn.XLOOKUP(E178,'All Products'!D:D,'All Products'!G:G,FALSE)</f>
        <v>75000</v>
      </c>
      <c r="I178" s="415">
        <f>_xlfn.XLOOKUP(E178,'All Products'!D:D,'All Products'!H:H,FALSE)</f>
        <v>30.2</v>
      </c>
      <c r="J178" s="130">
        <f>ROUND(I178*Order_Quote!$L$8,2)</f>
        <v>30.2</v>
      </c>
      <c r="K178" s="75"/>
      <c r="L178" s="113"/>
      <c r="M178" s="171">
        <f t="shared" si="4"/>
        <v>0</v>
      </c>
      <c r="O178" s="265" t="str">
        <f>_xlfn.XLOOKUP(E178,'All Products'!D:D,'All Products'!I:I,FALSE)</f>
        <v>In Stock</v>
      </c>
      <c r="P178" s="265" t="str">
        <f>_xlfn.XLOOKUP(E178,'All Products'!D:D,'All Products'!J:J,FALSE)</f>
        <v>Manufactured</v>
      </c>
      <c r="Q178" s="266">
        <f>_xlfn.XLOOKUP(E178,'All Products'!D:D,'All Products'!K:K,FALSE)</f>
        <v>49081158804</v>
      </c>
      <c r="R178" s="266">
        <f>_xlfn.XLOOKUP(E178,'All Products'!D:D,'All Products'!L:L,FALSE)</f>
        <v>49081658809</v>
      </c>
      <c r="S178" s="266">
        <f>_xlfn.XLOOKUP(E178,'All Products'!D:D,'All Products'!M:M,FALSE)</f>
        <v>40049081158802</v>
      </c>
      <c r="T178" s="265">
        <f>_xlfn.XLOOKUP(E178,'All Products'!D:D,'All Products'!N:N,FALSE)</f>
        <v>1.4999999999999999E-2</v>
      </c>
      <c r="U178" s="266">
        <f>_xlfn.XLOOKUP(E178,'All Products'!D:D,'All Products'!O:O,FALSE)</f>
        <v>10</v>
      </c>
      <c r="V178" s="265">
        <f>_xlfn.XLOOKUP(E178,'All Products'!D:D,'All Products'!P:P,FALSE)</f>
        <v>8.02</v>
      </c>
      <c r="W178" s="265">
        <f>_xlfn.XLOOKUP(E178,'All Products'!D:D,'All Products'!Q:Q,FALSE)</f>
        <v>0.5</v>
      </c>
    </row>
    <row r="179" spans="1:23">
      <c r="A179" s="101" t="str">
        <f>IF(K179&gt;0,COUNT($A$7:A178)
+COUNT('DWV PVC'!$A$9:$A$316)
+COUNT('DWV ABS'!$A$8:$A$116)
+COUNT('PVC SCH40'!$A$8:$A$424)
+COUNT('PVC SCH40 LD'!$A$8:$A$21)
+COUNT('Pool &amp; SPA Sweep Elbows'!$A$8:$A$11)
+COUNT('Pool &amp; SPA Pipe Extender'!$A$8:$A$10)+1,"")</f>
        <v/>
      </c>
      <c r="B179" s="610"/>
      <c r="C179" s="611"/>
      <c r="D179" s="142" t="str">
        <f>_xlfn.XLOOKUP(E179,'All Products'!D:D,'All Products'!C:C,FALSE)</f>
        <v>839-098</v>
      </c>
      <c r="E179" s="103">
        <v>100023691</v>
      </c>
      <c r="F179" s="413" t="str">
        <f>_xlfn.XLOOKUP(E179,'All Products'!D:D,'All Products'!E:E,FALSE)</f>
        <v>3/4X1/4 RED BUSHING MIPTXFIPT SCH80</v>
      </c>
      <c r="G179" s="233">
        <f>_xlfn.XLOOKUP(E179,'All Products'!D:D,'All Products'!F:F,FALSE)</f>
        <v>250</v>
      </c>
      <c r="H179" s="196">
        <f>_xlfn.XLOOKUP(E179,'All Products'!D:D,'All Products'!G:G,FALSE)</f>
        <v>37500</v>
      </c>
      <c r="I179" s="415">
        <f>_xlfn.XLOOKUP(E179,'All Products'!D:D,'All Products'!H:H,FALSE)</f>
        <v>22.5</v>
      </c>
      <c r="J179" s="130">
        <f>ROUND(I179*Order_Quote!$L$8,2)</f>
        <v>22.5</v>
      </c>
      <c r="K179" s="75"/>
      <c r="L179" s="113"/>
      <c r="M179" s="171">
        <f t="shared" si="4"/>
        <v>0</v>
      </c>
      <c r="O179" s="265" t="str">
        <f>_xlfn.XLOOKUP(E179,'All Products'!D:D,'All Products'!I:I,FALSE)</f>
        <v>Within 3 Weeks</v>
      </c>
      <c r="P179" s="265" t="str">
        <f>_xlfn.XLOOKUP(E179,'All Products'!D:D,'All Products'!J:J,FALSE)</f>
        <v>Manufactured</v>
      </c>
      <c r="Q179" s="266">
        <f>_xlfn.XLOOKUP(E179,'All Products'!D:D,'All Products'!K:K,FALSE)</f>
        <v>49081158880</v>
      </c>
      <c r="R179" s="266">
        <f>_xlfn.XLOOKUP(E179,'All Products'!D:D,'All Products'!L:L,FALSE)</f>
        <v>49081658885</v>
      </c>
      <c r="S179" s="266">
        <f>_xlfn.XLOOKUP(E179,'All Products'!D:D,'All Products'!M:M,FALSE)</f>
        <v>40049081158888</v>
      </c>
      <c r="T179" s="265">
        <f>_xlfn.XLOOKUP(E179,'All Products'!D:D,'All Products'!N:N,FALSE)</f>
        <v>3.5999999999999997E-2</v>
      </c>
      <c r="U179" s="266">
        <f>_xlfn.XLOOKUP(E179,'All Products'!D:D,'All Products'!O:O,FALSE)</f>
        <v>10</v>
      </c>
      <c r="V179" s="265">
        <f>_xlfn.XLOOKUP(E179,'All Products'!D:D,'All Products'!P:P,FALSE)</f>
        <v>10.35</v>
      </c>
      <c r="W179" s="265">
        <f>_xlfn.XLOOKUP(E179,'All Products'!D:D,'All Products'!Q:Q,FALSE)</f>
        <v>0.5</v>
      </c>
    </row>
    <row r="180" spans="1:23">
      <c r="A180" s="101" t="str">
        <f>IF(K180&gt;0,COUNT($A$7:A179)
+COUNT('DWV PVC'!$A$9:$A$316)
+COUNT('DWV ABS'!$A$8:$A$116)
+COUNT('PVC SCH40'!$A$8:$A$424)
+COUNT('PVC SCH40 LD'!$A$8:$A$21)
+COUNT('Pool &amp; SPA Sweep Elbows'!$A$8:$A$11)
+COUNT('Pool &amp; SPA Pipe Extender'!$A$8:$A$10)+1,"")</f>
        <v/>
      </c>
      <c r="B180" s="610"/>
      <c r="C180" s="611"/>
      <c r="D180" s="142" t="str">
        <f>_xlfn.XLOOKUP(E180,'All Products'!D:D,'All Products'!C:C,FALSE)</f>
        <v>839-099</v>
      </c>
      <c r="E180" s="103">
        <v>100023692</v>
      </c>
      <c r="F180" s="413" t="str">
        <f>_xlfn.XLOOKUP(E180,'All Products'!D:D,'All Products'!E:E,FALSE)</f>
        <v>3/4X3/8 RED BUSHING MIPTXFIPT SCH80</v>
      </c>
      <c r="G180" s="233">
        <f>_xlfn.XLOOKUP(E180,'All Products'!D:D,'All Products'!F:F,FALSE)</f>
        <v>250</v>
      </c>
      <c r="H180" s="196">
        <f>_xlfn.XLOOKUP(E180,'All Products'!D:D,'All Products'!G:G,FALSE)</f>
        <v>37500</v>
      </c>
      <c r="I180" s="415">
        <f>_xlfn.XLOOKUP(E180,'All Products'!D:D,'All Products'!H:H,FALSE)</f>
        <v>22.5</v>
      </c>
      <c r="J180" s="130">
        <f>ROUND(I180*Order_Quote!$L$8,2)</f>
        <v>22.5</v>
      </c>
      <c r="K180" s="75"/>
      <c r="L180" s="113"/>
      <c r="M180" s="171">
        <f t="shared" si="4"/>
        <v>0</v>
      </c>
      <c r="O180" s="265" t="str">
        <f>_xlfn.XLOOKUP(E180,'All Products'!D:D,'All Products'!I:I,FALSE)</f>
        <v>In Stock</v>
      </c>
      <c r="P180" s="265" t="str">
        <f>_xlfn.XLOOKUP(E180,'All Products'!D:D,'All Products'!J:J,FALSE)</f>
        <v>Manufactured</v>
      </c>
      <c r="Q180" s="266">
        <f>_xlfn.XLOOKUP(E180,'All Products'!D:D,'All Products'!K:K,FALSE)</f>
        <v>49081158866</v>
      </c>
      <c r="R180" s="266">
        <f>_xlfn.XLOOKUP(E180,'All Products'!D:D,'All Products'!L:L,FALSE)</f>
        <v>49081658861</v>
      </c>
      <c r="S180" s="266">
        <f>_xlfn.XLOOKUP(E180,'All Products'!D:D,'All Products'!M:M,FALSE)</f>
        <v>40049081158864</v>
      </c>
      <c r="T180" s="265">
        <f>_xlfn.XLOOKUP(E180,'All Products'!D:D,'All Products'!N:N,FALSE)</f>
        <v>0.03</v>
      </c>
      <c r="U180" s="266">
        <f>_xlfn.XLOOKUP(E180,'All Products'!D:D,'All Products'!O:O,FALSE)</f>
        <v>10</v>
      </c>
      <c r="V180" s="265">
        <f>_xlfn.XLOOKUP(E180,'All Products'!D:D,'All Products'!P:P,FALSE)</f>
        <v>8.6999999999999993</v>
      </c>
      <c r="W180" s="265">
        <f>_xlfn.XLOOKUP(E180,'All Products'!D:D,'All Products'!Q:Q,FALSE)</f>
        <v>0.5</v>
      </c>
    </row>
    <row r="181" spans="1:23">
      <c r="A181" s="101" t="str">
        <f>IF(K181&gt;0,COUNT($A$7:A180)
+COUNT('DWV PVC'!$A$9:$A$316)
+COUNT('DWV ABS'!$A$8:$A$116)
+COUNT('PVC SCH40'!$A$8:$A$424)
+COUNT('PVC SCH40 LD'!$A$8:$A$21)
+COUNT('Pool &amp; SPA Sweep Elbows'!$A$8:$A$11)
+COUNT('Pool &amp; SPA Pipe Extender'!$A$8:$A$10)+1,"")</f>
        <v/>
      </c>
      <c r="B181" s="610"/>
      <c r="C181" s="611"/>
      <c r="D181" s="142" t="str">
        <f>_xlfn.XLOOKUP(E181,'All Products'!D:D,'All Products'!C:C,FALSE)</f>
        <v>839-101</v>
      </c>
      <c r="E181" s="103">
        <v>100023693</v>
      </c>
      <c r="F181" s="413" t="str">
        <f>_xlfn.XLOOKUP(E181,'All Products'!D:D,'All Products'!E:E,FALSE)</f>
        <v>3/4X1/2 RED BUSHING MIPTXFIPT SCH80</v>
      </c>
      <c r="G181" s="233">
        <f>_xlfn.XLOOKUP(E181,'All Products'!D:D,'All Products'!F:F,FALSE)</f>
        <v>250</v>
      </c>
      <c r="H181" s="196">
        <f>_xlfn.XLOOKUP(E181,'All Products'!D:D,'All Products'!G:G,FALSE)</f>
        <v>37500</v>
      </c>
      <c r="I181" s="415">
        <f>_xlfn.XLOOKUP(E181,'All Products'!D:D,'All Products'!H:H,FALSE)</f>
        <v>18.54</v>
      </c>
      <c r="J181" s="130">
        <f>ROUND(I181*Order_Quote!$L$8,2)</f>
        <v>18.54</v>
      </c>
      <c r="K181" s="75"/>
      <c r="L181" s="113"/>
      <c r="M181" s="171">
        <f t="shared" si="4"/>
        <v>0</v>
      </c>
      <c r="O181" s="265" t="str">
        <f>_xlfn.XLOOKUP(E181,'All Products'!D:D,'All Products'!I:I,FALSE)</f>
        <v>In Stock</v>
      </c>
      <c r="P181" s="265" t="str">
        <f>_xlfn.XLOOKUP(E181,'All Products'!D:D,'All Products'!J:J,FALSE)</f>
        <v>Manufactured</v>
      </c>
      <c r="Q181" s="266">
        <f>_xlfn.XLOOKUP(E181,'All Products'!D:D,'All Products'!K:K,FALSE)</f>
        <v>49081158842</v>
      </c>
      <c r="R181" s="266">
        <f>_xlfn.XLOOKUP(E181,'All Products'!D:D,'All Products'!L:L,FALSE)</f>
        <v>49081658847</v>
      </c>
      <c r="S181" s="266">
        <f>_xlfn.XLOOKUP(E181,'All Products'!D:D,'All Products'!M:M,FALSE)</f>
        <v>40049081158840</v>
      </c>
      <c r="T181" s="265">
        <f>_xlfn.XLOOKUP(E181,'All Products'!D:D,'All Products'!N:N,FALSE)</f>
        <v>2.5999999999999999E-2</v>
      </c>
      <c r="U181" s="266">
        <f>_xlfn.XLOOKUP(E181,'All Products'!D:D,'All Products'!O:O,FALSE)</f>
        <v>10</v>
      </c>
      <c r="V181" s="265">
        <f>_xlfn.XLOOKUP(E181,'All Products'!D:D,'All Products'!P:P,FALSE)</f>
        <v>5.5</v>
      </c>
      <c r="W181" s="265">
        <f>_xlfn.XLOOKUP(E181,'All Products'!D:D,'All Products'!Q:Q,FALSE)</f>
        <v>0.5</v>
      </c>
    </row>
    <row r="182" spans="1:23">
      <c r="A182" s="101" t="str">
        <f>IF(K182&gt;0,COUNT($A$7:A181)
+COUNT('DWV PVC'!$A$9:$A$316)
+COUNT('DWV ABS'!$A$8:$A$116)
+COUNT('PVC SCH40'!$A$8:$A$424)
+COUNT('PVC SCH40 LD'!$A$8:$A$21)
+COUNT('Pool &amp; SPA Sweep Elbows'!$A$8:$A$11)
+COUNT('Pool &amp; SPA Pipe Extender'!$A$8:$A$10)+1,"")</f>
        <v/>
      </c>
      <c r="B182" s="610"/>
      <c r="C182" s="611"/>
      <c r="D182" s="142" t="str">
        <f>_xlfn.XLOOKUP(E182,'All Products'!D:D,'All Products'!C:C,FALSE)</f>
        <v>839-128</v>
      </c>
      <c r="E182" s="103">
        <v>100023694</v>
      </c>
      <c r="F182" s="413" t="str">
        <f>_xlfn.XLOOKUP(E182,'All Products'!D:D,'All Products'!E:E,FALSE)</f>
        <v>1X1/4 RED BUSHING MIPTXFIPT SCH80</v>
      </c>
      <c r="G182" s="233">
        <f>_xlfn.XLOOKUP(E182,'All Products'!D:D,'All Products'!F:F,FALSE)</f>
        <v>250</v>
      </c>
      <c r="H182" s="196">
        <f>_xlfn.XLOOKUP(E182,'All Products'!D:D,'All Products'!G:G,FALSE)</f>
        <v>30000</v>
      </c>
      <c r="I182" s="415">
        <f>_xlfn.XLOOKUP(E182,'All Products'!D:D,'All Products'!H:H,FALSE)</f>
        <v>36.340000000000003</v>
      </c>
      <c r="J182" s="130">
        <f>ROUND(I182*Order_Quote!$L$8,2)</f>
        <v>36.340000000000003</v>
      </c>
      <c r="K182" s="75"/>
      <c r="L182" s="113"/>
      <c r="M182" s="171">
        <f t="shared" si="4"/>
        <v>0</v>
      </c>
      <c r="O182" s="265" t="str">
        <f>_xlfn.XLOOKUP(E182,'All Products'!D:D,'All Products'!I:I,FALSE)</f>
        <v>In Stock</v>
      </c>
      <c r="P182" s="265" t="str">
        <f>_xlfn.XLOOKUP(E182,'All Products'!D:D,'All Products'!J:J,FALSE)</f>
        <v>Manufactured</v>
      </c>
      <c r="Q182" s="266">
        <f>_xlfn.XLOOKUP(E182,'All Products'!D:D,'All Products'!K:K,FALSE)</f>
        <v>49081158941</v>
      </c>
      <c r="R182" s="266">
        <f>_xlfn.XLOOKUP(E182,'All Products'!D:D,'All Products'!L:L,FALSE)</f>
        <v>49081658946</v>
      </c>
      <c r="S182" s="266">
        <f>_xlfn.XLOOKUP(E182,'All Products'!D:D,'All Products'!M:M,FALSE)</f>
        <v>40049081158949</v>
      </c>
      <c r="T182" s="265">
        <f>_xlfn.XLOOKUP(E182,'All Products'!D:D,'All Products'!N:N,FALSE)</f>
        <v>6.8000000000000005E-2</v>
      </c>
      <c r="U182" s="266">
        <f>_xlfn.XLOOKUP(E182,'All Products'!D:D,'All Products'!O:O,FALSE)</f>
        <v>10</v>
      </c>
      <c r="V182" s="265">
        <f>_xlfn.XLOOKUP(E182,'All Products'!D:D,'All Products'!P:P,FALSE)</f>
        <v>17.12</v>
      </c>
      <c r="W182" s="265">
        <f>_xlfn.XLOOKUP(E182,'All Products'!D:D,'All Products'!Q:Q,FALSE)</f>
        <v>0.65</v>
      </c>
    </row>
    <row r="183" spans="1:23">
      <c r="A183" s="101" t="str">
        <f>IF(K183&gt;0,COUNT($A$7:A182)
+COUNT('DWV PVC'!$A$9:$A$316)
+COUNT('DWV ABS'!$A$8:$A$116)
+COUNT('PVC SCH40'!$A$8:$A$424)
+COUNT('PVC SCH40 LD'!$A$8:$A$21)
+COUNT('Pool &amp; SPA Sweep Elbows'!$A$8:$A$11)
+COUNT('Pool &amp; SPA Pipe Extender'!$A$8:$A$10)+1,"")</f>
        <v/>
      </c>
      <c r="B183" s="610"/>
      <c r="C183" s="611"/>
      <c r="D183" s="142" t="str">
        <f>_xlfn.XLOOKUP(E183,'All Products'!D:D,'All Products'!C:C,FALSE)</f>
        <v>839-129</v>
      </c>
      <c r="E183" s="103">
        <v>100023695</v>
      </c>
      <c r="F183" s="413" t="str">
        <f>_xlfn.XLOOKUP(E183,'All Products'!D:D,'All Products'!E:E,FALSE)</f>
        <v>1X3/8 RED BUSHING MIPTXFIPT SCH80</v>
      </c>
      <c r="G183" s="233">
        <f>_xlfn.XLOOKUP(E183,'All Products'!D:D,'All Products'!F:F,FALSE)</f>
        <v>250</v>
      </c>
      <c r="H183" s="196">
        <f>_xlfn.XLOOKUP(E183,'All Products'!D:D,'All Products'!G:G,FALSE)</f>
        <v>30000</v>
      </c>
      <c r="I183" s="415">
        <f>_xlfn.XLOOKUP(E183,'All Products'!D:D,'All Products'!H:H,FALSE)</f>
        <v>29.05</v>
      </c>
      <c r="J183" s="130">
        <f>ROUND(I183*Order_Quote!$L$8,2)</f>
        <v>29.05</v>
      </c>
      <c r="K183" s="75"/>
      <c r="L183" s="113"/>
      <c r="M183" s="171">
        <f t="shared" si="4"/>
        <v>0</v>
      </c>
      <c r="O183" s="265" t="str">
        <f>_xlfn.XLOOKUP(E183,'All Products'!D:D,'All Products'!I:I,FALSE)</f>
        <v>In Stock</v>
      </c>
      <c r="P183" s="265" t="str">
        <f>_xlfn.XLOOKUP(E183,'All Products'!D:D,'All Products'!J:J,FALSE)</f>
        <v>Manufactured</v>
      </c>
      <c r="Q183" s="266">
        <f>_xlfn.XLOOKUP(E183,'All Products'!D:D,'All Products'!K:K,FALSE)</f>
        <v>49081158965</v>
      </c>
      <c r="R183" s="266">
        <f>_xlfn.XLOOKUP(E183,'All Products'!D:D,'All Products'!L:L,FALSE)</f>
        <v>49081658960</v>
      </c>
      <c r="S183" s="266">
        <f>_xlfn.XLOOKUP(E183,'All Products'!D:D,'All Products'!M:M,FALSE)</f>
        <v>40049081158963</v>
      </c>
      <c r="T183" s="265">
        <f>_xlfn.XLOOKUP(E183,'All Products'!D:D,'All Products'!N:N,FALSE)</f>
        <v>6.2E-2</v>
      </c>
      <c r="U183" s="266">
        <f>_xlfn.XLOOKUP(E183,'All Products'!D:D,'All Products'!O:O,FALSE)</f>
        <v>10</v>
      </c>
      <c r="V183" s="265">
        <f>_xlfn.XLOOKUP(E183,'All Products'!D:D,'All Products'!P:P,FALSE)</f>
        <v>15.52</v>
      </c>
      <c r="W183" s="265">
        <f>_xlfn.XLOOKUP(E183,'All Products'!D:D,'All Products'!Q:Q,FALSE)</f>
        <v>0.65</v>
      </c>
    </row>
    <row r="184" spans="1:23">
      <c r="A184" s="101" t="str">
        <f>IF(K184&gt;0,COUNT($A$7:A183)
+COUNT('DWV PVC'!$A$9:$A$316)
+COUNT('DWV ABS'!$A$8:$A$116)
+COUNT('PVC SCH40'!$A$8:$A$424)
+COUNT('PVC SCH40 LD'!$A$8:$A$21)
+COUNT('Pool &amp; SPA Sweep Elbows'!$A$8:$A$11)
+COUNT('Pool &amp; SPA Pipe Extender'!$A$8:$A$10)+1,"")</f>
        <v/>
      </c>
      <c r="B184" s="610"/>
      <c r="C184" s="611"/>
      <c r="D184" s="142" t="str">
        <f>_xlfn.XLOOKUP(E184,'All Products'!D:D,'All Products'!C:C,FALSE)</f>
        <v>839-130</v>
      </c>
      <c r="E184" s="103">
        <v>100023696</v>
      </c>
      <c r="F184" s="413" t="str">
        <f>_xlfn.XLOOKUP(E184,'All Products'!D:D,'All Products'!E:E,FALSE)</f>
        <v>1X1/2 RED BUSHING MIPTXFIPT SCH80</v>
      </c>
      <c r="G184" s="233">
        <f>_xlfn.XLOOKUP(E184,'All Products'!D:D,'All Products'!F:F,FALSE)</f>
        <v>250</v>
      </c>
      <c r="H184" s="196">
        <f>_xlfn.XLOOKUP(E184,'All Products'!D:D,'All Products'!G:G,FALSE)</f>
        <v>30000</v>
      </c>
      <c r="I184" s="415">
        <f>_xlfn.XLOOKUP(E184,'All Products'!D:D,'All Products'!H:H,FALSE)</f>
        <v>29.05</v>
      </c>
      <c r="J184" s="130">
        <f>ROUND(I184*Order_Quote!$L$8,2)</f>
        <v>29.05</v>
      </c>
      <c r="K184" s="75"/>
      <c r="L184" s="113"/>
      <c r="M184" s="171">
        <f t="shared" ref="M184:M225" si="5">K184/G184</f>
        <v>0</v>
      </c>
      <c r="O184" s="265" t="str">
        <f>_xlfn.XLOOKUP(E184,'All Products'!D:D,'All Products'!I:I,FALSE)</f>
        <v>In Stock</v>
      </c>
      <c r="P184" s="265" t="str">
        <f>_xlfn.XLOOKUP(E184,'All Products'!D:D,'All Products'!J:J,FALSE)</f>
        <v>Manufactured</v>
      </c>
      <c r="Q184" s="266">
        <f>_xlfn.XLOOKUP(E184,'All Products'!D:D,'All Products'!K:K,FALSE)</f>
        <v>49081158927</v>
      </c>
      <c r="R184" s="266">
        <f>_xlfn.XLOOKUP(E184,'All Products'!D:D,'All Products'!L:L,FALSE)</f>
        <v>49081658922</v>
      </c>
      <c r="S184" s="266">
        <f>_xlfn.XLOOKUP(E184,'All Products'!D:D,'All Products'!M:M,FALSE)</f>
        <v>40049081158925</v>
      </c>
      <c r="T184" s="265">
        <f>_xlfn.XLOOKUP(E184,'All Products'!D:D,'All Products'!N:N,FALSE)</f>
        <v>5.3999999999999999E-2</v>
      </c>
      <c r="U184" s="266">
        <f>_xlfn.XLOOKUP(E184,'All Products'!D:D,'All Products'!O:O,FALSE)</f>
        <v>10</v>
      </c>
      <c r="V184" s="265">
        <f>_xlfn.XLOOKUP(E184,'All Products'!D:D,'All Products'!P:P,FALSE)</f>
        <v>13.55</v>
      </c>
      <c r="W184" s="265">
        <f>_xlfn.XLOOKUP(E184,'All Products'!D:D,'All Products'!Q:Q,FALSE)</f>
        <v>0.65</v>
      </c>
    </row>
    <row r="185" spans="1:23">
      <c r="A185" s="101" t="str">
        <f>IF(K185&gt;0,COUNT($A$7:A184)
+COUNT('DWV PVC'!$A$9:$A$316)
+COUNT('DWV ABS'!$A$8:$A$116)
+COUNT('PVC SCH40'!$A$8:$A$424)
+COUNT('PVC SCH40 LD'!$A$8:$A$21)
+COUNT('Pool &amp; SPA Sweep Elbows'!$A$8:$A$11)
+COUNT('Pool &amp; SPA Pipe Extender'!$A$8:$A$10)+1,"")</f>
        <v/>
      </c>
      <c r="B185" s="610"/>
      <c r="C185" s="611"/>
      <c r="D185" s="142" t="str">
        <f>_xlfn.XLOOKUP(E185,'All Products'!D:D,'All Products'!C:C,FALSE)</f>
        <v>839-131</v>
      </c>
      <c r="E185" s="103">
        <v>100023697</v>
      </c>
      <c r="F185" s="413" t="str">
        <f>_xlfn.XLOOKUP(E185,'All Products'!D:D,'All Products'!E:E,FALSE)</f>
        <v>1X3/4 RED BUSHING MIPTXFIPT SCH80</v>
      </c>
      <c r="G185" s="233">
        <f>_xlfn.XLOOKUP(E185,'All Products'!D:D,'All Products'!F:F,FALSE)</f>
        <v>250</v>
      </c>
      <c r="H185" s="196">
        <f>_xlfn.XLOOKUP(E185,'All Products'!D:D,'All Products'!G:G,FALSE)</f>
        <v>30000</v>
      </c>
      <c r="I185" s="415">
        <f>_xlfn.XLOOKUP(E185,'All Products'!D:D,'All Products'!H:H,FALSE)</f>
        <v>29.05</v>
      </c>
      <c r="J185" s="130">
        <f>ROUND(I185*Order_Quote!$L$8,2)</f>
        <v>29.05</v>
      </c>
      <c r="K185" s="75"/>
      <c r="L185" s="113"/>
      <c r="M185" s="171">
        <f t="shared" si="5"/>
        <v>0</v>
      </c>
      <c r="O185" s="265" t="str">
        <f>_xlfn.XLOOKUP(E185,'All Products'!D:D,'All Products'!I:I,FALSE)</f>
        <v>In Stock</v>
      </c>
      <c r="P185" s="265" t="str">
        <f>_xlfn.XLOOKUP(E185,'All Products'!D:D,'All Products'!J:J,FALSE)</f>
        <v>Manufactured</v>
      </c>
      <c r="Q185" s="266">
        <f>_xlfn.XLOOKUP(E185,'All Products'!D:D,'All Products'!K:K,FALSE)</f>
        <v>49081158903</v>
      </c>
      <c r="R185" s="266">
        <f>_xlfn.XLOOKUP(E185,'All Products'!D:D,'All Products'!L:L,FALSE)</f>
        <v>49081658908</v>
      </c>
      <c r="S185" s="266">
        <f>_xlfn.XLOOKUP(E185,'All Products'!D:D,'All Products'!M:M,FALSE)</f>
        <v>40049081158901</v>
      </c>
      <c r="T185" s="265">
        <f>_xlfn.XLOOKUP(E185,'All Products'!D:D,'All Products'!N:N,FALSE)</f>
        <v>3.9E-2</v>
      </c>
      <c r="U185" s="266">
        <f>_xlfn.XLOOKUP(E185,'All Products'!D:D,'All Products'!O:O,FALSE)</f>
        <v>10</v>
      </c>
      <c r="V185" s="265">
        <f>_xlfn.XLOOKUP(E185,'All Products'!D:D,'All Products'!P:P,FALSE)</f>
        <v>9.4600000000000009</v>
      </c>
      <c r="W185" s="265">
        <f>_xlfn.XLOOKUP(E185,'All Products'!D:D,'All Products'!Q:Q,FALSE)</f>
        <v>0.65</v>
      </c>
    </row>
    <row r="186" spans="1:23">
      <c r="A186" s="101" t="str">
        <f>IF(K186&gt;0,COUNT($A$7:A185)
+COUNT('DWV PVC'!$A$9:$A$316)
+COUNT('DWV ABS'!$A$8:$A$116)
+COUNT('PVC SCH40'!$A$8:$A$424)
+COUNT('PVC SCH40 LD'!$A$8:$A$21)
+COUNT('Pool &amp; SPA Sweep Elbows'!$A$8:$A$11)
+COUNT('Pool &amp; SPA Pipe Extender'!$A$8:$A$10)+1,"")</f>
        <v/>
      </c>
      <c r="B186" s="610"/>
      <c r="C186" s="611"/>
      <c r="D186" s="142" t="str">
        <f>_xlfn.XLOOKUP(E186,'All Products'!D:D,'All Products'!C:C,FALSE)</f>
        <v>839-166</v>
      </c>
      <c r="E186" s="103">
        <v>100023698</v>
      </c>
      <c r="F186" s="413" t="str">
        <f>_xlfn.XLOOKUP(E186,'All Products'!D:D,'All Products'!E:E,FALSE)</f>
        <v>1-1/4X1/2 BUSHING MIPTXFIPT SCH80</v>
      </c>
      <c r="G186" s="233">
        <f>_xlfn.XLOOKUP(E186,'All Products'!D:D,'All Products'!F:F,FALSE)</f>
        <v>100</v>
      </c>
      <c r="H186" s="196">
        <f>_xlfn.XLOOKUP(E186,'All Products'!D:D,'All Products'!G:G,FALSE)</f>
        <v>15000</v>
      </c>
      <c r="I186" s="415">
        <f>_xlfn.XLOOKUP(E186,'All Products'!D:D,'All Products'!H:H,FALSE)</f>
        <v>30.85</v>
      </c>
      <c r="J186" s="130">
        <f>ROUND(I186*Order_Quote!$L$8,2)</f>
        <v>30.85</v>
      </c>
      <c r="K186" s="75"/>
      <c r="L186" s="113"/>
      <c r="M186" s="171">
        <f t="shared" si="5"/>
        <v>0</v>
      </c>
      <c r="O186" s="265" t="str">
        <f>_xlfn.XLOOKUP(E186,'All Products'!D:D,'All Products'!I:I,FALSE)</f>
        <v>In Stock</v>
      </c>
      <c r="P186" s="265" t="str">
        <f>_xlfn.XLOOKUP(E186,'All Products'!D:D,'All Products'!J:J,FALSE)</f>
        <v>Manufactured</v>
      </c>
      <c r="Q186" s="266">
        <f>_xlfn.XLOOKUP(E186,'All Products'!D:D,'All Products'!K:K,FALSE)</f>
        <v>49081159023</v>
      </c>
      <c r="R186" s="266">
        <f>_xlfn.XLOOKUP(E186,'All Products'!D:D,'All Products'!L:L,FALSE)</f>
        <v>49081659028</v>
      </c>
      <c r="S186" s="266">
        <f>_xlfn.XLOOKUP(E186,'All Products'!D:D,'All Products'!M:M,FALSE)</f>
        <v>40049081159021</v>
      </c>
      <c r="T186" s="265">
        <f>_xlfn.XLOOKUP(E186,'All Products'!D:D,'All Products'!N:N,FALSE)</f>
        <v>8.2000000000000003E-2</v>
      </c>
      <c r="U186" s="266">
        <f>_xlfn.XLOOKUP(E186,'All Products'!D:D,'All Products'!O:O,FALSE)</f>
        <v>10</v>
      </c>
      <c r="V186" s="265">
        <f>_xlfn.XLOOKUP(E186,'All Products'!D:D,'All Products'!P:P,FALSE)</f>
        <v>8.3000000000000007</v>
      </c>
      <c r="W186" s="265">
        <f>_xlfn.XLOOKUP(E186,'All Products'!D:D,'All Products'!Q:Q,FALSE)</f>
        <v>0.5</v>
      </c>
    </row>
    <row r="187" spans="1:23">
      <c r="A187" s="101" t="str">
        <f>IF(K187&gt;0,COUNT($A$7:A186)
+COUNT('DWV PVC'!$A$9:$A$316)
+COUNT('DWV ABS'!$A$8:$A$116)
+COUNT('PVC SCH40'!$A$8:$A$424)
+COUNT('PVC SCH40 LD'!$A$8:$A$21)
+COUNT('Pool &amp; SPA Sweep Elbows'!$A$8:$A$11)
+COUNT('Pool &amp; SPA Pipe Extender'!$A$8:$A$10)+1,"")</f>
        <v/>
      </c>
      <c r="B187" s="610"/>
      <c r="C187" s="611"/>
      <c r="D187" s="142" t="str">
        <f>_xlfn.XLOOKUP(E187,'All Products'!D:D,'All Products'!C:C,FALSE)</f>
        <v>839-167</v>
      </c>
      <c r="E187" s="103">
        <v>100023699</v>
      </c>
      <c r="F187" s="413" t="str">
        <f>_xlfn.XLOOKUP(E187,'All Products'!D:D,'All Products'!E:E,FALSE)</f>
        <v>1-1/4X3/4 BUSHING MIPTXFIPT SCH80</v>
      </c>
      <c r="G187" s="233">
        <f>_xlfn.XLOOKUP(E187,'All Products'!D:D,'All Products'!F:F,FALSE)</f>
        <v>100</v>
      </c>
      <c r="H187" s="196">
        <f>_xlfn.XLOOKUP(E187,'All Products'!D:D,'All Products'!G:G,FALSE)</f>
        <v>15000</v>
      </c>
      <c r="I187" s="415">
        <f>_xlfn.XLOOKUP(E187,'All Products'!D:D,'All Products'!H:H,FALSE)</f>
        <v>30.85</v>
      </c>
      <c r="J187" s="130">
        <f>ROUND(I187*Order_Quote!$L$8,2)</f>
        <v>30.85</v>
      </c>
      <c r="K187" s="75"/>
      <c r="L187" s="113"/>
      <c r="M187" s="171">
        <f t="shared" si="5"/>
        <v>0</v>
      </c>
      <c r="O187" s="265" t="str">
        <f>_xlfn.XLOOKUP(E187,'All Products'!D:D,'All Products'!I:I,FALSE)</f>
        <v>Within 3 Weeks</v>
      </c>
      <c r="P187" s="265" t="str">
        <f>_xlfn.XLOOKUP(E187,'All Products'!D:D,'All Products'!J:J,FALSE)</f>
        <v>Manufactured</v>
      </c>
      <c r="Q187" s="266">
        <f>_xlfn.XLOOKUP(E187,'All Products'!D:D,'All Products'!K:K,FALSE)</f>
        <v>49081159009</v>
      </c>
      <c r="R187" s="266">
        <f>_xlfn.XLOOKUP(E187,'All Products'!D:D,'All Products'!L:L,FALSE)</f>
        <v>49081659004</v>
      </c>
      <c r="S187" s="266">
        <f>_xlfn.XLOOKUP(E187,'All Products'!D:D,'All Products'!M:M,FALSE)</f>
        <v>40049081159007</v>
      </c>
      <c r="T187" s="265">
        <f>_xlfn.XLOOKUP(E187,'All Products'!D:D,'All Products'!N:N,FALSE)</f>
        <v>8.5999999999999993E-2</v>
      </c>
      <c r="U187" s="266">
        <f>_xlfn.XLOOKUP(E187,'All Products'!D:D,'All Products'!O:O,FALSE)</f>
        <v>10</v>
      </c>
      <c r="V187" s="265">
        <f>_xlfn.XLOOKUP(E187,'All Products'!D:D,'All Products'!P:P,FALSE)</f>
        <v>8.9700000000000006</v>
      </c>
      <c r="W187" s="265">
        <f>_xlfn.XLOOKUP(E187,'All Products'!D:D,'All Products'!Q:Q,FALSE)</f>
        <v>0.5</v>
      </c>
    </row>
    <row r="188" spans="1:23">
      <c r="A188" s="101" t="str">
        <f>IF(K188&gt;0,COUNT($A$7:A187)
+COUNT('DWV PVC'!$A$9:$A$316)
+COUNT('DWV ABS'!$A$8:$A$116)
+COUNT('PVC SCH40'!$A$8:$A$424)
+COUNT('PVC SCH40 LD'!$A$8:$A$21)
+COUNT('Pool &amp; SPA Sweep Elbows'!$A$8:$A$11)
+COUNT('Pool &amp; SPA Pipe Extender'!$A$8:$A$10)+1,"")</f>
        <v/>
      </c>
      <c r="B188" s="610"/>
      <c r="C188" s="611"/>
      <c r="D188" s="142" t="str">
        <f>_xlfn.XLOOKUP(E188,'All Products'!D:D,'All Products'!C:C,FALSE)</f>
        <v>839-168</v>
      </c>
      <c r="E188" s="103">
        <v>100023700</v>
      </c>
      <c r="F188" s="413" t="str">
        <f>_xlfn.XLOOKUP(E188,'All Products'!D:D,'All Products'!E:E,FALSE)</f>
        <v>1-1/4X1 RED BUSHING MIPTXFIPT SCH80</v>
      </c>
      <c r="G188" s="233">
        <f>_xlfn.XLOOKUP(E188,'All Products'!D:D,'All Products'!F:F,FALSE)</f>
        <v>100</v>
      </c>
      <c r="H188" s="196">
        <f>_xlfn.XLOOKUP(E188,'All Products'!D:D,'All Products'!G:G,FALSE)</f>
        <v>15000</v>
      </c>
      <c r="I188" s="415">
        <f>_xlfn.XLOOKUP(E188,'All Products'!D:D,'All Products'!H:H,FALSE)</f>
        <v>30.85</v>
      </c>
      <c r="J188" s="130">
        <f>ROUND(I188*Order_Quote!$L$8,2)</f>
        <v>30.85</v>
      </c>
      <c r="K188" s="75"/>
      <c r="L188" s="113"/>
      <c r="M188" s="171">
        <f t="shared" si="5"/>
        <v>0</v>
      </c>
      <c r="O188" s="265" t="str">
        <f>_xlfn.XLOOKUP(E188,'All Products'!D:D,'All Products'!I:I,FALSE)</f>
        <v>In Stock</v>
      </c>
      <c r="P188" s="265" t="str">
        <f>_xlfn.XLOOKUP(E188,'All Products'!D:D,'All Products'!J:J,FALSE)</f>
        <v>Manufactured</v>
      </c>
      <c r="Q188" s="266">
        <f>_xlfn.XLOOKUP(E188,'All Products'!D:D,'All Products'!K:K,FALSE)</f>
        <v>49081158989</v>
      </c>
      <c r="R188" s="266">
        <f>_xlfn.XLOOKUP(E188,'All Products'!D:D,'All Products'!L:L,FALSE)</f>
        <v>49081658984</v>
      </c>
      <c r="S188" s="266">
        <f>_xlfn.XLOOKUP(E188,'All Products'!D:D,'All Products'!M:M,FALSE)</f>
        <v>40049081158987</v>
      </c>
      <c r="T188" s="265">
        <f>_xlfn.XLOOKUP(E188,'All Products'!D:D,'All Products'!N:N,FALSE)</f>
        <v>5.3999999999999999E-2</v>
      </c>
      <c r="U188" s="266">
        <f>_xlfn.XLOOKUP(E188,'All Products'!D:D,'All Products'!O:O,FALSE)</f>
        <v>10</v>
      </c>
      <c r="V188" s="265">
        <f>_xlfn.XLOOKUP(E188,'All Products'!D:D,'All Products'!P:P,FALSE)</f>
        <v>6.31</v>
      </c>
      <c r="W188" s="265">
        <f>_xlfn.XLOOKUP(E188,'All Products'!D:D,'All Products'!Q:Q,FALSE)</f>
        <v>0.5</v>
      </c>
    </row>
    <row r="189" spans="1:23">
      <c r="A189" s="101" t="str">
        <f>IF(K189&gt;0,COUNT($A$7:A188)
+COUNT('DWV PVC'!$A$9:$A$316)
+COUNT('DWV ABS'!$A$8:$A$116)
+COUNT('PVC SCH40'!$A$8:$A$424)
+COUNT('PVC SCH40 LD'!$A$8:$A$21)
+COUNT('Pool &amp; SPA Sweep Elbows'!$A$8:$A$11)
+COUNT('Pool &amp; SPA Pipe Extender'!$A$8:$A$10)+1,"")</f>
        <v/>
      </c>
      <c r="B189" s="610"/>
      <c r="C189" s="611"/>
      <c r="D189" s="142" t="str">
        <f>_xlfn.XLOOKUP(E189,'All Products'!D:D,'All Products'!C:C,FALSE)</f>
        <v>839-209</v>
      </c>
      <c r="E189" s="103">
        <v>100023701</v>
      </c>
      <c r="F189" s="413" t="str">
        <f>_xlfn.XLOOKUP(E189,'All Products'!D:D,'All Products'!E:E,FALSE)</f>
        <v>1-1/2X1/2 BUSHING MIPTXFIPT SCH80</v>
      </c>
      <c r="G189" s="233">
        <f>_xlfn.XLOOKUP(E189,'All Products'!D:D,'All Products'!F:F,FALSE)</f>
        <v>100</v>
      </c>
      <c r="H189" s="196">
        <f>_xlfn.XLOOKUP(E189,'All Products'!D:D,'All Products'!G:G,FALSE)</f>
        <v>15000</v>
      </c>
      <c r="I189" s="415">
        <f>_xlfn.XLOOKUP(E189,'All Products'!D:D,'All Products'!H:H,FALSE)</f>
        <v>36.53</v>
      </c>
      <c r="J189" s="130">
        <f>ROUND(I189*Order_Quote!$L$8,2)</f>
        <v>36.53</v>
      </c>
      <c r="K189" s="75"/>
      <c r="L189" s="113"/>
      <c r="M189" s="171">
        <f t="shared" si="5"/>
        <v>0</v>
      </c>
      <c r="O189" s="265" t="str">
        <f>_xlfn.XLOOKUP(E189,'All Products'!D:D,'All Products'!I:I,FALSE)</f>
        <v>In Stock</v>
      </c>
      <c r="P189" s="265" t="str">
        <f>_xlfn.XLOOKUP(E189,'All Products'!D:D,'All Products'!J:J,FALSE)</f>
        <v>Manufactured</v>
      </c>
      <c r="Q189" s="266">
        <f>_xlfn.XLOOKUP(E189,'All Products'!D:D,'All Products'!K:K,FALSE)</f>
        <v>49081159122</v>
      </c>
      <c r="R189" s="266">
        <f>_xlfn.XLOOKUP(E189,'All Products'!D:D,'All Products'!L:L,FALSE)</f>
        <v>49081159122</v>
      </c>
      <c r="S189" s="266">
        <f>_xlfn.XLOOKUP(E189,'All Products'!D:D,'All Products'!M:M,FALSE)</f>
        <v>40049081159120</v>
      </c>
      <c r="T189" s="265">
        <f>_xlfn.XLOOKUP(E189,'All Products'!D:D,'All Products'!N:N,FALSE)</f>
        <v>9.4E-2</v>
      </c>
      <c r="U189" s="266">
        <f>_xlfn.XLOOKUP(E189,'All Products'!D:D,'All Products'!O:O,FALSE)</f>
        <v>10</v>
      </c>
      <c r="V189" s="265">
        <f>_xlfn.XLOOKUP(E189,'All Products'!D:D,'All Products'!P:P,FALSE)</f>
        <v>10.39</v>
      </c>
      <c r="W189" s="265">
        <f>_xlfn.XLOOKUP(E189,'All Products'!D:D,'All Products'!Q:Q,FALSE)</f>
        <v>0.5</v>
      </c>
    </row>
    <row r="190" spans="1:23">
      <c r="A190" s="101" t="str">
        <f>IF(K190&gt;0,COUNT($A$7:A189)
+COUNT('DWV PVC'!$A$9:$A$316)
+COUNT('DWV ABS'!$A$8:$A$116)
+COUNT('PVC SCH40'!$A$8:$A$424)
+COUNT('PVC SCH40 LD'!$A$8:$A$21)
+COUNT('Pool &amp; SPA Sweep Elbows'!$A$8:$A$11)
+COUNT('Pool &amp; SPA Pipe Extender'!$A$8:$A$10)+1,"")</f>
        <v/>
      </c>
      <c r="B190" s="610"/>
      <c r="C190" s="611"/>
      <c r="D190" s="142" t="str">
        <f>_xlfn.XLOOKUP(E190,'All Products'!D:D,'All Products'!C:C,FALSE)</f>
        <v>839-210</v>
      </c>
      <c r="E190" s="103">
        <v>100023702</v>
      </c>
      <c r="F190" s="413" t="str">
        <f>_xlfn.XLOOKUP(E190,'All Products'!D:D,'All Products'!E:E,FALSE)</f>
        <v>1-1/2X3/4 BUSHING MIPTXFIPT SCH80</v>
      </c>
      <c r="G190" s="233">
        <f>_xlfn.XLOOKUP(E190,'All Products'!D:D,'All Products'!F:F,FALSE)</f>
        <v>100</v>
      </c>
      <c r="H190" s="196">
        <f>_xlfn.XLOOKUP(E190,'All Products'!D:D,'All Products'!G:G,FALSE)</f>
        <v>15000</v>
      </c>
      <c r="I190" s="415">
        <f>_xlfn.XLOOKUP(E190,'All Products'!D:D,'All Products'!H:H,FALSE)</f>
        <v>36.53</v>
      </c>
      <c r="J190" s="130">
        <f>ROUND(I190*Order_Quote!$L$8,2)</f>
        <v>36.53</v>
      </c>
      <c r="K190" s="75"/>
      <c r="L190" s="113"/>
      <c r="M190" s="171">
        <f t="shared" si="5"/>
        <v>0</v>
      </c>
      <c r="O190" s="265" t="str">
        <f>_xlfn.XLOOKUP(E190,'All Products'!D:D,'All Products'!I:I,FALSE)</f>
        <v>Within 3 Weeks</v>
      </c>
      <c r="P190" s="265" t="str">
        <f>_xlfn.XLOOKUP(E190,'All Products'!D:D,'All Products'!J:J,FALSE)</f>
        <v>Manufactured</v>
      </c>
      <c r="Q190" s="266">
        <f>_xlfn.XLOOKUP(E190,'All Products'!D:D,'All Products'!K:K,FALSE)</f>
        <v>49081159108</v>
      </c>
      <c r="R190" s="266">
        <f>_xlfn.XLOOKUP(E190,'All Products'!D:D,'All Products'!L:L,FALSE)</f>
        <v>49081659103</v>
      </c>
      <c r="S190" s="266">
        <f>_xlfn.XLOOKUP(E190,'All Products'!D:D,'All Products'!M:M,FALSE)</f>
        <v>40049081159106</v>
      </c>
      <c r="T190" s="265">
        <f>_xlfn.XLOOKUP(E190,'All Products'!D:D,'All Products'!N:N,FALSE)</f>
        <v>9.9000000000000005E-2</v>
      </c>
      <c r="U190" s="266">
        <f>_xlfn.XLOOKUP(E190,'All Products'!D:D,'All Products'!O:O,FALSE)</f>
        <v>10</v>
      </c>
      <c r="V190" s="265">
        <f>_xlfn.XLOOKUP(E190,'All Products'!D:D,'All Products'!P:P,FALSE)</f>
        <v>9.92</v>
      </c>
      <c r="W190" s="265">
        <f>_xlfn.XLOOKUP(E190,'All Products'!D:D,'All Products'!Q:Q,FALSE)</f>
        <v>0.5</v>
      </c>
    </row>
    <row r="191" spans="1:23">
      <c r="A191" s="101" t="str">
        <f>IF(K191&gt;0,COUNT($A$7:A190)
+COUNT('DWV PVC'!$A$9:$A$316)
+COUNT('DWV ABS'!$A$8:$A$116)
+COUNT('PVC SCH40'!$A$8:$A$424)
+COUNT('PVC SCH40 LD'!$A$8:$A$21)
+COUNT('Pool &amp; SPA Sweep Elbows'!$A$8:$A$11)
+COUNT('Pool &amp; SPA Pipe Extender'!$A$8:$A$10)+1,"")</f>
        <v/>
      </c>
      <c r="B191" s="610"/>
      <c r="C191" s="611"/>
      <c r="D191" s="142" t="str">
        <f>_xlfn.XLOOKUP(E191,'All Products'!D:D,'All Products'!C:C,FALSE)</f>
        <v>839-211</v>
      </c>
      <c r="E191" s="103">
        <v>100023703</v>
      </c>
      <c r="F191" s="413" t="str">
        <f>_xlfn.XLOOKUP(E191,'All Products'!D:D,'All Products'!E:E,FALSE)</f>
        <v>1-1/2X1 RED BUSHING MIPTXFIPT SCH80</v>
      </c>
      <c r="G191" s="233">
        <f>_xlfn.XLOOKUP(E191,'All Products'!D:D,'All Products'!F:F,FALSE)</f>
        <v>100</v>
      </c>
      <c r="H191" s="196">
        <f>_xlfn.XLOOKUP(E191,'All Products'!D:D,'All Products'!G:G,FALSE)</f>
        <v>15000</v>
      </c>
      <c r="I191" s="415">
        <f>_xlfn.XLOOKUP(E191,'All Products'!D:D,'All Products'!H:H,FALSE)</f>
        <v>36.53</v>
      </c>
      <c r="J191" s="130">
        <f>ROUND(I191*Order_Quote!$L$8,2)</f>
        <v>36.53</v>
      </c>
      <c r="K191" s="75"/>
      <c r="L191" s="113"/>
      <c r="M191" s="171">
        <f t="shared" si="5"/>
        <v>0</v>
      </c>
      <c r="O191" s="265" t="str">
        <f>_xlfn.XLOOKUP(E191,'All Products'!D:D,'All Products'!I:I,FALSE)</f>
        <v>In Stock</v>
      </c>
      <c r="P191" s="265" t="str">
        <f>_xlfn.XLOOKUP(E191,'All Products'!D:D,'All Products'!J:J,FALSE)</f>
        <v>Manufactured</v>
      </c>
      <c r="Q191" s="266">
        <f>_xlfn.XLOOKUP(E191,'All Products'!D:D,'All Products'!K:K,FALSE)</f>
        <v>49081159085</v>
      </c>
      <c r="R191" s="266">
        <f>_xlfn.XLOOKUP(E191,'All Products'!D:D,'All Products'!L:L,FALSE)</f>
        <v>49081659080</v>
      </c>
      <c r="S191" s="266">
        <f>_xlfn.XLOOKUP(E191,'All Products'!D:D,'All Products'!M:M,FALSE)</f>
        <v>40049081159083</v>
      </c>
      <c r="T191" s="265">
        <f>_xlfn.XLOOKUP(E191,'All Products'!D:D,'All Products'!N:N,FALSE)</f>
        <v>9.2999999999999999E-2</v>
      </c>
      <c r="U191" s="266">
        <f>_xlfn.XLOOKUP(E191,'All Products'!D:D,'All Products'!O:O,FALSE)</f>
        <v>10</v>
      </c>
      <c r="V191" s="265">
        <f>_xlfn.XLOOKUP(E191,'All Products'!D:D,'All Products'!P:P,FALSE)</f>
        <v>9.1999999999999993</v>
      </c>
      <c r="W191" s="265">
        <f>_xlfn.XLOOKUP(E191,'All Products'!D:D,'All Products'!Q:Q,FALSE)</f>
        <v>0.5</v>
      </c>
    </row>
    <row r="192" spans="1:23">
      <c r="A192" s="101" t="str">
        <f>IF(K192&gt;0,COUNT($A$7:A191)
+COUNT('DWV PVC'!$A$9:$A$316)
+COUNT('DWV ABS'!$A$8:$A$116)
+COUNT('PVC SCH40'!$A$8:$A$424)
+COUNT('PVC SCH40 LD'!$A$8:$A$21)
+COUNT('Pool &amp; SPA Sweep Elbows'!$A$8:$A$11)
+COUNT('Pool &amp; SPA Pipe Extender'!$A$8:$A$10)+1,"")</f>
        <v/>
      </c>
      <c r="B192" s="610"/>
      <c r="C192" s="611"/>
      <c r="D192" s="142" t="str">
        <f>_xlfn.XLOOKUP(E192,'All Products'!D:D,'All Products'!C:C,FALSE)</f>
        <v>839-212</v>
      </c>
      <c r="E192" s="103">
        <v>100023704</v>
      </c>
      <c r="F192" s="413" t="str">
        <f>_xlfn.XLOOKUP(E192,'All Products'!D:D,'All Products'!E:E,FALSE)</f>
        <v>1-1/2X1-1/4 BUSHING MIPTXFIPT SCH80</v>
      </c>
      <c r="G192" s="233">
        <f>_xlfn.XLOOKUP(E192,'All Products'!D:D,'All Products'!F:F,FALSE)</f>
        <v>100</v>
      </c>
      <c r="H192" s="196">
        <f>_xlfn.XLOOKUP(E192,'All Products'!D:D,'All Products'!G:G,FALSE)</f>
        <v>15000</v>
      </c>
      <c r="I192" s="415">
        <f>_xlfn.XLOOKUP(E192,'All Products'!D:D,'All Products'!H:H,FALSE)</f>
        <v>36.53</v>
      </c>
      <c r="J192" s="130">
        <f>ROUND(I192*Order_Quote!$L$8,2)</f>
        <v>36.53</v>
      </c>
      <c r="K192" s="75"/>
      <c r="L192" s="113"/>
      <c r="M192" s="171">
        <f t="shared" si="5"/>
        <v>0</v>
      </c>
      <c r="O192" s="265" t="str">
        <f>_xlfn.XLOOKUP(E192,'All Products'!D:D,'All Products'!I:I,FALSE)</f>
        <v>In Stock</v>
      </c>
      <c r="P192" s="265" t="str">
        <f>_xlfn.XLOOKUP(E192,'All Products'!D:D,'All Products'!J:J,FALSE)</f>
        <v>Manufactured</v>
      </c>
      <c r="Q192" s="266">
        <f>_xlfn.XLOOKUP(E192,'All Products'!D:D,'All Products'!K:K,FALSE)</f>
        <v>49081159061</v>
      </c>
      <c r="R192" s="266">
        <f>_xlfn.XLOOKUP(E192,'All Products'!D:D,'All Products'!L:L,FALSE)</f>
        <v>49081659066</v>
      </c>
      <c r="S192" s="266">
        <f>_xlfn.XLOOKUP(E192,'All Products'!D:D,'All Products'!M:M,FALSE)</f>
        <v>40049081159069</v>
      </c>
      <c r="T192" s="265">
        <f>_xlfn.XLOOKUP(E192,'All Products'!D:D,'All Products'!N:N,FALSE)</f>
        <v>6.8000000000000005E-2</v>
      </c>
      <c r="U192" s="266">
        <f>_xlfn.XLOOKUP(E192,'All Products'!D:D,'All Products'!O:O,FALSE)</f>
        <v>10</v>
      </c>
      <c r="V192" s="265">
        <f>_xlfn.XLOOKUP(E192,'All Products'!D:D,'All Products'!P:P,FALSE)</f>
        <v>6.8</v>
      </c>
      <c r="W192" s="265">
        <f>_xlfn.XLOOKUP(E192,'All Products'!D:D,'All Products'!Q:Q,FALSE)</f>
        <v>0.5</v>
      </c>
    </row>
    <row r="193" spans="1:23">
      <c r="A193" s="101" t="str">
        <f>IF(K193&gt;0,COUNT($A$7:A192)
+COUNT('DWV PVC'!$A$9:$A$316)
+COUNT('DWV ABS'!$A$8:$A$116)
+COUNT('PVC SCH40'!$A$8:$A$424)
+COUNT('PVC SCH40 LD'!$A$8:$A$21)
+COUNT('Pool &amp; SPA Sweep Elbows'!$A$8:$A$11)
+COUNT('Pool &amp; SPA Pipe Extender'!$A$8:$A$10)+1,"")</f>
        <v/>
      </c>
      <c r="B193" s="610"/>
      <c r="C193" s="611"/>
      <c r="D193" s="142" t="str">
        <f>_xlfn.XLOOKUP(E193,'All Products'!D:D,'All Products'!C:C,FALSE)</f>
        <v>839-247</v>
      </c>
      <c r="E193" s="103">
        <v>100028167</v>
      </c>
      <c r="F193" s="413" t="str">
        <f>_xlfn.XLOOKUP(E193,'All Products'!D:D,'All Products'!E:E,FALSE)</f>
        <v>2X1/2 RED BUSHING MIPTXFIPT SCH80</v>
      </c>
      <c r="G193" s="233">
        <f>_xlfn.XLOOKUP(E193,'All Products'!D:D,'All Products'!F:F,FALSE)</f>
        <v>80</v>
      </c>
      <c r="H193" s="196">
        <f>_xlfn.XLOOKUP(E193,'All Products'!D:D,'All Products'!G:G,FALSE)</f>
        <v>0</v>
      </c>
      <c r="I193" s="415">
        <f>_xlfn.XLOOKUP(E193,'All Products'!D:D,'All Products'!H:H,FALSE)</f>
        <v>53.5</v>
      </c>
      <c r="J193" s="130">
        <f>ROUND(I193*Order_Quote!$L$8,2)</f>
        <v>53.5</v>
      </c>
      <c r="K193" s="75"/>
      <c r="L193" s="113"/>
      <c r="M193" s="171">
        <f t="shared" si="5"/>
        <v>0</v>
      </c>
      <c r="O193" s="265" t="str">
        <f>_xlfn.XLOOKUP(E193,'All Products'!D:D,'All Products'!I:I,FALSE)</f>
        <v>Within 3 Weeks</v>
      </c>
      <c r="P193" s="265" t="str">
        <f>_xlfn.XLOOKUP(E193,'All Products'!D:D,'All Products'!J:J,FALSE)</f>
        <v>Manufactured</v>
      </c>
      <c r="Q193" s="266">
        <f>_xlfn.XLOOKUP(E193,'All Products'!D:D,'All Products'!K:K,FALSE)</f>
        <v>49081159221</v>
      </c>
      <c r="R193" s="266">
        <f>_xlfn.XLOOKUP(E193,'All Products'!D:D,'All Products'!L:L,FALSE)</f>
        <v>0</v>
      </c>
      <c r="S193" s="266">
        <f>_xlfn.XLOOKUP(E193,'All Products'!D:D,'All Products'!M:M,FALSE)</f>
        <v>40049081159229</v>
      </c>
      <c r="T193" s="265">
        <f>_xlfn.XLOOKUP(E193,'All Products'!D:D,'All Products'!N:N,FALSE)</f>
        <v>0.36</v>
      </c>
      <c r="U193" s="266">
        <f>_xlfn.XLOOKUP(E193,'All Products'!D:D,'All Products'!O:O,FALSE)</f>
        <v>10</v>
      </c>
      <c r="V193" s="265">
        <f>_xlfn.XLOOKUP(E193,'All Products'!D:D,'All Products'!P:P,FALSE)</f>
        <v>16.8</v>
      </c>
      <c r="W193" s="265" t="str">
        <f>_xlfn.XLOOKUP(E193,'All Products'!D:D,'All Products'!Q:Q,FALSE)</f>
        <v>-</v>
      </c>
    </row>
    <row r="194" spans="1:23">
      <c r="A194" s="101" t="str">
        <f>IF(K194&gt;0,COUNT($A$7:A193)
+COUNT('DWV PVC'!$A$9:$A$316)
+COUNT('DWV ABS'!$A$8:$A$116)
+COUNT('PVC SCH40'!$A$8:$A$424)
+COUNT('PVC SCH40 LD'!$A$8:$A$21)
+COUNT('Pool &amp; SPA Sweep Elbows'!$A$8:$A$11)
+COUNT('Pool &amp; SPA Pipe Extender'!$A$8:$A$10)+1,"")</f>
        <v/>
      </c>
      <c r="B194" s="610"/>
      <c r="C194" s="611"/>
      <c r="D194" s="142" t="str">
        <f>_xlfn.XLOOKUP(E194,'All Products'!D:D,'All Products'!C:C,FALSE)</f>
        <v>839-250</v>
      </c>
      <c r="E194" s="103">
        <v>100028170</v>
      </c>
      <c r="F194" s="413" t="str">
        <f>_xlfn.XLOOKUP(E194,'All Products'!D:D,'All Products'!E:E,FALSE)</f>
        <v>2X1-1/4 RED BUSHING MIPTXFIPT SCH80</v>
      </c>
      <c r="G194" s="233">
        <f>_xlfn.XLOOKUP(E194,'All Products'!D:D,'All Products'!F:F,FALSE)</f>
        <v>60</v>
      </c>
      <c r="H194" s="196">
        <f>_xlfn.XLOOKUP(E194,'All Products'!D:D,'All Products'!G:G,FALSE)</f>
        <v>0</v>
      </c>
      <c r="I194" s="415">
        <f>_xlfn.XLOOKUP(E194,'All Products'!D:D,'All Products'!H:H,FALSE)</f>
        <v>53.5</v>
      </c>
      <c r="J194" s="130">
        <f>ROUND(I194*Order_Quote!$L$8,2)</f>
        <v>53.5</v>
      </c>
      <c r="K194" s="75"/>
      <c r="L194" s="113"/>
      <c r="M194" s="171">
        <f t="shared" si="5"/>
        <v>0</v>
      </c>
      <c r="O194" s="265" t="str">
        <f>_xlfn.XLOOKUP(E194,'All Products'!D:D,'All Products'!I:I,FALSE)</f>
        <v>Within 3 Weeks</v>
      </c>
      <c r="P194" s="265" t="str">
        <f>_xlfn.XLOOKUP(E194,'All Products'!D:D,'All Products'!J:J,FALSE)</f>
        <v>Manufactured</v>
      </c>
      <c r="Q194" s="266">
        <f>_xlfn.XLOOKUP(E194,'All Products'!D:D,'All Products'!K:K,FALSE)</f>
        <v>49081159160</v>
      </c>
      <c r="R194" s="266">
        <f>_xlfn.XLOOKUP(E194,'All Products'!D:D,'All Products'!L:L,FALSE)</f>
        <v>49081659165</v>
      </c>
      <c r="S194" s="266">
        <f>_xlfn.XLOOKUP(E194,'All Products'!D:D,'All Products'!M:M,FALSE)</f>
        <v>40049081159168</v>
      </c>
      <c r="T194" s="265">
        <f>_xlfn.XLOOKUP(E194,'All Products'!D:D,'All Products'!N:N,FALSE)</f>
        <v>0.17299999999999999</v>
      </c>
      <c r="U194" s="266">
        <f>_xlfn.XLOOKUP(E194,'All Products'!D:D,'All Products'!O:O,FALSE)</f>
        <v>15</v>
      </c>
      <c r="V194" s="265">
        <f>_xlfn.XLOOKUP(E194,'All Products'!D:D,'All Products'!P:P,FALSE)</f>
        <v>10.356</v>
      </c>
      <c r="W194" s="265" t="str">
        <f>_xlfn.XLOOKUP(E194,'All Products'!D:D,'All Products'!Q:Q,FALSE)</f>
        <v>-</v>
      </c>
    </row>
    <row r="195" spans="1:23">
      <c r="A195" s="101" t="str">
        <f>IF(K195&gt;0,COUNT($A$7:A194)
+COUNT('DWV PVC'!$A$9:$A$316)
+COUNT('DWV ABS'!$A$8:$A$116)
+COUNT('PVC SCH40'!$A$8:$A$424)
+COUNT('PVC SCH40 LD'!$A$8:$A$21)
+COUNT('Pool &amp; SPA Sweep Elbows'!$A$8:$A$11)
+COUNT('Pool &amp; SPA Pipe Extender'!$A$8:$A$10)+1,"")</f>
        <v/>
      </c>
      <c r="B195" s="610"/>
      <c r="C195" s="611"/>
      <c r="D195" s="142" t="str">
        <f>_xlfn.XLOOKUP(E195,'All Products'!D:D,'All Products'!C:C,FALSE)</f>
        <v>839-251</v>
      </c>
      <c r="E195" s="103">
        <v>100023705</v>
      </c>
      <c r="F195" s="413" t="str">
        <f>_xlfn.XLOOKUP(E195,'All Products'!D:D,'All Products'!E:E,FALSE)</f>
        <v>2X1-1/2 RED BUSHING MIPTXFIPT SCH80</v>
      </c>
      <c r="G195" s="233">
        <f>_xlfn.XLOOKUP(E195,'All Products'!D:D,'All Products'!F:F,FALSE)</f>
        <v>50</v>
      </c>
      <c r="H195" s="196">
        <f>_xlfn.XLOOKUP(E195,'All Products'!D:D,'All Products'!G:G,FALSE)</f>
        <v>7500</v>
      </c>
      <c r="I195" s="415">
        <f>_xlfn.XLOOKUP(E195,'All Products'!D:D,'All Products'!H:H,FALSE)</f>
        <v>53.5</v>
      </c>
      <c r="J195" s="130">
        <f>ROUND(I195*Order_Quote!$L$8,2)</f>
        <v>53.5</v>
      </c>
      <c r="K195" s="75"/>
      <c r="L195" s="113"/>
      <c r="M195" s="171">
        <f t="shared" si="5"/>
        <v>0</v>
      </c>
      <c r="O195" s="265" t="str">
        <f>_xlfn.XLOOKUP(E195,'All Products'!D:D,'All Products'!I:I,FALSE)</f>
        <v>In Stock</v>
      </c>
      <c r="P195" s="265" t="str">
        <f>_xlfn.XLOOKUP(E195,'All Products'!D:D,'All Products'!J:J,FALSE)</f>
        <v>Manufactured</v>
      </c>
      <c r="Q195" s="266">
        <f>_xlfn.XLOOKUP(E195,'All Products'!D:D,'All Products'!K:K,FALSE)</f>
        <v>49081159146</v>
      </c>
      <c r="R195" s="266">
        <f>_xlfn.XLOOKUP(E195,'All Products'!D:D,'All Products'!L:L,FALSE)</f>
        <v>49081659141</v>
      </c>
      <c r="S195" s="266">
        <f>_xlfn.XLOOKUP(E195,'All Products'!D:D,'All Products'!M:M,FALSE)</f>
        <v>40049081159144</v>
      </c>
      <c r="T195" s="265">
        <f>_xlfn.XLOOKUP(E195,'All Products'!D:D,'All Products'!N:N,FALSE)</f>
        <v>0.113</v>
      </c>
      <c r="U195" s="266">
        <f>_xlfn.XLOOKUP(E195,'All Products'!D:D,'All Products'!O:O,FALSE)</f>
        <v>10</v>
      </c>
      <c r="V195" s="265">
        <f>_xlfn.XLOOKUP(E195,'All Products'!D:D,'All Products'!P:P,FALSE)</f>
        <v>6.64</v>
      </c>
      <c r="W195" s="265">
        <f>_xlfn.XLOOKUP(E195,'All Products'!D:D,'All Products'!Q:Q,FALSE)</f>
        <v>0.5</v>
      </c>
    </row>
    <row r="196" spans="1:23">
      <c r="A196" s="101" t="str">
        <f>IF(K196&gt;0,COUNT($A$7:A195)
+COUNT('DWV PVC'!$A$9:$A$316)
+COUNT('DWV ABS'!$A$8:$A$116)
+COUNT('PVC SCH40'!$A$8:$A$424)
+COUNT('PVC SCH40 LD'!$A$8:$A$21)
+COUNT('Pool &amp; SPA Sweep Elbows'!$A$8:$A$11)
+COUNT('Pool &amp; SPA Pipe Extender'!$A$8:$A$10)+1,"")</f>
        <v/>
      </c>
      <c r="B196" s="612"/>
      <c r="C196" s="613"/>
      <c r="D196" s="142" t="str">
        <f>_xlfn.XLOOKUP(E196,'All Products'!D:D,'All Products'!C:C,FALSE)</f>
        <v>839-422</v>
      </c>
      <c r="E196" s="103">
        <v>100028173</v>
      </c>
      <c r="F196" s="413" t="str">
        <f>_xlfn.XLOOKUP(E196,'All Products'!D:D,'All Products'!E:E,FALSE)</f>
        <v>4X3 RED BUSHING MIPTXFIPT SCH80</v>
      </c>
      <c r="G196" s="233">
        <f>_xlfn.XLOOKUP(E196,'All Products'!D:D,'All Products'!F:F,FALSE)</f>
        <v>15</v>
      </c>
      <c r="H196" s="196">
        <f>_xlfn.XLOOKUP(E196,'All Products'!D:D,'All Products'!G:G,FALSE)</f>
        <v>0</v>
      </c>
      <c r="I196" s="415">
        <f>_xlfn.XLOOKUP(E196,'All Products'!D:D,'All Products'!H:H,FALSE)</f>
        <v>259.2</v>
      </c>
      <c r="J196" s="130">
        <f>ROUND(I196*Order_Quote!$L$8,2)</f>
        <v>259.2</v>
      </c>
      <c r="K196" s="75"/>
      <c r="L196" s="113"/>
      <c r="M196" s="171">
        <f t="shared" si="5"/>
        <v>0</v>
      </c>
      <c r="O196" s="265" t="str">
        <f>_xlfn.XLOOKUP(E196,'All Products'!D:D,'All Products'!I:I,FALSE)</f>
        <v>Within 3 Weeks</v>
      </c>
      <c r="P196" s="265" t="str">
        <f>_xlfn.XLOOKUP(E196,'All Products'!D:D,'All Products'!J:J,FALSE)</f>
        <v>Manufactured</v>
      </c>
      <c r="Q196" s="266">
        <f>_xlfn.XLOOKUP(E196,'All Products'!D:D,'All Products'!K:K,FALSE)</f>
        <v>49081159528</v>
      </c>
      <c r="R196" s="266" t="str">
        <f>_xlfn.XLOOKUP(E196,'All Products'!D:D,'All Products'!L:L,FALSE)</f>
        <v>-</v>
      </c>
      <c r="S196" s="266">
        <f>_xlfn.XLOOKUP(E196,'All Products'!D:D,'All Products'!M:M,FALSE)</f>
        <v>40049081159526</v>
      </c>
      <c r="T196" s="265">
        <f>_xlfn.XLOOKUP(E196,'All Products'!D:D,'All Products'!N:N,FALSE)</f>
        <v>0.65</v>
      </c>
      <c r="U196" s="266" t="str">
        <f>_xlfn.XLOOKUP(E196,'All Products'!D:D,'All Products'!O:O,FALSE)</f>
        <v>-</v>
      </c>
      <c r="V196" s="265">
        <f>_xlfn.XLOOKUP(E196,'All Products'!D:D,'All Products'!P:P,FALSE)</f>
        <v>9.7550000000000008</v>
      </c>
      <c r="W196" s="265" t="str">
        <f>_xlfn.XLOOKUP(E196,'All Products'!D:D,'All Products'!Q:Q,FALSE)</f>
        <v>-</v>
      </c>
    </row>
    <row r="197" spans="1:23">
      <c r="A197" s="101" t="str">
        <f>IF(K197&gt;0,COUNT($A$7:A196)
+COUNT('DWV PVC'!$A$9:$A$316)
+COUNT('DWV ABS'!$A$8:$A$116)
+COUNT('PVC SCH40'!$A$8:$A$424)
+COUNT('PVC SCH40 LD'!$A$8:$A$21)
+COUNT('Pool &amp; SPA Sweep Elbows'!$A$8:$A$11)
+COUNT('Pool &amp; SPA Pipe Extender'!$A$8:$A$10)+1,"")</f>
        <v/>
      </c>
      <c r="B197" s="608"/>
      <c r="C197" s="609"/>
      <c r="D197" s="142" t="str">
        <f>_xlfn.XLOOKUP(E197,'All Products'!D:D,'All Products'!C:C,FALSE)</f>
        <v>847-002</v>
      </c>
      <c r="E197" s="103">
        <v>100023706</v>
      </c>
      <c r="F197" s="413" t="str">
        <f>_xlfn.XLOOKUP(E197,'All Products'!D:D,'All Products'!E:E,FALSE)</f>
        <v>1/4 CAP SLIP SCH80</v>
      </c>
      <c r="G197" s="233">
        <f>_xlfn.XLOOKUP(E197,'All Products'!D:D,'All Products'!F:F,FALSE)</f>
        <v>500</v>
      </c>
      <c r="H197" s="196">
        <f>_xlfn.XLOOKUP(E197,'All Products'!D:D,'All Products'!G:G,FALSE)</f>
        <v>75000</v>
      </c>
      <c r="I197" s="415">
        <f>_xlfn.XLOOKUP(E197,'All Products'!D:D,'All Products'!H:H,FALSE)</f>
        <v>19.04</v>
      </c>
      <c r="J197" s="130">
        <f>ROUND(I197*Order_Quote!$L$8,2)</f>
        <v>19.04</v>
      </c>
      <c r="K197" s="75"/>
      <c r="L197" s="113"/>
      <c r="M197" s="171">
        <f t="shared" si="5"/>
        <v>0</v>
      </c>
      <c r="O197" s="265" t="str">
        <f>_xlfn.XLOOKUP(E197,'All Products'!D:D,'All Products'!I:I,FALSE)</f>
        <v>Within 3 Weeks</v>
      </c>
      <c r="P197" s="265" t="str">
        <f>_xlfn.XLOOKUP(E197,'All Products'!D:D,'All Products'!J:J,FALSE)</f>
        <v>Manufactured</v>
      </c>
      <c r="Q197" s="266">
        <f>_xlfn.XLOOKUP(E197,'All Products'!D:D,'All Products'!K:K,FALSE)</f>
        <v>49081159849</v>
      </c>
      <c r="R197" s="266">
        <f>_xlfn.XLOOKUP(E197,'All Products'!D:D,'All Products'!L:L,FALSE)</f>
        <v>49081659844</v>
      </c>
      <c r="S197" s="266">
        <f>_xlfn.XLOOKUP(E197,'All Products'!D:D,'All Products'!M:M,FALSE)</f>
        <v>40049081159847</v>
      </c>
      <c r="T197" s="265">
        <f>_xlfn.XLOOKUP(E197,'All Products'!D:D,'All Products'!N:N,FALSE)</f>
        <v>0.02</v>
      </c>
      <c r="U197" s="266">
        <f>_xlfn.XLOOKUP(E197,'All Products'!D:D,'All Products'!O:O,FALSE)</f>
        <v>10</v>
      </c>
      <c r="V197" s="265">
        <f>_xlfn.XLOOKUP(E197,'All Products'!D:D,'All Products'!P:P,FALSE)</f>
        <v>10.050000000000001</v>
      </c>
      <c r="W197" s="265">
        <f>_xlfn.XLOOKUP(E197,'All Products'!D:D,'All Products'!Q:Q,FALSE)</f>
        <v>0.5</v>
      </c>
    </row>
    <row r="198" spans="1:23">
      <c r="A198" s="101" t="str">
        <f>IF(K198&gt;0,COUNT($A$7:A197)
+COUNT('DWV PVC'!$A$9:$A$316)
+COUNT('DWV ABS'!$A$8:$A$116)
+COUNT('PVC SCH40'!$A$8:$A$424)
+COUNT('PVC SCH40 LD'!$A$8:$A$21)
+COUNT('Pool &amp; SPA Sweep Elbows'!$A$8:$A$11)
+COUNT('Pool &amp; SPA Pipe Extender'!$A$8:$A$10)+1,"")</f>
        <v/>
      </c>
      <c r="B198" s="610"/>
      <c r="C198" s="611"/>
      <c r="D198" s="142" t="str">
        <f>_xlfn.XLOOKUP(E198,'All Products'!D:D,'All Products'!C:C,FALSE)</f>
        <v>847-003</v>
      </c>
      <c r="E198" s="103">
        <v>100028174</v>
      </c>
      <c r="F198" s="413" t="str">
        <f>_xlfn.XLOOKUP(E198,'All Products'!D:D,'All Products'!E:E,FALSE)</f>
        <v>3/8 CAP SLIP SCH80</v>
      </c>
      <c r="G198" s="233">
        <f>_xlfn.XLOOKUP(E198,'All Products'!D:D,'All Products'!F:F,FALSE)</f>
        <v>500</v>
      </c>
      <c r="H198" s="196">
        <f>_xlfn.XLOOKUP(E198,'All Products'!D:D,'All Products'!G:G,FALSE)</f>
        <v>75000</v>
      </c>
      <c r="I198" s="415">
        <f>_xlfn.XLOOKUP(E198,'All Products'!D:D,'All Products'!H:H,FALSE)</f>
        <v>19.04</v>
      </c>
      <c r="J198" s="130">
        <f>ROUND(I198*Order_Quote!$L$8,2)</f>
        <v>19.04</v>
      </c>
      <c r="K198" s="75"/>
      <c r="L198" s="113"/>
      <c r="M198" s="171">
        <f t="shared" si="5"/>
        <v>0</v>
      </c>
      <c r="O198" s="265" t="str">
        <f>_xlfn.XLOOKUP(E198,'All Products'!D:D,'All Products'!I:I,FALSE)</f>
        <v>Within 3 Weeks</v>
      </c>
      <c r="P198" s="265" t="str">
        <f>_xlfn.XLOOKUP(E198,'All Products'!D:D,'All Products'!J:J,FALSE)</f>
        <v>Manufactured</v>
      </c>
      <c r="Q198" s="266">
        <f>_xlfn.XLOOKUP(E198,'All Products'!D:D,'All Products'!K:K,FALSE)</f>
        <v>49081159863</v>
      </c>
      <c r="R198" s="266">
        <f>_xlfn.XLOOKUP(E198,'All Products'!D:D,'All Products'!L:L,FALSE)</f>
        <v>49081659868</v>
      </c>
      <c r="S198" s="266">
        <f>_xlfn.XLOOKUP(E198,'All Products'!D:D,'All Products'!M:M,FALSE)</f>
        <v>40049081159861</v>
      </c>
      <c r="T198" s="265">
        <f>_xlfn.XLOOKUP(E198,'All Products'!D:D,'All Products'!N:N,FALSE)</f>
        <v>2.5000000000000001E-2</v>
      </c>
      <c r="U198" s="266">
        <f>_xlfn.XLOOKUP(E198,'All Products'!D:D,'All Products'!O:O,FALSE)</f>
        <v>10</v>
      </c>
      <c r="V198" s="265">
        <f>_xlfn.XLOOKUP(E198,'All Products'!D:D,'All Products'!P:P,FALSE)</f>
        <v>14.09</v>
      </c>
      <c r="W198" s="265">
        <f>_xlfn.XLOOKUP(E198,'All Products'!D:D,'All Products'!Q:Q,FALSE)</f>
        <v>0.5</v>
      </c>
    </row>
    <row r="199" spans="1:23">
      <c r="A199" s="101" t="str">
        <f>IF(K199&gt;0,COUNT($A$7:A198)
+COUNT('DWV PVC'!$A$9:$A$316)
+COUNT('DWV ABS'!$A$8:$A$116)
+COUNT('PVC SCH40'!$A$8:$A$424)
+COUNT('PVC SCH40 LD'!$A$8:$A$21)
+COUNT('Pool &amp; SPA Sweep Elbows'!$A$8:$A$11)
+COUNT('Pool &amp; SPA Pipe Extender'!$A$8:$A$10)+1,"")</f>
        <v/>
      </c>
      <c r="B199" s="610"/>
      <c r="C199" s="611"/>
      <c r="D199" s="142" t="str">
        <f>_xlfn.XLOOKUP(E199,'All Products'!D:D,'All Products'!C:C,FALSE)</f>
        <v>847-005</v>
      </c>
      <c r="E199" s="103">
        <v>100023707</v>
      </c>
      <c r="F199" s="413" t="str">
        <f>_xlfn.XLOOKUP(E199,'All Products'!D:D,'All Products'!E:E,FALSE)</f>
        <v>1/2 CAP SLIP SCH80</v>
      </c>
      <c r="G199" s="233">
        <f>_xlfn.XLOOKUP(E199,'All Products'!D:D,'All Products'!F:F,FALSE)</f>
        <v>250</v>
      </c>
      <c r="H199" s="196">
        <f>_xlfn.XLOOKUP(E199,'All Products'!D:D,'All Products'!G:G,FALSE)</f>
        <v>37500</v>
      </c>
      <c r="I199" s="415">
        <f>_xlfn.XLOOKUP(E199,'All Products'!D:D,'All Products'!H:H,FALSE)</f>
        <v>14.65</v>
      </c>
      <c r="J199" s="130">
        <f>ROUND(I199*Order_Quote!$L$8,2)</f>
        <v>14.65</v>
      </c>
      <c r="K199" s="75"/>
      <c r="L199" s="113"/>
      <c r="M199" s="171">
        <f t="shared" si="5"/>
        <v>0</v>
      </c>
      <c r="O199" s="265" t="str">
        <f>_xlfn.XLOOKUP(E199,'All Products'!D:D,'All Products'!I:I,FALSE)</f>
        <v>In Stock</v>
      </c>
      <c r="P199" s="265" t="str">
        <f>_xlfn.XLOOKUP(E199,'All Products'!D:D,'All Products'!J:J,FALSE)</f>
        <v>Manufactured</v>
      </c>
      <c r="Q199" s="266">
        <f>_xlfn.XLOOKUP(E199,'All Products'!D:D,'All Products'!K:K,FALSE)</f>
        <v>49081159900</v>
      </c>
      <c r="R199" s="266">
        <f>_xlfn.XLOOKUP(E199,'All Products'!D:D,'All Products'!L:L,FALSE)</f>
        <v>49081659905</v>
      </c>
      <c r="S199" s="266">
        <f>_xlfn.XLOOKUP(E199,'All Products'!D:D,'All Products'!M:M,FALSE)</f>
        <v>40049081159908</v>
      </c>
      <c r="T199" s="265">
        <f>_xlfn.XLOOKUP(E199,'All Products'!D:D,'All Products'!N:N,FALSE)</f>
        <v>4.8000000000000001E-2</v>
      </c>
      <c r="U199" s="266">
        <f>_xlfn.XLOOKUP(E199,'All Products'!D:D,'All Products'!O:O,FALSE)</f>
        <v>10</v>
      </c>
      <c r="V199" s="265">
        <f>_xlfn.XLOOKUP(E199,'All Products'!D:D,'All Products'!P:P,FALSE)</f>
        <v>12.79</v>
      </c>
      <c r="W199" s="265">
        <f>_xlfn.XLOOKUP(E199,'All Products'!D:D,'All Products'!Q:Q,FALSE)</f>
        <v>0.5</v>
      </c>
    </row>
    <row r="200" spans="1:23">
      <c r="A200" s="101" t="str">
        <f>IF(K200&gt;0,COUNT($A$7:A199)
+COUNT('DWV PVC'!$A$9:$A$316)
+COUNT('DWV ABS'!$A$8:$A$116)
+COUNT('PVC SCH40'!$A$8:$A$424)
+COUNT('PVC SCH40 LD'!$A$8:$A$21)
+COUNT('Pool &amp; SPA Sweep Elbows'!$A$8:$A$11)
+COUNT('Pool &amp; SPA Pipe Extender'!$A$8:$A$10)+1,"")</f>
        <v/>
      </c>
      <c r="B200" s="610"/>
      <c r="C200" s="611"/>
      <c r="D200" s="142" t="str">
        <f>_xlfn.XLOOKUP(E200,'All Products'!D:D,'All Products'!C:C,FALSE)</f>
        <v>847-007</v>
      </c>
      <c r="E200" s="103">
        <v>100023708</v>
      </c>
      <c r="F200" s="413" t="str">
        <f>_xlfn.XLOOKUP(E200,'All Products'!D:D,'All Products'!E:E,FALSE)</f>
        <v>3/4 CAP SLIP SCH80</v>
      </c>
      <c r="G200" s="233">
        <f>_xlfn.XLOOKUP(E200,'All Products'!D:D,'All Products'!F:F,FALSE)</f>
        <v>250</v>
      </c>
      <c r="H200" s="196">
        <f>_xlfn.XLOOKUP(E200,'All Products'!D:D,'All Products'!G:G,FALSE)</f>
        <v>30000</v>
      </c>
      <c r="I200" s="415">
        <f>_xlfn.XLOOKUP(E200,'All Products'!D:D,'All Products'!H:H,FALSE)</f>
        <v>15.46</v>
      </c>
      <c r="J200" s="130">
        <f>ROUND(I200*Order_Quote!$L$8,2)</f>
        <v>15.46</v>
      </c>
      <c r="K200" s="75"/>
      <c r="L200" s="113"/>
      <c r="M200" s="171">
        <f t="shared" si="5"/>
        <v>0</v>
      </c>
      <c r="O200" s="265" t="str">
        <f>_xlfn.XLOOKUP(E200,'All Products'!D:D,'All Products'!I:I,FALSE)</f>
        <v>In Stock</v>
      </c>
      <c r="P200" s="265" t="str">
        <f>_xlfn.XLOOKUP(E200,'All Products'!D:D,'All Products'!J:J,FALSE)</f>
        <v>Manufactured</v>
      </c>
      <c r="Q200" s="266">
        <f>_xlfn.XLOOKUP(E200,'All Products'!D:D,'All Products'!K:K,FALSE)</f>
        <v>49081159924</v>
      </c>
      <c r="R200" s="266">
        <f>_xlfn.XLOOKUP(E200,'All Products'!D:D,'All Products'!L:L,FALSE)</f>
        <v>49081659929</v>
      </c>
      <c r="S200" s="266">
        <f>_xlfn.XLOOKUP(E200,'All Products'!D:D,'All Products'!M:M,FALSE)</f>
        <v>40049081159922</v>
      </c>
      <c r="T200" s="265">
        <f>_xlfn.XLOOKUP(E200,'All Products'!D:D,'All Products'!N:N,FALSE)</f>
        <v>5.8999999999999997E-2</v>
      </c>
      <c r="U200" s="266">
        <f>_xlfn.XLOOKUP(E200,'All Products'!D:D,'All Products'!O:O,FALSE)</f>
        <v>10</v>
      </c>
      <c r="V200" s="265">
        <f>_xlfn.XLOOKUP(E200,'All Products'!D:D,'All Products'!P:P,FALSE)</f>
        <v>15.87</v>
      </c>
      <c r="W200" s="265">
        <f>_xlfn.XLOOKUP(E200,'All Products'!D:D,'All Products'!Q:Q,FALSE)</f>
        <v>0.65</v>
      </c>
    </row>
    <row r="201" spans="1:23">
      <c r="A201" s="101" t="str">
        <f>IF(K201&gt;0,COUNT($A$7:A200)
+COUNT('DWV PVC'!$A$9:$A$316)
+COUNT('DWV ABS'!$A$8:$A$116)
+COUNT('PVC SCH40'!$A$8:$A$424)
+COUNT('PVC SCH40 LD'!$A$8:$A$21)
+COUNT('Pool &amp; SPA Sweep Elbows'!$A$8:$A$11)
+COUNT('Pool &amp; SPA Pipe Extender'!$A$8:$A$10)+1,"")</f>
        <v/>
      </c>
      <c r="B201" s="610"/>
      <c r="C201" s="611"/>
      <c r="D201" s="142" t="str">
        <f>_xlfn.XLOOKUP(E201,'All Products'!D:D,'All Products'!C:C,FALSE)</f>
        <v>847-010</v>
      </c>
      <c r="E201" s="103">
        <v>100028175</v>
      </c>
      <c r="F201" s="413" t="str">
        <f>_xlfn.XLOOKUP(E201,'All Products'!D:D,'All Products'!E:E,FALSE)</f>
        <v>1 CAP SLIP SCH80</v>
      </c>
      <c r="G201" s="233">
        <f>_xlfn.XLOOKUP(E201,'All Products'!D:D,'All Products'!F:F,FALSE)</f>
        <v>250</v>
      </c>
      <c r="H201" s="196">
        <f>_xlfn.XLOOKUP(E201,'All Products'!D:D,'All Products'!G:G,FALSE)</f>
        <v>15000</v>
      </c>
      <c r="I201" s="415">
        <f>_xlfn.XLOOKUP(E201,'All Products'!D:D,'All Products'!H:H,FALSE)</f>
        <v>27.52</v>
      </c>
      <c r="J201" s="130">
        <f>ROUND(I201*Order_Quote!$L$8,2)</f>
        <v>27.52</v>
      </c>
      <c r="K201" s="75"/>
      <c r="L201" s="113"/>
      <c r="M201" s="171">
        <f t="shared" si="5"/>
        <v>0</v>
      </c>
      <c r="O201" s="265" t="str">
        <f>_xlfn.XLOOKUP(E201,'All Products'!D:D,'All Products'!I:I,FALSE)</f>
        <v>Within 3 Weeks</v>
      </c>
      <c r="P201" s="265" t="str">
        <f>_xlfn.XLOOKUP(E201,'All Products'!D:D,'All Products'!J:J,FALSE)</f>
        <v>Manufactured</v>
      </c>
      <c r="Q201" s="266">
        <f>_xlfn.XLOOKUP(E201,'All Products'!D:D,'All Products'!K:K,FALSE)</f>
        <v>49081159948</v>
      </c>
      <c r="R201" s="266">
        <f>_xlfn.XLOOKUP(E201,'All Products'!D:D,'All Products'!L:L,FALSE)</f>
        <v>49081659943</v>
      </c>
      <c r="S201" s="266">
        <f>_xlfn.XLOOKUP(E201,'All Products'!D:D,'All Products'!M:M,FALSE)</f>
        <v>40049081159946</v>
      </c>
      <c r="T201" s="265">
        <f>_xlfn.XLOOKUP(E201,'All Products'!D:D,'All Products'!N:N,FALSE)</f>
        <v>9.6000000000000002E-2</v>
      </c>
      <c r="U201" s="266">
        <f>_xlfn.XLOOKUP(E201,'All Products'!D:D,'All Products'!O:O,FALSE)</f>
        <v>10</v>
      </c>
      <c r="V201" s="265">
        <f>_xlfn.XLOOKUP(E201,'All Products'!D:D,'All Products'!P:P,FALSE)</f>
        <v>28.46</v>
      </c>
      <c r="W201" s="265">
        <f>_xlfn.XLOOKUP(E201,'All Products'!D:D,'All Products'!Q:Q,FALSE)</f>
        <v>1.25</v>
      </c>
    </row>
    <row r="202" spans="1:23">
      <c r="A202" s="101" t="str">
        <f>IF(K202&gt;0,COUNT($A$7:A201)
+COUNT('DWV PVC'!$A$9:$A$316)
+COUNT('DWV ABS'!$A$8:$A$116)
+COUNT('PVC SCH40'!$A$8:$A$424)
+COUNT('PVC SCH40 LD'!$A$8:$A$21)
+COUNT('Pool &amp; SPA Sweep Elbows'!$A$8:$A$11)
+COUNT('Pool &amp; SPA Pipe Extender'!$A$8:$A$10)+1,"")</f>
        <v/>
      </c>
      <c r="B202" s="610"/>
      <c r="C202" s="611"/>
      <c r="D202" s="142" t="str">
        <f>_xlfn.XLOOKUP(E202,'All Products'!D:D,'All Products'!C:C,FALSE)</f>
        <v>847-012</v>
      </c>
      <c r="E202" s="103">
        <v>100028176</v>
      </c>
      <c r="F202" s="413" t="str">
        <f>_xlfn.XLOOKUP(E202,'All Products'!D:D,'All Products'!E:E,FALSE)</f>
        <v>1-1/4 CAP SLIP SCH80</v>
      </c>
      <c r="G202" s="233">
        <f>_xlfn.XLOOKUP(E202,'All Products'!D:D,'All Products'!F:F,FALSE)</f>
        <v>100</v>
      </c>
      <c r="H202" s="196">
        <f>_xlfn.XLOOKUP(E202,'All Products'!D:D,'All Products'!G:G,FALSE)</f>
        <v>7500</v>
      </c>
      <c r="I202" s="415">
        <f>_xlfn.XLOOKUP(E202,'All Products'!D:D,'All Products'!H:H,FALSE)</f>
        <v>33.130000000000003</v>
      </c>
      <c r="J202" s="130">
        <f>ROUND(I202*Order_Quote!$L$8,2)</f>
        <v>33.130000000000003</v>
      </c>
      <c r="K202" s="75"/>
      <c r="L202" s="113"/>
      <c r="M202" s="171">
        <f t="shared" si="5"/>
        <v>0</v>
      </c>
      <c r="O202" s="265" t="str">
        <f>_xlfn.XLOOKUP(E202,'All Products'!D:D,'All Products'!I:I,FALSE)</f>
        <v>Within 3 Weeks</v>
      </c>
      <c r="P202" s="265" t="str">
        <f>_xlfn.XLOOKUP(E202,'All Products'!D:D,'All Products'!J:J,FALSE)</f>
        <v>Manufactured</v>
      </c>
      <c r="Q202" s="266">
        <f>_xlfn.XLOOKUP(E202,'All Products'!D:D,'All Products'!K:K,FALSE)</f>
        <v>49081159962</v>
      </c>
      <c r="R202" s="266">
        <f>_xlfn.XLOOKUP(E202,'All Products'!D:D,'All Products'!L:L,FALSE)</f>
        <v>49081659967</v>
      </c>
      <c r="S202" s="266">
        <f>_xlfn.XLOOKUP(E202,'All Products'!D:D,'All Products'!M:M,FALSE)</f>
        <v>40049081159960</v>
      </c>
      <c r="T202" s="265">
        <f>_xlfn.XLOOKUP(E202,'All Products'!D:D,'All Products'!N:N,FALSE)</f>
        <v>0.21</v>
      </c>
      <c r="U202" s="266">
        <f>_xlfn.XLOOKUP(E202,'All Products'!D:D,'All Products'!O:O,FALSE)</f>
        <v>10</v>
      </c>
      <c r="V202" s="265">
        <f>_xlfn.XLOOKUP(E202,'All Products'!D:D,'All Products'!P:P,FALSE)</f>
        <v>17.54</v>
      </c>
      <c r="W202" s="265">
        <f>_xlfn.XLOOKUP(E202,'All Products'!D:D,'All Products'!Q:Q,FALSE)</f>
        <v>0.95</v>
      </c>
    </row>
    <row r="203" spans="1:23">
      <c r="A203" s="101" t="str">
        <f>IF(K203&gt;0,COUNT($A$7:A202)
+COUNT('DWV PVC'!$A$9:$A$316)
+COUNT('DWV ABS'!$A$8:$A$116)
+COUNT('PVC SCH40'!$A$8:$A$424)
+COUNT('PVC SCH40 LD'!$A$8:$A$21)
+COUNT('Pool &amp; SPA Sweep Elbows'!$A$8:$A$11)
+COUNT('Pool &amp; SPA Pipe Extender'!$A$8:$A$10)+1,"")</f>
        <v/>
      </c>
      <c r="B203" s="610"/>
      <c r="C203" s="611"/>
      <c r="D203" s="142" t="str">
        <f>_xlfn.XLOOKUP(E203,'All Products'!D:D,'All Products'!C:C,FALSE)</f>
        <v>847-015</v>
      </c>
      <c r="E203" s="103">
        <v>100028177</v>
      </c>
      <c r="F203" s="413" t="str">
        <f>_xlfn.XLOOKUP(E203,'All Products'!D:D,'All Products'!E:E,FALSE)</f>
        <v>1-1/2 CAP SLIP SCH80</v>
      </c>
      <c r="G203" s="233">
        <f>_xlfn.XLOOKUP(E203,'All Products'!D:D,'All Products'!F:F,FALSE)</f>
        <v>50</v>
      </c>
      <c r="H203" s="196">
        <f>_xlfn.XLOOKUP(E203,'All Products'!D:D,'All Products'!G:G,FALSE)</f>
        <v>6000</v>
      </c>
      <c r="I203" s="415">
        <f>_xlfn.XLOOKUP(E203,'All Products'!D:D,'All Products'!H:H,FALSE)</f>
        <v>33.130000000000003</v>
      </c>
      <c r="J203" s="130">
        <f>ROUND(I203*Order_Quote!$L$8,2)</f>
        <v>33.130000000000003</v>
      </c>
      <c r="K203" s="75"/>
      <c r="L203" s="113"/>
      <c r="M203" s="171">
        <f t="shared" si="5"/>
        <v>0</v>
      </c>
      <c r="O203" s="265" t="str">
        <f>_xlfn.XLOOKUP(E203,'All Products'!D:D,'All Products'!I:I,FALSE)</f>
        <v>Within 3 Weeks</v>
      </c>
      <c r="P203" s="265" t="str">
        <f>_xlfn.XLOOKUP(E203,'All Products'!D:D,'All Products'!J:J,FALSE)</f>
        <v>Manufactured</v>
      </c>
      <c r="Q203" s="266">
        <f>_xlfn.XLOOKUP(E203,'All Products'!D:D,'All Products'!K:K,FALSE)</f>
        <v>49081159986</v>
      </c>
      <c r="R203" s="266">
        <f>_xlfn.XLOOKUP(E203,'All Products'!D:D,'All Products'!L:L,FALSE)</f>
        <v>49081659981</v>
      </c>
      <c r="S203" s="266">
        <f>_xlfn.XLOOKUP(E203,'All Products'!D:D,'All Products'!M:M,FALSE)</f>
        <v>40049081159984</v>
      </c>
      <c r="T203" s="265">
        <f>_xlfn.XLOOKUP(E203,'All Products'!D:D,'All Products'!N:N,FALSE)</f>
        <v>0.249</v>
      </c>
      <c r="U203" s="266">
        <f>_xlfn.XLOOKUP(E203,'All Products'!D:D,'All Products'!O:O,FALSE)</f>
        <v>5</v>
      </c>
      <c r="V203" s="265">
        <f>_xlfn.XLOOKUP(E203,'All Products'!D:D,'All Products'!P:P,FALSE)</f>
        <v>12.99</v>
      </c>
      <c r="W203" s="265">
        <f>_xlfn.XLOOKUP(E203,'All Products'!D:D,'All Products'!Q:Q,FALSE)</f>
        <v>0.65</v>
      </c>
    </row>
    <row r="204" spans="1:23">
      <c r="A204" s="101" t="str">
        <f>IF(K204&gt;0,COUNT($A$7:A203)
+COUNT('DWV PVC'!$A$9:$A$316)
+COUNT('DWV ABS'!$A$8:$A$116)
+COUNT('PVC SCH40'!$A$8:$A$424)
+COUNT('PVC SCH40 LD'!$A$8:$A$21)
+COUNT('Pool &amp; SPA Sweep Elbows'!$A$8:$A$11)
+COUNT('Pool &amp; SPA Pipe Extender'!$A$8:$A$10)+1,"")</f>
        <v/>
      </c>
      <c r="B204" s="610"/>
      <c r="C204" s="611"/>
      <c r="D204" s="142" t="str">
        <f>_xlfn.XLOOKUP(E204,'All Products'!D:D,'All Products'!C:C,FALSE)</f>
        <v>847-020</v>
      </c>
      <c r="E204" s="103">
        <v>100023709</v>
      </c>
      <c r="F204" s="413" t="str">
        <f>_xlfn.XLOOKUP(E204,'All Products'!D:D,'All Products'!E:E,FALSE)</f>
        <v>2 CAP SLIP SCH80</v>
      </c>
      <c r="G204" s="233">
        <f>_xlfn.XLOOKUP(E204,'All Products'!D:D,'All Products'!F:F,FALSE)</f>
        <v>50</v>
      </c>
      <c r="H204" s="196">
        <f>_xlfn.XLOOKUP(E204,'All Products'!D:D,'All Products'!G:G,FALSE)</f>
        <v>4500</v>
      </c>
      <c r="I204" s="415">
        <f>_xlfn.XLOOKUP(E204,'All Products'!D:D,'All Products'!H:H,FALSE)</f>
        <v>65.44</v>
      </c>
      <c r="J204" s="130">
        <f>ROUND(I204*Order_Quote!$L$8,2)</f>
        <v>65.44</v>
      </c>
      <c r="K204" s="75"/>
      <c r="L204" s="113"/>
      <c r="M204" s="171">
        <f t="shared" si="5"/>
        <v>0</v>
      </c>
      <c r="O204" s="265" t="str">
        <f>_xlfn.XLOOKUP(E204,'All Products'!D:D,'All Products'!I:I,FALSE)</f>
        <v>In Stock</v>
      </c>
      <c r="P204" s="265" t="str">
        <f>_xlfn.XLOOKUP(E204,'All Products'!D:D,'All Products'!J:J,FALSE)</f>
        <v>Manufactured</v>
      </c>
      <c r="Q204" s="266">
        <f>_xlfn.XLOOKUP(E204,'All Products'!D:D,'All Products'!K:K,FALSE)</f>
        <v>49081160005</v>
      </c>
      <c r="R204" s="266">
        <f>_xlfn.XLOOKUP(E204,'All Products'!D:D,'All Products'!L:L,FALSE)</f>
        <v>49081660000</v>
      </c>
      <c r="S204" s="266">
        <f>_xlfn.XLOOKUP(E204,'All Products'!D:D,'All Products'!M:M,FALSE)</f>
        <v>40049081160003</v>
      </c>
      <c r="T204" s="265">
        <f>_xlfn.XLOOKUP(E204,'All Products'!D:D,'All Products'!N:N,FALSE)</f>
        <v>0.26400000000000001</v>
      </c>
      <c r="U204" s="266">
        <f>_xlfn.XLOOKUP(E204,'All Products'!D:D,'All Products'!O:O,FALSE)</f>
        <v>5</v>
      </c>
      <c r="V204" s="265">
        <f>_xlfn.XLOOKUP(E204,'All Products'!D:D,'All Products'!P:P,FALSE)</f>
        <v>17.600000000000001</v>
      </c>
      <c r="W204" s="265">
        <f>_xlfn.XLOOKUP(E204,'All Products'!D:D,'All Products'!Q:Q,FALSE)</f>
        <v>0.8</v>
      </c>
    </row>
    <row r="205" spans="1:23">
      <c r="A205" s="101" t="str">
        <f>IF(K205&gt;0,COUNT($A$7:A204)
+COUNT('DWV PVC'!$A$9:$A$316)
+COUNT('DWV ABS'!$A$8:$A$116)
+COUNT('PVC SCH40'!$A$8:$A$424)
+COUNT('PVC SCH40 LD'!$A$8:$A$21)
+COUNT('Pool &amp; SPA Sweep Elbows'!$A$8:$A$11)
+COUNT('Pool &amp; SPA Pipe Extender'!$A$8:$A$10)+1,"")</f>
        <v/>
      </c>
      <c r="B205" s="610"/>
      <c r="C205" s="611"/>
      <c r="D205" s="142" t="str">
        <f>_xlfn.XLOOKUP(E205,'All Products'!D:D,'All Products'!C:C,FALSE)</f>
        <v>847-025</v>
      </c>
      <c r="E205" s="103">
        <v>100023710</v>
      </c>
      <c r="F205" s="413" t="str">
        <f>_xlfn.XLOOKUP(E205,'All Products'!D:D,'All Products'!E:E,FALSE)</f>
        <v>2-1/2 CAP SLIP SCH80</v>
      </c>
      <c r="G205" s="233">
        <f>_xlfn.XLOOKUP(E205,'All Products'!D:D,'All Products'!F:F,FALSE)</f>
        <v>25</v>
      </c>
      <c r="H205" s="196">
        <f>_xlfn.XLOOKUP(E205,'All Products'!D:D,'All Products'!G:G,FALSE)</f>
        <v>3000</v>
      </c>
      <c r="I205" s="415">
        <f>_xlfn.XLOOKUP(E205,'All Products'!D:D,'All Products'!H:H,FALSE)</f>
        <v>133.62</v>
      </c>
      <c r="J205" s="130">
        <f>ROUND(I205*Order_Quote!$L$8,2)</f>
        <v>133.62</v>
      </c>
      <c r="K205" s="75"/>
      <c r="L205" s="113"/>
      <c r="M205" s="171">
        <f t="shared" si="5"/>
        <v>0</v>
      </c>
      <c r="O205" s="265" t="str">
        <f>_xlfn.XLOOKUP(E205,'All Products'!D:D,'All Products'!I:I,FALSE)</f>
        <v>Within 3 Weeks</v>
      </c>
      <c r="P205" s="265" t="str">
        <f>_xlfn.XLOOKUP(E205,'All Products'!D:D,'All Products'!J:J,FALSE)</f>
        <v>Manufactured</v>
      </c>
      <c r="Q205" s="266">
        <f>_xlfn.XLOOKUP(E205,'All Products'!D:D,'All Products'!K:K,FALSE)</f>
        <v>49081160029</v>
      </c>
      <c r="R205" s="266">
        <f>_xlfn.XLOOKUP(E205,'All Products'!D:D,'All Products'!L:L,FALSE)</f>
        <v>49081660024</v>
      </c>
      <c r="S205" s="266">
        <f>_xlfn.XLOOKUP(E205,'All Products'!D:D,'All Products'!M:M,FALSE)</f>
        <v>40049081160027</v>
      </c>
      <c r="T205" s="265">
        <f>_xlfn.XLOOKUP(E205,'All Products'!D:D,'All Products'!N:N,FALSE)</f>
        <v>0.46200000000000002</v>
      </c>
      <c r="U205" s="266">
        <f>_xlfn.XLOOKUP(E205,'All Products'!D:D,'All Products'!O:O,FALSE)</f>
        <v>5</v>
      </c>
      <c r="V205" s="265">
        <f>_xlfn.XLOOKUP(E205,'All Products'!D:D,'All Products'!P:P,FALSE)</f>
        <v>13.6</v>
      </c>
      <c r="W205" s="265">
        <f>_xlfn.XLOOKUP(E205,'All Products'!D:D,'All Products'!Q:Q,FALSE)</f>
        <v>0.65</v>
      </c>
    </row>
    <row r="206" spans="1:23">
      <c r="A206" s="101" t="str">
        <f>IF(K206&gt;0,COUNT($A$7:A205)
+COUNT('DWV PVC'!$A$9:$A$316)
+COUNT('DWV ABS'!$A$8:$A$116)
+COUNT('PVC SCH40'!$A$8:$A$424)
+COUNT('PVC SCH40 LD'!$A$8:$A$21)
+COUNT('Pool &amp; SPA Sweep Elbows'!$A$8:$A$11)
+COUNT('Pool &amp; SPA Pipe Extender'!$A$8:$A$10)+1,"")</f>
        <v/>
      </c>
      <c r="B206" s="610"/>
      <c r="C206" s="611"/>
      <c r="D206" s="142" t="str">
        <f>_xlfn.XLOOKUP(E206,'All Products'!D:D,'All Products'!C:C,FALSE)</f>
        <v>847-030</v>
      </c>
      <c r="E206" s="103">
        <v>100023711</v>
      </c>
      <c r="F206" s="413" t="str">
        <f>_xlfn.XLOOKUP(E206,'All Products'!D:D,'All Products'!E:E,FALSE)</f>
        <v>3 CAP SLIP SCH80</v>
      </c>
      <c r="G206" s="233">
        <f>_xlfn.XLOOKUP(E206,'All Products'!D:D,'All Products'!F:F,FALSE)</f>
        <v>25</v>
      </c>
      <c r="H206" s="196">
        <f>_xlfn.XLOOKUP(E206,'All Products'!D:D,'All Products'!G:G,FALSE)</f>
        <v>1875</v>
      </c>
      <c r="I206" s="415">
        <f>_xlfn.XLOOKUP(E206,'All Products'!D:D,'All Products'!H:H,FALSE)</f>
        <v>156.35</v>
      </c>
      <c r="J206" s="130">
        <f>ROUND(I206*Order_Quote!$L$8,2)</f>
        <v>156.35</v>
      </c>
      <c r="K206" s="75"/>
      <c r="L206" s="113"/>
      <c r="M206" s="171">
        <f t="shared" si="5"/>
        <v>0</v>
      </c>
      <c r="O206" s="265" t="str">
        <f>_xlfn.XLOOKUP(E206,'All Products'!D:D,'All Products'!I:I,FALSE)</f>
        <v>In Stock</v>
      </c>
      <c r="P206" s="265" t="str">
        <f>_xlfn.XLOOKUP(E206,'All Products'!D:D,'All Products'!J:J,FALSE)</f>
        <v>Manufactured</v>
      </c>
      <c r="Q206" s="266">
        <f>_xlfn.XLOOKUP(E206,'All Products'!D:D,'All Products'!K:K,FALSE)</f>
        <v>49081160043</v>
      </c>
      <c r="R206" s="266">
        <f>_xlfn.XLOOKUP(E206,'All Products'!D:D,'All Products'!L:L,FALSE)</f>
        <v>49081660048</v>
      </c>
      <c r="S206" s="266">
        <f>_xlfn.XLOOKUP(E206,'All Products'!D:D,'All Products'!M:M,FALSE)</f>
        <v>40049081160041</v>
      </c>
      <c r="T206" s="265">
        <f>_xlfn.XLOOKUP(E206,'All Products'!D:D,'All Products'!N:N,FALSE)</f>
        <v>0.69199999999999995</v>
      </c>
      <c r="U206" s="266">
        <f>_xlfn.XLOOKUP(E206,'All Products'!D:D,'All Products'!O:O,FALSE)</f>
        <v>5</v>
      </c>
      <c r="V206" s="265">
        <f>_xlfn.XLOOKUP(E206,'All Products'!D:D,'All Products'!P:P,FALSE)</f>
        <v>17.07</v>
      </c>
      <c r="W206" s="265">
        <f>_xlfn.XLOOKUP(E206,'All Products'!D:D,'All Products'!Q:Q,FALSE)</f>
        <v>0.95</v>
      </c>
    </row>
    <row r="207" spans="1:23">
      <c r="A207" s="101" t="str">
        <f>IF(K207&gt;0,COUNT($A$7:A206)
+COUNT('DWV PVC'!$A$9:$A$316)
+COUNT('DWV ABS'!$A$8:$A$116)
+COUNT('PVC SCH40'!$A$8:$A$424)
+COUNT('PVC SCH40 LD'!$A$8:$A$21)
+COUNT('Pool &amp; SPA Sweep Elbows'!$A$8:$A$11)
+COUNT('Pool &amp; SPA Pipe Extender'!$A$8:$A$10)+1,"")</f>
        <v/>
      </c>
      <c r="B207" s="610"/>
      <c r="C207" s="611"/>
      <c r="D207" s="142" t="str">
        <f>_xlfn.XLOOKUP(E207,'All Products'!D:D,'All Products'!C:C,FALSE)</f>
        <v>847-040</v>
      </c>
      <c r="E207" s="103">
        <v>100023712</v>
      </c>
      <c r="F207" s="413" t="str">
        <f>_xlfn.XLOOKUP(E207,'All Products'!D:D,'All Products'!E:E,FALSE)</f>
        <v>4 CAP SLIP SCH80</v>
      </c>
      <c r="G207" s="233">
        <f>_xlfn.XLOOKUP(E207,'All Products'!D:D,'All Products'!F:F,FALSE)</f>
        <v>10</v>
      </c>
      <c r="H207" s="196">
        <f>_xlfn.XLOOKUP(E207,'All Products'!D:D,'All Products'!G:G,FALSE)</f>
        <v>900</v>
      </c>
      <c r="I207" s="415">
        <f>_xlfn.XLOOKUP(E207,'All Products'!D:D,'All Products'!H:H,FALSE)</f>
        <v>263.64</v>
      </c>
      <c r="J207" s="130">
        <f>ROUND(I207*Order_Quote!$L$8,2)</f>
        <v>263.64</v>
      </c>
      <c r="K207" s="75"/>
      <c r="L207" s="113"/>
      <c r="M207" s="171">
        <f t="shared" si="5"/>
        <v>0</v>
      </c>
      <c r="O207" s="265" t="str">
        <f>_xlfn.XLOOKUP(E207,'All Products'!D:D,'All Products'!I:I,FALSE)</f>
        <v>In Stock</v>
      </c>
      <c r="P207" s="265" t="str">
        <f>_xlfn.XLOOKUP(E207,'All Products'!D:D,'All Products'!J:J,FALSE)</f>
        <v>Manufactured</v>
      </c>
      <c r="Q207" s="266">
        <f>_xlfn.XLOOKUP(E207,'All Products'!D:D,'All Products'!K:K,FALSE)</f>
        <v>49081160067</v>
      </c>
      <c r="R207" s="266">
        <f>_xlfn.XLOOKUP(E207,'All Products'!D:D,'All Products'!L:L,FALSE)</f>
        <v>49081660062</v>
      </c>
      <c r="S207" s="266">
        <f>_xlfn.XLOOKUP(E207,'All Products'!D:D,'All Products'!M:M,FALSE)</f>
        <v>40049081160065</v>
      </c>
      <c r="T207" s="265">
        <f>_xlfn.XLOOKUP(E207,'All Products'!D:D,'All Products'!N:N,FALSE)</f>
        <v>1.34</v>
      </c>
      <c r="U207" s="266">
        <f>_xlfn.XLOOKUP(E207,'All Products'!D:D,'All Products'!O:O,FALSE)</f>
        <v>2</v>
      </c>
      <c r="V207" s="265">
        <f>_xlfn.XLOOKUP(E207,'All Products'!D:D,'All Products'!P:P,FALSE)</f>
        <v>13.72</v>
      </c>
      <c r="W207" s="265">
        <f>_xlfn.XLOOKUP(E207,'All Products'!D:D,'All Products'!Q:Q,FALSE)</f>
        <v>0.8</v>
      </c>
    </row>
    <row r="208" spans="1:23">
      <c r="A208" s="101" t="str">
        <f>IF(K208&gt;0,COUNT($A$7:A207)
+COUNT('DWV PVC'!$A$9:$A$316)
+COUNT('DWV ABS'!$A$8:$A$116)
+COUNT('PVC SCH40'!$A$8:$A$424)
+COUNT('PVC SCH40 LD'!$A$8:$A$21)
+COUNT('Pool &amp; SPA Sweep Elbows'!$A$8:$A$11)
+COUNT('Pool &amp; SPA Pipe Extender'!$A$8:$A$10)+1,"")</f>
        <v/>
      </c>
      <c r="B208" s="610"/>
      <c r="C208" s="611"/>
      <c r="D208" s="142" t="str">
        <f>_xlfn.XLOOKUP(E208,'All Products'!D:D,'All Products'!C:C,FALSE)</f>
        <v>847-060</v>
      </c>
      <c r="E208" s="103">
        <v>100023713</v>
      </c>
      <c r="F208" s="413" t="str">
        <f>_xlfn.XLOOKUP(E208,'All Products'!D:D,'All Products'!E:E,FALSE)</f>
        <v>6 CAP SLIP SCH80</v>
      </c>
      <c r="G208" s="233">
        <f>_xlfn.XLOOKUP(E208,'All Products'!D:D,'All Products'!F:F,FALSE)</f>
        <v>5</v>
      </c>
      <c r="H208" s="196">
        <f>_xlfn.XLOOKUP(E208,'All Products'!D:D,'All Products'!G:G,FALSE)</f>
        <v>300</v>
      </c>
      <c r="I208" s="415">
        <f>_xlfn.XLOOKUP(E208,'All Products'!D:D,'All Products'!H:H,FALSE)</f>
        <v>655.76</v>
      </c>
      <c r="J208" s="130">
        <f>ROUND(I208*Order_Quote!$L$8,2)</f>
        <v>655.76</v>
      </c>
      <c r="K208" s="75"/>
      <c r="L208" s="113"/>
      <c r="M208" s="171">
        <f t="shared" si="5"/>
        <v>0</v>
      </c>
      <c r="O208" s="265" t="str">
        <f>_xlfn.XLOOKUP(E208,'All Products'!D:D,'All Products'!I:I,FALSE)</f>
        <v>In Stock</v>
      </c>
      <c r="P208" s="265" t="str">
        <f>_xlfn.XLOOKUP(E208,'All Products'!D:D,'All Products'!J:J,FALSE)</f>
        <v>Manufactured</v>
      </c>
      <c r="Q208" s="266">
        <f>_xlfn.XLOOKUP(E208,'All Products'!D:D,'All Products'!K:K,FALSE)</f>
        <v>49081160104</v>
      </c>
      <c r="R208" s="266" t="str">
        <f>_xlfn.XLOOKUP(E208,'All Products'!D:D,'All Products'!L:L,FALSE)</f>
        <v>-</v>
      </c>
      <c r="S208" s="266">
        <f>_xlfn.XLOOKUP(E208,'All Products'!D:D,'All Products'!M:M,FALSE)</f>
        <v>40049081160102</v>
      </c>
      <c r="T208" s="265">
        <f>_xlfn.XLOOKUP(E208,'All Products'!D:D,'All Products'!N:N,FALSE)</f>
        <v>4.2</v>
      </c>
      <c r="U208" s="266" t="str">
        <f>_xlfn.XLOOKUP(E208,'All Products'!D:D,'All Products'!O:O,FALSE)</f>
        <v>-</v>
      </c>
      <c r="V208" s="265">
        <f>_xlfn.XLOOKUP(E208,'All Products'!D:D,'All Products'!P:P,FALSE)</f>
        <v>22.85</v>
      </c>
      <c r="W208" s="265">
        <f>_xlfn.XLOOKUP(E208,'All Products'!D:D,'All Products'!Q:Q,FALSE)</f>
        <v>1.41</v>
      </c>
    </row>
    <row r="209" spans="1:23">
      <c r="A209" s="101" t="str">
        <f>IF(K209&gt;0,COUNT($A$7:A208)
+COUNT('DWV PVC'!$A$9:$A$316)
+COUNT('DWV ABS'!$A$8:$A$116)
+COUNT('PVC SCH40'!$A$8:$A$424)
+COUNT('PVC SCH40 LD'!$A$8:$A$21)
+COUNT('Pool &amp; SPA Sweep Elbows'!$A$8:$A$11)
+COUNT('Pool &amp; SPA Pipe Extender'!$A$8:$A$10)+1,"")</f>
        <v/>
      </c>
      <c r="B209" s="608"/>
      <c r="C209" s="609"/>
      <c r="D209" s="142" t="str">
        <f>_xlfn.XLOOKUP(E209,'All Products'!D:D,'All Products'!C:C,FALSE)</f>
        <v>848-002</v>
      </c>
      <c r="E209" s="103">
        <v>100023714</v>
      </c>
      <c r="F209" s="413" t="str">
        <f>_xlfn.XLOOKUP(E209,'All Products'!D:D,'All Products'!E:E,FALSE)</f>
        <v>1/4 CAP FIPT SCH80</v>
      </c>
      <c r="G209" s="233">
        <f>_xlfn.XLOOKUP(E209,'All Products'!D:D,'All Products'!F:F,FALSE)</f>
        <v>250</v>
      </c>
      <c r="H209" s="196">
        <f>_xlfn.XLOOKUP(E209,'All Products'!D:D,'All Products'!G:G,FALSE)</f>
        <v>67500</v>
      </c>
      <c r="I209" s="415">
        <f>_xlfn.XLOOKUP(E209,'All Products'!D:D,'All Products'!H:H,FALSE)</f>
        <v>18.38</v>
      </c>
      <c r="J209" s="130">
        <f>ROUND(I209*Order_Quote!$L$8,2)</f>
        <v>18.38</v>
      </c>
      <c r="K209" s="75"/>
      <c r="L209" s="113"/>
      <c r="M209" s="171">
        <f t="shared" si="5"/>
        <v>0</v>
      </c>
      <c r="O209" s="265" t="str">
        <f>_xlfn.XLOOKUP(E209,'All Products'!D:D,'All Products'!I:I,FALSE)</f>
        <v>In Stock</v>
      </c>
      <c r="P209" s="265" t="str">
        <f>_xlfn.XLOOKUP(E209,'All Products'!D:D,'All Products'!J:J,FALSE)</f>
        <v>Manufactured</v>
      </c>
      <c r="Q209" s="266">
        <f>_xlfn.XLOOKUP(E209,'All Products'!D:D,'All Products'!K:K,FALSE)</f>
        <v>49081160265</v>
      </c>
      <c r="R209" s="266" t="str">
        <f>_xlfn.XLOOKUP(E209,'All Products'!D:D,'All Products'!L:L,FALSE)</f>
        <v>-</v>
      </c>
      <c r="S209" s="266">
        <f>_xlfn.XLOOKUP(E209,'All Products'!D:D,'All Products'!M:M,FALSE)</f>
        <v>40049081160263</v>
      </c>
      <c r="T209" s="265">
        <f>_xlfn.XLOOKUP(E209,'All Products'!D:D,'All Products'!N:N,FALSE)</f>
        <v>0.02</v>
      </c>
      <c r="U209" s="266">
        <f>_xlfn.XLOOKUP(E209,'All Products'!D:D,'All Products'!O:O,FALSE)</f>
        <v>10</v>
      </c>
      <c r="V209" s="265">
        <f>_xlfn.XLOOKUP(E209,'All Products'!D:D,'All Products'!P:P,FALSE)</f>
        <v>5.15</v>
      </c>
      <c r="W209" s="265">
        <f>_xlfn.XLOOKUP(E209,'All Products'!D:D,'All Products'!Q:Q,FALSE)</f>
        <v>0.27</v>
      </c>
    </row>
    <row r="210" spans="1:23">
      <c r="A210" s="101" t="str">
        <f>IF(K210&gt;0,COUNT($A$7:A209)
+COUNT('DWV PVC'!$A$9:$A$316)
+COUNT('DWV ABS'!$A$8:$A$116)
+COUNT('PVC SCH40'!$A$8:$A$424)
+COUNT('PVC SCH40 LD'!$A$8:$A$21)
+COUNT('Pool &amp; SPA Sweep Elbows'!$A$8:$A$11)
+COUNT('Pool &amp; SPA Pipe Extender'!$A$8:$A$10)+1,"")</f>
        <v/>
      </c>
      <c r="B210" s="610"/>
      <c r="C210" s="611"/>
      <c r="D210" s="142" t="str">
        <f>_xlfn.XLOOKUP(E210,'All Products'!D:D,'All Products'!C:C,FALSE)</f>
        <v>848-003</v>
      </c>
      <c r="E210" s="103">
        <v>100023715</v>
      </c>
      <c r="F210" s="413" t="str">
        <f>_xlfn.XLOOKUP(E210,'All Products'!D:D,'All Products'!E:E,FALSE)</f>
        <v>3/8 CAP FIPT SCH80</v>
      </c>
      <c r="G210" s="233">
        <f>_xlfn.XLOOKUP(E210,'All Products'!D:D,'All Products'!F:F,FALSE)</f>
        <v>250</v>
      </c>
      <c r="H210" s="196">
        <f>_xlfn.XLOOKUP(E210,'All Products'!D:D,'All Products'!G:G,FALSE)</f>
        <v>67500</v>
      </c>
      <c r="I210" s="415">
        <f>_xlfn.XLOOKUP(E210,'All Products'!D:D,'All Products'!H:H,FALSE)</f>
        <v>18.38</v>
      </c>
      <c r="J210" s="130">
        <f>ROUND(I210*Order_Quote!$L$8,2)</f>
        <v>18.38</v>
      </c>
      <c r="K210" s="75"/>
      <c r="L210" s="113"/>
      <c r="M210" s="171">
        <f t="shared" si="5"/>
        <v>0</v>
      </c>
      <c r="O210" s="265" t="str">
        <f>_xlfn.XLOOKUP(E210,'All Products'!D:D,'All Products'!I:I,FALSE)</f>
        <v>Within 3 Weeks</v>
      </c>
      <c r="P210" s="265" t="str">
        <f>_xlfn.XLOOKUP(E210,'All Products'!D:D,'All Products'!J:J,FALSE)</f>
        <v>Manufactured</v>
      </c>
      <c r="Q210" s="266">
        <f>_xlfn.XLOOKUP(E210,'All Products'!D:D,'All Products'!K:K,FALSE)</f>
        <v>49081160289</v>
      </c>
      <c r="R210" s="266">
        <f>_xlfn.XLOOKUP(E210,'All Products'!D:D,'All Products'!L:L,FALSE)</f>
        <v>49081660284</v>
      </c>
      <c r="S210" s="266">
        <f>_xlfn.XLOOKUP(E210,'All Products'!D:D,'All Products'!M:M,FALSE)</f>
        <v>40049081160287</v>
      </c>
      <c r="T210" s="265">
        <f>_xlfn.XLOOKUP(E210,'All Products'!D:D,'All Products'!N:N,FALSE)</f>
        <v>0.03</v>
      </c>
      <c r="U210" s="266">
        <f>_xlfn.XLOOKUP(E210,'All Products'!D:D,'All Products'!O:O,FALSE)</f>
        <v>10</v>
      </c>
      <c r="V210" s="265">
        <f>_xlfn.XLOOKUP(E210,'All Products'!D:D,'All Products'!P:P,FALSE)</f>
        <v>14.68</v>
      </c>
      <c r="W210" s="265">
        <f>_xlfn.XLOOKUP(E210,'All Products'!D:D,'All Products'!Q:Q,FALSE)</f>
        <v>0.31</v>
      </c>
    </row>
    <row r="211" spans="1:23">
      <c r="A211" s="101" t="str">
        <f>IF(K211&gt;0,COUNT($A$7:A210)
+COUNT('DWV PVC'!$A$9:$A$316)
+COUNT('DWV ABS'!$A$8:$A$116)
+COUNT('PVC SCH40'!$A$8:$A$424)
+COUNT('PVC SCH40 LD'!$A$8:$A$21)
+COUNT('Pool &amp; SPA Sweep Elbows'!$A$8:$A$11)
+COUNT('Pool &amp; SPA Pipe Extender'!$A$8:$A$10)+1,"")</f>
        <v/>
      </c>
      <c r="B211" s="610"/>
      <c r="C211" s="611"/>
      <c r="D211" s="142" t="str">
        <f>_xlfn.XLOOKUP(E211,'All Products'!D:D,'All Products'!C:C,FALSE)</f>
        <v>848-005</v>
      </c>
      <c r="E211" s="103">
        <v>100023716</v>
      </c>
      <c r="F211" s="413" t="str">
        <f>_xlfn.XLOOKUP(E211,'All Products'!D:D,'All Products'!E:E,FALSE)</f>
        <v>1/2 CAP FIPT SCH80</v>
      </c>
      <c r="G211" s="233">
        <f>_xlfn.XLOOKUP(E211,'All Products'!D:D,'All Products'!F:F,FALSE)</f>
        <v>250</v>
      </c>
      <c r="H211" s="196">
        <f>_xlfn.XLOOKUP(E211,'All Products'!D:D,'All Products'!G:G,FALSE)</f>
        <v>37500</v>
      </c>
      <c r="I211" s="415">
        <f>_xlfn.XLOOKUP(E211,'All Products'!D:D,'All Products'!H:H,FALSE)</f>
        <v>18.38</v>
      </c>
      <c r="J211" s="130">
        <f>ROUND(I211*Order_Quote!$L$8,2)</f>
        <v>18.38</v>
      </c>
      <c r="K211" s="75"/>
      <c r="L211" s="113"/>
      <c r="M211" s="171">
        <f t="shared" si="5"/>
        <v>0</v>
      </c>
      <c r="O211" s="265" t="str">
        <f>_xlfn.XLOOKUP(E211,'All Products'!D:D,'All Products'!I:I,FALSE)</f>
        <v>In Stock</v>
      </c>
      <c r="P211" s="265" t="str">
        <f>_xlfn.XLOOKUP(E211,'All Products'!D:D,'All Products'!J:J,FALSE)</f>
        <v>Manufactured</v>
      </c>
      <c r="Q211" s="266">
        <f>_xlfn.XLOOKUP(E211,'All Products'!D:D,'All Products'!K:K,FALSE)</f>
        <v>49081160302</v>
      </c>
      <c r="R211" s="266">
        <f>_xlfn.XLOOKUP(E211,'All Products'!D:D,'All Products'!L:L,FALSE)</f>
        <v>49081660307</v>
      </c>
      <c r="S211" s="266">
        <f>_xlfn.XLOOKUP(E211,'All Products'!D:D,'All Products'!M:M,FALSE)</f>
        <v>40049081160300</v>
      </c>
      <c r="T211" s="265">
        <f>_xlfn.XLOOKUP(E211,'All Products'!D:D,'All Products'!N:N,FALSE)</f>
        <v>5.5E-2</v>
      </c>
      <c r="U211" s="266">
        <f>_xlfn.XLOOKUP(E211,'All Products'!D:D,'All Products'!O:O,FALSE)</f>
        <v>10</v>
      </c>
      <c r="V211" s="265">
        <f>_xlfn.XLOOKUP(E211,'All Products'!D:D,'All Products'!P:P,FALSE)</f>
        <v>13.84</v>
      </c>
      <c r="W211" s="265">
        <f>_xlfn.XLOOKUP(E211,'All Products'!D:D,'All Products'!Q:Q,FALSE)</f>
        <v>0.5</v>
      </c>
    </row>
    <row r="212" spans="1:23">
      <c r="A212" s="101" t="str">
        <f>IF(K212&gt;0,COUNT($A$7:A211)
+COUNT('DWV PVC'!$A$9:$A$316)
+COUNT('DWV ABS'!$A$8:$A$116)
+COUNT('PVC SCH40'!$A$8:$A$424)
+COUNT('PVC SCH40 LD'!$A$8:$A$21)
+COUNT('Pool &amp; SPA Sweep Elbows'!$A$8:$A$11)
+COUNT('Pool &amp; SPA Pipe Extender'!$A$8:$A$10)+1,"")</f>
        <v/>
      </c>
      <c r="B212" s="610"/>
      <c r="C212" s="611"/>
      <c r="D212" s="142" t="str">
        <f>_xlfn.XLOOKUP(E212,'All Products'!D:D,'All Products'!C:C,FALSE)</f>
        <v>848-007</v>
      </c>
      <c r="E212" s="103">
        <v>100023717</v>
      </c>
      <c r="F212" s="413" t="str">
        <f>_xlfn.XLOOKUP(E212,'All Products'!D:D,'All Products'!E:E,FALSE)</f>
        <v>3/4 CAP FIPT SCH80</v>
      </c>
      <c r="G212" s="233">
        <f>_xlfn.XLOOKUP(E212,'All Products'!D:D,'All Products'!F:F,FALSE)</f>
        <v>250</v>
      </c>
      <c r="H212" s="196">
        <f>_xlfn.XLOOKUP(E212,'All Products'!D:D,'All Products'!G:G,FALSE)</f>
        <v>30000</v>
      </c>
      <c r="I212" s="415">
        <f>_xlfn.XLOOKUP(E212,'All Products'!D:D,'All Products'!H:H,FALSE)</f>
        <v>20.54</v>
      </c>
      <c r="J212" s="130">
        <f>ROUND(I212*Order_Quote!$L$8,2)</f>
        <v>20.54</v>
      </c>
      <c r="K212" s="75"/>
      <c r="L212" s="113"/>
      <c r="M212" s="171">
        <f t="shared" si="5"/>
        <v>0</v>
      </c>
      <c r="O212" s="265" t="str">
        <f>_xlfn.XLOOKUP(E212,'All Products'!D:D,'All Products'!I:I,FALSE)</f>
        <v>Within 3 Weeks</v>
      </c>
      <c r="P212" s="265" t="str">
        <f>_xlfn.XLOOKUP(E212,'All Products'!D:D,'All Products'!J:J,FALSE)</f>
        <v>Manufactured</v>
      </c>
      <c r="Q212" s="266">
        <f>_xlfn.XLOOKUP(E212,'All Products'!D:D,'All Products'!K:K,FALSE)</f>
        <v>49081160326</v>
      </c>
      <c r="R212" s="266">
        <f>_xlfn.XLOOKUP(E212,'All Products'!D:D,'All Products'!L:L,FALSE)</f>
        <v>49081660321</v>
      </c>
      <c r="S212" s="266">
        <f>_xlfn.XLOOKUP(E212,'All Products'!D:D,'All Products'!M:M,FALSE)</f>
        <v>40049081160324</v>
      </c>
      <c r="T212" s="265">
        <f>_xlfn.XLOOKUP(E212,'All Products'!D:D,'All Products'!N:N,FALSE)</f>
        <v>6.6000000000000003E-2</v>
      </c>
      <c r="U212" s="266">
        <f>_xlfn.XLOOKUP(E212,'All Products'!D:D,'All Products'!O:O,FALSE)</f>
        <v>10</v>
      </c>
      <c r="V212" s="265">
        <f>_xlfn.XLOOKUP(E212,'All Products'!D:D,'All Products'!P:P,FALSE)</f>
        <v>17.59</v>
      </c>
      <c r="W212" s="265">
        <f>_xlfn.XLOOKUP(E212,'All Products'!D:D,'All Products'!Q:Q,FALSE)</f>
        <v>0.65</v>
      </c>
    </row>
    <row r="213" spans="1:23">
      <c r="A213" s="101" t="str">
        <f>IF(K213&gt;0,COUNT($A$7:A212)
+COUNT('DWV PVC'!$A$9:$A$316)
+COUNT('DWV ABS'!$A$8:$A$116)
+COUNT('PVC SCH40'!$A$8:$A$424)
+COUNT('PVC SCH40 LD'!$A$8:$A$21)
+COUNT('Pool &amp; SPA Sweep Elbows'!$A$8:$A$11)
+COUNT('Pool &amp; SPA Pipe Extender'!$A$8:$A$10)+1,"")</f>
        <v/>
      </c>
      <c r="B213" s="610"/>
      <c r="C213" s="611"/>
      <c r="D213" s="142" t="str">
        <f>_xlfn.XLOOKUP(E213,'All Products'!D:D,'All Products'!C:C,FALSE)</f>
        <v>848-010</v>
      </c>
      <c r="E213" s="103">
        <v>100028178</v>
      </c>
      <c r="F213" s="413" t="str">
        <f>_xlfn.XLOOKUP(E213,'All Products'!D:D,'All Products'!E:E,FALSE)</f>
        <v>1 CAP FIPT SCH80</v>
      </c>
      <c r="G213" s="233">
        <f>_xlfn.XLOOKUP(E213,'All Products'!D:D,'All Products'!F:F,FALSE)</f>
        <v>100</v>
      </c>
      <c r="H213" s="196">
        <f>_xlfn.XLOOKUP(E213,'All Products'!D:D,'All Products'!G:G,FALSE)</f>
        <v>15000</v>
      </c>
      <c r="I213" s="415">
        <f>_xlfn.XLOOKUP(E213,'All Products'!D:D,'All Products'!H:H,FALSE)</f>
        <v>25.86</v>
      </c>
      <c r="J213" s="130">
        <f>ROUND(I213*Order_Quote!$L$8,2)</f>
        <v>25.86</v>
      </c>
      <c r="K213" s="75"/>
      <c r="L213" s="113"/>
      <c r="M213" s="171">
        <f t="shared" si="5"/>
        <v>0</v>
      </c>
      <c r="O213" s="265" t="str">
        <f>_xlfn.XLOOKUP(E213,'All Products'!D:D,'All Products'!I:I,FALSE)</f>
        <v>Within 3 Weeks</v>
      </c>
      <c r="P213" s="265" t="str">
        <f>_xlfn.XLOOKUP(E213,'All Products'!D:D,'All Products'!J:J,FALSE)</f>
        <v>Manufactured</v>
      </c>
      <c r="Q213" s="266">
        <f>_xlfn.XLOOKUP(E213,'All Products'!D:D,'All Products'!K:K,FALSE)</f>
        <v>49081160340</v>
      </c>
      <c r="R213" s="266">
        <f>_xlfn.XLOOKUP(E213,'All Products'!D:D,'All Products'!L:L,FALSE)</f>
        <v>49081660345</v>
      </c>
      <c r="S213" s="266">
        <f>_xlfn.XLOOKUP(E213,'All Products'!D:D,'All Products'!M:M,FALSE)</f>
        <v>40049081160348</v>
      </c>
      <c r="T213" s="265">
        <f>_xlfn.XLOOKUP(E213,'All Products'!D:D,'All Products'!N:N,FALSE)</f>
        <v>0.15</v>
      </c>
      <c r="U213" s="266">
        <f>_xlfn.XLOOKUP(E213,'All Products'!D:D,'All Products'!O:O,FALSE)</f>
        <v>10</v>
      </c>
      <c r="V213" s="265">
        <f>_xlfn.XLOOKUP(E213,'All Products'!D:D,'All Products'!P:P,FALSE)</f>
        <v>13.19</v>
      </c>
      <c r="W213" s="265">
        <f>_xlfn.XLOOKUP(E213,'All Products'!D:D,'All Products'!Q:Q,FALSE)</f>
        <v>0.5</v>
      </c>
    </row>
    <row r="214" spans="1:23">
      <c r="A214" s="101" t="str">
        <f>IF(K214&gt;0,COUNT($A$7:A213)
+COUNT('DWV PVC'!$A$9:$A$316)
+COUNT('DWV ABS'!$A$8:$A$116)
+COUNT('PVC SCH40'!$A$8:$A$424)
+COUNT('PVC SCH40 LD'!$A$8:$A$21)
+COUNT('Pool &amp; SPA Sweep Elbows'!$A$8:$A$11)
+COUNT('Pool &amp; SPA Pipe Extender'!$A$8:$A$10)+1,"")</f>
        <v/>
      </c>
      <c r="B214" s="610"/>
      <c r="C214" s="611"/>
      <c r="D214" s="142" t="str">
        <f>_xlfn.XLOOKUP(E214,'All Products'!D:D,'All Products'!C:C,FALSE)</f>
        <v>848-012</v>
      </c>
      <c r="E214" s="103">
        <v>100028179</v>
      </c>
      <c r="F214" s="413" t="str">
        <f>_xlfn.XLOOKUP(E214,'All Products'!D:D,'All Products'!E:E,FALSE)</f>
        <v>1-1/4 CAP FIPT SCH80</v>
      </c>
      <c r="G214" s="233">
        <f>_xlfn.XLOOKUP(E214,'All Products'!D:D,'All Products'!F:F,FALSE)</f>
        <v>100</v>
      </c>
      <c r="H214" s="196">
        <f>_xlfn.XLOOKUP(E214,'All Products'!D:D,'All Products'!G:G,FALSE)</f>
        <v>12000</v>
      </c>
      <c r="I214" s="415">
        <f>_xlfn.XLOOKUP(E214,'All Products'!D:D,'All Products'!H:H,FALSE)</f>
        <v>30.85</v>
      </c>
      <c r="J214" s="130">
        <f>ROUND(I214*Order_Quote!$L$8,2)</f>
        <v>30.85</v>
      </c>
      <c r="K214" s="75"/>
      <c r="L214" s="113"/>
      <c r="M214" s="171">
        <f t="shared" si="5"/>
        <v>0</v>
      </c>
      <c r="O214" s="265" t="str">
        <f>_xlfn.XLOOKUP(E214,'All Products'!D:D,'All Products'!I:I,FALSE)</f>
        <v>Within 3 Weeks</v>
      </c>
      <c r="P214" s="265" t="str">
        <f>_xlfn.XLOOKUP(E214,'All Products'!D:D,'All Products'!J:J,FALSE)</f>
        <v>Manufactured</v>
      </c>
      <c r="Q214" s="266">
        <f>_xlfn.XLOOKUP(E214,'All Products'!D:D,'All Products'!K:K,FALSE)</f>
        <v>49081160364</v>
      </c>
      <c r="R214" s="266" t="str">
        <f>_xlfn.XLOOKUP(E214,'All Products'!D:D,'All Products'!L:L,FALSE)</f>
        <v>-</v>
      </c>
      <c r="S214" s="266">
        <f>_xlfn.XLOOKUP(E214,'All Products'!D:D,'All Products'!M:M,FALSE)</f>
        <v>40049081160362</v>
      </c>
      <c r="T214" s="265">
        <f>_xlfn.XLOOKUP(E214,'All Products'!D:D,'All Products'!N:N,FALSE)</f>
        <v>0.188</v>
      </c>
      <c r="U214" s="266">
        <f>_xlfn.XLOOKUP(E214,'All Products'!D:D,'All Products'!O:O,FALSE)</f>
        <v>10</v>
      </c>
      <c r="V214" s="265">
        <f>_xlfn.XLOOKUP(E214,'All Products'!D:D,'All Products'!P:P,FALSE)</f>
        <v>19.79</v>
      </c>
      <c r="W214" s="265">
        <f>_xlfn.XLOOKUP(E214,'All Products'!D:D,'All Products'!Q:Q,FALSE)</f>
        <v>0.65</v>
      </c>
    </row>
    <row r="215" spans="1:23">
      <c r="A215" s="101" t="str">
        <f>IF(K215&gt;0,COUNT($A$7:A214)
+COUNT('DWV PVC'!$A$9:$A$316)
+COUNT('DWV ABS'!$A$8:$A$116)
+COUNT('PVC SCH40'!$A$8:$A$424)
+COUNT('PVC SCH40 LD'!$A$8:$A$21)
+COUNT('Pool &amp; SPA Sweep Elbows'!$A$8:$A$11)
+COUNT('Pool &amp; SPA Pipe Extender'!$A$8:$A$10)+1,"")</f>
        <v/>
      </c>
      <c r="B215" s="610"/>
      <c r="C215" s="611"/>
      <c r="D215" s="142" t="str">
        <f>_xlfn.XLOOKUP(E215,'All Products'!D:D,'All Products'!C:C,FALSE)</f>
        <v>848-015</v>
      </c>
      <c r="E215" s="103">
        <v>100028180</v>
      </c>
      <c r="F215" s="413" t="str">
        <f>_xlfn.XLOOKUP(E215,'All Products'!D:D,'All Products'!E:E,FALSE)</f>
        <v>1-1/2 CAP FIPT SCH80</v>
      </c>
      <c r="G215" s="233">
        <f>_xlfn.XLOOKUP(E215,'All Products'!D:D,'All Products'!F:F,FALSE)</f>
        <v>50</v>
      </c>
      <c r="H215" s="196">
        <f>_xlfn.XLOOKUP(E215,'All Products'!D:D,'All Products'!G:G,FALSE)</f>
        <v>7500</v>
      </c>
      <c r="I215" s="415">
        <f>_xlfn.XLOOKUP(E215,'All Products'!D:D,'All Products'!H:H,FALSE)</f>
        <v>35.22</v>
      </c>
      <c r="J215" s="130">
        <f>ROUND(I215*Order_Quote!$L$8,2)</f>
        <v>35.22</v>
      </c>
      <c r="K215" s="75"/>
      <c r="L215" s="113"/>
      <c r="M215" s="171">
        <f t="shared" si="5"/>
        <v>0</v>
      </c>
      <c r="O215" s="265" t="str">
        <f>_xlfn.XLOOKUP(E215,'All Products'!D:D,'All Products'!I:I,FALSE)</f>
        <v>Within 3 Weeks</v>
      </c>
      <c r="P215" s="265" t="str">
        <f>_xlfn.XLOOKUP(E215,'All Products'!D:D,'All Products'!J:J,FALSE)</f>
        <v>Manufactured</v>
      </c>
      <c r="Q215" s="266">
        <f>_xlfn.XLOOKUP(E215,'All Products'!D:D,'All Products'!K:K,FALSE)</f>
        <v>49081160388</v>
      </c>
      <c r="R215" s="266">
        <f>_xlfn.XLOOKUP(E215,'All Products'!D:D,'All Products'!L:L,FALSE)</f>
        <v>49081660383</v>
      </c>
      <c r="S215" s="266">
        <f>_xlfn.XLOOKUP(E215,'All Products'!D:D,'All Products'!M:M,FALSE)</f>
        <v>40049081160386</v>
      </c>
      <c r="T215" s="265">
        <f>_xlfn.XLOOKUP(E215,'All Products'!D:D,'All Products'!N:N,FALSE)</f>
        <v>0.248</v>
      </c>
      <c r="U215" s="266">
        <f>_xlfn.XLOOKUP(E215,'All Products'!D:D,'All Products'!O:O,FALSE)</f>
        <v>5</v>
      </c>
      <c r="V215" s="265">
        <f>_xlfn.XLOOKUP(E215,'All Products'!D:D,'All Products'!P:P,FALSE)</f>
        <v>12.17</v>
      </c>
      <c r="W215" s="265">
        <f>_xlfn.XLOOKUP(E215,'All Products'!D:D,'All Products'!Q:Q,FALSE)</f>
        <v>0.5</v>
      </c>
    </row>
    <row r="216" spans="1:23">
      <c r="A216" s="101" t="str">
        <f>IF(K216&gt;0,COUNT($A$7:A215)
+COUNT('DWV PVC'!$A$9:$A$316)
+COUNT('DWV ABS'!$A$8:$A$116)
+COUNT('PVC SCH40'!$A$8:$A$424)
+COUNT('PVC SCH40 LD'!$A$8:$A$21)
+COUNT('Pool &amp; SPA Sweep Elbows'!$A$8:$A$11)
+COUNT('Pool &amp; SPA Pipe Extender'!$A$8:$A$10)+1,"")</f>
        <v/>
      </c>
      <c r="B216" s="610"/>
      <c r="C216" s="611"/>
      <c r="D216" s="142" t="str">
        <f>_xlfn.XLOOKUP(E216,'All Products'!D:D,'All Products'!C:C,FALSE)</f>
        <v>848-020</v>
      </c>
      <c r="E216" s="103">
        <v>100023718</v>
      </c>
      <c r="F216" s="413" t="str">
        <f>_xlfn.XLOOKUP(E216,'All Products'!D:D,'All Products'!E:E,FALSE)</f>
        <v>2 CAP FIPT SCH80</v>
      </c>
      <c r="G216" s="233">
        <f>_xlfn.XLOOKUP(E216,'All Products'!D:D,'All Products'!F:F,FALSE)</f>
        <v>50</v>
      </c>
      <c r="H216" s="196">
        <f>_xlfn.XLOOKUP(E216,'All Products'!D:D,'All Products'!G:G,FALSE)</f>
        <v>4500</v>
      </c>
      <c r="I216" s="415">
        <f>_xlfn.XLOOKUP(E216,'All Products'!D:D,'All Products'!H:H,FALSE)</f>
        <v>69.150000000000006</v>
      </c>
      <c r="J216" s="130">
        <f>ROUND(I216*Order_Quote!$L$8,2)</f>
        <v>69.150000000000006</v>
      </c>
      <c r="K216" s="75"/>
      <c r="L216" s="113"/>
      <c r="M216" s="171">
        <f t="shared" si="5"/>
        <v>0</v>
      </c>
      <c r="O216" s="265" t="str">
        <f>_xlfn.XLOOKUP(E216,'All Products'!D:D,'All Products'!I:I,FALSE)</f>
        <v>Within 3 Weeks</v>
      </c>
      <c r="P216" s="265" t="str">
        <f>_xlfn.XLOOKUP(E216,'All Products'!D:D,'All Products'!J:J,FALSE)</f>
        <v>Manufactured</v>
      </c>
      <c r="Q216" s="266">
        <f>_xlfn.XLOOKUP(E216,'All Products'!D:D,'All Products'!K:K,FALSE)</f>
        <v>49081160401</v>
      </c>
      <c r="R216" s="266">
        <f>_xlfn.XLOOKUP(E216,'All Products'!D:D,'All Products'!L:L,FALSE)</f>
        <v>49081660406</v>
      </c>
      <c r="S216" s="266">
        <f>_xlfn.XLOOKUP(E216,'All Products'!D:D,'All Products'!M:M,FALSE)</f>
        <v>40049081160409</v>
      </c>
      <c r="T216" s="265">
        <f>_xlfn.XLOOKUP(E216,'All Products'!D:D,'All Products'!N:N,FALSE)</f>
        <v>0.29099999999999998</v>
      </c>
      <c r="U216" s="266">
        <f>_xlfn.XLOOKUP(E216,'All Products'!D:D,'All Products'!O:O,FALSE)</f>
        <v>5</v>
      </c>
      <c r="V216" s="265">
        <f>_xlfn.XLOOKUP(E216,'All Products'!D:D,'All Products'!P:P,FALSE)</f>
        <v>14.55</v>
      </c>
      <c r="W216" s="265">
        <f>_xlfn.XLOOKUP(E216,'All Products'!D:D,'All Products'!Q:Q,FALSE)</f>
        <v>0.8</v>
      </c>
    </row>
    <row r="217" spans="1:23">
      <c r="A217" s="101" t="str">
        <f>IF(K217&gt;0,COUNT($A$7:A216)
+COUNT('DWV PVC'!$A$9:$A$316)
+COUNT('DWV ABS'!$A$8:$A$116)
+COUNT('PVC SCH40'!$A$8:$A$424)
+COUNT('PVC SCH40 LD'!$A$8:$A$21)
+COUNT('Pool &amp; SPA Sweep Elbows'!$A$8:$A$11)
+COUNT('Pool &amp; SPA Pipe Extender'!$A$8:$A$10)+1,"")</f>
        <v/>
      </c>
      <c r="B217" s="608"/>
      <c r="C217" s="609"/>
      <c r="D217" s="142" t="str">
        <f>_xlfn.XLOOKUP(E217,'All Products'!D:D,'All Products'!C:C,FALSE)</f>
        <v>850-002</v>
      </c>
      <c r="E217" s="103">
        <v>100023726</v>
      </c>
      <c r="F217" s="413" t="str">
        <f>_xlfn.XLOOKUP(E217,'All Products'!D:D,'All Products'!E:E,FALSE)</f>
        <v>1/4 PLUG MIPT SCH80</v>
      </c>
      <c r="G217" s="233">
        <f>_xlfn.XLOOKUP(E217,'All Products'!D:D,'All Products'!F:F,FALSE)</f>
        <v>500</v>
      </c>
      <c r="H217" s="196">
        <f>_xlfn.XLOOKUP(E217,'All Products'!D:D,'All Products'!G:G,FALSE)</f>
        <v>75000</v>
      </c>
      <c r="I217" s="415">
        <f>_xlfn.XLOOKUP(E217,'All Products'!D:D,'All Products'!H:H,FALSE)</f>
        <v>15.85</v>
      </c>
      <c r="J217" s="130">
        <f>ROUND(I217*Order_Quote!$L$8,2)</f>
        <v>15.85</v>
      </c>
      <c r="K217" s="75"/>
      <c r="L217" s="113"/>
      <c r="M217" s="171">
        <f t="shared" si="5"/>
        <v>0</v>
      </c>
      <c r="O217" s="265" t="str">
        <f>_xlfn.XLOOKUP(E217,'All Products'!D:D,'All Products'!I:I,FALSE)</f>
        <v>In Stock</v>
      </c>
      <c r="P217" s="265" t="str">
        <f>_xlfn.XLOOKUP(E217,'All Products'!D:D,'All Products'!J:J,FALSE)</f>
        <v>Manufactured</v>
      </c>
      <c r="Q217" s="266">
        <f>_xlfn.XLOOKUP(E217,'All Products'!D:D,'All Products'!K:K,FALSE)</f>
        <v>49081165765</v>
      </c>
      <c r="R217" s="266">
        <f>_xlfn.XLOOKUP(E217,'All Products'!D:D,'All Products'!L:L,FALSE)</f>
        <v>49081665760</v>
      </c>
      <c r="S217" s="266">
        <f>_xlfn.XLOOKUP(E217,'All Products'!D:D,'All Products'!M:M,FALSE)</f>
        <v>40049081165763</v>
      </c>
      <c r="T217" s="265">
        <f>_xlfn.XLOOKUP(E217,'All Products'!D:D,'All Products'!N:N,FALSE)</f>
        <v>1.7999999999999999E-2</v>
      </c>
      <c r="U217" s="266">
        <f>_xlfn.XLOOKUP(E217,'All Products'!D:D,'All Products'!O:O,FALSE)</f>
        <v>10</v>
      </c>
      <c r="V217" s="265">
        <f>_xlfn.XLOOKUP(E217,'All Products'!D:D,'All Products'!P:P,FALSE)</f>
        <v>9.02</v>
      </c>
      <c r="W217" s="265">
        <f>_xlfn.XLOOKUP(E217,'All Products'!D:D,'All Products'!Q:Q,FALSE)</f>
        <v>0.5</v>
      </c>
    </row>
    <row r="218" spans="1:23">
      <c r="A218" s="101" t="str">
        <f>IF(K218&gt;0,COUNT($A$7:A217)
+COUNT('DWV PVC'!$A$9:$A$316)
+COUNT('DWV ABS'!$A$8:$A$116)
+COUNT('PVC SCH40'!$A$8:$A$424)
+COUNT('PVC SCH40 LD'!$A$8:$A$21)
+COUNT('Pool &amp; SPA Sweep Elbows'!$A$8:$A$11)
+COUNT('Pool &amp; SPA Pipe Extender'!$A$8:$A$10)+1,"")</f>
        <v/>
      </c>
      <c r="B218" s="610"/>
      <c r="C218" s="611"/>
      <c r="D218" s="142" t="str">
        <f>_xlfn.XLOOKUP(E218,'All Products'!D:D,'All Products'!C:C,FALSE)</f>
        <v>850-003</v>
      </c>
      <c r="E218" s="103">
        <v>100023727</v>
      </c>
      <c r="F218" s="413" t="str">
        <f>_xlfn.XLOOKUP(E218,'All Products'!D:D,'All Products'!E:E,FALSE)</f>
        <v>3/8 PLUG MIPT SCH80</v>
      </c>
      <c r="G218" s="233">
        <f>_xlfn.XLOOKUP(E218,'All Products'!D:D,'All Products'!F:F,FALSE)</f>
        <v>500</v>
      </c>
      <c r="H218" s="196">
        <f>_xlfn.XLOOKUP(E218,'All Products'!D:D,'All Products'!G:G,FALSE)</f>
        <v>75000</v>
      </c>
      <c r="I218" s="415">
        <f>_xlfn.XLOOKUP(E218,'All Products'!D:D,'All Products'!H:H,FALSE)</f>
        <v>15.85</v>
      </c>
      <c r="J218" s="130">
        <f>ROUND(I218*Order_Quote!$L$8,2)</f>
        <v>15.85</v>
      </c>
      <c r="K218" s="75"/>
      <c r="L218" s="113"/>
      <c r="M218" s="171">
        <f t="shared" si="5"/>
        <v>0</v>
      </c>
      <c r="O218" s="265" t="str">
        <f>_xlfn.XLOOKUP(E218,'All Products'!D:D,'All Products'!I:I,FALSE)</f>
        <v>Within 3 Weeks</v>
      </c>
      <c r="P218" s="265" t="str">
        <f>_xlfn.XLOOKUP(E218,'All Products'!D:D,'All Products'!J:J,FALSE)</f>
        <v>Manufactured</v>
      </c>
      <c r="Q218" s="266">
        <f>_xlfn.XLOOKUP(E218,'All Products'!D:D,'All Products'!K:K,FALSE)</f>
        <v>49081165789</v>
      </c>
      <c r="R218" s="266" t="str">
        <f>_xlfn.XLOOKUP(E218,'All Products'!D:D,'All Products'!L:L,FALSE)</f>
        <v>-</v>
      </c>
      <c r="S218" s="266">
        <f>_xlfn.XLOOKUP(E218,'All Products'!D:D,'All Products'!M:M,FALSE)</f>
        <v>40049081165787</v>
      </c>
      <c r="T218" s="265">
        <f>_xlfn.XLOOKUP(E218,'All Products'!D:D,'All Products'!N:N,FALSE)</f>
        <v>2.4E-2</v>
      </c>
      <c r="U218" s="266">
        <f>_xlfn.XLOOKUP(E218,'All Products'!D:D,'All Products'!O:O,FALSE)</f>
        <v>10</v>
      </c>
      <c r="V218" s="265">
        <f>_xlfn.XLOOKUP(E218,'All Products'!D:D,'All Products'!P:P,FALSE)</f>
        <v>12.9</v>
      </c>
      <c r="W218" s="265">
        <f>_xlfn.XLOOKUP(E218,'All Products'!D:D,'All Products'!Q:Q,FALSE)</f>
        <v>0.5</v>
      </c>
    </row>
    <row r="219" spans="1:23">
      <c r="A219" s="101" t="str">
        <f>IF(K219&gt;0,COUNT($A$7:A218)
+COUNT('DWV PVC'!$A$9:$A$316)
+COUNT('DWV ABS'!$A$8:$A$116)
+COUNT('PVC SCH40'!$A$8:$A$424)
+COUNT('PVC SCH40 LD'!$A$8:$A$21)
+COUNT('Pool &amp; SPA Sweep Elbows'!$A$8:$A$11)
+COUNT('Pool &amp; SPA Pipe Extender'!$A$8:$A$10)+1,"")</f>
        <v/>
      </c>
      <c r="B219" s="610"/>
      <c r="C219" s="611"/>
      <c r="D219" s="142" t="str">
        <f>_xlfn.XLOOKUP(E219,'All Products'!D:D,'All Products'!C:C,FALSE)</f>
        <v>850-005</v>
      </c>
      <c r="E219" s="103">
        <v>100023728</v>
      </c>
      <c r="F219" s="413" t="str">
        <f>_xlfn.XLOOKUP(E219,'All Products'!D:D,'All Products'!E:E,FALSE)</f>
        <v>1/2 PLUG MIPT SCH80</v>
      </c>
      <c r="G219" s="233">
        <f>_xlfn.XLOOKUP(E219,'All Products'!D:D,'All Products'!F:F,FALSE)</f>
        <v>500</v>
      </c>
      <c r="H219" s="196">
        <f>_xlfn.XLOOKUP(E219,'All Products'!D:D,'All Products'!G:G,FALSE)</f>
        <v>75000</v>
      </c>
      <c r="I219" s="415">
        <f>_xlfn.XLOOKUP(E219,'All Products'!D:D,'All Products'!H:H,FALSE)</f>
        <v>14.12</v>
      </c>
      <c r="J219" s="130">
        <f>ROUND(I219*Order_Quote!$L$8,2)</f>
        <v>14.12</v>
      </c>
      <c r="K219" s="75"/>
      <c r="L219" s="113"/>
      <c r="M219" s="171">
        <f t="shared" si="5"/>
        <v>0</v>
      </c>
      <c r="O219" s="265" t="str">
        <f>_xlfn.XLOOKUP(E219,'All Products'!D:D,'All Products'!I:I,FALSE)</f>
        <v>In Stock</v>
      </c>
      <c r="P219" s="265" t="str">
        <f>_xlfn.XLOOKUP(E219,'All Products'!D:D,'All Products'!J:J,FALSE)</f>
        <v>Manufactured</v>
      </c>
      <c r="Q219" s="266">
        <f>_xlfn.XLOOKUP(E219,'All Products'!D:D,'All Products'!K:K,FALSE)</f>
        <v>49081165802</v>
      </c>
      <c r="R219" s="266">
        <f>_xlfn.XLOOKUP(E219,'All Products'!D:D,'All Products'!L:L,FALSE)</f>
        <v>49081665807</v>
      </c>
      <c r="S219" s="266">
        <f>_xlfn.XLOOKUP(E219,'All Products'!D:D,'All Products'!M:M,FALSE)</f>
        <v>40049081165800</v>
      </c>
      <c r="T219" s="265">
        <f>_xlfn.XLOOKUP(E219,'All Products'!D:D,'All Products'!N:N,FALSE)</f>
        <v>2.4E-2</v>
      </c>
      <c r="U219" s="266">
        <f>_xlfn.XLOOKUP(E219,'All Products'!D:D,'All Products'!O:O,FALSE)</f>
        <v>10</v>
      </c>
      <c r="V219" s="265">
        <f>_xlfn.XLOOKUP(E219,'All Products'!D:D,'All Products'!P:P,FALSE)</f>
        <v>12.59</v>
      </c>
      <c r="W219" s="265">
        <f>_xlfn.XLOOKUP(E219,'All Products'!D:D,'All Products'!Q:Q,FALSE)</f>
        <v>0.5</v>
      </c>
    </row>
    <row r="220" spans="1:23">
      <c r="A220" s="101" t="str">
        <f>IF(K220&gt;0,COUNT($A$7:A219)
+COUNT('DWV PVC'!$A$9:$A$316)
+COUNT('DWV ABS'!$A$8:$A$116)
+COUNT('PVC SCH40'!$A$8:$A$424)
+COUNT('PVC SCH40 LD'!$A$8:$A$21)
+COUNT('Pool &amp; SPA Sweep Elbows'!$A$8:$A$11)
+COUNT('Pool &amp; SPA Pipe Extender'!$A$8:$A$10)+1,"")</f>
        <v/>
      </c>
      <c r="B220" s="610"/>
      <c r="C220" s="611"/>
      <c r="D220" s="142" t="str">
        <f>_xlfn.XLOOKUP(E220,'All Products'!D:D,'All Products'!C:C,FALSE)</f>
        <v>850-007</v>
      </c>
      <c r="E220" s="103">
        <v>100023729</v>
      </c>
      <c r="F220" s="413" t="str">
        <f>_xlfn.XLOOKUP(E220,'All Products'!D:D,'All Products'!E:E,FALSE)</f>
        <v>3/4 PLUG MIPT SCH80</v>
      </c>
      <c r="G220" s="233">
        <f>_xlfn.XLOOKUP(E220,'All Products'!D:D,'All Products'!F:F,FALSE)</f>
        <v>500</v>
      </c>
      <c r="H220" s="196">
        <f>_xlfn.XLOOKUP(E220,'All Products'!D:D,'All Products'!G:G,FALSE)</f>
        <v>45000</v>
      </c>
      <c r="I220" s="415">
        <f>_xlfn.XLOOKUP(E220,'All Products'!D:D,'All Products'!H:H,FALSE)</f>
        <v>14.65</v>
      </c>
      <c r="J220" s="130">
        <f>ROUND(I220*Order_Quote!$L$8,2)</f>
        <v>14.65</v>
      </c>
      <c r="K220" s="75"/>
      <c r="L220" s="113"/>
      <c r="M220" s="171">
        <f t="shared" si="5"/>
        <v>0</v>
      </c>
      <c r="O220" s="265" t="str">
        <f>_xlfn.XLOOKUP(E220,'All Products'!D:D,'All Products'!I:I,FALSE)</f>
        <v>In Stock</v>
      </c>
      <c r="P220" s="265" t="str">
        <f>_xlfn.XLOOKUP(E220,'All Products'!D:D,'All Products'!J:J,FALSE)</f>
        <v>Manufactured</v>
      </c>
      <c r="Q220" s="266">
        <f>_xlfn.XLOOKUP(E220,'All Products'!D:D,'All Products'!K:K,FALSE)</f>
        <v>49081165826</v>
      </c>
      <c r="R220" s="266">
        <f>_xlfn.XLOOKUP(E220,'All Products'!D:D,'All Products'!L:L,FALSE)</f>
        <v>49081665821</v>
      </c>
      <c r="S220" s="266">
        <f>_xlfn.XLOOKUP(E220,'All Products'!D:D,'All Products'!M:M,FALSE)</f>
        <v>40049081165824</v>
      </c>
      <c r="T220" s="265">
        <f>_xlfn.XLOOKUP(E220,'All Products'!D:D,'All Products'!N:N,FALSE)</f>
        <v>0.03</v>
      </c>
      <c r="U220" s="266">
        <f>_xlfn.XLOOKUP(E220,'All Products'!D:D,'All Products'!O:O,FALSE)</f>
        <v>10</v>
      </c>
      <c r="V220" s="265">
        <f>_xlfn.XLOOKUP(E220,'All Products'!D:D,'All Products'!P:P,FALSE)</f>
        <v>25.38</v>
      </c>
      <c r="W220" s="265">
        <f>_xlfn.XLOOKUP(E220,'All Products'!D:D,'All Products'!Q:Q,FALSE)</f>
        <v>0.8</v>
      </c>
    </row>
    <row r="221" spans="1:23">
      <c r="A221" s="101" t="str">
        <f>IF(K221&gt;0,COUNT($A$7:A220)
+COUNT('DWV PVC'!$A$9:$A$316)
+COUNT('DWV ABS'!$A$8:$A$116)
+COUNT('PVC SCH40'!$A$8:$A$424)
+COUNT('PVC SCH40 LD'!$A$8:$A$21)
+COUNT('Pool &amp; SPA Sweep Elbows'!$A$8:$A$11)
+COUNT('Pool &amp; SPA Pipe Extender'!$A$8:$A$10)+1,"")</f>
        <v/>
      </c>
      <c r="B221" s="610"/>
      <c r="C221" s="611"/>
      <c r="D221" s="142" t="str">
        <f>_xlfn.XLOOKUP(E221,'All Products'!D:D,'All Products'!C:C,FALSE)</f>
        <v>850-010</v>
      </c>
      <c r="E221" s="103">
        <v>100023730</v>
      </c>
      <c r="F221" s="413" t="str">
        <f>_xlfn.XLOOKUP(E221,'All Products'!D:D,'All Products'!E:E,FALSE)</f>
        <v>1 PLUG MIPT SCH80</v>
      </c>
      <c r="G221" s="233">
        <f>_xlfn.XLOOKUP(E221,'All Products'!D:D,'All Products'!F:F,FALSE)</f>
        <v>250</v>
      </c>
      <c r="H221" s="196">
        <f>_xlfn.XLOOKUP(E221,'All Products'!D:D,'All Products'!G:G,FALSE)</f>
        <v>22500</v>
      </c>
      <c r="I221" s="415">
        <f>_xlfn.XLOOKUP(E221,'All Products'!D:D,'All Products'!H:H,FALSE)</f>
        <v>17.98</v>
      </c>
      <c r="J221" s="130">
        <f>ROUND(I221*Order_Quote!$L$8,2)</f>
        <v>17.98</v>
      </c>
      <c r="K221" s="75"/>
      <c r="L221" s="113"/>
      <c r="M221" s="171">
        <f t="shared" si="5"/>
        <v>0</v>
      </c>
      <c r="O221" s="265" t="str">
        <f>_xlfn.XLOOKUP(E221,'All Products'!D:D,'All Products'!I:I,FALSE)</f>
        <v>Within 3 Weeks</v>
      </c>
      <c r="P221" s="265" t="str">
        <f>_xlfn.XLOOKUP(E221,'All Products'!D:D,'All Products'!J:J,FALSE)</f>
        <v>Manufactured</v>
      </c>
      <c r="Q221" s="266">
        <f>_xlfn.XLOOKUP(E221,'All Products'!D:D,'All Products'!K:K,FALSE)</f>
        <v>49081165840</v>
      </c>
      <c r="R221" s="266">
        <f>_xlfn.XLOOKUP(E221,'All Products'!D:D,'All Products'!L:L,FALSE)</f>
        <v>49081665845</v>
      </c>
      <c r="S221" s="266">
        <f>_xlfn.XLOOKUP(E221,'All Products'!D:D,'All Products'!M:M,FALSE)</f>
        <v>40049081165848</v>
      </c>
      <c r="T221" s="265">
        <f>_xlfn.XLOOKUP(E221,'All Products'!D:D,'All Products'!N:N,FALSE)</f>
        <v>3.6999999999999998E-2</v>
      </c>
      <c r="U221" s="266">
        <f>_xlfn.XLOOKUP(E221,'All Products'!D:D,'All Products'!O:O,FALSE)</f>
        <v>10</v>
      </c>
      <c r="V221" s="265">
        <f>_xlfn.XLOOKUP(E221,'All Products'!D:D,'All Products'!P:P,FALSE)</f>
        <v>13.9</v>
      </c>
      <c r="W221" s="265">
        <f>_xlfn.XLOOKUP(E221,'All Products'!D:D,'All Products'!Q:Q,FALSE)</f>
        <v>0.8</v>
      </c>
    </row>
    <row r="222" spans="1:23">
      <c r="A222" s="101" t="str">
        <f>IF(K222&gt;0,COUNT($A$7:A221)
+COUNT('DWV PVC'!$A$9:$A$316)
+COUNT('DWV ABS'!$A$8:$A$116)
+COUNT('PVC SCH40'!$A$8:$A$424)
+COUNT('PVC SCH40 LD'!$A$8:$A$21)
+COUNT('Pool &amp; SPA Sweep Elbows'!$A$8:$A$11)
+COUNT('Pool &amp; SPA Pipe Extender'!$A$8:$A$10)+1,"")</f>
        <v/>
      </c>
      <c r="B222" s="610"/>
      <c r="C222" s="611"/>
      <c r="D222" s="142" t="str">
        <f>_xlfn.XLOOKUP(E222,'All Products'!D:D,'All Products'!C:C,FALSE)</f>
        <v>850-012</v>
      </c>
      <c r="E222" s="103">
        <v>100023731</v>
      </c>
      <c r="F222" s="413" t="str">
        <f>_xlfn.XLOOKUP(E222,'All Products'!D:D,'All Products'!E:E,FALSE)</f>
        <v>1-1/4 PLUG MIPT SCH80</v>
      </c>
      <c r="G222" s="233">
        <f>_xlfn.XLOOKUP(E222,'All Products'!D:D,'All Products'!F:F,FALSE)</f>
        <v>100</v>
      </c>
      <c r="H222" s="196">
        <f>_xlfn.XLOOKUP(E222,'All Products'!D:D,'All Products'!G:G,FALSE)</f>
        <v>15000</v>
      </c>
      <c r="I222" s="415">
        <f>_xlfn.XLOOKUP(E222,'All Products'!D:D,'All Products'!H:H,FALSE)</f>
        <v>26.51</v>
      </c>
      <c r="J222" s="130">
        <f>ROUND(I222*Order_Quote!$L$8,2)</f>
        <v>26.51</v>
      </c>
      <c r="K222" s="75"/>
      <c r="L222" s="113"/>
      <c r="M222" s="171">
        <f t="shared" si="5"/>
        <v>0</v>
      </c>
      <c r="O222" s="265" t="str">
        <f>_xlfn.XLOOKUP(E222,'All Products'!D:D,'All Products'!I:I,FALSE)</f>
        <v>Within 3 Weeks</v>
      </c>
      <c r="P222" s="265" t="str">
        <f>_xlfn.XLOOKUP(E222,'All Products'!D:D,'All Products'!J:J,FALSE)</f>
        <v>Manufactured</v>
      </c>
      <c r="Q222" s="266">
        <f>_xlfn.XLOOKUP(E222,'All Products'!D:D,'All Products'!K:K,FALSE)</f>
        <v>49081165864</v>
      </c>
      <c r="R222" s="266">
        <f>_xlfn.XLOOKUP(E222,'All Products'!D:D,'All Products'!L:L,FALSE)</f>
        <v>49081665869</v>
      </c>
      <c r="S222" s="266">
        <f>_xlfn.XLOOKUP(E222,'All Products'!D:D,'All Products'!M:M,FALSE)</f>
        <v>40049081165862</v>
      </c>
      <c r="T222" s="265">
        <f>_xlfn.XLOOKUP(E222,'All Products'!D:D,'All Products'!N:N,FALSE)</f>
        <v>7.4999999999999997E-2</v>
      </c>
      <c r="U222" s="266">
        <f>_xlfn.XLOOKUP(E222,'All Products'!D:D,'All Products'!O:O,FALSE)</f>
        <v>10</v>
      </c>
      <c r="V222" s="265">
        <f>_xlfn.XLOOKUP(E222,'All Products'!D:D,'All Products'!P:P,FALSE)</f>
        <v>8.39</v>
      </c>
      <c r="W222" s="265">
        <f>_xlfn.XLOOKUP(E222,'All Products'!D:D,'All Products'!Q:Q,FALSE)</f>
        <v>0.5</v>
      </c>
    </row>
    <row r="223" spans="1:23">
      <c r="A223" s="101" t="str">
        <f>IF(K223&gt;0,COUNT($A$7:A222)
+COUNT('DWV PVC'!$A$9:$A$316)
+COUNT('DWV ABS'!$A$8:$A$116)
+COUNT('PVC SCH40'!$A$8:$A$424)
+COUNT('PVC SCH40 LD'!$A$8:$A$21)
+COUNT('Pool &amp; SPA Sweep Elbows'!$A$8:$A$11)
+COUNT('Pool &amp; SPA Pipe Extender'!$A$8:$A$10)+1,"")</f>
        <v/>
      </c>
      <c r="B223" s="610"/>
      <c r="C223" s="611"/>
      <c r="D223" s="142" t="str">
        <f>_xlfn.XLOOKUP(E223,'All Products'!D:D,'All Products'!C:C,FALSE)</f>
        <v>850-015</v>
      </c>
      <c r="E223" s="103">
        <v>100023732</v>
      </c>
      <c r="F223" s="413" t="str">
        <f>_xlfn.XLOOKUP(E223,'All Products'!D:D,'All Products'!E:E,FALSE)</f>
        <v>1-1/2 PLUG MIPT SCH80</v>
      </c>
      <c r="G223" s="233">
        <f>_xlfn.XLOOKUP(E223,'All Products'!D:D,'All Products'!F:F,FALSE)</f>
        <v>100</v>
      </c>
      <c r="H223" s="196">
        <f>_xlfn.XLOOKUP(E223,'All Products'!D:D,'All Products'!G:G,FALSE)</f>
        <v>15000</v>
      </c>
      <c r="I223" s="415">
        <f>_xlfn.XLOOKUP(E223,'All Products'!D:D,'All Products'!H:H,FALSE)</f>
        <v>32.200000000000003</v>
      </c>
      <c r="J223" s="130">
        <f>ROUND(I223*Order_Quote!$L$8,2)</f>
        <v>32.200000000000003</v>
      </c>
      <c r="K223" s="75"/>
      <c r="L223" s="113"/>
      <c r="M223" s="171">
        <f t="shared" si="5"/>
        <v>0</v>
      </c>
      <c r="O223" s="265" t="str">
        <f>_xlfn.XLOOKUP(E223,'All Products'!D:D,'All Products'!I:I,FALSE)</f>
        <v>In Stock</v>
      </c>
      <c r="P223" s="265" t="str">
        <f>_xlfn.XLOOKUP(E223,'All Products'!D:D,'All Products'!J:J,FALSE)</f>
        <v>Manufactured</v>
      </c>
      <c r="Q223" s="266">
        <f>_xlfn.XLOOKUP(E223,'All Products'!D:D,'All Products'!K:K,FALSE)</f>
        <v>49081165888</v>
      </c>
      <c r="R223" s="266" t="str">
        <f>_xlfn.XLOOKUP(E223,'All Products'!D:D,'All Products'!L:L,FALSE)</f>
        <v>-</v>
      </c>
      <c r="S223" s="266">
        <f>_xlfn.XLOOKUP(E223,'All Products'!D:D,'All Products'!M:M,FALSE)</f>
        <v>40049081165886</v>
      </c>
      <c r="T223" s="265">
        <f>_xlfn.XLOOKUP(E223,'All Products'!D:D,'All Products'!N:N,FALSE)</f>
        <v>0.1</v>
      </c>
      <c r="U223" s="266">
        <f>_xlfn.XLOOKUP(E223,'All Products'!D:D,'All Products'!O:O,FALSE)</f>
        <v>10</v>
      </c>
      <c r="V223" s="265">
        <f>_xlfn.XLOOKUP(E223,'All Products'!D:D,'All Products'!P:P,FALSE)</f>
        <v>10.199999999999999</v>
      </c>
      <c r="W223" s="265">
        <f>_xlfn.XLOOKUP(E223,'All Products'!D:D,'All Products'!Q:Q,FALSE)</f>
        <v>0.5</v>
      </c>
    </row>
    <row r="224" spans="1:23">
      <c r="A224" s="101" t="str">
        <f>IF(K224&gt;0,COUNT($A$7:A223)
+COUNT('DWV PVC'!$A$9:$A$316)
+COUNT('DWV ABS'!$A$8:$A$116)
+COUNT('PVC SCH40'!$A$8:$A$424)
+COUNT('PVC SCH40 LD'!$A$8:$A$21)
+COUNT('Pool &amp; SPA Sweep Elbows'!$A$8:$A$11)
+COUNT('Pool &amp; SPA Pipe Extender'!$A$8:$A$10)+1,"")</f>
        <v/>
      </c>
      <c r="B224" s="610"/>
      <c r="C224" s="611"/>
      <c r="D224" s="142" t="str">
        <f>_xlfn.XLOOKUP(E224,'All Products'!D:D,'All Products'!C:C,FALSE)</f>
        <v>850-020</v>
      </c>
      <c r="E224" s="103">
        <v>100023733</v>
      </c>
      <c r="F224" s="413" t="str">
        <f>_xlfn.XLOOKUP(E224,'All Products'!D:D,'All Products'!E:E,FALSE)</f>
        <v>2 PLUG MIPT SCH80</v>
      </c>
      <c r="G224" s="233">
        <f>_xlfn.XLOOKUP(E224,'All Products'!D:D,'All Products'!F:F,FALSE)</f>
        <v>50</v>
      </c>
      <c r="H224" s="196">
        <f>_xlfn.XLOOKUP(E224,'All Products'!D:D,'All Products'!G:G,FALSE)</f>
        <v>7500</v>
      </c>
      <c r="I224" s="415">
        <f>_xlfn.XLOOKUP(E224,'All Products'!D:D,'All Products'!H:H,FALSE)</f>
        <v>33.08</v>
      </c>
      <c r="J224" s="130">
        <f>ROUND(I224*Order_Quote!$L$8,2)</f>
        <v>33.08</v>
      </c>
      <c r="K224" s="75"/>
      <c r="L224" s="113"/>
      <c r="M224" s="171">
        <f t="shared" si="5"/>
        <v>0</v>
      </c>
      <c r="O224" s="265" t="str">
        <f>_xlfn.XLOOKUP(E224,'All Products'!D:D,'All Products'!I:I,FALSE)</f>
        <v>Within 3 Weeks</v>
      </c>
      <c r="P224" s="265" t="str">
        <f>_xlfn.XLOOKUP(E224,'All Products'!D:D,'All Products'!J:J,FALSE)</f>
        <v>Manufactured</v>
      </c>
      <c r="Q224" s="266">
        <f>_xlfn.XLOOKUP(E224,'All Products'!D:D,'All Products'!K:K,FALSE)</f>
        <v>49081165901</v>
      </c>
      <c r="R224" s="266">
        <f>_xlfn.XLOOKUP(E224,'All Products'!D:D,'All Products'!L:L,FALSE)</f>
        <v>49081665906</v>
      </c>
      <c r="S224" s="266">
        <f>_xlfn.XLOOKUP(E224,'All Products'!D:D,'All Products'!M:M,FALSE)</f>
        <v>40049081165909</v>
      </c>
      <c r="T224" s="265">
        <f>_xlfn.XLOOKUP(E224,'All Products'!D:D,'All Products'!N:N,FALSE)</f>
        <v>0.152</v>
      </c>
      <c r="U224" s="266">
        <f>_xlfn.XLOOKUP(E224,'All Products'!D:D,'All Products'!O:O,FALSE)</f>
        <v>5</v>
      </c>
      <c r="V224" s="265">
        <f>_xlfn.XLOOKUP(E224,'All Products'!D:D,'All Products'!P:P,FALSE)</f>
        <v>8.4600000000000009</v>
      </c>
      <c r="W224" s="265">
        <f>_xlfn.XLOOKUP(E224,'All Products'!D:D,'All Products'!Q:Q,FALSE)</f>
        <v>0.5</v>
      </c>
    </row>
    <row r="225" spans="1:23">
      <c r="A225" s="101" t="str">
        <f>IF(K225&gt;0,COUNT($A$7:A224)
+COUNT('DWV PVC'!$A$9:$A$316)
+COUNT('DWV ABS'!$A$8:$A$116)
+COUNT('PVC SCH40'!$A$8:$A$424)
+COUNT('PVC SCH40 LD'!$A$8:$A$21)
+COUNT('Pool &amp; SPA Sweep Elbows'!$A$8:$A$11)
+COUNT('Pool &amp; SPA Pipe Extender'!$A$8:$A$10)+1,"")</f>
        <v/>
      </c>
      <c r="B225" s="612"/>
      <c r="C225" s="613"/>
      <c r="D225" s="142" t="str">
        <f>_xlfn.XLOOKUP(E225,'All Products'!D:D,'All Products'!C:C,FALSE)</f>
        <v>850-030</v>
      </c>
      <c r="E225" s="103">
        <v>100023735</v>
      </c>
      <c r="F225" s="413" t="str">
        <f>_xlfn.XLOOKUP(E225,'All Products'!D:D,'All Products'!E:E,FALSE)</f>
        <v>3 PLUG MIPT SCH80</v>
      </c>
      <c r="G225" s="233">
        <f>_xlfn.XLOOKUP(E225,'All Products'!D:D,'All Products'!F:F,FALSE)</f>
        <v>25</v>
      </c>
      <c r="H225" s="196">
        <f>_xlfn.XLOOKUP(E225,'All Products'!D:D,'All Products'!G:G,FALSE)</f>
        <v>3000</v>
      </c>
      <c r="I225" s="415">
        <f>_xlfn.XLOOKUP(E225,'All Products'!D:D,'All Products'!H:H,FALSE)</f>
        <v>107.73</v>
      </c>
      <c r="J225" s="130">
        <f>ROUND(I225*Order_Quote!$L$8,2)</f>
        <v>107.73</v>
      </c>
      <c r="K225" s="75"/>
      <c r="L225" s="113"/>
      <c r="M225" s="171">
        <f t="shared" si="5"/>
        <v>0</v>
      </c>
      <c r="O225" s="265" t="str">
        <f>_xlfn.XLOOKUP(E225,'All Products'!D:D,'All Products'!I:I,FALSE)</f>
        <v>Within 3 Weeks</v>
      </c>
      <c r="P225" s="265" t="str">
        <f>_xlfn.XLOOKUP(E225,'All Products'!D:D,'All Products'!J:J,FALSE)</f>
        <v>Manufactured</v>
      </c>
      <c r="Q225" s="266">
        <f>_xlfn.XLOOKUP(E225,'All Products'!D:D,'All Products'!K:K,FALSE)</f>
        <v>49081165949</v>
      </c>
      <c r="R225" s="266">
        <f>_xlfn.XLOOKUP(E225,'All Products'!D:D,'All Products'!L:L,FALSE)</f>
        <v>49081665944</v>
      </c>
      <c r="S225" s="266">
        <f>_xlfn.XLOOKUP(E225,'All Products'!D:D,'All Products'!M:M,FALSE)</f>
        <v>40049081165947</v>
      </c>
      <c r="T225" s="265">
        <f>_xlfn.XLOOKUP(E225,'All Products'!D:D,'All Products'!N:N,FALSE)</f>
        <v>0.46</v>
      </c>
      <c r="U225" s="266">
        <f>_xlfn.XLOOKUP(E225,'All Products'!D:D,'All Products'!O:O,FALSE)</f>
        <v>5</v>
      </c>
      <c r="V225" s="265">
        <f>_xlfn.XLOOKUP(E225,'All Products'!D:D,'All Products'!P:P,FALSE)</f>
        <v>11.5</v>
      </c>
      <c r="W225" s="265">
        <f>_xlfn.XLOOKUP(E225,'All Products'!D:D,'All Products'!Q:Q,FALSE)</f>
        <v>0.65</v>
      </c>
    </row>
    <row r="226" spans="1:23" ht="60" customHeight="1">
      <c r="A226" s="101" t="str">
        <f>IF(K226&gt;0,COUNT($A$7:A225)
+COUNT('DWV PVC'!$A$9:$A$316)
+COUNT('DWV ABS'!$A$8:$A$116)
+COUNT('PVC SCH40'!$A$8:$A$424)
+COUNT('PVC SCH40 LD'!$A$8:$A$21)
+COUNT('Pool &amp; SPA Sweep Elbows'!$A$8:$A$11)
+COUNT('Pool &amp; SPA Pipe Extender'!$A$8:$A$10)+1,"")</f>
        <v/>
      </c>
      <c r="B226" s="612"/>
      <c r="C226" s="613"/>
      <c r="D226" s="142" t="str">
        <f>_xlfn.XLOOKUP(E226,'All Products'!D:D,'All Products'!C:C,FALSE)</f>
        <v>877-060</v>
      </c>
      <c r="E226" s="103">
        <v>100023739</v>
      </c>
      <c r="F226" s="413" t="str">
        <f>_xlfn.XLOOKUP(E226,'All Products'!D:D,'All Products'!E:E,FALSE)</f>
        <v>6 WYE SXSXS SCH80</v>
      </c>
      <c r="G226" s="233">
        <f>_xlfn.XLOOKUP(E226,'All Products'!D:D,'All Products'!F:F,FALSE)</f>
        <v>1</v>
      </c>
      <c r="H226" s="196">
        <f>_xlfn.XLOOKUP(E226,'All Products'!D:D,'All Products'!G:G,FALSE)</f>
        <v>60</v>
      </c>
      <c r="I226" s="415">
        <f>_xlfn.XLOOKUP(E226,'All Products'!D:D,'All Products'!H:H,FALSE)</f>
        <v>1379.96</v>
      </c>
      <c r="J226" s="130">
        <f>ROUND(I226*Order_Quote!$L$8,2)</f>
        <v>1379.96</v>
      </c>
      <c r="K226" s="75"/>
      <c r="L226" s="113"/>
      <c r="M226" s="171">
        <f t="shared" ref="M226:M249" si="6">K226/G226</f>
        <v>0</v>
      </c>
      <c r="O226" s="265" t="str">
        <f>_xlfn.XLOOKUP(E226,'All Products'!D:D,'All Products'!I:I,FALSE)</f>
        <v>In Stock</v>
      </c>
      <c r="P226" s="265" t="str">
        <f>_xlfn.XLOOKUP(E226,'All Products'!D:D,'All Products'!J:J,FALSE)</f>
        <v>Manufactured</v>
      </c>
      <c r="Q226" s="266">
        <f>_xlfn.XLOOKUP(E226,'All Products'!D:D,'All Products'!K:K,FALSE)</f>
        <v>49081350635</v>
      </c>
      <c r="R226" s="266" t="str">
        <f>_xlfn.XLOOKUP(E226,'All Products'!D:D,'All Products'!L:L,FALSE)</f>
        <v>-</v>
      </c>
      <c r="S226" s="266">
        <f>_xlfn.XLOOKUP(E226,'All Products'!D:D,'All Products'!M:M,FALSE)</f>
        <v>40049081350633</v>
      </c>
      <c r="T226" s="265">
        <f>_xlfn.XLOOKUP(E226,'All Products'!D:D,'All Products'!N:N,FALSE)</f>
        <v>11.38</v>
      </c>
      <c r="U226" s="266" t="str">
        <f>_xlfn.XLOOKUP(E226,'All Products'!D:D,'All Products'!O:O,FALSE)</f>
        <v>-</v>
      </c>
      <c r="V226" s="265">
        <f>_xlfn.XLOOKUP(E226,'All Products'!D:D,'All Products'!P:P,FALSE)</f>
        <v>12.65</v>
      </c>
      <c r="W226" s="265">
        <f>_xlfn.XLOOKUP(E226,'All Products'!D:D,'All Products'!Q:Q,FALSE)</f>
        <v>1.25</v>
      </c>
    </row>
    <row r="227" spans="1:23" ht="21.75" customHeight="1">
      <c r="A227" s="101" t="str">
        <f>IF(K227&gt;0,COUNT($A$7:A226)
+COUNT('DWV PVC'!$A$9:$A$316)
+COUNT('DWV ABS'!$A$8:$A$116)
+COUNT('PVC SCH40'!$A$8:$A$424)
+COUNT('PVC SCH40 LD'!$A$8:$A$21)
+COUNT('Pool &amp; SPA Sweep Elbows'!$A$8:$A$11)
+COUNT('Pool &amp; SPA Pipe Extender'!$A$8:$A$10)+1,"")</f>
        <v/>
      </c>
      <c r="B227" s="610"/>
      <c r="C227" s="611"/>
      <c r="D227" s="142" t="str">
        <f>_xlfn.XLOOKUP(E227,'All Products'!D:D,'All Products'!C:C,FALSE)</f>
        <v>878-007</v>
      </c>
      <c r="E227" s="103">
        <v>100023741</v>
      </c>
      <c r="F227" s="413" t="str">
        <f>_xlfn.XLOOKUP(E227,'All Products'!D:D,'All Products'!E:E,FALSE)</f>
        <v>3/4 FEMALE FITTING ADAPTER SPGXFIPT</v>
      </c>
      <c r="G227" s="233">
        <f>_xlfn.XLOOKUP(E227,'All Products'!D:D,'All Products'!F:F,FALSE)</f>
        <v>250</v>
      </c>
      <c r="H227" s="196">
        <f>_xlfn.XLOOKUP(E227,'All Products'!D:D,'All Products'!G:G,FALSE)</f>
        <v>18750</v>
      </c>
      <c r="I227" s="415">
        <f>_xlfn.XLOOKUP(E227,'All Products'!D:D,'All Products'!H:H,FALSE)</f>
        <v>26.03</v>
      </c>
      <c r="J227" s="130">
        <f>ROUND(I227*Order_Quote!$L$8,2)</f>
        <v>26.03</v>
      </c>
      <c r="K227" s="75"/>
      <c r="L227" s="113"/>
      <c r="M227" s="171">
        <f t="shared" si="6"/>
        <v>0</v>
      </c>
      <c r="O227" s="265" t="str">
        <f>_xlfn.XLOOKUP(E227,'All Products'!D:D,'All Products'!I:I,FALSE)</f>
        <v>In Stock</v>
      </c>
      <c r="P227" s="265" t="str">
        <f>_xlfn.XLOOKUP(E227,'All Products'!D:D,'All Products'!J:J,FALSE)</f>
        <v>Manufactured</v>
      </c>
      <c r="Q227" s="266">
        <f>_xlfn.XLOOKUP(E227,'All Products'!D:D,'All Products'!K:K,FALSE)</f>
        <v>49081150082</v>
      </c>
      <c r="R227" s="266">
        <f>_xlfn.XLOOKUP(E227,'All Products'!D:D,'All Products'!L:L,FALSE)</f>
        <v>49081650087</v>
      </c>
      <c r="S227" s="266">
        <f>_xlfn.XLOOKUP(E227,'All Products'!D:D,'All Products'!M:M,FALSE)</f>
        <v>40049081150080</v>
      </c>
      <c r="T227" s="265">
        <f>_xlfn.XLOOKUP(E227,'All Products'!D:D,'All Products'!N:N,FALSE)</f>
        <v>8.3000000000000004E-2</v>
      </c>
      <c r="U227" s="266">
        <f>_xlfn.XLOOKUP(E227,'All Products'!D:D,'All Products'!O:O,FALSE)</f>
        <v>10</v>
      </c>
      <c r="V227" s="265">
        <f>_xlfn.XLOOKUP(E227,'All Products'!D:D,'All Products'!P:P,FALSE)</f>
        <v>20.99</v>
      </c>
      <c r="W227" s="265">
        <f>_xlfn.XLOOKUP(E227,'All Products'!D:D,'All Products'!Q:Q,FALSE)</f>
        <v>0.95</v>
      </c>
    </row>
    <row r="228" spans="1:23" ht="21.75" customHeight="1">
      <c r="A228" s="101" t="str">
        <f>IF(K228&gt;0,COUNT($A$7:A227)
+COUNT('DWV PVC'!$A$9:$A$316)
+COUNT('DWV ABS'!$A$8:$A$116)
+COUNT('PVC SCH40'!$A$8:$A$424)
+COUNT('PVC SCH40 LD'!$A$8:$A$21)
+COUNT('Pool &amp; SPA Sweep Elbows'!$A$8:$A$11)
+COUNT('Pool &amp; SPA Pipe Extender'!$A$8:$A$10)+1,"")</f>
        <v/>
      </c>
      <c r="B228" s="612"/>
      <c r="C228" s="613"/>
      <c r="D228" s="142" t="str">
        <f>_xlfn.XLOOKUP(E228,'All Products'!D:D,'All Products'!C:C,FALSE)</f>
        <v>878-020</v>
      </c>
      <c r="E228" s="103">
        <v>100023743</v>
      </c>
      <c r="F228" s="413" t="str">
        <f>_xlfn.XLOOKUP(E228,'All Products'!D:D,'All Products'!E:E,FALSE)</f>
        <v>2 FEMALE FITTING ADAPTER SPGXFIPT</v>
      </c>
      <c r="G228" s="233">
        <f>_xlfn.XLOOKUP(E228,'All Products'!D:D,'All Products'!F:F,FALSE)</f>
        <v>25</v>
      </c>
      <c r="H228" s="196">
        <f>_xlfn.XLOOKUP(E228,'All Products'!D:D,'All Products'!G:G,FALSE)</f>
        <v>3750</v>
      </c>
      <c r="I228" s="415">
        <f>_xlfn.XLOOKUP(E228,'All Products'!D:D,'All Products'!H:H,FALSE)</f>
        <v>133.35</v>
      </c>
      <c r="J228" s="130">
        <f>ROUND(I228*Order_Quote!$L$8,2)</f>
        <v>133.35</v>
      </c>
      <c r="K228" s="75"/>
      <c r="L228" s="113"/>
      <c r="M228" s="171">
        <f t="shared" si="6"/>
        <v>0</v>
      </c>
      <c r="O228" s="265" t="str">
        <f>_xlfn.XLOOKUP(E228,'All Products'!D:D,'All Products'!I:I,FALSE)</f>
        <v>Within 3 Weeks</v>
      </c>
      <c r="P228" s="265" t="str">
        <f>_xlfn.XLOOKUP(E228,'All Products'!D:D,'All Products'!J:J,FALSE)</f>
        <v>Manufactured</v>
      </c>
      <c r="Q228" s="266">
        <f>_xlfn.XLOOKUP(E228,'All Products'!D:D,'All Products'!K:K,FALSE)</f>
        <v>49081150129</v>
      </c>
      <c r="R228" s="266">
        <f>_xlfn.XLOOKUP(E228,'All Products'!D:D,'All Products'!L:L,FALSE)</f>
        <v>49081650124</v>
      </c>
      <c r="S228" s="266">
        <f>_xlfn.XLOOKUP(E228,'All Products'!D:D,'All Products'!M:M,FALSE)</f>
        <v>40049081150127</v>
      </c>
      <c r="T228" s="265">
        <f>_xlfn.XLOOKUP(E228,'All Products'!D:D,'All Products'!N:N,FALSE)</f>
        <v>0.31900000000000001</v>
      </c>
      <c r="U228" s="266">
        <f>_xlfn.XLOOKUP(E228,'All Products'!D:D,'All Products'!O:O,FALSE)</f>
        <v>5</v>
      </c>
      <c r="V228" s="265">
        <f>_xlfn.XLOOKUP(E228,'All Products'!D:D,'All Products'!P:P,FALSE)</f>
        <v>8.19</v>
      </c>
      <c r="W228" s="265">
        <f>_xlfn.XLOOKUP(E228,'All Products'!D:D,'All Products'!Q:Q,FALSE)</f>
        <v>0.5</v>
      </c>
    </row>
    <row r="229" spans="1:23">
      <c r="A229" s="101" t="str">
        <f>IF(K229&gt;0,COUNT($A$7:A228)
+COUNT('DWV PVC'!$A$9:$A$316)
+COUNT('DWV ABS'!$A$8:$A$116)
+COUNT('PVC SCH40'!$A$8:$A$424)
+COUNT('PVC SCH40 LD'!$A$8:$A$21)
+COUNT('Pool &amp; SPA Sweep Elbows'!$A$8:$A$11)
+COUNT('Pool &amp; SPA Pipe Extender'!$A$8:$A$10)+1,"")</f>
        <v/>
      </c>
      <c r="B229" s="608"/>
      <c r="C229" s="609"/>
      <c r="D229" s="142" t="str">
        <f>_xlfn.XLOOKUP(E229,'All Products'!D:D,'All Products'!C:C,FALSE)</f>
        <v>897-002</v>
      </c>
      <c r="E229" s="103">
        <v>100028184</v>
      </c>
      <c r="F229" s="413" t="str">
        <f>_xlfn.XLOOKUP(E229,'All Products'!D:D,'All Products'!E:E,FALSE)</f>
        <v>1/4 UNION SXS SCH80</v>
      </c>
      <c r="G229" s="233">
        <f>_xlfn.XLOOKUP(E229,'All Products'!D:D,'All Products'!F:F,FALSE)</f>
        <v>100</v>
      </c>
      <c r="H229" s="196">
        <f>_xlfn.XLOOKUP(E229,'All Products'!D:D,'All Products'!G:G,FALSE)</f>
        <v>15000</v>
      </c>
      <c r="I229" s="415">
        <f>_xlfn.XLOOKUP(E229,'All Products'!D:D,'All Products'!H:H,FALSE)</f>
        <v>70.849999999999994</v>
      </c>
      <c r="J229" s="130">
        <f>ROUND(I229*Order_Quote!$L$8,2)</f>
        <v>70.849999999999994</v>
      </c>
      <c r="K229" s="75"/>
      <c r="L229" s="113"/>
      <c r="M229" s="171">
        <f t="shared" si="6"/>
        <v>0</v>
      </c>
      <c r="O229" s="265" t="str">
        <f>_xlfn.XLOOKUP(E229,'All Products'!D:D,'All Products'!I:I,FALSE)</f>
        <v>Within 3 Weeks</v>
      </c>
      <c r="P229" s="265" t="str">
        <f>_xlfn.XLOOKUP(E229,'All Products'!D:D,'All Products'!J:J,FALSE)</f>
        <v>Manufactured</v>
      </c>
      <c r="Q229" s="266">
        <f>_xlfn.XLOOKUP(E229,'All Products'!D:D,'All Products'!K:K,FALSE)</f>
        <v>49081170943</v>
      </c>
      <c r="R229" s="266">
        <f>_xlfn.XLOOKUP(E229,'All Products'!D:D,'All Products'!L:L,FALSE)</f>
        <v>49081670948</v>
      </c>
      <c r="S229" s="266">
        <f>_xlfn.XLOOKUP(E229,'All Products'!D:D,'All Products'!M:M,FALSE)</f>
        <v>40049081170941</v>
      </c>
      <c r="T229" s="265">
        <f>_xlfn.XLOOKUP(E229,'All Products'!D:D,'All Products'!N:N,FALSE)</f>
        <v>9.4E-2</v>
      </c>
      <c r="U229" s="266">
        <f>_xlfn.XLOOKUP(E229,'All Products'!D:D,'All Products'!O:O,FALSE)</f>
        <v>5</v>
      </c>
      <c r="V229" s="265">
        <f>_xlfn.XLOOKUP(E229,'All Products'!D:D,'All Products'!P:P,FALSE)</f>
        <v>12</v>
      </c>
      <c r="W229" s="265">
        <f>_xlfn.XLOOKUP(E229,'All Products'!D:D,'All Products'!Q:Q,FALSE)</f>
        <v>0.5</v>
      </c>
    </row>
    <row r="230" spans="1:23">
      <c r="A230" s="101" t="str">
        <f>IF(K230&gt;0,COUNT($A$7:A229)
+COUNT('DWV PVC'!$A$9:$A$316)
+COUNT('DWV ABS'!$A$8:$A$116)
+COUNT('PVC SCH40'!$A$8:$A$424)
+COUNT('PVC SCH40 LD'!$A$8:$A$21)
+COUNT('Pool &amp; SPA Sweep Elbows'!$A$8:$A$11)
+COUNT('Pool &amp; SPA Pipe Extender'!$A$8:$A$10)+1,"")</f>
        <v/>
      </c>
      <c r="B230" s="610"/>
      <c r="C230" s="611"/>
      <c r="D230" s="142" t="str">
        <f>_xlfn.XLOOKUP(E230,'All Products'!D:D,'All Products'!C:C,FALSE)</f>
        <v>897-003</v>
      </c>
      <c r="E230" s="103">
        <v>100028185</v>
      </c>
      <c r="F230" s="413" t="str">
        <f>_xlfn.XLOOKUP(E230,'All Products'!D:D,'All Products'!E:E,FALSE)</f>
        <v>3/8 UNION SXS SCH80</v>
      </c>
      <c r="G230" s="233">
        <f>_xlfn.XLOOKUP(E230,'All Products'!D:D,'All Products'!F:F,FALSE)</f>
        <v>100</v>
      </c>
      <c r="H230" s="196">
        <f>_xlfn.XLOOKUP(E230,'All Products'!D:D,'All Products'!G:G,FALSE)</f>
        <v>9000</v>
      </c>
      <c r="I230" s="415">
        <f>_xlfn.XLOOKUP(E230,'All Products'!D:D,'All Products'!H:H,FALSE)</f>
        <v>70.849999999999994</v>
      </c>
      <c r="J230" s="130">
        <f>ROUND(I230*Order_Quote!$L$8,2)</f>
        <v>70.849999999999994</v>
      </c>
      <c r="K230" s="75"/>
      <c r="L230" s="113"/>
      <c r="M230" s="171">
        <f t="shared" si="6"/>
        <v>0</v>
      </c>
      <c r="O230" s="265" t="str">
        <f>_xlfn.XLOOKUP(E230,'All Products'!D:D,'All Products'!I:I,FALSE)</f>
        <v>Within 3 Weeks</v>
      </c>
      <c r="P230" s="265" t="str">
        <f>_xlfn.XLOOKUP(E230,'All Products'!D:D,'All Products'!J:J,FALSE)</f>
        <v>Manufactured</v>
      </c>
      <c r="Q230" s="266">
        <f>_xlfn.XLOOKUP(E230,'All Products'!D:D,'All Products'!K:K,FALSE)</f>
        <v>49081170950</v>
      </c>
      <c r="R230" s="266">
        <f>_xlfn.XLOOKUP(E230,'All Products'!D:D,'All Products'!L:L,FALSE)</f>
        <v>49081670955</v>
      </c>
      <c r="S230" s="266">
        <f>_xlfn.XLOOKUP(E230,'All Products'!D:D,'All Products'!M:M,FALSE)</f>
        <v>40049081170958</v>
      </c>
      <c r="T230" s="265">
        <f>_xlfn.XLOOKUP(E230,'All Products'!D:D,'All Products'!N:N,FALSE)</f>
        <v>0.16200000000000001</v>
      </c>
      <c r="U230" s="266">
        <f>_xlfn.XLOOKUP(E230,'All Products'!D:D,'All Products'!O:O,FALSE)</f>
        <v>5</v>
      </c>
      <c r="V230" s="265">
        <f>_xlfn.XLOOKUP(E230,'All Products'!D:D,'All Products'!P:P,FALSE)</f>
        <v>16.2</v>
      </c>
      <c r="W230" s="265">
        <f>_xlfn.XLOOKUP(E230,'All Products'!D:D,'All Products'!Q:Q,FALSE)</f>
        <v>0.8</v>
      </c>
    </row>
    <row r="231" spans="1:23">
      <c r="A231" s="101" t="str">
        <f>IF(K231&gt;0,COUNT($A$7:A230)
+COUNT('DWV PVC'!$A$9:$A$316)
+COUNT('DWV ABS'!$A$8:$A$116)
+COUNT('PVC SCH40'!$A$8:$A$424)
+COUNT('PVC SCH40 LD'!$A$8:$A$21)
+COUNT('Pool &amp; SPA Sweep Elbows'!$A$8:$A$11)
+COUNT('Pool &amp; SPA Pipe Extender'!$A$8:$A$10)+1,"")</f>
        <v/>
      </c>
      <c r="B231" s="610"/>
      <c r="C231" s="611"/>
      <c r="D231" s="142" t="str">
        <f>_xlfn.XLOOKUP(E231,'All Products'!D:D,'All Products'!C:C,FALSE)</f>
        <v>897-005</v>
      </c>
      <c r="E231" s="103">
        <v>100028186</v>
      </c>
      <c r="F231" s="413" t="str">
        <f>_xlfn.XLOOKUP(E231,'All Products'!D:D,'All Products'!E:E,FALSE)</f>
        <v>1/2 UNION SXS SCH80</v>
      </c>
      <c r="G231" s="233">
        <f>_xlfn.XLOOKUP(E231,'All Products'!D:D,'All Products'!F:F,FALSE)</f>
        <v>50</v>
      </c>
      <c r="H231" s="196">
        <f>_xlfn.XLOOKUP(E231,'All Products'!D:D,'All Products'!G:G,FALSE)</f>
        <v>13500</v>
      </c>
      <c r="I231" s="415">
        <f>_xlfn.XLOOKUP(E231,'All Products'!D:D,'All Products'!H:H,FALSE)</f>
        <v>37.86</v>
      </c>
      <c r="J231" s="130">
        <f>ROUND(I231*Order_Quote!$L$8,2)</f>
        <v>37.86</v>
      </c>
      <c r="K231" s="75"/>
      <c r="L231" s="113"/>
      <c r="M231" s="171">
        <f t="shared" si="6"/>
        <v>0</v>
      </c>
      <c r="O231" s="265" t="str">
        <f>_xlfn.XLOOKUP(E231,'All Products'!D:D,'All Products'!I:I,FALSE)</f>
        <v>In Stock</v>
      </c>
      <c r="P231" s="265" t="str">
        <f>_xlfn.XLOOKUP(E231,'All Products'!D:D,'All Products'!J:J,FALSE)</f>
        <v>Manufactured</v>
      </c>
      <c r="Q231" s="266">
        <f>_xlfn.XLOOKUP(E231,'All Products'!D:D,'All Products'!K:K,FALSE)</f>
        <v>49081170967</v>
      </c>
      <c r="R231" s="266" t="str">
        <f>_xlfn.XLOOKUP(E231,'All Products'!D:D,'All Products'!L:L,FALSE)</f>
        <v>-</v>
      </c>
      <c r="S231" s="266">
        <f>_xlfn.XLOOKUP(E231,'All Products'!D:D,'All Products'!M:M,FALSE)</f>
        <v>40049081170965</v>
      </c>
      <c r="T231" s="265">
        <f>_xlfn.XLOOKUP(E231,'All Products'!D:D,'All Products'!N:N,FALSE)</f>
        <v>0.124</v>
      </c>
      <c r="U231" s="266" t="str">
        <f>_xlfn.XLOOKUP(E231,'All Products'!D:D,'All Products'!O:O,FALSE)</f>
        <v>-</v>
      </c>
      <c r="V231" s="265">
        <f>_xlfn.XLOOKUP(E231,'All Products'!D:D,'All Products'!P:P,FALSE)</f>
        <v>8.07</v>
      </c>
      <c r="W231" s="265">
        <f>_xlfn.XLOOKUP(E231,'All Products'!D:D,'All Products'!Q:Q,FALSE)</f>
        <v>0.31</v>
      </c>
    </row>
    <row r="232" spans="1:23">
      <c r="A232" s="101" t="str">
        <f>IF(K232&gt;0,COUNT($A$7:A231)
+COUNT('DWV PVC'!$A$9:$A$316)
+COUNT('DWV ABS'!$A$8:$A$116)
+COUNT('PVC SCH40'!$A$8:$A$424)
+COUNT('PVC SCH40 LD'!$A$8:$A$21)
+COUNT('Pool &amp; SPA Sweep Elbows'!$A$8:$A$11)
+COUNT('Pool &amp; SPA Pipe Extender'!$A$8:$A$10)+1,"")</f>
        <v/>
      </c>
      <c r="B232" s="610"/>
      <c r="C232" s="611"/>
      <c r="D232" s="142" t="str">
        <f>_xlfn.XLOOKUP(E232,'All Products'!D:D,'All Products'!C:C,FALSE)</f>
        <v>897-007</v>
      </c>
      <c r="E232" s="103">
        <v>100028187</v>
      </c>
      <c r="F232" s="413" t="str">
        <f>_xlfn.XLOOKUP(E232,'All Products'!D:D,'All Products'!E:E,FALSE)</f>
        <v>3/4 UNION SXS SCH80</v>
      </c>
      <c r="G232" s="233">
        <f>_xlfn.XLOOKUP(E232,'All Products'!D:D,'All Products'!F:F,FALSE)</f>
        <v>50</v>
      </c>
      <c r="H232" s="196">
        <f>_xlfn.XLOOKUP(E232,'All Products'!D:D,'All Products'!G:G,FALSE)</f>
        <v>7500</v>
      </c>
      <c r="I232" s="415">
        <f>_xlfn.XLOOKUP(E232,'All Products'!D:D,'All Products'!H:H,FALSE)</f>
        <v>48.18</v>
      </c>
      <c r="J232" s="130">
        <f>ROUND(I232*Order_Quote!$L$8,2)</f>
        <v>48.18</v>
      </c>
      <c r="K232" s="75"/>
      <c r="L232" s="113"/>
      <c r="M232" s="171">
        <f t="shared" si="6"/>
        <v>0</v>
      </c>
      <c r="O232" s="265" t="str">
        <f>_xlfn.XLOOKUP(E232,'All Products'!D:D,'All Products'!I:I,FALSE)</f>
        <v>In Stock</v>
      </c>
      <c r="P232" s="265" t="str">
        <f>_xlfn.XLOOKUP(E232,'All Products'!D:D,'All Products'!J:J,FALSE)</f>
        <v>Manufactured</v>
      </c>
      <c r="Q232" s="266">
        <f>_xlfn.XLOOKUP(E232,'All Products'!D:D,'All Products'!K:K,FALSE)</f>
        <v>49081171001</v>
      </c>
      <c r="R232" s="266" t="str">
        <f>_xlfn.XLOOKUP(E232,'All Products'!D:D,'All Products'!L:L,FALSE)</f>
        <v>-</v>
      </c>
      <c r="S232" s="266">
        <f>_xlfn.XLOOKUP(E232,'All Products'!D:D,'All Products'!M:M,FALSE)</f>
        <v>40049081171009</v>
      </c>
      <c r="T232" s="265">
        <f>_xlfn.XLOOKUP(E232,'All Products'!D:D,'All Products'!N:N,FALSE)</f>
        <v>0.19400000000000001</v>
      </c>
      <c r="U232" s="266" t="str">
        <f>_xlfn.XLOOKUP(E232,'All Products'!D:D,'All Products'!O:O,FALSE)</f>
        <v>-</v>
      </c>
      <c r="V232" s="265">
        <f>_xlfn.XLOOKUP(E232,'All Products'!D:D,'All Products'!P:P,FALSE)</f>
        <v>12.63</v>
      </c>
      <c r="W232" s="265">
        <f>_xlfn.XLOOKUP(E232,'All Products'!D:D,'All Products'!Q:Q,FALSE)</f>
        <v>0.5</v>
      </c>
    </row>
    <row r="233" spans="1:23">
      <c r="A233" s="101" t="str">
        <f>IF(K233&gt;0,COUNT($A$7:A232)
+COUNT('DWV PVC'!$A$9:$A$316)
+COUNT('DWV ABS'!$A$8:$A$116)
+COUNT('PVC SCH40'!$A$8:$A$424)
+COUNT('PVC SCH40 LD'!$A$8:$A$21)
+COUNT('Pool &amp; SPA Sweep Elbows'!$A$8:$A$11)
+COUNT('Pool &amp; SPA Pipe Extender'!$A$8:$A$10)+1,"")</f>
        <v/>
      </c>
      <c r="B233" s="610"/>
      <c r="C233" s="611"/>
      <c r="D233" s="142" t="str">
        <f>_xlfn.XLOOKUP(E233,'All Products'!D:D,'All Products'!C:C,FALSE)</f>
        <v>897-010</v>
      </c>
      <c r="E233" s="103">
        <v>100028188</v>
      </c>
      <c r="F233" s="413" t="str">
        <f>_xlfn.XLOOKUP(E233,'All Products'!D:D,'All Products'!E:E,FALSE)</f>
        <v>1 UNION SXS SCH80</v>
      </c>
      <c r="G233" s="233">
        <f>_xlfn.XLOOKUP(E233,'All Products'!D:D,'All Products'!F:F,FALSE)</f>
        <v>18</v>
      </c>
      <c r="H233" s="196">
        <f>_xlfn.XLOOKUP(E233,'All Products'!D:D,'All Products'!G:G,FALSE)</f>
        <v>2700</v>
      </c>
      <c r="I233" s="415">
        <f>_xlfn.XLOOKUP(E233,'All Products'!D:D,'All Products'!H:H,FALSE)</f>
        <v>55.17</v>
      </c>
      <c r="J233" s="130">
        <f>ROUND(I233*Order_Quote!$L$8,2)</f>
        <v>55.17</v>
      </c>
      <c r="K233" s="75"/>
      <c r="L233" s="113"/>
      <c r="M233" s="171">
        <f t="shared" si="6"/>
        <v>0</v>
      </c>
      <c r="O233" s="265" t="str">
        <f>_xlfn.XLOOKUP(E233,'All Products'!D:D,'All Products'!I:I,FALSE)</f>
        <v>In Stock</v>
      </c>
      <c r="P233" s="265" t="str">
        <f>_xlfn.XLOOKUP(E233,'All Products'!D:D,'All Products'!J:J,FALSE)</f>
        <v>Manufactured</v>
      </c>
      <c r="Q233" s="266">
        <f>_xlfn.XLOOKUP(E233,'All Products'!D:D,'All Products'!K:K,FALSE)</f>
        <v>49081171025</v>
      </c>
      <c r="R233" s="266" t="str">
        <f>_xlfn.XLOOKUP(E233,'All Products'!D:D,'All Products'!L:L,FALSE)</f>
        <v>-</v>
      </c>
      <c r="S233" s="266">
        <f>_xlfn.XLOOKUP(E233,'All Products'!D:D,'All Products'!M:M,FALSE)</f>
        <v>40049081171023</v>
      </c>
      <c r="T233" s="265">
        <f>_xlfn.XLOOKUP(E233,'All Products'!D:D,'All Products'!N:N,FALSE)</f>
        <v>0.30599999999999999</v>
      </c>
      <c r="U233" s="266" t="str">
        <f>_xlfn.XLOOKUP(E233,'All Products'!D:D,'All Products'!O:O,FALSE)</f>
        <v>-</v>
      </c>
      <c r="V233" s="265">
        <f>_xlfn.XLOOKUP(E233,'All Products'!D:D,'All Products'!P:P,FALSE)</f>
        <v>6.25</v>
      </c>
      <c r="W233" s="265">
        <f>_xlfn.XLOOKUP(E233,'All Products'!D:D,'All Products'!Q:Q,FALSE)</f>
        <v>0.5</v>
      </c>
    </row>
    <row r="234" spans="1:23">
      <c r="A234" s="101" t="str">
        <f>IF(K234&gt;0,COUNT($A$7:A233)
+COUNT('DWV PVC'!$A$9:$A$316)
+COUNT('DWV ABS'!$A$8:$A$116)
+COUNT('PVC SCH40'!$A$8:$A$424)
+COUNT('PVC SCH40 LD'!$A$8:$A$21)
+COUNT('Pool &amp; SPA Sweep Elbows'!$A$8:$A$11)
+COUNT('Pool &amp; SPA Pipe Extender'!$A$8:$A$10)+1,"")</f>
        <v/>
      </c>
      <c r="B234" s="610"/>
      <c r="C234" s="611"/>
      <c r="D234" s="142" t="str">
        <f>_xlfn.XLOOKUP(E234,'All Products'!D:D,'All Products'!C:C,FALSE)</f>
        <v>897-012</v>
      </c>
      <c r="E234" s="103">
        <v>100028189</v>
      </c>
      <c r="F234" s="413" t="str">
        <f>_xlfn.XLOOKUP(E234,'All Products'!D:D,'All Products'!E:E,FALSE)</f>
        <v>1-1/4 UNION SXS SCH80</v>
      </c>
      <c r="G234" s="233">
        <f>_xlfn.XLOOKUP(E234,'All Products'!D:D,'All Products'!F:F,FALSE)</f>
        <v>10</v>
      </c>
      <c r="H234" s="196">
        <f>_xlfn.XLOOKUP(E234,'All Products'!D:D,'All Products'!G:G,FALSE)</f>
        <v>2700</v>
      </c>
      <c r="I234" s="415">
        <f>_xlfn.XLOOKUP(E234,'All Products'!D:D,'All Products'!H:H,FALSE)</f>
        <v>109.29</v>
      </c>
      <c r="J234" s="130">
        <f>ROUND(I234*Order_Quote!$L$8,2)</f>
        <v>109.29</v>
      </c>
      <c r="K234" s="75"/>
      <c r="L234" s="113"/>
      <c r="M234" s="171">
        <f t="shared" si="6"/>
        <v>0</v>
      </c>
      <c r="O234" s="265" t="str">
        <f>_xlfn.XLOOKUP(E234,'All Products'!D:D,'All Products'!I:I,FALSE)</f>
        <v>In Stock</v>
      </c>
      <c r="P234" s="265" t="str">
        <f>_xlfn.XLOOKUP(E234,'All Products'!D:D,'All Products'!J:J,FALSE)</f>
        <v>Manufactured</v>
      </c>
      <c r="Q234" s="266">
        <f>_xlfn.XLOOKUP(E234,'All Products'!D:D,'All Products'!K:K,FALSE)</f>
        <v>49081171049</v>
      </c>
      <c r="R234" s="266" t="str">
        <f>_xlfn.XLOOKUP(E234,'All Products'!D:D,'All Products'!L:L,FALSE)</f>
        <v>-</v>
      </c>
      <c r="S234" s="266">
        <f>_xlfn.XLOOKUP(E234,'All Products'!D:D,'All Products'!M:M,FALSE)</f>
        <v>40049081171047</v>
      </c>
      <c r="T234" s="265">
        <f>_xlfn.XLOOKUP(E234,'All Products'!D:D,'All Products'!N:N,FALSE)</f>
        <v>0.53500000000000003</v>
      </c>
      <c r="U234" s="266" t="str">
        <f>_xlfn.XLOOKUP(E234,'All Products'!D:D,'All Products'!O:O,FALSE)</f>
        <v>-</v>
      </c>
      <c r="V234" s="265">
        <f>_xlfn.XLOOKUP(E234,'All Products'!D:D,'All Products'!P:P,FALSE)</f>
        <v>4.76</v>
      </c>
      <c r="W234" s="265">
        <f>_xlfn.XLOOKUP(E234,'All Products'!D:D,'All Products'!Q:Q,FALSE)</f>
        <v>0.31</v>
      </c>
    </row>
    <row r="235" spans="1:23">
      <c r="A235" s="101" t="str">
        <f>IF(K235&gt;0,COUNT($A$7:A234)
+COUNT('DWV PVC'!$A$9:$A$316)
+COUNT('DWV ABS'!$A$8:$A$116)
+COUNT('PVC SCH40'!$A$8:$A$424)
+COUNT('PVC SCH40 LD'!$A$8:$A$21)
+COUNT('Pool &amp; SPA Sweep Elbows'!$A$8:$A$11)
+COUNT('Pool &amp; SPA Pipe Extender'!$A$8:$A$10)+1,"")</f>
        <v/>
      </c>
      <c r="B235" s="610"/>
      <c r="C235" s="611"/>
      <c r="D235" s="142" t="str">
        <f>_xlfn.XLOOKUP(E235,'All Products'!D:D,'All Products'!C:C,FALSE)</f>
        <v>897-015</v>
      </c>
      <c r="E235" s="103">
        <v>100028190</v>
      </c>
      <c r="F235" s="413" t="str">
        <f>_xlfn.XLOOKUP(E235,'All Products'!D:D,'All Products'!E:E,FALSE)</f>
        <v>1-1/2 UNION SXS SCH80</v>
      </c>
      <c r="G235" s="233">
        <f>_xlfn.XLOOKUP(E235,'All Products'!D:D,'All Products'!F:F,FALSE)</f>
        <v>10</v>
      </c>
      <c r="H235" s="196">
        <f>_xlfn.XLOOKUP(E235,'All Products'!D:D,'All Products'!G:G,FALSE)</f>
        <v>1500</v>
      </c>
      <c r="I235" s="415">
        <f>_xlfn.XLOOKUP(E235,'All Products'!D:D,'All Products'!H:H,FALSE)</f>
        <v>123.66</v>
      </c>
      <c r="J235" s="130">
        <f>ROUND(I235*Order_Quote!$L$8,2)</f>
        <v>123.66</v>
      </c>
      <c r="K235" s="75"/>
      <c r="L235" s="113"/>
      <c r="M235" s="171">
        <f t="shared" si="6"/>
        <v>0</v>
      </c>
      <c r="O235" s="265" t="str">
        <f>_xlfn.XLOOKUP(E235,'All Products'!D:D,'All Products'!I:I,FALSE)</f>
        <v>In Stock</v>
      </c>
      <c r="P235" s="265" t="str">
        <f>_xlfn.XLOOKUP(E235,'All Products'!D:D,'All Products'!J:J,FALSE)</f>
        <v>Manufactured</v>
      </c>
      <c r="Q235" s="266">
        <f>_xlfn.XLOOKUP(E235,'All Products'!D:D,'All Products'!K:K,FALSE)</f>
        <v>49081171063</v>
      </c>
      <c r="R235" s="266" t="str">
        <f>_xlfn.XLOOKUP(E235,'All Products'!D:D,'All Products'!L:L,FALSE)</f>
        <v>-</v>
      </c>
      <c r="S235" s="266">
        <f>_xlfn.XLOOKUP(E235,'All Products'!D:D,'All Products'!M:M,FALSE)</f>
        <v>40049081171061</v>
      </c>
      <c r="T235" s="265">
        <f>_xlfn.XLOOKUP(E235,'All Products'!D:D,'All Products'!N:N,FALSE)</f>
        <v>0.82499999999999996</v>
      </c>
      <c r="U235" s="266" t="str">
        <f>_xlfn.XLOOKUP(E235,'All Products'!D:D,'All Products'!O:O,FALSE)</f>
        <v>-</v>
      </c>
      <c r="V235" s="265">
        <f>_xlfn.XLOOKUP(E235,'All Products'!D:D,'All Products'!P:P,FALSE)</f>
        <v>6.54</v>
      </c>
      <c r="W235" s="265">
        <f>_xlfn.XLOOKUP(E235,'All Products'!D:D,'All Products'!Q:Q,FALSE)</f>
        <v>0.5</v>
      </c>
    </row>
    <row r="236" spans="1:23">
      <c r="A236" s="101" t="str">
        <f>IF(K236&gt;0,COUNT($A$7:A235)
+COUNT('DWV PVC'!$A$9:$A$316)
+COUNT('DWV ABS'!$A$8:$A$116)
+COUNT('PVC SCH40'!$A$8:$A$424)
+COUNT('PVC SCH40 LD'!$A$8:$A$21)
+COUNT('Pool &amp; SPA Sweep Elbows'!$A$8:$A$11)
+COUNT('Pool &amp; SPA Pipe Extender'!$A$8:$A$10)+1,"")</f>
        <v/>
      </c>
      <c r="B236" s="610"/>
      <c r="C236" s="611"/>
      <c r="D236" s="142" t="str">
        <f>_xlfn.XLOOKUP(E236,'All Products'!D:D,'All Products'!C:C,FALSE)</f>
        <v>897-020</v>
      </c>
      <c r="E236" s="103">
        <v>100028191</v>
      </c>
      <c r="F236" s="413" t="str">
        <f>_xlfn.XLOOKUP(E236,'All Products'!D:D,'All Products'!E:E,FALSE)</f>
        <v>2 UNION SXS SCH80</v>
      </c>
      <c r="G236" s="233">
        <f>_xlfn.XLOOKUP(E236,'All Products'!D:D,'All Products'!F:F,FALSE)</f>
        <v>16</v>
      </c>
      <c r="H236" s="196">
        <f>_xlfn.XLOOKUP(E236,'All Products'!D:D,'All Products'!G:G,FALSE)</f>
        <v>1200</v>
      </c>
      <c r="I236" s="415">
        <f>_xlfn.XLOOKUP(E236,'All Products'!D:D,'All Products'!H:H,FALSE)</f>
        <v>167.83</v>
      </c>
      <c r="J236" s="130">
        <f>ROUND(I236*Order_Quote!$L$8,2)</f>
        <v>167.83</v>
      </c>
      <c r="K236" s="75"/>
      <c r="L236" s="113"/>
      <c r="M236" s="171">
        <f t="shared" si="6"/>
        <v>0</v>
      </c>
      <c r="O236" s="265" t="str">
        <f>_xlfn.XLOOKUP(E236,'All Products'!D:D,'All Products'!I:I,FALSE)</f>
        <v>In Stock</v>
      </c>
      <c r="P236" s="265" t="str">
        <f>_xlfn.XLOOKUP(E236,'All Products'!D:D,'All Products'!J:J,FALSE)</f>
        <v>Manufactured</v>
      </c>
      <c r="Q236" s="266">
        <f>_xlfn.XLOOKUP(E236,'All Products'!D:D,'All Products'!K:K,FALSE)</f>
        <v>49081171087</v>
      </c>
      <c r="R236" s="266" t="str">
        <f>_xlfn.XLOOKUP(E236,'All Products'!D:D,'All Products'!L:L,FALSE)</f>
        <v>-</v>
      </c>
      <c r="S236" s="266">
        <f>_xlfn.XLOOKUP(E236,'All Products'!D:D,'All Products'!M:M,FALSE)</f>
        <v>40049081171085</v>
      </c>
      <c r="T236" s="265">
        <f>_xlfn.XLOOKUP(E236,'All Products'!D:D,'All Products'!N:N,FALSE)</f>
        <v>1.325</v>
      </c>
      <c r="U236" s="266" t="str">
        <f>_xlfn.XLOOKUP(E236,'All Products'!D:D,'All Products'!O:O,FALSE)</f>
        <v>-</v>
      </c>
      <c r="V236" s="265">
        <f>_xlfn.XLOOKUP(E236,'All Products'!D:D,'All Products'!P:P,FALSE)</f>
        <v>21.15</v>
      </c>
      <c r="W236" s="265">
        <f>_xlfn.XLOOKUP(E236,'All Products'!D:D,'All Products'!Q:Q,FALSE)</f>
        <v>1.1000000000000001</v>
      </c>
    </row>
    <row r="237" spans="1:23">
      <c r="A237" s="101" t="str">
        <f>IF(K237&gt;0,COUNT($A$7:A236)
+COUNT('DWV PVC'!$A$9:$A$316)
+COUNT('DWV ABS'!$A$8:$A$116)
+COUNT('PVC SCH40'!$A$8:$A$424)
+COUNT('PVC SCH40 LD'!$A$8:$A$21)
+COUNT('Pool &amp; SPA Sweep Elbows'!$A$8:$A$11)
+COUNT('Pool &amp; SPA Pipe Extender'!$A$8:$A$10)+1,"")</f>
        <v/>
      </c>
      <c r="B237" s="610"/>
      <c r="C237" s="611"/>
      <c r="D237" s="142" t="str">
        <f>_xlfn.XLOOKUP(E237,'All Products'!D:D,'All Products'!C:C,FALSE)</f>
        <v>897-025</v>
      </c>
      <c r="E237" s="103">
        <v>100028192</v>
      </c>
      <c r="F237" s="413" t="str">
        <f>_xlfn.XLOOKUP(E237,'All Products'!D:D,'All Products'!E:E,FALSE)</f>
        <v>2-1/2 UNION SXS SCH80</v>
      </c>
      <c r="G237" s="233">
        <f>_xlfn.XLOOKUP(E237,'All Products'!D:D,'All Products'!F:F,FALSE)</f>
        <v>3</v>
      </c>
      <c r="H237" s="196">
        <f>_xlfn.XLOOKUP(E237,'All Products'!D:D,'All Products'!G:G,FALSE)</f>
        <v>450</v>
      </c>
      <c r="I237" s="415">
        <f>_xlfn.XLOOKUP(E237,'All Products'!D:D,'All Products'!H:H,FALSE)</f>
        <v>266.77999999999997</v>
      </c>
      <c r="J237" s="130">
        <f>ROUND(I237*Order_Quote!$L$8,2)</f>
        <v>266.77999999999997</v>
      </c>
      <c r="K237" s="75"/>
      <c r="L237" s="113"/>
      <c r="M237" s="171">
        <f t="shared" si="6"/>
        <v>0</v>
      </c>
      <c r="O237" s="265" t="str">
        <f>_xlfn.XLOOKUP(E237,'All Products'!D:D,'All Products'!I:I,FALSE)</f>
        <v>In Stock</v>
      </c>
      <c r="P237" s="265" t="str">
        <f>_xlfn.XLOOKUP(E237,'All Products'!D:D,'All Products'!J:J,FALSE)</f>
        <v>Manufactured</v>
      </c>
      <c r="Q237" s="266">
        <f>_xlfn.XLOOKUP(E237,'All Products'!D:D,'All Products'!K:K,FALSE)</f>
        <v>49081171124</v>
      </c>
      <c r="R237" s="266" t="str">
        <f>_xlfn.XLOOKUP(E237,'All Products'!D:D,'All Products'!L:L,FALSE)</f>
        <v>-</v>
      </c>
      <c r="S237" s="266">
        <f>_xlfn.XLOOKUP(E237,'All Products'!D:D,'All Products'!M:M,FALSE)</f>
        <v>40049081171122</v>
      </c>
      <c r="T237" s="265">
        <f>_xlfn.XLOOKUP(E237,'All Products'!D:D,'All Products'!N:N,FALSE)</f>
        <v>2.0329999999999999</v>
      </c>
      <c r="U237" s="266" t="str">
        <f>_xlfn.XLOOKUP(E237,'All Products'!D:D,'All Products'!O:O,FALSE)</f>
        <v>-</v>
      </c>
      <c r="V237" s="265">
        <f>_xlfn.XLOOKUP(E237,'All Products'!D:D,'All Products'!P:P,FALSE)</f>
        <v>5.72</v>
      </c>
      <c r="W237" s="265">
        <f>_xlfn.XLOOKUP(E237,'All Products'!D:D,'All Products'!Q:Q,FALSE)</f>
        <v>0.5</v>
      </c>
    </row>
    <row r="238" spans="1:23">
      <c r="A238" s="101" t="str">
        <f>IF(K238&gt;0,COUNT($A$7:A237)
+COUNT('DWV PVC'!$A$9:$A$316)
+COUNT('DWV ABS'!$A$8:$A$116)
+COUNT('PVC SCH40'!$A$8:$A$424)
+COUNT('PVC SCH40 LD'!$A$8:$A$21)
+COUNT('Pool &amp; SPA Sweep Elbows'!$A$8:$A$11)
+COUNT('Pool &amp; SPA Pipe Extender'!$A$8:$A$10)+1,"")</f>
        <v/>
      </c>
      <c r="B238" s="610"/>
      <c r="C238" s="611"/>
      <c r="D238" s="142" t="str">
        <f>_xlfn.XLOOKUP(E238,'All Products'!D:D,'All Products'!C:C,FALSE)</f>
        <v>897-030</v>
      </c>
      <c r="E238" s="103">
        <v>100028193</v>
      </c>
      <c r="F238" s="413" t="str">
        <f>_xlfn.XLOOKUP(E238,'All Products'!D:D,'All Products'!E:E,FALSE)</f>
        <v>3 UNION SXS SCH80</v>
      </c>
      <c r="G238" s="233">
        <f>_xlfn.XLOOKUP(E238,'All Products'!D:D,'All Products'!F:F,FALSE)</f>
        <v>3</v>
      </c>
      <c r="H238" s="196">
        <f>_xlfn.XLOOKUP(E238,'All Products'!D:D,'All Products'!G:G,FALSE)</f>
        <v>450</v>
      </c>
      <c r="I238" s="415">
        <f>_xlfn.XLOOKUP(E238,'All Products'!D:D,'All Products'!H:H,FALSE)</f>
        <v>312.25</v>
      </c>
      <c r="J238" s="130">
        <f>ROUND(I238*Order_Quote!$L$8,2)</f>
        <v>312.25</v>
      </c>
      <c r="K238" s="75"/>
      <c r="L238" s="113"/>
      <c r="M238" s="171">
        <f t="shared" si="6"/>
        <v>0</v>
      </c>
      <c r="O238" s="265" t="str">
        <f>_xlfn.XLOOKUP(E238,'All Products'!D:D,'All Products'!I:I,FALSE)</f>
        <v>In Stock</v>
      </c>
      <c r="P238" s="265" t="str">
        <f>_xlfn.XLOOKUP(E238,'All Products'!D:D,'All Products'!J:J,FALSE)</f>
        <v>Manufactured</v>
      </c>
      <c r="Q238" s="266">
        <f>_xlfn.XLOOKUP(E238,'All Products'!D:D,'All Products'!K:K,FALSE)</f>
        <v>49081171100</v>
      </c>
      <c r="R238" s="266" t="str">
        <f>_xlfn.XLOOKUP(E238,'All Products'!D:D,'All Products'!L:L,FALSE)</f>
        <v>-</v>
      </c>
      <c r="S238" s="266">
        <f>_xlfn.XLOOKUP(E238,'All Products'!D:D,'All Products'!M:M,FALSE)</f>
        <v>40049081171108</v>
      </c>
      <c r="T238" s="265">
        <f>_xlfn.XLOOKUP(E238,'All Products'!D:D,'All Products'!N:N,FALSE)</f>
        <v>3</v>
      </c>
      <c r="U238" s="266" t="str">
        <f>_xlfn.XLOOKUP(E238,'All Products'!D:D,'All Products'!O:O,FALSE)</f>
        <v>-</v>
      </c>
      <c r="V238" s="265">
        <f>_xlfn.XLOOKUP(E238,'All Products'!D:D,'All Products'!P:P,FALSE)</f>
        <v>7.84</v>
      </c>
      <c r="W238" s="265">
        <f>_xlfn.XLOOKUP(E238,'All Products'!D:D,'All Products'!Q:Q,FALSE)</f>
        <v>0.5</v>
      </c>
    </row>
    <row r="239" spans="1:23">
      <c r="A239" s="101" t="str">
        <f>IF(K239&gt;0,COUNT($A$7:A238)
+COUNT('DWV PVC'!$A$9:$A$316)
+COUNT('DWV ABS'!$A$8:$A$116)
+COUNT('PVC SCH40'!$A$8:$A$424)
+COUNT('PVC SCH40 LD'!$A$8:$A$21)
+COUNT('Pool &amp; SPA Sweep Elbows'!$A$8:$A$11)
+COUNT('Pool &amp; SPA Pipe Extender'!$A$8:$A$10)+1,"")</f>
        <v/>
      </c>
      <c r="B239" s="612"/>
      <c r="C239" s="613"/>
      <c r="D239" s="142" t="str">
        <f>_xlfn.XLOOKUP(E239,'All Products'!D:D,'All Products'!C:C,FALSE)</f>
        <v>897-040</v>
      </c>
      <c r="E239" s="103">
        <v>100028194</v>
      </c>
      <c r="F239" s="413" t="str">
        <f>_xlfn.XLOOKUP(E239,'All Products'!D:D,'All Products'!E:E,FALSE)</f>
        <v>4 UNION SXS SCH80</v>
      </c>
      <c r="G239" s="233">
        <f>_xlfn.XLOOKUP(E239,'All Products'!D:D,'All Products'!F:F,FALSE)</f>
        <v>2</v>
      </c>
      <c r="H239" s="196">
        <f>_xlfn.XLOOKUP(E239,'All Products'!D:D,'All Products'!G:G,FALSE)</f>
        <v>180</v>
      </c>
      <c r="I239" s="415">
        <f>_xlfn.XLOOKUP(E239,'All Products'!D:D,'All Products'!H:H,FALSE)</f>
        <v>431.91</v>
      </c>
      <c r="J239" s="130">
        <f>ROUND(I239*Order_Quote!$L$8,2)</f>
        <v>431.91</v>
      </c>
      <c r="K239" s="75"/>
      <c r="L239" s="113"/>
      <c r="M239" s="171">
        <f t="shared" si="6"/>
        <v>0</v>
      </c>
      <c r="O239" s="265" t="str">
        <f>_xlfn.XLOOKUP(E239,'All Products'!D:D,'All Products'!I:I,FALSE)</f>
        <v>In Stock</v>
      </c>
      <c r="P239" s="265" t="str">
        <f>_xlfn.XLOOKUP(E239,'All Products'!D:D,'All Products'!J:J,FALSE)</f>
        <v>Manufactured</v>
      </c>
      <c r="Q239" s="266">
        <f>_xlfn.XLOOKUP(E239,'All Products'!D:D,'All Products'!K:K,FALSE)</f>
        <v>49081171117</v>
      </c>
      <c r="R239" s="266" t="str">
        <f>_xlfn.XLOOKUP(E239,'All Products'!D:D,'All Products'!L:L,FALSE)</f>
        <v>-</v>
      </c>
      <c r="S239" s="266">
        <f>_xlfn.XLOOKUP(E239,'All Products'!D:D,'All Products'!M:M,FALSE)</f>
        <v>40049081171115</v>
      </c>
      <c r="T239" s="265">
        <f>_xlfn.XLOOKUP(E239,'All Products'!D:D,'All Products'!N:N,FALSE)</f>
        <v>7.4249999999999998</v>
      </c>
      <c r="U239" s="266" t="str">
        <f>_xlfn.XLOOKUP(E239,'All Products'!D:D,'All Products'!O:O,FALSE)</f>
        <v>-</v>
      </c>
      <c r="V239" s="265">
        <f>_xlfn.XLOOKUP(E239,'All Products'!D:D,'All Products'!P:P,FALSE)</f>
        <v>14.65</v>
      </c>
      <c r="W239" s="265">
        <f>_xlfn.XLOOKUP(E239,'All Products'!D:D,'All Products'!Q:Q,FALSE)</f>
        <v>0.8</v>
      </c>
    </row>
    <row r="240" spans="1:23">
      <c r="A240" s="101" t="str">
        <f>IF(K240&gt;0,COUNT($A$7:A239)
+COUNT('DWV PVC'!$A$9:$A$316)
+COUNT('DWV ABS'!$A$8:$A$116)
+COUNT('PVC SCH40'!$A$8:$A$424)
+COUNT('PVC SCH40 LD'!$A$8:$A$21)
+COUNT('Pool &amp; SPA Sweep Elbows'!$A$8:$A$11)
+COUNT('Pool &amp; SPA Pipe Extender'!$A$8:$A$10)+1,"")</f>
        <v/>
      </c>
      <c r="B240" s="608"/>
      <c r="C240" s="609"/>
      <c r="D240" s="142" t="str">
        <f>_xlfn.XLOOKUP(E240,'All Products'!D:D,'All Products'!C:C,FALSE)</f>
        <v>898-002</v>
      </c>
      <c r="E240" s="103">
        <v>100028195</v>
      </c>
      <c r="F240" s="413" t="str">
        <f>_xlfn.XLOOKUP(E240,'All Products'!D:D,'All Products'!E:E,FALSE)</f>
        <v>1/4 UNION FIPTXFIPT SCH80</v>
      </c>
      <c r="G240" s="233">
        <f>_xlfn.XLOOKUP(E240,'All Products'!D:D,'All Products'!F:F,FALSE)</f>
        <v>100</v>
      </c>
      <c r="H240" s="196">
        <f>_xlfn.XLOOKUP(E240,'All Products'!D:D,'All Products'!G:G,FALSE)</f>
        <v>15000</v>
      </c>
      <c r="I240" s="415">
        <f>_xlfn.XLOOKUP(E240,'All Products'!D:D,'All Products'!H:H,FALSE)</f>
        <v>76.36</v>
      </c>
      <c r="J240" s="130">
        <f>ROUND(I240*Order_Quote!$L$8,2)</f>
        <v>76.36</v>
      </c>
      <c r="K240" s="75"/>
      <c r="L240" s="113"/>
      <c r="M240" s="171">
        <f t="shared" si="6"/>
        <v>0</v>
      </c>
      <c r="O240" s="265" t="str">
        <f>_xlfn.XLOOKUP(E240,'All Products'!D:D,'All Products'!I:I,FALSE)</f>
        <v>Within 3 Weeks</v>
      </c>
      <c r="P240" s="265" t="str">
        <f>_xlfn.XLOOKUP(E240,'All Products'!D:D,'All Products'!J:J,FALSE)</f>
        <v>Manufactured</v>
      </c>
      <c r="Q240" s="266">
        <f>_xlfn.XLOOKUP(E240,'All Products'!D:D,'All Products'!K:K,FALSE)</f>
        <v>49081171186</v>
      </c>
      <c r="R240" s="266">
        <f>_xlfn.XLOOKUP(E240,'All Products'!D:D,'All Products'!L:L,FALSE)</f>
        <v>49081671181</v>
      </c>
      <c r="S240" s="266">
        <f>_xlfn.XLOOKUP(E240,'All Products'!D:D,'All Products'!M:M,FALSE)</f>
        <v>40049081171184</v>
      </c>
      <c r="T240" s="265">
        <f>_xlfn.XLOOKUP(E240,'All Products'!D:D,'All Products'!N:N,FALSE)</f>
        <v>0.123</v>
      </c>
      <c r="U240" s="266">
        <f>_xlfn.XLOOKUP(E240,'All Products'!D:D,'All Products'!O:O,FALSE)</f>
        <v>5</v>
      </c>
      <c r="V240" s="265">
        <f>_xlfn.XLOOKUP(E240,'All Products'!D:D,'All Products'!P:P,FALSE)</f>
        <v>12.03</v>
      </c>
      <c r="W240" s="265">
        <f>_xlfn.XLOOKUP(E240,'All Products'!D:D,'All Products'!Q:Q,FALSE)</f>
        <v>0.5</v>
      </c>
    </row>
    <row r="241" spans="1:23">
      <c r="A241" s="101" t="str">
        <f>IF(K241&gt;0,COUNT($A$7:A240)
+COUNT('DWV PVC'!$A$9:$A$316)
+COUNT('DWV ABS'!$A$8:$A$116)
+COUNT('PVC SCH40'!$A$8:$A$424)
+COUNT('PVC SCH40 LD'!$A$8:$A$21)
+COUNT('Pool &amp; SPA Sweep Elbows'!$A$8:$A$11)
+COUNT('Pool &amp; SPA Pipe Extender'!$A$8:$A$10)+1,"")</f>
        <v/>
      </c>
      <c r="B241" s="610"/>
      <c r="C241" s="611"/>
      <c r="D241" s="142" t="str">
        <f>_xlfn.XLOOKUP(E241,'All Products'!D:D,'All Products'!C:C,FALSE)</f>
        <v>898-003</v>
      </c>
      <c r="E241" s="103">
        <v>100028196</v>
      </c>
      <c r="F241" s="413" t="str">
        <f>_xlfn.XLOOKUP(E241,'All Products'!D:D,'All Products'!E:E,FALSE)</f>
        <v>3/8 UNION FIPTXFIPT SCH80</v>
      </c>
      <c r="G241" s="233">
        <f>_xlfn.XLOOKUP(E241,'All Products'!D:D,'All Products'!F:F,FALSE)</f>
        <v>100</v>
      </c>
      <c r="H241" s="196">
        <f>_xlfn.XLOOKUP(E241,'All Products'!D:D,'All Products'!G:G,FALSE)</f>
        <v>9000</v>
      </c>
      <c r="I241" s="415">
        <f>_xlfn.XLOOKUP(E241,'All Products'!D:D,'All Products'!H:H,FALSE)</f>
        <v>76.36</v>
      </c>
      <c r="J241" s="130">
        <f>ROUND(I241*Order_Quote!$L$8,2)</f>
        <v>76.36</v>
      </c>
      <c r="K241" s="75"/>
      <c r="L241" s="113"/>
      <c r="M241" s="171">
        <f t="shared" si="6"/>
        <v>0</v>
      </c>
      <c r="O241" s="265" t="str">
        <f>_xlfn.XLOOKUP(E241,'All Products'!D:D,'All Products'!I:I,FALSE)</f>
        <v>Within 4 Months</v>
      </c>
      <c r="P241" s="265" t="str">
        <f>_xlfn.XLOOKUP(E241,'All Products'!D:D,'All Products'!J:J,FALSE)</f>
        <v>Manufactured</v>
      </c>
      <c r="Q241" s="266">
        <f>_xlfn.XLOOKUP(E241,'All Products'!D:D,'All Products'!K:K,FALSE)</f>
        <v>49081171193</v>
      </c>
      <c r="R241" s="266" t="str">
        <f>_xlfn.XLOOKUP(E241,'All Products'!D:D,'All Products'!L:L,FALSE)</f>
        <v>-</v>
      </c>
      <c r="S241" s="266">
        <f>_xlfn.XLOOKUP(E241,'All Products'!D:D,'All Products'!M:M,FALSE)</f>
        <v>40049081171191</v>
      </c>
      <c r="T241" s="265">
        <f>_xlfn.XLOOKUP(E241,'All Products'!D:D,'All Products'!N:N,FALSE)</f>
        <v>0.17</v>
      </c>
      <c r="U241" s="266">
        <f>_xlfn.XLOOKUP(E241,'All Products'!D:D,'All Products'!O:O,FALSE)</f>
        <v>5</v>
      </c>
      <c r="V241" s="265">
        <f>_xlfn.XLOOKUP(E241,'All Products'!D:D,'All Products'!P:P,FALSE)</f>
        <v>17</v>
      </c>
      <c r="W241" s="265">
        <f>_xlfn.XLOOKUP(E241,'All Products'!D:D,'All Products'!Q:Q,FALSE)</f>
        <v>0.8</v>
      </c>
    </row>
    <row r="242" spans="1:23">
      <c r="A242" s="101" t="str">
        <f>IF(K242&gt;0,COUNT($A$7:A241)
+COUNT('DWV PVC'!$A$9:$A$316)
+COUNT('DWV ABS'!$A$8:$A$116)
+COUNT('PVC SCH40'!$A$8:$A$424)
+COUNT('PVC SCH40 LD'!$A$8:$A$21)
+COUNT('Pool &amp; SPA Sweep Elbows'!$A$8:$A$11)
+COUNT('Pool &amp; SPA Pipe Extender'!$A$8:$A$10)+1,"")</f>
        <v/>
      </c>
      <c r="B242" s="610"/>
      <c r="C242" s="611"/>
      <c r="D242" s="142" t="str">
        <f>_xlfn.XLOOKUP(E242,'All Products'!D:D,'All Products'!C:C,FALSE)</f>
        <v>898-005</v>
      </c>
      <c r="E242" s="103">
        <v>100028197</v>
      </c>
      <c r="F242" s="413" t="str">
        <f>_xlfn.XLOOKUP(E242,'All Products'!D:D,'All Products'!E:E,FALSE)</f>
        <v>1/2 UNION FIPTXFIPT SCH80</v>
      </c>
      <c r="G242" s="233">
        <f>_xlfn.XLOOKUP(E242,'All Products'!D:D,'All Products'!F:F,FALSE)</f>
        <v>50</v>
      </c>
      <c r="H242" s="196">
        <f>_xlfn.XLOOKUP(E242,'All Products'!D:D,'All Products'!G:G,FALSE)</f>
        <v>13500</v>
      </c>
      <c r="I242" s="415">
        <f>_xlfn.XLOOKUP(E242,'All Products'!D:D,'All Products'!H:H,FALSE)</f>
        <v>43.96</v>
      </c>
      <c r="J242" s="130">
        <f>ROUND(I242*Order_Quote!$L$8,2)</f>
        <v>43.96</v>
      </c>
      <c r="K242" s="75"/>
      <c r="L242" s="113"/>
      <c r="M242" s="171">
        <f t="shared" si="6"/>
        <v>0</v>
      </c>
      <c r="O242" s="265" t="str">
        <f>_xlfn.XLOOKUP(E242,'All Products'!D:D,'All Products'!I:I,FALSE)</f>
        <v>Within 3 Weeks</v>
      </c>
      <c r="P242" s="265" t="str">
        <f>_xlfn.XLOOKUP(E242,'All Products'!D:D,'All Products'!J:J,FALSE)</f>
        <v>Manufactured</v>
      </c>
      <c r="Q242" s="266">
        <f>_xlfn.XLOOKUP(E242,'All Products'!D:D,'All Products'!K:K,FALSE)</f>
        <v>49081171209</v>
      </c>
      <c r="R242" s="266" t="str">
        <f>_xlfn.XLOOKUP(E242,'All Products'!D:D,'All Products'!L:L,FALSE)</f>
        <v>-</v>
      </c>
      <c r="S242" s="266">
        <f>_xlfn.XLOOKUP(E242,'All Products'!D:D,'All Products'!M:M,FALSE)</f>
        <v>40049081171207</v>
      </c>
      <c r="T242" s="265">
        <f>_xlfn.XLOOKUP(E242,'All Products'!D:D,'All Products'!N:N,FALSE)</f>
        <v>0.128</v>
      </c>
      <c r="U242" s="266" t="str">
        <f>_xlfn.XLOOKUP(E242,'All Products'!D:D,'All Products'!O:O,FALSE)</f>
        <v>-</v>
      </c>
      <c r="V242" s="265">
        <f>_xlfn.XLOOKUP(E242,'All Products'!D:D,'All Products'!P:P,FALSE)</f>
        <v>8.49</v>
      </c>
      <c r="W242" s="265">
        <f>_xlfn.XLOOKUP(E242,'All Products'!D:D,'All Products'!Q:Q,FALSE)</f>
        <v>0.31</v>
      </c>
    </row>
    <row r="243" spans="1:23">
      <c r="A243" s="101" t="str">
        <f>IF(K243&gt;0,COUNT($A$7:A242)
+COUNT('DWV PVC'!$A$9:$A$316)
+COUNT('DWV ABS'!$A$8:$A$116)
+COUNT('PVC SCH40'!$A$8:$A$424)
+COUNT('PVC SCH40 LD'!$A$8:$A$21)
+COUNT('Pool &amp; SPA Sweep Elbows'!$A$8:$A$11)
+COUNT('Pool &amp; SPA Pipe Extender'!$A$8:$A$10)+1,"")</f>
        <v/>
      </c>
      <c r="B243" s="610"/>
      <c r="C243" s="611"/>
      <c r="D243" s="142" t="str">
        <f>_xlfn.XLOOKUP(E243,'All Products'!D:D,'All Products'!C:C,FALSE)</f>
        <v>898-007</v>
      </c>
      <c r="E243" s="103">
        <v>100028198</v>
      </c>
      <c r="F243" s="413" t="str">
        <f>_xlfn.XLOOKUP(E243,'All Products'!D:D,'All Products'!E:E,FALSE)</f>
        <v>3/4 UNION FIPTXFIPT SCH80</v>
      </c>
      <c r="G243" s="233">
        <f>_xlfn.XLOOKUP(E243,'All Products'!D:D,'All Products'!F:F,FALSE)</f>
        <v>50</v>
      </c>
      <c r="H243" s="196">
        <f>_xlfn.XLOOKUP(E243,'All Products'!D:D,'All Products'!G:G,FALSE)</f>
        <v>7500</v>
      </c>
      <c r="I243" s="415">
        <f>_xlfn.XLOOKUP(E243,'All Products'!D:D,'All Products'!H:H,FALSE)</f>
        <v>61.55</v>
      </c>
      <c r="J243" s="130">
        <f>ROUND(I243*Order_Quote!$L$8,2)</f>
        <v>61.55</v>
      </c>
      <c r="K243" s="75"/>
      <c r="L243" s="113"/>
      <c r="M243" s="171">
        <f t="shared" si="6"/>
        <v>0</v>
      </c>
      <c r="O243" s="265" t="str">
        <f>_xlfn.XLOOKUP(E243,'All Products'!D:D,'All Products'!I:I,FALSE)</f>
        <v>Within 3 Weeks</v>
      </c>
      <c r="P243" s="265" t="str">
        <f>_xlfn.XLOOKUP(E243,'All Products'!D:D,'All Products'!J:J,FALSE)</f>
        <v>Manufactured</v>
      </c>
      <c r="Q243" s="266">
        <f>_xlfn.XLOOKUP(E243,'All Products'!D:D,'All Products'!K:K,FALSE)</f>
        <v>49081171223</v>
      </c>
      <c r="R243" s="266" t="str">
        <f>_xlfn.XLOOKUP(E243,'All Products'!D:D,'All Products'!L:L,FALSE)</f>
        <v>-</v>
      </c>
      <c r="S243" s="266">
        <f>_xlfn.XLOOKUP(E243,'All Products'!D:D,'All Products'!M:M,FALSE)</f>
        <v>40049081171221</v>
      </c>
      <c r="T243" s="265">
        <f>_xlfn.XLOOKUP(E243,'All Products'!D:D,'All Products'!N:N,FALSE)</f>
        <v>0.2</v>
      </c>
      <c r="U243" s="266" t="str">
        <f>_xlfn.XLOOKUP(E243,'All Products'!D:D,'All Products'!O:O,FALSE)</f>
        <v>-</v>
      </c>
      <c r="V243" s="265">
        <f>_xlfn.XLOOKUP(E243,'All Products'!D:D,'All Products'!P:P,FALSE)</f>
        <v>13.36</v>
      </c>
      <c r="W243" s="265">
        <f>_xlfn.XLOOKUP(E243,'All Products'!D:D,'All Products'!Q:Q,FALSE)</f>
        <v>0.5</v>
      </c>
    </row>
    <row r="244" spans="1:23">
      <c r="A244" s="101" t="str">
        <f>IF(K244&gt;0,COUNT($A$7:A243)
+COUNT('DWV PVC'!$A$9:$A$316)
+COUNT('DWV ABS'!$A$8:$A$116)
+COUNT('PVC SCH40'!$A$8:$A$424)
+COUNT('PVC SCH40 LD'!$A$8:$A$21)
+COUNT('Pool &amp; SPA Sweep Elbows'!$A$8:$A$11)
+COUNT('Pool &amp; SPA Pipe Extender'!$A$8:$A$10)+1,"")</f>
        <v/>
      </c>
      <c r="B244" s="610"/>
      <c r="C244" s="611"/>
      <c r="D244" s="142" t="str">
        <f>_xlfn.XLOOKUP(E244,'All Products'!D:D,'All Products'!C:C,FALSE)</f>
        <v>898-010</v>
      </c>
      <c r="E244" s="103">
        <v>100028199</v>
      </c>
      <c r="F244" s="413" t="str">
        <f>_xlfn.XLOOKUP(E244,'All Products'!D:D,'All Products'!E:E,FALSE)</f>
        <v>1 UNION FIPTXFIPT SCH80</v>
      </c>
      <c r="G244" s="233">
        <f>_xlfn.XLOOKUP(E244,'All Products'!D:D,'All Products'!F:F,FALSE)</f>
        <v>18</v>
      </c>
      <c r="H244" s="196">
        <f>_xlfn.XLOOKUP(E244,'All Products'!D:D,'All Products'!G:G,FALSE)</f>
        <v>4860</v>
      </c>
      <c r="I244" s="415">
        <f>_xlfn.XLOOKUP(E244,'All Products'!D:D,'All Products'!H:H,FALSE)</f>
        <v>81.96</v>
      </c>
      <c r="J244" s="130">
        <f>ROUND(I244*Order_Quote!$L$8,2)</f>
        <v>81.96</v>
      </c>
      <c r="K244" s="75"/>
      <c r="L244" s="113"/>
      <c r="M244" s="171">
        <f t="shared" si="6"/>
        <v>0</v>
      </c>
      <c r="O244" s="265" t="str">
        <f>_xlfn.XLOOKUP(E244,'All Products'!D:D,'All Products'!I:I,FALSE)</f>
        <v>In Stock</v>
      </c>
      <c r="P244" s="265" t="str">
        <f>_xlfn.XLOOKUP(E244,'All Products'!D:D,'All Products'!J:J,FALSE)</f>
        <v>Manufactured</v>
      </c>
      <c r="Q244" s="266">
        <f>_xlfn.XLOOKUP(E244,'All Products'!D:D,'All Products'!K:K,FALSE)</f>
        <v>49081171247</v>
      </c>
      <c r="R244" s="266" t="str">
        <f>_xlfn.XLOOKUP(E244,'All Products'!D:D,'All Products'!L:L,FALSE)</f>
        <v>-</v>
      </c>
      <c r="S244" s="266">
        <f>_xlfn.XLOOKUP(E244,'All Products'!D:D,'All Products'!M:M,FALSE)</f>
        <v>40049081171245</v>
      </c>
      <c r="T244" s="265">
        <f>_xlfn.XLOOKUP(E244,'All Products'!D:D,'All Products'!N:N,FALSE)</f>
        <v>0.31900000000000001</v>
      </c>
      <c r="U244" s="266" t="str">
        <f>_xlfn.XLOOKUP(E244,'All Products'!D:D,'All Products'!O:O,FALSE)</f>
        <v>-</v>
      </c>
      <c r="V244" s="265">
        <f>_xlfn.XLOOKUP(E244,'All Products'!D:D,'All Products'!P:P,FALSE)</f>
        <v>7.04</v>
      </c>
      <c r="W244" s="265">
        <f>_xlfn.XLOOKUP(E244,'All Products'!D:D,'All Products'!Q:Q,FALSE)</f>
        <v>0.31</v>
      </c>
    </row>
    <row r="245" spans="1:23">
      <c r="A245" s="101" t="str">
        <f>IF(K245&gt;0,COUNT($A$7:A244)
+COUNT('DWV PVC'!$A$9:$A$316)
+COUNT('DWV ABS'!$A$8:$A$116)
+COUNT('PVC SCH40'!$A$8:$A$424)
+COUNT('PVC SCH40 LD'!$A$8:$A$21)
+COUNT('Pool &amp; SPA Sweep Elbows'!$A$8:$A$11)
+COUNT('Pool &amp; SPA Pipe Extender'!$A$8:$A$10)+1,"")</f>
        <v/>
      </c>
      <c r="B245" s="610"/>
      <c r="C245" s="611"/>
      <c r="D245" s="142" t="str">
        <f>_xlfn.XLOOKUP(E245,'All Products'!D:D,'All Products'!C:C,FALSE)</f>
        <v>898-012</v>
      </c>
      <c r="E245" s="103">
        <v>100028200</v>
      </c>
      <c r="F245" s="413" t="str">
        <f>_xlfn.XLOOKUP(E245,'All Products'!D:D,'All Products'!E:E,FALSE)</f>
        <v>1-1/4 UNION FIPTXFIPT SCH80</v>
      </c>
      <c r="G245" s="233">
        <f>_xlfn.XLOOKUP(E245,'All Products'!D:D,'All Products'!F:F,FALSE)</f>
        <v>10</v>
      </c>
      <c r="H245" s="196">
        <f>_xlfn.XLOOKUP(E245,'All Products'!D:D,'All Products'!G:G,FALSE)</f>
        <v>2700</v>
      </c>
      <c r="I245" s="415">
        <f>_xlfn.XLOOKUP(E245,'All Products'!D:D,'All Products'!H:H,FALSE)</f>
        <v>156.26</v>
      </c>
      <c r="J245" s="130">
        <f>ROUND(I245*Order_Quote!$L$8,2)</f>
        <v>156.26</v>
      </c>
      <c r="K245" s="75"/>
      <c r="L245" s="113"/>
      <c r="M245" s="171">
        <f t="shared" si="6"/>
        <v>0</v>
      </c>
      <c r="O245" s="265" t="str">
        <f>_xlfn.XLOOKUP(E245,'All Products'!D:D,'All Products'!I:I,FALSE)</f>
        <v>In Stock</v>
      </c>
      <c r="P245" s="265" t="str">
        <f>_xlfn.XLOOKUP(E245,'All Products'!D:D,'All Products'!J:J,FALSE)</f>
        <v>Manufactured</v>
      </c>
      <c r="Q245" s="266">
        <f>_xlfn.XLOOKUP(E245,'All Products'!D:D,'All Products'!K:K,FALSE)</f>
        <v>49081171261</v>
      </c>
      <c r="R245" s="266" t="str">
        <f>_xlfn.XLOOKUP(E245,'All Products'!D:D,'All Products'!L:L,FALSE)</f>
        <v>-</v>
      </c>
      <c r="S245" s="266">
        <f>_xlfn.XLOOKUP(E245,'All Products'!D:D,'All Products'!M:M,FALSE)</f>
        <v>40049081171269</v>
      </c>
      <c r="T245" s="265">
        <f>_xlfn.XLOOKUP(E245,'All Products'!D:D,'All Products'!N:N,FALSE)</f>
        <v>0.5</v>
      </c>
      <c r="U245" s="266" t="str">
        <f>_xlfn.XLOOKUP(E245,'All Products'!D:D,'All Products'!O:O,FALSE)</f>
        <v>-</v>
      </c>
      <c r="V245" s="265">
        <f>_xlfn.XLOOKUP(E245,'All Products'!D:D,'All Products'!P:P,FALSE)</f>
        <v>5</v>
      </c>
      <c r="W245" s="265">
        <f>_xlfn.XLOOKUP(E245,'All Products'!D:D,'All Products'!Q:Q,FALSE)</f>
        <v>0.31</v>
      </c>
    </row>
    <row r="246" spans="1:23">
      <c r="A246" s="101" t="str">
        <f>IF(K246&gt;0,COUNT($A$7:A245)
+COUNT('DWV PVC'!$A$9:$A$316)
+COUNT('DWV ABS'!$A$8:$A$116)
+COUNT('PVC SCH40'!$A$8:$A$424)
+COUNT('PVC SCH40 LD'!$A$8:$A$21)
+COUNT('Pool &amp; SPA Sweep Elbows'!$A$8:$A$11)
+COUNT('Pool &amp; SPA Pipe Extender'!$A$8:$A$10)+1,"")</f>
        <v/>
      </c>
      <c r="B246" s="610"/>
      <c r="C246" s="611"/>
      <c r="D246" s="142" t="str">
        <f>_xlfn.XLOOKUP(E246,'All Products'!D:D,'All Products'!C:C,FALSE)</f>
        <v>898-015</v>
      </c>
      <c r="E246" s="103">
        <v>100028201</v>
      </c>
      <c r="F246" s="413" t="str">
        <f>_xlfn.XLOOKUP(E246,'All Products'!D:D,'All Products'!E:E,FALSE)</f>
        <v>1-1/2 UNION FIPTXFIPT SCH80</v>
      </c>
      <c r="G246" s="233">
        <f>_xlfn.XLOOKUP(E246,'All Products'!D:D,'All Products'!F:F,FALSE)</f>
        <v>10</v>
      </c>
      <c r="H246" s="196">
        <f>_xlfn.XLOOKUP(E246,'All Products'!D:D,'All Products'!G:G,FALSE)</f>
        <v>1500</v>
      </c>
      <c r="I246" s="415">
        <f>_xlfn.XLOOKUP(E246,'All Products'!D:D,'All Products'!H:H,FALSE)</f>
        <v>193.51</v>
      </c>
      <c r="J246" s="130">
        <f>ROUND(I246*Order_Quote!$L$8,2)</f>
        <v>193.51</v>
      </c>
      <c r="K246" s="75"/>
      <c r="L246" s="113"/>
      <c r="M246" s="171">
        <f t="shared" si="6"/>
        <v>0</v>
      </c>
      <c r="O246" s="265" t="str">
        <f>_xlfn.XLOOKUP(E246,'All Products'!D:D,'All Products'!I:I,FALSE)</f>
        <v>Within 3 Weeks</v>
      </c>
      <c r="P246" s="265" t="str">
        <f>_xlfn.XLOOKUP(E246,'All Products'!D:D,'All Products'!J:J,FALSE)</f>
        <v>Manufactured</v>
      </c>
      <c r="Q246" s="266">
        <f>_xlfn.XLOOKUP(E246,'All Products'!D:D,'All Products'!K:K,FALSE)</f>
        <v>49081171285</v>
      </c>
      <c r="R246" s="266" t="str">
        <f>_xlfn.XLOOKUP(E246,'All Products'!D:D,'All Products'!L:L,FALSE)</f>
        <v>-</v>
      </c>
      <c r="S246" s="266">
        <f>_xlfn.XLOOKUP(E246,'All Products'!D:D,'All Products'!M:M,FALSE)</f>
        <v>40049081171283</v>
      </c>
      <c r="T246" s="265">
        <f>_xlfn.XLOOKUP(E246,'All Products'!D:D,'All Products'!N:N,FALSE)</f>
        <v>0.86499999999999999</v>
      </c>
      <c r="U246" s="266" t="str">
        <f>_xlfn.XLOOKUP(E246,'All Products'!D:D,'All Products'!O:O,FALSE)</f>
        <v>-</v>
      </c>
      <c r="V246" s="265">
        <f>_xlfn.XLOOKUP(E246,'All Products'!D:D,'All Products'!P:P,FALSE)</f>
        <v>6.92</v>
      </c>
      <c r="W246" s="265">
        <f>_xlfn.XLOOKUP(E246,'All Products'!D:D,'All Products'!Q:Q,FALSE)</f>
        <v>0.5</v>
      </c>
    </row>
    <row r="247" spans="1:23">
      <c r="A247" s="101" t="str">
        <f>IF(K247&gt;0,COUNT($A$7:A246)
+COUNT('DWV PVC'!$A$9:$A$316)
+COUNT('DWV ABS'!$A$8:$A$116)
+COUNT('PVC SCH40'!$A$8:$A$424)
+COUNT('PVC SCH40 LD'!$A$8:$A$21)
+COUNT('Pool &amp; SPA Sweep Elbows'!$A$8:$A$11)
+COUNT('Pool &amp; SPA Pipe Extender'!$A$8:$A$10)+1,"")</f>
        <v/>
      </c>
      <c r="B247" s="610"/>
      <c r="C247" s="611"/>
      <c r="D247" s="142" t="str">
        <f>_xlfn.XLOOKUP(E247,'All Products'!D:D,'All Products'!C:C,FALSE)</f>
        <v>898-020</v>
      </c>
      <c r="E247" s="103">
        <v>100028202</v>
      </c>
      <c r="F247" s="413" t="str">
        <f>_xlfn.XLOOKUP(E247,'All Products'!D:D,'All Products'!E:E,FALSE)</f>
        <v>2 UNION FIPTXFIPT SCH80</v>
      </c>
      <c r="G247" s="233">
        <f>_xlfn.XLOOKUP(E247,'All Products'!D:D,'All Products'!F:F,FALSE)</f>
        <v>16</v>
      </c>
      <c r="H247" s="196">
        <f>_xlfn.XLOOKUP(E247,'All Products'!D:D,'All Products'!G:G,FALSE)</f>
        <v>1200</v>
      </c>
      <c r="I247" s="415">
        <f>_xlfn.XLOOKUP(E247,'All Products'!D:D,'All Products'!H:H,FALSE)</f>
        <v>297.79000000000002</v>
      </c>
      <c r="J247" s="130">
        <f>ROUND(I247*Order_Quote!$L$8,2)</f>
        <v>297.79000000000002</v>
      </c>
      <c r="K247" s="75"/>
      <c r="L247" s="113"/>
      <c r="M247" s="171">
        <f t="shared" si="6"/>
        <v>0</v>
      </c>
      <c r="O247" s="265" t="str">
        <f>_xlfn.XLOOKUP(E247,'All Products'!D:D,'All Products'!I:I,FALSE)</f>
        <v>Within 3 Weeks</v>
      </c>
      <c r="P247" s="265" t="str">
        <f>_xlfn.XLOOKUP(E247,'All Products'!D:D,'All Products'!J:J,FALSE)</f>
        <v>Manufactured</v>
      </c>
      <c r="Q247" s="266">
        <f>_xlfn.XLOOKUP(E247,'All Products'!D:D,'All Products'!K:K,FALSE)</f>
        <v>49081171308</v>
      </c>
      <c r="R247" s="266" t="str">
        <f>_xlfn.XLOOKUP(E247,'All Products'!D:D,'All Products'!L:L,FALSE)</f>
        <v>-</v>
      </c>
      <c r="S247" s="266">
        <f>_xlfn.XLOOKUP(E247,'All Products'!D:D,'All Products'!M:M,FALSE)</f>
        <v>40049081171306</v>
      </c>
      <c r="T247" s="265">
        <f>_xlfn.XLOOKUP(E247,'All Products'!D:D,'All Products'!N:N,FALSE)</f>
        <v>1.8140000000000001</v>
      </c>
      <c r="U247" s="266" t="str">
        <f>_xlfn.XLOOKUP(E247,'All Products'!D:D,'All Products'!O:O,FALSE)</f>
        <v>-</v>
      </c>
      <c r="V247" s="265">
        <f>_xlfn.XLOOKUP(E247,'All Products'!D:D,'All Products'!P:P,FALSE)</f>
        <v>14.15</v>
      </c>
      <c r="W247" s="265">
        <f>_xlfn.XLOOKUP(E247,'All Products'!D:D,'All Products'!Q:Q,FALSE)</f>
        <v>1.1000000000000001</v>
      </c>
    </row>
    <row r="248" spans="1:23">
      <c r="A248" s="101" t="str">
        <f>IF(K248&gt;0,COUNT($A$7:A247)
+COUNT('DWV PVC'!$A$9:$A$316)
+COUNT('DWV ABS'!$A$8:$A$116)
+COUNT('PVC SCH40'!$A$8:$A$424)
+COUNT('PVC SCH40 LD'!$A$8:$A$21)
+COUNT('Pool &amp; SPA Sweep Elbows'!$A$8:$A$11)
+COUNT('Pool &amp; SPA Pipe Extender'!$A$8:$A$10)+1,"")</f>
        <v/>
      </c>
      <c r="B248" s="610"/>
      <c r="C248" s="611"/>
      <c r="D248" s="142" t="str">
        <f>_xlfn.XLOOKUP(E248,'All Products'!D:D,'All Products'!C:C,FALSE)</f>
        <v>898-030</v>
      </c>
      <c r="E248" s="103">
        <v>100028204</v>
      </c>
      <c r="F248" s="413" t="str">
        <f>_xlfn.XLOOKUP(E248,'All Products'!D:D,'All Products'!E:E,FALSE)</f>
        <v>3 UNION FIPTXFIPT SCH80</v>
      </c>
      <c r="G248" s="233">
        <f>_xlfn.XLOOKUP(E248,'All Products'!D:D,'All Products'!F:F,FALSE)</f>
        <v>3</v>
      </c>
      <c r="H248" s="196">
        <f>_xlfn.XLOOKUP(E248,'All Products'!D:D,'All Products'!G:G,FALSE)</f>
        <v>450</v>
      </c>
      <c r="I248" s="415">
        <f>_xlfn.XLOOKUP(E248,'All Products'!D:D,'All Products'!H:H,FALSE)</f>
        <v>755.39</v>
      </c>
      <c r="J248" s="130">
        <f>ROUND(I248*Order_Quote!$L$8,2)</f>
        <v>755.39</v>
      </c>
      <c r="K248" s="75"/>
      <c r="L248" s="113"/>
      <c r="M248" s="171">
        <f t="shared" si="6"/>
        <v>0</v>
      </c>
      <c r="O248" s="265" t="str">
        <f>_xlfn.XLOOKUP(E248,'All Products'!D:D,'All Products'!I:I,FALSE)</f>
        <v>In Stock</v>
      </c>
      <c r="P248" s="265" t="str">
        <f>_xlfn.XLOOKUP(E248,'All Products'!D:D,'All Products'!J:J,FALSE)</f>
        <v>Manufactured</v>
      </c>
      <c r="Q248" s="266">
        <f>_xlfn.XLOOKUP(E248,'All Products'!D:D,'All Products'!K:K,FALSE)</f>
        <v>49081171322</v>
      </c>
      <c r="R248" s="266" t="str">
        <f>_xlfn.XLOOKUP(E248,'All Products'!D:D,'All Products'!L:L,FALSE)</f>
        <v>-</v>
      </c>
      <c r="S248" s="266">
        <f>_xlfn.XLOOKUP(E248,'All Products'!D:D,'All Products'!M:M,FALSE)</f>
        <v>40049081171320</v>
      </c>
      <c r="T248" s="265">
        <f>_xlfn.XLOOKUP(E248,'All Products'!D:D,'All Products'!N:N,FALSE)</f>
        <v>3.1829999999999998</v>
      </c>
      <c r="U248" s="266" t="str">
        <f>_xlfn.XLOOKUP(E248,'All Products'!D:D,'All Products'!O:O,FALSE)</f>
        <v>-</v>
      </c>
      <c r="V248" s="265">
        <f>_xlfn.XLOOKUP(E248,'All Products'!D:D,'All Products'!P:P,FALSE)</f>
        <v>7.84</v>
      </c>
      <c r="W248" s="265">
        <f>_xlfn.XLOOKUP(E248,'All Products'!D:D,'All Products'!Q:Q,FALSE)</f>
        <v>0.5</v>
      </c>
    </row>
    <row r="249" spans="1:23">
      <c r="A249" s="101" t="str">
        <f>IF(K249&gt;0,COUNT($A$7:A248)
+COUNT('DWV PVC'!$A$9:$A$316)
+COUNT('DWV ABS'!$A$8:$A$116)
+COUNT('PVC SCH40'!$A$8:$A$424)
+COUNT('PVC SCH40 LD'!$A$8:$A$21)
+COUNT('Pool &amp; SPA Sweep Elbows'!$A$8:$A$11)
+COUNT('Pool &amp; SPA Pipe Extender'!$A$8:$A$10)+1,"")</f>
        <v/>
      </c>
      <c r="B249" s="612"/>
      <c r="C249" s="613"/>
      <c r="D249" s="142" t="str">
        <f>_xlfn.XLOOKUP(E249,'All Products'!D:D,'All Products'!C:C,FALSE)</f>
        <v>898-040</v>
      </c>
      <c r="E249" s="103">
        <v>100028205</v>
      </c>
      <c r="F249" s="413" t="str">
        <f>_xlfn.XLOOKUP(E249,'All Products'!D:D,'All Products'!E:E,FALSE)</f>
        <v>4 UNION FIPTXFIPT SCH80</v>
      </c>
      <c r="G249" s="233">
        <f>_xlfn.XLOOKUP(E249,'All Products'!D:D,'All Products'!F:F,FALSE)</f>
        <v>2</v>
      </c>
      <c r="H249" s="196">
        <f>_xlfn.XLOOKUP(E249,'All Products'!D:D,'All Products'!G:G,FALSE)</f>
        <v>180</v>
      </c>
      <c r="I249" s="415">
        <f>_xlfn.XLOOKUP(E249,'All Products'!D:D,'All Products'!H:H,FALSE)</f>
        <v>883.53</v>
      </c>
      <c r="J249" s="130">
        <f>ROUND(I249*Order_Quote!$L$8,2)</f>
        <v>883.53</v>
      </c>
      <c r="K249" s="75"/>
      <c r="L249" s="113"/>
      <c r="M249" s="171">
        <f t="shared" si="6"/>
        <v>0</v>
      </c>
      <c r="O249" s="265" t="str">
        <f>_xlfn.XLOOKUP(E249,'All Products'!D:D,'All Products'!I:I,FALSE)</f>
        <v>In Stock</v>
      </c>
      <c r="P249" s="265" t="str">
        <f>_xlfn.XLOOKUP(E249,'All Products'!D:D,'All Products'!J:J,FALSE)</f>
        <v>Manufactured</v>
      </c>
      <c r="Q249" s="266">
        <f>_xlfn.XLOOKUP(E249,'All Products'!D:D,'All Products'!K:K,FALSE)</f>
        <v>49081171216</v>
      </c>
      <c r="R249" s="266" t="str">
        <f>_xlfn.XLOOKUP(E249,'All Products'!D:D,'All Products'!L:L,FALSE)</f>
        <v>-</v>
      </c>
      <c r="S249" s="266">
        <f>_xlfn.XLOOKUP(E249,'All Products'!D:D,'All Products'!M:M,FALSE)</f>
        <v>40049081171214</v>
      </c>
      <c r="T249" s="265">
        <f>_xlfn.XLOOKUP(E249,'All Products'!D:D,'All Products'!N:N,FALSE)</f>
        <v>7.48</v>
      </c>
      <c r="U249" s="266" t="str">
        <f>_xlfn.XLOOKUP(E249,'All Products'!D:D,'All Products'!O:O,FALSE)</f>
        <v>-</v>
      </c>
      <c r="V249" s="265">
        <f>_xlfn.XLOOKUP(E249,'All Products'!D:D,'All Products'!P:P,FALSE)</f>
        <v>14.98</v>
      </c>
      <c r="W249" s="265">
        <f>_xlfn.XLOOKUP(E249,'All Products'!D:D,'All Products'!Q:Q,FALSE)</f>
        <v>0.8</v>
      </c>
    </row>
    <row r="250" spans="1:23">
      <c r="A250" s="101">
        <f>MAX(A8:A249)+1</f>
        <v>1</v>
      </c>
      <c r="T250" s="267"/>
    </row>
    <row r="251" spans="1:23"/>
    <row r="252" spans="1:23"/>
    <row r="253" spans="1:23"/>
    <row r="254" spans="1:23"/>
    <row r="255" spans="1:23"/>
    <row r="256" spans="1:23"/>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sheetData>
  <sheetProtection algorithmName="SHA-512" hashValue="Z3MY4tI1UWCTa6RRBoOc2768JdKJ58nVWWGPsE2qFGCJkZb7AiysaCPGPvaA6QdvrpIas3Tiwgz5JlmGLOjpAA==" saltValue="PuXbQkHu9KHpZIYtn22t/Q==" spinCount="100000" sheet="1" formatCells="0" formatColumns="0" formatRows="0" insertColumns="0" insertRows="0" insertHyperlinks="0" deleteColumns="0" deleteRows="0" sort="0" autoFilter="0" pivotTables="0"/>
  <mergeCells count="29">
    <mergeCell ref="Q6:S6"/>
    <mergeCell ref="B67:C79"/>
    <mergeCell ref="B80:C81"/>
    <mergeCell ref="B82:C91"/>
    <mergeCell ref="B21:C26"/>
    <mergeCell ref="B27:C35"/>
    <mergeCell ref="B36:C38"/>
    <mergeCell ref="B39:C46"/>
    <mergeCell ref="B8:C20"/>
    <mergeCell ref="B120:C146"/>
    <mergeCell ref="B63:C66"/>
    <mergeCell ref="B92:C92"/>
    <mergeCell ref="B47:C48"/>
    <mergeCell ref="B49:C49"/>
    <mergeCell ref="B50:C62"/>
    <mergeCell ref="J2:K3"/>
    <mergeCell ref="B93:C93"/>
    <mergeCell ref="B94:C103"/>
    <mergeCell ref="B104:C114"/>
    <mergeCell ref="B115:C119"/>
    <mergeCell ref="B226:C226"/>
    <mergeCell ref="B227:C228"/>
    <mergeCell ref="B229:C239"/>
    <mergeCell ref="B240:C249"/>
    <mergeCell ref="B147:C174"/>
    <mergeCell ref="B175:C196"/>
    <mergeCell ref="B197:C208"/>
    <mergeCell ref="B209:C216"/>
    <mergeCell ref="B217:C225"/>
  </mergeCells>
  <dataValidations xWindow="1138" yWindow="673" count="5">
    <dataValidation type="whole" operator="greaterThanOrEqual" allowBlank="1" showInputMessage="1" showErrorMessage="1" errorTitle="Invalid Entry!" error="An invalid quantity has been entered. Please enter only whole numbers. Click Retry to change entry or Cancel to clear entry." sqref="L1:L6 L66:L65266" xr:uid="{00000000-0002-0000-0A00-000000000000}">
      <formula1>1</formula1>
    </dataValidation>
    <dataValidation type="decimal" operator="lessThanOrEqual" allowBlank="1" showInputMessage="1" showErrorMessage="1" errorTitle="Invalid Entry!" error="An invalid quantity has been entered. Please enter only decimal numbers. Click Retry to change entry or Cancel to clear entry." sqref="E2" xr:uid="{00000000-0002-0000-0A00-000001000000}">
      <formula1>0.35</formula1>
    </dataValidation>
    <dataValidation type="whole" operator="greaterThanOrEqual" allowBlank="1" showInputMessage="1" showErrorMessage="1" errorTitle="Invalid entry!" error="An invalid quantity has been entered. Please enter only whole numbers. Click Retry to change entry or Cancel to clear entry." sqref="L7" xr:uid="{00000000-0002-0000-0A00-000003000000}">
      <formula1>1</formula1>
    </dataValidation>
    <dataValidation type="whole" operator="greaterThanOrEqual" allowBlank="1" showInputMessage="1" showErrorMessage="1" errorTitle="Invalid Entry!" error="An invalid quantity has been entered. Please enter only whole numbers. Click Retry to change entry or Cancel to clear entry." promptTitle="Box Quantities" prompt="Enter only whole box quantities" sqref="L8:L65" xr:uid="{00000000-0002-0000-0A00-000002000000}">
      <formula1>1</formula1>
    </dataValidation>
    <dataValidation allowBlank="1" showErrorMessage="1" sqref="K1:K1048576" xr:uid="{203EFDE3-18DB-4D72-B1EF-BEF0BDCA4773}"/>
  </dataValidations>
  <printOptions horizontalCentered="1"/>
  <pageMargins left="0.7" right="0.7" top="0.75" bottom="0.75" header="0.3" footer="0.3"/>
  <pageSetup scale="70" fitToHeight="0" orientation="portrait" horizontalDpi="4294967292" r:id="rId1"/>
  <headerFooter>
    <oddFooter>&amp;L&amp;8V06032014&amp;CCopyright 2014
All rights reserved
For Tigre-ADS USA customer and rep use only_x000D_&amp;1#&amp;"Aptos"&amp;11&amp;K000000 TIGRE:Internal&amp;R&amp;P</oddFooter>
  </headerFooter>
  <rowBreaks count="5" manualBreakCount="5">
    <brk id="46" max="8" man="1"/>
    <brk id="91" max="8" man="1"/>
    <brk id="119" max="8" man="1"/>
    <brk id="174" max="8" man="1"/>
    <brk id="216"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29a89f3-ef4e-465e-8ddd-fbde81e1a35a" xsi:nil="true"/>
    <lcf76f155ced4ddcb4097134ff3c332f xmlns="8c60532b-8f12-42bc-92c4-ac83d50c601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6C3A133FF7F64888EBC41172B4DF4F" ma:contentTypeVersion="22" ma:contentTypeDescription="Create a new document." ma:contentTypeScope="" ma:versionID="81f1e35ba3b6929674d618a2cea4286c">
  <xsd:schema xmlns:xsd="http://www.w3.org/2001/XMLSchema" xmlns:xs="http://www.w3.org/2001/XMLSchema" xmlns:p="http://schemas.microsoft.com/office/2006/metadata/properties" xmlns:ns2="8c60532b-8f12-42bc-92c4-ac83d50c6016" xmlns:ns3="429a89f3-ef4e-465e-8ddd-fbde81e1a35a" targetNamespace="http://schemas.microsoft.com/office/2006/metadata/properties" ma:root="true" ma:fieldsID="3c72d15b60e4d1c015376398d67758eb" ns2:_="" ns3:_="">
    <xsd:import namespace="8c60532b-8f12-42bc-92c4-ac83d50c6016"/>
    <xsd:import namespace="429a89f3-ef4e-465e-8ddd-fbde81e1a3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60532b-8f12-42bc-92c4-ac83d50c60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d3f5c1f-3c76-4ed6-83ee-3900863d08db"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9a89f3-ef4e-465e-8ddd-fbde81e1a35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9a2a4c3-1bdd-4486-81b2-83d6d5a2de4a}" ma:internalName="TaxCatchAll" ma:showField="CatchAllData" ma:web="429a89f3-ef4e-465e-8ddd-fbde81e1a35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381262-90BE-4C14-A16C-D77FFC3475A8}">
  <ds:schemaRefs>
    <ds:schemaRef ds:uri="http://purl.org/dc/dcmitype/"/>
    <ds:schemaRef ds:uri="http://purl.org/dc/terms/"/>
    <ds:schemaRef ds:uri="http://schemas.microsoft.com/office/2006/metadata/properties"/>
    <ds:schemaRef ds:uri="8c60532b-8f12-42bc-92c4-ac83d50c6016"/>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429a89f3-ef4e-465e-8ddd-fbde81e1a35a"/>
    <ds:schemaRef ds:uri="http://purl.org/dc/elements/1.1/"/>
  </ds:schemaRefs>
</ds:datastoreItem>
</file>

<file path=customXml/itemProps2.xml><?xml version="1.0" encoding="utf-8"?>
<ds:datastoreItem xmlns:ds="http://schemas.openxmlformats.org/officeDocument/2006/customXml" ds:itemID="{00754390-9C08-41E2-913E-53A19F0145A8}">
  <ds:schemaRefs>
    <ds:schemaRef ds:uri="http://schemas.microsoft.com/sharepoint/v3/contenttype/forms"/>
  </ds:schemaRefs>
</ds:datastoreItem>
</file>

<file path=customXml/itemProps3.xml><?xml version="1.0" encoding="utf-8"?>
<ds:datastoreItem xmlns:ds="http://schemas.openxmlformats.org/officeDocument/2006/customXml" ds:itemID="{477038CE-D777-434F-84D0-8A64202810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60532b-8f12-42bc-92c4-ac83d50c6016"/>
    <ds:schemaRef ds:uri="429a89f3-ef4e-465e-8ddd-fbde81e1a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117358f-60ff-4ac6-be87-0bae163c5770}" enabled="1" method="Privileged" siteId="{52130f36-b8f4-4f15-9651-970d647a38c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57</vt:i4>
      </vt:variant>
    </vt:vector>
  </HeadingPairs>
  <TitlesOfParts>
    <vt:vector size="89" baseType="lpstr">
      <vt:lpstr>Instructions</vt:lpstr>
      <vt:lpstr>Order_Quote</vt:lpstr>
      <vt:lpstr>DWV ABS</vt:lpstr>
      <vt:lpstr>DWV PVC</vt:lpstr>
      <vt:lpstr>PVC SCH40</vt:lpstr>
      <vt:lpstr>PVC SCH40 LD</vt:lpstr>
      <vt:lpstr>Pool &amp; SPA Sweep Elbows</vt:lpstr>
      <vt:lpstr>Pool &amp; SPA Pipe Extender</vt:lpstr>
      <vt:lpstr>PVC SCH80</vt:lpstr>
      <vt:lpstr>PVC SCH80 Flange</vt:lpstr>
      <vt:lpstr>PVC SCH80 LD Flange</vt:lpstr>
      <vt:lpstr>CPVC</vt:lpstr>
      <vt:lpstr>InsertFittings</vt:lpstr>
      <vt:lpstr>Valves</vt:lpstr>
      <vt:lpstr>SDR35SW</vt:lpstr>
      <vt:lpstr>SDR35G</vt:lpstr>
      <vt:lpstr>SDR26G</vt:lpstr>
      <vt:lpstr>Cements</vt:lpstr>
      <vt:lpstr>ValveBox</vt:lpstr>
      <vt:lpstr>ValveBox Components</vt:lpstr>
      <vt:lpstr>Drainage</vt:lpstr>
      <vt:lpstr>Nipples</vt:lpstr>
      <vt:lpstr>Manifold</vt:lpstr>
      <vt:lpstr>FlexibleRepairCouplings</vt:lpstr>
      <vt:lpstr>DuraFix</vt:lpstr>
      <vt:lpstr>Compression Fittings</vt:lpstr>
      <vt:lpstr>Hose Fittings</vt:lpstr>
      <vt:lpstr>Swing Joints</vt:lpstr>
      <vt:lpstr>Swing Joints Components</vt:lpstr>
      <vt:lpstr>Nonstandard</vt:lpstr>
      <vt:lpstr>Purchase Order Requirements</vt:lpstr>
      <vt:lpstr>All Products</vt:lpstr>
      <vt:lpstr>'All Products'!Print_Area</vt:lpstr>
      <vt:lpstr>Cements!Print_Area</vt:lpstr>
      <vt:lpstr>'Compression Fittings'!Print_Area</vt:lpstr>
      <vt:lpstr>CPVC!Print_Area</vt:lpstr>
      <vt:lpstr>Drainage!Print_Area</vt:lpstr>
      <vt:lpstr>DuraFix!Print_Area</vt:lpstr>
      <vt:lpstr>'DWV ABS'!Print_Area</vt:lpstr>
      <vt:lpstr>'DWV PVC'!Print_Area</vt:lpstr>
      <vt:lpstr>FlexibleRepairCouplings!Print_Area</vt:lpstr>
      <vt:lpstr>'Hose Fittings'!Print_Area</vt:lpstr>
      <vt:lpstr>InsertFittings!Print_Area</vt:lpstr>
      <vt:lpstr>Manifold!Print_Area</vt:lpstr>
      <vt:lpstr>Nipples!Print_Area</vt:lpstr>
      <vt:lpstr>'Pool &amp; SPA Pipe Extender'!Print_Area</vt:lpstr>
      <vt:lpstr>'Pool &amp; SPA Sweep Elbows'!Print_Area</vt:lpstr>
      <vt:lpstr>'PVC SCH40'!Print_Area</vt:lpstr>
      <vt:lpstr>'PVC SCH40 LD'!Print_Area</vt:lpstr>
      <vt:lpstr>'PVC SCH80'!Print_Area</vt:lpstr>
      <vt:lpstr>'PVC SCH80 Flange'!Print_Area</vt:lpstr>
      <vt:lpstr>'PVC SCH80 LD Flange'!Print_Area</vt:lpstr>
      <vt:lpstr>SDR26G!Print_Area</vt:lpstr>
      <vt:lpstr>SDR35G!Print_Area</vt:lpstr>
      <vt:lpstr>SDR35SW!Print_Area</vt:lpstr>
      <vt:lpstr>'Swing Joints'!Print_Area</vt:lpstr>
      <vt:lpstr>'Swing Joints Components'!Print_Area</vt:lpstr>
      <vt:lpstr>ValveBox!Print_Area</vt:lpstr>
      <vt:lpstr>'ValveBox Components'!Print_Area</vt:lpstr>
      <vt:lpstr>Valves!Print_Area</vt:lpstr>
      <vt:lpstr>'All Products'!Print_Titles</vt:lpstr>
      <vt:lpstr>Cements!Print_Titles</vt:lpstr>
      <vt:lpstr>'Compression Fittings'!Print_Titles</vt:lpstr>
      <vt:lpstr>CPVC!Print_Titles</vt:lpstr>
      <vt:lpstr>Drainage!Print_Titles</vt:lpstr>
      <vt:lpstr>DuraFix!Print_Titles</vt:lpstr>
      <vt:lpstr>'DWV ABS'!Print_Titles</vt:lpstr>
      <vt:lpstr>'DWV PVC'!Print_Titles</vt:lpstr>
      <vt:lpstr>FlexibleRepairCouplings!Print_Titles</vt:lpstr>
      <vt:lpstr>'Hose Fittings'!Print_Titles</vt:lpstr>
      <vt:lpstr>InsertFittings!Print_Titles</vt:lpstr>
      <vt:lpstr>Manifold!Print_Titles</vt:lpstr>
      <vt:lpstr>Nipples!Print_Titles</vt:lpstr>
      <vt:lpstr>Order_Quote!Print_Titles</vt:lpstr>
      <vt:lpstr>'Pool &amp; SPA Pipe Extender'!Print_Titles</vt:lpstr>
      <vt:lpstr>'Pool &amp; SPA Sweep Elbows'!Print_Titles</vt:lpstr>
      <vt:lpstr>'PVC SCH40'!Print_Titles</vt:lpstr>
      <vt:lpstr>'PVC SCH40 LD'!Print_Titles</vt:lpstr>
      <vt:lpstr>'PVC SCH80'!Print_Titles</vt:lpstr>
      <vt:lpstr>'PVC SCH80 Flange'!Print_Titles</vt:lpstr>
      <vt:lpstr>'PVC SCH80 LD Flange'!Print_Titles</vt:lpstr>
      <vt:lpstr>SDR26G!Print_Titles</vt:lpstr>
      <vt:lpstr>SDR35G!Print_Titles</vt:lpstr>
      <vt:lpstr>SDR35SW!Print_Titles</vt:lpstr>
      <vt:lpstr>'Swing Joints'!Print_Titles</vt:lpstr>
      <vt:lpstr>'Swing Joints Components'!Print_Titles</vt:lpstr>
      <vt:lpstr>ValveBox!Print_Titles</vt:lpstr>
      <vt:lpstr>'ValveBox Components'!Print_Titles</vt:lpstr>
      <vt:lpstr>Valves!Print_Titles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Tigre USA order workbook</dc:title>
  <dc:subject>April 2012 revision</dc:subject>
  <dc:creator>tigreusa.managers@tigre.com</dc:creator>
  <cp:keywords/>
  <dc:description/>
  <cp:lastModifiedBy>Nicole Kreuziger</cp:lastModifiedBy>
  <cp:revision/>
  <dcterms:created xsi:type="dcterms:W3CDTF">2009-06-16T19:41:05Z</dcterms:created>
  <dcterms:modified xsi:type="dcterms:W3CDTF">2026-08-14T18:55:32Z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0x010100B56C3A133FF7F64888EBC41172B4DF4F</vt:lpwstr>
  </property>
  <property fmtid="{D5CDD505-2E9C-101B-9397-08002B2CF9AE}" pid="3" name="MediaServiceImageTags">
    <vt:lpwstr/>
  </property>
  <property fmtid="{D5CDD505-2E9C-101B-9397-08002B2CF9AE}" pid="4" name="NXPowerLiteLastOptimized">
    <vt:lpwstr>11321749</vt:lpwstr>
  </property>
  <property fmtid="{D5CDD505-2E9C-101B-9397-08002B2CF9AE}" pid="5" name="NXPowerLiteSettings">
    <vt:lpwstr>C7000400038000</vt:lpwstr>
  </property>
  <property fmtid="{D5CDD505-2E9C-101B-9397-08002B2CF9AE}" pid="6" name="NXPowerLiteVersion">
    <vt:lpwstr>S10.0.0</vt:lpwstr>
  </property>
</Properties>
</file>